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4.xml" ContentType="application/vnd.ms-excel.controlproperties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trlProps/ctrlProp17.xml" ContentType="application/vnd.ms-excel.controlproperties+xml"/>
  <Override PartName="/xl/drawings/drawing11.xml" ContentType="application/vnd.openxmlformats-officedocument.drawing+xml"/>
  <Override PartName="/xl/ctrlProps/ctrlProp18.xml" ContentType="application/vnd.ms-excel.controlproperties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trlProps/ctrlProp19.xml" ContentType="application/vnd.ms-excel.controlproperties+xml"/>
  <Override PartName="/xl/drawings/drawing13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4.xml" ContentType="application/vnd.openxmlformats-officedocument.drawing+xml"/>
  <Override PartName="/xl/ctrlProps/ctrlProp22.xml" ContentType="application/vnd.ms-excel.controlproperties+xml"/>
  <Override PartName="/xl/drawings/drawing15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7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9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0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2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3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4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25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6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27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28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9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30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31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32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33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34.xml" ContentType="application/vnd.openxmlformats-officedocument.drawing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35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36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37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drawings/drawing38.xml" ContentType="application/vnd.openxmlformats-officedocument.drawing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drawings/drawing39.xml" ContentType="application/vnd.openxmlformats-officedocument.drawing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40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41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42.xml" ContentType="application/vnd.openxmlformats-officedocument.drawing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drawings/drawing43.xml" ContentType="application/vnd.openxmlformats-officedocument.drawing+xml"/>
  <Override PartName="/xl/ctrlProps/ctrlProp1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Websites\Pscweb\utilities\gas\18docs\1805708\"/>
    </mc:Choice>
  </mc:AlternateContent>
  <bookViews>
    <workbookView xWindow="120" yWindow="-15" windowWidth="20730" windowHeight="11565" activeTab="1"/>
  </bookViews>
  <sheets>
    <sheet name="Control Panel" sheetId="1" r:id="rId1"/>
    <sheet name="Report" sheetId="2" r:id="rId2"/>
    <sheet name="ROR-Model" sheetId="6" r:id="rId3"/>
    <sheet name="Summaries" sheetId="5" r:id="rId4"/>
    <sheet name="Adjustments" sheetId="3" r:id="rId5"/>
    <sheet name="Rate Base" sheetId="4" r:id="rId6"/>
    <sheet name="EXPENSES" sheetId="139" r:id="rId7"/>
    <sheet name="PROJECTED EXPENSES" sheetId="651" r:id="rId8"/>
    <sheet name="RB FORECAST" sheetId="650" r:id="rId9"/>
    <sheet name="101_106 PROJECTION" sheetId="652" r:id="rId10"/>
    <sheet name="108_111 Projection" sheetId="647" r:id="rId11"/>
    <sheet name="PROJECTED ACC 252 (CONTR)" sheetId="649" r:id="rId12"/>
    <sheet name="190_255_282 FORECAST" sheetId="648" r:id="rId13"/>
    <sheet name="Labor Forecast" sheetId="653" r:id="rId14"/>
    <sheet name="ENERGY EFFICIENCY SERVICES ADJ" sheetId="657" r:id="rId15"/>
    <sheet name="Corporate Overhead" sheetId="667" r:id="rId16"/>
    <sheet name="Other Taxes" sheetId="660" r:id="rId17"/>
    <sheet name="Taxes" sheetId="12" r:id="rId18"/>
    <sheet name="Und Stor" sheetId="16" r:id="rId19"/>
    <sheet name="Wexpro" sheetId="17" r:id="rId20"/>
    <sheet name="RESERVE ACCRUAL" sheetId="137" r:id="rId21"/>
    <sheet name="Donations" sheetId="42" r:id="rId22"/>
    <sheet name="Advertising" sheetId="594" r:id="rId23"/>
    <sheet name="Incentive" sheetId="33" r:id="rId24"/>
    <sheet name="Sporting Events" sheetId="595" r:id="rId25"/>
    <sheet name="Revenue" sheetId="15" r:id="rId26"/>
    <sheet name="Booked DEC 2017 Rev" sheetId="641" r:id="rId27"/>
    <sheet name="AVG Proj Rev 2018 with CET" sheetId="670" r:id="rId28"/>
    <sheet name="AVG Projected Rev 2019 with CET" sheetId="663" r:id="rId29"/>
    <sheet name="Other Rev" sheetId="14" r:id="rId30"/>
    <sheet name="Utah Bad Debt" sheetId="20" r:id="rId31"/>
    <sheet name="Capital Str" sheetId="49" r:id="rId32"/>
    <sheet name="Utah Allocation" sheetId="50" r:id="rId33"/>
    <sheet name="ALLOCATIONS&amp;PRETAX" sheetId="52" r:id="rId34"/>
    <sheet name="Transition Costs" sheetId="671" r:id="rId35"/>
    <sheet name="Optional Adjustment 2" sheetId="685" state="hidden" r:id="rId36"/>
    <sheet name="Optional Adjustment 3" sheetId="686" state="hidden" r:id="rId37"/>
    <sheet name="Optional Adjustment 4" sheetId="687" state="hidden" r:id="rId38"/>
    <sheet name="Optional Adjustment 5" sheetId="688" state="hidden" r:id="rId39"/>
    <sheet name="Optional Adjustment 6" sheetId="689" state="hidden" r:id="rId40"/>
    <sheet name="Optional Adjustment 7" sheetId="690" state="hidden" r:id="rId41"/>
    <sheet name="Optional Adjustment 8" sheetId="691" state="hidden" r:id="rId42"/>
    <sheet name="Optional Adjustment 9" sheetId="692" state="hidden" r:id="rId43"/>
    <sheet name="Optional Adjustment 10" sheetId="693" state="hidden" r:id="rId44"/>
    <sheet name="Optional Adjustment 11" sheetId="694" state="hidden" r:id="rId45"/>
    <sheet name="Optional Adjustment 12" sheetId="695" state="hidden" r:id="rId46"/>
    <sheet name="Optional Adjustment 13" sheetId="696" state="hidden" r:id="rId47"/>
    <sheet name="Optional Adjustment 14" sheetId="697" state="hidden" r:id="rId48"/>
    <sheet name="Optional Adjustment 15" sheetId="698" state="hidden" r:id="rId49"/>
    <sheet name="Optional Adjustment 16" sheetId="701" state="hidden" r:id="rId50"/>
    <sheet name="Optional Adjustment 17" sheetId="702" state="hidden" r:id="rId51"/>
    <sheet name="Optional Adjustment 18" sheetId="703" state="hidden" r:id="rId52"/>
    <sheet name="Optional Adjustment 19" sheetId="704" state="hidden" r:id="rId53"/>
    <sheet name="Optional Adjustment 20" sheetId="705" state="hidden" r:id="rId54"/>
    <sheet name="Optional Adjustment 21" sheetId="706" state="hidden" r:id="rId55"/>
    <sheet name="Optional Adjustment 22" sheetId="707" state="hidden" r:id="rId56"/>
    <sheet name="Optional Adjustment 23" sheetId="708" state="hidden" r:id="rId57"/>
    <sheet name="Optional Adjustment 24" sheetId="709" state="hidden" r:id="rId58"/>
    <sheet name="Optional Adjustment 25" sheetId="710" state="hidden" r:id="rId59"/>
    <sheet name="Optional Adjustment 26" sheetId="711" state="hidden" r:id="rId60"/>
    <sheet name="Optional Adjustment 27" sheetId="712" state="hidden" r:id="rId61"/>
    <sheet name="Labor Adjustment ROO" sheetId="725" r:id="rId62"/>
    <sheet name="COS REVRUN" sheetId="533" state="hidden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xlnm._FilterDatabase" localSheetId="22" hidden="1">Advertising!#REF!</definedName>
    <definedName name="_xlnm._FilterDatabase" localSheetId="43" hidden="1">'Optional Adjustment 10'!$E$794</definedName>
    <definedName name="_xlnm._FilterDatabase" localSheetId="44" hidden="1">'Optional Adjustment 11'!$E$794</definedName>
    <definedName name="_xlnm._FilterDatabase" localSheetId="45" hidden="1">'Optional Adjustment 12'!$E$794</definedName>
    <definedName name="_xlnm._FilterDatabase" localSheetId="46" hidden="1">'Optional Adjustment 13'!$E$794</definedName>
    <definedName name="_xlnm._FilterDatabase" localSheetId="47" hidden="1">'Optional Adjustment 14'!$E$794</definedName>
    <definedName name="_xlnm._FilterDatabase" localSheetId="48" hidden="1">'Optional Adjustment 15'!$E$794</definedName>
    <definedName name="_xlnm._FilterDatabase" localSheetId="49" hidden="1">'Optional Adjustment 16'!$E$794</definedName>
    <definedName name="_xlnm._FilterDatabase" localSheetId="50" hidden="1">'Optional Adjustment 17'!$E$794</definedName>
    <definedName name="_xlnm._FilterDatabase" localSheetId="51" hidden="1">'Optional Adjustment 18'!$E$794</definedName>
    <definedName name="_xlnm._FilterDatabase" localSheetId="52" hidden="1">'Optional Adjustment 19'!$E$794</definedName>
    <definedName name="_xlnm._FilterDatabase" localSheetId="35" hidden="1">'Optional Adjustment 2'!$E$794</definedName>
    <definedName name="_xlnm._FilterDatabase" localSheetId="53" hidden="1">'Optional Adjustment 20'!$E$794</definedName>
    <definedName name="_xlnm._FilterDatabase" localSheetId="54" hidden="1">'Optional Adjustment 21'!$E$794</definedName>
    <definedName name="_xlnm._FilterDatabase" localSheetId="55" hidden="1">'Optional Adjustment 22'!$E$794</definedName>
    <definedName name="_xlnm._FilterDatabase" localSheetId="56" hidden="1">'Optional Adjustment 23'!$E$794</definedName>
    <definedName name="_xlnm._FilterDatabase" localSheetId="57" hidden="1">'Optional Adjustment 24'!$E$794</definedName>
    <definedName name="_xlnm._FilterDatabase" localSheetId="58" hidden="1">'Optional Adjustment 25'!$E$794</definedName>
    <definedName name="_xlnm._FilterDatabase" localSheetId="59" hidden="1">'Optional Adjustment 26'!$E$794</definedName>
    <definedName name="_xlnm._FilterDatabase" localSheetId="60" hidden="1">'Optional Adjustment 27'!$E$794</definedName>
    <definedName name="_xlnm._FilterDatabase" localSheetId="36" hidden="1">'Optional Adjustment 3'!$E$794</definedName>
    <definedName name="_xlnm._FilterDatabase" localSheetId="37" hidden="1">'Optional Adjustment 4'!$E$794</definedName>
    <definedName name="_xlnm._FilterDatabase" localSheetId="38" hidden="1">'Optional Adjustment 5'!$E$794</definedName>
    <definedName name="_xlnm._FilterDatabase" localSheetId="39" hidden="1">'Optional Adjustment 6'!$E$794</definedName>
    <definedName name="_xlnm._FilterDatabase" localSheetId="40" hidden="1">'Optional Adjustment 7'!$E$794</definedName>
    <definedName name="_xlnm._FilterDatabase" localSheetId="41" hidden="1">'Optional Adjustment 8'!$E$794</definedName>
    <definedName name="_xlnm._FilterDatabase" localSheetId="42" hidden="1">'Optional Adjustment 9'!$E$794</definedName>
    <definedName name="_xlnm._FilterDatabase" localSheetId="24" hidden="1">'Sporting Events'!#REF!</definedName>
    <definedName name="_xlnm._FilterDatabase" localSheetId="34" hidden="1">'Transition Costs'!$E$832</definedName>
    <definedName name="Actual" localSheetId="27">#REF!,#REF!,#REF!,#REF!,#REF!,#REF!</definedName>
    <definedName name="Actual" localSheetId="43">#REF!,#REF!,#REF!,#REF!,#REF!,#REF!</definedName>
    <definedName name="Actual" localSheetId="44">#REF!,#REF!,#REF!,#REF!,#REF!,#REF!</definedName>
    <definedName name="Actual" localSheetId="45">#REF!,#REF!,#REF!,#REF!,#REF!,#REF!</definedName>
    <definedName name="Actual" localSheetId="46">#REF!,#REF!,#REF!,#REF!,#REF!,#REF!</definedName>
    <definedName name="Actual" localSheetId="47">#REF!,#REF!,#REF!,#REF!,#REF!,#REF!</definedName>
    <definedName name="Actual" localSheetId="48">#REF!,#REF!,#REF!,#REF!,#REF!,#REF!</definedName>
    <definedName name="Actual" localSheetId="49">#REF!,#REF!,#REF!,#REF!,#REF!,#REF!</definedName>
    <definedName name="Actual" localSheetId="50">#REF!,#REF!,#REF!,#REF!,#REF!,#REF!</definedName>
    <definedName name="Actual" localSheetId="51">#REF!,#REF!,#REF!,#REF!,#REF!,#REF!</definedName>
    <definedName name="Actual" localSheetId="52">#REF!,#REF!,#REF!,#REF!,#REF!,#REF!</definedName>
    <definedName name="Actual" localSheetId="35">#REF!,#REF!,#REF!,#REF!,#REF!,#REF!</definedName>
    <definedName name="Actual" localSheetId="53">#REF!,#REF!,#REF!,#REF!,#REF!,#REF!</definedName>
    <definedName name="Actual" localSheetId="54">#REF!,#REF!,#REF!,#REF!,#REF!,#REF!</definedName>
    <definedName name="Actual" localSheetId="55">#REF!,#REF!,#REF!,#REF!,#REF!,#REF!</definedName>
    <definedName name="Actual" localSheetId="56">#REF!,#REF!,#REF!,#REF!,#REF!,#REF!</definedName>
    <definedName name="Actual" localSheetId="57">#REF!,#REF!,#REF!,#REF!,#REF!,#REF!</definedName>
    <definedName name="Actual" localSheetId="58">#REF!,#REF!,#REF!,#REF!,#REF!,#REF!</definedName>
    <definedName name="Actual" localSheetId="59">#REF!,#REF!,#REF!,#REF!,#REF!,#REF!</definedName>
    <definedName name="Actual" localSheetId="60">#REF!,#REF!,#REF!,#REF!,#REF!,#REF!</definedName>
    <definedName name="Actual" localSheetId="36">#REF!,#REF!,#REF!,#REF!,#REF!,#REF!</definedName>
    <definedName name="Actual" localSheetId="37">#REF!,#REF!,#REF!,#REF!,#REF!,#REF!</definedName>
    <definedName name="Actual" localSheetId="38">#REF!,#REF!,#REF!,#REF!,#REF!,#REF!</definedName>
    <definedName name="Actual" localSheetId="39">#REF!,#REF!,#REF!,#REF!,#REF!,#REF!</definedName>
    <definedName name="Actual" localSheetId="40">#REF!,#REF!,#REF!,#REF!,#REF!,#REF!</definedName>
    <definedName name="Actual" localSheetId="41">#REF!,#REF!,#REF!,#REF!,#REF!,#REF!</definedName>
    <definedName name="Actual" localSheetId="42">#REF!,#REF!,#REF!,#REF!,#REF!,#REF!</definedName>
    <definedName name="Adjustments">'Control Panel'!$A$25:$F$96</definedName>
    <definedName name="Admin_Fee">#REF!</definedName>
    <definedName name="ADVERTISESUMMARY1">Advertising!$L$1:$T$39</definedName>
    <definedName name="Advertisingscenario">Advertising!$C$10:$F$51</definedName>
    <definedName name="Alloc_Cust_Assist">#REF!</definedName>
    <definedName name="Alloc_Deposits" localSheetId="43">#REF!</definedName>
    <definedName name="Alloc_Deposits" localSheetId="44">#REF!</definedName>
    <definedName name="Alloc_Deposits" localSheetId="45">#REF!</definedName>
    <definedName name="Alloc_Deposits" localSheetId="46">#REF!</definedName>
    <definedName name="Alloc_Deposits" localSheetId="47">#REF!</definedName>
    <definedName name="Alloc_Deposits" localSheetId="48">#REF!</definedName>
    <definedName name="Alloc_Deposits" localSheetId="49">#REF!</definedName>
    <definedName name="Alloc_Deposits" localSheetId="50">#REF!</definedName>
    <definedName name="Alloc_Deposits" localSheetId="51">#REF!</definedName>
    <definedName name="Alloc_Deposits" localSheetId="52">#REF!</definedName>
    <definedName name="Alloc_Deposits" localSheetId="35">#REF!</definedName>
    <definedName name="Alloc_Deposits" localSheetId="53">#REF!</definedName>
    <definedName name="Alloc_Deposits" localSheetId="54">#REF!</definedName>
    <definedName name="Alloc_Deposits" localSheetId="55">#REF!</definedName>
    <definedName name="Alloc_Deposits" localSheetId="56">#REF!</definedName>
    <definedName name="Alloc_Deposits" localSheetId="57">#REF!</definedName>
    <definedName name="Alloc_Deposits" localSheetId="58">#REF!</definedName>
    <definedName name="Alloc_Deposits" localSheetId="59">#REF!</definedName>
    <definedName name="Alloc_Deposits" localSheetId="60">#REF!</definedName>
    <definedName name="Alloc_Deposits" localSheetId="36">#REF!</definedName>
    <definedName name="Alloc_Deposits" localSheetId="37">#REF!</definedName>
    <definedName name="Alloc_Deposits" localSheetId="38">#REF!</definedName>
    <definedName name="Alloc_Deposits" localSheetId="39">#REF!</definedName>
    <definedName name="Alloc_Deposits" localSheetId="40">#REF!</definedName>
    <definedName name="Alloc_Deposits" localSheetId="41">#REF!</definedName>
    <definedName name="Alloc_Deposits" localSheetId="42">#REF!</definedName>
    <definedName name="Alloc_Dist_Throu">#REF!</definedName>
    <definedName name="Alloc_Meters_Regs">#REF!</definedName>
    <definedName name="Alloc_Peak_Day">#REF!</definedName>
    <definedName name="Alloc_SD_Mains">#REF!</definedName>
    <definedName name="Alloc_Serv_Lines">#REF!</definedName>
    <definedName name="ALLOCATIONS">'ALLOCATIONS&amp;PRETAX'!$B$6:$E$41</definedName>
    <definedName name="ANNUALIZEDDEPEXP">#REF!</definedName>
    <definedName name="AVG_INCENTIVE">Incentive!$AI$12:$AM$490</definedName>
    <definedName name="BadDebtScenario">'Utah Bad Debt'!$C$5:$F$39</definedName>
    <definedName name="BADDEBTSUMMARY1">'Utah Bad Debt'!$B$1:$G$34</definedName>
    <definedName name="BADDEBTSUMMARY2">'Utah Bad Debt'!$X$1:$AF$47</definedName>
    <definedName name="Basic_Service_Fee">#REF!</definedName>
    <definedName name="Bill_Block_FT1ETempN" localSheetId="43">#REF!</definedName>
    <definedName name="Bill_Block_FT1ETempN" localSheetId="44">#REF!</definedName>
    <definedName name="Bill_Block_FT1ETempN" localSheetId="45">#REF!</definedName>
    <definedName name="Bill_Block_FT1ETempN" localSheetId="46">#REF!</definedName>
    <definedName name="Bill_Block_FT1ETempN" localSheetId="47">#REF!</definedName>
    <definedName name="Bill_Block_FT1ETempN" localSheetId="48">#REF!</definedName>
    <definedName name="Bill_Block_FT1ETempN" localSheetId="49">#REF!</definedName>
    <definedName name="Bill_Block_FT1ETempN" localSheetId="50">#REF!</definedName>
    <definedName name="Bill_Block_FT1ETempN" localSheetId="51">#REF!</definedName>
    <definedName name="Bill_Block_FT1ETempN" localSheetId="52">#REF!</definedName>
    <definedName name="Bill_Block_FT1ETempN" localSheetId="35">#REF!</definedName>
    <definedName name="Bill_Block_FT1ETempN" localSheetId="53">#REF!</definedName>
    <definedName name="Bill_Block_FT1ETempN" localSheetId="54">#REF!</definedName>
    <definedName name="Bill_Block_FT1ETempN" localSheetId="55">#REF!</definedName>
    <definedName name="Bill_Block_FT1ETempN" localSheetId="56">#REF!</definedName>
    <definedName name="Bill_Block_FT1ETempN" localSheetId="57">#REF!</definedName>
    <definedName name="Bill_Block_FT1ETempN" localSheetId="58">#REF!</definedName>
    <definedName name="Bill_Block_FT1ETempN" localSheetId="59">#REF!</definedName>
    <definedName name="Bill_Block_FT1ETempN" localSheetId="60">#REF!</definedName>
    <definedName name="Bill_Block_FT1ETempN" localSheetId="36">#REF!</definedName>
    <definedName name="Bill_Block_FT1ETempN" localSheetId="37">#REF!</definedName>
    <definedName name="Bill_Block_FT1ETempN" localSheetId="38">#REF!</definedName>
    <definedName name="Bill_Block_FT1ETempN" localSheetId="39">#REF!</definedName>
    <definedName name="Bill_Block_FT1ETempN" localSheetId="40">#REF!</definedName>
    <definedName name="Bill_Block_FT1ETempN" localSheetId="41">#REF!</definedName>
    <definedName name="Bill_Block_FT1ETempN" localSheetId="42">#REF!</definedName>
    <definedName name="Bill_Block_FT1Existing">#REF!</definedName>
    <definedName name="Bill_Block_FT1New">#REF!</definedName>
    <definedName name="Bill_Block_FT1NTempN" localSheetId="43">#REF!</definedName>
    <definedName name="Bill_Block_FT1NTempN" localSheetId="44">#REF!</definedName>
    <definedName name="Bill_Block_FT1NTempN" localSheetId="45">#REF!</definedName>
    <definedName name="Bill_Block_FT1NTempN" localSheetId="46">#REF!</definedName>
    <definedName name="Bill_Block_FT1NTempN" localSheetId="47">#REF!</definedName>
    <definedName name="Bill_Block_FT1NTempN" localSheetId="48">#REF!</definedName>
    <definedName name="Bill_Block_FT1NTempN" localSheetId="49">#REF!</definedName>
    <definedName name="Bill_Block_FT1NTempN" localSheetId="50">#REF!</definedName>
    <definedName name="Bill_Block_FT1NTempN" localSheetId="51">#REF!</definedName>
    <definedName name="Bill_Block_FT1NTempN" localSheetId="52">#REF!</definedName>
    <definedName name="Bill_Block_FT1NTempN" localSheetId="35">#REF!</definedName>
    <definedName name="Bill_Block_FT1NTempN" localSheetId="53">#REF!</definedName>
    <definedName name="Bill_Block_FT1NTempN" localSheetId="54">#REF!</definedName>
    <definedName name="Bill_Block_FT1NTempN" localSheetId="55">#REF!</definedName>
    <definedName name="Bill_Block_FT1NTempN" localSheetId="56">#REF!</definedName>
    <definedName name="Bill_Block_FT1NTempN" localSheetId="57">#REF!</definedName>
    <definedName name="Bill_Block_FT1NTempN" localSheetId="58">#REF!</definedName>
    <definedName name="Bill_Block_FT1NTempN" localSheetId="59">#REF!</definedName>
    <definedName name="Bill_Block_FT1NTempN" localSheetId="60">#REF!</definedName>
    <definedName name="Bill_Block_FT1NTempN" localSheetId="36">#REF!</definedName>
    <definedName name="Bill_Block_FT1NTempN" localSheetId="37">#REF!</definedName>
    <definedName name="Bill_Block_FT1NTempN" localSheetId="38">#REF!</definedName>
    <definedName name="Bill_Block_FT1NTempN" localSheetId="39">#REF!</definedName>
    <definedName name="Bill_Block_FT1NTempN" localSheetId="40">#REF!</definedName>
    <definedName name="Bill_Block_FT1NTempN" localSheetId="41">#REF!</definedName>
    <definedName name="Bill_Block_FT1NTempN" localSheetId="42">#REF!</definedName>
    <definedName name="Block_Out_2016">#REF!</definedName>
    <definedName name="Block_Out_Current_2016">#REF!</definedName>
    <definedName name="BOOKED_DEC_2006">Revenue!$F$8:$H$371</definedName>
    <definedName name="CapStr">'Capital Str'!$C$22:$F$63</definedName>
    <definedName name="CET">[1]CET!$A$1:$B$179</definedName>
    <definedName name="CET_PER1">[2]CRITERIA!$J$163:$Q$164</definedName>
    <definedName name="CET_PER10">[2]CRITERIA!$CM$163:$CT$164</definedName>
    <definedName name="CET_PER11">[2]CRITERIA!$CV$163:$DC$164</definedName>
    <definedName name="CET_PER12">[2]CRITERIA!$DE$163:$DL$164</definedName>
    <definedName name="CET_PER2">[2]CRITERIA!$S$163:$Z$164</definedName>
    <definedName name="CET_PER3">[2]CRITERIA!$AB$163:$AI$164</definedName>
    <definedName name="CET_PER4">[2]CRITERIA!$AK$163:$AR$164</definedName>
    <definedName name="CET_PER5">[2]CRITERIA!$AT$163:$BA$164</definedName>
    <definedName name="CET_PER6">[2]CRITERIA!$BC$163:$BJ$164</definedName>
    <definedName name="CET_PER7">[2]CRITERIA!$BL$163:$BS$164</definedName>
    <definedName name="CET_PER8">[2]CRITERIA!$BU$163:$CB$164</definedName>
    <definedName name="CET_PER9">[2]CRITERIA!$CD$163:$CK$164</definedName>
    <definedName name="CO_I4">[3]Criteria!$Q$26:$R$27</definedName>
    <definedName name="COI4CUSTOMERS">[4]CRITERIA!$B$685:$D$686</definedName>
    <definedName name="COI4DNG">[5]CRITERIA!$B$533:$D$534</definedName>
    <definedName name="COI4DTH">[5]CRITERIA!$B$530:$D$531</definedName>
    <definedName name="COI4GAS">[5]CRITERIA!$B$536:$D$537</definedName>
    <definedName name="COICCUSTOMERS">[4]CRITERIA!$B$699:$D$701</definedName>
    <definedName name="COICDNG">[5]CRITERIA!$B$544:$D$546</definedName>
    <definedName name="COICDTH">[5]CRITERIA!$B$540:$D$542</definedName>
    <definedName name="COICGAS">[5]CRITERIA!$B$548:$D$550</definedName>
    <definedName name="COMM_REV_CO">Revenue!$F$354</definedName>
    <definedName name="COMM_REV_ID">Revenue!$F$230</definedName>
    <definedName name="COMM_REV_UT">Revenue!$F$201</definedName>
    <definedName name="COMM_REV_WY">Revenue!$F$325</definedName>
    <definedName name="COSREVRUN">'COS REVRUN'!$H$5:$AV$574</definedName>
    <definedName name="Cumulative_Investment">#REF!</definedName>
    <definedName name="currentrates">#REF!</definedName>
    <definedName name="dblink">'[1]QUERY_FOR PIVOT'!$A$1:$H$2559</definedName>
    <definedName name="Decouple1">'Rate Base'!$B:$AQ</definedName>
    <definedName name="Decouple2">'Other Rev'!$H:$H</definedName>
    <definedName name="Decouple2A">'Other Rev'!$AD:$AD</definedName>
    <definedName name="Decouple2B">'Other Rev'!$AP:$AP</definedName>
    <definedName name="Decouple3">'Utah Bad Debt'!$I$12:$T$13</definedName>
    <definedName name="Decouple8">'Capital Str'!$C$39:$G$63</definedName>
    <definedName name="DON_ADJ_UT">Donations!$L$16</definedName>
    <definedName name="DON_ADJ_WY">Donations!$L$17</definedName>
    <definedName name="DONATIONSSCENARIO">Donations!$G$6:$K$40</definedName>
    <definedName name="DONATIONSSUMMARY">Donations!$A$1:$L$22</definedName>
    <definedName name="DPUORIGINAL1">Summaries!$AQ$1:$EF$74</definedName>
    <definedName name="DSM_PER1">[2]CRITERIA!$J$166:$Q$167</definedName>
    <definedName name="DSM_PER10">[2]CRITERIA!$CM$166:$CT$167</definedName>
    <definedName name="DSM_PER11">[2]CRITERIA!$CV$166:$DC$167</definedName>
    <definedName name="DSM_PER12">[2]CRITERIA!$DE$166:$DL$167</definedName>
    <definedName name="DSM_PER2">[2]CRITERIA!$S$166:$Z$167</definedName>
    <definedName name="DSM_PER3">[2]CRITERIA!$AB$166:$AI$167</definedName>
    <definedName name="DSM_PER4">[2]CRITERIA!$AK$166:$AR$167</definedName>
    <definedName name="DSM_PER5">[2]CRITERIA!$AT$166:$BA$167</definedName>
    <definedName name="DSM_PER6">[2]CRITERIA!$BC$166:$BJ$167</definedName>
    <definedName name="DSM_PER7">[2]CRITERIA!$BL$166:$BS$167</definedName>
    <definedName name="DSM_PER8">[2]CRITERIA!$BU$166:$CB$167</definedName>
    <definedName name="DSM_PER9">[2]CRITERIA!$CD$166:$CK$167</definedName>
    <definedName name="Energy_Efficiency">'ENERGY EFFICIENCY SERVICES ADJ'!$E$7:$H$35</definedName>
    <definedName name="events">'Sporting Events'!$B$7:$F$16</definedName>
    <definedName name="Exisiting_FS">#REF!</definedName>
    <definedName name="Exisiting_MT">#REF!</definedName>
    <definedName name="Existing_Admin_Primary">#REF!</definedName>
    <definedName name="Existing_Admin_Secondary">#REF!</definedName>
    <definedName name="Existing_BSF">#REF!</definedName>
    <definedName name="Existing_FS">#REF!</definedName>
    <definedName name="Existing_FT1">#REF!</definedName>
    <definedName name="Existing_FT1_FirmDemandCharge">#REF!</definedName>
    <definedName name="Existing_GS">#REF!</definedName>
    <definedName name="Existing_IS">#REF!</definedName>
    <definedName name="Existing_MT">#REF!</definedName>
    <definedName name="Existing_NGV">#REF!</definedName>
    <definedName name="Existing_TS">#REF!</definedName>
    <definedName name="Existing_TS_FirmDemandCharge">#REF!</definedName>
    <definedName name="EXPENSE_SENARIOS">EXPENSES!$G$6:$J$431</definedName>
    <definedName name="EXPENSES">EXPENSES!$H$6:$H$781</definedName>
    <definedName name="EXPENSESCENARIO">EXPENSES!$G$6:$K$583</definedName>
    <definedName name="F1T_DNG_WY_PER1">[6]CRITERIA!$J$175:$Q$176</definedName>
    <definedName name="F1T_DNG_WY_PER10">[6]CRITERIA!$CM$175:$CT$176</definedName>
    <definedName name="F1T_DNG_WY_PER11">[6]CRITERIA!$CV$175:$DC$176</definedName>
    <definedName name="F1T_DNG_WY_PER12">[6]CRITERIA!$DE$175:$DL$176</definedName>
    <definedName name="F1T_DNG_WY_PER2">[6]CRITERIA!$S$175:$Z$176</definedName>
    <definedName name="F1T_DNG_WY_PER3">[6]CRITERIA!$AB$175:$AI$176</definedName>
    <definedName name="F1T_DNG_WY_PER4">[6]CRITERIA!$AK$175:$AR$176</definedName>
    <definedName name="F1T_DNG_WY_PER5">[6]CRITERIA!$AT$175:$BA$176</definedName>
    <definedName name="F1T_DNG_WY_PER6">[6]CRITERIA!$BC$175:$BJ$176</definedName>
    <definedName name="F1T_DNG_WY_PER7">[6]CRITERIA!$BL$175:$BS$176</definedName>
    <definedName name="F1T_DNG_WY_PER8">[6]CRITERIA!$BU$175:$CB$176</definedName>
    <definedName name="F1T_DNG_WY_PER9">[6]CRITERIA!$CD$175:$CK$176</definedName>
    <definedName name="FEEDRLINEREV" localSheetId="27">#REF!</definedName>
    <definedName name="FEEDRLINEREV" localSheetId="43">#REF!</definedName>
    <definedName name="FEEDRLINEREV" localSheetId="44">#REF!</definedName>
    <definedName name="FEEDRLINEREV" localSheetId="45">#REF!</definedName>
    <definedName name="FEEDRLINEREV" localSheetId="46">#REF!</definedName>
    <definedName name="FEEDRLINEREV" localSheetId="47">#REF!</definedName>
    <definedName name="FEEDRLINEREV" localSheetId="48">#REF!</definedName>
    <definedName name="FEEDRLINEREV" localSheetId="49">#REF!</definedName>
    <definedName name="FEEDRLINEREV" localSheetId="50">#REF!</definedName>
    <definedName name="FEEDRLINEREV" localSheetId="51">#REF!</definedName>
    <definedName name="FEEDRLINEREV" localSheetId="52">#REF!</definedName>
    <definedName name="FEEDRLINEREV" localSheetId="35">#REF!</definedName>
    <definedName name="FEEDRLINEREV" localSheetId="53">#REF!</definedName>
    <definedName name="FEEDRLINEREV" localSheetId="54">#REF!</definedName>
    <definedName name="FEEDRLINEREV" localSheetId="55">#REF!</definedName>
    <definedName name="FEEDRLINEREV" localSheetId="56">#REF!</definedName>
    <definedName name="FEEDRLINEREV" localSheetId="57">#REF!</definedName>
    <definedName name="FEEDRLINEREV" localSheetId="58">#REF!</definedName>
    <definedName name="FEEDRLINEREV" localSheetId="59">#REF!</definedName>
    <definedName name="FEEDRLINEREV" localSheetId="60">#REF!</definedName>
    <definedName name="FEEDRLINEREV" localSheetId="36">#REF!</definedName>
    <definedName name="FEEDRLINEREV" localSheetId="37">#REF!</definedName>
    <definedName name="FEEDRLINEREV" localSheetId="38">#REF!</definedName>
    <definedName name="FEEDRLINEREV" localSheetId="39">#REF!</definedName>
    <definedName name="FEEDRLINEREV" localSheetId="40">#REF!</definedName>
    <definedName name="FEEDRLINEREV" localSheetId="41">#REF!</definedName>
    <definedName name="FEEDRLINEREV" localSheetId="42">#REF!</definedName>
    <definedName name="Firm_Demand_Charge">#REF!</definedName>
    <definedName name="FS_FL_UT_PER1">[7]CRITERIA!$J$196:$Q$197</definedName>
    <definedName name="FS_FL_UT_PER10">[7]CRITERIA!$CM$196:$CT$197</definedName>
    <definedName name="FS_FL_UT_PER11">[7]CRITERIA!$CV$196:$DC$197</definedName>
    <definedName name="FS_FL_UT_PER12">[7]CRITERIA!$DE$196:$DL$197</definedName>
    <definedName name="FS_FL_UT_PER2">[7]CRITERIA!$S$196:$Z$197</definedName>
    <definedName name="FS_FL_UT_PER3">[7]CRITERIA!$AB$196:$AI$197</definedName>
    <definedName name="FS_FL_UT_PER4">[7]CRITERIA!$AK$196:$AR$197</definedName>
    <definedName name="FS_FL_UT_PER5">[7]CRITERIA!$AT$196:$BA$197</definedName>
    <definedName name="FS_FL_UT_PER6">[7]CRITERIA!$BC$196:$BJ$197</definedName>
    <definedName name="FS_FL_UT_PER7">[7]CRITERIA!$BL$196:$BS$197</definedName>
    <definedName name="FS_FL_UT_PER8">[7]CRITERIA!$BU$196:$CB$197</definedName>
    <definedName name="FS_FL_UT_PER9">[7]CRITERIA!$CD$196:$CK$197</definedName>
    <definedName name="FT_FL_UT_PER1">[7]CRITERIA!$J$202:$Q$203</definedName>
    <definedName name="FT_FL_UT_PER10">[7]CRITERIA!$CM$202:$CT$203</definedName>
    <definedName name="FT_FL_UT_PER11">[7]CRITERIA!$CV$202:$DC$203</definedName>
    <definedName name="FT_FL_UT_PER12">[7]CRITERIA!$DE$202:$DL$203</definedName>
    <definedName name="FT_FL_UT_PER2">[7]CRITERIA!$S$202:$Z$203</definedName>
    <definedName name="FT_FL_UT_PER3">[7]CRITERIA!$AB$202:$AI$203</definedName>
    <definedName name="FT_FL_UT_PER4">[7]CRITERIA!$AK$202:$AR$203</definedName>
    <definedName name="FT_FL_UT_PER5">[7]CRITERIA!$AT$202:$BA$203</definedName>
    <definedName name="FT_FL_UT_PER6">[7]CRITERIA!$BC$202:$BJ$203</definedName>
    <definedName name="FT_FL_UT_PER7">[7]CRITERIA!$BL$202:$BS$203</definedName>
    <definedName name="FT_FL_UT_PER8">[7]CRITERIA!$BU$202:$CB$203</definedName>
    <definedName name="FT_FL_UT_PER9">[7]CRITERIA!$CD$202:$CK$203</definedName>
    <definedName name="FT2_COMM_UT_PER1">[2]CRITERIA!$J$89:$Q$90</definedName>
    <definedName name="FT2_COMM_UT_PER10">[2]CRITERIA!$CM$89:$CT$90</definedName>
    <definedName name="FT2_COMM_UT_PER11">[2]CRITERIA!$CV$89:$DC$90</definedName>
    <definedName name="FT2_COMM_UT_PER12">[2]CRITERIA!$DE$89:$DL$90</definedName>
    <definedName name="FT2_COMM_UT_PER2">[2]CRITERIA!$S$89:$Z$90</definedName>
    <definedName name="FT2_COMM_UT_PER3">[2]CRITERIA!$AB$89:$AI$90</definedName>
    <definedName name="FT2_COMM_UT_PER4">[2]CRITERIA!$AK$89:$AR$90</definedName>
    <definedName name="FT2_COMM_UT_PER5">[2]CRITERIA!$AT$89:$BA$90</definedName>
    <definedName name="FT2_COMM_UT_PER6">[2]CRITERIA!$BC$89:$BJ$90</definedName>
    <definedName name="FT2_COMM_UT_PER7">[2]CRITERIA!$BL$89:$BS$90</definedName>
    <definedName name="FT2_COMM_UT_PER8">[2]CRITERIA!$BU$89:$CB$90</definedName>
    <definedName name="FT2_COMM_UT_PER9">[2]CRITERIA!$CD$89:$CK$90</definedName>
    <definedName name="FT2C_PER1">[6]CRITERIA!$J$172:$Q$173</definedName>
    <definedName name="FT2C_PER10">[6]CRITERIA!$CM$172:$CT$173</definedName>
    <definedName name="FT2C_PER11">[6]CRITERIA!$CV$172:$DC$173</definedName>
    <definedName name="FT2C_PER12">[6]CRITERIA!$DE$172:$DL$173</definedName>
    <definedName name="FT2C_PER2">[6]CRITERIA!$S$172:$Z$173</definedName>
    <definedName name="FT2C_PER3">[6]CRITERIA!$AB$172:$AI$173</definedName>
    <definedName name="FT2C_PER4">[6]CRITERIA!$AK$172:$AR$173</definedName>
    <definedName name="FT2C_PER5">[6]CRITERIA!$AT$172:$BA$173</definedName>
    <definedName name="FT2C_PER6">[6]CRITERIA!$BC$172:$BJ$173</definedName>
    <definedName name="FT2C_PER7">[6]CRITERIA!$BL$172:$BS$173</definedName>
    <definedName name="FT2C_PER8">[6]CRITERIA!$BU$172:$CB$173</definedName>
    <definedName name="FT2C_PER9">[6]CRITERIA!$CD$172:$CK$173</definedName>
    <definedName name="FT2RB1">'[8]Rates-Meter Categories-Charges'!$E$53</definedName>
    <definedName name="FT2RB2">'[8]Rates-Meter Categories-Charges'!$E$54</definedName>
    <definedName name="FT2RB3">'[8]Rates-Meter Categories-Charges'!$E$55</definedName>
    <definedName name="FT2RB4">'[8]Rates-Meter Categories-Charges'!$E$56</definedName>
    <definedName name="GrossPlantFormula">'Utah Allocation'!$D$18:$F$18</definedName>
    <definedName name="GrossPlantNumber">'Utah Allocation'!$D$17:$F$17</definedName>
    <definedName name="GS_FL_UT_PER1">[7]CRITERIA!$J$193:$Q$194</definedName>
    <definedName name="GS_FL_UT_PER10">[7]CRITERIA!$CM$193:$CT$194</definedName>
    <definedName name="GS_FL_UT_PER11">[7]CRITERIA!$CV$193:$DC$194</definedName>
    <definedName name="GS_FL_UT_PER12">[7]CRITERIA!$DE$193:$DL$194</definedName>
    <definedName name="GS_FL_UT_PER2">[7]CRITERIA!$S$193:$Z$194</definedName>
    <definedName name="GS_FL_UT_PER3">[7]CRITERIA!$AB$193:$AI$194</definedName>
    <definedName name="GS_FL_UT_PER4">[7]CRITERIA!$AK$193:$AR$194</definedName>
    <definedName name="GS_FL_UT_PER5">[7]CRITERIA!$AT$193:$BA$194</definedName>
    <definedName name="GS_FL_UT_PER6">[7]CRITERIA!$BC$193:$BJ$194</definedName>
    <definedName name="GS_FL_UT_PER7">[7]CRITERIA!$BL$193:$BS$194</definedName>
    <definedName name="GS_FL_UT_PER8">[7]CRITERIA!$BU$193:$CB$194</definedName>
    <definedName name="GS_FL_UT_PER9">[7]CRITERIA!$CD$193:$CK$194</definedName>
    <definedName name="GSW_WNA_PER1">[2]CRITERIA!$J$135:$Q$136</definedName>
    <definedName name="GSW_WNA_PER10">[2]CRITERIA!$CM$135:$CT$136</definedName>
    <definedName name="GSW_WNA_PER11">[2]CRITERIA!$CV$135:$DC$136</definedName>
    <definedName name="GSW_WNA_PER12">[2]CRITERIA!$DE$135:$DL$136</definedName>
    <definedName name="GSW_WNA_PER2">[2]CRITERIA!$S$135:$Z$136</definedName>
    <definedName name="GSW_WNA_PER3">[2]CRITERIA!$AB$135:$AI$136</definedName>
    <definedName name="GSW_WNA_PER4">[2]CRITERIA!$AK$135:$AR$136</definedName>
    <definedName name="GSW_WNA_PER5">[2]CRITERIA!$AT$135:$BA$136</definedName>
    <definedName name="GSW_WNA_PER6">[2]CRITERIA!$BC$135:$BJ$136</definedName>
    <definedName name="GSW_WNA_PER7">[2]CRITERIA!$BL$135:$BS$136</definedName>
    <definedName name="GSW_WNA_PER8">[2]CRITERIA!$BU$135:$CB$136</definedName>
    <definedName name="GSW_WNA_PER9">[2]CRITERIA!$CD$135:$CK$136</definedName>
    <definedName name="HIST_403_GEN">EXPENSES!$G$391</definedName>
    <definedName name="HIST_403_PROD">EXPENSES!$G$388</definedName>
    <definedName name="HIST_403_UT">EXPENSES!$G$390</definedName>
    <definedName name="HIST_403_WY">EXPENSES!$G$389</definedName>
    <definedName name="IDGSDNG">[5]CRITERIA!$B$362:$D$363</definedName>
    <definedName name="IDGSDTH">[5]CRITERIA!$B$359:$D$360</definedName>
    <definedName name="IDGSGAS">[5]CRITERIA!$B$368:$D$369</definedName>
    <definedName name="IDGSSNG">[5]CRITERIA!$B$365:$D$366</definedName>
    <definedName name="IDIS2DNG">[5]CRITERIA!$B$376:$D$378</definedName>
    <definedName name="IDIS2DTH">[5]CRITERIA!$B$372:$D$374</definedName>
    <definedName name="IDIS2GAS">[5]CRITERIA!$B$384:$D$386</definedName>
    <definedName name="IDIS2SNG">[5]CRITERIA!$B$380:$D$382</definedName>
    <definedName name="INCENTIVE">Incentive!$AI$2:$AO$34</definedName>
    <definedName name="INCENTIVECORP">Incentive!$M$1:$T$35</definedName>
    <definedName name="INCENTIVEPER1">Incentive!$BD$22:$BD$23</definedName>
    <definedName name="INCENTIVEPER11">Incentive!$AW$52:$BD$53</definedName>
    <definedName name="INCENTIVEPER12">Incentive!$AW$55:$BD$56</definedName>
    <definedName name="INCENTIVEPER2">Incentive!$BD$25:$BD$26</definedName>
    <definedName name="INCENTIVEPER3">Incentive!$BD$28:$BD$29</definedName>
    <definedName name="INCENTIVEPER4">Incentive!$BD$31:$BD$32</definedName>
    <definedName name="INCENTIVEPER5">Incentive!$BD$34:$BD$35</definedName>
    <definedName name="INCENTIVEPER6">Incentive!$BD$37:$BD$38</definedName>
    <definedName name="INCENTIVEPER7">Incentive!$BD$40:$BD$41</definedName>
    <definedName name="INCENTIVEPER8">Incentive!$BD$43:$BD$44</definedName>
    <definedName name="INCENTIVEPER9">Incentive!$BD$46:$BD$47</definedName>
    <definedName name="INCENTIVESUMMARY">Incentive!$A$1:$K$25</definedName>
    <definedName name="INSENTIVEQGC">Incentive!$V$1:$AF$59</definedName>
    <definedName name="Insentives_QGC">'Control Panel'!$F$34</definedName>
    <definedName name="INSENTIVESCENARIO">Incentive!$D$3:$H$43</definedName>
    <definedName name="IS_FL_UT_PER1">[7]CRITERIA!$J$199:$Q$200</definedName>
    <definedName name="IS_FL_UT_PER10">[7]CRITERIA!$CM$199:$CT$200</definedName>
    <definedName name="IS_FL_UT_PER11">[7]CRITERIA!$CV$199:$DC$200</definedName>
    <definedName name="IS_FL_UT_PER12">[7]CRITERIA!$DE$199:$DL$200</definedName>
    <definedName name="IS_FL_UT_PER2">[7]CRITERIA!$S$199:$Z$200</definedName>
    <definedName name="IS_FL_UT_PER3">[7]CRITERIA!$AB$199:$AI$200</definedName>
    <definedName name="IS_FL_UT_PER4">[7]CRITERIA!$AK$199:$AR$200</definedName>
    <definedName name="IS_FL_UT_PER5">[7]CRITERIA!$AT$199:$BA$200</definedName>
    <definedName name="IS_FL_UT_PER6">[7]CRITERIA!$BC$199:$BJ$200</definedName>
    <definedName name="IS_FL_UT_PER7">[7]CRITERIA!$BL$199:$BS$200</definedName>
    <definedName name="IS_FL_UT_PER8">[7]CRITERIA!$BU$199:$CB$200</definedName>
    <definedName name="IS_FL_UT_PER9">[7]CRITERIA!$CD$199:$CK$200</definedName>
    <definedName name="IT_COMM_UT_PER1">[2]CRITERIA!$J$104:$Q$105</definedName>
    <definedName name="IT_COMM_UT_PER10">[2]CRITERIA!$CM$104:$CT$105</definedName>
    <definedName name="IT_COMM_UT_PER11">[2]CRITERIA!$CV$104:$DC$105</definedName>
    <definedName name="IT_COMM_UT_PER12">[2]CRITERIA!$DE$104:$DL$105</definedName>
    <definedName name="IT_COMM_UT_PER2">[2]CRITERIA!$S$104:$Z$105</definedName>
    <definedName name="IT_COMM_UT_PER3">[2]CRITERIA!$AB$104:$AI$105</definedName>
    <definedName name="IT_COMM_UT_PER4">[2]CRITERIA!$AK$104:$AR$105</definedName>
    <definedName name="IT_COMM_UT_PER5">[2]CRITERIA!$AT$104:$BA$105</definedName>
    <definedName name="IT_COMM_UT_PER6">[2]CRITERIA!$BC$104:$BJ$105</definedName>
    <definedName name="IT_COMM_UT_PER7">[2]CRITERIA!$BL$104:$BS$105</definedName>
    <definedName name="IT_COMM_UT_PER8">[2]CRITERIA!$BU$104:$CB$105</definedName>
    <definedName name="IT_COMM_UT_PER9">[2]CRITERIA!$CD$104:$CK$105</definedName>
    <definedName name="IT_F3">#REF!</definedName>
    <definedName name="JJIONJI">[9]Expenses!$G$372</definedName>
    <definedName name="JurisRORNumber">Taxes!$F$42</definedName>
    <definedName name="LABORTAB">#REF!</definedName>
    <definedName name="MODEL">'ROR-Model'!$A$3</definedName>
    <definedName name="MT_FL_UT_PER1">[7]CRITERIA!$J$208:$Q$209</definedName>
    <definedName name="MT_FL_UT_PER10">[7]CRITERIA!$CM$208:$CT$209</definedName>
    <definedName name="MT_FL_UT_PER11">[7]CRITERIA!$CV$208:$DC$209</definedName>
    <definedName name="MT_FL_UT_PER12">[7]CRITERIA!$DE$208:$DL$209</definedName>
    <definedName name="MT_FL_UT_PER2">[7]CRITERIA!$S$208:$Z$209</definedName>
    <definedName name="MT_FL_UT_PER3">[7]CRITERIA!$AB$208:$AI$209</definedName>
    <definedName name="MT_FL_UT_PER4">[7]CRITERIA!$AK$208:$AR$209</definedName>
    <definedName name="MT_FL_UT_PER5">[7]CRITERIA!$AT$208:$BA$209</definedName>
    <definedName name="MT_FL_UT_PER6">[7]CRITERIA!$BC$208:$BJ$209</definedName>
    <definedName name="MT_FL_UT_PER7">[7]CRITERIA!$BL$208:$BS$209</definedName>
    <definedName name="MT_FL_UT_PER8">[7]CRITERIA!$BU$208:$CB$209</definedName>
    <definedName name="MT_FL_UT_PER9">[7]CRITERIA!$CD$208:$CK$209</definedName>
    <definedName name="MT_SNG_UT_PER1">[2]CRITERIA!$J$98:$Q$99</definedName>
    <definedName name="MT_SNG_UT_PER10">[2]CRITERIA!$CM$98:$CT$99</definedName>
    <definedName name="MT_SNG_UT_PER11">[2]CRITERIA!$CV$98:$DC$99</definedName>
    <definedName name="MT_SNG_UT_PER12">[2]CRITERIA!$DE$98:$DL$99</definedName>
    <definedName name="MT_SNG_UT_PER2">[2]CRITERIA!$S$98:$Z$99</definedName>
    <definedName name="MT_SNG_UT_PER3">[2]CRITERIA!$AB$98:$AI$99</definedName>
    <definedName name="MT_SNG_UT_PER4">[2]CRITERIA!$AK$98:$AR$99</definedName>
    <definedName name="MT_SNG_UT_PER5">[2]CRITERIA!$AT$98:$BA$99</definedName>
    <definedName name="MT_SNG_UT_PER6">[2]CRITERIA!$BC$98:$BJ$99</definedName>
    <definedName name="MT_SNG_UT_PER7">[2]CRITERIA!$BL$98:$BS$99</definedName>
    <definedName name="MT_SNG_UT_PER8">[2]CRITERIA!$BU$98:$CB$99</definedName>
    <definedName name="MT_SNG_UT_PER9">[2]CRITERIA!$CD$98:$CK$99</definedName>
    <definedName name="NGV_DATA">'[1]NGV REVENUES'!$BV$6:$IV$34</definedName>
    <definedName name="NGV_per1">[2]CRITERIA!$J$169:$Q$170</definedName>
    <definedName name="NGV_PER10">[2]CRITERIA!$CM$169:$CT$170</definedName>
    <definedName name="NGV_PER11">[2]CRITERIA!$CV$169:$DC$170</definedName>
    <definedName name="NGV_PER12">[2]CRITERIA!$DE$169:$DL$170</definedName>
    <definedName name="NGV_PER2">[2]CRITERIA!$S$169:$Z$170</definedName>
    <definedName name="NGV_PER3">[2]CRITERIA!$AB$169:$AI$170</definedName>
    <definedName name="NGV_PER4">[2]CRITERIA!$AK$169:$AR$170</definedName>
    <definedName name="NGV_PER5">[2]CRITERIA!$AT$169:$BA$170</definedName>
    <definedName name="NGV_PER6">[2]CRITERIA!$BC$169:$BJ$170</definedName>
    <definedName name="NGV_PER7">[2]CRITERIA!$BL$169:$BS$170</definedName>
    <definedName name="NGV_PER8">[2]CRITERIA!$BU$169:$CB$170</definedName>
    <definedName name="NGV_PER9">[2]CRITERIA!$CD$169:$CK$170</definedName>
    <definedName name="NGV_QUERY">'[2]NGV Query'!$A$1:$H$65536</definedName>
    <definedName name="NGVWY_PER1">[2]CRITERIA!$J$172:$Q$174</definedName>
    <definedName name="NGVWY_PER10">[2]CRITERIA!$CM$172:$CT$174</definedName>
    <definedName name="NGVWY_PER11">[2]CRITERIA!$CV$172:$DC$174</definedName>
    <definedName name="NGVWY_PER12">[2]CRITERIA!$DE$172:$DL$174</definedName>
    <definedName name="NGVWY_PER2">[2]CRITERIA!$S$172:$Z$174</definedName>
    <definedName name="NGVWY_PER3">[2]CRITERIA!$AB$172:$AI$174</definedName>
    <definedName name="NGVWY_PER4">[2]CRITERIA!$AK$172:$AR$174</definedName>
    <definedName name="NGVWY_PER5">[2]CRITERIA!$AT$172:$BA$174</definedName>
    <definedName name="NGVWY_PER6">[2]CRITERIA!$BC$172:$BJ$174</definedName>
    <definedName name="NGVWY_PER7">[2]CRITERIA!$BL$172:$BS$174</definedName>
    <definedName name="NGVWY_PER8">[2]CRITERIA!$BU$172:$CB$174</definedName>
    <definedName name="NGVWY_PER9">[2]CRITERIA!$CD$172:$CK$174</definedName>
    <definedName name="OAKSCENARIO">#REF!</definedName>
    <definedName name="OtherRevScenarios">'Other Rev'!$H$7:$H$145</definedName>
    <definedName name="PHANTOMSCENARIO">#REF!</definedName>
    <definedName name="PIPELINEINTEGRITY">'Corporate Overhead'!$D$4:$G$22</definedName>
    <definedName name="_xlnm.Print_Area" localSheetId="9">'101_106 PROJECTION'!$A$1:$W$54</definedName>
    <definedName name="_xlnm.Print_Area" localSheetId="10">'108_111 Projection'!$B$3:$J$48</definedName>
    <definedName name="_xlnm.Print_Area" localSheetId="4">Adjustments!$A:$AU</definedName>
    <definedName name="_xlnm.Print_Area" localSheetId="22">Advertising!$A$1:$E$31</definedName>
    <definedName name="_xlnm.Print_Area" localSheetId="33">'ALLOCATIONS&amp;PRETAX'!$I$1:$L$59</definedName>
    <definedName name="_xlnm.Print_Area" localSheetId="27">'AVG Proj Rev 2018 with CET'!$V$10:$AD$81</definedName>
    <definedName name="_xlnm.Print_Area" localSheetId="28">'AVG Projected Rev 2019 with CET'!$V$10:$AD$81</definedName>
    <definedName name="_xlnm.Print_Area" localSheetId="31">'Capital Str'!$A$1:$F$63</definedName>
    <definedName name="_xlnm.Print_Area" localSheetId="0">'Control Panel'!$T$1:$X$29</definedName>
    <definedName name="_xlnm.Print_Area" localSheetId="15">'Corporate Overhead'!$A$1:$H$30</definedName>
    <definedName name="_xlnm.Print_Area" localSheetId="21">Donations!$T$1:$X$32</definedName>
    <definedName name="_xlnm.Print_Area" localSheetId="14">'ENERGY EFFICIENCY SERVICES ADJ'!$A$1:$H$25</definedName>
    <definedName name="_xlnm.Print_Area" localSheetId="6">EXPENSES!$G$138:$L$430</definedName>
    <definedName name="_xlnm.Print_Area" localSheetId="23">Incentive!$U$1:$AC$42</definedName>
    <definedName name="_xlnm.Print_Area" localSheetId="13">'Labor Forecast'!$A$1:$E$14</definedName>
    <definedName name="_xlnm.Print_Area" localSheetId="29">'Other Rev'!$B$1:$U$147</definedName>
    <definedName name="_xlnm.Print_Area" localSheetId="16">'Other Taxes'!$A$1:$S$31</definedName>
    <definedName name="_xlnm.Print_Area" localSheetId="5">'Rate Base'!$AU$5:$BA$279</definedName>
    <definedName name="_xlnm.Print_Area" localSheetId="8">'RB FORECAST'!$BA$10:$BA$283</definedName>
    <definedName name="_xlnm.Print_Area" localSheetId="1">Report!$A$1:$L$78</definedName>
    <definedName name="_xlnm.Print_Area" localSheetId="20">'RESERVE ACCRUAL'!$A$1:$H$26</definedName>
    <definedName name="_xlnm.Print_Area" localSheetId="25">Revenue!$A$1:$M$371</definedName>
    <definedName name="_xlnm.Print_Area" localSheetId="2">'ROR-Model'!$A$782:$W$795</definedName>
    <definedName name="_xlnm.Print_Area" localSheetId="24">'Sporting Events'!$A$1:$D$39</definedName>
    <definedName name="_xlnm.Print_Area" localSheetId="3">Summaries!$A$1:$AB$74</definedName>
    <definedName name="_xlnm.Print_Area" localSheetId="17">Taxes!$A$1:$G$76</definedName>
    <definedName name="_xlnm.Print_Area" localSheetId="34">'Transition Costs'!$A$1:$J$38</definedName>
    <definedName name="_xlnm.Print_Area" localSheetId="18">'Und Stor'!$A$1:$E$26</definedName>
    <definedName name="_xlnm.Print_Area" localSheetId="32">'Utah Allocation'!$A$1:$F$48</definedName>
    <definedName name="_xlnm.Print_Area" localSheetId="30">'Utah Bad Debt'!$A$1:$G$48</definedName>
    <definedName name="_xlnm.Print_Area" localSheetId="19">Wexpro!$A$1:$H$41</definedName>
    <definedName name="_xlnm.Print_Titles" localSheetId="4">Adjustments!$A:$E,Adjustments!$1:$9</definedName>
    <definedName name="_xlnm.Print_Titles" localSheetId="6">EXPENSES!$B:$E,EXPENSES!$1:$9</definedName>
    <definedName name="_xlnm.Print_Titles" localSheetId="29">'Other Rev'!$Y:$AB,'Other Rev'!$1:$10</definedName>
    <definedName name="_xlnm.Print_Titles" localSheetId="5">'Rate Base'!$AU:$AX,'Rate Base'!$1:$10</definedName>
    <definedName name="_xlnm.Print_Titles" localSheetId="8">'RB FORECAST'!$B:$E,'RB FORECAST'!$7:$11</definedName>
    <definedName name="_xlnm.Print_Titles" localSheetId="25">Revenue!$A:$D,Revenue!$1:$9</definedName>
    <definedName name="_xlnm.Print_Titles" localSheetId="2">'ROR-Model'!$A:$D,'ROR-Model'!$1:$13</definedName>
    <definedName name="_xlnm.Print_Titles" localSheetId="3">Summaries!$A:$E,Summaries!$1:$6</definedName>
    <definedName name="Proposed_BSF">#REF!</definedName>
    <definedName name="Proposed_FS">#REF!</definedName>
    <definedName name="Proposed_FT1">#REF!</definedName>
    <definedName name="Proposed_FT1_FirmDemandCharge">#REF!</definedName>
    <definedName name="Proposed_GS">#REF!</definedName>
    <definedName name="Proposed_IS">#REF!</definedName>
    <definedName name="Proposed_MT">#REF!</definedName>
    <definedName name="Proposed_NGV">#REF!</definedName>
    <definedName name="Proposed_TS">#REF!</definedName>
    <definedName name="Proposed_TS_FirmDemandCharge">#REF!</definedName>
    <definedName name="PT_OTH_REV_UT">'Other Rev'!$H$136</definedName>
    <definedName name="PT_OTH_REV_WY">'Other Rev'!$H$140</definedName>
    <definedName name="QGC_UTAH_Bad_Debt">'Utah Bad Debt'!$F$5:$H$39</definedName>
    <definedName name="range">#REF!</definedName>
    <definedName name="RateBaseFormula">'Utah Allocation'!$D$35:$F$35</definedName>
    <definedName name="RateBaseNumber">'Utah Allocation'!$D$34:$F$34</definedName>
    <definedName name="RateBaseScenarios">'Rate Base'!$AI$8:$AO$279</definedName>
    <definedName name="rates">#REF!</definedName>
    <definedName name="Rates_Exist_Prop_2016">#REF!</definedName>
    <definedName name="rates2">#REF!</definedName>
    <definedName name="report">Report!$A$1:$L$78</definedName>
    <definedName name="REPORT1">Report!$A$1:$J$78</definedName>
    <definedName name="RESERVE">'RESERVE ACCRUAL'!$A$1:$H$28</definedName>
    <definedName name="Reserve_Accrual_Adjustment">'RESERVE ACCRUAL'!$A$1:$H$30</definedName>
    <definedName name="RESERVEACCRUALSCENARIO">'RESERVE ACCRUAL'!$D$6:$G$73</definedName>
    <definedName name="RevenueScenarios">Revenue!$F$8:$H$452</definedName>
    <definedName name="SalesFormula">'Utah Allocation'!$D$46:$F$46</definedName>
    <definedName name="SalesNumber">'Utah Allocation'!$D$45:$F$45</definedName>
    <definedName name="Scenarios">'Control Panel'!$H$10:$O$96</definedName>
    <definedName name="se5ry">'[6]QUERY_FOR PIVOT'!$A$1:$H$15062</definedName>
    <definedName name="SNG_REV_ID">Revenue!$F$229</definedName>
    <definedName name="SNG_REV_UT">Revenue!$F$200</definedName>
    <definedName name="SNG_REV_WY">Revenue!$F$323</definedName>
    <definedName name="STOCKSUMMARY">#REF!</definedName>
    <definedName name="Summaries">Summaries!$A$1:$AB$74</definedName>
    <definedName name="SUMMER_UT_F1">#REF!</definedName>
    <definedName name="SUMMER_UT_GSC">#REF!</definedName>
    <definedName name="Summer_UT_GSR">#REF!</definedName>
    <definedName name="Summer_UT_GSS">#REF!</definedName>
    <definedName name="taxes">Taxes!$C$9:$E$75</definedName>
    <definedName name="TS_COMM_UT_PER1">[6]CRITERIA!$J$89:$Q$90</definedName>
    <definedName name="TS_COMM_UT_PER10">[6]CRITERIA!$CM$89:$CT$90</definedName>
    <definedName name="TS_COMM_UT_PER11">[6]CRITERIA!$CV$89:$DC$90</definedName>
    <definedName name="TS_COMM_UT_PER12">[6]CRITERIA!$DE$89:$DL$90</definedName>
    <definedName name="TS_COMM_UT_PER2">[6]CRITERIA!$S$89:$Z$90</definedName>
    <definedName name="TS_COMM_UT_PER3">[6]CRITERIA!$AB$89:$AI$90</definedName>
    <definedName name="TS_COMM_UT_PER4">[6]CRITERIA!$AK$89:$AR$90</definedName>
    <definedName name="TS_COMM_UT_PER5">[6]CRITERIA!$AT$89:$BA$90</definedName>
    <definedName name="TS_COMM_UT_PER6">[6]CRITERIA!$BC$89:$BJ$90</definedName>
    <definedName name="TS_COMM_UT_PER7">[6]CRITERIA!$BL$89:$BS$90</definedName>
    <definedName name="TS_COMM_UT_PER8">[6]CRITERIA!$BU$89:$CB$90</definedName>
    <definedName name="TS_COMM_UT_PER9">[6]CRITERIA!$CD$89:$CK$90</definedName>
    <definedName name="TS_DNG_UT_PER1">[6]CRITERIA!$J$92:$Q$93</definedName>
    <definedName name="TS_DNG_UT_PER10">[6]CRITERIA!$CM$92:$CT$93</definedName>
    <definedName name="TS_DNG_UT_PER11">[6]CRITERIA!$CV$92:$DC$93</definedName>
    <definedName name="TS_DNG_UT_PER12">[6]CRITERIA!$DE$92:$DL$93</definedName>
    <definedName name="TS_DNG_UT_PER2">[6]CRITERIA!$S$92:$Z$93</definedName>
    <definedName name="TS_DNG_UT_PER3">[6]CRITERIA!$AB$92:$AI$93</definedName>
    <definedName name="TS_DNG_UT_PER4">[6]CRITERIA!$AK$92:$AR$93</definedName>
    <definedName name="TS_DNG_UT_PER5">[6]CRITERIA!$AT$92:$BA$93</definedName>
    <definedName name="TS_DNG_UT_PER6">[6]CRITERIA!$BC$92:$BJ$93</definedName>
    <definedName name="TS_DNG_UT_PER7">[6]CRITERIA!$BL$92:$BS$93</definedName>
    <definedName name="TS_DNG_UT_PER8">[6]CRITERIA!$BU$92:$CB$93</definedName>
    <definedName name="TS_DNG_UT_PER9">[6]CRITERIA!$CD$92:$CK$93</definedName>
    <definedName name="TS_FL_UT_PER1">[7]CRITERIA!$J$205:$Q$206</definedName>
    <definedName name="TS_FL_UT_PER10">[7]CRITERIA!$CM$205:$CT$206</definedName>
    <definedName name="TS_FL_UT_PER11">[7]CRITERIA!$CV$205:$DC$206</definedName>
    <definedName name="TS_FL_UT_PER12">[7]CRITERIA!$DE$205:$DL$206</definedName>
    <definedName name="TS_FL_UT_PER2">[7]CRITERIA!$S$205:$Z$206</definedName>
    <definedName name="TS_FL_UT_PER3">[7]CRITERIA!$AB$205:$AI$206</definedName>
    <definedName name="TS_FL_UT_PER4">[7]CRITERIA!$AK$205:$AR$206</definedName>
    <definedName name="TS_FL_UT_PER5">[7]CRITERIA!$AT$205:$BA$206</definedName>
    <definedName name="TS_FL_UT_PER6">[7]CRITERIA!$BC$205:$BJ$206</definedName>
    <definedName name="TS_FL_UT_PER7">[7]CRITERIA!$BL$205:$BS$206</definedName>
    <definedName name="TS_FL_UT_PER8">[7]CRITERIA!$BU$205:$CB$206</definedName>
    <definedName name="TS_FL_UT_PER9">[7]CRITERIA!$CD$205:$CK$206</definedName>
    <definedName name="UNDERGROUND_STORAGE">'Und Stor'!$D$11:$G$24</definedName>
    <definedName name="UNDERGROUND_STORAGE_RANGE">'Und Stor'!$D$11:$E$24</definedName>
    <definedName name="UT_CIS_PER1">[6]CRITERIA!$J$190:$Q$191</definedName>
    <definedName name="UT_CIS_PER10">[6]CRITERIA!$CM$190:$CT$191</definedName>
    <definedName name="UT_CIS_PER11">[6]CRITERIA!$CV$190:$DC$191</definedName>
    <definedName name="UT_CIS_PER12">[6]CRITERIA!$DE$190:$DL$191</definedName>
    <definedName name="UT_CIS_PER2">[6]CRITERIA!$S$190:$Z$191</definedName>
    <definedName name="UT_CIS_PER3">[6]CRITERIA!$AB$190:$AI$191</definedName>
    <definedName name="UT_CIS_PER4">[6]CRITERIA!$AK$190:$AR$191</definedName>
    <definedName name="UT_CIS_PER5">[6]CRITERIA!$AT$190:$BA$191</definedName>
    <definedName name="UT_CIS_PER6">[6]CRITERIA!$BC$190:$BJ$191</definedName>
    <definedName name="UT_CIS_PER7">[6]CRITERIA!$BL$190:$BS$191</definedName>
    <definedName name="UT_CIS_PER8">[6]CRITERIA!$BU$190:$CB$191</definedName>
    <definedName name="UT_CIS_PER9">[6]CRITERIA!$CD$190:$CK$191</definedName>
    <definedName name="UT_E1">#REF!</definedName>
    <definedName name="UT_F1">#REF!</definedName>
    <definedName name="UT_F1_SUMMER">[3]Criteria!$E$10:$G$17</definedName>
    <definedName name="UT_F1_WINTER">[3]Criteria!$E$2:$G$7</definedName>
    <definedName name="UT_F1E">#REF!</definedName>
    <definedName name="UT_F1E_SUMMER">[3]Criteria!$E$28:$G$35</definedName>
    <definedName name="UT_F1E_WINTER">[3]Criteria!$E$20:$G$25</definedName>
    <definedName name="UT_F4">#REF!</definedName>
    <definedName name="UT_FS">#REF!</definedName>
    <definedName name="UT_FT1">#REF!</definedName>
    <definedName name="UT_FT1L">#REF!</definedName>
    <definedName name="UT_FT2">#REF!</definedName>
    <definedName name="UT_FT2C">#REF!</definedName>
    <definedName name="UT_FTE">#REF!</definedName>
    <definedName name="UT_GS_SUMMER">[3]Criteria!$A$10:$C$17</definedName>
    <definedName name="UT_GS_WINTER">[3]Criteria!$A$2:$C$7</definedName>
    <definedName name="UT_GSC">#REF!</definedName>
    <definedName name="UT_GSC_SUMMER">[10]Criteria!$E$38:$G$45</definedName>
    <definedName name="UT_GSC_WINTER">[10]Criteria!$A$38:$C$43</definedName>
    <definedName name="UT_GSR">#REF!</definedName>
    <definedName name="UT_GSR_SUMMER">[10]Criteria!$A$10:$C$17</definedName>
    <definedName name="UT_GSR_WINTER">[10]Criteria!$A$2:$C$7</definedName>
    <definedName name="UT_GSS">#REF!</definedName>
    <definedName name="UT_GSS_SUMMER">[3]Criteria!$A$28:$C$35</definedName>
    <definedName name="UT_GSS_WINTER">[3]Criteria!$A$20:$C$25</definedName>
    <definedName name="UT_I2">[3]Criteria!$L$2:$M$3</definedName>
    <definedName name="UT_I2I4">#REF!</definedName>
    <definedName name="UT_I4">[3]Criteria!$L$6:$M$7</definedName>
    <definedName name="UT_IS2">[3]Criteria!$L$10:$M$11</definedName>
    <definedName name="UT_IS2IS4">#REF!</definedName>
    <definedName name="UT_IS4">[3]Criteria!$L$14:$M$15</definedName>
    <definedName name="UT_IT">#REF!</definedName>
    <definedName name="UT_IT2">[3]Criteria!$L$22:$M$23</definedName>
    <definedName name="UT_ITS">#REF!</definedName>
    <definedName name="UT_MT">#REF!</definedName>
    <definedName name="UT_NGV">#REF!</definedName>
    <definedName name="UT_T1">#REF!</definedName>
    <definedName name="UT_TSP">#REF!</definedName>
    <definedName name="Utah_Rates">'[2]NGV RATES'!$B$3:$U$6</definedName>
    <definedName name="UTAHSUMMARY">Summaries!$G$1:$V$74</definedName>
    <definedName name="UTCUSTOMERS">[4]CRITERIA!$B$447:$D$448</definedName>
    <definedName name="UTE1CUSTOMERS">[4]CRITERIA!$B$354:$D$355</definedName>
    <definedName name="UTE1DNG">[5]CRITERIA!$B$285:$D$286</definedName>
    <definedName name="UTE1DTH">[5]CRITERIA!$B$282:$D$283</definedName>
    <definedName name="UTE1GAS">[5]CRITERIA!$B$291:$D$292</definedName>
    <definedName name="UTE1SNG">[5]CRITERIA!$B$288:$D$289</definedName>
    <definedName name="UTF1CUSTOMERS">[4]CRITERIA!$B$61:$D$65</definedName>
    <definedName name="UTF1DNG">[5]CRITERIA!$B$71:$D$72</definedName>
    <definedName name="UTF1DTH">[5]CRITERIA!$B$68:$D$69</definedName>
    <definedName name="UTF1EDNG">[5]CRITERIA!$B$178:$D$179</definedName>
    <definedName name="UTF1EDTH">[5]CRITERIA!$B$175:$D$176</definedName>
    <definedName name="UTF1EGAS">[5]CRITERIA!$B$184:$D$185</definedName>
    <definedName name="UTF1ESNG">[5]CRITERIA!$B$181:$D$182</definedName>
    <definedName name="UTF1GAS">[5]CRITERIA!$B$77:$D$78</definedName>
    <definedName name="UTF1SNG">[5]CRITERIA!$B$74:$D$75</definedName>
    <definedName name="UTF3CUSTOMERS">[4]CRITERIA!$B$106:$D$107</definedName>
    <definedName name="UTF3DNG">[5]CRITERIA!$B$105:$D$106</definedName>
    <definedName name="UTF3DTH">[5]CRITERIA!$B$102:$D$103</definedName>
    <definedName name="UTF3GAS">[5]CRITERIA!$B$111:$D$112</definedName>
    <definedName name="UTF3SNG">[5]CRITERIA!$B$108:$D$109</definedName>
    <definedName name="UTF4CUSTOMERS">[4]CRITERIA!$B$122:$D$123</definedName>
    <definedName name="UTF4DNG">[4]CRITERIA!$B$125:$D$126</definedName>
    <definedName name="UTF4DTH">[4]CRITERIA!$B$119:$D$120</definedName>
    <definedName name="UTF4GAS">[4]CRITERIA!$B$131:$D$132</definedName>
    <definedName name="UTF4SNG">[4]CRITERIA!$B$128:$D$129</definedName>
    <definedName name="UTFS">#REF!</definedName>
    <definedName name="UTFS_Winter">#REF!</definedName>
    <definedName name="UTFS_Winter1">#REF!</definedName>
    <definedName name="UTFS_Winter11">#REF!</definedName>
    <definedName name="UTFS_Winter12">#REF!</definedName>
    <definedName name="UTFS_Winter2">#REF!</definedName>
    <definedName name="UTFS_Winter3">#REF!</definedName>
    <definedName name="UTFT1">#REF!</definedName>
    <definedName name="UTFT1CUSTOMERS">[4]CRITERIA!$B$254:$D$256</definedName>
    <definedName name="UTFT1DNG">[5]CRITERIA!$B$230:$D$232</definedName>
    <definedName name="UTFT1DTH">[5]CRITERIA!$B$226:$D$228</definedName>
    <definedName name="UTFT1GAS">[5]CRITERIA!$B$238:$D$240</definedName>
    <definedName name="UTFT1L">#REF!</definedName>
    <definedName name="UTFT1LDNG">[4]CRITERIA!$B$277:$D$278</definedName>
    <definedName name="UTFT1LDTH">[4]CRITERIA!$B$271:$D$272</definedName>
    <definedName name="UTFT1LGAS">[4]CRITERIA!$B$283:$D$284</definedName>
    <definedName name="UTFT1LSNG">[4]CRITERIA!$B$280:$D$281</definedName>
    <definedName name="UTFT1SNG">[5]CRITERIA!$B$234:$D$236</definedName>
    <definedName name="UTFT2CCUSTOMERS">[4]CRITERIA!$B$306:$D$307</definedName>
    <definedName name="UTFT2CDNG">[4]CRITERIA!$B$309:$D$310</definedName>
    <definedName name="UTFT2CDTH">[4]CRITERIA!$B$303:$D$304</definedName>
    <definedName name="UTFT2CGAS">[4]CRITERIA!$B$315:$D$316</definedName>
    <definedName name="UTFT2CSNG">[4]CRITERIA!$B$312:$D$313</definedName>
    <definedName name="UTFT2CUSTOMERS">[4]CRITERIA!$B$290:$D$291</definedName>
    <definedName name="UTFT2DNG">[5]CRITERIA!$B$246:$D$247</definedName>
    <definedName name="UTFT2DTH">[5]CRITERIA!$B$243:$D$244</definedName>
    <definedName name="UTFT2GAS">[5]CRITERIA!$B$252:$D$253</definedName>
    <definedName name="UTFT2SNG">[5]CRITERIA!$B$249:$D$250</definedName>
    <definedName name="UTFTECUSTOMERS">[4]CRITERIA!$B$322:$D$323</definedName>
    <definedName name="UTFTEDNG">[5]CRITERIA!$B$259:$D$260</definedName>
    <definedName name="UTFTEDTH">[5]CRITERIA!$B$256:$D$257</definedName>
    <definedName name="UTFTEGAS">[5]CRITERIA!$B$265:$D$266</definedName>
    <definedName name="UTFTESNG">[5]CRITERIA!$B$262:$D$263</definedName>
    <definedName name="UTGS">#REF!</definedName>
    <definedName name="UTGS_Winter">#REF!</definedName>
    <definedName name="UTGS_Winter1">#REF!</definedName>
    <definedName name="UTGS_Winter11">#REF!</definedName>
    <definedName name="UTGS_Winter12">#REF!</definedName>
    <definedName name="UTGS_Winter2">#REF!</definedName>
    <definedName name="utgs_winter3">#REF!</definedName>
    <definedName name="UTGSCDNG">[4]CRITERIA!$B$29:$D$30</definedName>
    <definedName name="UTGSCDTH">[4]CRITERIA!$B$23:$D$24</definedName>
    <definedName name="UTGSCGAS">[4]CRITERIA!$B$35:$D$36</definedName>
    <definedName name="UTGSCSNG">[4]CRITERIA!$B$32:$D$33</definedName>
    <definedName name="UTGSCST">[5]CRITERIA!$B$10:$D$11</definedName>
    <definedName name="UTGSCUSTOMERS">[4]CRITERIA!$B$10:$D$11</definedName>
    <definedName name="UTGSDNG">[5]CRITERIA!$B$13:$D$14</definedName>
    <definedName name="UTGSDTH">[5]CRITERIA!$B$7:$D$8</definedName>
    <definedName name="UTGSECST">[5]CRITERIA!$B$31:$D$32</definedName>
    <definedName name="UTGSEDNG">[5]CRITERIA!$B$34:$D$35</definedName>
    <definedName name="UTGSEDTH">[5]CRITERIA!$B$28:$D$29</definedName>
    <definedName name="UTGSEGAS">[5]CRITERIA!$B$40:$D$41</definedName>
    <definedName name="UTGSESIF">[5]CRITERIA!$B$43:$D$44</definedName>
    <definedName name="UTGSESNG">[5]CRITERIA!$B$37:$D$38</definedName>
    <definedName name="UTGSGAS">[5]CRITERIA!$B$19:$D$20</definedName>
    <definedName name="UTGSRDNG">[4]CRITERIA!$F$13:$H$14</definedName>
    <definedName name="UTGSRDTH">[4]CRITERIA!$F$7:$H$8</definedName>
    <definedName name="UTGSRGAS">[4]CRITERIA!$F$19:$H$20</definedName>
    <definedName name="UTGSRSNG">[4]CRITERIA!$F$16:$H$17</definedName>
    <definedName name="UTGSSCST">[5]CRITERIA!$B$51:$D$52</definedName>
    <definedName name="UTGSSCUSTOMERS">[4]CRITERIA!$B$42:$D$43</definedName>
    <definedName name="UTGSSDNG">[5]CRITERIA!$B$54:$D$55</definedName>
    <definedName name="UTGSSDTH">[5]CRITERIA!$B$48:$D$49</definedName>
    <definedName name="UTGSSGAS">[5]CRITERIA!$B$60:$D$61</definedName>
    <definedName name="UTGSSIF">[5]CRITERIA!$B$23:$D$24</definedName>
    <definedName name="UTGSSNG">[5]CRITERIA!$B$16:$D$17</definedName>
    <definedName name="UTGSSSIF">[5]CRITERIA!$B$63:$D$64</definedName>
    <definedName name="UTGSSSNG">[5]CRITERIA!$B$57:$D$58</definedName>
    <definedName name="UTI2CUSTOMERS">[4]CRITERIA!$B$139:$D$140</definedName>
    <definedName name="UTI2DNG">[5]CRITERIA!$B$132:$D$134</definedName>
    <definedName name="UTI2DTH">[5]CRITERIA!$B$128:$D$130</definedName>
    <definedName name="UTI2GAS">[5]CRITERIA!$B$140:$D$142</definedName>
    <definedName name="UTI2SNG">[5]CRITERIA!$B$136:$D$138</definedName>
    <definedName name="UTI4CUSTOMERS">[4]CRITERIA!$B$420:$D$423</definedName>
    <definedName name="UTI4DNG">[5]CRITERIA!$B$342:$D$343</definedName>
    <definedName name="UTI4DTH">[5]CRITERIA!$B$339:$D$340</definedName>
    <definedName name="UTI4GAS">[5]CRITERIA!$B$348:$D$349</definedName>
    <definedName name="UTI4SNG">[5]CRITERIA!$B$345:$D$346</definedName>
    <definedName name="UTIS">#REF!</definedName>
    <definedName name="UTIS2CUSTOMERS">[4]CRITERIA!$B$159:$D$161</definedName>
    <definedName name="UTIS2DNG">[5]CRITERIA!$B$149:$D$151</definedName>
    <definedName name="UTIS2DTH">[5]CRITERIA!$B$145:$D$147</definedName>
    <definedName name="UTIS2GAS">[5]CRITERIA!$B$157:$D$159</definedName>
    <definedName name="UTIS2SNG">[5]CRITERIA!$B$153:$D$155</definedName>
    <definedName name="UTIS4CUSTOMERS">[4]CRITERIA!$B$179:$D$180</definedName>
    <definedName name="UTIS4DNG">[5]CRITERIA!$B$165:$D$166</definedName>
    <definedName name="UTIS4DTH">[5]CRITERIA!$B$162:$D$163</definedName>
    <definedName name="UTIS4GAS">[5]CRITERIA!$B$171:$D$172</definedName>
    <definedName name="UTIS4SNG">[5]CRITERIA!$B$168:$D$169</definedName>
    <definedName name="UTITCUSTOMERS">[4]CRITERIA!$B$213:$D$216</definedName>
    <definedName name="UTITDNG">[5]CRITERIA!$B$196:$D$198</definedName>
    <definedName name="UTITDTH">[5]CRITERIA!$B$192:$D$194</definedName>
    <definedName name="UTITGAS">[5]CRITERIA!$B$204:$D$206</definedName>
    <definedName name="UTITSCUSTOMERS">[4]CRITERIA!$B$237:$D$238</definedName>
    <definedName name="UTITSDNG">[5]CRITERIA!$B$213:$D$215</definedName>
    <definedName name="UTITSDTH">[5]CRITERIA!$B$209:$D$211</definedName>
    <definedName name="UTITSGAS">[5]CRITERIA!$B$221:$D$223</definedName>
    <definedName name="UTITSNG">[5]CRITERIA!$B$200:$D$202</definedName>
    <definedName name="UTITSSNG">[5]CRITERIA!$B$217:$D$219</definedName>
    <definedName name="UTMT">#REF!</definedName>
    <definedName name="UTMTCUSTOMERS">[4]CRITERIA!$B$338:$D$339</definedName>
    <definedName name="UTMTDNG">[5]CRITERIA!$B$272:$D$273</definedName>
    <definedName name="UTMTDTH">[5]CRITERIA!$B$269:$D$270</definedName>
    <definedName name="UTMTGAS">[5]CRITERIA!$B$278:$D$279</definedName>
    <definedName name="UTMTSNG">[5]CRITERIA!$B$275:$D$276</definedName>
    <definedName name="UTNGV">#REF!</definedName>
    <definedName name="UTNGVCUSTOMERS">[4]CRITERIA!$B$90:$D$91</definedName>
    <definedName name="UTNGVDNG">[5]CRITERIA!$B$88:$D$89</definedName>
    <definedName name="UTNGVDTH">[5]CRITERIA!$B$85:$D$86</definedName>
    <definedName name="UTNGVGAS">[5]CRITERIA!$B$94:$D$95</definedName>
    <definedName name="UTNGVSNG">[5]CRITERIA!$B$91:$D$92</definedName>
    <definedName name="UTP1CUSTOMERS">[4]CRITERIA!$B$370:$D$371</definedName>
    <definedName name="UTP1DNG">[5]CRITERIA!$B$303:$D$304</definedName>
    <definedName name="UTP1DTH">[5]CRITERIA!$B$300:$D$301</definedName>
    <definedName name="UTP1GAS">[5]CRITERIA!$B$309:$D$310</definedName>
    <definedName name="UTP1SNG">[5]CRITERIA!$B$306:$D$307</definedName>
    <definedName name="UTTS">#REF!</definedName>
    <definedName name="UTTSP">#REF!</definedName>
    <definedName name="WEX_ADJ_101_PROD">Wexpro!$H$12</definedName>
    <definedName name="WEX_ADJ_108_PROD">Wexpro!$H$22</definedName>
    <definedName name="WEX_ADJ_111_PROD">Wexpro!$H$23</definedName>
    <definedName name="WINTER_UT_F1">#REF!</definedName>
    <definedName name="WINTER_UT_GSC">#REF!</definedName>
    <definedName name="Winter_UT_GSR">#REF!</definedName>
    <definedName name="Winter_UT_GSS">#REF!</definedName>
    <definedName name="WY_CET_PER1">[6]CRITERIA!$J$184:$Q$185</definedName>
    <definedName name="WY_CET_PER10">[6]CRITERIA!$CM$184:$CT$185</definedName>
    <definedName name="WY_CET_PER11">[6]CRITERIA!$CV$184:$DC$185</definedName>
    <definedName name="WY_CET_PER12">[6]CRITERIA!$DE$184:$DL$185</definedName>
    <definedName name="WY_CET_PER2">[6]CRITERIA!$S$184:$Z$185</definedName>
    <definedName name="WY_CET_PER3">[6]CRITERIA!$AB$184:$AI$185</definedName>
    <definedName name="WY_CET_PER4">[6]CRITERIA!$AK$184:$AR$185</definedName>
    <definedName name="WY_CET_PER5">[6]CRITERIA!$AT$184:$BA$185</definedName>
    <definedName name="WY_CET_PER6">[6]CRITERIA!$BC$184:$BJ$185</definedName>
    <definedName name="WY_CET_PER7">[6]CRITERIA!$BL$184:$BS$185</definedName>
    <definedName name="WY_CET_PER8">[6]CRITERIA!$BU$184:$CB$185</definedName>
    <definedName name="WY_CET_PER9">[6]CRITERIA!$CD$184:$CK$185</definedName>
    <definedName name="WY_CIS_PER1">[7]CRITERIA!$J$211:$Q$212</definedName>
    <definedName name="WY_CIS_PER10">[7]CRITERIA!$CM$211:$CT$212</definedName>
    <definedName name="WY_CIS_PER11">[7]CRITERIA!$CV$211:$DC$212</definedName>
    <definedName name="WY_CIS_PER12">[7]CRITERIA!$DE$211:$DL$212</definedName>
    <definedName name="WY_CIS_PER2">[7]CRITERIA!$S$211:$Z$212</definedName>
    <definedName name="WY_CIS_PER3">[7]CRITERIA!$AB$211:$AI$212</definedName>
    <definedName name="WY_CIS_PER4">[7]CRITERIA!$AK$211:$AR$212</definedName>
    <definedName name="WY_CIS_PER5">[7]CRITERIA!$AT$211:$BA$212</definedName>
    <definedName name="WY_CIS_PER6">[7]CRITERIA!$BC$211:$BJ$212</definedName>
    <definedName name="WY_CIS_PER7">[7]CRITERIA!$BL$211:$BS$212</definedName>
    <definedName name="WY_CIS_PER8">[7]CRITERIA!$BU$211:$CB$212</definedName>
    <definedName name="WY_CIS_PER9">[7]CRITERIA!$CD$211:$CK$212</definedName>
    <definedName name="WY_DSM_PER1">[6]CRITERIA!$J$187:$Q$188</definedName>
    <definedName name="WY_DSM_PER10">[6]CRITERIA!$CM$187:$CT$188</definedName>
    <definedName name="WY_DSM_PER11">[6]CRITERIA!$CV$187:$DC$188</definedName>
    <definedName name="WY_DSM_PER12">[6]CRITERIA!$DE$187:$DL$188</definedName>
    <definedName name="WY_DSM_PER2">[6]CRITERIA!$S$187:$Z$188</definedName>
    <definedName name="WY_DSM_PER3">[6]CRITERIA!$AB$187:$AI$188</definedName>
    <definedName name="WY_DSM_PER4">[6]CRITERIA!$AK$187:$AR$188</definedName>
    <definedName name="WY_DSM_PER5">[6]CRITERIA!$AT$187:$BA$188</definedName>
    <definedName name="WY_DSM_PER6">[6]CRITERIA!$BC$187:$BJ$188</definedName>
    <definedName name="WY_DSM_PER7">[6]CRITERIA!$BL$187:$BS$188</definedName>
    <definedName name="WY_DSM_PER8">[6]CRITERIA!$BU$187:$CB$188</definedName>
    <definedName name="WY_DSM_PER9">[6]CRITERIA!$CD$187:$CK$188</definedName>
    <definedName name="WY_F1">[3]Criteria!$O$10:$P$11</definedName>
    <definedName name="WY_GS">[3]Criteria!$O$2:$P$3</definedName>
    <definedName name="WY_GSW">[3]Criteria!$O$14:$P$15</definedName>
    <definedName name="WY_I2">[3]Criteria!$Q$2:$R$3</definedName>
    <definedName name="WY_I4">[3]Criteria!$Q$6:$R$7</definedName>
    <definedName name="WY_IC">[3]Criteria!$Q$10:$R$11</definedName>
    <definedName name="WY_IC1">[3]Criteria!$Q$14:$R$15</definedName>
    <definedName name="WY_IC2">[3]Criteria!$Q$18:$R$19</definedName>
    <definedName name="WY_IC3">[3]Criteria!$Q$14:$R$15</definedName>
    <definedName name="WY_IC8">[3]Criteria!$Q$18:$R$19</definedName>
    <definedName name="WY_IT">[3]Criteria!$Q$22:$R$23</definedName>
    <definedName name="WY_NGV">[3]Criteria!$O$6:$P$7</definedName>
    <definedName name="WYCUSTOMERS">[4]CRITERIA!$B$677:$D$678</definedName>
    <definedName name="WYF1CUSTOMERS">[4]CRITERIA!$B$515:$D$519</definedName>
    <definedName name="WYF1DNG">[5]CRITERIA!$B$413:$D$414</definedName>
    <definedName name="WYF1DTH">[5]CRITERIA!$B$410:$D$411</definedName>
    <definedName name="WYF1GAS">[5]CRITERIA!$B$416:$D$417</definedName>
    <definedName name="WYGSCUSTOMERS">[4]CRITERIA!$B$499:$D$500</definedName>
    <definedName name="WYGSDNG">[5]CRITERIA!$B$400:$D$401</definedName>
    <definedName name="WYGSDTH">[5]CRITERIA!$B$397:$D$398</definedName>
    <definedName name="WYGSGAS">[5]CRITERIA!$B$403:$D$404</definedName>
    <definedName name="WYGSSIF">[5]CRITERIA!$B$406:$D$407</definedName>
    <definedName name="WYGSWCUSTOMERS">[4]CRITERIA!$B$550:$D$551</definedName>
    <definedName name="WYGSWDNG">[5]CRITERIA!$B$433:$D$434</definedName>
    <definedName name="WYGSWDTH">[5]CRITERIA!$B$430:$D$431</definedName>
    <definedName name="WYGSWGAS">[5]CRITERIA!$B$436:$D$437</definedName>
    <definedName name="WYI2CUSTOMERS">[4]CRITERIA!$B$589:$D$590</definedName>
    <definedName name="WYI2DNG">[5]CRITERIA!$B$463:$D$464</definedName>
    <definedName name="WYI2DTH">[5]CRITERIA!$B$460:$D$461</definedName>
    <definedName name="WYI2GAS">[5]CRITERIA!$B$469:$D$470</definedName>
    <definedName name="WYI2SNG">[5]CRITERIA!$B$466:$D$467</definedName>
    <definedName name="WYI4CUSTOMERS">[4]CRITERIA!$B$606:$D$608</definedName>
    <definedName name="WYI4DNG">[5]CRITERIA!$B$476:$D$477</definedName>
    <definedName name="WYI4DTH">[5]CRITERIA!$B$473:$D$474</definedName>
    <definedName name="WYI4GAS">[5]CRITERIA!$B$482:$D$483</definedName>
    <definedName name="WYI4SNG">[5]CRITERIA!$B$479:$D$480</definedName>
    <definedName name="WYICCUSTOMERS">[4]CRITERIA!$B$647:$D$652</definedName>
    <definedName name="WYICDNG">[5]CRITERIA!$B$506:$D$511</definedName>
    <definedName name="WYICDTH">[5]CRITERIA!$B$499:$D$504</definedName>
    <definedName name="WYICGAS">[5]CRITERIA!$B$513:$D$520</definedName>
    <definedName name="WYICSDNG">[5]CRITERIA!$B$453:$D$454</definedName>
    <definedName name="WYICSDTH">[5]CRITERIA!$B$450:$D$451</definedName>
    <definedName name="WYICSGAS">[5]CRITERIA!$B$456:$D$457</definedName>
    <definedName name="WYITCUSTOMERS">[4]CRITERIA!$B$627:$D$629</definedName>
    <definedName name="WYITDNG">[5]CRITERIA!$B$490:$D$492</definedName>
    <definedName name="WYITDTH">[5]CRITERIA!$B$486:$D$488</definedName>
    <definedName name="WYITGAS">[5]CRITERIA!$B$494:$D$496</definedName>
    <definedName name="Wym_Rates">'[2]NGV RATES'!$B$11:$U$13</definedName>
    <definedName name="WYNGVCUSTOMERS">[4]CRITERIA!$B$537:$D$538</definedName>
    <definedName name="WYNGVDNG">[5]CRITERIA!$B$423:$D$424</definedName>
    <definedName name="WYNGVDTH">[5]CRITERIA!$B$420:$D$421</definedName>
    <definedName name="WYNGVGAS">[5]CRITERIA!$B$426:$D$427</definedName>
    <definedName name="X">[2]CRITERIA!$J$3:$Q$4</definedName>
  </definedNames>
  <calcPr calcId="152511"/>
  <fileRecoveryPr autoRecover="0"/>
</workbook>
</file>

<file path=xl/calcChain.xml><?xml version="1.0" encoding="utf-8"?>
<calcChain xmlns="http://schemas.openxmlformats.org/spreadsheetml/2006/main">
  <c r="T4" i="5" l="1"/>
  <c r="U4" i="5"/>
  <c r="V4" i="5"/>
  <c r="W4" i="5"/>
  <c r="X4" i="5"/>
  <c r="Y4" i="5"/>
  <c r="T11" i="5"/>
  <c r="T16" i="5" s="1"/>
  <c r="T12" i="5"/>
  <c r="T13" i="5"/>
  <c r="T14" i="5"/>
  <c r="T15" i="5"/>
  <c r="T20" i="5"/>
  <c r="T22" i="5" s="1"/>
  <c r="T21" i="5"/>
  <c r="T24" i="5"/>
  <c r="T25" i="5"/>
  <c r="T26" i="5" s="1"/>
  <c r="T29" i="5"/>
  <c r="T30" i="5"/>
  <c r="T31" i="5"/>
  <c r="T32" i="5"/>
  <c r="T37" i="5"/>
  <c r="T38" i="5"/>
  <c r="T52" i="5"/>
  <c r="T53" i="5"/>
  <c r="T54" i="5"/>
  <c r="T55" i="5"/>
  <c r="T56" i="5"/>
  <c r="T57" i="5"/>
  <c r="U57" i="5"/>
  <c r="V57" i="5"/>
  <c r="W57" i="5"/>
  <c r="X57" i="5"/>
  <c r="Y57" i="5"/>
  <c r="T58" i="5"/>
  <c r="T61" i="5"/>
  <c r="T62" i="5"/>
  <c r="T63" i="5"/>
  <c r="T64" i="5"/>
  <c r="T65" i="5"/>
  <c r="T66" i="5"/>
  <c r="T67" i="5"/>
  <c r="T68" i="5"/>
  <c r="T69" i="5"/>
  <c r="M18" i="671" l="1"/>
  <c r="M19" i="671" s="1"/>
  <c r="M20" i="671" s="1"/>
  <c r="M21" i="671" s="1"/>
  <c r="M22" i="671" s="1"/>
  <c r="M23" i="671" s="1"/>
  <c r="M24" i="671" s="1"/>
  <c r="M25" i="671" s="1"/>
  <c r="M26" i="671" s="1"/>
  <c r="M27" i="671" s="1"/>
  <c r="M17" i="671"/>
  <c r="I25" i="671"/>
  <c r="I18" i="671"/>
  <c r="I19" i="671"/>
  <c r="H20" i="15"/>
  <c r="G20" i="15"/>
  <c r="T20" i="670"/>
  <c r="T15" i="663"/>
  <c r="T20" i="663"/>
  <c r="T15" i="670"/>
  <c r="U20" i="670"/>
  <c r="G15" i="15" l="1"/>
  <c r="Z6" i="670" l="1"/>
  <c r="H49" i="648" l="1"/>
  <c r="G49" i="648"/>
  <c r="M89" i="648"/>
  <c r="N70" i="648"/>
  <c r="Q61" i="648"/>
  <c r="Q60" i="648"/>
  <c r="M36" i="648" s="1"/>
  <c r="M40" i="648" s="1"/>
  <c r="N36" i="648"/>
  <c r="N40" i="648" s="1"/>
  <c r="S24" i="648"/>
  <c r="R24" i="648"/>
  <c r="T24" i="648" s="1"/>
  <c r="N23" i="648"/>
  <c r="P23" i="648" s="1"/>
  <c r="S22" i="648"/>
  <c r="N22" i="648"/>
  <c r="P22" i="648" s="1"/>
  <c r="N21" i="648"/>
  <c r="P21" i="648" s="1"/>
  <c r="M20" i="648"/>
  <c r="N20" i="648" s="1"/>
  <c r="M19" i="648"/>
  <c r="N19" i="648" s="1"/>
  <c r="N18" i="648"/>
  <c r="S18" i="648" s="1"/>
  <c r="M13" i="648"/>
  <c r="L13" i="648"/>
  <c r="N12" i="648"/>
  <c r="N11" i="648"/>
  <c r="N10" i="648"/>
  <c r="P10" i="648" s="1"/>
  <c r="V9" i="648"/>
  <c r="V24" i="648" s="1"/>
  <c r="U9" i="648"/>
  <c r="U24" i="648" s="1"/>
  <c r="N9" i="648"/>
  <c r="P9" i="648" s="1"/>
  <c r="N8" i="648"/>
  <c r="P8" i="648" s="1"/>
  <c r="R21" i="648" l="1"/>
  <c r="O36" i="648"/>
  <c r="S21" i="648"/>
  <c r="S23" i="648"/>
  <c r="N13" i="648"/>
  <c r="R22" i="648"/>
  <c r="T22" i="648" s="1"/>
  <c r="R23" i="648"/>
  <c r="T23" i="648" s="1"/>
  <c r="R20" i="648"/>
  <c r="P20" i="648"/>
  <c r="S20" i="648"/>
  <c r="V22" i="648"/>
  <c r="U22" i="648"/>
  <c r="W22" i="648" s="1"/>
  <c r="O40" i="648"/>
  <c r="S11" i="648"/>
  <c r="P12" i="648"/>
  <c r="V21" i="648"/>
  <c r="U21" i="648"/>
  <c r="W21" i="648" s="1"/>
  <c r="W24" i="648"/>
  <c r="R11" i="648"/>
  <c r="T9" i="648"/>
  <c r="P11" i="648"/>
  <c r="S19" i="648"/>
  <c r="R19" i="648"/>
  <c r="P19" i="648"/>
  <c r="V23" i="648"/>
  <c r="U23" i="648"/>
  <c r="P18" i="648"/>
  <c r="R18" i="648"/>
  <c r="T18" i="648" s="1"/>
  <c r="W23" i="648" l="1"/>
  <c r="T21" i="648"/>
  <c r="U11" i="648"/>
  <c r="W9" i="648"/>
  <c r="P13" i="648"/>
  <c r="V20" i="648"/>
  <c r="U20" i="648"/>
  <c r="W20" i="648" s="1"/>
  <c r="V18" i="648"/>
  <c r="U18" i="648"/>
  <c r="W18" i="648" s="1"/>
  <c r="V19" i="648"/>
  <c r="U19" i="648"/>
  <c r="V11" i="648"/>
  <c r="T20" i="648"/>
  <c r="T19" i="648"/>
  <c r="T11" i="648"/>
  <c r="W11" i="648" l="1"/>
  <c r="W19" i="648"/>
  <c r="G19" i="667"/>
  <c r="G21" i="653"/>
  <c r="I12" i="653" l="1"/>
  <c r="G12" i="653"/>
  <c r="I11" i="653"/>
  <c r="G11" i="653"/>
  <c r="G16" i="653" s="1"/>
  <c r="I10" i="653"/>
  <c r="G10" i="653"/>
  <c r="H10" i="653" s="1"/>
  <c r="K10" i="653" s="1"/>
  <c r="K9" i="653"/>
  <c r="J9" i="653"/>
  <c r="I9" i="653"/>
  <c r="H9" i="653"/>
  <c r="G9" i="653"/>
  <c r="G8" i="653"/>
  <c r="J7" i="653"/>
  <c r="I7" i="653"/>
  <c r="H7" i="653"/>
  <c r="K7" i="653" s="1"/>
  <c r="J5" i="653"/>
  <c r="I5" i="653"/>
  <c r="H5" i="653"/>
  <c r="K5" i="653" s="1"/>
  <c r="H19" i="667" s="1"/>
  <c r="J3" i="653"/>
  <c r="I3" i="653"/>
  <c r="H3" i="653"/>
  <c r="K3" i="653" s="1"/>
  <c r="G20" i="653" l="1"/>
  <c r="G22" i="653" s="1"/>
  <c r="G18" i="667"/>
  <c r="H16" i="653"/>
  <c r="H11" i="653"/>
  <c r="K11" i="653" s="1"/>
  <c r="J12" i="653"/>
  <c r="G17" i="653"/>
  <c r="J11" i="653"/>
  <c r="H8" i="653"/>
  <c r="G13" i="653"/>
  <c r="J10" i="653"/>
  <c r="H12" i="653"/>
  <c r="K12" i="653" s="1"/>
  <c r="AV751" i="651"/>
  <c r="AU751" i="651"/>
  <c r="AV747" i="651"/>
  <c r="AU747" i="651"/>
  <c r="AV743" i="651"/>
  <c r="AU743" i="651"/>
  <c r="AV739" i="651"/>
  <c r="AU739" i="651"/>
  <c r="AV735" i="651"/>
  <c r="AU735" i="651"/>
  <c r="AV731" i="651"/>
  <c r="AU731" i="651"/>
  <c r="AV727" i="651"/>
  <c r="AU727" i="651"/>
  <c r="AV723" i="651"/>
  <c r="AU723" i="651"/>
  <c r="AV715" i="651"/>
  <c r="AU715" i="651"/>
  <c r="AV698" i="651"/>
  <c r="AU698" i="651"/>
  <c r="AV693" i="651"/>
  <c r="AU693" i="651"/>
  <c r="AV688" i="651"/>
  <c r="AU688" i="651"/>
  <c r="AV683" i="651"/>
  <c r="AU683" i="651"/>
  <c r="AV670" i="651"/>
  <c r="AU670" i="651"/>
  <c r="AV640" i="651"/>
  <c r="AV645" i="651" s="1"/>
  <c r="AV650" i="651" s="1"/>
  <c r="AU640" i="651"/>
  <c r="AU645" i="651" s="1"/>
  <c r="AU650" i="651" s="1"/>
  <c r="AV635" i="651"/>
  <c r="AU635" i="651"/>
  <c r="H17" i="653" l="1"/>
  <c r="H18" i="667"/>
  <c r="AU644" i="651"/>
  <c r="AU649" i="651" s="1"/>
  <c r="AV644" i="651"/>
  <c r="AV649" i="651" s="1"/>
  <c r="K8" i="653"/>
  <c r="H13" i="653"/>
  <c r="AV630" i="651"/>
  <c r="AU630" i="651"/>
  <c r="AV607" i="651"/>
  <c r="AU607" i="651"/>
  <c r="AV602" i="651"/>
  <c r="AU602" i="651"/>
  <c r="AV597" i="651"/>
  <c r="AU597" i="651"/>
  <c r="AV592" i="651"/>
  <c r="AU592" i="651"/>
  <c r="AV587" i="651"/>
  <c r="AU587" i="651"/>
  <c r="AV582" i="651"/>
  <c r="AU582" i="651"/>
  <c r="AV577" i="651"/>
  <c r="AU577" i="651"/>
  <c r="AV572" i="651"/>
  <c r="AU572" i="651"/>
  <c r="AV567" i="651"/>
  <c r="AU567" i="651"/>
  <c r="AV562" i="651"/>
  <c r="AU562" i="651"/>
  <c r="AV557" i="651"/>
  <c r="AU557" i="651"/>
  <c r="AV552" i="651"/>
  <c r="AU552" i="651"/>
  <c r="AV547" i="651"/>
  <c r="AU547" i="651"/>
  <c r="H14" i="653" l="1"/>
  <c r="K13" i="653"/>
  <c r="AV537" i="651"/>
  <c r="AU537" i="651"/>
  <c r="AV532" i="651"/>
  <c r="AU532" i="651"/>
  <c r="AV527" i="651"/>
  <c r="AU527" i="651"/>
  <c r="AV519" i="651"/>
  <c r="AU519" i="651"/>
  <c r="H30" i="667" l="1"/>
  <c r="G30" i="667"/>
  <c r="D10" i="653" l="1"/>
  <c r="B10" i="653"/>
  <c r="D8" i="653"/>
  <c r="C8" i="653"/>
  <c r="C13" i="653" s="1"/>
  <c r="F8" i="653"/>
  <c r="B3" i="653"/>
  <c r="B8" i="653" s="1"/>
  <c r="F13" i="653" l="1"/>
  <c r="I8" i="653"/>
  <c r="J8" i="653"/>
  <c r="B13" i="653"/>
  <c r="D13" i="653"/>
  <c r="H13" i="649"/>
  <c r="I13" i="653" l="1"/>
  <c r="G14" i="653"/>
  <c r="J13" i="653"/>
  <c r="Q33" i="20"/>
  <c r="I13" i="649"/>
  <c r="S157" i="647"/>
  <c r="T157" i="647"/>
  <c r="J13" i="649"/>
  <c r="D22" i="647" l="1"/>
  <c r="D20" i="647" l="1"/>
  <c r="F24" i="647"/>
  <c r="E24" i="647"/>
  <c r="E29" i="647"/>
  <c r="E28" i="647"/>
  <c r="L32" i="652" l="1"/>
  <c r="L29" i="652"/>
  <c r="L27" i="652"/>
  <c r="L26" i="652"/>
  <c r="L25" i="652"/>
  <c r="L20" i="652"/>
  <c r="L19" i="652"/>
  <c r="L18" i="652"/>
  <c r="L16" i="652"/>
  <c r="P54" i="652"/>
  <c r="O54" i="652"/>
  <c r="N54" i="652"/>
  <c r="M54" i="652"/>
  <c r="L54" i="652"/>
  <c r="K54" i="652"/>
  <c r="J54" i="652"/>
  <c r="I54" i="652"/>
  <c r="H54" i="652"/>
  <c r="G54" i="652"/>
  <c r="P53" i="652"/>
  <c r="O53" i="652"/>
  <c r="N53" i="652"/>
  <c r="M53" i="652"/>
  <c r="L53" i="652"/>
  <c r="K53" i="652"/>
  <c r="J53" i="652"/>
  <c r="I53" i="652"/>
  <c r="H53" i="652"/>
  <c r="G53" i="652"/>
  <c r="P48" i="652"/>
  <c r="L6" i="652"/>
  <c r="L7" i="652"/>
  <c r="L8" i="652"/>
  <c r="L9" i="652"/>
  <c r="L10" i="652"/>
  <c r="L11" i="652"/>
  <c r="L12" i="652"/>
  <c r="L13" i="652"/>
  <c r="L14" i="652"/>
  <c r="L15" i="652"/>
  <c r="L17" i="652"/>
  <c r="L21" i="652"/>
  <c r="L22" i="652"/>
  <c r="L23" i="652"/>
  <c r="L24" i="652"/>
  <c r="L28" i="652"/>
  <c r="L30" i="652"/>
  <c r="L31" i="652"/>
  <c r="L33" i="652"/>
  <c r="L34" i="652"/>
  <c r="L35" i="652"/>
  <c r="Q54" i="652" l="1"/>
  <c r="R54" i="652" s="1"/>
  <c r="H62" i="652"/>
  <c r="G62" i="652"/>
  <c r="K15" i="652"/>
  <c r="K14" i="652"/>
  <c r="M5" i="652" l="1"/>
  <c r="S5" i="652"/>
  <c r="I116" i="652"/>
  <c r="H116" i="652"/>
  <c r="I94" i="652"/>
  <c r="I118" i="652" s="1"/>
  <c r="H94" i="652"/>
  <c r="H69" i="652" s="1"/>
  <c r="H65" i="652" l="1"/>
  <c r="H70" i="652"/>
  <c r="H66" i="652"/>
  <c r="H67" i="652"/>
  <c r="H72" i="652"/>
  <c r="H64" i="652"/>
  <c r="G69" i="652"/>
  <c r="G68" i="652"/>
  <c r="G67" i="652"/>
  <c r="G66" i="652"/>
  <c r="H68" i="652"/>
  <c r="G70" i="652"/>
  <c r="G63" i="652"/>
  <c r="J16" i="652" s="1"/>
  <c r="G65" i="652"/>
  <c r="G72" i="652"/>
  <c r="G64" i="652"/>
  <c r="H118" i="652"/>
  <c r="G71" i="652"/>
  <c r="H63" i="652"/>
  <c r="H71" i="652"/>
  <c r="R267" i="651"/>
  <c r="P267" i="651"/>
  <c r="J267" i="651"/>
  <c r="H267" i="651"/>
  <c r="Q267" i="651" l="1"/>
  <c r="K267" i="651"/>
  <c r="I267" i="651"/>
  <c r="L267" i="651"/>
  <c r="M267" i="651"/>
  <c r="N267" i="651"/>
  <c r="G267" i="651"/>
  <c r="O267" i="651"/>
  <c r="R2" i="651" l="1"/>
  <c r="AE2" i="651" s="1"/>
  <c r="AQ2" i="651" s="1"/>
  <c r="Q2" i="651"/>
  <c r="AD2" i="651" s="1"/>
  <c r="AP2" i="651" s="1"/>
  <c r="P2" i="651"/>
  <c r="AC2" i="651" s="1"/>
  <c r="AO2" i="651" s="1"/>
  <c r="O2" i="651"/>
  <c r="AB2" i="651" s="1"/>
  <c r="AN2" i="651" s="1"/>
  <c r="N2" i="651"/>
  <c r="AA2" i="651" s="1"/>
  <c r="AM2" i="651" s="1"/>
  <c r="M2" i="651"/>
  <c r="Z2" i="651" s="1"/>
  <c r="AL2" i="651" s="1"/>
  <c r="L2" i="651"/>
  <c r="Y2" i="651" s="1"/>
  <c r="AK2" i="651" s="1"/>
  <c r="K2" i="651"/>
  <c r="X2" i="651" s="1"/>
  <c r="AJ2" i="651" s="1"/>
  <c r="J2" i="651"/>
  <c r="W2" i="651" s="1"/>
  <c r="AI2" i="651" s="1"/>
  <c r="I2" i="651"/>
  <c r="V2" i="651" s="1"/>
  <c r="AH2" i="651" s="1"/>
  <c r="H2" i="651"/>
  <c r="U2" i="651" s="1"/>
  <c r="AG2" i="651" s="1"/>
  <c r="G2" i="651"/>
  <c r="T2" i="651" s="1"/>
  <c r="AF2" i="651" s="1"/>
  <c r="H20" i="671" l="1"/>
  <c r="A2" i="667"/>
  <c r="F7" i="667"/>
  <c r="F6" i="667"/>
  <c r="F9" i="667" s="1"/>
  <c r="E19" i="725"/>
  <c r="G19" i="725" s="1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L8" i="1"/>
  <c r="J8" i="1"/>
  <c r="H8" i="1"/>
  <c r="AA19" i="33"/>
  <c r="AU54" i="33"/>
  <c r="AT46" i="33"/>
  <c r="AS46" i="33"/>
  <c r="AU45" i="33"/>
  <c r="AU44" i="33"/>
  <c r="AU43" i="33"/>
  <c r="AU42" i="33"/>
  <c r="AT37" i="33"/>
  <c r="AS37" i="33"/>
  <c r="AU36" i="33"/>
  <c r="AU35" i="33"/>
  <c r="AU34" i="33"/>
  <c r="AU33" i="33"/>
  <c r="AT28" i="33"/>
  <c r="AS28" i="33"/>
  <c r="AU27" i="33"/>
  <c r="AA27" i="33"/>
  <c r="AA28" i="33" s="1"/>
  <c r="AU26" i="33"/>
  <c r="AU25" i="33"/>
  <c r="AU24" i="33"/>
  <c r="BI23" i="33"/>
  <c r="S18" i="33" s="1"/>
  <c r="BB23" i="33"/>
  <c r="Y41" i="33" s="1"/>
  <c r="Q21" i="33"/>
  <c r="BR17" i="33"/>
  <c r="CB16" i="33"/>
  <c r="AC33" i="33" s="1"/>
  <c r="U15" i="33"/>
  <c r="U16" i="33" s="1"/>
  <c r="U17" i="33" s="1"/>
  <c r="U18" i="33" s="1"/>
  <c r="U19" i="33" s="1"/>
  <c r="U20" i="33" s="1"/>
  <c r="U21" i="33" s="1"/>
  <c r="U22" i="33" s="1"/>
  <c r="U23" i="33" s="1"/>
  <c r="U24" i="33" s="1"/>
  <c r="U25" i="33" s="1"/>
  <c r="U26" i="33" s="1"/>
  <c r="U27" i="33" s="1"/>
  <c r="U28" i="33" s="1"/>
  <c r="U29" i="33" s="1"/>
  <c r="U30" i="33" s="1"/>
  <c r="U31" i="33" s="1"/>
  <c r="U32" i="33" s="1"/>
  <c r="M15" i="33"/>
  <c r="M16" i="33" s="1"/>
  <c r="M17" i="33" s="1"/>
  <c r="M18" i="33" s="1"/>
  <c r="M19" i="33" s="1"/>
  <c r="M20" i="33" s="1"/>
  <c r="M21" i="33" s="1"/>
  <c r="M22" i="33" s="1"/>
  <c r="M23" i="33" s="1"/>
  <c r="M24" i="33" s="1"/>
  <c r="M25" i="33" s="1"/>
  <c r="M26" i="33" s="1"/>
  <c r="M27" i="33" s="1"/>
  <c r="M28" i="33" s="1"/>
  <c r="M29" i="33" s="1"/>
  <c r="M30" i="33" s="1"/>
  <c r="M31" i="33" s="1"/>
  <c r="M32" i="33" s="1"/>
  <c r="M33" i="33" s="1"/>
  <c r="AN13" i="33"/>
  <c r="AN14" i="33" s="1"/>
  <c r="Q12" i="33"/>
  <c r="AG11" i="33"/>
  <c r="AT8" i="33"/>
  <c r="AS8" i="33"/>
  <c r="AU7" i="33"/>
  <c r="AU6" i="33"/>
  <c r="AI6" i="33"/>
  <c r="AI7" i="33" s="1"/>
  <c r="AU5" i="33"/>
  <c r="AU4" i="33"/>
  <c r="M6" i="20"/>
  <c r="O6" i="20" s="1"/>
  <c r="P6" i="20" s="1"/>
  <c r="X8" i="657"/>
  <c r="S8" i="657"/>
  <c r="N8" i="657"/>
  <c r="N21" i="657"/>
  <c r="N20" i="657" s="1"/>
  <c r="N19" i="657" s="1"/>
  <c r="N18" i="657" s="1"/>
  <c r="N17" i="657" s="1"/>
  <c r="N16" i="657" s="1"/>
  <c r="N15" i="657" s="1"/>
  <c r="N14" i="657" s="1"/>
  <c r="N13" i="657" s="1"/>
  <c r="N12" i="657" s="1"/>
  <c r="N11" i="657" s="1"/>
  <c r="N10" i="657" s="1"/>
  <c r="S10" i="657" s="1"/>
  <c r="X10" i="657" s="1"/>
  <c r="U20" i="657"/>
  <c r="U19" i="657"/>
  <c r="U18" i="657"/>
  <c r="U17" i="657"/>
  <c r="U16" i="657"/>
  <c r="U15" i="657"/>
  <c r="U14" i="657"/>
  <c r="U13" i="657"/>
  <c r="U12" i="657"/>
  <c r="U11" i="657"/>
  <c r="T377" i="641"/>
  <c r="T376" i="641"/>
  <c r="S11" i="657" l="1"/>
  <c r="X11" i="657" s="1"/>
  <c r="AU37" i="33"/>
  <c r="S12" i="657"/>
  <c r="X12" i="657" s="1"/>
  <c r="AU8" i="33"/>
  <c r="S15" i="657"/>
  <c r="X15" i="657" s="1"/>
  <c r="S17" i="657"/>
  <c r="X17" i="657" s="1"/>
  <c r="S20" i="657"/>
  <c r="X20" i="657" s="1"/>
  <c r="S16" i="657"/>
  <c r="X16" i="657" s="1"/>
  <c r="S18" i="657"/>
  <c r="X18" i="657" s="1"/>
  <c r="D10" i="594"/>
  <c r="J1" i="652"/>
  <c r="N3" i="652"/>
  <c r="R2" i="652"/>
  <c r="D6" i="137"/>
  <c r="L2" i="652"/>
  <c r="S19" i="657"/>
  <c r="X19" i="657" s="1"/>
  <c r="E10" i="594"/>
  <c r="I6" i="139"/>
  <c r="P1" i="652"/>
  <c r="T3" i="652"/>
  <c r="AU53" i="33"/>
  <c r="Q10" i="657"/>
  <c r="Q11" i="657"/>
  <c r="Q29" i="20"/>
  <c r="Q16" i="657"/>
  <c r="Q20" i="657"/>
  <c r="C7" i="595"/>
  <c r="I6" i="42"/>
  <c r="D7" i="595"/>
  <c r="J6" i="42"/>
  <c r="G6" i="139"/>
  <c r="Q17" i="657"/>
  <c r="Q21" i="657"/>
  <c r="S13" i="657"/>
  <c r="X13" i="657" s="1"/>
  <c r="S21" i="657"/>
  <c r="X21" i="657" s="1"/>
  <c r="H6" i="139"/>
  <c r="E3" i="33"/>
  <c r="E6" i="137"/>
  <c r="AU46" i="33"/>
  <c r="Q14" i="657"/>
  <c r="Q18" i="657"/>
  <c r="U21" i="657"/>
  <c r="S14" i="657"/>
  <c r="X14" i="657" s="1"/>
  <c r="F16" i="667"/>
  <c r="F17" i="667" s="1"/>
  <c r="H7" i="14"/>
  <c r="J7" i="14" s="1"/>
  <c r="D3" i="33"/>
  <c r="F3" i="33"/>
  <c r="C10" i="594"/>
  <c r="F6" i="137"/>
  <c r="B7" i="595"/>
  <c r="H6" i="42"/>
  <c r="AS55" i="33"/>
  <c r="AU51" i="33"/>
  <c r="AN15" i="33"/>
  <c r="Q22" i="33"/>
  <c r="Q23" i="33" s="1"/>
  <c r="AU28" i="33"/>
  <c r="Y39" i="33"/>
  <c r="Y17" i="33" s="1"/>
  <c r="AU52" i="33"/>
  <c r="AT55" i="33"/>
  <c r="O22" i="657"/>
  <c r="Q13" i="657"/>
  <c r="Q15" i="657"/>
  <c r="Q12" i="657"/>
  <c r="Q19" i="657"/>
  <c r="P22" i="657"/>
  <c r="AI15" i="4"/>
  <c r="F22" i="667" l="1"/>
  <c r="G17" i="667"/>
  <c r="AU55" i="33"/>
  <c r="Q22" i="657"/>
  <c r="AN16" i="33"/>
  <c r="Y40" i="33"/>
  <c r="Y25" i="33" s="1"/>
  <c r="H17" i="667" l="1"/>
  <c r="H22" i="667" s="1"/>
  <c r="G22" i="667"/>
  <c r="AC31" i="33"/>
  <c r="AB27" i="33"/>
  <c r="AN17" i="33"/>
  <c r="AN18" i="33" s="1"/>
  <c r="AN19" i="33" l="1"/>
  <c r="Q15" i="33"/>
  <c r="AB28" i="33"/>
  <c r="AC27" i="33"/>
  <c r="Q16" i="33" l="1"/>
  <c r="AN20" i="33"/>
  <c r="AN21" i="33" l="1"/>
  <c r="AN22" i="33" s="1"/>
  <c r="Q17" i="33"/>
  <c r="AN23" i="33" l="1"/>
  <c r="AN24" i="33" l="1"/>
  <c r="AN25" i="33" l="1"/>
  <c r="AN26" i="33" s="1"/>
  <c r="R23" i="33" l="1"/>
  <c r="R17" i="33"/>
  <c r="AN27" i="33"/>
  <c r="AN28" i="33" l="1"/>
  <c r="R15" i="33"/>
  <c r="S15" i="33" s="1"/>
  <c r="S17" i="33" s="1"/>
  <c r="R16" i="33"/>
  <c r="R21" i="33"/>
  <c r="S21" i="33" s="1"/>
  <c r="S23" i="33" s="1"/>
  <c r="R22" i="33"/>
  <c r="S25" i="33" l="1"/>
  <c r="AN29" i="33"/>
  <c r="AN30" i="33" s="1"/>
  <c r="AN31" i="33" l="1"/>
  <c r="AN32" i="33" l="1"/>
  <c r="AN33" i="33" s="1"/>
  <c r="AN34" i="33" s="1"/>
  <c r="AN35" i="33" l="1"/>
  <c r="AN36" i="33" l="1"/>
  <c r="AA20" i="33" l="1"/>
  <c r="AB19" i="33"/>
  <c r="AN37" i="33"/>
  <c r="AN38" i="33" s="1"/>
  <c r="AN39" i="33" s="1"/>
  <c r="AN40" i="33" l="1"/>
  <c r="AC19" i="33"/>
  <c r="AB20" i="33"/>
  <c r="AC30" i="33" l="1"/>
  <c r="AC32" i="33" s="1"/>
  <c r="AC34" i="33" s="1"/>
  <c r="D15" i="33" s="1"/>
  <c r="AN41" i="33"/>
  <c r="AN42" i="33" s="1"/>
  <c r="AN43" i="33" s="1"/>
  <c r="AN44" i="33" l="1"/>
  <c r="AN45" i="33" l="1"/>
  <c r="AN46" i="33" s="1"/>
  <c r="AN47" i="33" s="1"/>
  <c r="AN48" i="33" s="1"/>
  <c r="AN49" i="33" s="1"/>
  <c r="AN50" i="33" s="1"/>
  <c r="AN51" i="33" s="1"/>
  <c r="AN52" i="33" s="1"/>
  <c r="AN53" i="33" s="1"/>
  <c r="AN54" i="33" s="1"/>
  <c r="AN55" i="33" s="1"/>
  <c r="E912" i="671" l="1"/>
  <c r="H24" i="671"/>
  <c r="R33" i="33"/>
  <c r="S33" i="33" s="1"/>
  <c r="H25" i="671" l="1"/>
  <c r="I24" i="671"/>
  <c r="I23" i="671" s="1"/>
  <c r="V18" i="653" l="1"/>
  <c r="V19" i="653"/>
  <c r="V20" i="653"/>
  <c r="V21" i="653"/>
  <c r="V22" i="653"/>
  <c r="V23" i="653"/>
  <c r="J24" i="653"/>
  <c r="K24" i="653"/>
  <c r="L24" i="653"/>
  <c r="M24" i="653"/>
  <c r="N24" i="653"/>
  <c r="O24" i="653"/>
  <c r="P24" i="653"/>
  <c r="Q24" i="653"/>
  <c r="R24" i="653"/>
  <c r="S24" i="653"/>
  <c r="T24" i="653"/>
  <c r="U24" i="653"/>
  <c r="J28" i="653"/>
  <c r="K28" i="653"/>
  <c r="L28" i="653"/>
  <c r="M28" i="653"/>
  <c r="N28" i="653"/>
  <c r="O28" i="653"/>
  <c r="P28" i="653"/>
  <c r="Q28" i="653"/>
  <c r="R28" i="653"/>
  <c r="S28" i="653"/>
  <c r="T28" i="653"/>
  <c r="U28" i="653"/>
  <c r="J29" i="653"/>
  <c r="K29" i="653"/>
  <c r="L29" i="653"/>
  <c r="M29" i="653"/>
  <c r="N29" i="653"/>
  <c r="O29" i="653"/>
  <c r="P29" i="653"/>
  <c r="Q29" i="653"/>
  <c r="R29" i="653"/>
  <c r="S29" i="653"/>
  <c r="T29" i="653"/>
  <c r="U29" i="653"/>
  <c r="J30" i="653"/>
  <c r="K30" i="653"/>
  <c r="L30" i="653"/>
  <c r="M30" i="653"/>
  <c r="N30" i="653"/>
  <c r="O30" i="653"/>
  <c r="P30" i="653"/>
  <c r="Q30" i="653"/>
  <c r="R30" i="653"/>
  <c r="S30" i="653"/>
  <c r="T30" i="653"/>
  <c r="U30" i="653"/>
  <c r="J31" i="653"/>
  <c r="K31" i="653"/>
  <c r="L31" i="653"/>
  <c r="M31" i="653"/>
  <c r="N31" i="653"/>
  <c r="O31" i="653"/>
  <c r="P31" i="653"/>
  <c r="Q31" i="653"/>
  <c r="R31" i="653"/>
  <c r="S31" i="653"/>
  <c r="T31" i="653"/>
  <c r="U31" i="653"/>
  <c r="J32" i="653"/>
  <c r="K32" i="653"/>
  <c r="L32" i="653"/>
  <c r="M32" i="653"/>
  <c r="N32" i="653"/>
  <c r="O32" i="653"/>
  <c r="V32" i="653" s="1"/>
  <c r="W32" i="653" s="1"/>
  <c r="P32" i="653"/>
  <c r="Q32" i="653"/>
  <c r="R32" i="653"/>
  <c r="S32" i="653"/>
  <c r="T32" i="653"/>
  <c r="U32" i="653"/>
  <c r="J33" i="653"/>
  <c r="K33" i="653"/>
  <c r="L33" i="653"/>
  <c r="M33" i="653"/>
  <c r="N33" i="653"/>
  <c r="O33" i="653"/>
  <c r="P33" i="653"/>
  <c r="Q33" i="653"/>
  <c r="R33" i="653"/>
  <c r="S33" i="653"/>
  <c r="T33" i="653"/>
  <c r="U33" i="653"/>
  <c r="W39" i="653"/>
  <c r="V28" i="653" l="1"/>
  <c r="W28" i="653" s="1"/>
  <c r="J34" i="653"/>
  <c r="Q34" i="653"/>
  <c r="W44" i="653"/>
  <c r="R34" i="653"/>
  <c r="V31" i="653"/>
  <c r="W31" i="653" s="1"/>
  <c r="N34" i="653"/>
  <c r="U34" i="653"/>
  <c r="O34" i="653"/>
  <c r="L34" i="653"/>
  <c r="K34" i="653"/>
  <c r="V33" i="653"/>
  <c r="W33" i="653" s="1"/>
  <c r="P34" i="653"/>
  <c r="M34" i="653"/>
  <c r="T34" i="653"/>
  <c r="V30" i="653"/>
  <c r="W30" i="653" s="1"/>
  <c r="S34" i="653"/>
  <c r="V24" i="653"/>
  <c r="V29" i="653"/>
  <c r="W29" i="653" s="1"/>
  <c r="A1" i="3"/>
  <c r="B2" i="139"/>
  <c r="A1" i="649"/>
  <c r="A2" i="648"/>
  <c r="I2" i="595"/>
  <c r="A2" i="15"/>
  <c r="H25" i="49"/>
  <c r="H26" i="49" s="1"/>
  <c r="H27" i="49" s="1"/>
  <c r="H28" i="49" s="1"/>
  <c r="H29" i="49" s="1"/>
  <c r="H30" i="49" s="1"/>
  <c r="H31" i="49" s="1"/>
  <c r="H32" i="49" s="1"/>
  <c r="H33" i="49" s="1"/>
  <c r="H34" i="49" s="1"/>
  <c r="H35" i="49" s="1"/>
  <c r="H36" i="49" s="1"/>
  <c r="H37" i="49" s="1"/>
  <c r="H38" i="49" s="1"/>
  <c r="H39" i="49" s="1"/>
  <c r="H40" i="49" s="1"/>
  <c r="H41" i="49" s="1"/>
  <c r="H42" i="49" s="1"/>
  <c r="H43" i="49" s="1"/>
  <c r="H44" i="49" s="1"/>
  <c r="H45" i="49" s="1"/>
  <c r="H46" i="49" s="1"/>
  <c r="H47" i="49" s="1"/>
  <c r="H48" i="49" s="1"/>
  <c r="H49" i="49" s="1"/>
  <c r="H50" i="49" s="1"/>
  <c r="H51" i="49" s="1"/>
  <c r="H52" i="49" s="1"/>
  <c r="H53" i="49" s="1"/>
  <c r="H54" i="49" s="1"/>
  <c r="H55" i="49" s="1"/>
  <c r="H56" i="49" s="1"/>
  <c r="H57" i="49" s="1"/>
  <c r="H58" i="49" s="1"/>
  <c r="H59" i="49" s="1"/>
  <c r="H60" i="49" s="1"/>
  <c r="H61" i="49" s="1"/>
  <c r="H62" i="49" s="1"/>
  <c r="H63" i="49" s="1"/>
  <c r="V34" i="653" l="1"/>
  <c r="W34" i="653" s="1"/>
  <c r="T140" i="647" l="1"/>
  <c r="T139" i="647" s="1"/>
  <c r="T138" i="647" s="1"/>
  <c r="T134" i="647"/>
  <c r="T133" i="647" s="1"/>
  <c r="T129" i="647"/>
  <c r="T128" i="647" s="1"/>
  <c r="T127" i="647" s="1"/>
  <c r="T117" i="647"/>
  <c r="T116" i="647" s="1"/>
  <c r="T115" i="647" s="1"/>
  <c r="T111" i="647"/>
  <c r="T110" i="647" s="1"/>
  <c r="T109" i="647" s="1"/>
  <c r="T106" i="647"/>
  <c r="T105" i="647" s="1"/>
  <c r="T104" i="647" s="1"/>
  <c r="T100" i="647"/>
  <c r="T99" i="647" s="1"/>
  <c r="T98" i="647" s="1"/>
  <c r="T92" i="647"/>
  <c r="T93" i="647"/>
  <c r="T94" i="647"/>
  <c r="T77" i="647"/>
  <c r="T78" i="647"/>
  <c r="T72" i="647"/>
  <c r="T73" i="647"/>
  <c r="T67" i="647"/>
  <c r="T68" i="647"/>
  <c r="T62" i="647"/>
  <c r="T63" i="647"/>
  <c r="T57" i="647"/>
  <c r="T58" i="647"/>
  <c r="T52" i="647"/>
  <c r="T53" i="647"/>
  <c r="T44" i="647"/>
  <c r="T48" i="647"/>
  <c r="T36" i="647"/>
  <c r="T37" i="647"/>
  <c r="T31" i="647"/>
  <c r="T32" i="647"/>
  <c r="AR109" i="647" l="1"/>
  <c r="AJ109" i="647"/>
  <c r="AB109" i="647"/>
  <c r="AQ109" i="647"/>
  <c r="AI109" i="647"/>
  <c r="AA109" i="647"/>
  <c r="AP109" i="647"/>
  <c r="AH109" i="647"/>
  <c r="Z109" i="647"/>
  <c r="AO109" i="647"/>
  <c r="Y109" i="647"/>
  <c r="AN109" i="647"/>
  <c r="AF109" i="647"/>
  <c r="X109" i="647"/>
  <c r="AM109" i="647"/>
  <c r="AE109" i="647"/>
  <c r="W109" i="647"/>
  <c r="AL109" i="647"/>
  <c r="AD109" i="647"/>
  <c r="V109" i="647"/>
  <c r="AK109" i="647"/>
  <c r="AC109" i="647"/>
  <c r="U109" i="647"/>
  <c r="AG109" i="647"/>
  <c r="K33" i="652" l="1"/>
  <c r="P17" i="660" l="1"/>
  <c r="R17" i="660" s="1"/>
  <c r="P15" i="660"/>
  <c r="O15" i="660"/>
  <c r="O16" i="660"/>
  <c r="O17" i="660"/>
  <c r="O18" i="660"/>
  <c r="N21" i="660"/>
  <c r="M18" i="660"/>
  <c r="M17" i="660"/>
  <c r="M16" i="660"/>
  <c r="M15" i="660"/>
  <c r="K18" i="660"/>
  <c r="K17" i="660"/>
  <c r="K16" i="660"/>
  <c r="K15" i="660"/>
  <c r="G15" i="660"/>
  <c r="U15" i="660" s="1"/>
  <c r="G18" i="660"/>
  <c r="G17" i="660"/>
  <c r="G16" i="660"/>
  <c r="D21" i="660"/>
  <c r="H21" i="660"/>
  <c r="F21" i="660"/>
  <c r="I18" i="660"/>
  <c r="I17" i="660"/>
  <c r="I16" i="660"/>
  <c r="I15" i="660"/>
  <c r="U18" i="660" l="1"/>
  <c r="U16" i="660"/>
  <c r="T16" i="660"/>
  <c r="P16" i="660" s="1"/>
  <c r="R16" i="660" s="1"/>
  <c r="T18" i="660"/>
  <c r="P18" i="660" s="1"/>
  <c r="R18" i="660" s="1"/>
  <c r="R15" i="660"/>
  <c r="G21" i="660"/>
  <c r="I21" i="660"/>
  <c r="R21" i="660" l="1"/>
  <c r="P21" i="660"/>
  <c r="Q21" i="660" s="1"/>
  <c r="S21" i="660" l="1"/>
  <c r="AH238" i="650" l="1"/>
  <c r="AH229" i="650"/>
  <c r="AH210" i="650"/>
  <c r="AB1262" i="6"/>
  <c r="AB1261" i="6"/>
  <c r="AB1256" i="6"/>
  <c r="AB1255" i="6"/>
  <c r="AB1254" i="6"/>
  <c r="AB1252" i="6"/>
  <c r="AB1251" i="6"/>
  <c r="AB1250" i="6"/>
  <c r="AB1249" i="6"/>
  <c r="AB1248" i="6"/>
  <c r="AB1247" i="6"/>
  <c r="AB1246" i="6"/>
  <c r="AB1245" i="6"/>
  <c r="AB1244" i="6"/>
  <c r="AB1243" i="6"/>
  <c r="AB1242" i="6"/>
  <c r="AB1241" i="6"/>
  <c r="AB1240" i="6"/>
  <c r="AB1239" i="6"/>
  <c r="AB1238" i="6"/>
  <c r="AB1237" i="6"/>
  <c r="AB1236" i="6"/>
  <c r="AB1235" i="6"/>
  <c r="AB1234" i="6"/>
  <c r="AB1233" i="6"/>
  <c r="AB1232" i="6"/>
  <c r="AB1230" i="6"/>
  <c r="AB1229" i="6"/>
  <c r="AB1224" i="6"/>
  <c r="AB1223" i="6"/>
  <c r="AB1221" i="6"/>
  <c r="AB1220" i="6"/>
  <c r="AB1215" i="6"/>
  <c r="AB1214" i="6"/>
  <c r="AB1211" i="6"/>
  <c r="AB1210" i="6"/>
  <c r="AB1204" i="6"/>
  <c r="AB1203" i="6"/>
  <c r="AB1197" i="6"/>
  <c r="AB1196" i="6"/>
  <c r="AB1190" i="6"/>
  <c r="AB1189" i="6"/>
  <c r="AB1186" i="6"/>
  <c r="AB1185" i="6"/>
  <c r="AB1181" i="6"/>
  <c r="AB1180" i="6"/>
  <c r="AB1176" i="6"/>
  <c r="AB1175" i="6"/>
  <c r="AB1169" i="6"/>
  <c r="AB1168" i="6"/>
  <c r="AB1162" i="6"/>
  <c r="AB1161" i="6"/>
  <c r="AB1158" i="6"/>
  <c r="AB1157" i="6"/>
  <c r="AB1154" i="6"/>
  <c r="AB1153" i="6"/>
  <c r="AB1149" i="6"/>
  <c r="AB1148" i="6"/>
  <c r="AB1147" i="6"/>
  <c r="AB1146" i="6"/>
  <c r="AB1145" i="6"/>
  <c r="AB1143" i="6"/>
  <c r="AB1142" i="6"/>
  <c r="AB1137" i="6"/>
  <c r="AB1136" i="6"/>
  <c r="AB1135" i="6"/>
  <c r="AB1129" i="6"/>
  <c r="AB1128" i="6"/>
  <c r="AB1122" i="6"/>
  <c r="AB1121" i="6"/>
  <c r="AB1115" i="6"/>
  <c r="AB1114" i="6"/>
  <c r="AB1108" i="6"/>
  <c r="AB1107" i="6"/>
  <c r="AB1104" i="6"/>
  <c r="AB1103" i="6"/>
  <c r="AB1097" i="6"/>
  <c r="AB1096" i="6"/>
  <c r="AB1095" i="6"/>
  <c r="AB1093" i="6"/>
  <c r="AB1088" i="6"/>
  <c r="AB1087" i="6"/>
  <c r="AB1083" i="6"/>
  <c r="AB1082" i="6"/>
  <c r="AB1077" i="6"/>
  <c r="AB1076" i="6"/>
  <c r="AB1071" i="6"/>
  <c r="AB1070" i="6"/>
  <c r="AB1065" i="6"/>
  <c r="AB1064" i="6"/>
  <c r="AB1060" i="6"/>
  <c r="AB1059" i="6"/>
  <c r="AB1054" i="6"/>
  <c r="AB1053" i="6"/>
  <c r="AB1048" i="6"/>
  <c r="AB1047" i="6"/>
  <c r="AB1042" i="6"/>
  <c r="AB1041" i="6"/>
  <c r="AB1037" i="6"/>
  <c r="AB1036" i="6"/>
  <c r="AB1035" i="6"/>
  <c r="AB1033" i="6"/>
  <c r="AB1029" i="6"/>
  <c r="AB1028" i="6"/>
  <c r="AB1024" i="6"/>
  <c r="AB1023" i="6"/>
  <c r="AB1019" i="6"/>
  <c r="AB1018" i="6"/>
  <c r="AB1014" i="6"/>
  <c r="AB1013" i="6"/>
  <c r="AB1009" i="6"/>
  <c r="AB1008" i="6"/>
  <c r="AB1004" i="6"/>
  <c r="AB1003" i="6"/>
  <c r="AB1000" i="6"/>
  <c r="AB999" i="6"/>
  <c r="AB998" i="6"/>
  <c r="AB996" i="6"/>
  <c r="AB995" i="6"/>
  <c r="AB994" i="6"/>
  <c r="AB993" i="6"/>
  <c r="AB992" i="6"/>
  <c r="AB988" i="6"/>
  <c r="AB987" i="6"/>
  <c r="AB983" i="6"/>
  <c r="AB982" i="6"/>
  <c r="AB981" i="6"/>
  <c r="AB979" i="6"/>
  <c r="AB971" i="6"/>
  <c r="AB970" i="6"/>
  <c r="AB968" i="6"/>
  <c r="AB965" i="6"/>
  <c r="AB964" i="6"/>
  <c r="AB963" i="6"/>
  <c r="AB962" i="6"/>
  <c r="AB961" i="6"/>
  <c r="AB960" i="6"/>
  <c r="AB959" i="6"/>
  <c r="AB958" i="6"/>
  <c r="AB957" i="6"/>
  <c r="AB955" i="6"/>
  <c r="AB954" i="6"/>
  <c r="AB952" i="6"/>
  <c r="AB951" i="6"/>
  <c r="AB949" i="6"/>
  <c r="AB948" i="6"/>
  <c r="AB947" i="6"/>
  <c r="AB946" i="6"/>
  <c r="AB945" i="6"/>
  <c r="AB943" i="6"/>
  <c r="AB941" i="6"/>
  <c r="AB939" i="6"/>
  <c r="AB937" i="6"/>
  <c r="AB935" i="6"/>
  <c r="AB928" i="6"/>
  <c r="AB927" i="6"/>
  <c r="AB925" i="6"/>
  <c r="AB919" i="6"/>
  <c r="AB918" i="6"/>
  <c r="AB912" i="6"/>
  <c r="AB911" i="6"/>
  <c r="AB910" i="6"/>
  <c r="AB909" i="6"/>
  <c r="AB908" i="6"/>
  <c r="AB907" i="6"/>
  <c r="AB904" i="6"/>
  <c r="AB903" i="6"/>
  <c r="AB901" i="6"/>
  <c r="AB898" i="6"/>
  <c r="AB897" i="6"/>
  <c r="AB893" i="6"/>
  <c r="AB892" i="6"/>
  <c r="AB888" i="6"/>
  <c r="AB887" i="6"/>
  <c r="AB883" i="6"/>
  <c r="AB882" i="6"/>
  <c r="AB878" i="6"/>
  <c r="AB877" i="6"/>
  <c r="AB873" i="6"/>
  <c r="AB872" i="6"/>
  <c r="AB868" i="6"/>
  <c r="AB867" i="6"/>
  <c r="AB863" i="6"/>
  <c r="AB862" i="6"/>
  <c r="AB858" i="6"/>
  <c r="AB857" i="6"/>
  <c r="AB853" i="6"/>
  <c r="AB852" i="6"/>
  <c r="AB848" i="6"/>
  <c r="AB847" i="6"/>
  <c r="AB843" i="6"/>
  <c r="AB842" i="6"/>
  <c r="AB838" i="6"/>
  <c r="AB837" i="6"/>
  <c r="AB836" i="6"/>
  <c r="AB835" i="6"/>
  <c r="AB833" i="6"/>
  <c r="AB830" i="6"/>
  <c r="AB829" i="6"/>
  <c r="AB825" i="6"/>
  <c r="AB824" i="6"/>
  <c r="AB820" i="6"/>
  <c r="AB819" i="6"/>
  <c r="AB815" i="6"/>
  <c r="AB814" i="6"/>
  <c r="AB810" i="6"/>
  <c r="AB809" i="6"/>
  <c r="AB808" i="6"/>
  <c r="AB807" i="6"/>
  <c r="AB805" i="6"/>
  <c r="AB802" i="6"/>
  <c r="AB801" i="6"/>
  <c r="AB797" i="6"/>
  <c r="AB796" i="6"/>
  <c r="AB792" i="6"/>
  <c r="AB791" i="6"/>
  <c r="AB787" i="6"/>
  <c r="AB786" i="6"/>
  <c r="AB782" i="6"/>
  <c r="AB781" i="6"/>
  <c r="AB777" i="6"/>
  <c r="AB776" i="6"/>
  <c r="AB772" i="6"/>
  <c r="AB771" i="6"/>
  <c r="AB767" i="6"/>
  <c r="AB766" i="6"/>
  <c r="AB762" i="6"/>
  <c r="AB761" i="6"/>
  <c r="AB757" i="6"/>
  <c r="AB756" i="6"/>
  <c r="AB755" i="6"/>
  <c r="AB754" i="6"/>
  <c r="AB749" i="6"/>
  <c r="AB748" i="6"/>
  <c r="AB744" i="6"/>
  <c r="AB743" i="6"/>
  <c r="AB739" i="6"/>
  <c r="AB738" i="6"/>
  <c r="AB734" i="6"/>
  <c r="AB733" i="6"/>
  <c r="AB729" i="6"/>
  <c r="AB728" i="6"/>
  <c r="AB724" i="6"/>
  <c r="AB723" i="6"/>
  <c r="AB719" i="6"/>
  <c r="AB718" i="6"/>
  <c r="AB714" i="6"/>
  <c r="AB713" i="6"/>
  <c r="AB709" i="6"/>
  <c r="AB708" i="6"/>
  <c r="AB704" i="6"/>
  <c r="AB703" i="6"/>
  <c r="AB699" i="6"/>
  <c r="AB698" i="6"/>
  <c r="AB694" i="6"/>
  <c r="AB693" i="6"/>
  <c r="AB689" i="6"/>
  <c r="AB688" i="6"/>
  <c r="AB684" i="6"/>
  <c r="AB683" i="6"/>
  <c r="AB679" i="6"/>
  <c r="AB678" i="6"/>
  <c r="AB674" i="6"/>
  <c r="AB673" i="6"/>
  <c r="AB669" i="6"/>
  <c r="AB668" i="6"/>
  <c r="AB664" i="6"/>
  <c r="AB663" i="6"/>
  <c r="AB659" i="6"/>
  <c r="AB658" i="6"/>
  <c r="AB654" i="6"/>
  <c r="AB653" i="6"/>
  <c r="AB652" i="6"/>
  <c r="AB651" i="6"/>
  <c r="AB646" i="6"/>
  <c r="AB645" i="6"/>
  <c r="AB644" i="6"/>
  <c r="AB643" i="6"/>
  <c r="AB642" i="6"/>
  <c r="AB641" i="6"/>
  <c r="AB639" i="6"/>
  <c r="AB638" i="6"/>
  <c r="AB634" i="6"/>
  <c r="AB631" i="6"/>
  <c r="AB630" i="6"/>
  <c r="AB626" i="6"/>
  <c r="AB625" i="6"/>
  <c r="AB621" i="6"/>
  <c r="AB620" i="6"/>
  <c r="AB616" i="6"/>
  <c r="AB615" i="6"/>
  <c r="AB611" i="6"/>
  <c r="AB610" i="6"/>
  <c r="AB606" i="6"/>
  <c r="AB605" i="6"/>
  <c r="AB601" i="6"/>
  <c r="AB600" i="6"/>
  <c r="AB596" i="6"/>
  <c r="AB595" i="6"/>
  <c r="AB591" i="6"/>
  <c r="AB590" i="6"/>
  <c r="AB586" i="6"/>
  <c r="AB585" i="6"/>
  <c r="AB581" i="6"/>
  <c r="AB580" i="6"/>
  <c r="AB576" i="6"/>
  <c r="AB575" i="6"/>
  <c r="AB571" i="6"/>
  <c r="AB570" i="6"/>
  <c r="AB566" i="6"/>
  <c r="AB565" i="6"/>
  <c r="AB561" i="6"/>
  <c r="AB560" i="6"/>
  <c r="AB556" i="6"/>
  <c r="AB555" i="6"/>
  <c r="AB551" i="6"/>
  <c r="AB550" i="6"/>
  <c r="AB546" i="6"/>
  <c r="AB545" i="6"/>
  <c r="AB541" i="6"/>
  <c r="AB540" i="6"/>
  <c r="AB536" i="6"/>
  <c r="AB535" i="6"/>
  <c r="AB531" i="6"/>
  <c r="AB530" i="6"/>
  <c r="AB526" i="6"/>
  <c r="AB525" i="6"/>
  <c r="AB521" i="6"/>
  <c r="AB520" i="6"/>
  <c r="AB519" i="6"/>
  <c r="AB518" i="6"/>
  <c r="AB517" i="6"/>
  <c r="AB516" i="6"/>
  <c r="AB515" i="6"/>
  <c r="AB514" i="6"/>
  <c r="AB513" i="6"/>
  <c r="AB511" i="6"/>
  <c r="AB510" i="6"/>
  <c r="AB508" i="6"/>
  <c r="AB504" i="6"/>
  <c r="AB500" i="6"/>
  <c r="AB499" i="6"/>
  <c r="AB498" i="6"/>
  <c r="AB494" i="6"/>
  <c r="AB493" i="6"/>
  <c r="AB489" i="6"/>
  <c r="AB488" i="6"/>
  <c r="AB484" i="6"/>
  <c r="AB483" i="6"/>
  <c r="AB479" i="6"/>
  <c r="AB478" i="6"/>
  <c r="AB474" i="6"/>
  <c r="AB473" i="6"/>
  <c r="AB469" i="6"/>
  <c r="AB468" i="6"/>
  <c r="AB464" i="6"/>
  <c r="AB463" i="6"/>
  <c r="AB459" i="6"/>
  <c r="AB458" i="6"/>
  <c r="AB454" i="6"/>
  <c r="AB453" i="6"/>
  <c r="AB449" i="6"/>
  <c r="AB448" i="6"/>
  <c r="AB444" i="6"/>
  <c r="AB443" i="6"/>
  <c r="AB439" i="6"/>
  <c r="AB438" i="6"/>
  <c r="AB434" i="6"/>
  <c r="AB433" i="6"/>
  <c r="AB429" i="6"/>
  <c r="AB428" i="6"/>
  <c r="AB424" i="6"/>
  <c r="AB423" i="6"/>
  <c r="AB419" i="6"/>
  <c r="AB418" i="6"/>
  <c r="AB414" i="6"/>
  <c r="AB413" i="6"/>
  <c r="AB409" i="6"/>
  <c r="AB408" i="6"/>
  <c r="AB404" i="6"/>
  <c r="AB403" i="6"/>
  <c r="AB399" i="6"/>
  <c r="AB398" i="6"/>
  <c r="AB394" i="6"/>
  <c r="AB393" i="6"/>
  <c r="AB389" i="6"/>
  <c r="AB388" i="6"/>
  <c r="AB384" i="6"/>
  <c r="AB383" i="6"/>
  <c r="AB379" i="6"/>
  <c r="AB378" i="6"/>
  <c r="AB377" i="6"/>
  <c r="AB376" i="6"/>
  <c r="AB375" i="6"/>
  <c r="AB374" i="6"/>
  <c r="AB373" i="6"/>
  <c r="AB369" i="6"/>
  <c r="AB367" i="6"/>
  <c r="AB362" i="6"/>
  <c r="AB361" i="6"/>
  <c r="AB360" i="6"/>
  <c r="AB356" i="6"/>
  <c r="AB352" i="6"/>
  <c r="AB351" i="6"/>
  <c r="AB349" i="6"/>
  <c r="AB346" i="6"/>
  <c r="AB345" i="6"/>
  <c r="AB344" i="6"/>
  <c r="AB342" i="6"/>
  <c r="AB340" i="6"/>
  <c r="AB337" i="6"/>
  <c r="AB336" i="6"/>
  <c r="AB335" i="6"/>
  <c r="AB333" i="6"/>
  <c r="AB332" i="6"/>
  <c r="AB328" i="6"/>
  <c r="AB322" i="6"/>
  <c r="AB319" i="6"/>
  <c r="AB317" i="6"/>
  <c r="AB314" i="6"/>
  <c r="AB313" i="6"/>
  <c r="AB312" i="6"/>
  <c r="AB310" i="6"/>
  <c r="AB308" i="6"/>
  <c r="AB305" i="6"/>
  <c r="AB304" i="6"/>
  <c r="AB303" i="6"/>
  <c r="AB301" i="6"/>
  <c r="AB299" i="6"/>
  <c r="AB296" i="6"/>
  <c r="AB295" i="6"/>
  <c r="AB294" i="6"/>
  <c r="AB292" i="6"/>
  <c r="AB290" i="6"/>
  <c r="AB287" i="6"/>
  <c r="AB285" i="6"/>
  <c r="AB283" i="6"/>
  <c r="AB281" i="6"/>
  <c r="AB278" i="6"/>
  <c r="AB276" i="6"/>
  <c r="AB274" i="6"/>
  <c r="AB272" i="6"/>
  <c r="AB269" i="6"/>
  <c r="AB268" i="6"/>
  <c r="AB267" i="6"/>
  <c r="AB265" i="6"/>
  <c r="AB263" i="6"/>
  <c r="AB260" i="6"/>
  <c r="AB259" i="6"/>
  <c r="AB258" i="6"/>
  <c r="AB256" i="6"/>
  <c r="AB254" i="6"/>
  <c r="AB251" i="6"/>
  <c r="AB250" i="6"/>
  <c r="AB249" i="6"/>
  <c r="AB247" i="6"/>
  <c r="AB245" i="6"/>
  <c r="AB242" i="6"/>
  <c r="AB241" i="6"/>
  <c r="AB240" i="6"/>
  <c r="AB238" i="6"/>
  <c r="AB237" i="6"/>
  <c r="AB233" i="6"/>
  <c r="AB228" i="6"/>
  <c r="AB227" i="6"/>
  <c r="AB225" i="6"/>
  <c r="AB222" i="6"/>
  <c r="AB220" i="6"/>
  <c r="AB218" i="6"/>
  <c r="AB216" i="6"/>
  <c r="AB213" i="6"/>
  <c r="AB211" i="6"/>
  <c r="AB209" i="6"/>
  <c r="AB208" i="6"/>
  <c r="AB204" i="6"/>
  <c r="AB199" i="6"/>
  <c r="AB198" i="6"/>
  <c r="AB195" i="6"/>
  <c r="AB193" i="6"/>
  <c r="AB190" i="6"/>
  <c r="AB188" i="6"/>
  <c r="AB186" i="6"/>
  <c r="AB184" i="6"/>
  <c r="AB181" i="6"/>
  <c r="AB179" i="6"/>
  <c r="AB177" i="6"/>
  <c r="AB175" i="6"/>
  <c r="AB172" i="6"/>
  <c r="AB170" i="6"/>
  <c r="AB168" i="6"/>
  <c r="AB166" i="6"/>
  <c r="AB163" i="6"/>
  <c r="AB161" i="6"/>
  <c r="AB159" i="6"/>
  <c r="AB157" i="6"/>
  <c r="AB154" i="6"/>
  <c r="AB152" i="6"/>
  <c r="AB150" i="6"/>
  <c r="AB148" i="6"/>
  <c r="AB145" i="6"/>
  <c r="AB143" i="6"/>
  <c r="AB141" i="6"/>
  <c r="AB139" i="6"/>
  <c r="AB136" i="6"/>
  <c r="AB134" i="6"/>
  <c r="AB132" i="6"/>
  <c r="AB130" i="6"/>
  <c r="AB127" i="6"/>
  <c r="AB125" i="6"/>
  <c r="AB123" i="6"/>
  <c r="AB121" i="6"/>
  <c r="AB118" i="6"/>
  <c r="AB116" i="6"/>
  <c r="AB114" i="6"/>
  <c r="AB112" i="6"/>
  <c r="AB109" i="6"/>
  <c r="AB107" i="6"/>
  <c r="AB105" i="6"/>
  <c r="AB103" i="6"/>
  <c r="AB100" i="6"/>
  <c r="AB98" i="6"/>
  <c r="AB96" i="6"/>
  <c r="AB94" i="6"/>
  <c r="AB91" i="6"/>
  <c r="AB89" i="6"/>
  <c r="AB87" i="6"/>
  <c r="AB85" i="6"/>
  <c r="AB82" i="6"/>
  <c r="AB80" i="6"/>
  <c r="AB78" i="6"/>
  <c r="AB76" i="6"/>
  <c r="AB73" i="6"/>
  <c r="AB71" i="6"/>
  <c r="AB69" i="6"/>
  <c r="AB67" i="6"/>
  <c r="AB58" i="6"/>
  <c r="AB51" i="6"/>
  <c r="AB49" i="6"/>
  <c r="AB46" i="6"/>
  <c r="AB44" i="6"/>
  <c r="AB42" i="6"/>
  <c r="AB40" i="6"/>
  <c r="AB37" i="6"/>
  <c r="AB35" i="6"/>
  <c r="AB33" i="6"/>
  <c r="AB31" i="6"/>
  <c r="AB28" i="6"/>
  <c r="AB26" i="6"/>
  <c r="AB24" i="6"/>
  <c r="AB22" i="6"/>
  <c r="AB19" i="6"/>
  <c r="AB17" i="6"/>
  <c r="H11" i="594" l="1"/>
  <c r="H12" i="594" s="1"/>
  <c r="H13" i="594" s="1"/>
  <c r="H14" i="594" s="1"/>
  <c r="H15" i="594" s="1"/>
  <c r="H16" i="594" s="1"/>
  <c r="H17" i="594" s="1"/>
  <c r="H18" i="594" s="1"/>
  <c r="H19" i="594" s="1"/>
  <c r="H20" i="594" s="1"/>
  <c r="H21" i="594" s="1"/>
  <c r="H22" i="594" s="1"/>
  <c r="H23" i="594" s="1"/>
  <c r="H24" i="594" s="1"/>
  <c r="H25" i="594" s="1"/>
  <c r="H26" i="594" s="1"/>
  <c r="H27" i="594" s="1"/>
  <c r="H28" i="594" s="1"/>
  <c r="H29" i="594" s="1"/>
  <c r="H30" i="594" s="1"/>
  <c r="H31" i="594" s="1"/>
  <c r="H32" i="594" s="1"/>
  <c r="H33" i="594" s="1"/>
  <c r="H34" i="594" s="1"/>
  <c r="H35" i="594" s="1"/>
  <c r="L33" i="725"/>
  <c r="E14" i="725" l="1"/>
  <c r="E13" i="725"/>
  <c r="F425" i="139" l="1"/>
  <c r="F399" i="139"/>
  <c r="F392" i="139"/>
  <c r="F381" i="139"/>
  <c r="F380" i="139"/>
  <c r="F382" i="139" s="1"/>
  <c r="F377" i="139"/>
  <c r="F373" i="139"/>
  <c r="F369" i="139"/>
  <c r="F365" i="139"/>
  <c r="F361" i="139"/>
  <c r="F357" i="139"/>
  <c r="F353" i="139"/>
  <c r="F349" i="139"/>
  <c r="F345" i="139"/>
  <c r="F341" i="139"/>
  <c r="F337" i="139"/>
  <c r="F333" i="139"/>
  <c r="F324" i="139"/>
  <c r="F323" i="139"/>
  <c r="F320" i="139"/>
  <c r="F315" i="139"/>
  <c r="F310" i="139"/>
  <c r="F305" i="139"/>
  <c r="F296" i="139"/>
  <c r="F295" i="139"/>
  <c r="F292" i="139"/>
  <c r="F286" i="139"/>
  <c r="F281" i="139"/>
  <c r="F276" i="139"/>
  <c r="F271" i="139"/>
  <c r="F266" i="139"/>
  <c r="F261" i="139"/>
  <c r="F256" i="139"/>
  <c r="F251" i="139"/>
  <c r="F242" i="139"/>
  <c r="F241" i="139"/>
  <c r="F238" i="139"/>
  <c r="F233" i="139"/>
  <c r="F228" i="139"/>
  <c r="F223" i="139"/>
  <c r="F218" i="139"/>
  <c r="F213" i="139"/>
  <c r="F208" i="139"/>
  <c r="F203" i="139"/>
  <c r="F198" i="139"/>
  <c r="F193" i="139"/>
  <c r="F188" i="139"/>
  <c r="F183" i="139"/>
  <c r="F178" i="139"/>
  <c r="F173" i="139"/>
  <c r="F168" i="139"/>
  <c r="F163" i="139"/>
  <c r="F158" i="139"/>
  <c r="F153" i="139"/>
  <c r="F148" i="139"/>
  <c r="F141" i="139"/>
  <c r="E27" i="49"/>
  <c r="D60" i="49"/>
  <c r="C60" i="49"/>
  <c r="D51" i="49"/>
  <c r="C51" i="49"/>
  <c r="D45" i="49"/>
  <c r="C45" i="49"/>
  <c r="P29" i="20"/>
  <c r="O29" i="20"/>
  <c r="H8" i="595"/>
  <c r="H9" i="595" s="1"/>
  <c r="H10" i="595" s="1"/>
  <c r="H11" i="595" s="1"/>
  <c r="H12" i="595" s="1"/>
  <c r="H13" i="595" s="1"/>
  <c r="H14" i="595" s="1"/>
  <c r="H15" i="595" s="1"/>
  <c r="H16" i="595" s="1"/>
  <c r="H17" i="595" s="1"/>
  <c r="H18" i="595" s="1"/>
  <c r="H19" i="595" s="1"/>
  <c r="H20" i="595" s="1"/>
  <c r="H21" i="595" s="1"/>
  <c r="H22" i="595" s="1"/>
  <c r="H23" i="595" s="1"/>
  <c r="H24" i="595" s="1"/>
  <c r="H25" i="595" s="1"/>
  <c r="H26" i="595" s="1"/>
  <c r="H27" i="595" s="1"/>
  <c r="H28" i="595" s="1"/>
  <c r="H29" i="595" s="1"/>
  <c r="H30" i="595" s="1"/>
  <c r="H31" i="595" s="1"/>
  <c r="H32" i="595" s="1"/>
  <c r="H33" i="595" s="1"/>
  <c r="Q34" i="595"/>
  <c r="P34" i="595"/>
  <c r="R33" i="595"/>
  <c r="R32" i="595"/>
  <c r="Q24" i="595"/>
  <c r="N21" i="595"/>
  <c r="N22" i="595" s="1"/>
  <c r="N23" i="595" s="1"/>
  <c r="N24" i="595" s="1"/>
  <c r="N25" i="595" s="1"/>
  <c r="N26" i="595" s="1"/>
  <c r="N27" i="595" s="1"/>
  <c r="N28" i="595" s="1"/>
  <c r="N29" i="595" s="1"/>
  <c r="N30" i="595" s="1"/>
  <c r="N31" i="595" s="1"/>
  <c r="N32" i="595" s="1"/>
  <c r="N33" i="595" s="1"/>
  <c r="N34" i="595" s="1"/>
  <c r="N35" i="595" s="1"/>
  <c r="AQ62" i="594"/>
  <c r="AQ45" i="594"/>
  <c r="AW22" i="594"/>
  <c r="AX4" i="594" s="1"/>
  <c r="O16" i="594"/>
  <c r="AQ15" i="594"/>
  <c r="N14" i="594"/>
  <c r="Q14" i="594" s="1"/>
  <c r="N16" i="594"/>
  <c r="N15" i="594"/>
  <c r="AG2" i="594"/>
  <c r="AA1" i="594"/>
  <c r="T1" i="594" s="1"/>
  <c r="D17" i="137"/>
  <c r="D22" i="137" s="1"/>
  <c r="D16" i="137"/>
  <c r="W23" i="42"/>
  <c r="W24" i="42" s="1"/>
  <c r="F244" i="139" l="1"/>
  <c r="F326" i="139"/>
  <c r="F383" i="139" s="1"/>
  <c r="U22" i="595"/>
  <c r="V22" i="595" s="1"/>
  <c r="D53" i="49"/>
  <c r="C63" i="49"/>
  <c r="P24" i="595"/>
  <c r="U21" i="595"/>
  <c r="V21" i="595" s="1"/>
  <c r="F401" i="139"/>
  <c r="F430" i="139" s="1"/>
  <c r="D63" i="49"/>
  <c r="F298" i="139"/>
  <c r="C53" i="49"/>
  <c r="G11" i="649"/>
  <c r="G17" i="649" s="1"/>
  <c r="C27" i="49"/>
  <c r="S20" i="595"/>
  <c r="U20" i="595"/>
  <c r="R34" i="595"/>
  <c r="R35" i="595" s="1"/>
  <c r="S22" i="595"/>
  <c r="T22" i="595" s="1"/>
  <c r="R14" i="594"/>
  <c r="C14" i="594" s="1"/>
  <c r="AQ9" i="594"/>
  <c r="O17" i="594"/>
  <c r="O20" i="594" s="1"/>
  <c r="AX6" i="594"/>
  <c r="Q15" i="594"/>
  <c r="R15" i="594"/>
  <c r="N20" i="594"/>
  <c r="R19" i="42"/>
  <c r="G12" i="667" l="1"/>
  <c r="H12" i="667"/>
  <c r="F428" i="139"/>
  <c r="F431" i="139" s="1"/>
  <c r="I14" i="649"/>
  <c r="H14" i="649"/>
  <c r="D27" i="49"/>
  <c r="S21" i="595"/>
  <c r="T21" i="595" s="1"/>
  <c r="Q35" i="595"/>
  <c r="H11" i="649"/>
  <c r="J14" i="649"/>
  <c r="P35" i="595"/>
  <c r="U23" i="595"/>
  <c r="V20" i="595"/>
  <c r="V23" i="595" s="1"/>
  <c r="T20" i="595"/>
  <c r="H13" i="667" l="1"/>
  <c r="H28" i="667" s="1"/>
  <c r="H27" i="667"/>
  <c r="G13" i="667"/>
  <c r="G28" i="667" s="1"/>
  <c r="G27" i="667"/>
  <c r="T24" i="595"/>
  <c r="M25" i="595" s="1"/>
  <c r="S24" i="595"/>
  <c r="H17" i="649"/>
  <c r="AH234" i="650"/>
  <c r="W12" i="42" l="1"/>
  <c r="W28" i="42" l="1"/>
  <c r="H12" i="42" s="1"/>
  <c r="D27" i="137"/>
  <c r="AI17" i="594" l="1"/>
  <c r="AJ17" i="594" s="1"/>
  <c r="AK17" i="594" s="1"/>
  <c r="AC17" i="594"/>
  <c r="AD17" i="594" s="1"/>
  <c r="AE17" i="594" s="1"/>
  <c r="R27" i="42"/>
  <c r="R29" i="42" s="1"/>
  <c r="H11" i="42" s="1"/>
  <c r="D13" i="33"/>
  <c r="D17" i="33" s="1"/>
  <c r="V32" i="594"/>
  <c r="W32" i="594" s="1"/>
  <c r="X32" i="594" s="1"/>
  <c r="P16" i="594" s="1"/>
  <c r="Q16" i="594" s="1"/>
  <c r="R16" i="594" s="1"/>
  <c r="V19" i="594"/>
  <c r="W19" i="594" s="1"/>
  <c r="X19" i="594" s="1"/>
  <c r="P17" i="594" s="1"/>
  <c r="Q17" i="594" l="1"/>
  <c r="P20" i="594"/>
  <c r="R17" i="594" l="1"/>
  <c r="R20" i="594" s="1"/>
  <c r="R23" i="594" s="1"/>
  <c r="Q20" i="594"/>
  <c r="R27" i="594" l="1"/>
  <c r="Y755" i="651"/>
  <c r="Y754" i="651"/>
  <c r="Y751" i="651"/>
  <c r="Y750" i="651"/>
  <c r="Y747" i="651"/>
  <c r="Y746" i="651"/>
  <c r="Y743" i="651"/>
  <c r="Y742" i="651"/>
  <c r="Y739" i="651"/>
  <c r="Y738" i="651"/>
  <c r="Y735" i="651"/>
  <c r="Y734" i="651"/>
  <c r="Y731" i="651"/>
  <c r="Y730" i="651"/>
  <c r="Y727" i="651"/>
  <c r="Y726" i="651"/>
  <c r="Y723" i="651"/>
  <c r="Y722" i="651"/>
  <c r="Y719" i="651"/>
  <c r="Y718" i="651"/>
  <c r="Y715" i="651"/>
  <c r="Y714" i="651"/>
  <c r="Y711" i="651"/>
  <c r="Y710" i="651"/>
  <c r="Y698" i="651"/>
  <c r="Y697" i="651"/>
  <c r="Y693" i="651"/>
  <c r="Y692" i="651"/>
  <c r="Y688" i="651"/>
  <c r="Y687" i="651"/>
  <c r="Y683" i="651"/>
  <c r="Y682" i="651"/>
  <c r="Y670" i="651"/>
  <c r="Y669" i="651"/>
  <c r="Y665" i="651"/>
  <c r="Y664" i="651"/>
  <c r="Y660" i="651"/>
  <c r="Y659" i="651"/>
  <c r="Y655" i="651"/>
  <c r="Y654" i="651"/>
  <c r="Y650" i="651"/>
  <c r="Y649" i="651"/>
  <c r="Y645" i="651"/>
  <c r="Y644" i="651"/>
  <c r="Y640" i="651"/>
  <c r="Y639" i="651"/>
  <c r="Y635" i="651"/>
  <c r="Y634" i="651"/>
  <c r="Y630" i="651"/>
  <c r="Y629" i="651"/>
  <c r="Y617" i="651"/>
  <c r="Y616" i="651"/>
  <c r="Y612" i="651"/>
  <c r="Y611" i="651"/>
  <c r="Y607" i="651"/>
  <c r="Y606" i="651"/>
  <c r="Y602" i="651"/>
  <c r="Y601" i="651"/>
  <c r="Y597" i="651"/>
  <c r="Y596" i="651"/>
  <c r="Y592" i="651"/>
  <c r="Y591" i="651"/>
  <c r="Y587" i="651"/>
  <c r="Y586" i="651"/>
  <c r="Y582" i="651"/>
  <c r="Y581" i="651"/>
  <c r="Y577" i="651"/>
  <c r="Y576" i="651"/>
  <c r="Y572" i="651"/>
  <c r="Y571" i="651"/>
  <c r="Y567" i="651"/>
  <c r="Y566" i="651"/>
  <c r="Y562" i="651"/>
  <c r="Y561" i="651"/>
  <c r="Y557" i="651"/>
  <c r="Y556" i="651"/>
  <c r="Y552" i="651"/>
  <c r="Y551" i="651"/>
  <c r="Y547" i="651"/>
  <c r="Y546" i="651"/>
  <c r="Y536" i="651"/>
  <c r="Y538" i="651" s="1"/>
  <c r="Y532" i="651"/>
  <c r="Y531" i="651"/>
  <c r="Y527" i="651"/>
  <c r="Y526" i="651"/>
  <c r="Y519" i="651"/>
  <c r="Y518" i="651"/>
  <c r="X755" i="651"/>
  <c r="X754" i="651"/>
  <c r="X751" i="651"/>
  <c r="X750" i="651"/>
  <c r="X747" i="651"/>
  <c r="X746" i="651"/>
  <c r="X743" i="651"/>
  <c r="X742" i="651"/>
  <c r="X739" i="651"/>
  <c r="X738" i="651"/>
  <c r="X735" i="651"/>
  <c r="X734" i="651"/>
  <c r="X731" i="651"/>
  <c r="X730" i="651"/>
  <c r="X727" i="651"/>
  <c r="X726" i="651"/>
  <c r="X723" i="651"/>
  <c r="X722" i="651"/>
  <c r="X719" i="651"/>
  <c r="X718" i="651"/>
  <c r="X715" i="651"/>
  <c r="X714" i="651"/>
  <c r="X711" i="651"/>
  <c r="X710" i="651"/>
  <c r="X698" i="651"/>
  <c r="X697" i="651"/>
  <c r="X693" i="651"/>
  <c r="X692" i="651"/>
  <c r="X688" i="651"/>
  <c r="X687" i="651"/>
  <c r="X683" i="651"/>
  <c r="X682" i="651"/>
  <c r="X670" i="651"/>
  <c r="X669" i="651"/>
  <c r="X665" i="651"/>
  <c r="X664" i="651"/>
  <c r="X660" i="651"/>
  <c r="X659" i="651"/>
  <c r="X655" i="651"/>
  <c r="X654" i="651"/>
  <c r="X650" i="651"/>
  <c r="X649" i="651"/>
  <c r="X645" i="651"/>
  <c r="X644" i="651"/>
  <c r="X640" i="651"/>
  <c r="X639" i="651"/>
  <c r="X635" i="651"/>
  <c r="X634" i="651"/>
  <c r="X630" i="651"/>
  <c r="X629" i="651"/>
  <c r="X617" i="651"/>
  <c r="X616" i="651"/>
  <c r="X612" i="651"/>
  <c r="X611" i="651"/>
  <c r="X607" i="651"/>
  <c r="X606" i="651"/>
  <c r="X602" i="651"/>
  <c r="X601" i="651"/>
  <c r="X597" i="651"/>
  <c r="X596" i="651"/>
  <c r="X592" i="651"/>
  <c r="X591" i="651"/>
  <c r="X587" i="651"/>
  <c r="X586" i="651"/>
  <c r="X582" i="651"/>
  <c r="X581" i="651"/>
  <c r="X577" i="651"/>
  <c r="X576" i="651"/>
  <c r="X572" i="651"/>
  <c r="X571" i="651"/>
  <c r="X567" i="651"/>
  <c r="X566" i="651"/>
  <c r="X562" i="651"/>
  <c r="X561" i="651"/>
  <c r="X557" i="651"/>
  <c r="X556" i="651"/>
  <c r="X552" i="651"/>
  <c r="X551" i="651"/>
  <c r="X547" i="651"/>
  <c r="X546" i="651"/>
  <c r="X536" i="651"/>
  <c r="X538" i="651" s="1"/>
  <c r="X532" i="651"/>
  <c r="X531" i="651"/>
  <c r="X527" i="651"/>
  <c r="X526" i="651"/>
  <c r="X519" i="651"/>
  <c r="X518" i="651"/>
  <c r="W755" i="651"/>
  <c r="W754" i="651"/>
  <c r="W751" i="651"/>
  <c r="W750" i="651"/>
  <c r="W747" i="651"/>
  <c r="W746" i="651"/>
  <c r="W743" i="651"/>
  <c r="W742" i="651"/>
  <c r="W739" i="651"/>
  <c r="W738" i="651"/>
  <c r="W735" i="651"/>
  <c r="W734" i="651"/>
  <c r="W731" i="651"/>
  <c r="W730" i="651"/>
  <c r="W727" i="651"/>
  <c r="W726" i="651"/>
  <c r="W723" i="651"/>
  <c r="W722" i="651"/>
  <c r="W719" i="651"/>
  <c r="W718" i="651"/>
  <c r="W720" i="651" s="1"/>
  <c r="W715" i="651"/>
  <c r="W714" i="651"/>
  <c r="W711" i="651"/>
  <c r="W710" i="651"/>
  <c r="W698" i="651"/>
  <c r="W697" i="651"/>
  <c r="W693" i="651"/>
  <c r="W692" i="651"/>
  <c r="W688" i="651"/>
  <c r="W687" i="651"/>
  <c r="W683" i="651"/>
  <c r="W682" i="651"/>
  <c r="W670" i="651"/>
  <c r="W669" i="651"/>
  <c r="W665" i="651"/>
  <c r="W664" i="651"/>
  <c r="W660" i="651"/>
  <c r="W659" i="651"/>
  <c r="W655" i="651"/>
  <c r="W654" i="651"/>
  <c r="W650" i="651"/>
  <c r="W649" i="651"/>
  <c r="W645" i="651"/>
  <c r="W644" i="651"/>
  <c r="W640" i="651"/>
  <c r="W639" i="651"/>
  <c r="W635" i="651"/>
  <c r="W634" i="651"/>
  <c r="W630" i="651"/>
  <c r="W629" i="651"/>
  <c r="W617" i="651"/>
  <c r="W616" i="651"/>
  <c r="W612" i="651"/>
  <c r="W611" i="651"/>
  <c r="W607" i="651"/>
  <c r="W606" i="651"/>
  <c r="W602" i="651"/>
  <c r="W601" i="651"/>
  <c r="W597" i="651"/>
  <c r="W596" i="651"/>
  <c r="W592" i="651"/>
  <c r="W591" i="651"/>
  <c r="W587" i="651"/>
  <c r="W586" i="651"/>
  <c r="W582" i="651"/>
  <c r="W581" i="651"/>
  <c r="W577" i="651"/>
  <c r="W576" i="651"/>
  <c r="W572" i="651"/>
  <c r="W571" i="651"/>
  <c r="W567" i="651"/>
  <c r="W566" i="651"/>
  <c r="W562" i="651"/>
  <c r="W561" i="651"/>
  <c r="W557" i="651"/>
  <c r="W556" i="651"/>
  <c r="W552" i="651"/>
  <c r="W551" i="651"/>
  <c r="W547" i="651"/>
  <c r="W546" i="651"/>
  <c r="W536" i="651"/>
  <c r="W538" i="651" s="1"/>
  <c r="W532" i="651"/>
  <c r="W531" i="651"/>
  <c r="W527" i="651"/>
  <c r="W526" i="651"/>
  <c r="W519" i="651"/>
  <c r="W518" i="651"/>
  <c r="V755" i="651"/>
  <c r="V754" i="651"/>
  <c r="V751" i="651"/>
  <c r="V750" i="651"/>
  <c r="V747" i="651"/>
  <c r="V746" i="651"/>
  <c r="V743" i="651"/>
  <c r="V742" i="651"/>
  <c r="V739" i="651"/>
  <c r="V738" i="651"/>
  <c r="V735" i="651"/>
  <c r="V734" i="651"/>
  <c r="V731" i="651"/>
  <c r="V730" i="651"/>
  <c r="V727" i="651"/>
  <c r="V726" i="651"/>
  <c r="V723" i="651"/>
  <c r="V722" i="651"/>
  <c r="V719" i="651"/>
  <c r="V718" i="651"/>
  <c r="V715" i="651"/>
  <c r="V714" i="651"/>
  <c r="V711" i="651"/>
  <c r="V710" i="651"/>
  <c r="V698" i="651"/>
  <c r="V697" i="651"/>
  <c r="V693" i="651"/>
  <c r="V692" i="651"/>
  <c r="V688" i="651"/>
  <c r="V687" i="651"/>
  <c r="V683" i="651"/>
  <c r="V682" i="651"/>
  <c r="V670" i="651"/>
  <c r="V669" i="651"/>
  <c r="V665" i="651"/>
  <c r="V664" i="651"/>
  <c r="V660" i="651"/>
  <c r="V659" i="651"/>
  <c r="V655" i="651"/>
  <c r="V654" i="651"/>
  <c r="V656" i="651" s="1"/>
  <c r="V650" i="651"/>
  <c r="V649" i="651"/>
  <c r="V645" i="651"/>
  <c r="V644" i="651"/>
  <c r="V640" i="651"/>
  <c r="V639" i="651"/>
  <c r="V635" i="651"/>
  <c r="V634" i="651"/>
  <c r="V630" i="651"/>
  <c r="V629" i="651"/>
  <c r="V617" i="651"/>
  <c r="V616" i="651"/>
  <c r="V612" i="651"/>
  <c r="V611" i="651"/>
  <c r="V607" i="651"/>
  <c r="V606" i="651"/>
  <c r="V602" i="651"/>
  <c r="V601" i="651"/>
  <c r="V597" i="651"/>
  <c r="V596" i="651"/>
  <c r="V592" i="651"/>
  <c r="V591" i="651"/>
  <c r="V587" i="651"/>
  <c r="V586" i="651"/>
  <c r="V582" i="651"/>
  <c r="V581" i="651"/>
  <c r="V577" i="651"/>
  <c r="V576" i="651"/>
  <c r="V572" i="651"/>
  <c r="V571" i="651"/>
  <c r="V567" i="651"/>
  <c r="V566" i="651"/>
  <c r="V562" i="651"/>
  <c r="V561" i="651"/>
  <c r="V557" i="651"/>
  <c r="V556" i="651"/>
  <c r="V552" i="651"/>
  <c r="V551" i="651"/>
  <c r="V547" i="651"/>
  <c r="V546" i="651"/>
  <c r="V536" i="651"/>
  <c r="V538" i="651" s="1"/>
  <c r="V532" i="651"/>
  <c r="V531" i="651"/>
  <c r="V527" i="651"/>
  <c r="V526" i="651"/>
  <c r="V519" i="651"/>
  <c r="V518" i="651"/>
  <c r="U755" i="651"/>
  <c r="U754" i="651"/>
  <c r="U751" i="651"/>
  <c r="U750" i="651"/>
  <c r="U747" i="651"/>
  <c r="U746" i="651"/>
  <c r="U743" i="651"/>
  <c r="U742" i="651"/>
  <c r="U739" i="651"/>
  <c r="U738" i="651"/>
  <c r="U735" i="651"/>
  <c r="U734" i="651"/>
  <c r="U731" i="651"/>
  <c r="U730" i="651"/>
  <c r="U727" i="651"/>
  <c r="U726" i="651"/>
  <c r="U723" i="651"/>
  <c r="U722" i="651"/>
  <c r="U719" i="651"/>
  <c r="U718" i="651"/>
  <c r="U715" i="651"/>
  <c r="U714" i="651"/>
  <c r="U711" i="651"/>
  <c r="U710" i="651"/>
  <c r="U698" i="651"/>
  <c r="U697" i="651"/>
  <c r="U693" i="651"/>
  <c r="U692" i="651"/>
  <c r="U688" i="651"/>
  <c r="U687" i="651"/>
  <c r="U683" i="651"/>
  <c r="U682" i="651"/>
  <c r="U670" i="651"/>
  <c r="U669" i="651"/>
  <c r="U665" i="651"/>
  <c r="U664" i="651"/>
  <c r="U660" i="651"/>
  <c r="U659" i="651"/>
  <c r="U655" i="651"/>
  <c r="U654" i="651"/>
  <c r="U656" i="651" s="1"/>
  <c r="U650" i="651"/>
  <c r="U649" i="651"/>
  <c r="U645" i="651"/>
  <c r="U644" i="651"/>
  <c r="U640" i="651"/>
  <c r="U639" i="651"/>
  <c r="U635" i="651"/>
  <c r="U634" i="651"/>
  <c r="U630" i="651"/>
  <c r="U629" i="651"/>
  <c r="U617" i="651"/>
  <c r="U616" i="651"/>
  <c r="U612" i="651"/>
  <c r="U611" i="651"/>
  <c r="U607" i="651"/>
  <c r="U606" i="651"/>
  <c r="U602" i="651"/>
  <c r="U601" i="651"/>
  <c r="U597" i="651"/>
  <c r="U596" i="651"/>
  <c r="U592" i="651"/>
  <c r="U591" i="651"/>
  <c r="U587" i="651"/>
  <c r="U586" i="651"/>
  <c r="U582" i="651"/>
  <c r="U581" i="651"/>
  <c r="U577" i="651"/>
  <c r="U576" i="651"/>
  <c r="U572" i="651"/>
  <c r="U571" i="651"/>
  <c r="U567" i="651"/>
  <c r="U566" i="651"/>
  <c r="U562" i="651"/>
  <c r="U561" i="651"/>
  <c r="U557" i="651"/>
  <c r="U556" i="651"/>
  <c r="U552" i="651"/>
  <c r="U551" i="651"/>
  <c r="U553" i="651" s="1"/>
  <c r="U547" i="651"/>
  <c r="U546" i="651"/>
  <c r="U536" i="651"/>
  <c r="U538" i="651" s="1"/>
  <c r="U532" i="651"/>
  <c r="U531" i="651"/>
  <c r="U527" i="651"/>
  <c r="U526" i="651"/>
  <c r="U519" i="651"/>
  <c r="U518" i="651"/>
  <c r="T755" i="651"/>
  <c r="T754" i="651"/>
  <c r="T751" i="651"/>
  <c r="T750" i="651"/>
  <c r="T747" i="651"/>
  <c r="T746" i="651"/>
  <c r="T743" i="651"/>
  <c r="T742" i="651"/>
  <c r="T739" i="651"/>
  <c r="T738" i="651"/>
  <c r="T735" i="651"/>
  <c r="T734" i="651"/>
  <c r="T731" i="651"/>
  <c r="T730" i="651"/>
  <c r="T727" i="651"/>
  <c r="T726" i="651"/>
  <c r="T723" i="651"/>
  <c r="T722" i="651"/>
  <c r="T719" i="651"/>
  <c r="T718" i="651"/>
  <c r="T715" i="651"/>
  <c r="T714" i="651"/>
  <c r="T711" i="651"/>
  <c r="T710" i="651"/>
  <c r="T698" i="651"/>
  <c r="T697" i="651"/>
  <c r="T693" i="651"/>
  <c r="T692" i="651"/>
  <c r="T688" i="651"/>
  <c r="T687" i="651"/>
  <c r="T683" i="651"/>
  <c r="T682" i="651"/>
  <c r="T670" i="651"/>
  <c r="T669" i="651"/>
  <c r="T665" i="651"/>
  <c r="T664" i="651"/>
  <c r="T660" i="651"/>
  <c r="T659" i="651"/>
  <c r="T655" i="651"/>
  <c r="T654" i="651"/>
  <c r="T650" i="651"/>
  <c r="T649" i="651"/>
  <c r="T645" i="651"/>
  <c r="T644" i="651"/>
  <c r="T640" i="651"/>
  <c r="T639" i="651"/>
  <c r="T635" i="651"/>
  <c r="T634" i="651"/>
  <c r="T630" i="651"/>
  <c r="T629" i="651"/>
  <c r="T617" i="651"/>
  <c r="T616" i="651"/>
  <c r="T618" i="651" s="1"/>
  <c r="T612" i="651"/>
  <c r="T611" i="651"/>
  <c r="T607" i="651"/>
  <c r="T606" i="651"/>
  <c r="T602" i="651"/>
  <c r="T601" i="651"/>
  <c r="T597" i="651"/>
  <c r="T596" i="651"/>
  <c r="T592" i="651"/>
  <c r="T591" i="651"/>
  <c r="T587" i="651"/>
  <c r="T586" i="651"/>
  <c r="T582" i="651"/>
  <c r="T581" i="651"/>
  <c r="T577" i="651"/>
  <c r="T576" i="651"/>
  <c r="T572" i="651"/>
  <c r="T571" i="651"/>
  <c r="T567" i="651"/>
  <c r="T566" i="651"/>
  <c r="T562" i="651"/>
  <c r="T561" i="651"/>
  <c r="T557" i="651"/>
  <c r="T556" i="651"/>
  <c r="T552" i="651"/>
  <c r="T551" i="651"/>
  <c r="T547" i="651"/>
  <c r="T546" i="651"/>
  <c r="T536" i="651"/>
  <c r="T538" i="651" s="1"/>
  <c r="T532" i="651"/>
  <c r="T531" i="651"/>
  <c r="T527" i="651"/>
  <c r="T526" i="651"/>
  <c r="T519" i="651"/>
  <c r="T518" i="651"/>
  <c r="V548" i="651" l="1"/>
  <c r="V636" i="651"/>
  <c r="W521" i="651"/>
  <c r="X593" i="651"/>
  <c r="W593" i="651"/>
  <c r="X528" i="651"/>
  <c r="Y736" i="651"/>
  <c r="Y553" i="651"/>
  <c r="Y593" i="651"/>
  <c r="V684" i="651"/>
  <c r="Y646" i="651"/>
  <c r="U548" i="651"/>
  <c r="U689" i="651"/>
  <c r="T636" i="651"/>
  <c r="U558" i="651"/>
  <c r="U646" i="651"/>
  <c r="W563" i="651"/>
  <c r="Y613" i="651"/>
  <c r="V732" i="651"/>
  <c r="V736" i="651"/>
  <c r="W533" i="651"/>
  <c r="Y563" i="651"/>
  <c r="X671" i="651"/>
  <c r="X699" i="651"/>
  <c r="Y699" i="651"/>
  <c r="T646" i="651"/>
  <c r="T736" i="651"/>
  <c r="W553" i="651"/>
  <c r="Y732" i="651"/>
  <c r="U603" i="651"/>
  <c r="W588" i="651"/>
  <c r="W728" i="651"/>
  <c r="X568" i="651"/>
  <c r="X636" i="651"/>
  <c r="Y548" i="651"/>
  <c r="Y636" i="651"/>
  <c r="Y521" i="651"/>
  <c r="U521" i="651"/>
  <c r="U593" i="651"/>
  <c r="W694" i="651"/>
  <c r="T583" i="651"/>
  <c r="T752" i="651"/>
  <c r="U533" i="651"/>
  <c r="V740" i="651"/>
  <c r="X588" i="651"/>
  <c r="Y631" i="651"/>
  <c r="Y740" i="651"/>
  <c r="Y533" i="651"/>
  <c r="T699" i="651"/>
  <c r="U740" i="651"/>
  <c r="X573" i="651"/>
  <c r="Y573" i="651"/>
  <c r="T521" i="651"/>
  <c r="V568" i="651"/>
  <c r="X641" i="651"/>
  <c r="X661" i="651"/>
  <c r="X689" i="651"/>
  <c r="Y641" i="651"/>
  <c r="T573" i="651"/>
  <c r="T593" i="651"/>
  <c r="T613" i="651"/>
  <c r="T744" i="651"/>
  <c r="V553" i="651"/>
  <c r="V573" i="651"/>
  <c r="V641" i="651"/>
  <c r="V661" i="651"/>
  <c r="V689" i="651"/>
  <c r="X578" i="651"/>
  <c r="Y578" i="651"/>
  <c r="T760" i="651"/>
  <c r="T728" i="651"/>
  <c r="T724" i="651"/>
  <c r="T720" i="651"/>
  <c r="U720" i="651"/>
  <c r="W752" i="651"/>
  <c r="X752" i="651"/>
  <c r="U752" i="651"/>
  <c r="V752" i="651"/>
  <c r="Y752" i="651"/>
  <c r="U748" i="651"/>
  <c r="Y748" i="651"/>
  <c r="W748" i="651"/>
  <c r="X748" i="651"/>
  <c r="W744" i="651"/>
  <c r="U728" i="651"/>
  <c r="Y724" i="651"/>
  <c r="V720" i="651"/>
  <c r="X720" i="651"/>
  <c r="Y720" i="651"/>
  <c r="U716" i="651"/>
  <c r="V716" i="651"/>
  <c r="X716" i="651"/>
  <c r="W703" i="651"/>
  <c r="Y702" i="651"/>
  <c r="W699" i="651"/>
  <c r="V694" i="651"/>
  <c r="X694" i="651"/>
  <c r="T689" i="651"/>
  <c r="W684" i="651"/>
  <c r="W666" i="651"/>
  <c r="T661" i="651"/>
  <c r="Y656" i="651"/>
  <c r="T656" i="651"/>
  <c r="V651" i="651"/>
  <c r="X651" i="651"/>
  <c r="Y651" i="651"/>
  <c r="W646" i="651"/>
  <c r="V675" i="651"/>
  <c r="U636" i="651"/>
  <c r="W636" i="651"/>
  <c r="V631" i="651"/>
  <c r="X631" i="651"/>
  <c r="T631" i="651"/>
  <c r="W618" i="651"/>
  <c r="V618" i="651"/>
  <c r="X618" i="651"/>
  <c r="X608" i="651"/>
  <c r="Y608" i="651"/>
  <c r="T603" i="651"/>
  <c r="V603" i="651"/>
  <c r="X603" i="651"/>
  <c r="Y603" i="651"/>
  <c r="V598" i="651"/>
  <c r="X598" i="651"/>
  <c r="Y598" i="651"/>
  <c r="V593" i="651"/>
  <c r="T588" i="651"/>
  <c r="Y588" i="651"/>
  <c r="U583" i="651"/>
  <c r="T578" i="651"/>
  <c r="V578" i="651"/>
  <c r="U563" i="651"/>
  <c r="V558" i="651"/>
  <c r="T553" i="651"/>
  <c r="X553" i="651"/>
  <c r="X548" i="651"/>
  <c r="X533" i="651"/>
  <c r="T533" i="651"/>
  <c r="T702" i="651"/>
  <c r="U675" i="651"/>
  <c r="W674" i="651"/>
  <c r="X702" i="651"/>
  <c r="X760" i="651"/>
  <c r="T563" i="651"/>
  <c r="T598" i="651"/>
  <c r="T641" i="651"/>
  <c r="T703" i="651"/>
  <c r="T740" i="651"/>
  <c r="U671" i="651"/>
  <c r="U732" i="651"/>
  <c r="V588" i="651"/>
  <c r="V674" i="651"/>
  <c r="V699" i="651"/>
  <c r="W568" i="651"/>
  <c r="W675" i="651"/>
  <c r="W724" i="651"/>
  <c r="W740" i="651"/>
  <c r="X613" i="651"/>
  <c r="X703" i="651"/>
  <c r="X728" i="651"/>
  <c r="X744" i="651"/>
  <c r="X761" i="651"/>
  <c r="Y558" i="651"/>
  <c r="T761" i="651"/>
  <c r="V608" i="651"/>
  <c r="W761" i="651"/>
  <c r="T716" i="651"/>
  <c r="U578" i="651"/>
  <c r="U641" i="651"/>
  <c r="U703" i="651"/>
  <c r="V703" i="651"/>
  <c r="V728" i="651"/>
  <c r="W558" i="651"/>
  <c r="W578" i="651"/>
  <c r="W661" i="651"/>
  <c r="W689" i="651"/>
  <c r="W716" i="651"/>
  <c r="X521" i="651"/>
  <c r="X563" i="651"/>
  <c r="X583" i="651"/>
  <c r="X646" i="651"/>
  <c r="X666" i="651"/>
  <c r="X732" i="651"/>
  <c r="Y528" i="651"/>
  <c r="Y583" i="651"/>
  <c r="Y618" i="651"/>
  <c r="Y661" i="651"/>
  <c r="Y689" i="651"/>
  <c r="Y728" i="651"/>
  <c r="T548" i="651"/>
  <c r="U702" i="651"/>
  <c r="T674" i="651"/>
  <c r="T748" i="651"/>
  <c r="U618" i="651"/>
  <c r="U661" i="651"/>
  <c r="U761" i="651"/>
  <c r="W732" i="651"/>
  <c r="Y568" i="651"/>
  <c r="Y716" i="651"/>
  <c r="U760" i="651"/>
  <c r="T558" i="651"/>
  <c r="T675" i="651"/>
  <c r="U588" i="651"/>
  <c r="U631" i="651"/>
  <c r="U674" i="651"/>
  <c r="V521" i="651"/>
  <c r="V563" i="651"/>
  <c r="V646" i="651"/>
  <c r="V748" i="651"/>
  <c r="W548" i="651"/>
  <c r="W603" i="651"/>
  <c r="W631" i="651"/>
  <c r="X675" i="651"/>
  <c r="X740" i="651"/>
  <c r="C14" i="653"/>
  <c r="Y694" i="651"/>
  <c r="Y675" i="651"/>
  <c r="Y703" i="651"/>
  <c r="Y760" i="651"/>
  <c r="Y712" i="651"/>
  <c r="Y674" i="651"/>
  <c r="Y666" i="651"/>
  <c r="Y744" i="651"/>
  <c r="Y761" i="651"/>
  <c r="Y684" i="651"/>
  <c r="Y756" i="651"/>
  <c r="Y671" i="651"/>
  <c r="X712" i="651"/>
  <c r="X684" i="651"/>
  <c r="X756" i="651"/>
  <c r="X656" i="651"/>
  <c r="X736" i="651"/>
  <c r="X558" i="651"/>
  <c r="X724" i="651"/>
  <c r="X674" i="651"/>
  <c r="W651" i="651"/>
  <c r="W756" i="651"/>
  <c r="W573" i="651"/>
  <c r="W613" i="651"/>
  <c r="W656" i="651"/>
  <c r="W736" i="651"/>
  <c r="W528" i="651"/>
  <c r="W583" i="651"/>
  <c r="W598" i="651"/>
  <c r="W641" i="651"/>
  <c r="W671" i="651"/>
  <c r="W702" i="651"/>
  <c r="W760" i="651"/>
  <c r="W608" i="651"/>
  <c r="W712" i="651"/>
  <c r="V528" i="651"/>
  <c r="V583" i="651"/>
  <c r="V724" i="651"/>
  <c r="V756" i="651"/>
  <c r="V613" i="651"/>
  <c r="V533" i="651"/>
  <c r="V671" i="651"/>
  <c r="V702" i="651"/>
  <c r="V760" i="651"/>
  <c r="V666" i="651"/>
  <c r="V712" i="651"/>
  <c r="V744" i="651"/>
  <c r="V761" i="651"/>
  <c r="U651" i="651"/>
  <c r="U694" i="651"/>
  <c r="U666" i="651"/>
  <c r="U598" i="651"/>
  <c r="U724" i="651"/>
  <c r="U756" i="651"/>
  <c r="U573" i="651"/>
  <c r="U613" i="651"/>
  <c r="U699" i="651"/>
  <c r="U736" i="651"/>
  <c r="U568" i="651"/>
  <c r="U608" i="651"/>
  <c r="U528" i="651"/>
  <c r="U712" i="651"/>
  <c r="U744" i="651"/>
  <c r="U684" i="651"/>
  <c r="T568" i="651"/>
  <c r="T608" i="651"/>
  <c r="T651" i="651"/>
  <c r="T694" i="651"/>
  <c r="T732" i="651"/>
  <c r="T528" i="651"/>
  <c r="T666" i="651"/>
  <c r="T712" i="651"/>
  <c r="T684" i="651"/>
  <c r="T756" i="651"/>
  <c r="T671" i="651"/>
  <c r="V705" i="651" l="1"/>
  <c r="X705" i="651"/>
  <c r="Y705" i="651"/>
  <c r="T759" i="651"/>
  <c r="V759" i="651"/>
  <c r="W705" i="651"/>
  <c r="T677" i="651"/>
  <c r="Y759" i="651"/>
  <c r="V677" i="651"/>
  <c r="W677" i="651"/>
  <c r="X677" i="651"/>
  <c r="W759" i="651"/>
  <c r="U705" i="651"/>
  <c r="X759" i="651"/>
  <c r="Y677" i="651"/>
  <c r="U677" i="651"/>
  <c r="U759" i="651"/>
  <c r="T705" i="651"/>
  <c r="U81" i="647" l="1"/>
  <c r="V81" i="647"/>
  <c r="W81" i="647"/>
  <c r="U143" i="647"/>
  <c r="V143" i="647"/>
  <c r="W143" i="647"/>
  <c r="U148" i="647"/>
  <c r="V148" i="647"/>
  <c r="W148" i="647"/>
  <c r="Q53" i="652" l="1"/>
  <c r="R53" i="652" s="1"/>
  <c r="F20" i="647"/>
  <c r="G28" i="647" l="1"/>
  <c r="G29" i="647"/>
  <c r="E22" i="647" l="1"/>
  <c r="K80" i="652"/>
  <c r="K78" i="652"/>
  <c r="K77" i="652"/>
  <c r="G73" i="652"/>
  <c r="J32" i="652"/>
  <c r="J29" i="652"/>
  <c r="J27" i="652"/>
  <c r="J26" i="652"/>
  <c r="J25" i="652"/>
  <c r="J20" i="652"/>
  <c r="J19" i="652"/>
  <c r="J18" i="652"/>
  <c r="J17" i="652"/>
  <c r="K82" i="652" l="1"/>
  <c r="F22" i="647"/>
  <c r="G22" i="647" s="1"/>
  <c r="K16" i="652"/>
  <c r="AR148" i="647" l="1"/>
  <c r="AQ148" i="647"/>
  <c r="AP148" i="647"/>
  <c r="AO148" i="647"/>
  <c r="AN148" i="647"/>
  <c r="AM148" i="647"/>
  <c r="AL148" i="647"/>
  <c r="AK148" i="647"/>
  <c r="AJ148" i="647"/>
  <c r="AI148" i="647"/>
  <c r="AH148" i="647"/>
  <c r="AG148" i="647"/>
  <c r="AF148" i="647"/>
  <c r="AE148" i="647"/>
  <c r="AD148" i="647"/>
  <c r="AC148" i="647"/>
  <c r="AB148" i="647"/>
  <c r="AA148" i="647"/>
  <c r="Z148" i="647"/>
  <c r="Y148" i="647"/>
  <c r="N11" i="647"/>
  <c r="N12" i="647" s="1"/>
  <c r="N13" i="647" s="1"/>
  <c r="N14" i="647" s="1"/>
  <c r="N15" i="647" s="1"/>
  <c r="N16" i="647" s="1"/>
  <c r="N17" i="647" s="1"/>
  <c r="N18" i="647" s="1"/>
  <c r="N19" i="647" s="1"/>
  <c r="N20" i="647" s="1"/>
  <c r="N21" i="647" s="1"/>
  <c r="N22" i="647" s="1"/>
  <c r="N23" i="647" s="1"/>
  <c r="N24" i="647" s="1"/>
  <c r="N25" i="647" s="1"/>
  <c r="N26" i="647" s="1"/>
  <c r="N27" i="647" s="1"/>
  <c r="N28" i="647" s="1"/>
  <c r="N29" i="647" s="1"/>
  <c r="N30" i="647" s="1"/>
  <c r="N31" i="647" s="1"/>
  <c r="N32" i="647" s="1"/>
  <c r="N33" i="647" s="1"/>
  <c r="N34" i="647" s="1"/>
  <c r="N35" i="647" s="1"/>
  <c r="N36" i="647" s="1"/>
  <c r="N37" i="647" s="1"/>
  <c r="N38" i="647" s="1"/>
  <c r="N39" i="647" s="1"/>
  <c r="N40" i="647" s="1"/>
  <c r="N41" i="647" s="1"/>
  <c r="N42" i="647" s="1"/>
  <c r="N43" i="647" s="1"/>
  <c r="N44" i="647" s="1"/>
  <c r="N45" i="647" s="1"/>
  <c r="N46" i="647" s="1"/>
  <c r="N47" i="647" s="1"/>
  <c r="N48" i="647" s="1"/>
  <c r="N49" i="647" s="1"/>
  <c r="N50" i="647" s="1"/>
  <c r="N51" i="647" s="1"/>
  <c r="N52" i="647" s="1"/>
  <c r="N53" i="647" s="1"/>
  <c r="N54" i="647" s="1"/>
  <c r="N55" i="647" s="1"/>
  <c r="N56" i="647" s="1"/>
  <c r="N57" i="647" s="1"/>
  <c r="N58" i="647" s="1"/>
  <c r="N59" i="647" s="1"/>
  <c r="N60" i="647" s="1"/>
  <c r="N61" i="647" s="1"/>
  <c r="N62" i="647" s="1"/>
  <c r="N63" i="647" s="1"/>
  <c r="N64" i="647" s="1"/>
  <c r="N65" i="647" s="1"/>
  <c r="N66" i="647" s="1"/>
  <c r="N67" i="647" s="1"/>
  <c r="N68" i="647" s="1"/>
  <c r="N69" i="647" s="1"/>
  <c r="N70" i="647" s="1"/>
  <c r="N71" i="647" s="1"/>
  <c r="N72" i="647" s="1"/>
  <c r="N73" i="647" s="1"/>
  <c r="N74" i="647" s="1"/>
  <c r="N75" i="647" s="1"/>
  <c r="N76" i="647" s="1"/>
  <c r="N77" i="647" s="1"/>
  <c r="N78" i="647" s="1"/>
  <c r="N79" i="647" s="1"/>
  <c r="N80" i="647" s="1"/>
  <c r="N81" i="647" s="1"/>
  <c r="N82" i="647" s="1"/>
  <c r="N83" i="647" s="1"/>
  <c r="N84" i="647" s="1"/>
  <c r="N85" i="647" s="1"/>
  <c r="N86" i="647" s="1"/>
  <c r="N87" i="647" s="1"/>
  <c r="N88" i="647" s="1"/>
  <c r="N89" i="647" s="1"/>
  <c r="N90" i="647" s="1"/>
  <c r="N91" i="647" s="1"/>
  <c r="N92" i="647" s="1"/>
  <c r="N93" i="647" s="1"/>
  <c r="N94" i="647" s="1"/>
  <c r="N95" i="647" s="1"/>
  <c r="N96" i="647" s="1"/>
  <c r="N97" i="647" s="1"/>
  <c r="N98" i="647" s="1"/>
  <c r="N99" i="647" s="1"/>
  <c r="N100" i="647" s="1"/>
  <c r="N101" i="647" s="1"/>
  <c r="N102" i="647" s="1"/>
  <c r="N103" i="647" s="1"/>
  <c r="N104" i="647" s="1"/>
  <c r="N105" i="647" s="1"/>
  <c r="N106" i="647" s="1"/>
  <c r="N107" i="647" s="1"/>
  <c r="N108" i="647" s="1"/>
  <c r="N109" i="647" s="1"/>
  <c r="N110" i="647" s="1"/>
  <c r="N111" i="647" s="1"/>
  <c r="N112" i="647" s="1"/>
  <c r="N113" i="647" s="1"/>
  <c r="N114" i="647" s="1"/>
  <c r="N115" i="647" s="1"/>
  <c r="N116" i="647" s="1"/>
  <c r="N117" i="647" s="1"/>
  <c r="N118" i="647" s="1"/>
  <c r="N119" i="647" s="1"/>
  <c r="N120" i="647" s="1"/>
  <c r="N121" i="647" s="1"/>
  <c r="N122" i="647" s="1"/>
  <c r="N123" i="647" s="1"/>
  <c r="N124" i="647" s="1"/>
  <c r="N125" i="647" s="1"/>
  <c r="N126" i="647" s="1"/>
  <c r="N127" i="647" s="1"/>
  <c r="N128" i="647" s="1"/>
  <c r="N129" i="647" s="1"/>
  <c r="N130" i="647" s="1"/>
  <c r="N131" i="647" s="1"/>
  <c r="N132" i="647" s="1"/>
  <c r="N133" i="647" s="1"/>
  <c r="N134" i="647" s="1"/>
  <c r="N135" i="647" s="1"/>
  <c r="N136" i="647" s="1"/>
  <c r="N137" i="647" s="1"/>
  <c r="N138" i="647" s="1"/>
  <c r="N139" i="647" s="1"/>
  <c r="N140" i="647" s="1"/>
  <c r="N141" i="647" s="1"/>
  <c r="N142" i="647" s="1"/>
  <c r="N143" i="647" s="1"/>
  <c r="N144" i="647" s="1"/>
  <c r="N145" i="647" s="1"/>
  <c r="N146" i="647" s="1"/>
  <c r="N147" i="647" s="1"/>
  <c r="N148" i="647" s="1"/>
  <c r="N149" i="647" s="1"/>
  <c r="N150" i="647" s="1"/>
  <c r="N151" i="647" s="1"/>
  <c r="N152" i="647" s="1"/>
  <c r="N153" i="647" s="1"/>
  <c r="N154" i="647" s="1"/>
  <c r="N155" i="647" s="1"/>
  <c r="N156" i="647" s="1"/>
  <c r="N157" i="647" s="1"/>
  <c r="N158" i="647" s="1"/>
  <c r="N159" i="647" s="1"/>
  <c r="N160" i="647" s="1"/>
  <c r="N161" i="647" s="1"/>
  <c r="N162" i="647" s="1"/>
  <c r="N163" i="647" s="1"/>
  <c r="N164" i="647" s="1"/>
  <c r="N165" i="647" s="1"/>
  <c r="N166" i="647" s="1"/>
  <c r="N167" i="647" s="1"/>
  <c r="N168" i="647" s="1"/>
  <c r="N169" i="647" s="1"/>
  <c r="N170" i="647" s="1"/>
  <c r="N171" i="647" s="1"/>
  <c r="H1100" i="6"/>
  <c r="H1099" i="6"/>
  <c r="H1094" i="6"/>
  <c r="H16" i="1" l="1"/>
  <c r="I10" i="1"/>
  <c r="I7" i="725" l="1"/>
  <c r="I8" i="725" s="1"/>
  <c r="I9" i="725" s="1"/>
  <c r="I10" i="725" s="1"/>
  <c r="I11" i="725" s="1"/>
  <c r="I12" i="725" s="1"/>
  <c r="I13" i="725" s="1"/>
  <c r="I14" i="725" s="1"/>
  <c r="I15" i="725" s="1"/>
  <c r="I16" i="725" s="1"/>
  <c r="I17" i="725" s="1"/>
  <c r="I18" i="725" s="1"/>
  <c r="I19" i="725" s="1"/>
  <c r="I20" i="725" s="1"/>
  <c r="I21" i="725" s="1"/>
  <c r="I22" i="725" s="1"/>
  <c r="I23" i="725" s="1"/>
  <c r="I24" i="725" s="1"/>
  <c r="I25" i="725" s="1"/>
  <c r="I26" i="725" s="1"/>
  <c r="I27" i="725" s="1"/>
  <c r="I28" i="725" s="1"/>
  <c r="I29" i="725" s="1"/>
  <c r="I30" i="725" s="1"/>
  <c r="I31" i="725" s="1"/>
  <c r="I32" i="725" s="1"/>
  <c r="I33" i="725" s="1"/>
  <c r="I34" i="725" s="1"/>
  <c r="I35" i="725" s="1"/>
  <c r="I36" i="725" s="1"/>
  <c r="I37" i="725" s="1"/>
  <c r="I38" i="725" s="1"/>
  <c r="I39" i="725" s="1"/>
  <c r="I40" i="725" s="1"/>
  <c r="I41" i="725" s="1"/>
  <c r="I42" i="725" s="1"/>
  <c r="I43" i="725" s="1"/>
  <c r="I44" i="725" s="1"/>
  <c r="I45" i="725" s="1"/>
  <c r="I46" i="725" s="1"/>
  <c r="I47" i="725" s="1"/>
  <c r="I48" i="725" s="1"/>
  <c r="I49" i="725" s="1"/>
  <c r="H73" i="652" l="1"/>
  <c r="R66" i="5" l="1"/>
  <c r="S66" i="5"/>
  <c r="H11" i="5"/>
  <c r="H12" i="5"/>
  <c r="H13" i="5"/>
  <c r="H14" i="5"/>
  <c r="H15" i="5"/>
  <c r="H20" i="5"/>
  <c r="H21" i="5"/>
  <c r="H24" i="5"/>
  <c r="H25" i="5"/>
  <c r="H53" i="5"/>
  <c r="I53" i="5"/>
  <c r="H54" i="5"/>
  <c r="I54" i="5"/>
  <c r="H66" i="5"/>
  <c r="I66" i="5"/>
  <c r="J66" i="5"/>
  <c r="K66" i="5"/>
  <c r="L66" i="5"/>
  <c r="M66" i="5"/>
  <c r="N66" i="5"/>
  <c r="O66" i="5"/>
  <c r="P66" i="5"/>
  <c r="Q66" i="5"/>
  <c r="H22" i="5" l="1"/>
  <c r="H16" i="5"/>
  <c r="H26" i="5"/>
  <c r="AV264" i="651" l="1"/>
  <c r="G222" i="651" l="1"/>
  <c r="H222" i="651"/>
  <c r="I222" i="651"/>
  <c r="J222" i="651"/>
  <c r="K222" i="651"/>
  <c r="L222" i="651"/>
  <c r="M222" i="651"/>
  <c r="N222" i="651"/>
  <c r="O222" i="651"/>
  <c r="P222" i="651"/>
  <c r="Q222" i="651"/>
  <c r="R222" i="651"/>
  <c r="G223" i="651"/>
  <c r="H223" i="651"/>
  <c r="I223" i="651"/>
  <c r="J223" i="651"/>
  <c r="K223" i="651"/>
  <c r="L223" i="651"/>
  <c r="M223" i="651"/>
  <c r="N223" i="651"/>
  <c r="O223" i="651"/>
  <c r="P223" i="651"/>
  <c r="Q223" i="651"/>
  <c r="R223" i="651"/>
  <c r="G226" i="651"/>
  <c r="H226" i="651"/>
  <c r="I226" i="651"/>
  <c r="J226" i="651"/>
  <c r="K226" i="651"/>
  <c r="L226" i="651"/>
  <c r="M226" i="651"/>
  <c r="N226" i="651"/>
  <c r="O226" i="651"/>
  <c r="P226" i="651"/>
  <c r="Q226" i="651"/>
  <c r="R226" i="651"/>
  <c r="G227" i="651"/>
  <c r="H227" i="651"/>
  <c r="I227" i="651"/>
  <c r="J227" i="651"/>
  <c r="K227" i="651"/>
  <c r="L227" i="651"/>
  <c r="M227" i="651"/>
  <c r="N227" i="651"/>
  <c r="O227" i="651"/>
  <c r="P227" i="651"/>
  <c r="Q227" i="651"/>
  <c r="R227" i="651"/>
  <c r="E15" i="725" l="1"/>
  <c r="G14" i="725"/>
  <c r="G13" i="725"/>
  <c r="A1" i="725"/>
  <c r="E1226" i="712"/>
  <c r="E1205" i="712"/>
  <c r="E1204" i="712"/>
  <c r="E1203" i="712"/>
  <c r="E1202" i="712"/>
  <c r="E1199" i="712"/>
  <c r="E1195" i="712"/>
  <c r="E1188" i="712"/>
  <c r="E1181" i="712"/>
  <c r="E1174" i="712"/>
  <c r="E1170" i="712"/>
  <c r="E1165" i="712"/>
  <c r="E1160" i="712"/>
  <c r="E1153" i="712"/>
  <c r="E1146" i="712"/>
  <c r="E1142" i="712"/>
  <c r="E1138" i="712"/>
  <c r="E1120" i="712"/>
  <c r="E1113" i="712"/>
  <c r="E1106" i="712"/>
  <c r="E1099" i="712"/>
  <c r="E1092" i="712"/>
  <c r="E1125" i="712" s="1"/>
  <c r="E1086" i="712"/>
  <c r="E1081" i="712"/>
  <c r="E1075" i="712"/>
  <c r="E1070" i="712"/>
  <c r="E1064" i="712"/>
  <c r="E1058" i="712"/>
  <c r="E1052" i="712"/>
  <c r="E1047" i="712"/>
  <c r="E1041" i="712"/>
  <c r="E1035" i="712"/>
  <c r="E1029" i="712"/>
  <c r="E1021" i="712"/>
  <c r="E1016" i="712"/>
  <c r="E1011" i="712"/>
  <c r="E1006" i="712"/>
  <c r="E1001" i="712"/>
  <c r="E996" i="712"/>
  <c r="E991" i="712"/>
  <c r="E985" i="712"/>
  <c r="E1093" i="712" s="1"/>
  <c r="E1126" i="712" s="1"/>
  <c r="E975" i="712"/>
  <c r="E970" i="712"/>
  <c r="E964" i="712"/>
  <c r="E1091" i="712" s="1"/>
  <c r="E953" i="712"/>
  <c r="E921" i="712"/>
  <c r="E1225" i="712" s="1"/>
  <c r="E911" i="712"/>
  <c r="E904" i="712"/>
  <c r="E887" i="712"/>
  <c r="E886" i="712"/>
  <c r="E884" i="712"/>
  <c r="E880" i="712"/>
  <c r="E876" i="712"/>
  <c r="E872" i="712"/>
  <c r="E868" i="712"/>
  <c r="E864" i="712"/>
  <c r="E860" i="712"/>
  <c r="E856" i="712"/>
  <c r="E852" i="712"/>
  <c r="E848" i="712"/>
  <c r="E844" i="712"/>
  <c r="E840" i="712"/>
  <c r="E831" i="712"/>
  <c r="E830" i="712"/>
  <c r="E827" i="712"/>
  <c r="E822" i="712"/>
  <c r="E817" i="712"/>
  <c r="E812" i="712"/>
  <c r="E803" i="712"/>
  <c r="E802" i="712"/>
  <c r="E799" i="712"/>
  <c r="E794" i="712"/>
  <c r="E789" i="712"/>
  <c r="E784" i="712"/>
  <c r="E779" i="712"/>
  <c r="E774" i="712"/>
  <c r="E769" i="712"/>
  <c r="E764" i="712"/>
  <c r="E759" i="712"/>
  <c r="E750" i="712"/>
  <c r="E749" i="712"/>
  <c r="E746" i="712"/>
  <c r="E741" i="712"/>
  <c r="E736" i="712"/>
  <c r="E731" i="712"/>
  <c r="E726" i="712"/>
  <c r="E721" i="712"/>
  <c r="E716" i="712"/>
  <c r="E711" i="712"/>
  <c r="E706" i="712"/>
  <c r="E701" i="712"/>
  <c r="E696" i="712"/>
  <c r="E691" i="712"/>
  <c r="E686" i="712"/>
  <c r="E681" i="712"/>
  <c r="E676" i="712"/>
  <c r="E671" i="712"/>
  <c r="E666" i="712"/>
  <c r="E661" i="712"/>
  <c r="E656" i="712"/>
  <c r="E649" i="712"/>
  <c r="E634" i="712"/>
  <c r="E633" i="712"/>
  <c r="E632" i="712"/>
  <c r="E628" i="712"/>
  <c r="E631" i="712" s="1"/>
  <c r="E623" i="712"/>
  <c r="E618" i="712"/>
  <c r="E613" i="712"/>
  <c r="E608" i="712"/>
  <c r="E603" i="712"/>
  <c r="E598" i="712"/>
  <c r="E593" i="712"/>
  <c r="E588" i="712"/>
  <c r="E583" i="712"/>
  <c r="E578" i="712"/>
  <c r="E573" i="712"/>
  <c r="E568" i="712"/>
  <c r="E563" i="712"/>
  <c r="E558" i="712"/>
  <c r="E553" i="712"/>
  <c r="E548" i="712"/>
  <c r="E543" i="712"/>
  <c r="E538" i="712"/>
  <c r="E533" i="712"/>
  <c r="E528" i="712"/>
  <c r="E523" i="712"/>
  <c r="E507" i="712"/>
  <c r="E506" i="712"/>
  <c r="E505" i="712"/>
  <c r="E503" i="712"/>
  <c r="E502" i="712"/>
  <c r="E501" i="712"/>
  <c r="E497" i="712"/>
  <c r="E492" i="712"/>
  <c r="E487" i="712"/>
  <c r="E482" i="712"/>
  <c r="E477" i="712"/>
  <c r="E472" i="712"/>
  <c r="E467" i="712"/>
  <c r="E462" i="712"/>
  <c r="E457" i="712"/>
  <c r="E452" i="712"/>
  <c r="E447" i="712"/>
  <c r="E442" i="712"/>
  <c r="E437" i="712"/>
  <c r="E432" i="712"/>
  <c r="E427" i="712"/>
  <c r="E422" i="712"/>
  <c r="E417" i="712"/>
  <c r="E412" i="712"/>
  <c r="E407" i="712"/>
  <c r="E402" i="712"/>
  <c r="E397" i="712"/>
  <c r="E392" i="712"/>
  <c r="E387" i="712"/>
  <c r="E382" i="712"/>
  <c r="E359" i="712"/>
  <c r="E358" i="712"/>
  <c r="E357" i="712"/>
  <c r="E354" i="712"/>
  <c r="E353" i="712"/>
  <c r="E348" i="712"/>
  <c r="E339" i="712"/>
  <c r="E331" i="712"/>
  <c r="E330" i="712"/>
  <c r="E329" i="712"/>
  <c r="E326" i="712"/>
  <c r="E325" i="712"/>
  <c r="E365" i="712" s="1"/>
  <c r="E324" i="712"/>
  <c r="E323" i="712"/>
  <c r="E316" i="712"/>
  <c r="E307" i="712"/>
  <c r="E298" i="712"/>
  <c r="E289" i="712"/>
  <c r="E280" i="712"/>
  <c r="E271" i="712"/>
  <c r="E262" i="712"/>
  <c r="E253" i="712"/>
  <c r="E244" i="712"/>
  <c r="E236" i="712"/>
  <c r="E234" i="712"/>
  <c r="E231" i="712"/>
  <c r="E230" i="712"/>
  <c r="E229" i="712"/>
  <c r="E224" i="712"/>
  <c r="E215" i="712"/>
  <c r="E207" i="712"/>
  <c r="E206" i="712"/>
  <c r="E205" i="712"/>
  <c r="E202" i="712"/>
  <c r="E201" i="712"/>
  <c r="E200" i="712"/>
  <c r="E192" i="712"/>
  <c r="E183" i="712"/>
  <c r="E174" i="712"/>
  <c r="E165" i="712"/>
  <c r="E156" i="712"/>
  <c r="E147" i="712"/>
  <c r="E138" i="712"/>
  <c r="E129" i="712"/>
  <c r="E120" i="712"/>
  <c r="E111" i="712"/>
  <c r="E102" i="712"/>
  <c r="E93" i="712"/>
  <c r="E84" i="712"/>
  <c r="E75" i="712"/>
  <c r="E66" i="712"/>
  <c r="E57" i="712"/>
  <c r="E48" i="712"/>
  <c r="E39" i="712"/>
  <c r="E30" i="712"/>
  <c r="E21" i="712"/>
  <c r="E1226" i="711"/>
  <c r="E1205" i="711"/>
  <c r="E1204" i="711"/>
  <c r="E1203" i="711"/>
  <c r="E1202" i="711"/>
  <c r="E1199" i="711"/>
  <c r="E1195" i="711"/>
  <c r="E1188" i="711"/>
  <c r="E1181" i="711"/>
  <c r="E1174" i="711"/>
  <c r="E1170" i="711"/>
  <c r="E1165" i="711"/>
  <c r="E1160" i="711"/>
  <c r="E1153" i="711"/>
  <c r="E1146" i="711"/>
  <c r="E1142" i="711"/>
  <c r="E1138" i="711"/>
  <c r="E1120" i="711"/>
  <c r="E1113" i="711"/>
  <c r="E1106" i="711"/>
  <c r="E1099" i="711"/>
  <c r="E1092" i="711"/>
  <c r="E1125" i="711" s="1"/>
  <c r="E1086" i="711"/>
  <c r="E1081" i="711"/>
  <c r="E1075" i="711"/>
  <c r="E1070" i="711"/>
  <c r="E1064" i="711"/>
  <c r="E1058" i="711"/>
  <c r="E1052" i="711"/>
  <c r="E1047" i="711"/>
  <c r="E1041" i="711"/>
  <c r="E1035" i="711"/>
  <c r="E1029" i="711"/>
  <c r="E1021" i="711"/>
  <c r="E1016" i="711"/>
  <c r="E1011" i="711"/>
  <c r="E1006" i="711"/>
  <c r="E1001" i="711"/>
  <c r="E996" i="711"/>
  <c r="E991" i="711"/>
  <c r="E985" i="711"/>
  <c r="E1093" i="711" s="1"/>
  <c r="E1126" i="711" s="1"/>
  <c r="E975" i="711"/>
  <c r="E970" i="711"/>
  <c r="E964" i="711"/>
  <c r="E1091" i="711" s="1"/>
  <c r="E953" i="711"/>
  <c r="E921" i="711"/>
  <c r="E1225" i="711" s="1"/>
  <c r="E911" i="711"/>
  <c r="E904" i="711"/>
  <c r="E887" i="711"/>
  <c r="E886" i="711"/>
  <c r="E884" i="711"/>
  <c r="E880" i="711"/>
  <c r="E876" i="711"/>
  <c r="E872" i="711"/>
  <c r="E868" i="711"/>
  <c r="E864" i="711"/>
  <c r="E860" i="711"/>
  <c r="E856" i="711"/>
  <c r="E852" i="711"/>
  <c r="E848" i="711"/>
  <c r="E844" i="711"/>
  <c r="E840" i="711"/>
  <c r="E831" i="711"/>
  <c r="E830" i="711"/>
  <c r="E827" i="711"/>
  <c r="E822" i="711"/>
  <c r="E817" i="711"/>
  <c r="E812" i="711"/>
  <c r="E803" i="711"/>
  <c r="E802" i="711"/>
  <c r="E799" i="711"/>
  <c r="E794" i="711"/>
  <c r="E789" i="711"/>
  <c r="E784" i="711"/>
  <c r="E779" i="711"/>
  <c r="E774" i="711"/>
  <c r="E769" i="711"/>
  <c r="E764" i="711"/>
  <c r="E759" i="711"/>
  <c r="E750" i="711"/>
  <c r="E749" i="711"/>
  <c r="E746" i="711"/>
  <c r="E741" i="711"/>
  <c r="E736" i="711"/>
  <c r="E731" i="711"/>
  <c r="E726" i="711"/>
  <c r="E721" i="711"/>
  <c r="E716" i="711"/>
  <c r="E711" i="711"/>
  <c r="E706" i="711"/>
  <c r="E701" i="711"/>
  <c r="E696" i="711"/>
  <c r="E691" i="711"/>
  <c r="E686" i="711"/>
  <c r="E681" i="711"/>
  <c r="E676" i="711"/>
  <c r="E671" i="711"/>
  <c r="E666" i="711"/>
  <c r="E661" i="711"/>
  <c r="E656" i="711"/>
  <c r="E649" i="711"/>
  <c r="E634" i="711"/>
  <c r="E633" i="711"/>
  <c r="E632" i="711"/>
  <c r="E628" i="711"/>
  <c r="E631" i="711" s="1"/>
  <c r="E623" i="711"/>
  <c r="E618" i="711"/>
  <c r="E613" i="711"/>
  <c r="E608" i="711"/>
  <c r="E603" i="711"/>
  <c r="E598" i="711"/>
  <c r="E593" i="711"/>
  <c r="E588" i="711"/>
  <c r="E583" i="711"/>
  <c r="E578" i="711"/>
  <c r="E573" i="711"/>
  <c r="E568" i="711"/>
  <c r="E563" i="711"/>
  <c r="E558" i="711"/>
  <c r="E553" i="711"/>
  <c r="E548" i="711"/>
  <c r="E543" i="711"/>
  <c r="E538" i="711"/>
  <c r="E533" i="711"/>
  <c r="E528" i="711"/>
  <c r="E523" i="711"/>
  <c r="E507" i="711"/>
  <c r="E506" i="711"/>
  <c r="E505" i="711"/>
  <c r="E503" i="711"/>
  <c r="E502" i="711"/>
  <c r="E501" i="711"/>
  <c r="E497" i="711"/>
  <c r="E492" i="711"/>
  <c r="E487" i="711"/>
  <c r="E482" i="711"/>
  <c r="E477" i="711"/>
  <c r="E472" i="711"/>
  <c r="E467" i="711"/>
  <c r="E462" i="711"/>
  <c r="E457" i="711"/>
  <c r="E452" i="711"/>
  <c r="E447" i="711"/>
  <c r="E442" i="711"/>
  <c r="E437" i="711"/>
  <c r="E432" i="711"/>
  <c r="E427" i="711"/>
  <c r="E422" i="711"/>
  <c r="E417" i="711"/>
  <c r="E412" i="711"/>
  <c r="E407" i="711"/>
  <c r="E402" i="711"/>
  <c r="E397" i="711"/>
  <c r="E392" i="711"/>
  <c r="E387" i="711"/>
  <c r="E382" i="711"/>
  <c r="E359" i="711"/>
  <c r="E358" i="711"/>
  <c r="E357" i="711"/>
  <c r="E354" i="711"/>
  <c r="E353" i="711"/>
  <c r="E348" i="711"/>
  <c r="E339" i="711"/>
  <c r="E331" i="711"/>
  <c r="E330" i="711"/>
  <c r="E329" i="711"/>
  <c r="E326" i="711"/>
  <c r="E325" i="711"/>
  <c r="E365" i="711" s="1"/>
  <c r="E324" i="711"/>
  <c r="E323" i="711"/>
  <c r="E316" i="711"/>
  <c r="E307" i="711"/>
  <c r="E298" i="711"/>
  <c r="E289" i="711"/>
  <c r="E280" i="711"/>
  <c r="E271" i="711"/>
  <c r="E262" i="711"/>
  <c r="E253" i="711"/>
  <c r="E244" i="711"/>
  <c r="E236" i="711"/>
  <c r="E234" i="711"/>
  <c r="E231" i="711"/>
  <c r="E230" i="711"/>
  <c r="E229" i="711"/>
  <c r="E224" i="711"/>
  <c r="E215" i="711"/>
  <c r="E207" i="711"/>
  <c r="E206" i="711"/>
  <c r="E205" i="711"/>
  <c r="E202" i="711"/>
  <c r="E201" i="711"/>
  <c r="E200" i="711"/>
  <c r="E192" i="711"/>
  <c r="E183" i="711"/>
  <c r="E174" i="711"/>
  <c r="E165" i="711"/>
  <c r="E156" i="711"/>
  <c r="E147" i="711"/>
  <c r="E138" i="711"/>
  <c r="E129" i="711"/>
  <c r="E120" i="711"/>
  <c r="E111" i="711"/>
  <c r="E102" i="711"/>
  <c r="E93" i="711"/>
  <c r="E84" i="711"/>
  <c r="E75" i="711"/>
  <c r="E66" i="711"/>
  <c r="E57" i="711"/>
  <c r="E48" i="711"/>
  <c r="E39" i="711"/>
  <c r="E30" i="711"/>
  <c r="E21" i="711"/>
  <c r="E1226" i="710"/>
  <c r="E1205" i="710"/>
  <c r="E1204" i="710"/>
  <c r="E1203" i="710"/>
  <c r="E1202" i="710"/>
  <c r="E1199" i="710"/>
  <c r="E1195" i="710"/>
  <c r="E1188" i="710"/>
  <c r="E1181" i="710"/>
  <c r="E1174" i="710"/>
  <c r="E1170" i="710"/>
  <c r="E1165" i="710"/>
  <c r="E1160" i="710"/>
  <c r="E1153" i="710"/>
  <c r="E1146" i="710"/>
  <c r="E1142" i="710"/>
  <c r="E1138" i="710"/>
  <c r="E1120" i="710"/>
  <c r="E1113" i="710"/>
  <c r="E1106" i="710"/>
  <c r="E1099" i="710"/>
  <c r="E1092" i="710"/>
  <c r="E1125" i="710" s="1"/>
  <c r="E1086" i="710"/>
  <c r="E1081" i="710"/>
  <c r="E1075" i="710"/>
  <c r="E1070" i="710"/>
  <c r="E1064" i="710"/>
  <c r="E1058" i="710"/>
  <c r="E1052" i="710"/>
  <c r="E1047" i="710"/>
  <c r="E1041" i="710"/>
  <c r="E1035" i="710"/>
  <c r="E1029" i="710"/>
  <c r="E1021" i="710"/>
  <c r="E1016" i="710"/>
  <c r="E1011" i="710"/>
  <c r="E1006" i="710"/>
  <c r="E1001" i="710"/>
  <c r="E996" i="710"/>
  <c r="E991" i="710"/>
  <c r="E985" i="710"/>
  <c r="E1093" i="710" s="1"/>
  <c r="E1126" i="710" s="1"/>
  <c r="E975" i="710"/>
  <c r="E970" i="710"/>
  <c r="E964" i="710"/>
  <c r="E1091" i="710" s="1"/>
  <c r="E953" i="710"/>
  <c r="E921" i="710"/>
  <c r="E1225" i="710" s="1"/>
  <c r="E911" i="710"/>
  <c r="E904" i="710"/>
  <c r="E887" i="710"/>
  <c r="E886" i="710"/>
  <c r="E884" i="710"/>
  <c r="E880" i="710"/>
  <c r="E876" i="710"/>
  <c r="E872" i="710"/>
  <c r="E868" i="710"/>
  <c r="E864" i="710"/>
  <c r="E860" i="710"/>
  <c r="E856" i="710"/>
  <c r="E852" i="710"/>
  <c r="E848" i="710"/>
  <c r="E844" i="710"/>
  <c r="E840" i="710"/>
  <c r="E831" i="710"/>
  <c r="E830" i="710"/>
  <c r="E827" i="710"/>
  <c r="E822" i="710"/>
  <c r="E817" i="710"/>
  <c r="E812" i="710"/>
  <c r="E803" i="710"/>
  <c r="E802" i="710"/>
  <c r="E799" i="710"/>
  <c r="E794" i="710"/>
  <c r="E789" i="710"/>
  <c r="E784" i="710"/>
  <c r="E779" i="710"/>
  <c r="E774" i="710"/>
  <c r="E769" i="710"/>
  <c r="E764" i="710"/>
  <c r="E759" i="710"/>
  <c r="E750" i="710"/>
  <c r="E749" i="710"/>
  <c r="E746" i="710"/>
  <c r="E741" i="710"/>
  <c r="E736" i="710"/>
  <c r="E731" i="710"/>
  <c r="E726" i="710"/>
  <c r="E721" i="710"/>
  <c r="E716" i="710"/>
  <c r="E711" i="710"/>
  <c r="E706" i="710"/>
  <c r="E701" i="710"/>
  <c r="E696" i="710"/>
  <c r="E691" i="710"/>
  <c r="E686" i="710"/>
  <c r="E681" i="710"/>
  <c r="E676" i="710"/>
  <c r="E671" i="710"/>
  <c r="E666" i="710"/>
  <c r="E661" i="710"/>
  <c r="E656" i="710"/>
  <c r="E649" i="710"/>
  <c r="E634" i="710"/>
  <c r="E633" i="710"/>
  <c r="E632" i="710"/>
  <c r="E628" i="710"/>
  <c r="E631" i="710" s="1"/>
  <c r="E623" i="710"/>
  <c r="E618" i="710"/>
  <c r="E613" i="710"/>
  <c r="E608" i="710"/>
  <c r="E603" i="710"/>
  <c r="E598" i="710"/>
  <c r="E593" i="710"/>
  <c r="E588" i="710"/>
  <c r="E583" i="710"/>
  <c r="E578" i="710"/>
  <c r="E573" i="710"/>
  <c r="E568" i="710"/>
  <c r="E563" i="710"/>
  <c r="E558" i="710"/>
  <c r="E553" i="710"/>
  <c r="E548" i="710"/>
  <c r="E543" i="710"/>
  <c r="E538" i="710"/>
  <c r="E533" i="710"/>
  <c r="E528" i="710"/>
  <c r="E523" i="710"/>
  <c r="E507" i="710"/>
  <c r="E506" i="710"/>
  <c r="E505" i="710"/>
  <c r="E503" i="710"/>
  <c r="E502" i="710"/>
  <c r="E501" i="710"/>
  <c r="E497" i="710"/>
  <c r="E492" i="710"/>
  <c r="E487" i="710"/>
  <c r="E482" i="710"/>
  <c r="E477" i="710"/>
  <c r="E472" i="710"/>
  <c r="E467" i="710"/>
  <c r="E462" i="710"/>
  <c r="E457" i="710"/>
  <c r="E452" i="710"/>
  <c r="E447" i="710"/>
  <c r="E442" i="710"/>
  <c r="E437" i="710"/>
  <c r="E432" i="710"/>
  <c r="E427" i="710"/>
  <c r="E422" i="710"/>
  <c r="E417" i="710"/>
  <c r="E412" i="710"/>
  <c r="E407" i="710"/>
  <c r="E402" i="710"/>
  <c r="E397" i="710"/>
  <c r="E392" i="710"/>
  <c r="E387" i="710"/>
  <c r="E382" i="710"/>
  <c r="E359" i="710"/>
  <c r="E358" i="710"/>
  <c r="E357" i="710"/>
  <c r="E354" i="710"/>
  <c r="E353" i="710"/>
  <c r="E348" i="710"/>
  <c r="E339" i="710"/>
  <c r="E331" i="710"/>
  <c r="E330" i="710"/>
  <c r="E329" i="710"/>
  <c r="E326" i="710"/>
  <c r="E325" i="710"/>
  <c r="E365" i="710" s="1"/>
  <c r="E324" i="710"/>
  <c r="E323" i="710"/>
  <c r="E316" i="710"/>
  <c r="E307" i="710"/>
  <c r="E298" i="710"/>
  <c r="E289" i="710"/>
  <c r="E280" i="710"/>
  <c r="E271" i="710"/>
  <c r="E262" i="710"/>
  <c r="E253" i="710"/>
  <c r="E244" i="710"/>
  <c r="E236" i="710"/>
  <c r="E234" i="710"/>
  <c r="E231" i="710"/>
  <c r="E230" i="710"/>
  <c r="E229" i="710"/>
  <c r="E224" i="710"/>
  <c r="E215" i="710"/>
  <c r="E207" i="710"/>
  <c r="E206" i="710"/>
  <c r="E205" i="710"/>
  <c r="E202" i="710"/>
  <c r="E201" i="710"/>
  <c r="E200" i="710"/>
  <c r="E192" i="710"/>
  <c r="E183" i="710"/>
  <c r="E174" i="710"/>
  <c r="E165" i="710"/>
  <c r="E156" i="710"/>
  <c r="E147" i="710"/>
  <c r="E138" i="710"/>
  <c r="E129" i="710"/>
  <c r="E120" i="710"/>
  <c r="E111" i="710"/>
  <c r="E102" i="710"/>
  <c r="E93" i="710"/>
  <c r="E84" i="710"/>
  <c r="E75" i="710"/>
  <c r="E66" i="710"/>
  <c r="E57" i="710"/>
  <c r="E48" i="710"/>
  <c r="E39" i="710"/>
  <c r="E30" i="710"/>
  <c r="E21" i="710"/>
  <c r="E1226" i="709"/>
  <c r="E1205" i="709"/>
  <c r="E1204" i="709"/>
  <c r="E1203" i="709"/>
  <c r="E1202" i="709"/>
  <c r="E1199" i="709"/>
  <c r="E1195" i="709"/>
  <c r="E1188" i="709"/>
  <c r="E1181" i="709"/>
  <c r="E1174" i="709"/>
  <c r="E1170" i="709"/>
  <c r="E1165" i="709"/>
  <c r="E1160" i="709"/>
  <c r="E1153" i="709"/>
  <c r="E1146" i="709"/>
  <c r="E1142" i="709"/>
  <c r="E1138" i="709"/>
  <c r="E1120" i="709"/>
  <c r="E1113" i="709"/>
  <c r="E1106" i="709"/>
  <c r="E1099" i="709"/>
  <c r="E1092" i="709"/>
  <c r="E1086" i="709"/>
  <c r="E1081" i="709"/>
  <c r="E1075" i="709"/>
  <c r="E1070" i="709"/>
  <c r="E1064" i="709"/>
  <c r="E1058" i="709"/>
  <c r="E1052" i="709"/>
  <c r="E1047" i="709"/>
  <c r="E1041" i="709"/>
  <c r="E1035" i="709"/>
  <c r="E1029" i="709"/>
  <c r="E1021" i="709"/>
  <c r="E1016" i="709"/>
  <c r="E1011" i="709"/>
  <c r="E1006" i="709"/>
  <c r="E1001" i="709"/>
  <c r="E996" i="709"/>
  <c r="E991" i="709"/>
  <c r="E985" i="709"/>
  <c r="E986" i="709" s="1"/>
  <c r="E975" i="709"/>
  <c r="E970" i="709"/>
  <c r="E964" i="709"/>
  <c r="E1091" i="709" s="1"/>
  <c r="E1124" i="709" s="1"/>
  <c r="E953" i="709"/>
  <c r="E921" i="709"/>
  <c r="E1225" i="709" s="1"/>
  <c r="E911" i="709"/>
  <c r="E904" i="709"/>
  <c r="E887" i="709"/>
  <c r="E886" i="709"/>
  <c r="E884" i="709"/>
  <c r="E880" i="709"/>
  <c r="E876" i="709"/>
  <c r="E872" i="709"/>
  <c r="E868" i="709"/>
  <c r="E864" i="709"/>
  <c r="E860" i="709"/>
  <c r="E856" i="709"/>
  <c r="E852" i="709"/>
  <c r="E848" i="709"/>
  <c r="E844" i="709"/>
  <c r="E840" i="709"/>
  <c r="E831" i="709"/>
  <c r="E830" i="709"/>
  <c r="E827" i="709"/>
  <c r="E822" i="709"/>
  <c r="E817" i="709"/>
  <c r="E812" i="709"/>
  <c r="E803" i="709"/>
  <c r="E802" i="709"/>
  <c r="E799" i="709"/>
  <c r="E794" i="709"/>
  <c r="E789" i="709"/>
  <c r="E784" i="709"/>
  <c r="E779" i="709"/>
  <c r="E774" i="709"/>
  <c r="E769" i="709"/>
  <c r="E764" i="709"/>
  <c r="E759" i="709"/>
  <c r="E750" i="709"/>
  <c r="E749" i="709"/>
  <c r="E746" i="709"/>
  <c r="E741" i="709"/>
  <c r="E736" i="709"/>
  <c r="E731" i="709"/>
  <c r="E726" i="709"/>
  <c r="E721" i="709"/>
  <c r="E716" i="709"/>
  <c r="E711" i="709"/>
  <c r="E706" i="709"/>
  <c r="E701" i="709"/>
  <c r="E696" i="709"/>
  <c r="E691" i="709"/>
  <c r="E686" i="709"/>
  <c r="E681" i="709"/>
  <c r="E676" i="709"/>
  <c r="E671" i="709"/>
  <c r="E666" i="709"/>
  <c r="E661" i="709"/>
  <c r="E656" i="709"/>
  <c r="E649" i="709"/>
  <c r="E634" i="709"/>
  <c r="E633" i="709"/>
  <c r="E632" i="709"/>
  <c r="E628" i="709"/>
  <c r="E631" i="709" s="1"/>
  <c r="E623" i="709"/>
  <c r="E618" i="709"/>
  <c r="E613" i="709"/>
  <c r="E608" i="709"/>
  <c r="E603" i="709"/>
  <c r="E598" i="709"/>
  <c r="E593" i="709"/>
  <c r="E588" i="709"/>
  <c r="E583" i="709"/>
  <c r="E578" i="709"/>
  <c r="E573" i="709"/>
  <c r="E568" i="709"/>
  <c r="E563" i="709"/>
  <c r="E558" i="709"/>
  <c r="E553" i="709"/>
  <c r="E548" i="709"/>
  <c r="E543" i="709"/>
  <c r="E538" i="709"/>
  <c r="E533" i="709"/>
  <c r="E528" i="709"/>
  <c r="E523" i="709"/>
  <c r="E507" i="709"/>
  <c r="E506" i="709"/>
  <c r="E505" i="709"/>
  <c r="E503" i="709"/>
  <c r="E502" i="709"/>
  <c r="E501" i="709"/>
  <c r="E497" i="709"/>
  <c r="E492" i="709"/>
  <c r="E487" i="709"/>
  <c r="E482" i="709"/>
  <c r="E477" i="709"/>
  <c r="E472" i="709"/>
  <c r="E467" i="709"/>
  <c r="E462" i="709"/>
  <c r="E457" i="709"/>
  <c r="E452" i="709"/>
  <c r="E447" i="709"/>
  <c r="E442" i="709"/>
  <c r="E437" i="709"/>
  <c r="E432" i="709"/>
  <c r="E427" i="709"/>
  <c r="E422" i="709"/>
  <c r="E417" i="709"/>
  <c r="E412" i="709"/>
  <c r="E407" i="709"/>
  <c r="E402" i="709"/>
  <c r="E397" i="709"/>
  <c r="E392" i="709"/>
  <c r="E387" i="709"/>
  <c r="E382" i="709"/>
  <c r="E359" i="709"/>
  <c r="E358" i="709"/>
  <c r="E357" i="709"/>
  <c r="E354" i="709"/>
  <c r="E353" i="709"/>
  <c r="E348" i="709"/>
  <c r="E339" i="709"/>
  <c r="E331" i="709"/>
  <c r="E330" i="709"/>
  <c r="E329" i="709"/>
  <c r="E326" i="709"/>
  <c r="E325" i="709"/>
  <c r="E365" i="709" s="1"/>
  <c r="E324" i="709"/>
  <c r="E323" i="709"/>
  <c r="E316" i="709"/>
  <c r="E307" i="709"/>
  <c r="E298" i="709"/>
  <c r="E289" i="709"/>
  <c r="E280" i="709"/>
  <c r="E271" i="709"/>
  <c r="E262" i="709"/>
  <c r="E253" i="709"/>
  <c r="E244" i="709"/>
  <c r="E236" i="709"/>
  <c r="E234" i="709"/>
  <c r="E231" i="709"/>
  <c r="E230" i="709"/>
  <c r="E229" i="709"/>
  <c r="E224" i="709"/>
  <c r="E215" i="709"/>
  <c r="E207" i="709"/>
  <c r="E206" i="709"/>
  <c r="E205" i="709"/>
  <c r="E202" i="709"/>
  <c r="E201" i="709"/>
  <c r="E200" i="709"/>
  <c r="E192" i="709"/>
  <c r="E183" i="709"/>
  <c r="E174" i="709"/>
  <c r="E165" i="709"/>
  <c r="E156" i="709"/>
  <c r="E147" i="709"/>
  <c r="E138" i="709"/>
  <c r="E129" i="709"/>
  <c r="E120" i="709"/>
  <c r="E111" i="709"/>
  <c r="E102" i="709"/>
  <c r="E93" i="709"/>
  <c r="E84" i="709"/>
  <c r="E75" i="709"/>
  <c r="E66" i="709"/>
  <c r="E57" i="709"/>
  <c r="E48" i="709"/>
  <c r="E39" i="709"/>
  <c r="E30" i="709"/>
  <c r="E21" i="709"/>
  <c r="E1226" i="708"/>
  <c r="E1205" i="708"/>
  <c r="E1204" i="708"/>
  <c r="E1203" i="708"/>
  <c r="E1202" i="708"/>
  <c r="E1199" i="708"/>
  <c r="E1195" i="708"/>
  <c r="E1188" i="708"/>
  <c r="E1181" i="708"/>
  <c r="E1174" i="708"/>
  <c r="E1170" i="708"/>
  <c r="E1165" i="708"/>
  <c r="E1160" i="708"/>
  <c r="E1153" i="708"/>
  <c r="E1146" i="708"/>
  <c r="E1142" i="708"/>
  <c r="E1138" i="708"/>
  <c r="E1120" i="708"/>
  <c r="E1113" i="708"/>
  <c r="E1106" i="708"/>
  <c r="E1099" i="708"/>
  <c r="E1092" i="708"/>
  <c r="E1125" i="708" s="1"/>
  <c r="E1086" i="708"/>
  <c r="E1081" i="708"/>
  <c r="E1075" i="708"/>
  <c r="E1070" i="708"/>
  <c r="E1064" i="708"/>
  <c r="E1058" i="708"/>
  <c r="E1052" i="708"/>
  <c r="E1047" i="708"/>
  <c r="E1041" i="708"/>
  <c r="E1035" i="708"/>
  <c r="E1029" i="708"/>
  <c r="E1021" i="708"/>
  <c r="E1016" i="708"/>
  <c r="E1011" i="708"/>
  <c r="E1006" i="708"/>
  <c r="E1001" i="708"/>
  <c r="E996" i="708"/>
  <c r="E991" i="708"/>
  <c r="E985" i="708"/>
  <c r="E986" i="708" s="1"/>
  <c r="E975" i="708"/>
  <c r="E970" i="708"/>
  <c r="E964" i="708"/>
  <c r="E1091" i="708" s="1"/>
  <c r="E953" i="708"/>
  <c r="E921" i="708"/>
  <c r="E1225" i="708" s="1"/>
  <c r="E911" i="708"/>
  <c r="E904" i="708"/>
  <c r="E887" i="708"/>
  <c r="E886" i="708"/>
  <c r="E884" i="708"/>
  <c r="E880" i="708"/>
  <c r="E876" i="708"/>
  <c r="E872" i="708"/>
  <c r="E868" i="708"/>
  <c r="E864" i="708"/>
  <c r="E860" i="708"/>
  <c r="E856" i="708"/>
  <c r="E852" i="708"/>
  <c r="E848" i="708"/>
  <c r="E844" i="708"/>
  <c r="E840" i="708"/>
  <c r="E831" i="708"/>
  <c r="E830" i="708"/>
  <c r="E827" i="708"/>
  <c r="E822" i="708"/>
  <c r="E817" i="708"/>
  <c r="E812" i="708"/>
  <c r="E803" i="708"/>
  <c r="E802" i="708"/>
  <c r="E799" i="708"/>
  <c r="E794" i="708"/>
  <c r="E789" i="708"/>
  <c r="E784" i="708"/>
  <c r="E779" i="708"/>
  <c r="E774" i="708"/>
  <c r="E769" i="708"/>
  <c r="E764" i="708"/>
  <c r="E759" i="708"/>
  <c r="E750" i="708"/>
  <c r="E749" i="708"/>
  <c r="E746" i="708"/>
  <c r="E741" i="708"/>
  <c r="E736" i="708"/>
  <c r="E731" i="708"/>
  <c r="E726" i="708"/>
  <c r="E721" i="708"/>
  <c r="E716" i="708"/>
  <c r="E711" i="708"/>
  <c r="E706" i="708"/>
  <c r="E701" i="708"/>
  <c r="E696" i="708"/>
  <c r="E691" i="708"/>
  <c r="E686" i="708"/>
  <c r="E681" i="708"/>
  <c r="E676" i="708"/>
  <c r="E671" i="708"/>
  <c r="E666" i="708"/>
  <c r="E661" i="708"/>
  <c r="E656" i="708"/>
  <c r="E649" i="708"/>
  <c r="E634" i="708"/>
  <c r="E633" i="708"/>
  <c r="E632" i="708"/>
  <c r="E628" i="708"/>
  <c r="E631" i="708" s="1"/>
  <c r="E623" i="708"/>
  <c r="E618" i="708"/>
  <c r="E613" i="708"/>
  <c r="E608" i="708"/>
  <c r="E603" i="708"/>
  <c r="E598" i="708"/>
  <c r="E593" i="708"/>
  <c r="E588" i="708"/>
  <c r="E583" i="708"/>
  <c r="E578" i="708"/>
  <c r="E573" i="708"/>
  <c r="E568" i="708"/>
  <c r="E563" i="708"/>
  <c r="E558" i="708"/>
  <c r="E553" i="708"/>
  <c r="E548" i="708"/>
  <c r="E543" i="708"/>
  <c r="E538" i="708"/>
  <c r="E533" i="708"/>
  <c r="E528" i="708"/>
  <c r="E523" i="708"/>
  <c r="E507" i="708"/>
  <c r="E506" i="708"/>
  <c r="E505" i="708"/>
  <c r="E503" i="708"/>
  <c r="E502" i="708"/>
  <c r="E501" i="708"/>
  <c r="E497" i="708"/>
  <c r="E492" i="708"/>
  <c r="E487" i="708"/>
  <c r="E482" i="708"/>
  <c r="E477" i="708"/>
  <c r="E472" i="708"/>
  <c r="E467" i="708"/>
  <c r="E462" i="708"/>
  <c r="E457" i="708"/>
  <c r="E452" i="708"/>
  <c r="E447" i="708"/>
  <c r="E442" i="708"/>
  <c r="E437" i="708"/>
  <c r="E432" i="708"/>
  <c r="E427" i="708"/>
  <c r="E422" i="708"/>
  <c r="E417" i="708"/>
  <c r="E412" i="708"/>
  <c r="E407" i="708"/>
  <c r="E402" i="708"/>
  <c r="E397" i="708"/>
  <c r="E392" i="708"/>
  <c r="E387" i="708"/>
  <c r="E382" i="708"/>
  <c r="E359" i="708"/>
  <c r="E358" i="708"/>
  <c r="E357" i="708"/>
  <c r="E354" i="708"/>
  <c r="E353" i="708"/>
  <c r="E348" i="708"/>
  <c r="E339" i="708"/>
  <c r="E331" i="708"/>
  <c r="E330" i="708"/>
  <c r="E329" i="708"/>
  <c r="E326" i="708"/>
  <c r="E325" i="708"/>
  <c r="E365" i="708" s="1"/>
  <c r="E324" i="708"/>
  <c r="E323" i="708"/>
  <c r="E316" i="708"/>
  <c r="E307" i="708"/>
  <c r="E298" i="708"/>
  <c r="E289" i="708"/>
  <c r="E280" i="708"/>
  <c r="E271" i="708"/>
  <c r="E262" i="708"/>
  <c r="E253" i="708"/>
  <c r="E244" i="708"/>
  <c r="E236" i="708"/>
  <c r="E234" i="708"/>
  <c r="E231" i="708"/>
  <c r="E230" i="708"/>
  <c r="E229" i="708"/>
  <c r="E224" i="708"/>
  <c r="E215" i="708"/>
  <c r="E207" i="708"/>
  <c r="E206" i="708"/>
  <c r="E205" i="708"/>
  <c r="E202" i="708"/>
  <c r="E201" i="708"/>
  <c r="E200" i="708"/>
  <c r="E192" i="708"/>
  <c r="E183" i="708"/>
  <c r="E174" i="708"/>
  <c r="E165" i="708"/>
  <c r="E156" i="708"/>
  <c r="E147" i="708"/>
  <c r="E138" i="708"/>
  <c r="E129" i="708"/>
  <c r="E120" i="708"/>
  <c r="E111" i="708"/>
  <c r="E102" i="708"/>
  <c r="E93" i="708"/>
  <c r="E84" i="708"/>
  <c r="E75" i="708"/>
  <c r="E66" i="708"/>
  <c r="E57" i="708"/>
  <c r="E48" i="708"/>
  <c r="E39" i="708"/>
  <c r="E30" i="708"/>
  <c r="E21" i="708"/>
  <c r="E1226" i="707"/>
  <c r="E1205" i="707"/>
  <c r="E1204" i="707"/>
  <c r="E1203" i="707"/>
  <c r="E1202" i="707"/>
  <c r="E1199" i="707"/>
  <c r="E1195" i="707"/>
  <c r="E1188" i="707"/>
  <c r="E1181" i="707"/>
  <c r="E1174" i="707"/>
  <c r="E1170" i="707"/>
  <c r="E1165" i="707"/>
  <c r="E1160" i="707"/>
  <c r="E1153" i="707"/>
  <c r="E1146" i="707"/>
  <c r="E1142" i="707"/>
  <c r="E1138" i="707"/>
  <c r="E1120" i="707"/>
  <c r="E1113" i="707"/>
  <c r="E1106" i="707"/>
  <c r="E1099" i="707"/>
  <c r="E1092" i="707"/>
  <c r="E1125" i="707" s="1"/>
  <c r="E1086" i="707"/>
  <c r="E1081" i="707"/>
  <c r="E1075" i="707"/>
  <c r="E1070" i="707"/>
  <c r="E1064" i="707"/>
  <c r="E1058" i="707"/>
  <c r="E1052" i="707"/>
  <c r="E1047" i="707"/>
  <c r="E1041" i="707"/>
  <c r="E1035" i="707"/>
  <c r="E1029" i="707"/>
  <c r="E1021" i="707"/>
  <c r="E1016" i="707"/>
  <c r="E1011" i="707"/>
  <c r="E1006" i="707"/>
  <c r="E1001" i="707"/>
  <c r="E996" i="707"/>
  <c r="E991" i="707"/>
  <c r="E985" i="707"/>
  <c r="E986" i="707" s="1"/>
  <c r="E975" i="707"/>
  <c r="E970" i="707"/>
  <c r="E964" i="707"/>
  <c r="E1091" i="707" s="1"/>
  <c r="E953" i="707"/>
  <c r="E921" i="707"/>
  <c r="E1225" i="707" s="1"/>
  <c r="E911" i="707"/>
  <c r="E904" i="707"/>
  <c r="E887" i="707"/>
  <c r="E886" i="707"/>
  <c r="E884" i="707"/>
  <c r="E880" i="707"/>
  <c r="E876" i="707"/>
  <c r="E872" i="707"/>
  <c r="E868" i="707"/>
  <c r="E864" i="707"/>
  <c r="E860" i="707"/>
  <c r="E856" i="707"/>
  <c r="E852" i="707"/>
  <c r="E848" i="707"/>
  <c r="E844" i="707"/>
  <c r="E840" i="707"/>
  <c r="E831" i="707"/>
  <c r="E830" i="707"/>
  <c r="E827" i="707"/>
  <c r="E822" i="707"/>
  <c r="E817" i="707"/>
  <c r="E812" i="707"/>
  <c r="E803" i="707"/>
  <c r="E802" i="707"/>
  <c r="E799" i="707"/>
  <c r="E794" i="707"/>
  <c r="E789" i="707"/>
  <c r="E784" i="707"/>
  <c r="E779" i="707"/>
  <c r="E774" i="707"/>
  <c r="E769" i="707"/>
  <c r="E764" i="707"/>
  <c r="E759" i="707"/>
  <c r="E750" i="707"/>
  <c r="E749" i="707"/>
  <c r="E746" i="707"/>
  <c r="E741" i="707"/>
  <c r="E736" i="707"/>
  <c r="E731" i="707"/>
  <c r="E726" i="707"/>
  <c r="E721" i="707"/>
  <c r="E716" i="707"/>
  <c r="E711" i="707"/>
  <c r="E706" i="707"/>
  <c r="E701" i="707"/>
  <c r="E696" i="707"/>
  <c r="E691" i="707"/>
  <c r="E686" i="707"/>
  <c r="E681" i="707"/>
  <c r="E676" i="707"/>
  <c r="E671" i="707"/>
  <c r="E666" i="707"/>
  <c r="E661" i="707"/>
  <c r="E656" i="707"/>
  <c r="E649" i="707"/>
  <c r="E634" i="707"/>
  <c r="E633" i="707"/>
  <c r="E632" i="707"/>
  <c r="E628" i="707"/>
  <c r="E631" i="707" s="1"/>
  <c r="E623" i="707"/>
  <c r="E618" i="707"/>
  <c r="E613" i="707"/>
  <c r="E608" i="707"/>
  <c r="E603" i="707"/>
  <c r="E598" i="707"/>
  <c r="E593" i="707"/>
  <c r="E588" i="707"/>
  <c r="E583" i="707"/>
  <c r="E578" i="707"/>
  <c r="E573" i="707"/>
  <c r="E568" i="707"/>
  <c r="E563" i="707"/>
  <c r="E558" i="707"/>
  <c r="E553" i="707"/>
  <c r="E548" i="707"/>
  <c r="E543" i="707"/>
  <c r="E538" i="707"/>
  <c r="E533" i="707"/>
  <c r="E528" i="707"/>
  <c r="E523" i="707"/>
  <c r="E507" i="707"/>
  <c r="E506" i="707"/>
  <c r="E505" i="707"/>
  <c r="E503" i="707"/>
  <c r="E502" i="707"/>
  <c r="E501" i="707"/>
  <c r="E497" i="707"/>
  <c r="E492" i="707"/>
  <c r="E487" i="707"/>
  <c r="E482" i="707"/>
  <c r="E477" i="707"/>
  <c r="E472" i="707"/>
  <c r="E467" i="707"/>
  <c r="E462" i="707"/>
  <c r="E457" i="707"/>
  <c r="E452" i="707"/>
  <c r="E447" i="707"/>
  <c r="E442" i="707"/>
  <c r="E437" i="707"/>
  <c r="E432" i="707"/>
  <c r="E427" i="707"/>
  <c r="E422" i="707"/>
  <c r="E417" i="707"/>
  <c r="E412" i="707"/>
  <c r="E407" i="707"/>
  <c r="E402" i="707"/>
  <c r="E397" i="707"/>
  <c r="E392" i="707"/>
  <c r="E387" i="707"/>
  <c r="E382" i="707"/>
  <c r="E359" i="707"/>
  <c r="E358" i="707"/>
  <c r="E357" i="707"/>
  <c r="E354" i="707"/>
  <c r="E353" i="707"/>
  <c r="E348" i="707"/>
  <c r="E339" i="707"/>
  <c r="E331" i="707"/>
  <c r="E330" i="707"/>
  <c r="E329" i="707"/>
  <c r="E326" i="707"/>
  <c r="E325" i="707"/>
  <c r="E365" i="707" s="1"/>
  <c r="E324" i="707"/>
  <c r="E323" i="707"/>
  <c r="E316" i="707"/>
  <c r="E307" i="707"/>
  <c r="E298" i="707"/>
  <c r="E289" i="707"/>
  <c r="E280" i="707"/>
  <c r="E271" i="707"/>
  <c r="E262" i="707"/>
  <c r="E253" i="707"/>
  <c r="E244" i="707"/>
  <c r="E236" i="707"/>
  <c r="E234" i="707"/>
  <c r="E231" i="707"/>
  <c r="E230" i="707"/>
  <c r="E229" i="707"/>
  <c r="E224" i="707"/>
  <c r="E215" i="707"/>
  <c r="E232" i="707" s="1"/>
  <c r="E207" i="707"/>
  <c r="E206" i="707"/>
  <c r="E205" i="707"/>
  <c r="E202" i="707"/>
  <c r="E201" i="707"/>
  <c r="E200" i="707"/>
  <c r="E192" i="707"/>
  <c r="E183" i="707"/>
  <c r="E174" i="707"/>
  <c r="E165" i="707"/>
  <c r="E156" i="707"/>
  <c r="E147" i="707"/>
  <c r="E138" i="707"/>
  <c r="E129" i="707"/>
  <c r="E120" i="707"/>
  <c r="E111" i="707"/>
  <c r="E102" i="707"/>
  <c r="E93" i="707"/>
  <c r="E84" i="707"/>
  <c r="E75" i="707"/>
  <c r="E66" i="707"/>
  <c r="E57" i="707"/>
  <c r="E48" i="707"/>
  <c r="E39" i="707"/>
  <c r="E30" i="707"/>
  <c r="E21" i="707"/>
  <c r="E1226" i="706"/>
  <c r="E1205" i="706"/>
  <c r="E1204" i="706"/>
  <c r="E1203" i="706"/>
  <c r="E1202" i="706"/>
  <c r="E1199" i="706"/>
  <c r="E1195" i="706"/>
  <c r="E1188" i="706"/>
  <c r="E1181" i="706"/>
  <c r="E1174" i="706"/>
  <c r="E1170" i="706"/>
  <c r="E1165" i="706"/>
  <c r="E1160" i="706"/>
  <c r="E1153" i="706"/>
  <c r="E1146" i="706"/>
  <c r="E1142" i="706"/>
  <c r="E1138" i="706"/>
  <c r="E1120" i="706"/>
  <c r="E1113" i="706"/>
  <c r="E1106" i="706"/>
  <c r="E1099" i="706"/>
  <c r="E1092" i="706"/>
  <c r="E1125" i="706" s="1"/>
  <c r="E1086" i="706"/>
  <c r="E1081" i="706"/>
  <c r="E1075" i="706"/>
  <c r="E1070" i="706"/>
  <c r="E1064" i="706"/>
  <c r="E1058" i="706"/>
  <c r="E1052" i="706"/>
  <c r="E1047" i="706"/>
  <c r="E1041" i="706"/>
  <c r="E1035" i="706"/>
  <c r="E1029" i="706"/>
  <c r="E1021" i="706"/>
  <c r="E1016" i="706"/>
  <c r="E1011" i="706"/>
  <c r="E1006" i="706"/>
  <c r="E1001" i="706"/>
  <c r="E996" i="706"/>
  <c r="E991" i="706"/>
  <c r="E985" i="706"/>
  <c r="E986" i="706" s="1"/>
  <c r="E975" i="706"/>
  <c r="E970" i="706"/>
  <c r="E964" i="706"/>
  <c r="E1091" i="706" s="1"/>
  <c r="E953" i="706"/>
  <c r="E921" i="706"/>
  <c r="E1225" i="706" s="1"/>
  <c r="E911" i="706"/>
  <c r="E904" i="706"/>
  <c r="E887" i="706"/>
  <c r="E886" i="706"/>
  <c r="E884" i="706"/>
  <c r="E880" i="706"/>
  <c r="E876" i="706"/>
  <c r="E872" i="706"/>
  <c r="E868" i="706"/>
  <c r="E864" i="706"/>
  <c r="E860" i="706"/>
  <c r="E856" i="706"/>
  <c r="E852" i="706"/>
  <c r="E848" i="706"/>
  <c r="E844" i="706"/>
  <c r="E840" i="706"/>
  <c r="E831" i="706"/>
  <c r="E830" i="706"/>
  <c r="E827" i="706"/>
  <c r="E822" i="706"/>
  <c r="E817" i="706"/>
  <c r="E812" i="706"/>
  <c r="E803" i="706"/>
  <c r="E802" i="706"/>
  <c r="E799" i="706"/>
  <c r="E794" i="706"/>
  <c r="E789" i="706"/>
  <c r="E784" i="706"/>
  <c r="E779" i="706"/>
  <c r="E774" i="706"/>
  <c r="E769" i="706"/>
  <c r="E764" i="706"/>
  <c r="E759" i="706"/>
  <c r="E750" i="706"/>
  <c r="E749" i="706"/>
  <c r="E746" i="706"/>
  <c r="E741" i="706"/>
  <c r="E736" i="706"/>
  <c r="E731" i="706"/>
  <c r="E726" i="706"/>
  <c r="E721" i="706"/>
  <c r="E716" i="706"/>
  <c r="E711" i="706"/>
  <c r="E706" i="706"/>
  <c r="E701" i="706"/>
  <c r="E696" i="706"/>
  <c r="E691" i="706"/>
  <c r="E686" i="706"/>
  <c r="E681" i="706"/>
  <c r="E676" i="706"/>
  <c r="E671" i="706"/>
  <c r="E666" i="706"/>
  <c r="E661" i="706"/>
  <c r="E656" i="706"/>
  <c r="E649" i="706"/>
  <c r="E634" i="706"/>
  <c r="E633" i="706"/>
  <c r="E632" i="706"/>
  <c r="E628" i="706"/>
  <c r="E631" i="706" s="1"/>
  <c r="E623" i="706"/>
  <c r="E618" i="706"/>
  <c r="E613" i="706"/>
  <c r="E608" i="706"/>
  <c r="E603" i="706"/>
  <c r="E598" i="706"/>
  <c r="E593" i="706"/>
  <c r="E588" i="706"/>
  <c r="E583" i="706"/>
  <c r="E578" i="706"/>
  <c r="E573" i="706"/>
  <c r="E568" i="706"/>
  <c r="E563" i="706"/>
  <c r="E558" i="706"/>
  <c r="E553" i="706"/>
  <c r="E548" i="706"/>
  <c r="E543" i="706"/>
  <c r="E538" i="706"/>
  <c r="E533" i="706"/>
  <c r="E528" i="706"/>
  <c r="E523" i="706"/>
  <c r="E507" i="706"/>
  <c r="E506" i="706"/>
  <c r="E505" i="706"/>
  <c r="E503" i="706"/>
  <c r="E502" i="706"/>
  <c r="E501" i="706"/>
  <c r="E497" i="706"/>
  <c r="E492" i="706"/>
  <c r="E487" i="706"/>
  <c r="E482" i="706"/>
  <c r="E477" i="706"/>
  <c r="E472" i="706"/>
  <c r="E467" i="706"/>
  <c r="E462" i="706"/>
  <c r="E457" i="706"/>
  <c r="E452" i="706"/>
  <c r="E447" i="706"/>
  <c r="E442" i="706"/>
  <c r="E437" i="706"/>
  <c r="E432" i="706"/>
  <c r="E427" i="706"/>
  <c r="E422" i="706"/>
  <c r="E417" i="706"/>
  <c r="E412" i="706"/>
  <c r="E407" i="706"/>
  <c r="E402" i="706"/>
  <c r="E397" i="706"/>
  <c r="E392" i="706"/>
  <c r="E387" i="706"/>
  <c r="E382" i="706"/>
  <c r="E359" i="706"/>
  <c r="E358" i="706"/>
  <c r="E357" i="706"/>
  <c r="E354" i="706"/>
  <c r="E353" i="706"/>
  <c r="E348" i="706"/>
  <c r="E339" i="706"/>
  <c r="E331" i="706"/>
  <c r="E330" i="706"/>
  <c r="E329" i="706"/>
  <c r="E326" i="706"/>
  <c r="E325" i="706"/>
  <c r="E365" i="706" s="1"/>
  <c r="E324" i="706"/>
  <c r="E323" i="706"/>
  <c r="E316" i="706"/>
  <c r="E307" i="706"/>
  <c r="E298" i="706"/>
  <c r="E289" i="706"/>
  <c r="E280" i="706"/>
  <c r="E271" i="706"/>
  <c r="E262" i="706"/>
  <c r="E253" i="706"/>
  <c r="E244" i="706"/>
  <c r="E236" i="706"/>
  <c r="E234" i="706"/>
  <c r="E231" i="706"/>
  <c r="E230" i="706"/>
  <c r="E229" i="706"/>
  <c r="E224" i="706"/>
  <c r="E215" i="706"/>
  <c r="E232" i="706" s="1"/>
  <c r="E207" i="706"/>
  <c r="E206" i="706"/>
  <c r="E205" i="706"/>
  <c r="E202" i="706"/>
  <c r="E201" i="706"/>
  <c r="E200" i="706"/>
  <c r="E192" i="706"/>
  <c r="E183" i="706"/>
  <c r="E174" i="706"/>
  <c r="E165" i="706"/>
  <c r="E156" i="706"/>
  <c r="E147" i="706"/>
  <c r="E138" i="706"/>
  <c r="E129" i="706"/>
  <c r="E120" i="706"/>
  <c r="E111" i="706"/>
  <c r="E102" i="706"/>
  <c r="E93" i="706"/>
  <c r="E84" i="706"/>
  <c r="E75" i="706"/>
  <c r="E66" i="706"/>
  <c r="E57" i="706"/>
  <c r="E48" i="706"/>
  <c r="E39" i="706"/>
  <c r="E30" i="706"/>
  <c r="E21" i="706"/>
  <c r="E1226" i="705"/>
  <c r="E1205" i="705"/>
  <c r="E1204" i="705"/>
  <c r="E1203" i="705"/>
  <c r="E1202" i="705"/>
  <c r="E1199" i="705"/>
  <c r="E1195" i="705"/>
  <c r="E1188" i="705"/>
  <c r="E1181" i="705"/>
  <c r="E1174" i="705"/>
  <c r="E1170" i="705"/>
  <c r="E1165" i="705"/>
  <c r="E1160" i="705"/>
  <c r="E1153" i="705"/>
  <c r="E1146" i="705"/>
  <c r="E1142" i="705"/>
  <c r="E1138" i="705"/>
  <c r="E1120" i="705"/>
  <c r="E1113" i="705"/>
  <c r="E1106" i="705"/>
  <c r="E1099" i="705"/>
  <c r="E1092" i="705"/>
  <c r="E1125" i="705" s="1"/>
  <c r="E1086" i="705"/>
  <c r="E1081" i="705"/>
  <c r="E1075" i="705"/>
  <c r="E1070" i="705"/>
  <c r="E1064" i="705"/>
  <c r="E1058" i="705"/>
  <c r="E1052" i="705"/>
  <c r="E1047" i="705"/>
  <c r="E1041" i="705"/>
  <c r="E1035" i="705"/>
  <c r="E1029" i="705"/>
  <c r="E1021" i="705"/>
  <c r="E1016" i="705"/>
  <c r="E1011" i="705"/>
  <c r="E1006" i="705"/>
  <c r="E1001" i="705"/>
  <c r="E996" i="705"/>
  <c r="E991" i="705"/>
  <c r="E985" i="705"/>
  <c r="E1093" i="705" s="1"/>
  <c r="E1126" i="705" s="1"/>
  <c r="E975" i="705"/>
  <c r="E970" i="705"/>
  <c r="E964" i="705"/>
  <c r="E1091" i="705" s="1"/>
  <c r="E953" i="705"/>
  <c r="E921" i="705"/>
  <c r="E1225" i="705" s="1"/>
  <c r="E911" i="705"/>
  <c r="E904" i="705"/>
  <c r="E887" i="705"/>
  <c r="E886" i="705"/>
  <c r="E884" i="705"/>
  <c r="E880" i="705"/>
  <c r="E876" i="705"/>
  <c r="E872" i="705"/>
  <c r="E868" i="705"/>
  <c r="E864" i="705"/>
  <c r="E860" i="705"/>
  <c r="E856" i="705"/>
  <c r="E852" i="705"/>
  <c r="E848" i="705"/>
  <c r="E844" i="705"/>
  <c r="E840" i="705"/>
  <c r="E831" i="705"/>
  <c r="E830" i="705"/>
  <c r="E827" i="705"/>
  <c r="E822" i="705"/>
  <c r="E817" i="705"/>
  <c r="E812" i="705"/>
  <c r="E803" i="705"/>
  <c r="E802" i="705"/>
  <c r="E799" i="705"/>
  <c r="E794" i="705"/>
  <c r="E789" i="705"/>
  <c r="E784" i="705"/>
  <c r="E779" i="705"/>
  <c r="E774" i="705"/>
  <c r="E769" i="705"/>
  <c r="E764" i="705"/>
  <c r="E759" i="705"/>
  <c r="E750" i="705"/>
  <c r="E749" i="705"/>
  <c r="E746" i="705"/>
  <c r="E741" i="705"/>
  <c r="E736" i="705"/>
  <c r="E731" i="705"/>
  <c r="E726" i="705"/>
  <c r="E721" i="705"/>
  <c r="E716" i="705"/>
  <c r="E711" i="705"/>
  <c r="E706" i="705"/>
  <c r="E701" i="705"/>
  <c r="E696" i="705"/>
  <c r="E691" i="705"/>
  <c r="E686" i="705"/>
  <c r="E681" i="705"/>
  <c r="E676" i="705"/>
  <c r="E671" i="705"/>
  <c r="E666" i="705"/>
  <c r="E661" i="705"/>
  <c r="E656" i="705"/>
  <c r="E649" i="705"/>
  <c r="E634" i="705"/>
  <c r="E633" i="705"/>
  <c r="E632" i="705"/>
  <c r="E628" i="705"/>
  <c r="E631" i="705" s="1"/>
  <c r="E623" i="705"/>
  <c r="E618" i="705"/>
  <c r="E613" i="705"/>
  <c r="E608" i="705"/>
  <c r="E603" i="705"/>
  <c r="E598" i="705"/>
  <c r="E593" i="705"/>
  <c r="E588" i="705"/>
  <c r="E583" i="705"/>
  <c r="E578" i="705"/>
  <c r="E573" i="705"/>
  <c r="E568" i="705"/>
  <c r="E563" i="705"/>
  <c r="E558" i="705"/>
  <c r="E553" i="705"/>
  <c r="E548" i="705"/>
  <c r="E543" i="705"/>
  <c r="E538" i="705"/>
  <c r="E533" i="705"/>
  <c r="E528" i="705"/>
  <c r="E523" i="705"/>
  <c r="E507" i="705"/>
  <c r="E506" i="705"/>
  <c r="E505" i="705"/>
  <c r="E503" i="705"/>
  <c r="E502" i="705"/>
  <c r="E501" i="705"/>
  <c r="E497" i="705"/>
  <c r="E492" i="705"/>
  <c r="E487" i="705"/>
  <c r="E482" i="705"/>
  <c r="E477" i="705"/>
  <c r="E472" i="705"/>
  <c r="E467" i="705"/>
  <c r="E462" i="705"/>
  <c r="E457" i="705"/>
  <c r="E452" i="705"/>
  <c r="E447" i="705"/>
  <c r="E442" i="705"/>
  <c r="E437" i="705"/>
  <c r="E432" i="705"/>
  <c r="E427" i="705"/>
  <c r="E422" i="705"/>
  <c r="E417" i="705"/>
  <c r="E412" i="705"/>
  <c r="E407" i="705"/>
  <c r="E402" i="705"/>
  <c r="E397" i="705"/>
  <c r="E392" i="705"/>
  <c r="E387" i="705"/>
  <c r="E382" i="705"/>
  <c r="E359" i="705"/>
  <c r="E358" i="705"/>
  <c r="E357" i="705"/>
  <c r="E354" i="705"/>
  <c r="E353" i="705"/>
  <c r="E348" i="705"/>
  <c r="E339" i="705"/>
  <c r="E331" i="705"/>
  <c r="E330" i="705"/>
  <c r="E329" i="705"/>
  <c r="E326" i="705"/>
  <c r="E325" i="705"/>
  <c r="E365" i="705" s="1"/>
  <c r="E324" i="705"/>
  <c r="E323" i="705"/>
  <c r="E316" i="705"/>
  <c r="E307" i="705"/>
  <c r="E298" i="705"/>
  <c r="E289" i="705"/>
  <c r="E280" i="705"/>
  <c r="E271" i="705"/>
  <c r="E262" i="705"/>
  <c r="E253" i="705"/>
  <c r="E244" i="705"/>
  <c r="E236" i="705"/>
  <c r="E234" i="705"/>
  <c r="E231" i="705"/>
  <c r="E230" i="705"/>
  <c r="E229" i="705"/>
  <c r="E224" i="705"/>
  <c r="E215" i="705"/>
  <c r="E232" i="705" s="1"/>
  <c r="E207" i="705"/>
  <c r="E206" i="705"/>
  <c r="E205" i="705"/>
  <c r="E202" i="705"/>
  <c r="E201" i="705"/>
  <c r="E200" i="705"/>
  <c r="E192" i="705"/>
  <c r="E183" i="705"/>
  <c r="E174" i="705"/>
  <c r="E165" i="705"/>
  <c r="E156" i="705"/>
  <c r="E147" i="705"/>
  <c r="E138" i="705"/>
  <c r="E129" i="705"/>
  <c r="E120" i="705"/>
  <c r="E111" i="705"/>
  <c r="E102" i="705"/>
  <c r="E93" i="705"/>
  <c r="E84" i="705"/>
  <c r="E75" i="705"/>
  <c r="E66" i="705"/>
  <c r="E57" i="705"/>
  <c r="E48" i="705"/>
  <c r="E39" i="705"/>
  <c r="E30" i="705"/>
  <c r="E21" i="705"/>
  <c r="E1226" i="704"/>
  <c r="E1205" i="704"/>
  <c r="E1204" i="704"/>
  <c r="E1203" i="704"/>
  <c r="E1202" i="704"/>
  <c r="E1199" i="704"/>
  <c r="E1195" i="704"/>
  <c r="E1188" i="704"/>
  <c r="E1181" i="704"/>
  <c r="E1174" i="704"/>
  <c r="E1170" i="704"/>
  <c r="E1165" i="704"/>
  <c r="E1160" i="704"/>
  <c r="E1153" i="704"/>
  <c r="E1146" i="704"/>
  <c r="E1142" i="704"/>
  <c r="E1138" i="704"/>
  <c r="E1120" i="704"/>
  <c r="E1113" i="704"/>
  <c r="E1106" i="704"/>
  <c r="E1099" i="704"/>
  <c r="E1092" i="704"/>
  <c r="E1125" i="704" s="1"/>
  <c r="E1086" i="704"/>
  <c r="E1081" i="704"/>
  <c r="E1075" i="704"/>
  <c r="E1070" i="704"/>
  <c r="E1064" i="704"/>
  <c r="E1058" i="704"/>
  <c r="E1052" i="704"/>
  <c r="E1047" i="704"/>
  <c r="E1041" i="704"/>
  <c r="E1035" i="704"/>
  <c r="E1029" i="704"/>
  <c r="E1021" i="704"/>
  <c r="E1016" i="704"/>
  <c r="E1011" i="704"/>
  <c r="E1006" i="704"/>
  <c r="E1001" i="704"/>
  <c r="E996" i="704"/>
  <c r="E991" i="704"/>
  <c r="E985" i="704"/>
  <c r="E1093" i="704" s="1"/>
  <c r="E1126" i="704" s="1"/>
  <c r="E975" i="704"/>
  <c r="E970" i="704"/>
  <c r="E964" i="704"/>
  <c r="E1091" i="704" s="1"/>
  <c r="E1124" i="704" s="1"/>
  <c r="E1211" i="704" s="1"/>
  <c r="E1241" i="704" s="1"/>
  <c r="E953" i="704"/>
  <c r="E921" i="704"/>
  <c r="E933" i="704" s="1"/>
  <c r="E911" i="704"/>
  <c r="E904" i="704"/>
  <c r="E887" i="704"/>
  <c r="E886" i="704"/>
  <c r="E884" i="704"/>
  <c r="E880" i="704"/>
  <c r="E876" i="704"/>
  <c r="E872" i="704"/>
  <c r="E868" i="704"/>
  <c r="E864" i="704"/>
  <c r="E860" i="704"/>
  <c r="E856" i="704"/>
  <c r="E852" i="704"/>
  <c r="E848" i="704"/>
  <c r="E844" i="704"/>
  <c r="E840" i="704"/>
  <c r="E831" i="704"/>
  <c r="E830" i="704"/>
  <c r="E827" i="704"/>
  <c r="E822" i="704"/>
  <c r="E817" i="704"/>
  <c r="E812" i="704"/>
  <c r="E803" i="704"/>
  <c r="E802" i="704"/>
  <c r="E799" i="704"/>
  <c r="E794" i="704"/>
  <c r="E789" i="704"/>
  <c r="E784" i="704"/>
  <c r="E779" i="704"/>
  <c r="E774" i="704"/>
  <c r="E769" i="704"/>
  <c r="E764" i="704"/>
  <c r="E759" i="704"/>
  <c r="E750" i="704"/>
  <c r="E749" i="704"/>
  <c r="E746" i="704"/>
  <c r="E741" i="704"/>
  <c r="E736" i="704"/>
  <c r="E731" i="704"/>
  <c r="E726" i="704"/>
  <c r="E721" i="704"/>
  <c r="E716" i="704"/>
  <c r="E711" i="704"/>
  <c r="E706" i="704"/>
  <c r="E701" i="704"/>
  <c r="E696" i="704"/>
  <c r="E691" i="704"/>
  <c r="E686" i="704"/>
  <c r="E681" i="704"/>
  <c r="E676" i="704"/>
  <c r="E671" i="704"/>
  <c r="E666" i="704"/>
  <c r="E661" i="704"/>
  <c r="E656" i="704"/>
  <c r="E649" i="704"/>
  <c r="E634" i="704"/>
  <c r="E633" i="704"/>
  <c r="E632" i="704"/>
  <c r="E628" i="704"/>
  <c r="E631" i="704" s="1"/>
  <c r="E623" i="704"/>
  <c r="E618" i="704"/>
  <c r="E613" i="704"/>
  <c r="E608" i="704"/>
  <c r="E603" i="704"/>
  <c r="E598" i="704"/>
  <c r="E593" i="704"/>
  <c r="E588" i="704"/>
  <c r="E583" i="704"/>
  <c r="E578" i="704"/>
  <c r="E573" i="704"/>
  <c r="E568" i="704"/>
  <c r="E563" i="704"/>
  <c r="E558" i="704"/>
  <c r="E553" i="704"/>
  <c r="E548" i="704"/>
  <c r="E543" i="704"/>
  <c r="E538" i="704"/>
  <c r="E533" i="704"/>
  <c r="E528" i="704"/>
  <c r="E523" i="704"/>
  <c r="E507" i="704"/>
  <c r="E506" i="704"/>
  <c r="E505" i="704"/>
  <c r="E503" i="704"/>
  <c r="E502" i="704"/>
  <c r="E501" i="704"/>
  <c r="E497" i="704"/>
  <c r="E492" i="704"/>
  <c r="E487" i="704"/>
  <c r="E482" i="704"/>
  <c r="E477" i="704"/>
  <c r="E472" i="704"/>
  <c r="E467" i="704"/>
  <c r="E462" i="704"/>
  <c r="E457" i="704"/>
  <c r="E452" i="704"/>
  <c r="E447" i="704"/>
  <c r="E442" i="704"/>
  <c r="E437" i="704"/>
  <c r="E432" i="704"/>
  <c r="E427" i="704"/>
  <c r="E422" i="704"/>
  <c r="E417" i="704"/>
  <c r="E412" i="704"/>
  <c r="E407" i="704"/>
  <c r="E402" i="704"/>
  <c r="E397" i="704"/>
  <c r="E392" i="704"/>
  <c r="E387" i="704"/>
  <c r="E382" i="704"/>
  <c r="E359" i="704"/>
  <c r="E358" i="704"/>
  <c r="E357" i="704"/>
  <c r="E354" i="704"/>
  <c r="E353" i="704"/>
  <c r="E348" i="704"/>
  <c r="E339" i="704"/>
  <c r="E331" i="704"/>
  <c r="E330" i="704"/>
  <c r="E329" i="704"/>
  <c r="E326" i="704"/>
  <c r="E325" i="704"/>
  <c r="E365" i="704" s="1"/>
  <c r="E324" i="704"/>
  <c r="E323" i="704"/>
  <c r="E316" i="704"/>
  <c r="E307" i="704"/>
  <c r="E298" i="704"/>
  <c r="E289" i="704"/>
  <c r="E280" i="704"/>
  <c r="E271" i="704"/>
  <c r="E262" i="704"/>
  <c r="E253" i="704"/>
  <c r="E244" i="704"/>
  <c r="E236" i="704"/>
  <c r="E234" i="704"/>
  <c r="E231" i="704"/>
  <c r="E230" i="704"/>
  <c r="E229" i="704"/>
  <c r="E224" i="704"/>
  <c r="E215" i="704"/>
  <c r="E232" i="704" s="1"/>
  <c r="E207" i="704"/>
  <c r="E206" i="704"/>
  <c r="E205" i="704"/>
  <c r="E202" i="704"/>
  <c r="E201" i="704"/>
  <c r="E200" i="704"/>
  <c r="E192" i="704"/>
  <c r="E183" i="704"/>
  <c r="E174" i="704"/>
  <c r="E165" i="704"/>
  <c r="E156" i="704"/>
  <c r="E147" i="704"/>
  <c r="E138" i="704"/>
  <c r="E129" i="704"/>
  <c r="E120" i="704"/>
  <c r="E111" i="704"/>
  <c r="E102" i="704"/>
  <c r="E93" i="704"/>
  <c r="E84" i="704"/>
  <c r="E75" i="704"/>
  <c r="E66" i="704"/>
  <c r="E57" i="704"/>
  <c r="E48" i="704"/>
  <c r="E39" i="704"/>
  <c r="E30" i="704"/>
  <c r="E21" i="704"/>
  <c r="E1226" i="703"/>
  <c r="E1205" i="703"/>
  <c r="E1204" i="703"/>
  <c r="E1203" i="703"/>
  <c r="E1202" i="703"/>
  <c r="E1199" i="703"/>
  <c r="E1195" i="703"/>
  <c r="E1188" i="703"/>
  <c r="E1181" i="703"/>
  <c r="E1174" i="703"/>
  <c r="E1170" i="703"/>
  <c r="E1165" i="703"/>
  <c r="E1160" i="703"/>
  <c r="E1153" i="703"/>
  <c r="E1146" i="703"/>
  <c r="E1142" i="703"/>
  <c r="E1138" i="703"/>
  <c r="E1120" i="703"/>
  <c r="E1113" i="703"/>
  <c r="E1106" i="703"/>
  <c r="E1099" i="703"/>
  <c r="E1092" i="703"/>
  <c r="E1125" i="703" s="1"/>
  <c r="E1086" i="703"/>
  <c r="E1081" i="703"/>
  <c r="E1075" i="703"/>
  <c r="E1070" i="703"/>
  <c r="E1064" i="703"/>
  <c r="E1058" i="703"/>
  <c r="E1052" i="703"/>
  <c r="E1047" i="703"/>
  <c r="E1041" i="703"/>
  <c r="E1035" i="703"/>
  <c r="E1029" i="703"/>
  <c r="E1021" i="703"/>
  <c r="E1016" i="703"/>
  <c r="E1011" i="703"/>
  <c r="E1006" i="703"/>
  <c r="E1001" i="703"/>
  <c r="E996" i="703"/>
  <c r="E991" i="703"/>
  <c r="E985" i="703"/>
  <c r="E986" i="703" s="1"/>
  <c r="E975" i="703"/>
  <c r="E970" i="703"/>
  <c r="E964" i="703"/>
  <c r="E1091" i="703" s="1"/>
  <c r="E953" i="703"/>
  <c r="E921" i="703"/>
  <c r="E1225" i="703" s="1"/>
  <c r="E911" i="703"/>
  <c r="E904" i="703"/>
  <c r="E887" i="703"/>
  <c r="E886" i="703"/>
  <c r="E884" i="703"/>
  <c r="E880" i="703"/>
  <c r="E876" i="703"/>
  <c r="E872" i="703"/>
  <c r="E868" i="703"/>
  <c r="E864" i="703"/>
  <c r="E860" i="703"/>
  <c r="E856" i="703"/>
  <c r="E852" i="703"/>
  <c r="E848" i="703"/>
  <c r="E844" i="703"/>
  <c r="E840" i="703"/>
  <c r="E831" i="703"/>
  <c r="E830" i="703"/>
  <c r="E827" i="703"/>
  <c r="E822" i="703"/>
  <c r="E817" i="703"/>
  <c r="E812" i="703"/>
  <c r="E803" i="703"/>
  <c r="E802" i="703"/>
  <c r="E799" i="703"/>
  <c r="E794" i="703"/>
  <c r="E789" i="703"/>
  <c r="E784" i="703"/>
  <c r="E779" i="703"/>
  <c r="E774" i="703"/>
  <c r="E769" i="703"/>
  <c r="E764" i="703"/>
  <c r="E759" i="703"/>
  <c r="E750" i="703"/>
  <c r="E749" i="703"/>
  <c r="E746" i="703"/>
  <c r="E741" i="703"/>
  <c r="E736" i="703"/>
  <c r="E731" i="703"/>
  <c r="E726" i="703"/>
  <c r="E721" i="703"/>
  <c r="E716" i="703"/>
  <c r="E711" i="703"/>
  <c r="E706" i="703"/>
  <c r="E701" i="703"/>
  <c r="E696" i="703"/>
  <c r="E691" i="703"/>
  <c r="E686" i="703"/>
  <c r="E681" i="703"/>
  <c r="E676" i="703"/>
  <c r="E671" i="703"/>
  <c r="E666" i="703"/>
  <c r="E661" i="703"/>
  <c r="E656" i="703"/>
  <c r="E649" i="703"/>
  <c r="E634" i="703"/>
  <c r="E633" i="703"/>
  <c r="E632" i="703"/>
  <c r="E628" i="703"/>
  <c r="E631" i="703" s="1"/>
  <c r="E623" i="703"/>
  <c r="E618" i="703"/>
  <c r="E613" i="703"/>
  <c r="E608" i="703"/>
  <c r="E603" i="703"/>
  <c r="E598" i="703"/>
  <c r="E593" i="703"/>
  <c r="E588" i="703"/>
  <c r="E583" i="703"/>
  <c r="E578" i="703"/>
  <c r="E573" i="703"/>
  <c r="E568" i="703"/>
  <c r="E563" i="703"/>
  <c r="E558" i="703"/>
  <c r="E553" i="703"/>
  <c r="E548" i="703"/>
  <c r="E543" i="703"/>
  <c r="E538" i="703"/>
  <c r="E533" i="703"/>
  <c r="E528" i="703"/>
  <c r="E523" i="703"/>
  <c r="E507" i="703"/>
  <c r="E506" i="703"/>
  <c r="E505" i="703"/>
  <c r="E503" i="703"/>
  <c r="E502" i="703"/>
  <c r="E501" i="703"/>
  <c r="E497" i="703"/>
  <c r="E492" i="703"/>
  <c r="E487" i="703"/>
  <c r="E482" i="703"/>
  <c r="E477" i="703"/>
  <c r="E472" i="703"/>
  <c r="E467" i="703"/>
  <c r="E462" i="703"/>
  <c r="E457" i="703"/>
  <c r="E452" i="703"/>
  <c r="E447" i="703"/>
  <c r="E442" i="703"/>
  <c r="E437" i="703"/>
  <c r="E432" i="703"/>
  <c r="E427" i="703"/>
  <c r="E422" i="703"/>
  <c r="E417" i="703"/>
  <c r="E412" i="703"/>
  <c r="E407" i="703"/>
  <c r="E402" i="703"/>
  <c r="E397" i="703"/>
  <c r="E392" i="703"/>
  <c r="E387" i="703"/>
  <c r="E382" i="703"/>
  <c r="E359" i="703"/>
  <c r="E358" i="703"/>
  <c r="E357" i="703"/>
  <c r="E354" i="703"/>
  <c r="E353" i="703"/>
  <c r="E348" i="703"/>
  <c r="E339" i="703"/>
  <c r="E331" i="703"/>
  <c r="E330" i="703"/>
  <c r="E329" i="703"/>
  <c r="E326" i="703"/>
  <c r="E325" i="703"/>
  <c r="E365" i="703" s="1"/>
  <c r="E324" i="703"/>
  <c r="E323" i="703"/>
  <c r="E316" i="703"/>
  <c r="E307" i="703"/>
  <c r="E298" i="703"/>
  <c r="E289" i="703"/>
  <c r="E280" i="703"/>
  <c r="E271" i="703"/>
  <c r="E262" i="703"/>
  <c r="E253" i="703"/>
  <c r="E244" i="703"/>
  <c r="E236" i="703"/>
  <c r="E234" i="703"/>
  <c r="E231" i="703"/>
  <c r="E230" i="703"/>
  <c r="E229" i="703"/>
  <c r="E224" i="703"/>
  <c r="E215" i="703"/>
  <c r="E232" i="703" s="1"/>
  <c r="E207" i="703"/>
  <c r="E206" i="703"/>
  <c r="E205" i="703"/>
  <c r="E202" i="703"/>
  <c r="E201" i="703"/>
  <c r="E200" i="703"/>
  <c r="E192" i="703"/>
  <c r="E183" i="703"/>
  <c r="E174" i="703"/>
  <c r="E165" i="703"/>
  <c r="E156" i="703"/>
  <c r="E147" i="703"/>
  <c r="E138" i="703"/>
  <c r="E129" i="703"/>
  <c r="E120" i="703"/>
  <c r="E111" i="703"/>
  <c r="E102" i="703"/>
  <c r="E93" i="703"/>
  <c r="E84" i="703"/>
  <c r="E75" i="703"/>
  <c r="E66" i="703"/>
  <c r="E57" i="703"/>
  <c r="E48" i="703"/>
  <c r="E39" i="703"/>
  <c r="E30" i="703"/>
  <c r="E21" i="703"/>
  <c r="E1226" i="702"/>
  <c r="E1205" i="702"/>
  <c r="E1204" i="702"/>
  <c r="E1203" i="702"/>
  <c r="E1202" i="702"/>
  <c r="E1199" i="702"/>
  <c r="E1195" i="702"/>
  <c r="E1188" i="702"/>
  <c r="E1181" i="702"/>
  <c r="E1174" i="702"/>
  <c r="E1170" i="702"/>
  <c r="E1165" i="702"/>
  <c r="E1160" i="702"/>
  <c r="E1153" i="702"/>
  <c r="E1146" i="702"/>
  <c r="E1142" i="702"/>
  <c r="E1138" i="702"/>
  <c r="E1124" i="702"/>
  <c r="E1211" i="702" s="1"/>
  <c r="E1241" i="702" s="1"/>
  <c r="E1120" i="702"/>
  <c r="E1113" i="702"/>
  <c r="E1106" i="702"/>
  <c r="E1099" i="702"/>
  <c r="E1092" i="702"/>
  <c r="E1125" i="702" s="1"/>
  <c r="E1086" i="702"/>
  <c r="E1081" i="702"/>
  <c r="E1075" i="702"/>
  <c r="E1070" i="702"/>
  <c r="E1064" i="702"/>
  <c r="E1058" i="702"/>
  <c r="E1052" i="702"/>
  <c r="E1047" i="702"/>
  <c r="E1041" i="702"/>
  <c r="E1035" i="702"/>
  <c r="E1029" i="702"/>
  <c r="E1021" i="702"/>
  <c r="E1016" i="702"/>
  <c r="E1011" i="702"/>
  <c r="E1006" i="702"/>
  <c r="E1001" i="702"/>
  <c r="E996" i="702"/>
  <c r="E991" i="702"/>
  <c r="E985" i="702"/>
  <c r="E986" i="702" s="1"/>
  <c r="E975" i="702"/>
  <c r="E970" i="702"/>
  <c r="E964" i="702"/>
  <c r="E1091" i="702" s="1"/>
  <c r="E953" i="702"/>
  <c r="E921" i="702"/>
  <c r="E1225" i="702" s="1"/>
  <c r="E911" i="702"/>
  <c r="E904" i="702"/>
  <c r="E887" i="702"/>
  <c r="E886" i="702"/>
  <c r="E884" i="702"/>
  <c r="E880" i="702"/>
  <c r="E876" i="702"/>
  <c r="E872" i="702"/>
  <c r="E868" i="702"/>
  <c r="E864" i="702"/>
  <c r="E860" i="702"/>
  <c r="E856" i="702"/>
  <c r="E852" i="702"/>
  <c r="E848" i="702"/>
  <c r="E844" i="702"/>
  <c r="E840" i="702"/>
  <c r="E831" i="702"/>
  <c r="E830" i="702"/>
  <c r="E827" i="702"/>
  <c r="E822" i="702"/>
  <c r="E817" i="702"/>
  <c r="E812" i="702"/>
  <c r="E803" i="702"/>
  <c r="E802" i="702"/>
  <c r="E799" i="702"/>
  <c r="E794" i="702"/>
  <c r="E789" i="702"/>
  <c r="E784" i="702"/>
  <c r="E779" i="702"/>
  <c r="E774" i="702"/>
  <c r="E769" i="702"/>
  <c r="E764" i="702"/>
  <c r="E759" i="702"/>
  <c r="E750" i="702"/>
  <c r="E749" i="702"/>
  <c r="E746" i="702"/>
  <c r="E741" i="702"/>
  <c r="E736" i="702"/>
  <c r="E731" i="702"/>
  <c r="E726" i="702"/>
  <c r="E721" i="702"/>
  <c r="E716" i="702"/>
  <c r="E711" i="702"/>
  <c r="E706" i="702"/>
  <c r="E701" i="702"/>
  <c r="E696" i="702"/>
  <c r="E691" i="702"/>
  <c r="E686" i="702"/>
  <c r="E681" i="702"/>
  <c r="E676" i="702"/>
  <c r="E671" i="702"/>
  <c r="E666" i="702"/>
  <c r="E661" i="702"/>
  <c r="E656" i="702"/>
  <c r="E649" i="702"/>
  <c r="E634" i="702"/>
  <c r="E633" i="702"/>
  <c r="E632" i="702"/>
  <c r="E628" i="702"/>
  <c r="E631" i="702" s="1"/>
  <c r="E623" i="702"/>
  <c r="E618" i="702"/>
  <c r="E613" i="702"/>
  <c r="E608" i="702"/>
  <c r="E603" i="702"/>
  <c r="E598" i="702"/>
  <c r="E593" i="702"/>
  <c r="E588" i="702"/>
  <c r="E583" i="702"/>
  <c r="E578" i="702"/>
  <c r="E573" i="702"/>
  <c r="E568" i="702"/>
  <c r="E563" i="702"/>
  <c r="E558" i="702"/>
  <c r="E553" i="702"/>
  <c r="E548" i="702"/>
  <c r="E543" i="702"/>
  <c r="E538" i="702"/>
  <c r="E533" i="702"/>
  <c r="E528" i="702"/>
  <c r="E523" i="702"/>
  <c r="E507" i="702"/>
  <c r="E506" i="702"/>
  <c r="E505" i="702"/>
  <c r="E503" i="702"/>
  <c r="E502" i="702"/>
  <c r="E501" i="702"/>
  <c r="E497" i="702"/>
  <c r="E492" i="702"/>
  <c r="E487" i="702"/>
  <c r="E482" i="702"/>
  <c r="E477" i="702"/>
  <c r="E472" i="702"/>
  <c r="E467" i="702"/>
  <c r="E462" i="702"/>
  <c r="E457" i="702"/>
  <c r="E452" i="702"/>
  <c r="E447" i="702"/>
  <c r="E442" i="702"/>
  <c r="E437" i="702"/>
  <c r="E432" i="702"/>
  <c r="E427" i="702"/>
  <c r="E422" i="702"/>
  <c r="E417" i="702"/>
  <c r="E412" i="702"/>
  <c r="E407" i="702"/>
  <c r="E402" i="702"/>
  <c r="E397" i="702"/>
  <c r="E392" i="702"/>
  <c r="E387" i="702"/>
  <c r="E382" i="702"/>
  <c r="E359" i="702"/>
  <c r="E358" i="702"/>
  <c r="E357" i="702"/>
  <c r="E354" i="702"/>
  <c r="E353" i="702"/>
  <c r="E348" i="702"/>
  <c r="E339" i="702"/>
  <c r="E331" i="702"/>
  <c r="E330" i="702"/>
  <c r="E329" i="702"/>
  <c r="E326" i="702"/>
  <c r="E325" i="702"/>
  <c r="E365" i="702" s="1"/>
  <c r="E324" i="702"/>
  <c r="E323" i="702"/>
  <c r="E316" i="702"/>
  <c r="E307" i="702"/>
  <c r="E298" i="702"/>
  <c r="E289" i="702"/>
  <c r="E280" i="702"/>
  <c r="E271" i="702"/>
  <c r="E262" i="702"/>
  <c r="E253" i="702"/>
  <c r="E244" i="702"/>
  <c r="E236" i="702"/>
  <c r="E234" i="702"/>
  <c r="E231" i="702"/>
  <c r="E230" i="702"/>
  <c r="E229" i="702"/>
  <c r="E224" i="702"/>
  <c r="E215" i="702"/>
  <c r="E207" i="702"/>
  <c r="E206" i="702"/>
  <c r="E205" i="702"/>
  <c r="E202" i="702"/>
  <c r="E201" i="702"/>
  <c r="E200" i="702"/>
  <c r="E192" i="702"/>
  <c r="E183" i="702"/>
  <c r="E174" i="702"/>
  <c r="E165" i="702"/>
  <c r="E156" i="702"/>
  <c r="E147" i="702"/>
  <c r="E138" i="702"/>
  <c r="E129" i="702"/>
  <c r="E120" i="702"/>
  <c r="E111" i="702"/>
  <c r="E102" i="702"/>
  <c r="E93" i="702"/>
  <c r="E84" i="702"/>
  <c r="E75" i="702"/>
  <c r="E66" i="702"/>
  <c r="E57" i="702"/>
  <c r="E48" i="702"/>
  <c r="E39" i="702"/>
  <c r="E30" i="702"/>
  <c r="E21" i="702"/>
  <c r="E1226" i="701"/>
  <c r="E1205" i="701"/>
  <c r="E1204" i="701"/>
  <c r="E1203" i="701"/>
  <c r="E1202" i="701"/>
  <c r="E1199" i="701"/>
  <c r="E1195" i="701"/>
  <c r="E1188" i="701"/>
  <c r="E1181" i="701"/>
  <c r="E1174" i="701"/>
  <c r="E1170" i="701"/>
  <c r="E1165" i="701"/>
  <c r="E1160" i="701"/>
  <c r="E1153" i="701"/>
  <c r="E1146" i="701"/>
  <c r="E1142" i="701"/>
  <c r="E1138" i="701"/>
  <c r="E1120" i="701"/>
  <c r="E1113" i="701"/>
  <c r="E1106" i="701"/>
  <c r="E1099" i="701"/>
  <c r="E1092" i="701"/>
  <c r="E1125" i="701" s="1"/>
  <c r="E1086" i="701"/>
  <c r="E1081" i="701"/>
  <c r="E1075" i="701"/>
  <c r="E1070" i="701"/>
  <c r="E1064" i="701"/>
  <c r="E1058" i="701"/>
  <c r="E1052" i="701"/>
  <c r="E1047" i="701"/>
  <c r="E1041" i="701"/>
  <c r="E1035" i="701"/>
  <c r="E1029" i="701"/>
  <c r="E1021" i="701"/>
  <c r="E1016" i="701"/>
  <c r="E1011" i="701"/>
  <c r="E1006" i="701"/>
  <c r="E1001" i="701"/>
  <c r="E996" i="701"/>
  <c r="E991" i="701"/>
  <c r="E985" i="701"/>
  <c r="E1093" i="701" s="1"/>
  <c r="E1126" i="701" s="1"/>
  <c r="E975" i="701"/>
  <c r="E970" i="701"/>
  <c r="E964" i="701"/>
  <c r="E1091" i="701" s="1"/>
  <c r="E953" i="701"/>
  <c r="E921" i="701"/>
  <c r="E1225" i="701" s="1"/>
  <c r="E911" i="701"/>
  <c r="E904" i="701"/>
  <c r="E887" i="701"/>
  <c r="E886" i="701"/>
  <c r="E884" i="701"/>
  <c r="E880" i="701"/>
  <c r="E876" i="701"/>
  <c r="E872" i="701"/>
  <c r="E868" i="701"/>
  <c r="E864" i="701"/>
  <c r="E860" i="701"/>
  <c r="E856" i="701"/>
  <c r="E852" i="701"/>
  <c r="E848" i="701"/>
  <c r="E844" i="701"/>
  <c r="E840" i="701"/>
  <c r="E831" i="701"/>
  <c r="E830" i="701"/>
  <c r="E827" i="701"/>
  <c r="E822" i="701"/>
  <c r="E817" i="701"/>
  <c r="E812" i="701"/>
  <c r="E803" i="701"/>
  <c r="E802" i="701"/>
  <c r="E799" i="701"/>
  <c r="E794" i="701"/>
  <c r="E789" i="701"/>
  <c r="E784" i="701"/>
  <c r="E779" i="701"/>
  <c r="E774" i="701"/>
  <c r="E769" i="701"/>
  <c r="E764" i="701"/>
  <c r="E759" i="701"/>
  <c r="E750" i="701"/>
  <c r="E749" i="701"/>
  <c r="E746" i="701"/>
  <c r="E741" i="701"/>
  <c r="E736" i="701"/>
  <c r="E731" i="701"/>
  <c r="E726" i="701"/>
  <c r="E721" i="701"/>
  <c r="E716" i="701"/>
  <c r="E711" i="701"/>
  <c r="E706" i="701"/>
  <c r="E701" i="701"/>
  <c r="E696" i="701"/>
  <c r="E691" i="701"/>
  <c r="E686" i="701"/>
  <c r="E681" i="701"/>
  <c r="E676" i="701"/>
  <c r="E671" i="701"/>
  <c r="E666" i="701"/>
  <c r="E661" i="701"/>
  <c r="E656" i="701"/>
  <c r="E649" i="701"/>
  <c r="E634" i="701"/>
  <c r="E633" i="701"/>
  <c r="E632" i="701"/>
  <c r="E628" i="701"/>
  <c r="E631" i="701" s="1"/>
  <c r="E623" i="701"/>
  <c r="E618" i="701"/>
  <c r="E613" i="701"/>
  <c r="E608" i="701"/>
  <c r="E603" i="701"/>
  <c r="E598" i="701"/>
  <c r="E593" i="701"/>
  <c r="E588" i="701"/>
  <c r="E583" i="701"/>
  <c r="E578" i="701"/>
  <c r="E573" i="701"/>
  <c r="E568" i="701"/>
  <c r="E563" i="701"/>
  <c r="E558" i="701"/>
  <c r="E553" i="701"/>
  <c r="E548" i="701"/>
  <c r="E543" i="701"/>
  <c r="E538" i="701"/>
  <c r="E533" i="701"/>
  <c r="E528" i="701"/>
  <c r="E523" i="701"/>
  <c r="E507" i="701"/>
  <c r="E506" i="701"/>
  <c r="E505" i="701"/>
  <c r="E503" i="701"/>
  <c r="E502" i="701"/>
  <c r="E501" i="701"/>
  <c r="E497" i="701"/>
  <c r="E492" i="701"/>
  <c r="E487" i="701"/>
  <c r="E482" i="701"/>
  <c r="E477" i="701"/>
  <c r="E472" i="701"/>
  <c r="E467" i="701"/>
  <c r="E462" i="701"/>
  <c r="E457" i="701"/>
  <c r="E452" i="701"/>
  <c r="E447" i="701"/>
  <c r="E442" i="701"/>
  <c r="E437" i="701"/>
  <c r="E432" i="701"/>
  <c r="E427" i="701"/>
  <c r="E422" i="701"/>
  <c r="E417" i="701"/>
  <c r="E412" i="701"/>
  <c r="E407" i="701"/>
  <c r="E402" i="701"/>
  <c r="E397" i="701"/>
  <c r="E392" i="701"/>
  <c r="E387" i="701"/>
  <c r="E382" i="701"/>
  <c r="E359" i="701"/>
  <c r="E358" i="701"/>
  <c r="E357" i="701"/>
  <c r="E354" i="701"/>
  <c r="E353" i="701"/>
  <c r="E348" i="701"/>
  <c r="E339" i="701"/>
  <c r="E331" i="701"/>
  <c r="E330" i="701"/>
  <c r="E329" i="701"/>
  <c r="E326" i="701"/>
  <c r="E325" i="701"/>
  <c r="E365" i="701" s="1"/>
  <c r="E324" i="701"/>
  <c r="E323" i="701"/>
  <c r="E316" i="701"/>
  <c r="E307" i="701"/>
  <c r="E298" i="701"/>
  <c r="E289" i="701"/>
  <c r="E280" i="701"/>
  <c r="E271" i="701"/>
  <c r="E262" i="701"/>
  <c r="E253" i="701"/>
  <c r="E244" i="701"/>
  <c r="E236" i="701"/>
  <c r="E234" i="701"/>
  <c r="E231" i="701"/>
  <c r="E230" i="701"/>
  <c r="E229" i="701"/>
  <c r="E224" i="701"/>
  <c r="E215" i="701"/>
  <c r="E207" i="701"/>
  <c r="E206" i="701"/>
  <c r="E205" i="701"/>
  <c r="E202" i="701"/>
  <c r="E201" i="701"/>
  <c r="E200" i="701"/>
  <c r="E192" i="701"/>
  <c r="E183" i="701"/>
  <c r="E174" i="701"/>
  <c r="E165" i="701"/>
  <c r="E156" i="701"/>
  <c r="E147" i="701"/>
  <c r="E138" i="701"/>
  <c r="E129" i="701"/>
  <c r="E120" i="701"/>
  <c r="E111" i="701"/>
  <c r="E102" i="701"/>
  <c r="E93" i="701"/>
  <c r="E84" i="701"/>
  <c r="E75" i="701"/>
  <c r="E66" i="701"/>
  <c r="E57" i="701"/>
  <c r="E48" i="701"/>
  <c r="E39" i="701"/>
  <c r="E30" i="701"/>
  <c r="E21" i="701"/>
  <c r="E1226" i="698"/>
  <c r="E1205" i="698"/>
  <c r="E1204" i="698"/>
  <c r="E1203" i="698"/>
  <c r="E1202" i="698"/>
  <c r="E1199" i="698"/>
  <c r="E1195" i="698"/>
  <c r="E1188" i="698"/>
  <c r="E1181" i="698"/>
  <c r="E1174" i="698"/>
  <c r="E1170" i="698"/>
  <c r="E1165" i="698"/>
  <c r="E1160" i="698"/>
  <c r="E1153" i="698"/>
  <c r="E1146" i="698"/>
  <c r="E1142" i="698"/>
  <c r="E1138" i="698"/>
  <c r="E1120" i="698"/>
  <c r="E1113" i="698"/>
  <c r="E1106" i="698"/>
  <c r="E1099" i="698"/>
  <c r="E1092" i="698"/>
  <c r="E1125" i="698" s="1"/>
  <c r="E1086" i="698"/>
  <c r="E1081" i="698"/>
  <c r="E1075" i="698"/>
  <c r="E1070" i="698"/>
  <c r="E1064" i="698"/>
  <c r="E1058" i="698"/>
  <c r="E1052" i="698"/>
  <c r="E1047" i="698"/>
  <c r="E1041" i="698"/>
  <c r="E1035" i="698"/>
  <c r="E1029" i="698"/>
  <c r="E1021" i="698"/>
  <c r="E1016" i="698"/>
  <c r="E1011" i="698"/>
  <c r="E1006" i="698"/>
  <c r="E1001" i="698"/>
  <c r="E996" i="698"/>
  <c r="E991" i="698"/>
  <c r="E985" i="698"/>
  <c r="E1093" i="698" s="1"/>
  <c r="E1126" i="698" s="1"/>
  <c r="E975" i="698"/>
  <c r="E970" i="698"/>
  <c r="E964" i="698"/>
  <c r="E1091" i="698" s="1"/>
  <c r="E953" i="698"/>
  <c r="E921" i="698"/>
  <c r="E1225" i="698" s="1"/>
  <c r="E911" i="698"/>
  <c r="E904" i="698"/>
  <c r="E887" i="698"/>
  <c r="E886" i="698"/>
  <c r="E884" i="698"/>
  <c r="E880" i="698"/>
  <c r="E876" i="698"/>
  <c r="E872" i="698"/>
  <c r="E868" i="698"/>
  <c r="E864" i="698"/>
  <c r="E860" i="698"/>
  <c r="E856" i="698"/>
  <c r="E852" i="698"/>
  <c r="E848" i="698"/>
  <c r="E844" i="698"/>
  <c r="E840" i="698"/>
  <c r="E831" i="698"/>
  <c r="E830" i="698"/>
  <c r="E827" i="698"/>
  <c r="E822" i="698"/>
  <c r="E817" i="698"/>
  <c r="E812" i="698"/>
  <c r="E803" i="698"/>
  <c r="E802" i="698"/>
  <c r="E799" i="698"/>
  <c r="E794" i="698"/>
  <c r="E789" i="698"/>
  <c r="E784" i="698"/>
  <c r="E779" i="698"/>
  <c r="E774" i="698"/>
  <c r="E769" i="698"/>
  <c r="E764" i="698"/>
  <c r="E759" i="698"/>
  <c r="E750" i="698"/>
  <c r="E749" i="698"/>
  <c r="E746" i="698"/>
  <c r="E741" i="698"/>
  <c r="E736" i="698"/>
  <c r="E731" i="698"/>
  <c r="E726" i="698"/>
  <c r="E721" i="698"/>
  <c r="E716" i="698"/>
  <c r="E711" i="698"/>
  <c r="E706" i="698"/>
  <c r="E701" i="698"/>
  <c r="E696" i="698"/>
  <c r="E691" i="698"/>
  <c r="E686" i="698"/>
  <c r="E681" i="698"/>
  <c r="E676" i="698"/>
  <c r="E671" i="698"/>
  <c r="E666" i="698"/>
  <c r="E661" i="698"/>
  <c r="E656" i="698"/>
  <c r="E649" i="698"/>
  <c r="E634" i="698"/>
  <c r="E633" i="698"/>
  <c r="E632" i="698"/>
  <c r="E628" i="698"/>
  <c r="E631" i="698" s="1"/>
  <c r="E623" i="698"/>
  <c r="E618" i="698"/>
  <c r="E613" i="698"/>
  <c r="E608" i="698"/>
  <c r="E603" i="698"/>
  <c r="E598" i="698"/>
  <c r="E593" i="698"/>
  <c r="E588" i="698"/>
  <c r="E583" i="698"/>
  <c r="E578" i="698"/>
  <c r="E573" i="698"/>
  <c r="E568" i="698"/>
  <c r="E563" i="698"/>
  <c r="E558" i="698"/>
  <c r="E553" i="698"/>
  <c r="E548" i="698"/>
  <c r="E543" i="698"/>
  <c r="E538" i="698"/>
  <c r="E533" i="698"/>
  <c r="E528" i="698"/>
  <c r="E523" i="698"/>
  <c r="E507" i="698"/>
  <c r="E506" i="698"/>
  <c r="E505" i="698"/>
  <c r="E503" i="698"/>
  <c r="E502" i="698"/>
  <c r="E501" i="698"/>
  <c r="E497" i="698"/>
  <c r="E492" i="698"/>
  <c r="E487" i="698"/>
  <c r="E482" i="698"/>
  <c r="E477" i="698"/>
  <c r="E472" i="698"/>
  <c r="E467" i="698"/>
  <c r="E462" i="698"/>
  <c r="E457" i="698"/>
  <c r="E452" i="698"/>
  <c r="E447" i="698"/>
  <c r="E442" i="698"/>
  <c r="E437" i="698"/>
  <c r="E432" i="698"/>
  <c r="E427" i="698"/>
  <c r="E422" i="698"/>
  <c r="E417" i="698"/>
  <c r="E412" i="698"/>
  <c r="E407" i="698"/>
  <c r="E402" i="698"/>
  <c r="E397" i="698"/>
  <c r="E392" i="698"/>
  <c r="E387" i="698"/>
  <c r="E382" i="698"/>
  <c r="E359" i="698"/>
  <c r="E358" i="698"/>
  <c r="E357" i="698"/>
  <c r="E354" i="698"/>
  <c r="E353" i="698"/>
  <c r="E348" i="698"/>
  <c r="E339" i="698"/>
  <c r="E331" i="698"/>
  <c r="E330" i="698"/>
  <c r="E329" i="698"/>
  <c r="E326" i="698"/>
  <c r="E325" i="698"/>
  <c r="E365" i="698" s="1"/>
  <c r="E324" i="698"/>
  <c r="E323" i="698"/>
  <c r="E316" i="698"/>
  <c r="E307" i="698"/>
  <c r="E298" i="698"/>
  <c r="E289" i="698"/>
  <c r="E280" i="698"/>
  <c r="E271" i="698"/>
  <c r="E262" i="698"/>
  <c r="E253" i="698"/>
  <c r="E244" i="698"/>
  <c r="E236" i="698"/>
  <c r="E234" i="698"/>
  <c r="E231" i="698"/>
  <c r="E230" i="698"/>
  <c r="E229" i="698"/>
  <c r="E224" i="698"/>
  <c r="E215" i="698"/>
  <c r="E207" i="698"/>
  <c r="E206" i="698"/>
  <c r="E205" i="698"/>
  <c r="E202" i="698"/>
  <c r="E201" i="698"/>
  <c r="E200" i="698"/>
  <c r="E192" i="698"/>
  <c r="E183" i="698"/>
  <c r="E174" i="698"/>
  <c r="E165" i="698"/>
  <c r="E156" i="698"/>
  <c r="E147" i="698"/>
  <c r="E138" i="698"/>
  <c r="E129" i="698"/>
  <c r="E120" i="698"/>
  <c r="E111" i="698"/>
  <c r="E102" i="698"/>
  <c r="E93" i="698"/>
  <c r="E84" i="698"/>
  <c r="E75" i="698"/>
  <c r="E66" i="698"/>
  <c r="E57" i="698"/>
  <c r="E48" i="698"/>
  <c r="E39" i="698"/>
  <c r="E30" i="698"/>
  <c r="E21" i="698"/>
  <c r="E1226" i="697"/>
  <c r="E1205" i="697"/>
  <c r="E1204" i="697"/>
  <c r="E1203" i="697"/>
  <c r="E1202" i="697"/>
  <c r="E1199" i="697"/>
  <c r="E1195" i="697"/>
  <c r="E1188" i="697"/>
  <c r="E1181" i="697"/>
  <c r="E1174" i="697"/>
  <c r="E1170" i="697"/>
  <c r="E1165" i="697"/>
  <c r="E1160" i="697"/>
  <c r="E1153" i="697"/>
  <c r="E1146" i="697"/>
  <c r="E1142" i="697"/>
  <c r="E1138" i="697"/>
  <c r="E1120" i="697"/>
  <c r="E1113" i="697"/>
  <c r="E1106" i="697"/>
  <c r="E1099" i="697"/>
  <c r="E1092" i="697"/>
  <c r="E1125" i="697" s="1"/>
  <c r="E1086" i="697"/>
  <c r="E1081" i="697"/>
  <c r="E1075" i="697"/>
  <c r="E1070" i="697"/>
  <c r="E1064" i="697"/>
  <c r="E1058" i="697"/>
  <c r="E1052" i="697"/>
  <c r="E1047" i="697"/>
  <c r="E1041" i="697"/>
  <c r="E1035" i="697"/>
  <c r="E1029" i="697"/>
  <c r="E1021" i="697"/>
  <c r="E1016" i="697"/>
  <c r="E1011" i="697"/>
  <c r="E1006" i="697"/>
  <c r="E1001" i="697"/>
  <c r="E996" i="697"/>
  <c r="E991" i="697"/>
  <c r="E985" i="697"/>
  <c r="E1093" i="697" s="1"/>
  <c r="E1126" i="697" s="1"/>
  <c r="E975" i="697"/>
  <c r="E970" i="697"/>
  <c r="E964" i="697"/>
  <c r="E1091" i="697" s="1"/>
  <c r="E1124" i="697" s="1"/>
  <c r="E953" i="697"/>
  <c r="E921" i="697"/>
  <c r="E1225" i="697" s="1"/>
  <c r="E911" i="697"/>
  <c r="E904" i="697"/>
  <c r="E887" i="697"/>
  <c r="E886" i="697"/>
  <c r="E884" i="697"/>
  <c r="E880" i="697"/>
  <c r="E876" i="697"/>
  <c r="E872" i="697"/>
  <c r="E868" i="697"/>
  <c r="E864" i="697"/>
  <c r="E860" i="697"/>
  <c r="E856" i="697"/>
  <c r="E852" i="697"/>
  <c r="E848" i="697"/>
  <c r="E844" i="697"/>
  <c r="E840" i="697"/>
  <c r="E831" i="697"/>
  <c r="E830" i="697"/>
  <c r="E827" i="697"/>
  <c r="E822" i="697"/>
  <c r="E817" i="697"/>
  <c r="E812" i="697"/>
  <c r="E803" i="697"/>
  <c r="E802" i="697"/>
  <c r="E799" i="697"/>
  <c r="E794" i="697"/>
  <c r="E789" i="697"/>
  <c r="E784" i="697"/>
  <c r="E779" i="697"/>
  <c r="E774" i="697"/>
  <c r="E769" i="697"/>
  <c r="E764" i="697"/>
  <c r="E759" i="697"/>
  <c r="E750" i="697"/>
  <c r="E749" i="697"/>
  <c r="E746" i="697"/>
  <c r="E741" i="697"/>
  <c r="E736" i="697"/>
  <c r="E731" i="697"/>
  <c r="E726" i="697"/>
  <c r="E721" i="697"/>
  <c r="E716" i="697"/>
  <c r="E711" i="697"/>
  <c r="E706" i="697"/>
  <c r="E701" i="697"/>
  <c r="E696" i="697"/>
  <c r="E691" i="697"/>
  <c r="E686" i="697"/>
  <c r="E681" i="697"/>
  <c r="E676" i="697"/>
  <c r="E671" i="697"/>
  <c r="E666" i="697"/>
  <c r="E661" i="697"/>
  <c r="E656" i="697"/>
  <c r="E649" i="697"/>
  <c r="E634" i="697"/>
  <c r="E633" i="697"/>
  <c r="E632" i="697"/>
  <c r="E628" i="697"/>
  <c r="E631" i="697" s="1"/>
  <c r="E623" i="697"/>
  <c r="E618" i="697"/>
  <c r="E613" i="697"/>
  <c r="E608" i="697"/>
  <c r="E603" i="697"/>
  <c r="E598" i="697"/>
  <c r="E593" i="697"/>
  <c r="E588" i="697"/>
  <c r="E583" i="697"/>
  <c r="E578" i="697"/>
  <c r="E573" i="697"/>
  <c r="E568" i="697"/>
  <c r="E563" i="697"/>
  <c r="E558" i="697"/>
  <c r="E553" i="697"/>
  <c r="E548" i="697"/>
  <c r="E543" i="697"/>
  <c r="E538" i="697"/>
  <c r="E533" i="697"/>
  <c r="E528" i="697"/>
  <c r="E523" i="697"/>
  <c r="E507" i="697"/>
  <c r="E506" i="697"/>
  <c r="E505" i="697"/>
  <c r="E503" i="697"/>
  <c r="E502" i="697"/>
  <c r="E501" i="697"/>
  <c r="E497" i="697"/>
  <c r="E492" i="697"/>
  <c r="E487" i="697"/>
  <c r="E482" i="697"/>
  <c r="E477" i="697"/>
  <c r="E472" i="697"/>
  <c r="E467" i="697"/>
  <c r="E462" i="697"/>
  <c r="E457" i="697"/>
  <c r="E452" i="697"/>
  <c r="E447" i="697"/>
  <c r="E442" i="697"/>
  <c r="E437" i="697"/>
  <c r="E432" i="697"/>
  <c r="E427" i="697"/>
  <c r="E422" i="697"/>
  <c r="E417" i="697"/>
  <c r="E412" i="697"/>
  <c r="E407" i="697"/>
  <c r="E402" i="697"/>
  <c r="E397" i="697"/>
  <c r="E392" i="697"/>
  <c r="E387" i="697"/>
  <c r="E382" i="697"/>
  <c r="E359" i="697"/>
  <c r="E358" i="697"/>
  <c r="E357" i="697"/>
  <c r="E354" i="697"/>
  <c r="E353" i="697"/>
  <c r="E348" i="697"/>
  <c r="E339" i="697"/>
  <c r="E331" i="697"/>
  <c r="E330" i="697"/>
  <c r="E329" i="697"/>
  <c r="E326" i="697"/>
  <c r="E325" i="697"/>
  <c r="E365" i="697" s="1"/>
  <c r="E324" i="697"/>
  <c r="E323" i="697"/>
  <c r="E316" i="697"/>
  <c r="E307" i="697"/>
  <c r="E298" i="697"/>
  <c r="E289" i="697"/>
  <c r="E280" i="697"/>
  <c r="E271" i="697"/>
  <c r="E262" i="697"/>
  <c r="E253" i="697"/>
  <c r="E244" i="697"/>
  <c r="E236" i="697"/>
  <c r="E234" i="697"/>
  <c r="E231" i="697"/>
  <c r="E230" i="697"/>
  <c r="E229" i="697"/>
  <c r="E224" i="697"/>
  <c r="E215" i="697"/>
  <c r="E207" i="697"/>
  <c r="E206" i="697"/>
  <c r="E205" i="697"/>
  <c r="E202" i="697"/>
  <c r="E201" i="697"/>
  <c r="E200" i="697"/>
  <c r="E192" i="697"/>
  <c r="E183" i="697"/>
  <c r="E174" i="697"/>
  <c r="E165" i="697"/>
  <c r="E156" i="697"/>
  <c r="E147" i="697"/>
  <c r="E138" i="697"/>
  <c r="E129" i="697"/>
  <c r="E120" i="697"/>
  <c r="E111" i="697"/>
  <c r="E102" i="697"/>
  <c r="E93" i="697"/>
  <c r="E84" i="697"/>
  <c r="E75" i="697"/>
  <c r="E66" i="697"/>
  <c r="E57" i="697"/>
  <c r="E48" i="697"/>
  <c r="E39" i="697"/>
  <c r="E30" i="697"/>
  <c r="E21" i="697"/>
  <c r="E1226" i="696"/>
  <c r="E1205" i="696"/>
  <c r="E1204" i="696"/>
  <c r="E1203" i="696"/>
  <c r="E1202" i="696"/>
  <c r="E1199" i="696"/>
  <c r="E1195" i="696"/>
  <c r="E1188" i="696"/>
  <c r="E1181" i="696"/>
  <c r="E1174" i="696"/>
  <c r="E1170" i="696"/>
  <c r="E1165" i="696"/>
  <c r="E1160" i="696"/>
  <c r="E1153" i="696"/>
  <c r="E1146" i="696"/>
  <c r="E1142" i="696"/>
  <c r="E1138" i="696"/>
  <c r="E1120" i="696"/>
  <c r="E1113" i="696"/>
  <c r="E1106" i="696"/>
  <c r="E1099" i="696"/>
  <c r="E1092" i="696"/>
  <c r="E1125" i="696" s="1"/>
  <c r="E1086" i="696"/>
  <c r="E1081" i="696"/>
  <c r="E1075" i="696"/>
  <c r="E1070" i="696"/>
  <c r="E1064" i="696"/>
  <c r="E1058" i="696"/>
  <c r="E1052" i="696"/>
  <c r="E1047" i="696"/>
  <c r="E1041" i="696"/>
  <c r="E1035" i="696"/>
  <c r="E1029" i="696"/>
  <c r="E1021" i="696"/>
  <c r="E1016" i="696"/>
  <c r="E1011" i="696"/>
  <c r="E1006" i="696"/>
  <c r="E1001" i="696"/>
  <c r="E996" i="696"/>
  <c r="E991" i="696"/>
  <c r="E985" i="696"/>
  <c r="E986" i="696" s="1"/>
  <c r="E975" i="696"/>
  <c r="E970" i="696"/>
  <c r="E964" i="696"/>
  <c r="E1091" i="696" s="1"/>
  <c r="E953" i="696"/>
  <c r="E921" i="696"/>
  <c r="E1225" i="696" s="1"/>
  <c r="E911" i="696"/>
  <c r="E904" i="696"/>
  <c r="E887" i="696"/>
  <c r="E886" i="696"/>
  <c r="E884" i="696"/>
  <c r="E880" i="696"/>
  <c r="E876" i="696"/>
  <c r="E872" i="696"/>
  <c r="E868" i="696"/>
  <c r="E864" i="696"/>
  <c r="E860" i="696"/>
  <c r="E856" i="696"/>
  <c r="E852" i="696"/>
  <c r="E848" i="696"/>
  <c r="E844" i="696"/>
  <c r="E840" i="696"/>
  <c r="E831" i="696"/>
  <c r="E830" i="696"/>
  <c r="E827" i="696"/>
  <c r="E822" i="696"/>
  <c r="E817" i="696"/>
  <c r="E812" i="696"/>
  <c r="E803" i="696"/>
  <c r="E802" i="696"/>
  <c r="E799" i="696"/>
  <c r="E794" i="696"/>
  <c r="E789" i="696"/>
  <c r="E784" i="696"/>
  <c r="E779" i="696"/>
  <c r="E774" i="696"/>
  <c r="E769" i="696"/>
  <c r="E764" i="696"/>
  <c r="E759" i="696"/>
  <c r="E750" i="696"/>
  <c r="E749" i="696"/>
  <c r="E746" i="696"/>
  <c r="E741" i="696"/>
  <c r="E736" i="696"/>
  <c r="E731" i="696"/>
  <c r="E726" i="696"/>
  <c r="E721" i="696"/>
  <c r="E716" i="696"/>
  <c r="E711" i="696"/>
  <c r="E706" i="696"/>
  <c r="E701" i="696"/>
  <c r="E696" i="696"/>
  <c r="E691" i="696"/>
  <c r="E686" i="696"/>
  <c r="E681" i="696"/>
  <c r="E676" i="696"/>
  <c r="E671" i="696"/>
  <c r="E666" i="696"/>
  <c r="E661" i="696"/>
  <c r="E656" i="696"/>
  <c r="E649" i="696"/>
  <c r="E634" i="696"/>
  <c r="E633" i="696"/>
  <c r="E632" i="696"/>
  <c r="E628" i="696"/>
  <c r="E631" i="696" s="1"/>
  <c r="E623" i="696"/>
  <c r="E618" i="696"/>
  <c r="E613" i="696"/>
  <c r="E608" i="696"/>
  <c r="E603" i="696"/>
  <c r="E598" i="696"/>
  <c r="E593" i="696"/>
  <c r="E588" i="696"/>
  <c r="E583" i="696"/>
  <c r="E578" i="696"/>
  <c r="E573" i="696"/>
  <c r="E568" i="696"/>
  <c r="E563" i="696"/>
  <c r="E558" i="696"/>
  <c r="E553" i="696"/>
  <c r="E548" i="696"/>
  <c r="E543" i="696"/>
  <c r="E538" i="696"/>
  <c r="E533" i="696"/>
  <c r="E528" i="696"/>
  <c r="E523" i="696"/>
  <c r="E507" i="696"/>
  <c r="E506" i="696"/>
  <c r="E505" i="696"/>
  <c r="E503" i="696"/>
  <c r="E502" i="696"/>
  <c r="E501" i="696"/>
  <c r="E497" i="696"/>
  <c r="E492" i="696"/>
  <c r="E487" i="696"/>
  <c r="E482" i="696"/>
  <c r="E477" i="696"/>
  <c r="E472" i="696"/>
  <c r="E467" i="696"/>
  <c r="E462" i="696"/>
  <c r="E457" i="696"/>
  <c r="E452" i="696"/>
  <c r="E447" i="696"/>
  <c r="E442" i="696"/>
  <c r="E437" i="696"/>
  <c r="E432" i="696"/>
  <c r="E427" i="696"/>
  <c r="E422" i="696"/>
  <c r="E417" i="696"/>
  <c r="E412" i="696"/>
  <c r="E407" i="696"/>
  <c r="E402" i="696"/>
  <c r="E397" i="696"/>
  <c r="E392" i="696"/>
  <c r="E387" i="696"/>
  <c r="E382" i="696"/>
  <c r="E359" i="696"/>
  <c r="E358" i="696"/>
  <c r="E357" i="696"/>
  <c r="E354" i="696"/>
  <c r="E353" i="696"/>
  <c r="E348" i="696"/>
  <c r="E339" i="696"/>
  <c r="E331" i="696"/>
  <c r="E330" i="696"/>
  <c r="E329" i="696"/>
  <c r="E326" i="696"/>
  <c r="E325" i="696"/>
  <c r="E365" i="696" s="1"/>
  <c r="E324" i="696"/>
  <c r="E323" i="696"/>
  <c r="E316" i="696"/>
  <c r="E307" i="696"/>
  <c r="E298" i="696"/>
  <c r="E289" i="696"/>
  <c r="E280" i="696"/>
  <c r="E271" i="696"/>
  <c r="E262" i="696"/>
  <c r="E253" i="696"/>
  <c r="E244" i="696"/>
  <c r="E236" i="696"/>
  <c r="E234" i="696"/>
  <c r="E231" i="696"/>
  <c r="E230" i="696"/>
  <c r="E229" i="696"/>
  <c r="E224" i="696"/>
  <c r="E215" i="696"/>
  <c r="E207" i="696"/>
  <c r="E206" i="696"/>
  <c r="E205" i="696"/>
  <c r="E202" i="696"/>
  <c r="E201" i="696"/>
  <c r="E200" i="696"/>
  <c r="E192" i="696"/>
  <c r="E183" i="696"/>
  <c r="E174" i="696"/>
  <c r="E165" i="696"/>
  <c r="E156" i="696"/>
  <c r="E147" i="696"/>
  <c r="E138" i="696"/>
  <c r="E129" i="696"/>
  <c r="E120" i="696"/>
  <c r="E111" i="696"/>
  <c r="E102" i="696"/>
  <c r="E93" i="696"/>
  <c r="E84" i="696"/>
  <c r="E75" i="696"/>
  <c r="E66" i="696"/>
  <c r="E57" i="696"/>
  <c r="E48" i="696"/>
  <c r="E39" i="696"/>
  <c r="E30" i="696"/>
  <c r="E21" i="696"/>
  <c r="E1226" i="695"/>
  <c r="E1205" i="695"/>
  <c r="E1204" i="695"/>
  <c r="E1203" i="695"/>
  <c r="E1202" i="695"/>
  <c r="E1199" i="695"/>
  <c r="E1195" i="695"/>
  <c r="E1188" i="695"/>
  <c r="E1181" i="695"/>
  <c r="E1174" i="695"/>
  <c r="E1170" i="695"/>
  <c r="E1165" i="695"/>
  <c r="E1160" i="695"/>
  <c r="E1153" i="695"/>
  <c r="E1146" i="695"/>
  <c r="E1142" i="695"/>
  <c r="E1138" i="695"/>
  <c r="E1120" i="695"/>
  <c r="E1113" i="695"/>
  <c r="E1106" i="695"/>
  <c r="E1099" i="695"/>
  <c r="E1092" i="695"/>
  <c r="E1125" i="695" s="1"/>
  <c r="E1086" i="695"/>
  <c r="E1081" i="695"/>
  <c r="E1075" i="695"/>
  <c r="E1070" i="695"/>
  <c r="E1064" i="695"/>
  <c r="E1058" i="695"/>
  <c r="E1052" i="695"/>
  <c r="E1047" i="695"/>
  <c r="E1041" i="695"/>
  <c r="E1035" i="695"/>
  <c r="E1029" i="695"/>
  <c r="E1021" i="695"/>
  <c r="E1016" i="695"/>
  <c r="E1011" i="695"/>
  <c r="E1006" i="695"/>
  <c r="E1001" i="695"/>
  <c r="E996" i="695"/>
  <c r="E991" i="695"/>
  <c r="E985" i="695"/>
  <c r="E986" i="695" s="1"/>
  <c r="E975" i="695"/>
  <c r="E970" i="695"/>
  <c r="E964" i="695"/>
  <c r="E1091" i="695" s="1"/>
  <c r="E953" i="695"/>
  <c r="E921" i="695"/>
  <c r="E1225" i="695" s="1"/>
  <c r="E911" i="695"/>
  <c r="E904" i="695"/>
  <c r="E887" i="695"/>
  <c r="E886" i="695"/>
  <c r="E884" i="695"/>
  <c r="E880" i="695"/>
  <c r="E876" i="695"/>
  <c r="E872" i="695"/>
  <c r="E868" i="695"/>
  <c r="E864" i="695"/>
  <c r="E860" i="695"/>
  <c r="E856" i="695"/>
  <c r="E852" i="695"/>
  <c r="E848" i="695"/>
  <c r="E844" i="695"/>
  <c r="E840" i="695"/>
  <c r="E831" i="695"/>
  <c r="E830" i="695"/>
  <c r="E827" i="695"/>
  <c r="E822" i="695"/>
  <c r="E817" i="695"/>
  <c r="E812" i="695"/>
  <c r="E803" i="695"/>
  <c r="E802" i="695"/>
  <c r="E799" i="695"/>
  <c r="E794" i="695"/>
  <c r="E789" i="695"/>
  <c r="E784" i="695"/>
  <c r="E779" i="695"/>
  <c r="E774" i="695"/>
  <c r="E769" i="695"/>
  <c r="E764" i="695"/>
  <c r="E759" i="695"/>
  <c r="E750" i="695"/>
  <c r="E749" i="695"/>
  <c r="E746" i="695"/>
  <c r="E741" i="695"/>
  <c r="E736" i="695"/>
  <c r="E731" i="695"/>
  <c r="E726" i="695"/>
  <c r="E721" i="695"/>
  <c r="E716" i="695"/>
  <c r="E711" i="695"/>
  <c r="E706" i="695"/>
  <c r="E701" i="695"/>
  <c r="E696" i="695"/>
  <c r="E691" i="695"/>
  <c r="E686" i="695"/>
  <c r="E681" i="695"/>
  <c r="E676" i="695"/>
  <c r="E671" i="695"/>
  <c r="E666" i="695"/>
  <c r="E661" i="695"/>
  <c r="E656" i="695"/>
  <c r="E649" i="695"/>
  <c r="E634" i="695"/>
  <c r="E633" i="695"/>
  <c r="E632" i="695"/>
  <c r="E628" i="695"/>
  <c r="E631" i="695" s="1"/>
  <c r="E623" i="695"/>
  <c r="E618" i="695"/>
  <c r="E613" i="695"/>
  <c r="E608" i="695"/>
  <c r="E603" i="695"/>
  <c r="E598" i="695"/>
  <c r="E593" i="695"/>
  <c r="E588" i="695"/>
  <c r="E583" i="695"/>
  <c r="E578" i="695"/>
  <c r="E573" i="695"/>
  <c r="E568" i="695"/>
  <c r="E563" i="695"/>
  <c r="E558" i="695"/>
  <c r="E553" i="695"/>
  <c r="E548" i="695"/>
  <c r="E543" i="695"/>
  <c r="E538" i="695"/>
  <c r="E533" i="695"/>
  <c r="E528" i="695"/>
  <c r="E523" i="695"/>
  <c r="E507" i="695"/>
  <c r="E506" i="695"/>
  <c r="E505" i="695"/>
  <c r="E503" i="695"/>
  <c r="E502" i="695"/>
  <c r="E501" i="695"/>
  <c r="E497" i="695"/>
  <c r="E492" i="695"/>
  <c r="E487" i="695"/>
  <c r="E482" i="695"/>
  <c r="E477" i="695"/>
  <c r="E472" i="695"/>
  <c r="E467" i="695"/>
  <c r="E462" i="695"/>
  <c r="E457" i="695"/>
  <c r="E452" i="695"/>
  <c r="E447" i="695"/>
  <c r="E442" i="695"/>
  <c r="E437" i="695"/>
  <c r="E432" i="695"/>
  <c r="E427" i="695"/>
  <c r="E422" i="695"/>
  <c r="E417" i="695"/>
  <c r="E412" i="695"/>
  <c r="E407" i="695"/>
  <c r="E402" i="695"/>
  <c r="E397" i="695"/>
  <c r="E392" i="695"/>
  <c r="E387" i="695"/>
  <c r="E382" i="695"/>
  <c r="E359" i="695"/>
  <c r="E358" i="695"/>
  <c r="E357" i="695"/>
  <c r="E354" i="695"/>
  <c r="E353" i="695"/>
  <c r="E348" i="695"/>
  <c r="E339" i="695"/>
  <c r="E331" i="695"/>
  <c r="E330" i="695"/>
  <c r="E329" i="695"/>
  <c r="E326" i="695"/>
  <c r="E325" i="695"/>
  <c r="E365" i="695" s="1"/>
  <c r="E324" i="695"/>
  <c r="E323" i="695"/>
  <c r="E316" i="695"/>
  <c r="E307" i="695"/>
  <c r="E298" i="695"/>
  <c r="E289" i="695"/>
  <c r="E280" i="695"/>
  <c r="E271" i="695"/>
  <c r="E262" i="695"/>
  <c r="E253" i="695"/>
  <c r="E244" i="695"/>
  <c r="E236" i="695"/>
  <c r="E234" i="695"/>
  <c r="E231" i="695"/>
  <c r="E230" i="695"/>
  <c r="E229" i="695"/>
  <c r="E224" i="695"/>
  <c r="E215" i="695"/>
  <c r="E207" i="695"/>
  <c r="E206" i="695"/>
  <c r="E205" i="695"/>
  <c r="E202" i="695"/>
  <c r="E201" i="695"/>
  <c r="E200" i="695"/>
  <c r="E192" i="695"/>
  <c r="E183" i="695"/>
  <c r="E174" i="695"/>
  <c r="E165" i="695"/>
  <c r="E156" i="695"/>
  <c r="E147" i="695"/>
  <c r="E138" i="695"/>
  <c r="E129" i="695"/>
  <c r="E120" i="695"/>
  <c r="E111" i="695"/>
  <c r="E102" i="695"/>
  <c r="E93" i="695"/>
  <c r="E84" i="695"/>
  <c r="E75" i="695"/>
  <c r="E66" i="695"/>
  <c r="E57" i="695"/>
  <c r="E48" i="695"/>
  <c r="E39" i="695"/>
  <c r="E30" i="695"/>
  <c r="E21" i="695"/>
  <c r="E1226" i="694"/>
  <c r="E1205" i="694"/>
  <c r="E1204" i="694"/>
  <c r="E1203" i="694"/>
  <c r="E1202" i="694"/>
  <c r="E1199" i="694"/>
  <c r="E1195" i="694"/>
  <c r="E1188" i="694"/>
  <c r="E1181" i="694"/>
  <c r="E1174" i="694"/>
  <c r="E1170" i="694"/>
  <c r="E1165" i="694"/>
  <c r="E1160" i="694"/>
  <c r="E1153" i="694"/>
  <c r="E1146" i="694"/>
  <c r="E1142" i="694"/>
  <c r="E1138" i="694"/>
  <c r="E1120" i="694"/>
  <c r="E1113" i="694"/>
  <c r="E1106" i="694"/>
  <c r="E1099" i="694"/>
  <c r="E1092" i="694"/>
  <c r="E1125" i="694" s="1"/>
  <c r="E1086" i="694"/>
  <c r="E1081" i="694"/>
  <c r="E1075" i="694"/>
  <c r="E1070" i="694"/>
  <c r="E1064" i="694"/>
  <c r="E1058" i="694"/>
  <c r="E1052" i="694"/>
  <c r="E1047" i="694"/>
  <c r="E1041" i="694"/>
  <c r="E1035" i="694"/>
  <c r="E1029" i="694"/>
  <c r="E1021" i="694"/>
  <c r="E1016" i="694"/>
  <c r="E1011" i="694"/>
  <c r="E1006" i="694"/>
  <c r="E1001" i="694"/>
  <c r="E996" i="694"/>
  <c r="E991" i="694"/>
  <c r="E985" i="694"/>
  <c r="E1093" i="694" s="1"/>
  <c r="E1126" i="694" s="1"/>
  <c r="E975" i="694"/>
  <c r="E970" i="694"/>
  <c r="E964" i="694"/>
  <c r="E1091" i="694" s="1"/>
  <c r="E953" i="694"/>
  <c r="E921" i="694"/>
  <c r="E1225" i="694" s="1"/>
  <c r="E911" i="694"/>
  <c r="E904" i="694"/>
  <c r="E887" i="694"/>
  <c r="E886" i="694"/>
  <c r="E884" i="694"/>
  <c r="E880" i="694"/>
  <c r="E876" i="694"/>
  <c r="E872" i="694"/>
  <c r="E868" i="694"/>
  <c r="E864" i="694"/>
  <c r="E860" i="694"/>
  <c r="E856" i="694"/>
  <c r="E852" i="694"/>
  <c r="E848" i="694"/>
  <c r="E844" i="694"/>
  <c r="E840" i="694"/>
  <c r="E831" i="694"/>
  <c r="E830" i="694"/>
  <c r="E827" i="694"/>
  <c r="E822" i="694"/>
  <c r="E817" i="694"/>
  <c r="E812" i="694"/>
  <c r="E803" i="694"/>
  <c r="E802" i="694"/>
  <c r="E799" i="694"/>
  <c r="E794" i="694"/>
  <c r="E789" i="694"/>
  <c r="E784" i="694"/>
  <c r="E779" i="694"/>
  <c r="E774" i="694"/>
  <c r="E769" i="694"/>
  <c r="E764" i="694"/>
  <c r="E759" i="694"/>
  <c r="E750" i="694"/>
  <c r="E749" i="694"/>
  <c r="E746" i="694"/>
  <c r="E741" i="694"/>
  <c r="E736" i="694"/>
  <c r="E731" i="694"/>
  <c r="E726" i="694"/>
  <c r="E721" i="694"/>
  <c r="E716" i="694"/>
  <c r="E711" i="694"/>
  <c r="E706" i="694"/>
  <c r="E701" i="694"/>
  <c r="E696" i="694"/>
  <c r="E691" i="694"/>
  <c r="E686" i="694"/>
  <c r="E681" i="694"/>
  <c r="E676" i="694"/>
  <c r="E671" i="694"/>
  <c r="E666" i="694"/>
  <c r="E661" i="694"/>
  <c r="E656" i="694"/>
  <c r="E649" i="694"/>
  <c r="E634" i="694"/>
  <c r="E633" i="694"/>
  <c r="E632" i="694"/>
  <c r="E628" i="694"/>
  <c r="E631" i="694" s="1"/>
  <c r="E623" i="694"/>
  <c r="E618" i="694"/>
  <c r="E613" i="694"/>
  <c r="E608" i="694"/>
  <c r="E603" i="694"/>
  <c r="E598" i="694"/>
  <c r="E593" i="694"/>
  <c r="E588" i="694"/>
  <c r="E583" i="694"/>
  <c r="E578" i="694"/>
  <c r="E573" i="694"/>
  <c r="E568" i="694"/>
  <c r="E563" i="694"/>
  <c r="E558" i="694"/>
  <c r="E553" i="694"/>
  <c r="E548" i="694"/>
  <c r="E543" i="694"/>
  <c r="E538" i="694"/>
  <c r="E533" i="694"/>
  <c r="E528" i="694"/>
  <c r="E523" i="694"/>
  <c r="E507" i="694"/>
  <c r="E506" i="694"/>
  <c r="E505" i="694"/>
  <c r="E503" i="694"/>
  <c r="E502" i="694"/>
  <c r="E501" i="694"/>
  <c r="E497" i="694"/>
  <c r="E492" i="694"/>
  <c r="E487" i="694"/>
  <c r="E482" i="694"/>
  <c r="E477" i="694"/>
  <c r="E472" i="694"/>
  <c r="E467" i="694"/>
  <c r="E462" i="694"/>
  <c r="E457" i="694"/>
  <c r="E452" i="694"/>
  <c r="E447" i="694"/>
  <c r="E442" i="694"/>
  <c r="E437" i="694"/>
  <c r="E432" i="694"/>
  <c r="E427" i="694"/>
  <c r="E422" i="694"/>
  <c r="E417" i="694"/>
  <c r="E412" i="694"/>
  <c r="E407" i="694"/>
  <c r="E402" i="694"/>
  <c r="E397" i="694"/>
  <c r="E392" i="694"/>
  <c r="E387" i="694"/>
  <c r="E382" i="694"/>
  <c r="E359" i="694"/>
  <c r="E358" i="694"/>
  <c r="E357" i="694"/>
  <c r="E354" i="694"/>
  <c r="E353" i="694"/>
  <c r="E348" i="694"/>
  <c r="E339" i="694"/>
  <c r="E331" i="694"/>
  <c r="E330" i="694"/>
  <c r="E329" i="694"/>
  <c r="E326" i="694"/>
  <c r="E325" i="694"/>
  <c r="E365" i="694" s="1"/>
  <c r="E324" i="694"/>
  <c r="E323" i="694"/>
  <c r="E316" i="694"/>
  <c r="E307" i="694"/>
  <c r="E298" i="694"/>
  <c r="E289" i="694"/>
  <c r="E280" i="694"/>
  <c r="E271" i="694"/>
  <c r="E262" i="694"/>
  <c r="E253" i="694"/>
  <c r="E244" i="694"/>
  <c r="E236" i="694"/>
  <c r="E234" i="694"/>
  <c r="E231" i="694"/>
  <c r="E230" i="694"/>
  <c r="E229" i="694"/>
  <c r="E224" i="694"/>
  <c r="E215" i="694"/>
  <c r="E207" i="694"/>
  <c r="E206" i="694"/>
  <c r="E205" i="694"/>
  <c r="E202" i="694"/>
  <c r="E201" i="694"/>
  <c r="E200" i="694"/>
  <c r="E192" i="694"/>
  <c r="E183" i="694"/>
  <c r="E174" i="694"/>
  <c r="E165" i="694"/>
  <c r="E156" i="694"/>
  <c r="E147" i="694"/>
  <c r="E138" i="694"/>
  <c r="E129" i="694"/>
  <c r="E120" i="694"/>
  <c r="E111" i="694"/>
  <c r="E102" i="694"/>
  <c r="E93" i="694"/>
  <c r="E84" i="694"/>
  <c r="E75" i="694"/>
  <c r="E66" i="694"/>
  <c r="E57" i="694"/>
  <c r="E48" i="694"/>
  <c r="E39" i="694"/>
  <c r="E30" i="694"/>
  <c r="E21" i="694"/>
  <c r="E1226" i="693"/>
  <c r="E1205" i="693"/>
  <c r="E1204" i="693"/>
  <c r="E1203" i="693"/>
  <c r="E1202" i="693"/>
  <c r="E1199" i="693"/>
  <c r="E1195" i="693"/>
  <c r="E1188" i="693"/>
  <c r="E1181" i="693"/>
  <c r="E1174" i="693"/>
  <c r="E1170" i="693"/>
  <c r="E1165" i="693"/>
  <c r="E1160" i="693"/>
  <c r="E1153" i="693"/>
  <c r="E1146" i="693"/>
  <c r="E1142" i="693"/>
  <c r="E1138" i="693"/>
  <c r="E1120" i="693"/>
  <c r="E1113" i="693"/>
  <c r="E1106" i="693"/>
  <c r="E1099" i="693"/>
  <c r="E1092" i="693"/>
  <c r="E1125" i="693" s="1"/>
  <c r="E1086" i="693"/>
  <c r="E1081" i="693"/>
  <c r="E1075" i="693"/>
  <c r="E1070" i="693"/>
  <c r="E1064" i="693"/>
  <c r="E1058" i="693"/>
  <c r="E1052" i="693"/>
  <c r="E1047" i="693"/>
  <c r="E1041" i="693"/>
  <c r="E1035" i="693"/>
  <c r="E1029" i="693"/>
  <c r="E1021" i="693"/>
  <c r="E1016" i="693"/>
  <c r="E1011" i="693"/>
  <c r="E1006" i="693"/>
  <c r="E1001" i="693"/>
  <c r="E996" i="693"/>
  <c r="E991" i="693"/>
  <c r="E985" i="693"/>
  <c r="E986" i="693" s="1"/>
  <c r="E975" i="693"/>
  <c r="E970" i="693"/>
  <c r="E964" i="693"/>
  <c r="E1091" i="693" s="1"/>
  <c r="E953" i="693"/>
  <c r="E921" i="693"/>
  <c r="E933" i="693" s="1"/>
  <c r="E911" i="693"/>
  <c r="E904" i="693"/>
  <c r="E887" i="693"/>
  <c r="E886" i="693"/>
  <c r="E884" i="693"/>
  <c r="E880" i="693"/>
  <c r="E876" i="693"/>
  <c r="E872" i="693"/>
  <c r="E868" i="693"/>
  <c r="E864" i="693"/>
  <c r="E860" i="693"/>
  <c r="E856" i="693"/>
  <c r="E852" i="693"/>
  <c r="E848" i="693"/>
  <c r="E844" i="693"/>
  <c r="E840" i="693"/>
  <c r="E831" i="693"/>
  <c r="E830" i="693"/>
  <c r="E827" i="693"/>
  <c r="E822" i="693"/>
  <c r="E817" i="693"/>
  <c r="E812" i="693"/>
  <c r="E803" i="693"/>
  <c r="E802" i="693"/>
  <c r="E799" i="693"/>
  <c r="E794" i="693"/>
  <c r="E789" i="693"/>
  <c r="E784" i="693"/>
  <c r="E779" i="693"/>
  <c r="E774" i="693"/>
  <c r="E769" i="693"/>
  <c r="E764" i="693"/>
  <c r="E759" i="693"/>
  <c r="E750" i="693"/>
  <c r="E749" i="693"/>
  <c r="E746" i="693"/>
  <c r="E741" i="693"/>
  <c r="E736" i="693"/>
  <c r="E731" i="693"/>
  <c r="E726" i="693"/>
  <c r="E721" i="693"/>
  <c r="E716" i="693"/>
  <c r="E711" i="693"/>
  <c r="E706" i="693"/>
  <c r="E701" i="693"/>
  <c r="E696" i="693"/>
  <c r="E691" i="693"/>
  <c r="E686" i="693"/>
  <c r="E681" i="693"/>
  <c r="E676" i="693"/>
  <c r="E671" i="693"/>
  <c r="E666" i="693"/>
  <c r="E661" i="693"/>
  <c r="E656" i="693"/>
  <c r="E649" i="693"/>
  <c r="E634" i="693"/>
  <c r="E633" i="693"/>
  <c r="E632" i="693"/>
  <c r="E628" i="693"/>
  <c r="E631" i="693" s="1"/>
  <c r="E623" i="693"/>
  <c r="E618" i="693"/>
  <c r="E613" i="693"/>
  <c r="E608" i="693"/>
  <c r="E603" i="693"/>
  <c r="E598" i="693"/>
  <c r="E593" i="693"/>
  <c r="E588" i="693"/>
  <c r="E583" i="693"/>
  <c r="E578" i="693"/>
  <c r="E573" i="693"/>
  <c r="E568" i="693"/>
  <c r="E563" i="693"/>
  <c r="E558" i="693"/>
  <c r="E553" i="693"/>
  <c r="E548" i="693"/>
  <c r="E543" i="693"/>
  <c r="E538" i="693"/>
  <c r="E533" i="693"/>
  <c r="E528" i="693"/>
  <c r="E523" i="693"/>
  <c r="E507" i="693"/>
  <c r="E506" i="693"/>
  <c r="E505" i="693"/>
  <c r="E503" i="693"/>
  <c r="E502" i="693"/>
  <c r="E501" i="693"/>
  <c r="E497" i="693"/>
  <c r="E492" i="693"/>
  <c r="E487" i="693"/>
  <c r="E482" i="693"/>
  <c r="E477" i="693"/>
  <c r="E472" i="693"/>
  <c r="E467" i="693"/>
  <c r="E462" i="693"/>
  <c r="E457" i="693"/>
  <c r="E452" i="693"/>
  <c r="E447" i="693"/>
  <c r="E442" i="693"/>
  <c r="E437" i="693"/>
  <c r="E432" i="693"/>
  <c r="E427" i="693"/>
  <c r="E422" i="693"/>
  <c r="E417" i="693"/>
  <c r="E412" i="693"/>
  <c r="E407" i="693"/>
  <c r="E402" i="693"/>
  <c r="E397" i="693"/>
  <c r="E392" i="693"/>
  <c r="E387" i="693"/>
  <c r="E382" i="693"/>
  <c r="E359" i="693"/>
  <c r="E358" i="693"/>
  <c r="E357" i="693"/>
  <c r="E354" i="693"/>
  <c r="E353" i="693"/>
  <c r="E348" i="693"/>
  <c r="E339" i="693"/>
  <c r="E331" i="693"/>
  <c r="E330" i="693"/>
  <c r="E329" i="693"/>
  <c r="E326" i="693"/>
  <c r="E325" i="693"/>
  <c r="E365" i="693" s="1"/>
  <c r="E324" i="693"/>
  <c r="E323" i="693"/>
  <c r="E316" i="693"/>
  <c r="E307" i="693"/>
  <c r="E298" i="693"/>
  <c r="E289" i="693"/>
  <c r="E280" i="693"/>
  <c r="E271" i="693"/>
  <c r="E262" i="693"/>
  <c r="E253" i="693"/>
  <c r="E244" i="693"/>
  <c r="E236" i="693"/>
  <c r="E234" i="693"/>
  <c r="E231" i="693"/>
  <c r="E230" i="693"/>
  <c r="E229" i="693"/>
  <c r="E224" i="693"/>
  <c r="E215" i="693"/>
  <c r="E207" i="693"/>
  <c r="E206" i="693"/>
  <c r="E205" i="693"/>
  <c r="E202" i="693"/>
  <c r="E201" i="693"/>
  <c r="E200" i="693"/>
  <c r="E192" i="693"/>
  <c r="E183" i="693"/>
  <c r="E174" i="693"/>
  <c r="E165" i="693"/>
  <c r="E156" i="693"/>
  <c r="E147" i="693"/>
  <c r="E138" i="693"/>
  <c r="E129" i="693"/>
  <c r="E120" i="693"/>
  <c r="E111" i="693"/>
  <c r="E102" i="693"/>
  <c r="E93" i="693"/>
  <c r="E84" i="693"/>
  <c r="E75" i="693"/>
  <c r="E66" i="693"/>
  <c r="E57" i="693"/>
  <c r="E48" i="693"/>
  <c r="E39" i="693"/>
  <c r="E30" i="693"/>
  <c r="E21" i="693"/>
  <c r="E1226" i="692"/>
  <c r="E1205" i="692"/>
  <c r="E1204" i="692"/>
  <c r="E1203" i="692"/>
  <c r="E1202" i="692"/>
  <c r="E1199" i="692"/>
  <c r="E1195" i="692"/>
  <c r="E1188" i="692"/>
  <c r="E1181" i="692"/>
  <c r="E1174" i="692"/>
  <c r="E1170" i="692"/>
  <c r="E1165" i="692"/>
  <c r="E1160" i="692"/>
  <c r="E1153" i="692"/>
  <c r="E1146" i="692"/>
  <c r="E1142" i="692"/>
  <c r="E1138" i="692"/>
  <c r="E1120" i="692"/>
  <c r="E1113" i="692"/>
  <c r="E1106" i="692"/>
  <c r="E1099" i="692"/>
  <c r="E1092" i="692"/>
  <c r="E1125" i="692" s="1"/>
  <c r="E1086" i="692"/>
  <c r="E1081" i="692"/>
  <c r="E1075" i="692"/>
  <c r="E1070" i="692"/>
  <c r="E1064" i="692"/>
  <c r="E1058" i="692"/>
  <c r="E1052" i="692"/>
  <c r="E1047" i="692"/>
  <c r="E1041" i="692"/>
  <c r="E1035" i="692"/>
  <c r="E1029" i="692"/>
  <c r="E1021" i="692"/>
  <c r="E1016" i="692"/>
  <c r="E1011" i="692"/>
  <c r="E1006" i="692"/>
  <c r="E1001" i="692"/>
  <c r="E996" i="692"/>
  <c r="E991" i="692"/>
  <c r="E985" i="692"/>
  <c r="E986" i="692" s="1"/>
  <c r="E975" i="692"/>
  <c r="E970" i="692"/>
  <c r="E964" i="692"/>
  <c r="E1091" i="692" s="1"/>
  <c r="E953" i="692"/>
  <c r="E921" i="692"/>
  <c r="E1225" i="692" s="1"/>
  <c r="E911" i="692"/>
  <c r="E904" i="692"/>
  <c r="E887" i="692"/>
  <c r="E886" i="692"/>
  <c r="E884" i="692"/>
  <c r="E880" i="692"/>
  <c r="E876" i="692"/>
  <c r="E872" i="692"/>
  <c r="E868" i="692"/>
  <c r="E864" i="692"/>
  <c r="E860" i="692"/>
  <c r="E856" i="692"/>
  <c r="E852" i="692"/>
  <c r="E848" i="692"/>
  <c r="E844" i="692"/>
  <c r="E840" i="692"/>
  <c r="E831" i="692"/>
  <c r="E830" i="692"/>
  <c r="E827" i="692"/>
  <c r="E822" i="692"/>
  <c r="E817" i="692"/>
  <c r="E812" i="692"/>
  <c r="E803" i="692"/>
  <c r="E802" i="692"/>
  <c r="E799" i="692"/>
  <c r="E794" i="692"/>
  <c r="E789" i="692"/>
  <c r="E784" i="692"/>
  <c r="E779" i="692"/>
  <c r="E774" i="692"/>
  <c r="E769" i="692"/>
  <c r="E764" i="692"/>
  <c r="E759" i="692"/>
  <c r="E750" i="692"/>
  <c r="E749" i="692"/>
  <c r="E746" i="692"/>
  <c r="E741" i="692"/>
  <c r="E736" i="692"/>
  <c r="E731" i="692"/>
  <c r="E726" i="692"/>
  <c r="E721" i="692"/>
  <c r="E716" i="692"/>
  <c r="E711" i="692"/>
  <c r="E706" i="692"/>
  <c r="E701" i="692"/>
  <c r="E696" i="692"/>
  <c r="E691" i="692"/>
  <c r="E686" i="692"/>
  <c r="E681" i="692"/>
  <c r="E676" i="692"/>
  <c r="E671" i="692"/>
  <c r="E666" i="692"/>
  <c r="E661" i="692"/>
  <c r="E656" i="692"/>
  <c r="E649" i="692"/>
  <c r="E634" i="692"/>
  <c r="E633" i="692"/>
  <c r="E632" i="692"/>
  <c r="E628" i="692"/>
  <c r="E631" i="692" s="1"/>
  <c r="E623" i="692"/>
  <c r="E618" i="692"/>
  <c r="E613" i="692"/>
  <c r="E608" i="692"/>
  <c r="E603" i="692"/>
  <c r="E598" i="692"/>
  <c r="E593" i="692"/>
  <c r="E588" i="692"/>
  <c r="E583" i="692"/>
  <c r="E578" i="692"/>
  <c r="E573" i="692"/>
  <c r="E568" i="692"/>
  <c r="E563" i="692"/>
  <c r="E558" i="692"/>
  <c r="E553" i="692"/>
  <c r="E548" i="692"/>
  <c r="E543" i="692"/>
  <c r="E538" i="692"/>
  <c r="E533" i="692"/>
  <c r="E528" i="692"/>
  <c r="E523" i="692"/>
  <c r="E507" i="692"/>
  <c r="E506" i="692"/>
  <c r="E505" i="692"/>
  <c r="E503" i="692"/>
  <c r="E502" i="692"/>
  <c r="E501" i="692"/>
  <c r="E497" i="692"/>
  <c r="E492" i="692"/>
  <c r="E487" i="692"/>
  <c r="E482" i="692"/>
  <c r="E477" i="692"/>
  <c r="E472" i="692"/>
  <c r="E467" i="692"/>
  <c r="E462" i="692"/>
  <c r="E457" i="692"/>
  <c r="E452" i="692"/>
  <c r="E447" i="692"/>
  <c r="E442" i="692"/>
  <c r="E437" i="692"/>
  <c r="E432" i="692"/>
  <c r="E427" i="692"/>
  <c r="E422" i="692"/>
  <c r="E417" i="692"/>
  <c r="E412" i="692"/>
  <c r="E407" i="692"/>
  <c r="E402" i="692"/>
  <c r="E397" i="692"/>
  <c r="E392" i="692"/>
  <c r="E387" i="692"/>
  <c r="E382" i="692"/>
  <c r="E359" i="692"/>
  <c r="E358" i="692"/>
  <c r="E357" i="692"/>
  <c r="E354" i="692"/>
  <c r="E353" i="692"/>
  <c r="E348" i="692"/>
  <c r="E339" i="692"/>
  <c r="E331" i="692"/>
  <c r="E330" i="692"/>
  <c r="E329" i="692"/>
  <c r="E326" i="692"/>
  <c r="E325" i="692"/>
  <c r="E365" i="692" s="1"/>
  <c r="E324" i="692"/>
  <c r="E323" i="692"/>
  <c r="E316" i="692"/>
  <c r="E307" i="692"/>
  <c r="E298" i="692"/>
  <c r="E289" i="692"/>
  <c r="E280" i="692"/>
  <c r="E271" i="692"/>
  <c r="E262" i="692"/>
  <c r="E253" i="692"/>
  <c r="E244" i="692"/>
  <c r="E236" i="692"/>
  <c r="E234" i="692"/>
  <c r="E231" i="692"/>
  <c r="E230" i="692"/>
  <c r="E229" i="692"/>
  <c r="E224" i="692"/>
  <c r="E215" i="692"/>
  <c r="E207" i="692"/>
  <c r="E206" i="692"/>
  <c r="E205" i="692"/>
  <c r="E202" i="692"/>
  <c r="E201" i="692"/>
  <c r="E200" i="692"/>
  <c r="E192" i="692"/>
  <c r="E183" i="692"/>
  <c r="E174" i="692"/>
  <c r="E165" i="692"/>
  <c r="E156" i="692"/>
  <c r="E147" i="692"/>
  <c r="E138" i="692"/>
  <c r="E129" i="692"/>
  <c r="E120" i="692"/>
  <c r="E111" i="692"/>
  <c r="E102" i="692"/>
  <c r="E93" i="692"/>
  <c r="E84" i="692"/>
  <c r="E75" i="692"/>
  <c r="E66" i="692"/>
  <c r="E57" i="692"/>
  <c r="E48" i="692"/>
  <c r="E39" i="692"/>
  <c r="E30" i="692"/>
  <c r="E21" i="692"/>
  <c r="E1226" i="691"/>
  <c r="E1205" i="691"/>
  <c r="E1204" i="691"/>
  <c r="E1203" i="691"/>
  <c r="E1202" i="691"/>
  <c r="E1199" i="691"/>
  <c r="E1195" i="691"/>
  <c r="E1188" i="691"/>
  <c r="E1181" i="691"/>
  <c r="E1174" i="691"/>
  <c r="E1170" i="691"/>
  <c r="E1165" i="691"/>
  <c r="E1160" i="691"/>
  <c r="E1153" i="691"/>
  <c r="E1146" i="691"/>
  <c r="E1142" i="691"/>
  <c r="E1138" i="691"/>
  <c r="E1120" i="691"/>
  <c r="E1113" i="691"/>
  <c r="E1106" i="691"/>
  <c r="E1099" i="691"/>
  <c r="E1092" i="691"/>
  <c r="E1125" i="691" s="1"/>
  <c r="E1086" i="691"/>
  <c r="E1081" i="691"/>
  <c r="E1075" i="691"/>
  <c r="E1070" i="691"/>
  <c r="E1064" i="691"/>
  <c r="E1058" i="691"/>
  <c r="E1052" i="691"/>
  <c r="E1047" i="691"/>
  <c r="E1041" i="691"/>
  <c r="E1035" i="691"/>
  <c r="E1029" i="691"/>
  <c r="E1021" i="691"/>
  <c r="E1016" i="691"/>
  <c r="E1011" i="691"/>
  <c r="E1006" i="691"/>
  <c r="E1001" i="691"/>
  <c r="E996" i="691"/>
  <c r="E991" i="691"/>
  <c r="E985" i="691"/>
  <c r="E986" i="691" s="1"/>
  <c r="E975" i="691"/>
  <c r="E970" i="691"/>
  <c r="E964" i="691"/>
  <c r="E1091" i="691" s="1"/>
  <c r="E953" i="691"/>
  <c r="E921" i="691"/>
  <c r="E1225" i="691" s="1"/>
  <c r="E911" i="691"/>
  <c r="E904" i="691"/>
  <c r="E887" i="691"/>
  <c r="E886" i="691"/>
  <c r="E884" i="691"/>
  <c r="E880" i="691"/>
  <c r="E876" i="691"/>
  <c r="E872" i="691"/>
  <c r="E868" i="691"/>
  <c r="E864" i="691"/>
  <c r="E860" i="691"/>
  <c r="E856" i="691"/>
  <c r="E852" i="691"/>
  <c r="E848" i="691"/>
  <c r="E844" i="691"/>
  <c r="E840" i="691"/>
  <c r="E831" i="691"/>
  <c r="E830" i="691"/>
  <c r="E827" i="691"/>
  <c r="E822" i="691"/>
  <c r="E817" i="691"/>
  <c r="E812" i="691"/>
  <c r="E803" i="691"/>
  <c r="E802" i="691"/>
  <c r="E799" i="691"/>
  <c r="E794" i="691"/>
  <c r="E789" i="691"/>
  <c r="E784" i="691"/>
  <c r="E779" i="691"/>
  <c r="E774" i="691"/>
  <c r="E769" i="691"/>
  <c r="E764" i="691"/>
  <c r="E759" i="691"/>
  <c r="E750" i="691"/>
  <c r="E749" i="691"/>
  <c r="E746" i="691"/>
  <c r="E741" i="691"/>
  <c r="E736" i="691"/>
  <c r="E731" i="691"/>
  <c r="E726" i="691"/>
  <c r="E721" i="691"/>
  <c r="E716" i="691"/>
  <c r="E711" i="691"/>
  <c r="E706" i="691"/>
  <c r="E701" i="691"/>
  <c r="E696" i="691"/>
  <c r="E691" i="691"/>
  <c r="E686" i="691"/>
  <c r="E681" i="691"/>
  <c r="E676" i="691"/>
  <c r="E671" i="691"/>
  <c r="E666" i="691"/>
  <c r="E661" i="691"/>
  <c r="E656" i="691"/>
  <c r="E649" i="691"/>
  <c r="E634" i="691"/>
  <c r="E633" i="691"/>
  <c r="E632" i="691"/>
  <c r="E628" i="691"/>
  <c r="E631" i="691" s="1"/>
  <c r="E623" i="691"/>
  <c r="E618" i="691"/>
  <c r="E613" i="691"/>
  <c r="E608" i="691"/>
  <c r="E603" i="691"/>
  <c r="E598" i="691"/>
  <c r="E593" i="691"/>
  <c r="E588" i="691"/>
  <c r="E583" i="691"/>
  <c r="E578" i="691"/>
  <c r="E573" i="691"/>
  <c r="E568" i="691"/>
  <c r="E563" i="691"/>
  <c r="E558" i="691"/>
  <c r="E553" i="691"/>
  <c r="E548" i="691"/>
  <c r="E543" i="691"/>
  <c r="E538" i="691"/>
  <c r="E533" i="691"/>
  <c r="E528" i="691"/>
  <c r="E523" i="691"/>
  <c r="E507" i="691"/>
  <c r="E506" i="691"/>
  <c r="E505" i="691"/>
  <c r="E503" i="691"/>
  <c r="E502" i="691"/>
  <c r="E501" i="691"/>
  <c r="E497" i="691"/>
  <c r="E492" i="691"/>
  <c r="E487" i="691"/>
  <c r="E482" i="691"/>
  <c r="E477" i="691"/>
  <c r="E472" i="691"/>
  <c r="E467" i="691"/>
  <c r="E462" i="691"/>
  <c r="E457" i="691"/>
  <c r="E452" i="691"/>
  <c r="E447" i="691"/>
  <c r="E442" i="691"/>
  <c r="E437" i="691"/>
  <c r="E432" i="691"/>
  <c r="E427" i="691"/>
  <c r="E422" i="691"/>
  <c r="E417" i="691"/>
  <c r="E412" i="691"/>
  <c r="E407" i="691"/>
  <c r="E402" i="691"/>
  <c r="E397" i="691"/>
  <c r="E392" i="691"/>
  <c r="E387" i="691"/>
  <c r="E382" i="691"/>
  <c r="E359" i="691"/>
  <c r="E358" i="691"/>
  <c r="E357" i="691"/>
  <c r="E354" i="691"/>
  <c r="E353" i="691"/>
  <c r="E348" i="691"/>
  <c r="E339" i="691"/>
  <c r="E331" i="691"/>
  <c r="E330" i="691"/>
  <c r="E329" i="691"/>
  <c r="E326" i="691"/>
  <c r="E325" i="691"/>
  <c r="E365" i="691" s="1"/>
  <c r="E324" i="691"/>
  <c r="E323" i="691"/>
  <c r="E316" i="691"/>
  <c r="E307" i="691"/>
  <c r="E298" i="691"/>
  <c r="E289" i="691"/>
  <c r="E280" i="691"/>
  <c r="E271" i="691"/>
  <c r="E262" i="691"/>
  <c r="E253" i="691"/>
  <c r="E244" i="691"/>
  <c r="E236" i="691"/>
  <c r="E234" i="691"/>
  <c r="E231" i="691"/>
  <c r="E230" i="691"/>
  <c r="E229" i="691"/>
  <c r="E224" i="691"/>
  <c r="E215" i="691"/>
  <c r="E207" i="691"/>
  <c r="E206" i="691"/>
  <c r="E205" i="691"/>
  <c r="E202" i="691"/>
  <c r="E201" i="691"/>
  <c r="E200" i="691"/>
  <c r="E192" i="691"/>
  <c r="E183" i="691"/>
  <c r="E174" i="691"/>
  <c r="E165" i="691"/>
  <c r="E156" i="691"/>
  <c r="E147" i="691"/>
  <c r="E138" i="691"/>
  <c r="E129" i="691"/>
  <c r="E120" i="691"/>
  <c r="E111" i="691"/>
  <c r="E102" i="691"/>
  <c r="E93" i="691"/>
  <c r="E84" i="691"/>
  <c r="E75" i="691"/>
  <c r="E66" i="691"/>
  <c r="E57" i="691"/>
  <c r="E48" i="691"/>
  <c r="E39" i="691"/>
  <c r="E30" i="691"/>
  <c r="E21" i="691"/>
  <c r="E1226" i="690"/>
  <c r="E1205" i="690"/>
  <c r="E1204" i="690"/>
  <c r="E1203" i="690"/>
  <c r="E1202" i="690"/>
  <c r="E1199" i="690"/>
  <c r="E1195" i="690"/>
  <c r="E1188" i="690"/>
  <c r="E1181" i="690"/>
  <c r="E1174" i="690"/>
  <c r="E1170" i="690"/>
  <c r="E1165" i="690"/>
  <c r="E1160" i="690"/>
  <c r="E1153" i="690"/>
  <c r="E1146" i="690"/>
  <c r="E1142" i="690"/>
  <c r="E1138" i="690"/>
  <c r="E1120" i="690"/>
  <c r="E1113" i="690"/>
  <c r="E1106" i="690"/>
  <c r="E1099" i="690"/>
  <c r="E1092" i="690"/>
  <c r="E1125" i="690" s="1"/>
  <c r="E1086" i="690"/>
  <c r="E1081" i="690"/>
  <c r="E1075" i="690"/>
  <c r="E1070" i="690"/>
  <c r="E1064" i="690"/>
  <c r="E1058" i="690"/>
  <c r="E1052" i="690"/>
  <c r="E1047" i="690"/>
  <c r="E1041" i="690"/>
  <c r="E1035" i="690"/>
  <c r="E1029" i="690"/>
  <c r="E1021" i="690"/>
  <c r="E1016" i="690"/>
  <c r="E1011" i="690"/>
  <c r="E1006" i="690"/>
  <c r="E1001" i="690"/>
  <c r="E996" i="690"/>
  <c r="E991" i="690"/>
  <c r="E985" i="690"/>
  <c r="E986" i="690" s="1"/>
  <c r="E975" i="690"/>
  <c r="E970" i="690"/>
  <c r="E964" i="690"/>
  <c r="E1091" i="690" s="1"/>
  <c r="E953" i="690"/>
  <c r="E921" i="690"/>
  <c r="E1225" i="690" s="1"/>
  <c r="E911" i="690"/>
  <c r="E904" i="690"/>
  <c r="E887" i="690"/>
  <c r="E886" i="690"/>
  <c r="E884" i="690"/>
  <c r="E880" i="690"/>
  <c r="E876" i="690"/>
  <c r="E872" i="690"/>
  <c r="E868" i="690"/>
  <c r="E864" i="690"/>
  <c r="E860" i="690"/>
  <c r="E856" i="690"/>
  <c r="E852" i="690"/>
  <c r="E848" i="690"/>
  <c r="E844" i="690"/>
  <c r="E840" i="690"/>
  <c r="E831" i="690"/>
  <c r="E830" i="690"/>
  <c r="E827" i="690"/>
  <c r="E822" i="690"/>
  <c r="E817" i="690"/>
  <c r="E812" i="690"/>
  <c r="E803" i="690"/>
  <c r="E802" i="690"/>
  <c r="E799" i="690"/>
  <c r="E794" i="690"/>
  <c r="E789" i="690"/>
  <c r="E784" i="690"/>
  <c r="E779" i="690"/>
  <c r="E774" i="690"/>
  <c r="E769" i="690"/>
  <c r="E764" i="690"/>
  <c r="E759" i="690"/>
  <c r="E750" i="690"/>
  <c r="E749" i="690"/>
  <c r="E746" i="690"/>
  <c r="E741" i="690"/>
  <c r="E736" i="690"/>
  <c r="E731" i="690"/>
  <c r="E726" i="690"/>
  <c r="E721" i="690"/>
  <c r="E716" i="690"/>
  <c r="E711" i="690"/>
  <c r="E706" i="690"/>
  <c r="E701" i="690"/>
  <c r="E696" i="690"/>
  <c r="E691" i="690"/>
  <c r="E686" i="690"/>
  <c r="E681" i="690"/>
  <c r="E676" i="690"/>
  <c r="E671" i="690"/>
  <c r="E666" i="690"/>
  <c r="E661" i="690"/>
  <c r="E656" i="690"/>
  <c r="E649" i="690"/>
  <c r="E634" i="690"/>
  <c r="E633" i="690"/>
  <c r="E632" i="690"/>
  <c r="E628" i="690"/>
  <c r="E631" i="690" s="1"/>
  <c r="E623" i="690"/>
  <c r="E618" i="690"/>
  <c r="E613" i="690"/>
  <c r="E608" i="690"/>
  <c r="E603" i="690"/>
  <c r="E598" i="690"/>
  <c r="E593" i="690"/>
  <c r="E588" i="690"/>
  <c r="E583" i="690"/>
  <c r="E578" i="690"/>
  <c r="E573" i="690"/>
  <c r="E568" i="690"/>
  <c r="E563" i="690"/>
  <c r="E558" i="690"/>
  <c r="E553" i="690"/>
  <c r="E548" i="690"/>
  <c r="E543" i="690"/>
  <c r="E538" i="690"/>
  <c r="E533" i="690"/>
  <c r="E528" i="690"/>
  <c r="E523" i="690"/>
  <c r="E507" i="690"/>
  <c r="E506" i="690"/>
  <c r="E505" i="690"/>
  <c r="E503" i="690"/>
  <c r="E502" i="690"/>
  <c r="E501" i="690"/>
  <c r="E497" i="690"/>
  <c r="E492" i="690"/>
  <c r="E487" i="690"/>
  <c r="E482" i="690"/>
  <c r="E477" i="690"/>
  <c r="E472" i="690"/>
  <c r="E467" i="690"/>
  <c r="E462" i="690"/>
  <c r="E457" i="690"/>
  <c r="E452" i="690"/>
  <c r="E447" i="690"/>
  <c r="E442" i="690"/>
  <c r="E437" i="690"/>
  <c r="E432" i="690"/>
  <c r="E427" i="690"/>
  <c r="E422" i="690"/>
  <c r="E417" i="690"/>
  <c r="E412" i="690"/>
  <c r="E407" i="690"/>
  <c r="E402" i="690"/>
  <c r="E397" i="690"/>
  <c r="E392" i="690"/>
  <c r="E387" i="690"/>
  <c r="E382" i="690"/>
  <c r="E359" i="690"/>
  <c r="E358" i="690"/>
  <c r="E357" i="690"/>
  <c r="E354" i="690"/>
  <c r="E353" i="690"/>
  <c r="E348" i="690"/>
  <c r="E339" i="690"/>
  <c r="E331" i="690"/>
  <c r="E330" i="690"/>
  <c r="E329" i="690"/>
  <c r="E326" i="690"/>
  <c r="E325" i="690"/>
  <c r="E365" i="690" s="1"/>
  <c r="E324" i="690"/>
  <c r="E323" i="690"/>
  <c r="E316" i="690"/>
  <c r="E307" i="690"/>
  <c r="E298" i="690"/>
  <c r="E289" i="690"/>
  <c r="E280" i="690"/>
  <c r="E271" i="690"/>
  <c r="E262" i="690"/>
  <c r="E253" i="690"/>
  <c r="E244" i="690"/>
  <c r="E236" i="690"/>
  <c r="E234" i="690"/>
  <c r="E231" i="690"/>
  <c r="E230" i="690"/>
  <c r="E229" i="690"/>
  <c r="E224" i="690"/>
  <c r="E215" i="690"/>
  <c r="E207" i="690"/>
  <c r="E206" i="690"/>
  <c r="E205" i="690"/>
  <c r="E202" i="690"/>
  <c r="E201" i="690"/>
  <c r="E200" i="690"/>
  <c r="E192" i="690"/>
  <c r="E183" i="690"/>
  <c r="E174" i="690"/>
  <c r="E165" i="690"/>
  <c r="E156" i="690"/>
  <c r="E147" i="690"/>
  <c r="E138" i="690"/>
  <c r="E129" i="690"/>
  <c r="E120" i="690"/>
  <c r="E111" i="690"/>
  <c r="E102" i="690"/>
  <c r="E93" i="690"/>
  <c r="E84" i="690"/>
  <c r="E75" i="690"/>
  <c r="E66" i="690"/>
  <c r="E57" i="690"/>
  <c r="E48" i="690"/>
  <c r="E39" i="690"/>
  <c r="E30" i="690"/>
  <c r="E21" i="690"/>
  <c r="E1226" i="689"/>
  <c r="E1205" i="689"/>
  <c r="E1204" i="689"/>
  <c r="E1203" i="689"/>
  <c r="E1202" i="689"/>
  <c r="E1199" i="689"/>
  <c r="E1195" i="689"/>
  <c r="E1188" i="689"/>
  <c r="E1181" i="689"/>
  <c r="E1174" i="689"/>
  <c r="E1170" i="689"/>
  <c r="E1165" i="689"/>
  <c r="E1160" i="689"/>
  <c r="E1153" i="689"/>
  <c r="E1146" i="689"/>
  <c r="E1142" i="689"/>
  <c r="E1138" i="689"/>
  <c r="E1120" i="689"/>
  <c r="E1113" i="689"/>
  <c r="E1106" i="689"/>
  <c r="E1099" i="689"/>
  <c r="E1092" i="689"/>
  <c r="E1125" i="689" s="1"/>
  <c r="E1086" i="689"/>
  <c r="E1081" i="689"/>
  <c r="E1075" i="689"/>
  <c r="E1070" i="689"/>
  <c r="E1064" i="689"/>
  <c r="E1058" i="689"/>
  <c r="E1052" i="689"/>
  <c r="E1047" i="689"/>
  <c r="E1041" i="689"/>
  <c r="E1035" i="689"/>
  <c r="E1029" i="689"/>
  <c r="E1021" i="689"/>
  <c r="E1016" i="689"/>
  <c r="E1011" i="689"/>
  <c r="E1006" i="689"/>
  <c r="E1001" i="689"/>
  <c r="E996" i="689"/>
  <c r="E991" i="689"/>
  <c r="E985" i="689"/>
  <c r="E986" i="689" s="1"/>
  <c r="E975" i="689"/>
  <c r="E970" i="689"/>
  <c r="E964" i="689"/>
  <c r="E1091" i="689" s="1"/>
  <c r="E953" i="689"/>
  <c r="E921" i="689"/>
  <c r="E1225" i="689" s="1"/>
  <c r="E911" i="689"/>
  <c r="E904" i="689"/>
  <c r="E887" i="689"/>
  <c r="E886" i="689"/>
  <c r="E884" i="689"/>
  <c r="E880" i="689"/>
  <c r="E876" i="689"/>
  <c r="E872" i="689"/>
  <c r="E868" i="689"/>
  <c r="E864" i="689"/>
  <c r="E860" i="689"/>
  <c r="E856" i="689"/>
  <c r="E852" i="689"/>
  <c r="E848" i="689"/>
  <c r="E844" i="689"/>
  <c r="E840" i="689"/>
  <c r="E831" i="689"/>
  <c r="E830" i="689"/>
  <c r="E827" i="689"/>
  <c r="E822" i="689"/>
  <c r="E817" i="689"/>
  <c r="E812" i="689"/>
  <c r="E803" i="689"/>
  <c r="E802" i="689"/>
  <c r="E799" i="689"/>
  <c r="E794" i="689"/>
  <c r="E789" i="689"/>
  <c r="E784" i="689"/>
  <c r="E779" i="689"/>
  <c r="E774" i="689"/>
  <c r="E769" i="689"/>
  <c r="E764" i="689"/>
  <c r="E759" i="689"/>
  <c r="E750" i="689"/>
  <c r="E749" i="689"/>
  <c r="E746" i="689"/>
  <c r="E741" i="689"/>
  <c r="E736" i="689"/>
  <c r="E731" i="689"/>
  <c r="E726" i="689"/>
  <c r="E721" i="689"/>
  <c r="E716" i="689"/>
  <c r="E711" i="689"/>
  <c r="E706" i="689"/>
  <c r="E701" i="689"/>
  <c r="E696" i="689"/>
  <c r="E691" i="689"/>
  <c r="E686" i="689"/>
  <c r="E681" i="689"/>
  <c r="E676" i="689"/>
  <c r="E671" i="689"/>
  <c r="E666" i="689"/>
  <c r="E661" i="689"/>
  <c r="E656" i="689"/>
  <c r="E649" i="689"/>
  <c r="E634" i="689"/>
  <c r="E633" i="689"/>
  <c r="E632" i="689"/>
  <c r="E628" i="689"/>
  <c r="E631" i="689" s="1"/>
  <c r="E623" i="689"/>
  <c r="E618" i="689"/>
  <c r="E613" i="689"/>
  <c r="E608" i="689"/>
  <c r="E603" i="689"/>
  <c r="E598" i="689"/>
  <c r="E593" i="689"/>
  <c r="E588" i="689"/>
  <c r="E583" i="689"/>
  <c r="E578" i="689"/>
  <c r="E573" i="689"/>
  <c r="E568" i="689"/>
  <c r="E563" i="689"/>
  <c r="E558" i="689"/>
  <c r="E553" i="689"/>
  <c r="E548" i="689"/>
  <c r="E543" i="689"/>
  <c r="E538" i="689"/>
  <c r="E533" i="689"/>
  <c r="E528" i="689"/>
  <c r="E523" i="689"/>
  <c r="E507" i="689"/>
  <c r="E506" i="689"/>
  <c r="E505" i="689"/>
  <c r="E503" i="689"/>
  <c r="E502" i="689"/>
  <c r="E501" i="689"/>
  <c r="E497" i="689"/>
  <c r="E492" i="689"/>
  <c r="E487" i="689"/>
  <c r="E482" i="689"/>
  <c r="E477" i="689"/>
  <c r="E472" i="689"/>
  <c r="E467" i="689"/>
  <c r="E462" i="689"/>
  <c r="E457" i="689"/>
  <c r="E452" i="689"/>
  <c r="E447" i="689"/>
  <c r="E442" i="689"/>
  <c r="E437" i="689"/>
  <c r="E432" i="689"/>
  <c r="E427" i="689"/>
  <c r="E422" i="689"/>
  <c r="E417" i="689"/>
  <c r="E412" i="689"/>
  <c r="E407" i="689"/>
  <c r="E402" i="689"/>
  <c r="E397" i="689"/>
  <c r="E392" i="689"/>
  <c r="E387" i="689"/>
  <c r="E382" i="689"/>
  <c r="E359" i="689"/>
  <c r="E358" i="689"/>
  <c r="E357" i="689"/>
  <c r="E354" i="689"/>
  <c r="E353" i="689"/>
  <c r="E348" i="689"/>
  <c r="E339" i="689"/>
  <c r="E331" i="689"/>
  <c r="E330" i="689"/>
  <c r="E329" i="689"/>
  <c r="E326" i="689"/>
  <c r="E325" i="689"/>
  <c r="E365" i="689" s="1"/>
  <c r="E324" i="689"/>
  <c r="E323" i="689"/>
  <c r="E316" i="689"/>
  <c r="E307" i="689"/>
  <c r="E298" i="689"/>
  <c r="E289" i="689"/>
  <c r="E280" i="689"/>
  <c r="E271" i="689"/>
  <c r="E262" i="689"/>
  <c r="E253" i="689"/>
  <c r="E244" i="689"/>
  <c r="E236" i="689"/>
  <c r="E234" i="689"/>
  <c r="E231" i="689"/>
  <c r="E230" i="689"/>
  <c r="E229" i="689"/>
  <c r="E224" i="689"/>
  <c r="E215" i="689"/>
  <c r="E207" i="689"/>
  <c r="E206" i="689"/>
  <c r="E205" i="689"/>
  <c r="E202" i="689"/>
  <c r="E201" i="689"/>
  <c r="E200" i="689"/>
  <c r="E192" i="689"/>
  <c r="E183" i="689"/>
  <c r="E174" i="689"/>
  <c r="E165" i="689"/>
  <c r="E156" i="689"/>
  <c r="E147" i="689"/>
  <c r="E138" i="689"/>
  <c r="E129" i="689"/>
  <c r="E120" i="689"/>
  <c r="E111" i="689"/>
  <c r="E102" i="689"/>
  <c r="E93" i="689"/>
  <c r="E84" i="689"/>
  <c r="E75" i="689"/>
  <c r="E66" i="689"/>
  <c r="E57" i="689"/>
  <c r="E48" i="689"/>
  <c r="E39" i="689"/>
  <c r="E30" i="689"/>
  <c r="E21" i="689"/>
  <c r="E1226" i="688"/>
  <c r="E1205" i="688"/>
  <c r="E1204" i="688"/>
  <c r="E1203" i="688"/>
  <c r="E1202" i="688"/>
  <c r="E1199" i="688"/>
  <c r="E1195" i="688"/>
  <c r="E1188" i="688"/>
  <c r="E1181" i="688"/>
  <c r="E1174" i="688"/>
  <c r="E1170" i="688"/>
  <c r="E1165" i="688"/>
  <c r="E1160" i="688"/>
  <c r="E1153" i="688"/>
  <c r="E1146" i="688"/>
  <c r="E1142" i="688"/>
  <c r="E1138" i="688"/>
  <c r="E1120" i="688"/>
  <c r="E1113" i="688"/>
  <c r="E1106" i="688"/>
  <c r="E1099" i="688"/>
  <c r="E1092" i="688"/>
  <c r="E1125" i="688" s="1"/>
  <c r="E1086" i="688"/>
  <c r="E1081" i="688"/>
  <c r="E1075" i="688"/>
  <c r="E1070" i="688"/>
  <c r="E1064" i="688"/>
  <c r="E1058" i="688"/>
  <c r="E1052" i="688"/>
  <c r="E1047" i="688"/>
  <c r="E1041" i="688"/>
  <c r="E1035" i="688"/>
  <c r="E1029" i="688"/>
  <c r="E1021" i="688"/>
  <c r="E1016" i="688"/>
  <c r="E1011" i="688"/>
  <c r="E1006" i="688"/>
  <c r="E1001" i="688"/>
  <c r="E996" i="688"/>
  <c r="E991" i="688"/>
  <c r="E985" i="688"/>
  <c r="E986" i="688" s="1"/>
  <c r="E975" i="688"/>
  <c r="E970" i="688"/>
  <c r="E964" i="688"/>
  <c r="E1091" i="688" s="1"/>
  <c r="E953" i="688"/>
  <c r="E921" i="688"/>
  <c r="E1225" i="688" s="1"/>
  <c r="E911" i="688"/>
  <c r="E904" i="688"/>
  <c r="E887" i="688"/>
  <c r="E886" i="688"/>
  <c r="E884" i="688"/>
  <c r="E880" i="688"/>
  <c r="E876" i="688"/>
  <c r="E872" i="688"/>
  <c r="E868" i="688"/>
  <c r="E864" i="688"/>
  <c r="E860" i="688"/>
  <c r="E856" i="688"/>
  <c r="E852" i="688"/>
  <c r="E848" i="688"/>
  <c r="E844" i="688"/>
  <c r="E840" i="688"/>
  <c r="E831" i="688"/>
  <c r="E830" i="688"/>
  <c r="E827" i="688"/>
  <c r="E822" i="688"/>
  <c r="E817" i="688"/>
  <c r="E812" i="688"/>
  <c r="E803" i="688"/>
  <c r="E802" i="688"/>
  <c r="E799" i="688"/>
  <c r="E794" i="688"/>
  <c r="E789" i="688"/>
  <c r="E784" i="688"/>
  <c r="E779" i="688"/>
  <c r="E774" i="688"/>
  <c r="E769" i="688"/>
  <c r="E764" i="688"/>
  <c r="E759" i="688"/>
  <c r="E750" i="688"/>
  <c r="E749" i="688"/>
  <c r="E746" i="688"/>
  <c r="E741" i="688"/>
  <c r="E736" i="688"/>
  <c r="E731" i="688"/>
  <c r="E726" i="688"/>
  <c r="E721" i="688"/>
  <c r="E716" i="688"/>
  <c r="E711" i="688"/>
  <c r="E706" i="688"/>
  <c r="E701" i="688"/>
  <c r="E696" i="688"/>
  <c r="E691" i="688"/>
  <c r="E686" i="688"/>
  <c r="E681" i="688"/>
  <c r="E676" i="688"/>
  <c r="E671" i="688"/>
  <c r="E666" i="688"/>
  <c r="E661" i="688"/>
  <c r="E656" i="688"/>
  <c r="E649" i="688"/>
  <c r="E634" i="688"/>
  <c r="E633" i="688"/>
  <c r="E632" i="688"/>
  <c r="E628" i="688"/>
  <c r="E631" i="688" s="1"/>
  <c r="E623" i="688"/>
  <c r="E618" i="688"/>
  <c r="E613" i="688"/>
  <c r="E608" i="688"/>
  <c r="E603" i="688"/>
  <c r="E598" i="688"/>
  <c r="E593" i="688"/>
  <c r="E588" i="688"/>
  <c r="E583" i="688"/>
  <c r="E578" i="688"/>
  <c r="E573" i="688"/>
  <c r="E568" i="688"/>
  <c r="E563" i="688"/>
  <c r="E558" i="688"/>
  <c r="E553" i="688"/>
  <c r="E548" i="688"/>
  <c r="E543" i="688"/>
  <c r="E538" i="688"/>
  <c r="E533" i="688"/>
  <c r="E528" i="688"/>
  <c r="E523" i="688"/>
  <c r="E507" i="688"/>
  <c r="E506" i="688"/>
  <c r="E505" i="688"/>
  <c r="E503" i="688"/>
  <c r="E502" i="688"/>
  <c r="E501" i="688"/>
  <c r="E497" i="688"/>
  <c r="E492" i="688"/>
  <c r="E487" i="688"/>
  <c r="E482" i="688"/>
  <c r="E477" i="688"/>
  <c r="E472" i="688"/>
  <c r="E467" i="688"/>
  <c r="E462" i="688"/>
  <c r="E457" i="688"/>
  <c r="E452" i="688"/>
  <c r="E447" i="688"/>
  <c r="E442" i="688"/>
  <c r="E437" i="688"/>
  <c r="E432" i="688"/>
  <c r="E427" i="688"/>
  <c r="E422" i="688"/>
  <c r="E417" i="688"/>
  <c r="E412" i="688"/>
  <c r="E407" i="688"/>
  <c r="E402" i="688"/>
  <c r="E397" i="688"/>
  <c r="E392" i="688"/>
  <c r="E387" i="688"/>
  <c r="E382" i="688"/>
  <c r="E359" i="688"/>
  <c r="E358" i="688"/>
  <c r="E357" i="688"/>
  <c r="E354" i="688"/>
  <c r="E353" i="688"/>
  <c r="E348" i="688"/>
  <c r="E339" i="688"/>
  <c r="E331" i="688"/>
  <c r="E330" i="688"/>
  <c r="E329" i="688"/>
  <c r="E326" i="688"/>
  <c r="E325" i="688"/>
  <c r="E365" i="688" s="1"/>
  <c r="E324" i="688"/>
  <c r="E323" i="688"/>
  <c r="E316" i="688"/>
  <c r="E307" i="688"/>
  <c r="E298" i="688"/>
  <c r="E289" i="688"/>
  <c r="E280" i="688"/>
  <c r="E271" i="688"/>
  <c r="E262" i="688"/>
  <c r="E253" i="688"/>
  <c r="E244" i="688"/>
  <c r="E236" i="688"/>
  <c r="E234" i="688"/>
  <c r="E231" i="688"/>
  <c r="E230" i="688"/>
  <c r="E229" i="688"/>
  <c r="E224" i="688"/>
  <c r="E215" i="688"/>
  <c r="E207" i="688"/>
  <c r="E206" i="688"/>
  <c r="E205" i="688"/>
  <c r="E202" i="688"/>
  <c r="E201" i="688"/>
  <c r="E200" i="688"/>
  <c r="E192" i="688"/>
  <c r="E183" i="688"/>
  <c r="E174" i="688"/>
  <c r="E165" i="688"/>
  <c r="E156" i="688"/>
  <c r="E147" i="688"/>
  <c r="E138" i="688"/>
  <c r="E129" i="688"/>
  <c r="E120" i="688"/>
  <c r="E111" i="688"/>
  <c r="E102" i="688"/>
  <c r="E93" i="688"/>
  <c r="E84" i="688"/>
  <c r="E75" i="688"/>
  <c r="E66" i="688"/>
  <c r="E57" i="688"/>
  <c r="E48" i="688"/>
  <c r="E39" i="688"/>
  <c r="E30" i="688"/>
  <c r="E21" i="688"/>
  <c r="E1226" i="687"/>
  <c r="E1205" i="687"/>
  <c r="E1204" i="687"/>
  <c r="E1203" i="687"/>
  <c r="E1202" i="687"/>
  <c r="E1199" i="687"/>
  <c r="E1195" i="687"/>
  <c r="E1188" i="687"/>
  <c r="E1181" i="687"/>
  <c r="E1174" i="687"/>
  <c r="E1170" i="687"/>
  <c r="E1165" i="687"/>
  <c r="E1160" i="687"/>
  <c r="E1153" i="687"/>
  <c r="E1146" i="687"/>
  <c r="E1142" i="687"/>
  <c r="E1138" i="687"/>
  <c r="E1120" i="687"/>
  <c r="E1113" i="687"/>
  <c r="E1106" i="687"/>
  <c r="E1099" i="687"/>
  <c r="E1092" i="687"/>
  <c r="E1125" i="687" s="1"/>
  <c r="E1086" i="687"/>
  <c r="E1081" i="687"/>
  <c r="E1075" i="687"/>
  <c r="E1070" i="687"/>
  <c r="E1064" i="687"/>
  <c r="E1058" i="687"/>
  <c r="E1052" i="687"/>
  <c r="E1047" i="687"/>
  <c r="E1041" i="687"/>
  <c r="E1035" i="687"/>
  <c r="E1029" i="687"/>
  <c r="E1021" i="687"/>
  <c r="E1016" i="687"/>
  <c r="E1011" i="687"/>
  <c r="E1006" i="687"/>
  <c r="E1001" i="687"/>
  <c r="E996" i="687"/>
  <c r="E991" i="687"/>
  <c r="E985" i="687"/>
  <c r="E986" i="687" s="1"/>
  <c r="E975" i="687"/>
  <c r="E970" i="687"/>
  <c r="E964" i="687"/>
  <c r="E1091" i="687" s="1"/>
  <c r="E953" i="687"/>
  <c r="E921" i="687"/>
  <c r="E1225" i="687" s="1"/>
  <c r="E911" i="687"/>
  <c r="E904" i="687"/>
  <c r="E887" i="687"/>
  <c r="E886" i="687"/>
  <c r="E884" i="687"/>
  <c r="E880" i="687"/>
  <c r="E876" i="687"/>
  <c r="E872" i="687"/>
  <c r="E868" i="687"/>
  <c r="E864" i="687"/>
  <c r="E860" i="687"/>
  <c r="E856" i="687"/>
  <c r="E852" i="687"/>
  <c r="E848" i="687"/>
  <c r="E844" i="687"/>
  <c r="E840" i="687"/>
  <c r="E831" i="687"/>
  <c r="E830" i="687"/>
  <c r="E827" i="687"/>
  <c r="E822" i="687"/>
  <c r="E817" i="687"/>
  <c r="E812" i="687"/>
  <c r="E803" i="687"/>
  <c r="E802" i="687"/>
  <c r="E799" i="687"/>
  <c r="E794" i="687"/>
  <c r="E789" i="687"/>
  <c r="E784" i="687"/>
  <c r="E779" i="687"/>
  <c r="E774" i="687"/>
  <c r="E769" i="687"/>
  <c r="E764" i="687"/>
  <c r="E759" i="687"/>
  <c r="E750" i="687"/>
  <c r="E749" i="687"/>
  <c r="E746" i="687"/>
  <c r="E741" i="687"/>
  <c r="E736" i="687"/>
  <c r="E731" i="687"/>
  <c r="E726" i="687"/>
  <c r="E721" i="687"/>
  <c r="E716" i="687"/>
  <c r="E711" i="687"/>
  <c r="E706" i="687"/>
  <c r="E701" i="687"/>
  <c r="E696" i="687"/>
  <c r="E691" i="687"/>
  <c r="E686" i="687"/>
  <c r="E681" i="687"/>
  <c r="E676" i="687"/>
  <c r="E671" i="687"/>
  <c r="E666" i="687"/>
  <c r="E661" i="687"/>
  <c r="E656" i="687"/>
  <c r="E649" i="687"/>
  <c r="E634" i="687"/>
  <c r="E633" i="687"/>
  <c r="E632" i="687"/>
  <c r="E628" i="687"/>
  <c r="E631" i="687" s="1"/>
  <c r="E623" i="687"/>
  <c r="E618" i="687"/>
  <c r="E613" i="687"/>
  <c r="E608" i="687"/>
  <c r="E603" i="687"/>
  <c r="E598" i="687"/>
  <c r="E593" i="687"/>
  <c r="E588" i="687"/>
  <c r="E583" i="687"/>
  <c r="E578" i="687"/>
  <c r="E573" i="687"/>
  <c r="E568" i="687"/>
  <c r="E563" i="687"/>
  <c r="E558" i="687"/>
  <c r="E553" i="687"/>
  <c r="E548" i="687"/>
  <c r="E543" i="687"/>
  <c r="E538" i="687"/>
  <c r="E533" i="687"/>
  <c r="E528" i="687"/>
  <c r="E523" i="687"/>
  <c r="E507" i="687"/>
  <c r="E506" i="687"/>
  <c r="E505" i="687"/>
  <c r="E503" i="687"/>
  <c r="E502" i="687"/>
  <c r="E501" i="687"/>
  <c r="E497" i="687"/>
  <c r="E492" i="687"/>
  <c r="E487" i="687"/>
  <c r="E482" i="687"/>
  <c r="E477" i="687"/>
  <c r="E472" i="687"/>
  <c r="E467" i="687"/>
  <c r="E462" i="687"/>
  <c r="E457" i="687"/>
  <c r="E452" i="687"/>
  <c r="E447" i="687"/>
  <c r="E442" i="687"/>
  <c r="E437" i="687"/>
  <c r="E432" i="687"/>
  <c r="E427" i="687"/>
  <c r="E422" i="687"/>
  <c r="E417" i="687"/>
  <c r="E412" i="687"/>
  <c r="E407" i="687"/>
  <c r="E402" i="687"/>
  <c r="E397" i="687"/>
  <c r="E392" i="687"/>
  <c r="E387" i="687"/>
  <c r="E382" i="687"/>
  <c r="E359" i="687"/>
  <c r="E358" i="687"/>
  <c r="E357" i="687"/>
  <c r="E354" i="687"/>
  <c r="E353" i="687"/>
  <c r="E348" i="687"/>
  <c r="E339" i="687"/>
  <c r="E331" i="687"/>
  <c r="E330" i="687"/>
  <c r="E329" i="687"/>
  <c r="E326" i="687"/>
  <c r="E325" i="687"/>
  <c r="E365" i="687" s="1"/>
  <c r="E324" i="687"/>
  <c r="E323" i="687"/>
  <c r="E316" i="687"/>
  <c r="E307" i="687"/>
  <c r="E298" i="687"/>
  <c r="E289" i="687"/>
  <c r="E280" i="687"/>
  <c r="E271" i="687"/>
  <c r="E262" i="687"/>
  <c r="E253" i="687"/>
  <c r="E244" i="687"/>
  <c r="E236" i="687"/>
  <c r="E234" i="687"/>
  <c r="E231" i="687"/>
  <c r="E230" i="687"/>
  <c r="E229" i="687"/>
  <c r="E224" i="687"/>
  <c r="E215" i="687"/>
  <c r="E207" i="687"/>
  <c r="E206" i="687"/>
  <c r="E205" i="687"/>
  <c r="E202" i="687"/>
  <c r="E201" i="687"/>
  <c r="E200" i="687"/>
  <c r="E192" i="687"/>
  <c r="E183" i="687"/>
  <c r="E174" i="687"/>
  <c r="E165" i="687"/>
  <c r="E156" i="687"/>
  <c r="E147" i="687"/>
  <c r="E138" i="687"/>
  <c r="E129" i="687"/>
  <c r="E120" i="687"/>
  <c r="E111" i="687"/>
  <c r="E102" i="687"/>
  <c r="E93" i="687"/>
  <c r="E84" i="687"/>
  <c r="E75" i="687"/>
  <c r="E66" i="687"/>
  <c r="E57" i="687"/>
  <c r="E48" i="687"/>
  <c r="E39" i="687"/>
  <c r="E30" i="687"/>
  <c r="E21" i="687"/>
  <c r="E1226" i="686"/>
  <c r="E1205" i="686"/>
  <c r="E1204" i="686"/>
  <c r="E1203" i="686"/>
  <c r="E1202" i="686"/>
  <c r="E1199" i="686"/>
  <c r="E1195" i="686"/>
  <c r="E1188" i="686"/>
  <c r="E1181" i="686"/>
  <c r="E1174" i="686"/>
  <c r="E1170" i="686"/>
  <c r="E1165" i="686"/>
  <c r="E1160" i="686"/>
  <c r="E1153" i="686"/>
  <c r="E1146" i="686"/>
  <c r="E1142" i="686"/>
  <c r="E1138" i="686"/>
  <c r="E1120" i="686"/>
  <c r="E1113" i="686"/>
  <c r="E1106" i="686"/>
  <c r="E1099" i="686"/>
  <c r="E1092" i="686"/>
  <c r="E1086" i="686"/>
  <c r="E1081" i="686"/>
  <c r="E1075" i="686"/>
  <c r="E1070" i="686"/>
  <c r="E1064" i="686"/>
  <c r="E1058" i="686"/>
  <c r="E1052" i="686"/>
  <c r="E1047" i="686"/>
  <c r="E1041" i="686"/>
  <c r="E1035" i="686"/>
  <c r="E1029" i="686"/>
  <c r="E1021" i="686"/>
  <c r="E1016" i="686"/>
  <c r="E1011" i="686"/>
  <c r="E1006" i="686"/>
  <c r="E1001" i="686"/>
  <c r="E996" i="686"/>
  <c r="E991" i="686"/>
  <c r="E985" i="686"/>
  <c r="E986" i="686" s="1"/>
  <c r="E975" i="686"/>
  <c r="E970" i="686"/>
  <c r="E964" i="686"/>
  <c r="E1091" i="686" s="1"/>
  <c r="E1124" i="686" s="1"/>
  <c r="E953" i="686"/>
  <c r="E921" i="686"/>
  <c r="E1225" i="686" s="1"/>
  <c r="E911" i="686"/>
  <c r="E904" i="686"/>
  <c r="E887" i="686"/>
  <c r="E886" i="686"/>
  <c r="E884" i="686"/>
  <c r="E880" i="686"/>
  <c r="E876" i="686"/>
  <c r="E872" i="686"/>
  <c r="E868" i="686"/>
  <c r="E864" i="686"/>
  <c r="E860" i="686"/>
  <c r="E856" i="686"/>
  <c r="E852" i="686"/>
  <c r="E848" i="686"/>
  <c r="E844" i="686"/>
  <c r="E840" i="686"/>
  <c r="E831" i="686"/>
  <c r="E830" i="686"/>
  <c r="E827" i="686"/>
  <c r="E822" i="686"/>
  <c r="E817" i="686"/>
  <c r="E812" i="686"/>
  <c r="E803" i="686"/>
  <c r="E802" i="686"/>
  <c r="E799" i="686"/>
  <c r="E794" i="686"/>
  <c r="E789" i="686"/>
  <c r="E784" i="686"/>
  <c r="E779" i="686"/>
  <c r="E774" i="686"/>
  <c r="E769" i="686"/>
  <c r="E764" i="686"/>
  <c r="E759" i="686"/>
  <c r="E750" i="686"/>
  <c r="E749" i="686"/>
  <c r="E746" i="686"/>
  <c r="E741" i="686"/>
  <c r="E736" i="686"/>
  <c r="E731" i="686"/>
  <c r="E726" i="686"/>
  <c r="E721" i="686"/>
  <c r="E716" i="686"/>
  <c r="E711" i="686"/>
  <c r="E706" i="686"/>
  <c r="E701" i="686"/>
  <c r="E696" i="686"/>
  <c r="E691" i="686"/>
  <c r="E686" i="686"/>
  <c r="E681" i="686"/>
  <c r="E676" i="686"/>
  <c r="E671" i="686"/>
  <c r="E666" i="686"/>
  <c r="E661" i="686"/>
  <c r="E656" i="686"/>
  <c r="E649" i="686"/>
  <c r="E634" i="686"/>
  <c r="E633" i="686"/>
  <c r="E632" i="686"/>
  <c r="E628" i="686"/>
  <c r="E631" i="686" s="1"/>
  <c r="E623" i="686"/>
  <c r="E618" i="686"/>
  <c r="E613" i="686"/>
  <c r="E608" i="686"/>
  <c r="E603" i="686"/>
  <c r="E598" i="686"/>
  <c r="E593" i="686"/>
  <c r="E588" i="686"/>
  <c r="E583" i="686"/>
  <c r="E578" i="686"/>
  <c r="E573" i="686"/>
  <c r="E568" i="686"/>
  <c r="E563" i="686"/>
  <c r="E558" i="686"/>
  <c r="E553" i="686"/>
  <c r="E548" i="686"/>
  <c r="E543" i="686"/>
  <c r="E538" i="686"/>
  <c r="E533" i="686"/>
  <c r="E528" i="686"/>
  <c r="E523" i="686"/>
  <c r="E507" i="686"/>
  <c r="E506" i="686"/>
  <c r="E505" i="686"/>
  <c r="E503" i="686"/>
  <c r="E502" i="686"/>
  <c r="E501" i="686"/>
  <c r="E497" i="686"/>
  <c r="E492" i="686"/>
  <c r="E487" i="686"/>
  <c r="E482" i="686"/>
  <c r="E477" i="686"/>
  <c r="E472" i="686"/>
  <c r="E467" i="686"/>
  <c r="E462" i="686"/>
  <c r="E457" i="686"/>
  <c r="E452" i="686"/>
  <c r="E447" i="686"/>
  <c r="E442" i="686"/>
  <c r="E437" i="686"/>
  <c r="E432" i="686"/>
  <c r="E427" i="686"/>
  <c r="E422" i="686"/>
  <c r="E417" i="686"/>
  <c r="E412" i="686"/>
  <c r="E407" i="686"/>
  <c r="E402" i="686"/>
  <c r="E397" i="686"/>
  <c r="E392" i="686"/>
  <c r="E387" i="686"/>
  <c r="E382" i="686"/>
  <c r="E359" i="686"/>
  <c r="E358" i="686"/>
  <c r="E357" i="686"/>
  <c r="E354" i="686"/>
  <c r="E353" i="686"/>
  <c r="E348" i="686"/>
  <c r="E339" i="686"/>
  <c r="E331" i="686"/>
  <c r="E330" i="686"/>
  <c r="E329" i="686"/>
  <c r="E326" i="686"/>
  <c r="E325" i="686"/>
  <c r="E365" i="686" s="1"/>
  <c r="E324" i="686"/>
  <c r="E323" i="686"/>
  <c r="E316" i="686"/>
  <c r="E307" i="686"/>
  <c r="E298" i="686"/>
  <c r="E289" i="686"/>
  <c r="E280" i="686"/>
  <c r="E271" i="686"/>
  <c r="E262" i="686"/>
  <c r="E253" i="686"/>
  <c r="E244" i="686"/>
  <c r="E236" i="686"/>
  <c r="E234" i="686"/>
  <c r="E231" i="686"/>
  <c r="E230" i="686"/>
  <c r="E229" i="686"/>
  <c r="E224" i="686"/>
  <c r="E215" i="686"/>
  <c r="E207" i="686"/>
  <c r="E206" i="686"/>
  <c r="E205" i="686"/>
  <c r="E202" i="686"/>
  <c r="E201" i="686"/>
  <c r="E200" i="686"/>
  <c r="E192" i="686"/>
  <c r="E183" i="686"/>
  <c r="E174" i="686"/>
  <c r="E165" i="686"/>
  <c r="E156" i="686"/>
  <c r="E147" i="686"/>
  <c r="E138" i="686"/>
  <c r="E129" i="686"/>
  <c r="E120" i="686"/>
  <c r="E111" i="686"/>
  <c r="E102" i="686"/>
  <c r="E93" i="686"/>
  <c r="E84" i="686"/>
  <c r="E75" i="686"/>
  <c r="E66" i="686"/>
  <c r="E57" i="686"/>
  <c r="E48" i="686"/>
  <c r="E39" i="686"/>
  <c r="E30" i="686"/>
  <c r="E21" i="686"/>
  <c r="E1226" i="685"/>
  <c r="E1205" i="685"/>
  <c r="E1204" i="685"/>
  <c r="E1203" i="685"/>
  <c r="E1202" i="685"/>
  <c r="E1199" i="685"/>
  <c r="E1195" i="685"/>
  <c r="E1188" i="685"/>
  <c r="E1181" i="685"/>
  <c r="E1174" i="685"/>
  <c r="E1170" i="685"/>
  <c r="E1165" i="685"/>
  <c r="E1160" i="685"/>
  <c r="E1153" i="685"/>
  <c r="E1146" i="685"/>
  <c r="E1142" i="685"/>
  <c r="E1138" i="685"/>
  <c r="E1120" i="685"/>
  <c r="E1113" i="685"/>
  <c r="E1106" i="685"/>
  <c r="E1099" i="685"/>
  <c r="E1092" i="685"/>
  <c r="E1125" i="685" s="1"/>
  <c r="E1086" i="685"/>
  <c r="E1081" i="685"/>
  <c r="E1075" i="685"/>
  <c r="E1070" i="685"/>
  <c r="E1064" i="685"/>
  <c r="E1058" i="685"/>
  <c r="E1052" i="685"/>
  <c r="E1047" i="685"/>
  <c r="E1041" i="685"/>
  <c r="E1035" i="685"/>
  <c r="E1029" i="685"/>
  <c r="E1021" i="685"/>
  <c r="E1016" i="685"/>
  <c r="E1011" i="685"/>
  <c r="E1006" i="685"/>
  <c r="E1001" i="685"/>
  <c r="E996" i="685"/>
  <c r="E991" i="685"/>
  <c r="E985" i="685"/>
  <c r="E986" i="685" s="1"/>
  <c r="E975" i="685"/>
  <c r="E970" i="685"/>
  <c r="E964" i="685"/>
  <c r="E1091" i="685" s="1"/>
  <c r="E953" i="685"/>
  <c r="E921" i="685"/>
  <c r="E1225" i="685" s="1"/>
  <c r="E911" i="685"/>
  <c r="E904" i="685"/>
  <c r="E887" i="685"/>
  <c r="E886" i="685"/>
  <c r="E884" i="685"/>
  <c r="E880" i="685"/>
  <c r="E876" i="685"/>
  <c r="E872" i="685"/>
  <c r="E868" i="685"/>
  <c r="E864" i="685"/>
  <c r="E860" i="685"/>
  <c r="E856" i="685"/>
  <c r="E852" i="685"/>
  <c r="E848" i="685"/>
  <c r="E844" i="685"/>
  <c r="E840" i="685"/>
  <c r="E831" i="685"/>
  <c r="E830" i="685"/>
  <c r="E827" i="685"/>
  <c r="E822" i="685"/>
  <c r="E817" i="685"/>
  <c r="E812" i="685"/>
  <c r="E803" i="685"/>
  <c r="E802" i="685"/>
  <c r="E799" i="685"/>
  <c r="E794" i="685"/>
  <c r="E789" i="685"/>
  <c r="E784" i="685"/>
  <c r="E779" i="685"/>
  <c r="E774" i="685"/>
  <c r="E769" i="685"/>
  <c r="E764" i="685"/>
  <c r="E759" i="685"/>
  <c r="E750" i="685"/>
  <c r="E749" i="685"/>
  <c r="E746" i="685"/>
  <c r="E741" i="685"/>
  <c r="E736" i="685"/>
  <c r="E731" i="685"/>
  <c r="E726" i="685"/>
  <c r="E721" i="685"/>
  <c r="E716" i="685"/>
  <c r="E711" i="685"/>
  <c r="E706" i="685"/>
  <c r="E701" i="685"/>
  <c r="E696" i="685"/>
  <c r="E691" i="685"/>
  <c r="E686" i="685"/>
  <c r="E681" i="685"/>
  <c r="E676" i="685"/>
  <c r="E671" i="685"/>
  <c r="E666" i="685"/>
  <c r="E661" i="685"/>
  <c r="E656" i="685"/>
  <c r="E649" i="685"/>
  <c r="E634" i="685"/>
  <c r="E633" i="685"/>
  <c r="E632" i="685"/>
  <c r="E628" i="685"/>
  <c r="E631" i="685" s="1"/>
  <c r="E623" i="685"/>
  <c r="E618" i="685"/>
  <c r="E613" i="685"/>
  <c r="E608" i="685"/>
  <c r="E603" i="685"/>
  <c r="E598" i="685"/>
  <c r="E593" i="685"/>
  <c r="E588" i="685"/>
  <c r="E583" i="685"/>
  <c r="E578" i="685"/>
  <c r="E573" i="685"/>
  <c r="E568" i="685"/>
  <c r="E563" i="685"/>
  <c r="E558" i="685"/>
  <c r="E553" i="685"/>
  <c r="E548" i="685"/>
  <c r="E543" i="685"/>
  <c r="E538" i="685"/>
  <c r="E533" i="685"/>
  <c r="E528" i="685"/>
  <c r="E523" i="685"/>
  <c r="E507" i="685"/>
  <c r="E506" i="685"/>
  <c r="E505" i="685"/>
  <c r="E503" i="685"/>
  <c r="E502" i="685"/>
  <c r="E501" i="685"/>
  <c r="E497" i="685"/>
  <c r="E492" i="685"/>
  <c r="E487" i="685"/>
  <c r="E482" i="685"/>
  <c r="E477" i="685"/>
  <c r="E472" i="685"/>
  <c r="E467" i="685"/>
  <c r="E462" i="685"/>
  <c r="E457" i="685"/>
  <c r="E452" i="685"/>
  <c r="E447" i="685"/>
  <c r="E442" i="685"/>
  <c r="E437" i="685"/>
  <c r="E432" i="685"/>
  <c r="E427" i="685"/>
  <c r="E422" i="685"/>
  <c r="E417" i="685"/>
  <c r="E412" i="685"/>
  <c r="E407" i="685"/>
  <c r="E402" i="685"/>
  <c r="E397" i="685"/>
  <c r="E392" i="685"/>
  <c r="E387" i="685"/>
  <c r="E382" i="685"/>
  <c r="E359" i="685"/>
  <c r="E358" i="685"/>
  <c r="E357" i="685"/>
  <c r="E354" i="685"/>
  <c r="E353" i="685"/>
  <c r="E348" i="685"/>
  <c r="E339" i="685"/>
  <c r="E331" i="685"/>
  <c r="E330" i="685"/>
  <c r="E329" i="685"/>
  <c r="E326" i="685"/>
  <c r="E325" i="685"/>
  <c r="E365" i="685" s="1"/>
  <c r="E324" i="685"/>
  <c r="E323" i="685"/>
  <c r="E316" i="685"/>
  <c r="E307" i="685"/>
  <c r="E298" i="685"/>
  <c r="E289" i="685"/>
  <c r="E280" i="685"/>
  <c r="E271" i="685"/>
  <c r="E262" i="685"/>
  <c r="E253" i="685"/>
  <c r="E244" i="685"/>
  <c r="E236" i="685"/>
  <c r="E234" i="685"/>
  <c r="E231" i="685"/>
  <c r="E230" i="685"/>
  <c r="E229" i="685"/>
  <c r="E224" i="685"/>
  <c r="E215" i="685"/>
  <c r="E207" i="685"/>
  <c r="E206" i="685"/>
  <c r="E205" i="685"/>
  <c r="E202" i="685"/>
  <c r="E201" i="685"/>
  <c r="E200" i="685"/>
  <c r="E192" i="685"/>
  <c r="E183" i="685"/>
  <c r="E174" i="685"/>
  <c r="E165" i="685"/>
  <c r="E156" i="685"/>
  <c r="E147" i="685"/>
  <c r="E138" i="685"/>
  <c r="E129" i="685"/>
  <c r="E120" i="685"/>
  <c r="E111" i="685"/>
  <c r="E102" i="685"/>
  <c r="E93" i="685"/>
  <c r="E84" i="685"/>
  <c r="E75" i="685"/>
  <c r="E66" i="685"/>
  <c r="E57" i="685"/>
  <c r="E48" i="685"/>
  <c r="E39" i="685"/>
  <c r="E30" i="685"/>
  <c r="E21" i="685"/>
  <c r="E1243" i="671"/>
  <c r="E1242" i="671"/>
  <c r="E1241" i="671"/>
  <c r="E1240" i="671"/>
  <c r="E1237" i="671"/>
  <c r="E1233" i="671"/>
  <c r="E1226" i="671"/>
  <c r="E1219" i="671"/>
  <c r="E1212" i="671"/>
  <c r="E1208" i="671"/>
  <c r="E1203" i="671"/>
  <c r="E1198" i="671"/>
  <c r="E1191" i="671"/>
  <c r="E1184" i="671"/>
  <c r="E1180" i="671"/>
  <c r="E1176" i="671"/>
  <c r="E1158" i="671"/>
  <c r="E1151" i="671"/>
  <c r="E1144" i="671"/>
  <c r="E1137" i="671"/>
  <c r="E1130" i="671"/>
  <c r="E1163" i="671" s="1"/>
  <c r="E1124" i="671"/>
  <c r="E1119" i="671"/>
  <c r="E1113" i="671"/>
  <c r="E1108" i="671"/>
  <c r="E1102" i="671"/>
  <c r="E1096" i="671"/>
  <c r="E1090" i="671"/>
  <c r="E1085" i="671"/>
  <c r="E1079" i="671"/>
  <c r="E1073" i="671"/>
  <c r="E1067" i="671"/>
  <c r="E1059" i="671"/>
  <c r="E1054" i="671"/>
  <c r="E1049" i="671"/>
  <c r="E1044" i="671"/>
  <c r="E1039" i="671"/>
  <c r="E1034" i="671"/>
  <c r="E1029" i="671"/>
  <c r="E1023" i="671"/>
  <c r="E1024" i="671" s="1"/>
  <c r="E1013" i="671"/>
  <c r="E1008" i="671"/>
  <c r="E1002" i="671"/>
  <c r="E1129" i="671" s="1"/>
  <c r="E991" i="671"/>
  <c r="E959" i="671"/>
  <c r="E1263" i="671" s="1"/>
  <c r="E949" i="671"/>
  <c r="E942" i="671"/>
  <c r="E925" i="671"/>
  <c r="E924" i="671"/>
  <c r="E922" i="671"/>
  <c r="E918" i="671"/>
  <c r="E914" i="671"/>
  <c r="E910" i="671"/>
  <c r="E906" i="671"/>
  <c r="E902" i="671"/>
  <c r="E898" i="671"/>
  <c r="E894" i="671"/>
  <c r="E890" i="671"/>
  <c r="E886" i="671"/>
  <c r="E882" i="671"/>
  <c r="E878" i="671"/>
  <c r="E869" i="671"/>
  <c r="E868" i="671"/>
  <c r="E865" i="671"/>
  <c r="E860" i="671"/>
  <c r="E855" i="671"/>
  <c r="E850" i="671"/>
  <c r="E841" i="671"/>
  <c r="E840" i="671"/>
  <c r="E837" i="671"/>
  <c r="E832" i="671"/>
  <c r="E827" i="671"/>
  <c r="E822" i="671"/>
  <c r="E817" i="671"/>
  <c r="E812" i="671"/>
  <c r="E807" i="671"/>
  <c r="E802" i="671"/>
  <c r="E797" i="671"/>
  <c r="E788" i="671"/>
  <c r="E787" i="671"/>
  <c r="E784" i="671"/>
  <c r="E779" i="671"/>
  <c r="E774" i="671"/>
  <c r="E769" i="671"/>
  <c r="E764" i="671"/>
  <c r="E759" i="671"/>
  <c r="E754" i="671"/>
  <c r="E749" i="671"/>
  <c r="E744" i="671"/>
  <c r="E739" i="671"/>
  <c r="E734" i="671"/>
  <c r="E729" i="671"/>
  <c r="E724" i="671"/>
  <c r="E719" i="671"/>
  <c r="E714" i="671"/>
  <c r="E709" i="671"/>
  <c r="E704" i="671"/>
  <c r="E699" i="671"/>
  <c r="E694" i="671"/>
  <c r="E687" i="671"/>
  <c r="E672" i="671"/>
  <c r="E671" i="671"/>
  <c r="E670" i="671"/>
  <c r="E666" i="671"/>
  <c r="E669" i="671" s="1"/>
  <c r="E661" i="671"/>
  <c r="E656" i="671"/>
  <c r="E651" i="671"/>
  <c r="E646" i="671"/>
  <c r="E641" i="671"/>
  <c r="E636" i="671"/>
  <c r="E631" i="671"/>
  <c r="E626" i="671"/>
  <c r="E621" i="671"/>
  <c r="E616" i="671"/>
  <c r="E611" i="671"/>
  <c r="E606" i="671"/>
  <c r="E601" i="671"/>
  <c r="E596" i="671"/>
  <c r="E591" i="671"/>
  <c r="E586" i="671"/>
  <c r="E581" i="671"/>
  <c r="E576" i="671"/>
  <c r="E571" i="671"/>
  <c r="E566" i="671"/>
  <c r="E561" i="671"/>
  <c r="E545" i="671"/>
  <c r="E544" i="671"/>
  <c r="E543" i="671"/>
  <c r="E541" i="671"/>
  <c r="E540" i="671"/>
  <c r="E539" i="671"/>
  <c r="E535" i="671"/>
  <c r="E530" i="671"/>
  <c r="E525" i="671"/>
  <c r="E520" i="671"/>
  <c r="E515" i="671"/>
  <c r="E510" i="671"/>
  <c r="E505" i="671"/>
  <c r="E500" i="671"/>
  <c r="E495" i="671"/>
  <c r="E490" i="671"/>
  <c r="E485" i="671"/>
  <c r="E480" i="671"/>
  <c r="E475" i="671"/>
  <c r="E470" i="671"/>
  <c r="E465" i="671"/>
  <c r="E460" i="671"/>
  <c r="E455" i="671"/>
  <c r="E450" i="671"/>
  <c r="E445" i="671"/>
  <c r="E440" i="671"/>
  <c r="E435" i="671"/>
  <c r="E430" i="671"/>
  <c r="E425" i="671"/>
  <c r="E420" i="671"/>
  <c r="E397" i="671"/>
  <c r="E396" i="671"/>
  <c r="E395" i="671"/>
  <c r="E392" i="671"/>
  <c r="E391" i="671"/>
  <c r="E386" i="671"/>
  <c r="E377" i="671"/>
  <c r="E369" i="671"/>
  <c r="E368" i="671"/>
  <c r="E367" i="671"/>
  <c r="E364" i="671"/>
  <c r="E363" i="671"/>
  <c r="E403" i="671" s="1"/>
  <c r="E362" i="671"/>
  <c r="E361" i="671"/>
  <c r="E354" i="671"/>
  <c r="E345" i="671"/>
  <c r="E336" i="671"/>
  <c r="E327" i="671"/>
  <c r="E318" i="671"/>
  <c r="E309" i="671"/>
  <c r="E300" i="671"/>
  <c r="E291" i="671"/>
  <c r="E282" i="671"/>
  <c r="E274" i="671"/>
  <c r="E272" i="671"/>
  <c r="E269" i="671"/>
  <c r="E268" i="671"/>
  <c r="E267" i="671"/>
  <c r="E262" i="671"/>
  <c r="E253" i="671"/>
  <c r="E245" i="671"/>
  <c r="E244" i="671"/>
  <c r="E243" i="671"/>
  <c r="E240" i="671"/>
  <c r="E239" i="671"/>
  <c r="E238" i="671"/>
  <c r="E230" i="671"/>
  <c r="E221" i="671"/>
  <c r="E212" i="671"/>
  <c r="E203" i="671"/>
  <c r="E194" i="671"/>
  <c r="E185" i="671"/>
  <c r="E176" i="671"/>
  <c r="E167" i="671"/>
  <c r="E158" i="671"/>
  <c r="E149" i="671"/>
  <c r="E140" i="671"/>
  <c r="E131" i="671"/>
  <c r="E122" i="671"/>
  <c r="E113" i="671"/>
  <c r="E104" i="671"/>
  <c r="E95" i="671"/>
  <c r="E86" i="671"/>
  <c r="E77" i="671"/>
  <c r="E68" i="671"/>
  <c r="E59" i="671"/>
  <c r="G15" i="725" l="1"/>
  <c r="E17" i="725"/>
  <c r="G17" i="725" s="1"/>
  <c r="E18" i="725"/>
  <c r="G18" i="725" s="1"/>
  <c r="E913" i="708"/>
  <c r="E913" i="709"/>
  <c r="E913" i="710"/>
  <c r="E1212" i="688"/>
  <c r="E1242" i="688" s="1"/>
  <c r="E1212" i="698"/>
  <c r="E1242" i="698" s="1"/>
  <c r="E1211" i="686"/>
  <c r="E1241" i="686" s="1"/>
  <c r="E232" i="686"/>
  <c r="E232" i="691"/>
  <c r="E232" i="693"/>
  <c r="E232" i="694"/>
  <c r="E232" i="695"/>
  <c r="E232" i="696"/>
  <c r="E232" i="697"/>
  <c r="E913" i="698"/>
  <c r="E913" i="711"/>
  <c r="E913" i="712"/>
  <c r="E366" i="709"/>
  <c r="E364" i="686"/>
  <c r="E1211" i="697"/>
  <c r="E1241" i="697" s="1"/>
  <c r="E371" i="691"/>
  <c r="E371" i="695"/>
  <c r="E1213" i="712"/>
  <c r="E1243" i="712" s="1"/>
  <c r="E1250" i="671"/>
  <c r="E1280" i="671" s="1"/>
  <c r="E363" i="696"/>
  <c r="E913" i="685"/>
  <c r="E913" i="697"/>
  <c r="E401" i="671"/>
  <c r="E371" i="703"/>
  <c r="E363" i="708"/>
  <c r="E232" i="685"/>
  <c r="E1213" i="697"/>
  <c r="E1243" i="697" s="1"/>
  <c r="E366" i="698"/>
  <c r="E371" i="705"/>
  <c r="E1212" i="708"/>
  <c r="E1242" i="708" s="1"/>
  <c r="E1212" i="712"/>
  <c r="E1242" i="712" s="1"/>
  <c r="E363" i="697"/>
  <c r="E366" i="710"/>
  <c r="E805" i="687"/>
  <c r="E913" i="687"/>
  <c r="E913" i="689"/>
  <c r="E371" i="690"/>
  <c r="E371" i="692"/>
  <c r="E871" i="671"/>
  <c r="E370" i="685"/>
  <c r="E1212" i="697"/>
  <c r="E1242" i="697" s="1"/>
  <c r="E372" i="702"/>
  <c r="E363" i="705"/>
  <c r="E371" i="706"/>
  <c r="E363" i="707"/>
  <c r="E833" i="708"/>
  <c r="E913" i="686"/>
  <c r="E366" i="685"/>
  <c r="E363" i="688"/>
  <c r="E833" i="688"/>
  <c r="E913" i="688"/>
  <c r="E1208" i="697"/>
  <c r="E366" i="701"/>
  <c r="E232" i="701"/>
  <c r="E232" i="702"/>
  <c r="E635" i="703"/>
  <c r="E635" i="704"/>
  <c r="E355" i="705"/>
  <c r="E635" i="706"/>
  <c r="E372" i="706"/>
  <c r="E355" i="708"/>
  <c r="E270" i="671"/>
  <c r="E366" i="687"/>
  <c r="E232" i="687"/>
  <c r="E232" i="688"/>
  <c r="E366" i="689"/>
  <c r="E372" i="692"/>
  <c r="E372" i="693"/>
  <c r="E635" i="694"/>
  <c r="E372" i="694"/>
  <c r="E203" i="695"/>
  <c r="E364" i="695"/>
  <c r="E372" i="695"/>
  <c r="E355" i="696"/>
  <c r="E355" i="697"/>
  <c r="E636" i="711"/>
  <c r="E636" i="712"/>
  <c r="E752" i="712"/>
  <c r="E833" i="686"/>
  <c r="E364" i="689"/>
  <c r="E1246" i="671"/>
  <c r="E363" i="685"/>
  <c r="E1212" i="685"/>
  <c r="E1242" i="685" s="1"/>
  <c r="E404" i="671"/>
  <c r="E393" i="671"/>
  <c r="E790" i="671"/>
  <c r="E951" i="671"/>
  <c r="E833" i="685"/>
  <c r="E363" i="687"/>
  <c r="E370" i="688"/>
  <c r="E372" i="689"/>
  <c r="E509" i="689"/>
  <c r="E752" i="689"/>
  <c r="E833" i="689"/>
  <c r="E370" i="691"/>
  <c r="E636" i="691"/>
  <c r="E370" i="692"/>
  <c r="E327" i="692"/>
  <c r="E636" i="692"/>
  <c r="E889" i="692"/>
  <c r="E370" i="693"/>
  <c r="E636" i="693"/>
  <c r="E370" i="694"/>
  <c r="E636" i="694"/>
  <c r="E1208" i="696"/>
  <c r="E364" i="698"/>
  <c r="E355" i="698"/>
  <c r="E371" i="701"/>
  <c r="E509" i="701"/>
  <c r="E833" i="701"/>
  <c r="E913" i="701"/>
  <c r="E371" i="702"/>
  <c r="E913" i="702"/>
  <c r="E370" i="703"/>
  <c r="E636" i="703"/>
  <c r="E636" i="704"/>
  <c r="E636" i="706"/>
  <c r="E1212" i="707"/>
  <c r="E1242" i="707" s="1"/>
  <c r="E366" i="708"/>
  <c r="E232" i="708"/>
  <c r="E805" i="708"/>
  <c r="E364" i="710"/>
  <c r="E372" i="711"/>
  <c r="E327" i="711"/>
  <c r="E355" i="711"/>
  <c r="E509" i="711"/>
  <c r="E833" i="711"/>
  <c r="E355" i="712"/>
  <c r="E203" i="686"/>
  <c r="E833" i="687"/>
  <c r="E1088" i="687"/>
  <c r="E1094" i="687" s="1"/>
  <c r="E1127" i="687" s="1"/>
  <c r="E1214" i="687" s="1"/>
  <c r="E232" i="689"/>
  <c r="E509" i="690"/>
  <c r="E752" i="690"/>
  <c r="E833" i="690"/>
  <c r="E913" i="690"/>
  <c r="E509" i="691"/>
  <c r="E752" i="691"/>
  <c r="E833" i="691"/>
  <c r="E913" i="691"/>
  <c r="E913" i="692"/>
  <c r="E833" i="693"/>
  <c r="E913" i="693"/>
  <c r="E936" i="693" s="1"/>
  <c r="E913" i="694"/>
  <c r="E913" i="696"/>
  <c r="E833" i="697"/>
  <c r="E232" i="698"/>
  <c r="E805" i="698"/>
  <c r="E355" i="701"/>
  <c r="E913" i="703"/>
  <c r="E913" i="704"/>
  <c r="E936" i="704" s="1"/>
  <c r="E913" i="705"/>
  <c r="E232" i="709"/>
  <c r="E232" i="710"/>
  <c r="E889" i="710"/>
  <c r="E402" i="671"/>
  <c r="E366" i="686"/>
  <c r="E1208" i="686"/>
  <c r="E355" i="687"/>
  <c r="E1212" i="687"/>
  <c r="E1242" i="687" s="1"/>
  <c r="E366" i="688"/>
  <c r="E366" i="690"/>
  <c r="E1212" i="690"/>
  <c r="E1242" i="690" s="1"/>
  <c r="E366" i="691"/>
  <c r="E355" i="694"/>
  <c r="E1212" i="695"/>
  <c r="E1242" i="695" s="1"/>
  <c r="E1212" i="696"/>
  <c r="E1242" i="696" s="1"/>
  <c r="E366" i="697"/>
  <c r="E805" i="697"/>
  <c r="E363" i="698"/>
  <c r="E1213" i="698"/>
  <c r="E1243" i="698" s="1"/>
  <c r="E636" i="701"/>
  <c r="E636" i="702"/>
  <c r="E355" i="704"/>
  <c r="E355" i="706"/>
  <c r="E1212" i="706"/>
  <c r="E1242" i="706" s="1"/>
  <c r="E203" i="709"/>
  <c r="E371" i="709"/>
  <c r="E509" i="709"/>
  <c r="E752" i="709"/>
  <c r="E833" i="709"/>
  <c r="E1211" i="709"/>
  <c r="E1241" i="709" s="1"/>
  <c r="E371" i="710"/>
  <c r="E363" i="711"/>
  <c r="E371" i="711"/>
  <c r="E370" i="687"/>
  <c r="E327" i="694"/>
  <c r="E752" i="688"/>
  <c r="E372" i="691"/>
  <c r="E363" i="702"/>
  <c r="E889" i="704"/>
  <c r="E355" i="709"/>
  <c r="E363" i="712"/>
  <c r="E372" i="687"/>
  <c r="E203" i="694"/>
  <c r="E635" i="702"/>
  <c r="E752" i="704"/>
  <c r="E1088" i="704"/>
  <c r="E1094" i="704" s="1"/>
  <c r="E1127" i="704" s="1"/>
  <c r="E1214" i="704" s="1"/>
  <c r="E889" i="706"/>
  <c r="E1208" i="706"/>
  <c r="E371" i="708"/>
  <c r="E203" i="685"/>
  <c r="E371" i="685"/>
  <c r="E355" i="686"/>
  <c r="E327" i="691"/>
  <c r="E889" i="691"/>
  <c r="E327" i="693"/>
  <c r="E889" i="693"/>
  <c r="E370" i="698"/>
  <c r="E889" i="701"/>
  <c r="E203" i="704"/>
  <c r="E363" i="706"/>
  <c r="E913" i="706"/>
  <c r="E1088" i="706"/>
  <c r="E1094" i="706" s="1"/>
  <c r="E1127" i="706" s="1"/>
  <c r="E1214" i="706" s="1"/>
  <c r="E372" i="708"/>
  <c r="E327" i="708"/>
  <c r="E1212" i="710"/>
  <c r="E1242" i="710" s="1"/>
  <c r="E232" i="711"/>
  <c r="E889" i="711"/>
  <c r="E366" i="712"/>
  <c r="E363" i="692"/>
  <c r="E372" i="709"/>
  <c r="E371" i="686"/>
  <c r="E203" i="687"/>
  <c r="E372" i="688"/>
  <c r="E509" i="688"/>
  <c r="E635" i="692"/>
  <c r="E364" i="692"/>
  <c r="E1088" i="702"/>
  <c r="E1094" i="702" s="1"/>
  <c r="E1127" i="702" s="1"/>
  <c r="E1214" i="702" s="1"/>
  <c r="E752" i="686"/>
  <c r="E355" i="691"/>
  <c r="E203" i="702"/>
  <c r="E408" i="671"/>
  <c r="E1126" i="671"/>
  <c r="E1132" i="671" s="1"/>
  <c r="E1165" i="671" s="1"/>
  <c r="E1252" i="671" s="1"/>
  <c r="E203" i="690"/>
  <c r="E363" i="691"/>
  <c r="E752" i="692"/>
  <c r="E363" i="693"/>
  <c r="E752" i="693"/>
  <c r="E889" i="695"/>
  <c r="E203" i="696"/>
  <c r="E635" i="696"/>
  <c r="E1088" i="696"/>
  <c r="E1094" i="696" s="1"/>
  <c r="E1127" i="696" s="1"/>
  <c r="E1214" i="696" s="1"/>
  <c r="E370" i="697"/>
  <c r="E371" i="698"/>
  <c r="E752" i="701"/>
  <c r="E355" i="703"/>
  <c r="E366" i="704"/>
  <c r="E327" i="705"/>
  <c r="E805" i="706"/>
  <c r="E370" i="710"/>
  <c r="E752" i="711"/>
  <c r="E1213" i="711"/>
  <c r="E1243" i="711" s="1"/>
  <c r="E1208" i="711"/>
  <c r="E203" i="688"/>
  <c r="E1208" i="712"/>
  <c r="E1088" i="707"/>
  <c r="E1094" i="707" s="1"/>
  <c r="E1127" i="707" s="1"/>
  <c r="E1214" i="707" s="1"/>
  <c r="E1088" i="712"/>
  <c r="E1094" i="712" s="1"/>
  <c r="E1127" i="712" s="1"/>
  <c r="E1214" i="712" s="1"/>
  <c r="E372" i="686"/>
  <c r="E509" i="687"/>
  <c r="E372" i="701"/>
  <c r="E363" i="704"/>
  <c r="E327" i="706"/>
  <c r="E913" i="707"/>
  <c r="E509" i="708"/>
  <c r="E635" i="712"/>
  <c r="E843" i="671"/>
  <c r="E410" i="671"/>
  <c r="E372" i="690"/>
  <c r="E509" i="692"/>
  <c r="E833" i="692"/>
  <c r="E203" i="693"/>
  <c r="E364" i="693"/>
  <c r="E636" i="695"/>
  <c r="E752" i="695"/>
  <c r="E1208" i="695"/>
  <c r="E366" i="696"/>
  <c r="E805" i="696"/>
  <c r="E371" i="697"/>
  <c r="E509" i="697"/>
  <c r="E372" i="698"/>
  <c r="E327" i="698"/>
  <c r="E509" i="698"/>
  <c r="E833" i="698"/>
  <c r="E327" i="703"/>
  <c r="E889" i="703"/>
  <c r="E1208" i="703"/>
  <c r="E889" i="705"/>
  <c r="E366" i="706"/>
  <c r="E509" i="710"/>
  <c r="E833" i="710"/>
  <c r="E371" i="688"/>
  <c r="E355" i="689"/>
  <c r="E889" i="694"/>
  <c r="E752" i="702"/>
  <c r="E371" i="687"/>
  <c r="E363" i="694"/>
  <c r="E752" i="694"/>
  <c r="E327" i="704"/>
  <c r="E370" i="708"/>
  <c r="E509" i="686"/>
  <c r="E752" i="687"/>
  <c r="E355" i="693"/>
  <c r="E327" i="701"/>
  <c r="E1213" i="704"/>
  <c r="E1243" i="704" s="1"/>
  <c r="E366" i="707"/>
  <c r="E805" i="707"/>
  <c r="E203" i="712"/>
  <c r="E409" i="671"/>
  <c r="E372" i="685"/>
  <c r="E509" i="685"/>
  <c r="E752" i="685"/>
  <c r="E203" i="689"/>
  <c r="E371" i="689"/>
  <c r="E1212" i="689"/>
  <c r="E1242" i="689" s="1"/>
  <c r="E232" i="690"/>
  <c r="E355" i="690"/>
  <c r="E232" i="692"/>
  <c r="E355" i="692"/>
  <c r="E833" i="694"/>
  <c r="E363" i="695"/>
  <c r="E913" i="695"/>
  <c r="E1088" i="695"/>
  <c r="E1094" i="695" s="1"/>
  <c r="E1127" i="695" s="1"/>
  <c r="E1214" i="695" s="1"/>
  <c r="E370" i="696"/>
  <c r="E372" i="697"/>
  <c r="E327" i="697"/>
  <c r="E363" i="703"/>
  <c r="E636" i="705"/>
  <c r="E752" i="705"/>
  <c r="E1213" i="705"/>
  <c r="E1243" i="705" s="1"/>
  <c r="E1208" i="705"/>
  <c r="E372" i="710"/>
  <c r="E327" i="710"/>
  <c r="E355" i="710"/>
  <c r="E355" i="685"/>
  <c r="E363" i="686"/>
  <c r="E327" i="686"/>
  <c r="E636" i="686"/>
  <c r="E355" i="688"/>
  <c r="E363" i="689"/>
  <c r="E327" i="689"/>
  <c r="E636" i="689"/>
  <c r="E363" i="690"/>
  <c r="E327" i="690"/>
  <c r="E636" i="690"/>
  <c r="E889" i="690"/>
  <c r="E635" i="691"/>
  <c r="E1208" i="691"/>
  <c r="E366" i="692"/>
  <c r="E1208" i="692"/>
  <c r="E366" i="693"/>
  <c r="E1088" i="693"/>
  <c r="E1094" i="693" s="1"/>
  <c r="E1127" i="693" s="1"/>
  <c r="E1214" i="693" s="1"/>
  <c r="E1208" i="693"/>
  <c r="E366" i="694"/>
  <c r="E1213" i="694"/>
  <c r="E1243" i="694" s="1"/>
  <c r="E1088" i="694"/>
  <c r="E1094" i="694" s="1"/>
  <c r="E1127" i="694" s="1"/>
  <c r="E1214" i="694" s="1"/>
  <c r="E1208" i="694"/>
  <c r="E366" i="695"/>
  <c r="E805" i="695"/>
  <c r="E371" i="696"/>
  <c r="E509" i="696"/>
  <c r="E833" i="696"/>
  <c r="E889" i="697"/>
  <c r="E889" i="698"/>
  <c r="E363" i="701"/>
  <c r="E1213" i="701"/>
  <c r="E1243" i="701" s="1"/>
  <c r="E1208" i="701"/>
  <c r="E366" i="702"/>
  <c r="E805" i="702"/>
  <c r="E1208" i="702"/>
  <c r="E366" i="703"/>
  <c r="E805" i="703"/>
  <c r="E1088" i="703"/>
  <c r="E1094" i="703" s="1"/>
  <c r="E1127" i="703" s="1"/>
  <c r="E1214" i="703" s="1"/>
  <c r="E370" i="704"/>
  <c r="E805" i="704"/>
  <c r="E203" i="705"/>
  <c r="E635" i="705"/>
  <c r="E1088" i="705"/>
  <c r="E1094" i="705" s="1"/>
  <c r="E1127" i="705" s="1"/>
  <c r="E1214" i="705" s="1"/>
  <c r="E370" i="706"/>
  <c r="E889" i="708"/>
  <c r="E363" i="709"/>
  <c r="E327" i="709"/>
  <c r="E636" i="709"/>
  <c r="E889" i="709"/>
  <c r="E1023" i="709"/>
  <c r="E636" i="710"/>
  <c r="E752" i="710"/>
  <c r="E203" i="711"/>
  <c r="E364" i="711"/>
  <c r="E1088" i="711"/>
  <c r="E1094" i="711" s="1"/>
  <c r="E1127" i="711" s="1"/>
  <c r="E1214" i="711" s="1"/>
  <c r="E370" i="712"/>
  <c r="E547" i="671"/>
  <c r="E327" i="685"/>
  <c r="E636" i="685"/>
  <c r="E889" i="685"/>
  <c r="E635" i="686"/>
  <c r="E889" i="686"/>
  <c r="E327" i="688"/>
  <c r="E636" i="688"/>
  <c r="E889" i="688"/>
  <c r="E635" i="689"/>
  <c r="E889" i="689"/>
  <c r="E635" i="690"/>
  <c r="E1208" i="690"/>
  <c r="E805" i="691"/>
  <c r="E1088" i="691"/>
  <c r="E1094" i="691" s="1"/>
  <c r="E1127" i="691" s="1"/>
  <c r="E1214" i="691" s="1"/>
  <c r="E805" i="692"/>
  <c r="E1088" i="692"/>
  <c r="E1094" i="692" s="1"/>
  <c r="E1127" i="692" s="1"/>
  <c r="E1214" i="692" s="1"/>
  <c r="E805" i="693"/>
  <c r="E805" i="694"/>
  <c r="E370" i="695"/>
  <c r="E372" i="696"/>
  <c r="E327" i="696"/>
  <c r="E636" i="697"/>
  <c r="E752" i="697"/>
  <c r="E636" i="698"/>
  <c r="E752" i="698"/>
  <c r="E203" i="701"/>
  <c r="E364" i="701"/>
  <c r="E1088" i="701"/>
  <c r="E1094" i="701" s="1"/>
  <c r="E1127" i="701" s="1"/>
  <c r="E1214" i="701" s="1"/>
  <c r="E370" i="702"/>
  <c r="E371" i="704"/>
  <c r="E1208" i="704"/>
  <c r="E366" i="705"/>
  <c r="E805" i="705"/>
  <c r="E203" i="706"/>
  <c r="E636" i="708"/>
  <c r="E752" i="708"/>
  <c r="E635" i="709"/>
  <c r="E363" i="710"/>
  <c r="E1213" i="710"/>
  <c r="E1243" i="710" s="1"/>
  <c r="E1208" i="710"/>
  <c r="E366" i="711"/>
  <c r="E805" i="711"/>
  <c r="E371" i="712"/>
  <c r="E372" i="712"/>
  <c r="E509" i="712"/>
  <c r="E833" i="712"/>
  <c r="E365" i="671"/>
  <c r="E927" i="671"/>
  <c r="E635" i="685"/>
  <c r="E1208" i="685"/>
  <c r="E327" i="687"/>
  <c r="E636" i="687"/>
  <c r="E889" i="687"/>
  <c r="E635" i="688"/>
  <c r="E1208" i="688"/>
  <c r="E1208" i="689"/>
  <c r="E805" i="690"/>
  <c r="E1088" i="690"/>
  <c r="E1094" i="690" s="1"/>
  <c r="E1127" i="690" s="1"/>
  <c r="E1214" i="690" s="1"/>
  <c r="E203" i="692"/>
  <c r="E371" i="693"/>
  <c r="E371" i="694"/>
  <c r="E509" i="695"/>
  <c r="E833" i="695"/>
  <c r="E889" i="696"/>
  <c r="E1208" i="698"/>
  <c r="E805" i="701"/>
  <c r="E1212" i="702"/>
  <c r="E1242" i="702" s="1"/>
  <c r="E203" i="703"/>
  <c r="E1212" i="703"/>
  <c r="E1242" i="703" s="1"/>
  <c r="E372" i="704"/>
  <c r="E509" i="704"/>
  <c r="E370" i="705"/>
  <c r="E1212" i="705"/>
  <c r="E1242" i="705" s="1"/>
  <c r="E509" i="706"/>
  <c r="E752" i="706"/>
  <c r="E833" i="706"/>
  <c r="E1208" i="708"/>
  <c r="E805" i="709"/>
  <c r="E1088" i="709"/>
  <c r="E1094" i="709" s="1"/>
  <c r="E1127" i="709" s="1"/>
  <c r="E1214" i="709" s="1"/>
  <c r="E203" i="710"/>
  <c r="E1088" i="710"/>
  <c r="E1094" i="710" s="1"/>
  <c r="E1127" i="710" s="1"/>
  <c r="E1214" i="710" s="1"/>
  <c r="E370" i="711"/>
  <c r="E1212" i="711"/>
  <c r="E1242" i="711" s="1"/>
  <c r="E327" i="712"/>
  <c r="E805" i="712"/>
  <c r="E674" i="671"/>
  <c r="E805" i="685"/>
  <c r="E1088" i="685"/>
  <c r="E1094" i="685" s="1"/>
  <c r="E1127" i="685" s="1"/>
  <c r="E1214" i="685" s="1"/>
  <c r="E370" i="686"/>
  <c r="E805" i="686"/>
  <c r="E1088" i="686"/>
  <c r="E1094" i="686" s="1"/>
  <c r="E1127" i="686" s="1"/>
  <c r="E1214" i="686" s="1"/>
  <c r="E635" i="687"/>
  <c r="E1208" i="687"/>
  <c r="E805" i="688"/>
  <c r="E1088" i="688"/>
  <c r="E1094" i="688" s="1"/>
  <c r="E1127" i="688" s="1"/>
  <c r="E1214" i="688" s="1"/>
  <c r="E370" i="689"/>
  <c r="E805" i="689"/>
  <c r="E1088" i="689"/>
  <c r="E1094" i="689" s="1"/>
  <c r="E1127" i="689" s="1"/>
  <c r="E1214" i="689" s="1"/>
  <c r="E370" i="690"/>
  <c r="E203" i="691"/>
  <c r="E1212" i="691"/>
  <c r="E1242" i="691" s="1"/>
  <c r="E1212" i="692"/>
  <c r="E1242" i="692" s="1"/>
  <c r="E509" i="693"/>
  <c r="E1212" i="693"/>
  <c r="E1242" i="693" s="1"/>
  <c r="E509" i="694"/>
  <c r="E1212" i="694"/>
  <c r="E1242" i="694" s="1"/>
  <c r="E327" i="695"/>
  <c r="E355" i="695"/>
  <c r="E636" i="696"/>
  <c r="E752" i="696"/>
  <c r="E203" i="697"/>
  <c r="E635" i="697"/>
  <c r="E1088" i="697"/>
  <c r="E1094" i="697" s="1"/>
  <c r="E1127" i="697" s="1"/>
  <c r="E1214" i="697" s="1"/>
  <c r="E203" i="698"/>
  <c r="E1088" i="698"/>
  <c r="E1094" i="698" s="1"/>
  <c r="E1127" i="698" s="1"/>
  <c r="E1214" i="698" s="1"/>
  <c r="E370" i="701"/>
  <c r="E1212" i="701"/>
  <c r="E1242" i="701" s="1"/>
  <c r="E327" i="702"/>
  <c r="E355" i="702"/>
  <c r="E509" i="702"/>
  <c r="E833" i="702"/>
  <c r="E889" i="702"/>
  <c r="E372" i="703"/>
  <c r="E509" i="703"/>
  <c r="E752" i="703"/>
  <c r="E833" i="703"/>
  <c r="E833" i="704"/>
  <c r="E1212" i="704"/>
  <c r="E1242" i="704" s="1"/>
  <c r="E372" i="705"/>
  <c r="E509" i="705"/>
  <c r="E833" i="705"/>
  <c r="E203" i="708"/>
  <c r="E635" i="708"/>
  <c r="E1088" i="708"/>
  <c r="E1094" i="708" s="1"/>
  <c r="E1127" i="708" s="1"/>
  <c r="E1214" i="708" s="1"/>
  <c r="E370" i="709"/>
  <c r="E1208" i="709"/>
  <c r="E805" i="710"/>
  <c r="E232" i="712"/>
  <c r="E889" i="712"/>
  <c r="E370" i="707"/>
  <c r="E203" i="707"/>
  <c r="E371" i="707"/>
  <c r="E372" i="707"/>
  <c r="E509" i="707"/>
  <c r="E752" i="707"/>
  <c r="E833" i="707"/>
  <c r="E355" i="707"/>
  <c r="E327" i="707"/>
  <c r="E636" i="707"/>
  <c r="E889" i="707"/>
  <c r="E635" i="707"/>
  <c r="E1208" i="707"/>
  <c r="E1124" i="712"/>
  <c r="E1211" i="712" s="1"/>
  <c r="E1241" i="712" s="1"/>
  <c r="E364" i="712"/>
  <c r="E933" i="712"/>
  <c r="E986" i="712"/>
  <c r="E1023" i="712" s="1"/>
  <c r="E1124" i="711"/>
  <c r="E1211" i="711" s="1"/>
  <c r="E1241" i="711" s="1"/>
  <c r="E635" i="711"/>
  <c r="E933" i="711"/>
  <c r="E936" i="711" s="1"/>
  <c r="E986" i="711"/>
  <c r="E1023" i="711" s="1"/>
  <c r="E1124" i="710"/>
  <c r="E1211" i="710" s="1"/>
  <c r="E1241" i="710" s="1"/>
  <c r="E933" i="710"/>
  <c r="E986" i="710"/>
  <c r="E1023" i="710" s="1"/>
  <c r="E635" i="710"/>
  <c r="E364" i="709"/>
  <c r="E1093" i="709"/>
  <c r="E1126" i="709" s="1"/>
  <c r="E1213" i="709" s="1"/>
  <c r="E1243" i="709" s="1"/>
  <c r="E1125" i="709"/>
  <c r="E1212" i="709" s="1"/>
  <c r="E1242" i="709" s="1"/>
  <c r="E933" i="709"/>
  <c r="E936" i="709" s="1"/>
  <c r="E1124" i="708"/>
  <c r="E1211" i="708" s="1"/>
  <c r="E1241" i="708" s="1"/>
  <c r="E1023" i="708"/>
  <c r="E1093" i="708"/>
  <c r="E1126" i="708" s="1"/>
  <c r="E1213" i="708" s="1"/>
  <c r="E1243" i="708" s="1"/>
  <c r="E933" i="708"/>
  <c r="E936" i="708" s="1"/>
  <c r="E364" i="708"/>
  <c r="E1124" i="707"/>
  <c r="E1211" i="707" s="1"/>
  <c r="E1241" i="707" s="1"/>
  <c r="E1023" i="707"/>
  <c r="E364" i="707"/>
  <c r="E1093" i="707"/>
  <c r="E1126" i="707" s="1"/>
  <c r="E1213" i="707" s="1"/>
  <c r="E1243" i="707" s="1"/>
  <c r="E933" i="707"/>
  <c r="E1023" i="706"/>
  <c r="E1124" i="706"/>
  <c r="E1211" i="706" s="1"/>
  <c r="E1241" i="706" s="1"/>
  <c r="E364" i="706"/>
  <c r="E1093" i="706"/>
  <c r="E1126" i="706" s="1"/>
  <c r="E1213" i="706" s="1"/>
  <c r="E1243" i="706" s="1"/>
  <c r="E933" i="706"/>
  <c r="E1124" i="705"/>
  <c r="E1211" i="705" s="1"/>
  <c r="E1241" i="705" s="1"/>
  <c r="E364" i="705"/>
  <c r="E933" i="705"/>
  <c r="E986" i="705"/>
  <c r="E1023" i="705" s="1"/>
  <c r="E364" i="704"/>
  <c r="E986" i="704"/>
  <c r="E1023" i="704" s="1"/>
  <c r="E1225" i="704"/>
  <c r="E1124" i="703"/>
  <c r="E1211" i="703" s="1"/>
  <c r="E1241" i="703" s="1"/>
  <c r="E1023" i="703"/>
  <c r="E364" i="703"/>
  <c r="E1093" i="703"/>
  <c r="E1126" i="703" s="1"/>
  <c r="E1213" i="703" s="1"/>
  <c r="E1243" i="703" s="1"/>
  <c r="E933" i="703"/>
  <c r="E1023" i="702"/>
  <c r="E364" i="702"/>
  <c r="E1093" i="702"/>
  <c r="E1126" i="702" s="1"/>
  <c r="E1213" i="702" s="1"/>
  <c r="E1243" i="702" s="1"/>
  <c r="E933" i="702"/>
  <c r="E1124" i="701"/>
  <c r="E1211" i="701" s="1"/>
  <c r="E1241" i="701" s="1"/>
  <c r="E635" i="701"/>
  <c r="E933" i="701"/>
  <c r="E986" i="701"/>
  <c r="E1023" i="701" s="1"/>
  <c r="E1124" i="698"/>
  <c r="E1211" i="698" s="1"/>
  <c r="E1241" i="698" s="1"/>
  <c r="E933" i="698"/>
  <c r="E986" i="698"/>
  <c r="E1023" i="698" s="1"/>
  <c r="E635" i="698"/>
  <c r="E933" i="697"/>
  <c r="E936" i="697" s="1"/>
  <c r="E986" i="697"/>
  <c r="E1023" i="697" s="1"/>
  <c r="E364" i="697"/>
  <c r="E1124" i="696"/>
  <c r="E1211" i="696" s="1"/>
  <c r="E1241" i="696" s="1"/>
  <c r="E1023" i="696"/>
  <c r="E1093" i="696"/>
  <c r="E1126" i="696" s="1"/>
  <c r="E1213" i="696" s="1"/>
  <c r="E1243" i="696" s="1"/>
  <c r="E933" i="696"/>
  <c r="E364" i="696"/>
  <c r="E1124" i="695"/>
  <c r="E1211" i="695" s="1"/>
  <c r="E1241" i="695" s="1"/>
  <c r="E1023" i="695"/>
  <c r="E635" i="695"/>
  <c r="E1093" i="695"/>
  <c r="E1126" i="695" s="1"/>
  <c r="E1213" i="695" s="1"/>
  <c r="E1243" i="695" s="1"/>
  <c r="E933" i="695"/>
  <c r="E1124" i="694"/>
  <c r="E1211" i="694" s="1"/>
  <c r="E1241" i="694" s="1"/>
  <c r="E986" i="694"/>
  <c r="E1023" i="694" s="1"/>
  <c r="E933" i="694"/>
  <c r="E364" i="694"/>
  <c r="E1124" i="693"/>
  <c r="E1211" i="693" s="1"/>
  <c r="E1241" i="693" s="1"/>
  <c r="E1023" i="693"/>
  <c r="E635" i="693"/>
  <c r="E1093" i="693"/>
  <c r="E1126" i="693" s="1"/>
  <c r="E1213" i="693" s="1"/>
  <c r="E1243" i="693" s="1"/>
  <c r="E1225" i="693"/>
  <c r="E1124" i="692"/>
  <c r="E1211" i="692" s="1"/>
  <c r="E1241" i="692" s="1"/>
  <c r="E1023" i="692"/>
  <c r="E1093" i="692"/>
  <c r="E1126" i="692" s="1"/>
  <c r="E1213" i="692" s="1"/>
  <c r="E1243" i="692" s="1"/>
  <c r="E933" i="692"/>
  <c r="E1124" i="691"/>
  <c r="E1211" i="691" s="1"/>
  <c r="E1241" i="691" s="1"/>
  <c r="E1023" i="691"/>
  <c r="E364" i="691"/>
  <c r="E1093" i="691"/>
  <c r="E1126" i="691" s="1"/>
  <c r="E1213" i="691" s="1"/>
  <c r="E1243" i="691" s="1"/>
  <c r="E933" i="691"/>
  <c r="E1124" i="690"/>
  <c r="E1211" i="690" s="1"/>
  <c r="E1241" i="690" s="1"/>
  <c r="E1023" i="690"/>
  <c r="E364" i="690"/>
  <c r="E1093" i="690"/>
  <c r="E1126" i="690" s="1"/>
  <c r="E1213" i="690" s="1"/>
  <c r="E1243" i="690" s="1"/>
  <c r="E933" i="690"/>
  <c r="E1124" i="689"/>
  <c r="E1211" i="689" s="1"/>
  <c r="E1241" i="689" s="1"/>
  <c r="E1023" i="689"/>
  <c r="E1093" i="689"/>
  <c r="E1126" i="689" s="1"/>
  <c r="E1213" i="689" s="1"/>
  <c r="E1243" i="689" s="1"/>
  <c r="E933" i="689"/>
  <c r="E1124" i="688"/>
  <c r="E1211" i="688" s="1"/>
  <c r="E1241" i="688" s="1"/>
  <c r="E1023" i="688"/>
  <c r="E364" i="688"/>
  <c r="E1093" i="688"/>
  <c r="E1126" i="688" s="1"/>
  <c r="E1213" i="688" s="1"/>
  <c r="E1243" i="688" s="1"/>
  <c r="E933" i="688"/>
  <c r="E1124" i="687"/>
  <c r="E1211" i="687" s="1"/>
  <c r="E1241" i="687" s="1"/>
  <c r="E1023" i="687"/>
  <c r="E364" i="687"/>
  <c r="E1093" i="687"/>
  <c r="E1126" i="687" s="1"/>
  <c r="E1213" i="687" s="1"/>
  <c r="E1243" i="687" s="1"/>
  <c r="E933" i="687"/>
  <c r="E1023" i="686"/>
  <c r="E1093" i="686"/>
  <c r="E1126" i="686" s="1"/>
  <c r="E1213" i="686" s="1"/>
  <c r="E1243" i="686" s="1"/>
  <c r="E1125" i="686"/>
  <c r="E1212" i="686" s="1"/>
  <c r="E1242" i="686" s="1"/>
  <c r="E933" i="686"/>
  <c r="E1124" i="685"/>
  <c r="E1211" i="685" s="1"/>
  <c r="E1241" i="685" s="1"/>
  <c r="E1023" i="685"/>
  <c r="E364" i="685"/>
  <c r="E1093" i="685"/>
  <c r="E1126" i="685" s="1"/>
  <c r="E1213" i="685" s="1"/>
  <c r="E1243" i="685" s="1"/>
  <c r="E933" i="685"/>
  <c r="E241" i="671"/>
  <c r="E1162" i="671"/>
  <c r="E1249" i="671" s="1"/>
  <c r="E1279" i="671" s="1"/>
  <c r="E1061" i="671"/>
  <c r="E673" i="671"/>
  <c r="E1131" i="671"/>
  <c r="E1164" i="671" s="1"/>
  <c r="E1251" i="671" s="1"/>
  <c r="E1281" i="671" s="1"/>
  <c r="E639" i="693" l="1"/>
  <c r="E936" i="710"/>
  <c r="E1095" i="694"/>
  <c r="E1130" i="694" s="1"/>
  <c r="E1217" i="694" s="1"/>
  <c r="E936" i="712"/>
  <c r="E639" i="703"/>
  <c r="E1222" i="703" s="1"/>
  <c r="E1095" i="701"/>
  <c r="E1130" i="701" s="1"/>
  <c r="E1217" i="701" s="1"/>
  <c r="E936" i="685"/>
  <c r="E936" i="702"/>
  <c r="E639" i="690"/>
  <c r="E1222" i="690" s="1"/>
  <c r="E639" i="704"/>
  <c r="E1222" i="704" s="1"/>
  <c r="E936" i="698"/>
  <c r="E1095" i="705"/>
  <c r="E1130" i="705" s="1"/>
  <c r="E1217" i="705" s="1"/>
  <c r="E639" i="685"/>
  <c r="E1222" i="685" s="1"/>
  <c r="E639" i="705"/>
  <c r="E1222" i="705" s="1"/>
  <c r="E639" i="692"/>
  <c r="E1222" i="692" s="1"/>
  <c r="E892" i="691"/>
  <c r="E1223" i="691" s="1"/>
  <c r="E936" i="690"/>
  <c r="E936" i="694"/>
  <c r="E639" i="701"/>
  <c r="E1222" i="701" s="1"/>
  <c r="E936" i="705"/>
  <c r="E368" i="705"/>
  <c r="E512" i="705" s="1"/>
  <c r="E368" i="706"/>
  <c r="E512" i="706" s="1"/>
  <c r="E936" i="695"/>
  <c r="E936" i="703"/>
  <c r="E639" i="712"/>
  <c r="E1222" i="712" s="1"/>
  <c r="E368" i="694"/>
  <c r="E639" i="694"/>
  <c r="E1222" i="694" s="1"/>
  <c r="E639" i="706"/>
  <c r="E1222" i="706" s="1"/>
  <c r="E368" i="696"/>
  <c r="E512" i="696" s="1"/>
  <c r="E892" i="698"/>
  <c r="E1223" i="698" s="1"/>
  <c r="E368" i="689"/>
  <c r="E512" i="689" s="1"/>
  <c r="E639" i="698"/>
  <c r="E1222" i="698" s="1"/>
  <c r="E368" i="708"/>
  <c r="E512" i="708" s="1"/>
  <c r="E639" i="687"/>
  <c r="E892" i="712"/>
  <c r="E1223" i="712" s="1"/>
  <c r="E892" i="708"/>
  <c r="E1223" i="708" s="1"/>
  <c r="E936" i="687"/>
  <c r="E936" i="696"/>
  <c r="E1095" i="697"/>
  <c r="E1130" i="697" s="1"/>
  <c r="E1217" i="697" s="1"/>
  <c r="E936" i="701"/>
  <c r="E639" i="686"/>
  <c r="E1222" i="686" s="1"/>
  <c r="E368" i="693"/>
  <c r="E512" i="693" s="1"/>
  <c r="E892" i="701"/>
  <c r="E1223" i="701" s="1"/>
  <c r="E639" i="711"/>
  <c r="E1222" i="711" s="1"/>
  <c r="E892" i="690"/>
  <c r="E1223" i="690" s="1"/>
  <c r="E639" i="689"/>
  <c r="E1222" i="689" s="1"/>
  <c r="E936" i="686"/>
  <c r="E936" i="691"/>
  <c r="E892" i="696"/>
  <c r="E1223" i="696" s="1"/>
  <c r="E936" i="689"/>
  <c r="E639" i="697"/>
  <c r="E1222" i="697" s="1"/>
  <c r="E936" i="688"/>
  <c r="E639" i="710"/>
  <c r="E639" i="708"/>
  <c r="E1222" i="708" s="1"/>
  <c r="E639" i="696"/>
  <c r="E1222" i="696" s="1"/>
  <c r="E892" i="697"/>
  <c r="E1223" i="697" s="1"/>
  <c r="E639" i="691"/>
  <c r="E368" i="711"/>
  <c r="E512" i="711" s="1"/>
  <c r="E512" i="694"/>
  <c r="E936" i="692"/>
  <c r="E368" i="686"/>
  <c r="E512" i="686" s="1"/>
  <c r="E368" i="712"/>
  <c r="E512" i="712" s="1"/>
  <c r="E892" i="685"/>
  <c r="E1223" i="685" s="1"/>
  <c r="E368" i="688"/>
  <c r="E512" i="688" s="1"/>
  <c r="E892" i="711"/>
  <c r="E1223" i="711" s="1"/>
  <c r="E368" i="707"/>
  <c r="E512" i="707" s="1"/>
  <c r="E892" i="703"/>
  <c r="E1223" i="703" s="1"/>
  <c r="E639" i="688"/>
  <c r="E1222" i="688" s="1"/>
  <c r="E892" i="710"/>
  <c r="E1223" i="710" s="1"/>
  <c r="E368" i="685"/>
  <c r="E512" i="685" s="1"/>
  <c r="E368" i="710"/>
  <c r="E512" i="710" s="1"/>
  <c r="E639" i="709"/>
  <c r="E1222" i="709" s="1"/>
  <c r="E406" i="671"/>
  <c r="E550" i="671" s="1"/>
  <c r="E1095" i="710"/>
  <c r="E1130" i="710" s="1"/>
  <c r="E1217" i="710" s="1"/>
  <c r="E368" i="695"/>
  <c r="E512" i="695" s="1"/>
  <c r="E892" i="706"/>
  <c r="E1223" i="706" s="1"/>
  <c r="E892" i="705"/>
  <c r="E1223" i="705" s="1"/>
  <c r="E368" i="701"/>
  <c r="E512" i="701" s="1"/>
  <c r="E892" i="694"/>
  <c r="E1223" i="694" s="1"/>
  <c r="E892" i="689"/>
  <c r="E1223" i="689" s="1"/>
  <c r="E368" i="709"/>
  <c r="E512" i="709" s="1"/>
  <c r="E892" i="702"/>
  <c r="E1223" i="702" s="1"/>
  <c r="E368" i="703"/>
  <c r="E512" i="703" s="1"/>
  <c r="E892" i="693"/>
  <c r="E1223" i="693" s="1"/>
  <c r="E368" i="702"/>
  <c r="E512" i="702" s="1"/>
  <c r="E368" i="687"/>
  <c r="E512" i="687" s="1"/>
  <c r="E368" i="691"/>
  <c r="E512" i="691" s="1"/>
  <c r="E1133" i="671"/>
  <c r="E1168" i="671" s="1"/>
  <c r="E1255" i="671" s="1"/>
  <c r="E892" i="688"/>
  <c r="E1223" i="688" s="1"/>
  <c r="E677" i="671"/>
  <c r="E1260" i="671" s="1"/>
  <c r="E892" i="695"/>
  <c r="E1223" i="695" s="1"/>
  <c r="E930" i="671"/>
  <c r="E1261" i="671" s="1"/>
  <c r="E892" i="704"/>
  <c r="E1223" i="704" s="1"/>
  <c r="E892" i="709"/>
  <c r="E1223" i="709" s="1"/>
  <c r="E368" i="690"/>
  <c r="E512" i="690" s="1"/>
  <c r="E368" i="697"/>
  <c r="E512" i="697" s="1"/>
  <c r="E368" i="692"/>
  <c r="E512" i="692" s="1"/>
  <c r="E892" i="687"/>
  <c r="E1223" i="687" s="1"/>
  <c r="E368" i="698"/>
  <c r="E512" i="698" s="1"/>
  <c r="E892" i="692"/>
  <c r="E1223" i="692" s="1"/>
  <c r="E892" i="686"/>
  <c r="E1223" i="686" s="1"/>
  <c r="E368" i="704"/>
  <c r="E512" i="704" s="1"/>
  <c r="E639" i="702"/>
  <c r="E1222" i="702" s="1"/>
  <c r="E1230" i="702" s="1"/>
  <c r="E1232" i="702" s="1"/>
  <c r="E639" i="707"/>
  <c r="E1222" i="707" s="1"/>
  <c r="E1095" i="704"/>
  <c r="E1130" i="704" s="1"/>
  <c r="E1217" i="704" s="1"/>
  <c r="E1095" i="702"/>
  <c r="E1130" i="702" s="1"/>
  <c r="E1217" i="702" s="1"/>
  <c r="E1095" i="711"/>
  <c r="E1130" i="711" s="1"/>
  <c r="E1217" i="711" s="1"/>
  <c r="E1095" i="693"/>
  <c r="E1130" i="693" s="1"/>
  <c r="E1217" i="693" s="1"/>
  <c r="E639" i="695"/>
  <c r="E1222" i="695" s="1"/>
  <c r="E936" i="707"/>
  <c r="E1095" i="709"/>
  <c r="E1130" i="709" s="1"/>
  <c r="E1217" i="709" s="1"/>
  <c r="E892" i="707"/>
  <c r="E1223" i="707" s="1"/>
  <c r="E1095" i="712"/>
  <c r="E1130" i="712" s="1"/>
  <c r="E1217" i="712" s="1"/>
  <c r="E1095" i="698"/>
  <c r="E1130" i="698" s="1"/>
  <c r="E1217" i="698" s="1"/>
  <c r="E936" i="706"/>
  <c r="E1095" i="708"/>
  <c r="E1130" i="708" s="1"/>
  <c r="E1217" i="708" s="1"/>
  <c r="E1095" i="707"/>
  <c r="E1130" i="707" s="1"/>
  <c r="E1217" i="707" s="1"/>
  <c r="E1095" i="706"/>
  <c r="E1130" i="706" s="1"/>
  <c r="E1217" i="706" s="1"/>
  <c r="E1095" i="703"/>
  <c r="E1130" i="703" s="1"/>
  <c r="E1217" i="703" s="1"/>
  <c r="E1095" i="696"/>
  <c r="E1130" i="696" s="1"/>
  <c r="E1217" i="696" s="1"/>
  <c r="E1095" i="695"/>
  <c r="E1130" i="695" s="1"/>
  <c r="E1217" i="695" s="1"/>
  <c r="E1222" i="693"/>
  <c r="E1095" i="692"/>
  <c r="E1130" i="692" s="1"/>
  <c r="E1217" i="692" s="1"/>
  <c r="E1095" i="691"/>
  <c r="E1130" i="691" s="1"/>
  <c r="E1217" i="691" s="1"/>
  <c r="E1095" i="690"/>
  <c r="E1130" i="690" s="1"/>
  <c r="E1217" i="690" s="1"/>
  <c r="E1095" i="689"/>
  <c r="E1130" i="689" s="1"/>
  <c r="E1217" i="689" s="1"/>
  <c r="E1095" i="688"/>
  <c r="E1130" i="688" s="1"/>
  <c r="E1217" i="688" s="1"/>
  <c r="E1095" i="687"/>
  <c r="E1130" i="687" s="1"/>
  <c r="E1217" i="687" s="1"/>
  <c r="E1095" i="686"/>
  <c r="E1130" i="686" s="1"/>
  <c r="E1217" i="686" s="1"/>
  <c r="E1095" i="685"/>
  <c r="E1130" i="685" s="1"/>
  <c r="E1217" i="685" s="1"/>
  <c r="E1230" i="705" l="1"/>
  <c r="E1232" i="705" s="1"/>
  <c r="E1230" i="694"/>
  <c r="E1232" i="694" s="1"/>
  <c r="E1230" i="708"/>
  <c r="E1232" i="708" s="1"/>
  <c r="E1230" i="703"/>
  <c r="E1232" i="703" s="1"/>
  <c r="E939" i="710"/>
  <c r="E939" i="704"/>
  <c r="E1230" i="711"/>
  <c r="E1232" i="711" s="1"/>
  <c r="E939" i="705"/>
  <c r="E1230" i="690"/>
  <c r="E1232" i="690" s="1"/>
  <c r="E1222" i="710"/>
  <c r="E1230" i="710" s="1"/>
  <c r="E1232" i="710" s="1"/>
  <c r="E1230" i="712"/>
  <c r="E1232" i="712" s="1"/>
  <c r="E1230" i="693"/>
  <c r="E1232" i="693" s="1"/>
  <c r="E939" i="712"/>
  <c r="E939" i="693"/>
  <c r="E1230" i="709"/>
  <c r="E1232" i="709" s="1"/>
  <c r="E1230" i="697"/>
  <c r="E1232" i="697" s="1"/>
  <c r="E1230" i="706"/>
  <c r="E1232" i="706" s="1"/>
  <c r="E939" i="691"/>
  <c r="E1230" i="696"/>
  <c r="E1232" i="696" s="1"/>
  <c r="E939" i="687"/>
  <c r="E1222" i="687"/>
  <c r="E1230" i="687" s="1"/>
  <c r="E1232" i="687" s="1"/>
  <c r="E939" i="707"/>
  <c r="E939" i="697"/>
  <c r="E939" i="694"/>
  <c r="E939" i="692"/>
  <c r="E939" i="708"/>
  <c r="E939" i="696"/>
  <c r="E939" i="698"/>
  <c r="E939" i="688"/>
  <c r="E939" i="701"/>
  <c r="E939" i="690"/>
  <c r="E1230" i="701"/>
  <c r="E1232" i="701" s="1"/>
  <c r="E939" i="709"/>
  <c r="E1230" i="688"/>
  <c r="E1232" i="688" s="1"/>
  <c r="E939" i="711"/>
  <c r="E939" i="689"/>
  <c r="E1230" i="698"/>
  <c r="E1232" i="698" s="1"/>
  <c r="E939" i="703"/>
  <c r="E1230" i="686"/>
  <c r="E1232" i="686" s="1"/>
  <c r="E1230" i="692"/>
  <c r="E1232" i="692" s="1"/>
  <c r="E939" i="702"/>
  <c r="E1222" i="691"/>
  <c r="E1230" i="691" s="1"/>
  <c r="E1232" i="691" s="1"/>
  <c r="E1230" i="695"/>
  <c r="E1232" i="695" s="1"/>
  <c r="E939" i="706"/>
  <c r="E1230" i="704"/>
  <c r="E1232" i="704" s="1"/>
  <c r="E939" i="686"/>
  <c r="E939" i="695"/>
  <c r="E1230" i="685"/>
  <c r="E1232" i="685" s="1"/>
  <c r="E939" i="685"/>
  <c r="E1230" i="689"/>
  <c r="E1232" i="689" s="1"/>
  <c r="E1230" i="707"/>
  <c r="E1232" i="707" s="1"/>
  <c r="E1264" i="671"/>
  <c r="E1268" i="671" s="1"/>
  <c r="E1270" i="671" s="1"/>
  <c r="E971" i="671"/>
  <c r="E974" i="671" s="1"/>
  <c r="E977" i="671" s="1"/>
  <c r="F28" i="137" l="1"/>
  <c r="E28" i="137"/>
  <c r="E20" i="137" s="1"/>
  <c r="F20" i="137" l="1"/>
  <c r="F12" i="33" l="1"/>
  <c r="E12" i="33"/>
  <c r="AR655" i="651"/>
  <c r="AH655" i="651"/>
  <c r="AI655" i="651"/>
  <c r="AJ655" i="651"/>
  <c r="AK655" i="651"/>
  <c r="Z655" i="651"/>
  <c r="AL655" i="651" s="1"/>
  <c r="AA655" i="651"/>
  <c r="AB655" i="651"/>
  <c r="AN655" i="651" s="1"/>
  <c r="AC655" i="651"/>
  <c r="AO655" i="651" s="1"/>
  <c r="AD655" i="651"/>
  <c r="AP655" i="651" s="1"/>
  <c r="AE655" i="651"/>
  <c r="AQ655" i="651" s="1"/>
  <c r="AF655" i="651"/>
  <c r="AG655" i="651"/>
  <c r="AR660" i="651"/>
  <c r="AR665" i="651"/>
  <c r="AF654" i="651"/>
  <c r="AH654" i="651"/>
  <c r="AI654" i="651"/>
  <c r="AJ654" i="651"/>
  <c r="AK654" i="651"/>
  <c r="Z654" i="651"/>
  <c r="AL654" i="651" s="1"/>
  <c r="AA654" i="651"/>
  <c r="AM654" i="651" s="1"/>
  <c r="AB654" i="651"/>
  <c r="AN654" i="651" s="1"/>
  <c r="AC654" i="651"/>
  <c r="AO654" i="651" s="1"/>
  <c r="AD654" i="651"/>
  <c r="AP654" i="651" s="1"/>
  <c r="AE654" i="651"/>
  <c r="AQ654" i="651" s="1"/>
  <c r="AE665" i="651"/>
  <c r="AQ665" i="651" s="1"/>
  <c r="AD665" i="651"/>
  <c r="AP665" i="651" s="1"/>
  <c r="AC665" i="651"/>
  <c r="AO665" i="651" s="1"/>
  <c r="AB665" i="651"/>
  <c r="AN665" i="651" s="1"/>
  <c r="AA665" i="651"/>
  <c r="AM665" i="651" s="1"/>
  <c r="Z665" i="651"/>
  <c r="AL665" i="651" s="1"/>
  <c r="AK665" i="651"/>
  <c r="AJ665" i="651"/>
  <c r="AI665" i="651"/>
  <c r="AH665" i="651"/>
  <c r="AG665" i="651"/>
  <c r="AF665" i="651"/>
  <c r="AE664" i="651"/>
  <c r="AQ664" i="651" s="1"/>
  <c r="AD664" i="651"/>
  <c r="AP664" i="651" s="1"/>
  <c r="AC664" i="651"/>
  <c r="AO664" i="651" s="1"/>
  <c r="AB664" i="651"/>
  <c r="AN664" i="651" s="1"/>
  <c r="AA664" i="651"/>
  <c r="AM664" i="651" s="1"/>
  <c r="Z664" i="651"/>
  <c r="AL664" i="651" s="1"/>
  <c r="AK664" i="651"/>
  <c r="AJ664" i="651"/>
  <c r="AI664" i="651"/>
  <c r="AH664" i="651"/>
  <c r="AG664" i="651"/>
  <c r="AF664" i="651"/>
  <c r="AE660" i="651"/>
  <c r="AQ660" i="651" s="1"/>
  <c r="AD660" i="651"/>
  <c r="AP660" i="651" s="1"/>
  <c r="AC660" i="651"/>
  <c r="AO660" i="651" s="1"/>
  <c r="AB660" i="651"/>
  <c r="AN660" i="651" s="1"/>
  <c r="AA660" i="651"/>
  <c r="AM660" i="651" s="1"/>
  <c r="Z660" i="651"/>
  <c r="AL660" i="651" s="1"/>
  <c r="AK660" i="651"/>
  <c r="AJ660" i="651"/>
  <c r="AI660" i="651"/>
  <c r="AH660" i="651"/>
  <c r="AG660" i="651"/>
  <c r="AF660" i="651"/>
  <c r="AE659" i="651"/>
  <c r="AQ659" i="651" s="1"/>
  <c r="AD659" i="651"/>
  <c r="AP659" i="651" s="1"/>
  <c r="AC659" i="651"/>
  <c r="AO659" i="651" s="1"/>
  <c r="AB659" i="651"/>
  <c r="AN659" i="651" s="1"/>
  <c r="AA659" i="651"/>
  <c r="AM659" i="651" s="1"/>
  <c r="Z659" i="651"/>
  <c r="AL659" i="651" s="1"/>
  <c r="AK659" i="651"/>
  <c r="AJ659" i="651"/>
  <c r="AI659" i="651"/>
  <c r="AH659" i="651"/>
  <c r="AG659" i="651"/>
  <c r="AF659" i="651"/>
  <c r="AA656" i="651" l="1"/>
  <c r="AM655" i="651"/>
  <c r="Z656" i="651"/>
  <c r="AB656" i="651"/>
  <c r="AG654" i="651"/>
  <c r="AE656" i="651"/>
  <c r="AD656" i="651"/>
  <c r="AC656" i="651"/>
  <c r="E10" i="1" l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l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L21" i="660"/>
  <c r="J21" i="660"/>
  <c r="K21" i="660" s="1"/>
  <c r="M21" i="660" l="1"/>
  <c r="O21" i="660"/>
  <c r="AU264" i="651" l="1"/>
  <c r="U272" i="651" l="1"/>
  <c r="AF518" i="651"/>
  <c r="AF650" i="651"/>
  <c r="AG650" i="651"/>
  <c r="Y497" i="651" l="1"/>
  <c r="Y243" i="651" s="1"/>
  <c r="Y342" i="651"/>
  <c r="X415" i="651"/>
  <c r="W497" i="651"/>
  <c r="W243" i="651" s="1"/>
  <c r="W333" i="651"/>
  <c r="W79" i="651" s="1"/>
  <c r="V428" i="651"/>
  <c r="U496" i="651"/>
  <c r="U342" i="651"/>
  <c r="Y439" i="651"/>
  <c r="Y185" i="651" s="1"/>
  <c r="Y283" i="651"/>
  <c r="X327" i="651"/>
  <c r="W411" i="651"/>
  <c r="W157" i="651" s="1"/>
  <c r="V496" i="651"/>
  <c r="V333" i="651"/>
  <c r="V79" i="651" s="1"/>
  <c r="U415" i="651"/>
  <c r="T488" i="651"/>
  <c r="Y376" i="651"/>
  <c r="Y122" i="651" s="1"/>
  <c r="X460" i="651"/>
  <c r="W492" i="651"/>
  <c r="W307" i="651"/>
  <c r="V376" i="651"/>
  <c r="V122" i="651" s="1"/>
  <c r="U461" i="651"/>
  <c r="U207" i="651" s="1"/>
  <c r="U278" i="651"/>
  <c r="U24" i="651" s="1"/>
  <c r="Y297" i="651"/>
  <c r="X283" i="651"/>
  <c r="V433" i="651"/>
  <c r="U433" i="651"/>
  <c r="T411" i="651"/>
  <c r="T157" i="651" s="1"/>
  <c r="Y485" i="651"/>
  <c r="Y231" i="651" s="1"/>
  <c r="X411" i="651"/>
  <c r="X157" i="651" s="1"/>
  <c r="Y363" i="651"/>
  <c r="Y109" i="651" s="1"/>
  <c r="W480" i="651"/>
  <c r="V410" i="651"/>
  <c r="U338" i="651"/>
  <c r="U84" i="651" s="1"/>
  <c r="Y347" i="651"/>
  <c r="V443" i="651"/>
  <c r="Y405" i="651"/>
  <c r="X322" i="651"/>
  <c r="V481" i="651"/>
  <c r="V227" i="651" s="1"/>
  <c r="U363" i="651"/>
  <c r="U109" i="651" s="1"/>
  <c r="T390" i="651"/>
  <c r="Y312" i="651"/>
  <c r="V476" i="651"/>
  <c r="Y391" i="651"/>
  <c r="Y137" i="651" s="1"/>
  <c r="X272" i="651"/>
  <c r="V391" i="651"/>
  <c r="V137" i="651" s="1"/>
  <c r="U323" i="651"/>
  <c r="U69" i="651" s="1"/>
  <c r="T338" i="651"/>
  <c r="T84" i="651" s="1"/>
  <c r="Y307" i="651"/>
  <c r="W428" i="651"/>
  <c r="V317" i="651"/>
  <c r="T477" i="651"/>
  <c r="T223" i="651" s="1"/>
  <c r="T273" i="651"/>
  <c r="X338" i="651"/>
  <c r="X84" i="651" s="1"/>
  <c r="W264" i="651"/>
  <c r="U429" i="651"/>
  <c r="T401" i="651"/>
  <c r="T147" i="651" s="1"/>
  <c r="Y288" i="651"/>
  <c r="T493" i="651"/>
  <c r="T239" i="651" s="1"/>
  <c r="T444" i="651"/>
  <c r="T190" i="651" s="1"/>
  <c r="U273" i="651"/>
  <c r="T348" i="651"/>
  <c r="T94" i="651" s="1"/>
  <c r="U381" i="651"/>
  <c r="U127" i="651" s="1"/>
  <c r="V342" i="651"/>
  <c r="W362" i="651"/>
  <c r="T278" i="651"/>
  <c r="T24" i="651" s="1"/>
  <c r="T456" i="651"/>
  <c r="V272" i="651"/>
  <c r="Y287" i="651"/>
  <c r="X376" i="651"/>
  <c r="X122" i="651" s="1"/>
  <c r="W297" i="651"/>
  <c r="V385" i="651"/>
  <c r="U287" i="651"/>
  <c r="X476" i="651"/>
  <c r="X288" i="651"/>
  <c r="V465" i="651"/>
  <c r="V211" i="651" s="1"/>
  <c r="Y333" i="651"/>
  <c r="Y79" i="651" s="1"/>
  <c r="W461" i="651"/>
  <c r="W207" i="651" s="1"/>
  <c r="V332" i="651"/>
  <c r="Y496" i="651"/>
  <c r="W465" i="651"/>
  <c r="W211" i="651" s="1"/>
  <c r="U332" i="651"/>
  <c r="Y416" i="651"/>
  <c r="X500" i="651"/>
  <c r="V337" i="651"/>
  <c r="Y484" i="651"/>
  <c r="Y323" i="651"/>
  <c r="Y69" i="651" s="1"/>
  <c r="X395" i="651"/>
  <c r="W481" i="651"/>
  <c r="W227" i="651" s="1"/>
  <c r="W313" i="651"/>
  <c r="W59" i="651" s="1"/>
  <c r="V401" i="651"/>
  <c r="V147" i="651" s="1"/>
  <c r="U480" i="651"/>
  <c r="U322" i="651"/>
  <c r="Y415" i="651"/>
  <c r="X492" i="651"/>
  <c r="X307" i="651"/>
  <c r="W391" i="651"/>
  <c r="W137" i="651" s="1"/>
  <c r="V480" i="651"/>
  <c r="V313" i="651"/>
  <c r="V59" i="651" s="1"/>
  <c r="U396" i="651"/>
  <c r="U142" i="651" s="1"/>
  <c r="T473" i="651"/>
  <c r="T219" i="651" s="1"/>
  <c r="Y352" i="651"/>
  <c r="X433" i="651"/>
  <c r="W476" i="651"/>
  <c r="W288" i="651"/>
  <c r="V348" i="651"/>
  <c r="V94" i="651" s="1"/>
  <c r="U438" i="651"/>
  <c r="T501" i="651"/>
  <c r="Y272" i="651"/>
  <c r="W488" i="651"/>
  <c r="V400" i="651"/>
  <c r="U362" i="651"/>
  <c r="T395" i="651"/>
  <c r="Y460" i="651"/>
  <c r="X381" i="651"/>
  <c r="X127" i="651" s="1"/>
  <c r="Y322" i="651"/>
  <c r="W444" i="651"/>
  <c r="W190" i="651" s="1"/>
  <c r="V375" i="651"/>
  <c r="U303" i="651"/>
  <c r="U49" i="651" s="1"/>
  <c r="Y277" i="651"/>
  <c r="V405" i="651"/>
  <c r="Y362" i="651"/>
  <c r="X278" i="651"/>
  <c r="X24" i="651" s="1"/>
  <c r="V456" i="651"/>
  <c r="U328" i="651"/>
  <c r="U74" i="651" s="1"/>
  <c r="T363" i="651"/>
  <c r="T109" i="651" s="1"/>
  <c r="X464" i="651"/>
  <c r="V358" i="651"/>
  <c r="V104" i="651" s="1"/>
  <c r="Y308" i="651"/>
  <c r="Y54" i="651" s="1"/>
  <c r="W500" i="651"/>
  <c r="V353" i="651"/>
  <c r="V99" i="651" s="1"/>
  <c r="U292" i="651"/>
  <c r="T318" i="651"/>
  <c r="T64" i="651" s="1"/>
  <c r="X485" i="651"/>
  <c r="X231" i="651" s="1"/>
  <c r="W385" i="651"/>
  <c r="V283" i="651"/>
  <c r="T460" i="651"/>
  <c r="Y472" i="651"/>
  <c r="X302" i="651"/>
  <c r="V497" i="651"/>
  <c r="V243" i="651" s="1"/>
  <c r="U347" i="651"/>
  <c r="T381" i="651"/>
  <c r="T127" i="651" s="1"/>
  <c r="X386" i="651"/>
  <c r="X132" i="651" s="1"/>
  <c r="T434" i="651"/>
  <c r="T180" i="651" s="1"/>
  <c r="T322" i="651"/>
  <c r="T489" i="651"/>
  <c r="T235" i="651" s="1"/>
  <c r="T264" i="651"/>
  <c r="T472" i="651"/>
  <c r="U485" i="651"/>
  <c r="U231" i="651" s="1"/>
  <c r="V461" i="651"/>
  <c r="V207" i="651" s="1"/>
  <c r="Y500" i="651"/>
  <c r="T327" i="651"/>
  <c r="U457" i="651"/>
  <c r="U203" i="651" s="1"/>
  <c r="Y469" i="651"/>
  <c r="Y215" i="651" s="1"/>
  <c r="W468" i="651"/>
  <c r="U468" i="651"/>
  <c r="Y396" i="651"/>
  <c r="Y142" i="651" s="1"/>
  <c r="W375" i="651"/>
  <c r="V297" i="651"/>
  <c r="U380" i="651"/>
  <c r="Y492" i="651"/>
  <c r="X406" i="651"/>
  <c r="X152" i="651" s="1"/>
  <c r="W265" i="651"/>
  <c r="W11" i="651" s="1"/>
  <c r="U411" i="651"/>
  <c r="U157" i="651" s="1"/>
  <c r="X484" i="651"/>
  <c r="V362" i="651"/>
  <c r="T376" i="651"/>
  <c r="T122" i="651" s="1"/>
  <c r="X342" i="651"/>
  <c r="W401" i="651"/>
  <c r="W147" i="651" s="1"/>
  <c r="Y428" i="651"/>
  <c r="X496" i="651"/>
  <c r="X332" i="651"/>
  <c r="W416" i="651"/>
  <c r="V500" i="651"/>
  <c r="V338" i="651"/>
  <c r="V84" i="651" s="1"/>
  <c r="U428" i="651"/>
  <c r="T492" i="651"/>
  <c r="Y353" i="651"/>
  <c r="Y99" i="651" s="1"/>
  <c r="X434" i="651"/>
  <c r="X180" i="651" s="1"/>
  <c r="W493" i="651"/>
  <c r="W239" i="651" s="1"/>
  <c r="W328" i="651"/>
  <c r="W74" i="651" s="1"/>
  <c r="V415" i="651"/>
  <c r="U492" i="651"/>
  <c r="U337" i="651"/>
  <c r="Y464" i="651"/>
  <c r="Y298" i="651"/>
  <c r="Y44" i="651" s="1"/>
  <c r="X343" i="651"/>
  <c r="X89" i="651" s="1"/>
  <c r="W410" i="651"/>
  <c r="V477" i="651"/>
  <c r="V223" i="651" s="1"/>
  <c r="V293" i="651"/>
  <c r="V39" i="651" s="1"/>
  <c r="U376" i="651"/>
  <c r="U122" i="651" s="1"/>
  <c r="Y429" i="651"/>
  <c r="X416" i="651"/>
  <c r="W353" i="651"/>
  <c r="W99" i="651" s="1"/>
  <c r="V303" i="651"/>
  <c r="V49" i="651" s="1"/>
  <c r="T497" i="651"/>
  <c r="T243" i="651" s="1"/>
  <c r="T333" i="651"/>
  <c r="T79" i="651" s="1"/>
  <c r="Y293" i="651"/>
  <c r="Y39" i="651" s="1"/>
  <c r="X282" i="651"/>
  <c r="X428" i="651"/>
  <c r="W323" i="651"/>
  <c r="W69" i="651" s="1"/>
  <c r="U481" i="651"/>
  <c r="U227" i="651" s="1"/>
  <c r="T443" i="651"/>
  <c r="X318" i="651"/>
  <c r="X64" i="651" s="1"/>
  <c r="U401" i="651"/>
  <c r="U147" i="651" s="1"/>
  <c r="X497" i="651"/>
  <c r="X243" i="651" s="1"/>
  <c r="W400" i="651"/>
  <c r="V327" i="651"/>
  <c r="T485" i="651"/>
  <c r="T231" i="651" s="1"/>
  <c r="T303" i="651"/>
  <c r="T49" i="651" s="1"/>
  <c r="W501" i="651"/>
  <c r="U358" i="651"/>
  <c r="U104" i="651" s="1"/>
  <c r="X444" i="651"/>
  <c r="X190" i="651" s="1"/>
  <c r="W312" i="651"/>
  <c r="U500" i="651"/>
  <c r="T433" i="651"/>
  <c r="Y473" i="651"/>
  <c r="Y219" i="651" s="1"/>
  <c r="X352" i="651"/>
  <c r="V501" i="651"/>
  <c r="U348" i="651"/>
  <c r="U94" i="651" s="1"/>
  <c r="T357" i="651"/>
  <c r="Y303" i="651"/>
  <c r="Y49" i="651" s="1"/>
  <c r="W415" i="651"/>
  <c r="V308" i="651"/>
  <c r="V54" i="651" s="1"/>
  <c r="T496" i="651"/>
  <c r="T312" i="651"/>
  <c r="V411" i="651"/>
  <c r="V157" i="651" s="1"/>
  <c r="X337" i="651"/>
  <c r="W456" i="651"/>
  <c r="T307" i="651"/>
  <c r="X333" i="651"/>
  <c r="X79" i="651" s="1"/>
  <c r="X472" i="651"/>
  <c r="T287" i="651"/>
  <c r="U343" i="651"/>
  <c r="U89" i="651" s="1"/>
  <c r="W337" i="651"/>
  <c r="X429" i="651"/>
  <c r="Y401" i="651"/>
  <c r="Y147" i="651" s="1"/>
  <c r="X480" i="651"/>
  <c r="X312" i="651"/>
  <c r="W396" i="651"/>
  <c r="W142" i="651" s="1"/>
  <c r="V484" i="651"/>
  <c r="V318" i="651"/>
  <c r="V64" i="651" s="1"/>
  <c r="U400" i="651"/>
  <c r="Y493" i="651"/>
  <c r="Y239" i="651" s="1"/>
  <c r="Y337" i="651"/>
  <c r="X410" i="651"/>
  <c r="W477" i="651"/>
  <c r="W223" i="651" s="1"/>
  <c r="W308" i="651"/>
  <c r="W54" i="651" s="1"/>
  <c r="V396" i="651"/>
  <c r="V142" i="651" s="1"/>
  <c r="U477" i="651"/>
  <c r="U223" i="651" s="1"/>
  <c r="U317" i="651"/>
  <c r="Y444" i="651"/>
  <c r="Y190" i="651" s="1"/>
  <c r="X273" i="651"/>
  <c r="V302" i="651"/>
  <c r="Y380" i="651"/>
  <c r="W438" i="651"/>
  <c r="U464" i="651"/>
  <c r="Y395" i="651"/>
  <c r="X264" i="651"/>
  <c r="V395" i="651"/>
  <c r="U298" i="651"/>
  <c r="U44" i="651" s="1"/>
  <c r="X317" i="651"/>
  <c r="U469" i="651"/>
  <c r="U215" i="651" s="1"/>
  <c r="T282" i="651"/>
  <c r="Y406" i="651"/>
  <c r="Y152" i="651" s="1"/>
  <c r="V457" i="651"/>
  <c r="V203" i="651" s="1"/>
  <c r="Y481" i="651"/>
  <c r="Y227" i="651" s="1"/>
  <c r="U327" i="651"/>
  <c r="W473" i="651"/>
  <c r="W219" i="651" s="1"/>
  <c r="U444" i="651"/>
  <c r="U190" i="651" s="1"/>
  <c r="T323" i="651"/>
  <c r="T69" i="651" s="1"/>
  <c r="W282" i="651"/>
  <c r="X400" i="651"/>
  <c r="V322" i="651"/>
  <c r="T386" i="651"/>
  <c r="T132" i="651" s="1"/>
  <c r="X396" i="651"/>
  <c r="X142" i="651" s="1"/>
  <c r="V347" i="651"/>
  <c r="T337" i="651"/>
  <c r="W489" i="651"/>
  <c r="W235" i="651" s="1"/>
  <c r="U493" i="651"/>
  <c r="U239" i="651" s="1"/>
  <c r="T332" i="651"/>
  <c r="U277" i="651"/>
  <c r="W298" i="651"/>
  <c r="W44" i="651" s="1"/>
  <c r="Y375" i="651"/>
  <c r="W376" i="651"/>
  <c r="W122" i="651" s="1"/>
  <c r="U484" i="651"/>
  <c r="U312" i="651"/>
  <c r="W380" i="651"/>
  <c r="U443" i="651"/>
  <c r="W292" i="651"/>
  <c r="Y282" i="651"/>
  <c r="V273" i="651"/>
  <c r="W322" i="651"/>
  <c r="T480" i="651"/>
  <c r="U456" i="651"/>
  <c r="Y456" i="651"/>
  <c r="U297" i="651"/>
  <c r="U501" i="651"/>
  <c r="U472" i="651"/>
  <c r="W496" i="651"/>
  <c r="T293" i="651"/>
  <c r="T39" i="651" s="1"/>
  <c r="U313" i="651"/>
  <c r="U59" i="651" s="1"/>
  <c r="T308" i="651"/>
  <c r="T54" i="651" s="1"/>
  <c r="W405" i="651"/>
  <c r="T396" i="651"/>
  <c r="T142" i="651" s="1"/>
  <c r="Y265" i="651"/>
  <c r="Y11" i="651" s="1"/>
  <c r="U385" i="651"/>
  <c r="W272" i="651"/>
  <c r="X489" i="651"/>
  <c r="X235" i="651" s="1"/>
  <c r="U489" i="651"/>
  <c r="U235" i="651" s="1"/>
  <c r="W293" i="651"/>
  <c r="W39" i="651" s="1"/>
  <c r="X481" i="651"/>
  <c r="X227" i="651" s="1"/>
  <c r="X328" i="651"/>
  <c r="X74" i="651" s="1"/>
  <c r="W472" i="651"/>
  <c r="W318" i="651"/>
  <c r="W64" i="651" s="1"/>
  <c r="Y400" i="651"/>
  <c r="U434" i="651"/>
  <c r="U180" i="651" s="1"/>
  <c r="V381" i="651"/>
  <c r="V127" i="651" s="1"/>
  <c r="T342" i="651"/>
  <c r="V444" i="651"/>
  <c r="V190" i="651" s="1"/>
  <c r="V464" i="651"/>
  <c r="V265" i="651"/>
  <c r="V11" i="651" s="1"/>
  <c r="W287" i="651"/>
  <c r="X405" i="651"/>
  <c r="W433" i="651"/>
  <c r="T461" i="651"/>
  <c r="T207" i="651" s="1"/>
  <c r="T405" i="651"/>
  <c r="T429" i="651"/>
  <c r="Y385" i="651"/>
  <c r="W443" i="651"/>
  <c r="V282" i="651"/>
  <c r="Y318" i="651"/>
  <c r="Y64" i="651" s="1"/>
  <c r="W347" i="651"/>
  <c r="U439" i="651"/>
  <c r="U185" i="651" s="1"/>
  <c r="Y317" i="651"/>
  <c r="W434" i="651"/>
  <c r="W180" i="651" s="1"/>
  <c r="V312" i="651"/>
  <c r="Y461" i="651"/>
  <c r="Y207" i="651" s="1"/>
  <c r="W429" i="651"/>
  <c r="U307" i="651"/>
  <c r="Y348" i="651"/>
  <c r="Y94" i="651" s="1"/>
  <c r="X469" i="651"/>
  <c r="X215" i="651" s="1"/>
  <c r="V298" i="651"/>
  <c r="V44" i="651" s="1"/>
  <c r="X493" i="651"/>
  <c r="X239" i="651" s="1"/>
  <c r="Y488" i="651"/>
  <c r="W439" i="651"/>
  <c r="W185" i="651" s="1"/>
  <c r="U405" i="651"/>
  <c r="T283" i="651"/>
  <c r="V288" i="651"/>
  <c r="X353" i="651"/>
  <c r="X99" i="651" s="1"/>
  <c r="V287" i="651"/>
  <c r="T358" i="651"/>
  <c r="T104" i="651" s="1"/>
  <c r="X303" i="651"/>
  <c r="X49" i="651" s="1"/>
  <c r="U497" i="651"/>
  <c r="U243" i="651" s="1"/>
  <c r="T313" i="651"/>
  <c r="T59" i="651" s="1"/>
  <c r="W460" i="651"/>
  <c r="U465" i="651"/>
  <c r="U211" i="651" s="1"/>
  <c r="T292" i="651"/>
  <c r="T375" i="651"/>
  <c r="V386" i="651"/>
  <c r="V132" i="651" s="1"/>
  <c r="X501" i="651"/>
  <c r="V488" i="651"/>
  <c r="T465" i="651"/>
  <c r="T211" i="651" s="1"/>
  <c r="T265" i="651"/>
  <c r="T11" i="651" s="1"/>
  <c r="Y358" i="651"/>
  <c r="Y104" i="651" s="1"/>
  <c r="Y302" i="651"/>
  <c r="U353" i="651"/>
  <c r="U99" i="651" s="1"/>
  <c r="W390" i="651"/>
  <c r="Y390" i="651"/>
  <c r="Y264" i="651"/>
  <c r="X375" i="651"/>
  <c r="X401" i="651"/>
  <c r="X147" i="651" s="1"/>
  <c r="W357" i="651"/>
  <c r="Y443" i="651"/>
  <c r="X308" i="651"/>
  <c r="X54" i="651" s="1"/>
  <c r="T297" i="651"/>
  <c r="U390" i="651"/>
  <c r="W381" i="651"/>
  <c r="W127" i="651" s="1"/>
  <c r="T272" i="651"/>
  <c r="U410" i="651"/>
  <c r="T400" i="651"/>
  <c r="Y292" i="651"/>
  <c r="W352" i="651"/>
  <c r="X461" i="651"/>
  <c r="X207" i="651" s="1"/>
  <c r="U302" i="651"/>
  <c r="W363" i="651"/>
  <c r="W109" i="651" s="1"/>
  <c r="Y357" i="651"/>
  <c r="T464" i="651"/>
  <c r="U406" i="651"/>
  <c r="U152" i="651" s="1"/>
  <c r="Y313" i="651"/>
  <c r="Y59" i="651" s="1"/>
  <c r="U264" i="651"/>
  <c r="U293" i="651"/>
  <c r="U39" i="651" s="1"/>
  <c r="W386" i="651"/>
  <c r="W132" i="651" s="1"/>
  <c r="T277" i="651"/>
  <c r="W469" i="651"/>
  <c r="W215" i="651" s="1"/>
  <c r="U318" i="651"/>
  <c r="U64" i="651" s="1"/>
  <c r="Y381" i="651"/>
  <c r="Y127" i="651" s="1"/>
  <c r="W338" i="651"/>
  <c r="W84" i="651" s="1"/>
  <c r="U283" i="651"/>
  <c r="Y468" i="651"/>
  <c r="T428" i="651"/>
  <c r="V489" i="651"/>
  <c r="V235" i="651" s="1"/>
  <c r="T328" i="651"/>
  <c r="T74" i="651" s="1"/>
  <c r="W484" i="651"/>
  <c r="Y480" i="651"/>
  <c r="X385" i="651"/>
  <c r="Y489" i="651"/>
  <c r="Y235" i="651" s="1"/>
  <c r="V323" i="651"/>
  <c r="V69" i="651" s="1"/>
  <c r="T410" i="651"/>
  <c r="V473" i="651"/>
  <c r="V219" i="651" s="1"/>
  <c r="V472" i="651"/>
  <c r="V429" i="651"/>
  <c r="Y410" i="651"/>
  <c r="X465" i="651"/>
  <c r="X211" i="651" s="1"/>
  <c r="W277" i="651"/>
  <c r="U357" i="651"/>
  <c r="X390" i="651"/>
  <c r="V439" i="651"/>
  <c r="V185" i="651" s="1"/>
  <c r="U282" i="651"/>
  <c r="X473" i="651"/>
  <c r="X219" i="651" s="1"/>
  <c r="W327" i="651"/>
  <c r="U476" i="651"/>
  <c r="Y327" i="651"/>
  <c r="V492" i="651"/>
  <c r="T438" i="651"/>
  <c r="X456" i="651"/>
  <c r="X292" i="651"/>
  <c r="U375" i="651"/>
  <c r="W395" i="651"/>
  <c r="Y278" i="651"/>
  <c r="Y24" i="651" s="1"/>
  <c r="W283" i="651"/>
  <c r="T468" i="651"/>
  <c r="X357" i="651"/>
  <c r="Y476" i="651"/>
  <c r="W343" i="651"/>
  <c r="W89" i="651" s="1"/>
  <c r="U391" i="651"/>
  <c r="U137" i="651" s="1"/>
  <c r="Y433" i="651"/>
  <c r="W342" i="651"/>
  <c r="U288" i="651"/>
  <c r="Y338" i="651"/>
  <c r="Y84" i="651" s="1"/>
  <c r="W303" i="651"/>
  <c r="W49" i="651" s="1"/>
  <c r="T476" i="651"/>
  <c r="W457" i="651"/>
  <c r="W203" i="651" s="1"/>
  <c r="T416" i="651"/>
  <c r="T362" i="651"/>
  <c r="V343" i="651"/>
  <c r="V89" i="651" s="1"/>
  <c r="Y501" i="651"/>
  <c r="Y328" i="651"/>
  <c r="Y74" i="651" s="1"/>
  <c r="W332" i="651"/>
  <c r="X439" i="651"/>
  <c r="X185" i="651" s="1"/>
  <c r="V469" i="651"/>
  <c r="V215" i="651" s="1"/>
  <c r="U265" i="651"/>
  <c r="U11" i="651" s="1"/>
  <c r="X363" i="651"/>
  <c r="X109" i="651" s="1"/>
  <c r="V380" i="651"/>
  <c r="Y477" i="651"/>
  <c r="Y223" i="651" s="1"/>
  <c r="X362" i="651"/>
  <c r="V493" i="651"/>
  <c r="V239" i="651" s="1"/>
  <c r="U395" i="651"/>
  <c r="X457" i="651"/>
  <c r="X203" i="651" s="1"/>
  <c r="V328" i="651"/>
  <c r="V74" i="651" s="1"/>
  <c r="T352" i="651"/>
  <c r="X313" i="651"/>
  <c r="X59" i="651" s="1"/>
  <c r="W358" i="651"/>
  <c r="W104" i="651" s="1"/>
  <c r="T469" i="651"/>
  <c r="T215" i="651" s="1"/>
  <c r="W317" i="651"/>
  <c r="X468" i="651"/>
  <c r="V406" i="651"/>
  <c r="V152" i="651" s="1"/>
  <c r="T439" i="651"/>
  <c r="T185" i="651" s="1"/>
  <c r="X277" i="651"/>
  <c r="Y434" i="651"/>
  <c r="Y180" i="651" s="1"/>
  <c r="W278" i="651"/>
  <c r="W24" i="651" s="1"/>
  <c r="T481" i="651"/>
  <c r="T227" i="651" s="1"/>
  <c r="Y386" i="651"/>
  <c r="Y132" i="651" s="1"/>
  <c r="W273" i="651"/>
  <c r="T500" i="651"/>
  <c r="X477" i="651"/>
  <c r="X223" i="651" s="1"/>
  <c r="V468" i="651"/>
  <c r="T457" i="651"/>
  <c r="T203" i="651" s="1"/>
  <c r="W302" i="651"/>
  <c r="T302" i="651"/>
  <c r="W406" i="651"/>
  <c r="W152" i="651" s="1"/>
  <c r="T347" i="651"/>
  <c r="Y332" i="651"/>
  <c r="W485" i="651"/>
  <c r="W231" i="651" s="1"/>
  <c r="V416" i="651"/>
  <c r="X348" i="651"/>
  <c r="X94" i="651" s="1"/>
  <c r="X265" i="651"/>
  <c r="X11" i="651" s="1"/>
  <c r="V352" i="651"/>
  <c r="Y438" i="651"/>
  <c r="X323" i="651"/>
  <c r="X69" i="651" s="1"/>
  <c r="U352" i="651"/>
  <c r="T317" i="651"/>
  <c r="T415" i="651"/>
  <c r="V363" i="651"/>
  <c r="V109" i="651" s="1"/>
  <c r="Y273" i="651"/>
  <c r="Y343" i="651"/>
  <c r="Y89" i="651" s="1"/>
  <c r="X438" i="651"/>
  <c r="V264" i="651"/>
  <c r="X293" i="651"/>
  <c r="X39" i="651" s="1"/>
  <c r="U333" i="651"/>
  <c r="U79" i="651" s="1"/>
  <c r="X358" i="651"/>
  <c r="X104" i="651" s="1"/>
  <c r="V390" i="651"/>
  <c r="T484" i="651"/>
  <c r="T380" i="651"/>
  <c r="U488" i="651"/>
  <c r="X298" i="651"/>
  <c r="X44" i="651" s="1"/>
  <c r="W464" i="651"/>
  <c r="W348" i="651"/>
  <c r="W94" i="651" s="1"/>
  <c r="X297" i="651"/>
  <c r="Y457" i="651"/>
  <c r="Y203" i="651" s="1"/>
  <c r="T353" i="651"/>
  <c r="T99" i="651" s="1"/>
  <c r="Y411" i="651"/>
  <c r="Y157" i="651" s="1"/>
  <c r="U416" i="651"/>
  <c r="V357" i="651"/>
  <c r="X347" i="651"/>
  <c r="V292" i="651"/>
  <c r="T385" i="651"/>
  <c r="T288" i="651"/>
  <c r="Y465" i="651"/>
  <c r="Y211" i="651" s="1"/>
  <c r="T343" i="651"/>
  <c r="T89" i="651" s="1"/>
  <c r="X391" i="651"/>
  <c r="X137" i="651" s="1"/>
  <c r="T298" i="651"/>
  <c r="T44" i="651" s="1"/>
  <c r="V278" i="651"/>
  <c r="V24" i="651" s="1"/>
  <c r="V277" i="651"/>
  <c r="X488" i="651"/>
  <c r="V307" i="651"/>
  <c r="V485" i="651"/>
  <c r="V231" i="651" s="1"/>
  <c r="V460" i="651"/>
  <c r="X287" i="651"/>
  <c r="T391" i="651"/>
  <c r="T137" i="651" s="1"/>
  <c r="T406" i="651"/>
  <c r="T152" i="651" s="1"/>
  <c r="X380" i="651"/>
  <c r="U460" i="651"/>
  <c r="V438" i="651"/>
  <c r="U473" i="651"/>
  <c r="U219" i="651" s="1"/>
  <c r="X443" i="651"/>
  <c r="U386" i="651"/>
  <c r="U132" i="651" s="1"/>
  <c r="U308" i="651"/>
  <c r="U54" i="651" s="1"/>
  <c r="V434" i="651"/>
  <c r="V180" i="651" s="1"/>
  <c r="AH650" i="651"/>
  <c r="T387" i="651" l="1"/>
  <c r="T131" i="651"/>
  <c r="T133" i="651" s="1"/>
  <c r="V162" i="651"/>
  <c r="V167" i="651" s="1"/>
  <c r="V421" i="651"/>
  <c r="V470" i="651"/>
  <c r="V214" i="651"/>
  <c r="V216" i="651" s="1"/>
  <c r="T108" i="651"/>
  <c r="T110" i="651" s="1"/>
  <c r="T364" i="651"/>
  <c r="W397" i="651"/>
  <c r="W141" i="651"/>
  <c r="W143" i="651" s="1"/>
  <c r="Y412" i="651"/>
  <c r="Y156" i="651"/>
  <c r="Y158" i="651" s="1"/>
  <c r="W349" i="651"/>
  <c r="W93" i="651"/>
  <c r="W95" i="651" s="1"/>
  <c r="Y83" i="651"/>
  <c r="Y85" i="651" s="1"/>
  <c r="Y339" i="651"/>
  <c r="T486" i="651"/>
  <c r="T230" i="651"/>
  <c r="T232" i="651" s="1"/>
  <c r="Y19" i="651"/>
  <c r="Y368" i="651"/>
  <c r="W48" i="651"/>
  <c r="W50" i="651" s="1"/>
  <c r="W304" i="651"/>
  <c r="Y247" i="651"/>
  <c r="Y253" i="651" s="1"/>
  <c r="Y507" i="651"/>
  <c r="Y329" i="651"/>
  <c r="Y73" i="651"/>
  <c r="Y75" i="651" s="1"/>
  <c r="W23" i="651"/>
  <c r="W25" i="651" s="1"/>
  <c r="W279" i="651"/>
  <c r="U10" i="651"/>
  <c r="U13" i="651" s="1"/>
  <c r="U267" i="651"/>
  <c r="W354" i="651"/>
  <c r="W98" i="651"/>
  <c r="W100" i="651" s="1"/>
  <c r="T121" i="651"/>
  <c r="T123" i="651" s="1"/>
  <c r="T377" i="651"/>
  <c r="V289" i="651"/>
  <c r="Y63" i="651"/>
  <c r="Y65" i="651" s="1"/>
  <c r="Y319" i="651"/>
  <c r="T151" i="651"/>
  <c r="T153" i="651" s="1"/>
  <c r="T407" i="651"/>
  <c r="T88" i="651"/>
  <c r="T90" i="651" s="1"/>
  <c r="T344" i="651"/>
  <c r="U202" i="651"/>
  <c r="U204" i="651" s="1"/>
  <c r="U458" i="651"/>
  <c r="U314" i="651"/>
  <c r="U58" i="651"/>
  <c r="U60" i="651" s="1"/>
  <c r="Y126" i="651"/>
  <c r="Y128" i="651" s="1"/>
  <c r="Y382" i="651"/>
  <c r="X314" i="651"/>
  <c r="X58" i="651"/>
  <c r="X60" i="651" s="1"/>
  <c r="W417" i="651"/>
  <c r="W420" i="651"/>
  <c r="W161" i="651"/>
  <c r="U506" i="651"/>
  <c r="U502" i="651"/>
  <c r="U246" i="651"/>
  <c r="W146" i="651"/>
  <c r="W148" i="651" s="1"/>
  <c r="W402" i="651"/>
  <c r="X284" i="651"/>
  <c r="X28" i="651"/>
  <c r="X30" i="651" s="1"/>
  <c r="U494" i="651"/>
  <c r="U238" i="651"/>
  <c r="U240" i="651" s="1"/>
  <c r="X344" i="651"/>
  <c r="X88" i="651"/>
  <c r="X90" i="651" s="1"/>
  <c r="U382" i="651"/>
  <c r="U126" i="651"/>
  <c r="U128" i="651" s="1"/>
  <c r="T329" i="651"/>
  <c r="T73" i="651"/>
  <c r="T75" i="651" s="1"/>
  <c r="Y23" i="651"/>
  <c r="Y25" i="651" s="1"/>
  <c r="Y279" i="651"/>
  <c r="U108" i="651"/>
  <c r="U110" i="651" s="1"/>
  <c r="U364" i="651"/>
  <c r="W478" i="651"/>
  <c r="W222" i="651"/>
  <c r="W224" i="651" s="1"/>
  <c r="X309" i="651"/>
  <c r="X53" i="651"/>
  <c r="X55" i="651" s="1"/>
  <c r="X141" i="651"/>
  <c r="X143" i="651" s="1"/>
  <c r="X397" i="651"/>
  <c r="Y242" i="651"/>
  <c r="Y244" i="651" s="1"/>
  <c r="Y498" i="651"/>
  <c r="V131" i="651"/>
  <c r="V133" i="651" s="1"/>
  <c r="V387" i="651"/>
  <c r="V88" i="651"/>
  <c r="V90" i="651" s="1"/>
  <c r="V344" i="651"/>
  <c r="U449" i="651"/>
  <c r="U175" i="651"/>
  <c r="U195" i="651" s="1"/>
  <c r="W482" i="651"/>
  <c r="W226" i="651"/>
  <c r="W228" i="651" s="1"/>
  <c r="Y43" i="651"/>
  <c r="Y45" i="651" s="1"/>
  <c r="Y299" i="651"/>
  <c r="T490" i="651"/>
  <c r="T234" i="651"/>
  <c r="T236" i="651" s="1"/>
  <c r="U344" i="651"/>
  <c r="U88" i="651"/>
  <c r="U90" i="651" s="1"/>
  <c r="V440" i="651"/>
  <c r="V184" i="651"/>
  <c r="V186" i="651" s="1"/>
  <c r="V309" i="651"/>
  <c r="V53" i="651"/>
  <c r="V55" i="651" s="1"/>
  <c r="V392" i="651"/>
  <c r="V136" i="651"/>
  <c r="V138" i="651" s="1"/>
  <c r="V382" i="651"/>
  <c r="V126" i="651"/>
  <c r="V128" i="651" s="1"/>
  <c r="W344" i="651"/>
  <c r="W88" i="651"/>
  <c r="W90" i="651" s="1"/>
  <c r="U478" i="651"/>
  <c r="U222" i="651"/>
  <c r="U224" i="651" s="1"/>
  <c r="X387" i="651"/>
  <c r="X131" i="651"/>
  <c r="X133" i="651" s="1"/>
  <c r="Y294" i="651"/>
  <c r="Y38" i="651"/>
  <c r="Y40" i="651" s="1"/>
  <c r="Y189" i="651"/>
  <c r="Y191" i="651" s="1"/>
  <c r="Y445" i="651"/>
  <c r="Y304" i="651"/>
  <c r="Y48" i="651"/>
  <c r="Y50" i="651" s="1"/>
  <c r="T294" i="651"/>
  <c r="T38" i="651"/>
  <c r="T40" i="651" s="1"/>
  <c r="T226" i="651"/>
  <c r="T228" i="651" s="1"/>
  <c r="T482" i="651"/>
  <c r="U486" i="651"/>
  <c r="U230" i="651"/>
  <c r="U232" i="651" s="1"/>
  <c r="T83" i="651"/>
  <c r="T85" i="651" s="1"/>
  <c r="T339" i="651"/>
  <c r="X63" i="651"/>
  <c r="X65" i="651" s="1"/>
  <c r="X319" i="651"/>
  <c r="V48" i="651"/>
  <c r="V50" i="651" s="1"/>
  <c r="V304" i="651"/>
  <c r="X412" i="651"/>
  <c r="X156" i="651"/>
  <c r="X158" i="651" s="1"/>
  <c r="X226" i="651"/>
  <c r="X228" i="651" s="1"/>
  <c r="X482" i="651"/>
  <c r="T53" i="651"/>
  <c r="T55" i="651" s="1"/>
  <c r="T309" i="651"/>
  <c r="W58" i="651"/>
  <c r="W60" i="651" s="1"/>
  <c r="W314" i="651"/>
  <c r="V420" i="651"/>
  <c r="V417" i="651"/>
  <c r="V161" i="651"/>
  <c r="V506" i="651"/>
  <c r="V246" i="651"/>
  <c r="V502" i="651"/>
  <c r="V43" i="651"/>
  <c r="V45" i="651" s="1"/>
  <c r="V299" i="651"/>
  <c r="Y246" i="651"/>
  <c r="Y502" i="651"/>
  <c r="Y506" i="651"/>
  <c r="W387" i="651"/>
  <c r="W131" i="651"/>
  <c r="W133" i="651" s="1"/>
  <c r="X210" i="651"/>
  <c r="X212" i="651" s="1"/>
  <c r="X466" i="651"/>
  <c r="V146" i="651"/>
  <c r="V148" i="651" s="1"/>
  <c r="V402" i="651"/>
  <c r="X179" i="651"/>
  <c r="X181" i="651" s="1"/>
  <c r="X435" i="651"/>
  <c r="X238" i="651"/>
  <c r="X240" i="651" s="1"/>
  <c r="X494" i="651"/>
  <c r="V78" i="651"/>
  <c r="V80" i="651" s="1"/>
  <c r="V334" i="651"/>
  <c r="W299" i="651"/>
  <c r="W43" i="651"/>
  <c r="W45" i="651" s="1"/>
  <c r="W10" i="651"/>
  <c r="W13" i="651" s="1"/>
  <c r="W267" i="651"/>
  <c r="U161" i="651"/>
  <c r="U417" i="651"/>
  <c r="U420" i="651"/>
  <c r="U498" i="651"/>
  <c r="U242" i="651"/>
  <c r="U244" i="651" s="1"/>
  <c r="T354" i="651"/>
  <c r="T98" i="651"/>
  <c r="T100" i="651" s="1"/>
  <c r="V349" i="651"/>
  <c r="V93" i="651"/>
  <c r="V95" i="651" s="1"/>
  <c r="W162" i="651"/>
  <c r="W167" i="651" s="1"/>
  <c r="W421" i="651"/>
  <c r="V377" i="651"/>
  <c r="V121" i="651"/>
  <c r="V123" i="651" s="1"/>
  <c r="X324" i="651"/>
  <c r="X68" i="651"/>
  <c r="X70" i="651" s="1"/>
  <c r="V174" i="651"/>
  <c r="V448" i="651"/>
  <c r="V430" i="651"/>
  <c r="V23" i="651"/>
  <c r="V25" i="651" s="1"/>
  <c r="V279" i="651"/>
  <c r="T162" i="651"/>
  <c r="T167" i="651" s="1"/>
  <c r="T421" i="651"/>
  <c r="U377" i="651"/>
  <c r="U121" i="651"/>
  <c r="U123" i="651" s="1"/>
  <c r="W230" i="651"/>
  <c r="W232" i="651" s="1"/>
  <c r="W486" i="651"/>
  <c r="X407" i="651"/>
  <c r="X151" i="651"/>
  <c r="X153" i="651" s="1"/>
  <c r="V397" i="651"/>
  <c r="V141" i="651"/>
  <c r="V143" i="651" s="1"/>
  <c r="X175" i="651"/>
  <c r="X195" i="651" s="1"/>
  <c r="X449" i="651"/>
  <c r="W412" i="651"/>
  <c r="W156" i="651"/>
  <c r="W158" i="651" s="1"/>
  <c r="U324" i="651"/>
  <c r="U68" i="651"/>
  <c r="U70" i="651" s="1"/>
  <c r="X349" i="651"/>
  <c r="X93" i="651"/>
  <c r="X95" i="651" s="1"/>
  <c r="Y334" i="651"/>
  <c r="Y78" i="651"/>
  <c r="Y80" i="651" s="1"/>
  <c r="V218" i="651"/>
  <c r="V220" i="651" s="1"/>
  <c r="V474" i="651"/>
  <c r="U151" i="651"/>
  <c r="U153" i="651" s="1"/>
  <c r="U407" i="651"/>
  <c r="V28" i="651"/>
  <c r="V30" i="651" s="1"/>
  <c r="V284" i="651"/>
  <c r="U387" i="651"/>
  <c r="U131" i="651"/>
  <c r="U133" i="651" s="1"/>
  <c r="U402" i="651"/>
  <c r="U146" i="651"/>
  <c r="U148" i="651" s="1"/>
  <c r="X242" i="651"/>
  <c r="X244" i="651" s="1"/>
  <c r="X498" i="651"/>
  <c r="T218" i="651"/>
  <c r="T220" i="651" s="1"/>
  <c r="T474" i="651"/>
  <c r="V202" i="651"/>
  <c r="V204" i="651" s="1"/>
  <c r="V458" i="651"/>
  <c r="U226" i="651"/>
  <c r="U228" i="651" s="1"/>
  <c r="U482" i="651"/>
  <c r="T279" i="651"/>
  <c r="T23" i="651"/>
  <c r="T25" i="651" s="1"/>
  <c r="Y10" i="651"/>
  <c r="Y13" i="651" s="1"/>
  <c r="Y267" i="651"/>
  <c r="V234" i="651"/>
  <c r="V236" i="651" s="1"/>
  <c r="V490" i="651"/>
  <c r="W189" i="651"/>
  <c r="W191" i="651" s="1"/>
  <c r="W445" i="651"/>
  <c r="W218" i="651"/>
  <c r="W220" i="651" s="1"/>
  <c r="W474" i="651"/>
  <c r="U247" i="651"/>
  <c r="U253" i="651" s="1"/>
  <c r="U507" i="651"/>
  <c r="W294" i="651"/>
  <c r="W38" i="651"/>
  <c r="W40" i="651" s="1"/>
  <c r="U23" i="651"/>
  <c r="U25" i="651" s="1"/>
  <c r="U279" i="651"/>
  <c r="V324" i="651"/>
  <c r="V68" i="651"/>
  <c r="V70" i="651" s="1"/>
  <c r="Y397" i="651"/>
  <c r="Y141" i="651"/>
  <c r="Y143" i="651" s="1"/>
  <c r="T314" i="651"/>
  <c r="T58" i="651"/>
  <c r="T60" i="651" s="1"/>
  <c r="X98" i="651"/>
  <c r="X100" i="651" s="1"/>
  <c r="X354" i="651"/>
  <c r="Y430" i="651"/>
  <c r="Y174" i="651"/>
  <c r="Y448" i="651"/>
  <c r="W470" i="651"/>
  <c r="W214" i="651"/>
  <c r="W216" i="651" s="1"/>
  <c r="T10" i="651"/>
  <c r="T13" i="651" s="1"/>
  <c r="T267" i="651"/>
  <c r="X304" i="651"/>
  <c r="X48" i="651"/>
  <c r="X50" i="651" s="1"/>
  <c r="U184" i="651"/>
  <c r="U186" i="651" s="1"/>
  <c r="U440" i="651"/>
  <c r="Y162" i="651"/>
  <c r="Y167" i="651" s="1"/>
  <c r="Y421" i="651"/>
  <c r="T458" i="651"/>
  <c r="T202" i="651"/>
  <c r="T204" i="651" s="1"/>
  <c r="V63" i="651"/>
  <c r="V65" i="651" s="1"/>
  <c r="V319" i="651"/>
  <c r="V478" i="651"/>
  <c r="V222" i="651"/>
  <c r="V224" i="651" s="1"/>
  <c r="Y349" i="651"/>
  <c r="Y93" i="651"/>
  <c r="Y95" i="651" s="1"/>
  <c r="U179" i="651"/>
  <c r="U181" i="651" s="1"/>
  <c r="U435" i="651"/>
  <c r="W494" i="651"/>
  <c r="W238" i="651"/>
  <c r="W240" i="651" s="1"/>
  <c r="X73" i="651"/>
  <c r="X75" i="651" s="1"/>
  <c r="X329" i="651"/>
  <c r="X161" i="651"/>
  <c r="X417" i="651"/>
  <c r="X420" i="651"/>
  <c r="X490" i="651"/>
  <c r="X234" i="651"/>
  <c r="X236" i="651" s="1"/>
  <c r="T417" i="651"/>
  <c r="T420" i="651"/>
  <c r="T161" i="651"/>
  <c r="Y435" i="651"/>
  <c r="Y179" i="651"/>
  <c r="Y181" i="651" s="1"/>
  <c r="W329" i="651"/>
  <c r="W73" i="651"/>
  <c r="W75" i="651" s="1"/>
  <c r="Y226" i="651"/>
  <c r="Y228" i="651" s="1"/>
  <c r="Y482" i="651"/>
  <c r="W103" i="651"/>
  <c r="W105" i="651" s="1"/>
  <c r="W359" i="651"/>
  <c r="W68" i="651"/>
  <c r="W70" i="651" s="1"/>
  <c r="W324" i="651"/>
  <c r="X368" i="651"/>
  <c r="X19" i="651"/>
  <c r="T103" i="651"/>
  <c r="T105" i="651" s="1"/>
  <c r="T359" i="651"/>
  <c r="V364" i="651"/>
  <c r="V108" i="651"/>
  <c r="V110" i="651" s="1"/>
  <c r="Y98" i="651"/>
  <c r="Y100" i="651" s="1"/>
  <c r="Y354" i="651"/>
  <c r="W274" i="651"/>
  <c r="W18" i="651"/>
  <c r="W367" i="651"/>
  <c r="W242" i="651"/>
  <c r="W244" i="651" s="1"/>
  <c r="W498" i="651"/>
  <c r="V368" i="651"/>
  <c r="V19" i="651"/>
  <c r="U73" i="651"/>
  <c r="U75" i="651" s="1"/>
  <c r="U329" i="651"/>
  <c r="X334" i="651"/>
  <c r="X78" i="651"/>
  <c r="X80" i="651" s="1"/>
  <c r="X486" i="651"/>
  <c r="X230" i="651"/>
  <c r="X232" i="651" s="1"/>
  <c r="U93" i="651"/>
  <c r="U95" i="651" s="1"/>
  <c r="U349" i="651"/>
  <c r="Y367" i="651"/>
  <c r="Y274" i="651"/>
  <c r="Y18" i="651"/>
  <c r="V339" i="651"/>
  <c r="V83" i="651"/>
  <c r="V85" i="651" s="1"/>
  <c r="Y289" i="651"/>
  <c r="T368" i="651"/>
  <c r="T19" i="651"/>
  <c r="Y151" i="651"/>
  <c r="Y153" i="651" s="1"/>
  <c r="Y407" i="651"/>
  <c r="X294" i="651"/>
  <c r="X38" i="651"/>
  <c r="X40" i="651" s="1"/>
  <c r="Y359" i="651"/>
  <c r="Y103" i="651"/>
  <c r="Y105" i="651" s="1"/>
  <c r="T274" i="651"/>
  <c r="T18" i="651"/>
  <c r="T367" i="651"/>
  <c r="W175" i="651"/>
  <c r="W195" i="651" s="1"/>
  <c r="W449" i="651"/>
  <c r="W289" i="651"/>
  <c r="X10" i="651"/>
  <c r="X13" i="651" s="1"/>
  <c r="X267" i="651"/>
  <c r="U63" i="651"/>
  <c r="U65" i="651" s="1"/>
  <c r="U319" i="651"/>
  <c r="W83" i="651"/>
  <c r="W85" i="651" s="1"/>
  <c r="W339" i="651"/>
  <c r="V507" i="651"/>
  <c r="V247" i="651"/>
  <c r="V253" i="651" s="1"/>
  <c r="W507" i="651"/>
  <c r="W247" i="651"/>
  <c r="W253" i="651" s="1"/>
  <c r="T445" i="651"/>
  <c r="T189" i="651"/>
  <c r="T191" i="651" s="1"/>
  <c r="U470" i="651"/>
  <c r="U214" i="651"/>
  <c r="U216" i="651" s="1"/>
  <c r="U294" i="651"/>
  <c r="U38" i="651"/>
  <c r="U40" i="651" s="1"/>
  <c r="X502" i="651"/>
  <c r="X246" i="651"/>
  <c r="X506" i="651"/>
  <c r="V445" i="651"/>
  <c r="V189" i="651"/>
  <c r="V191" i="651" s="1"/>
  <c r="W309" i="651"/>
  <c r="W53" i="651"/>
  <c r="W55" i="651" s="1"/>
  <c r="W19" i="651"/>
  <c r="W368" i="651"/>
  <c r="U397" i="651"/>
  <c r="U141" i="651"/>
  <c r="U143" i="651" s="1"/>
  <c r="Y478" i="651"/>
  <c r="Y222" i="651"/>
  <c r="Y224" i="651" s="1"/>
  <c r="X202" i="651"/>
  <c r="X204" i="651" s="1"/>
  <c r="X458" i="651"/>
  <c r="X289" i="651"/>
  <c r="U162" i="651"/>
  <c r="U167" i="651" s="1"/>
  <c r="U421" i="651"/>
  <c r="U234" i="651"/>
  <c r="U236" i="651" s="1"/>
  <c r="U490" i="651"/>
  <c r="X440" i="651"/>
  <c r="X184" i="651"/>
  <c r="X186" i="651" s="1"/>
  <c r="Y440" i="651"/>
  <c r="Y184" i="651"/>
  <c r="Y186" i="651" s="1"/>
  <c r="W63" i="651"/>
  <c r="W65" i="651" s="1"/>
  <c r="W319" i="651"/>
  <c r="W78" i="651"/>
  <c r="W80" i="651" s="1"/>
  <c r="W334" i="651"/>
  <c r="X103" i="651"/>
  <c r="X105" i="651" s="1"/>
  <c r="X359" i="651"/>
  <c r="T440" i="651"/>
  <c r="T184" i="651"/>
  <c r="T186" i="651" s="1"/>
  <c r="X136" i="651"/>
  <c r="X138" i="651" s="1"/>
  <c r="X392" i="651"/>
  <c r="T412" i="651"/>
  <c r="T156" i="651"/>
  <c r="T158" i="651" s="1"/>
  <c r="T174" i="651"/>
  <c r="T448" i="651"/>
  <c r="T430" i="651"/>
  <c r="U304" i="651"/>
  <c r="U48" i="651"/>
  <c r="U50" i="651" s="1"/>
  <c r="U392" i="651"/>
  <c r="U136" i="651"/>
  <c r="U138" i="651" s="1"/>
  <c r="Y136" i="651"/>
  <c r="Y138" i="651" s="1"/>
  <c r="Y392" i="651"/>
  <c r="X247" i="651"/>
  <c r="X253" i="651" s="1"/>
  <c r="X507" i="651"/>
  <c r="Y234" i="651"/>
  <c r="Y236" i="651" s="1"/>
  <c r="Y490" i="651"/>
  <c r="V58" i="651"/>
  <c r="V60" i="651" s="1"/>
  <c r="V314" i="651"/>
  <c r="Y387" i="651"/>
  <c r="Y131" i="651"/>
  <c r="Y133" i="651" s="1"/>
  <c r="V210" i="651"/>
  <c r="V212" i="651" s="1"/>
  <c r="V466" i="651"/>
  <c r="U299" i="651"/>
  <c r="U43" i="651"/>
  <c r="U45" i="651" s="1"/>
  <c r="U445" i="651"/>
  <c r="U189" i="651"/>
  <c r="U191" i="651" s="1"/>
  <c r="T78" i="651"/>
  <c r="T80" i="651" s="1"/>
  <c r="T334" i="651"/>
  <c r="X146" i="651"/>
  <c r="X148" i="651" s="1"/>
  <c r="X402" i="651"/>
  <c r="U210" i="651"/>
  <c r="U212" i="651" s="1"/>
  <c r="U466" i="651"/>
  <c r="V486" i="651"/>
  <c r="V230" i="651"/>
  <c r="V232" i="651" s="1"/>
  <c r="T289" i="651"/>
  <c r="T242" i="651"/>
  <c r="T244" i="651" s="1"/>
  <c r="T498" i="651"/>
  <c r="X162" i="651"/>
  <c r="X167" i="651" s="1"/>
  <c r="X421" i="651"/>
  <c r="Y210" i="651"/>
  <c r="Y212" i="651" s="1"/>
  <c r="Y466" i="651"/>
  <c r="T494" i="651"/>
  <c r="T238" i="651"/>
  <c r="T240" i="651" s="1"/>
  <c r="U367" i="651"/>
  <c r="U18" i="651"/>
  <c r="U274" i="651"/>
  <c r="Y474" i="651"/>
  <c r="Y218" i="651"/>
  <c r="Y220" i="651" s="1"/>
  <c r="W246" i="651"/>
  <c r="W502" i="651"/>
  <c r="W506" i="651"/>
  <c r="Y108" i="651"/>
  <c r="Y110" i="651" s="1"/>
  <c r="Y364" i="651"/>
  <c r="Y206" i="651"/>
  <c r="Y208" i="651" s="1"/>
  <c r="Y462" i="651"/>
  <c r="V482" i="651"/>
  <c r="V226" i="651"/>
  <c r="V228" i="651" s="1"/>
  <c r="U78" i="651"/>
  <c r="U80" i="651" s="1"/>
  <c r="U334" i="651"/>
  <c r="X478" i="651"/>
  <c r="X222" i="651"/>
  <c r="X224" i="651" s="1"/>
  <c r="W174" i="651"/>
  <c r="W448" i="651"/>
  <c r="W430" i="651"/>
  <c r="Y314" i="651"/>
  <c r="Y58" i="651"/>
  <c r="Y60" i="651" s="1"/>
  <c r="V435" i="651"/>
  <c r="V179" i="651"/>
  <c r="V181" i="651" s="1"/>
  <c r="X206" i="651"/>
  <c r="X208" i="651" s="1"/>
  <c r="X462" i="651"/>
  <c r="Y344" i="651"/>
  <c r="Y88" i="651"/>
  <c r="Y90" i="651" s="1"/>
  <c r="U462" i="651"/>
  <c r="U206" i="651"/>
  <c r="U208" i="651" s="1"/>
  <c r="X299" i="651"/>
  <c r="X43" i="651"/>
  <c r="X45" i="651" s="1"/>
  <c r="X23" i="651"/>
  <c r="X25" i="651" s="1"/>
  <c r="X279" i="651"/>
  <c r="T402" i="651"/>
  <c r="T146" i="651"/>
  <c r="T148" i="651" s="1"/>
  <c r="W179" i="651"/>
  <c r="W181" i="651" s="1"/>
  <c r="W435" i="651"/>
  <c r="W458" i="651"/>
  <c r="W202" i="651"/>
  <c r="W204" i="651" s="1"/>
  <c r="W377" i="651"/>
  <c r="W121" i="651"/>
  <c r="W123" i="651" s="1"/>
  <c r="W490" i="651"/>
  <c r="W234" i="651"/>
  <c r="W236" i="651" s="1"/>
  <c r="Y161" i="651"/>
  <c r="Y420" i="651"/>
  <c r="Y417" i="651"/>
  <c r="Y230" i="651"/>
  <c r="Y232" i="651" s="1"/>
  <c r="Y486" i="651"/>
  <c r="X382" i="651"/>
  <c r="X126" i="651"/>
  <c r="X128" i="651" s="1"/>
  <c r="V294" i="651"/>
  <c r="V38" i="651"/>
  <c r="V40" i="651" s="1"/>
  <c r="T63" i="651"/>
  <c r="T65" i="651" s="1"/>
  <c r="T319" i="651"/>
  <c r="V175" i="651"/>
  <c r="V195" i="651" s="1"/>
  <c r="V449" i="651"/>
  <c r="T210" i="651"/>
  <c r="T212" i="651" s="1"/>
  <c r="T466" i="651"/>
  <c r="U156" i="651"/>
  <c r="U158" i="651" s="1"/>
  <c r="U412" i="651"/>
  <c r="W462" i="651"/>
  <c r="W206" i="651"/>
  <c r="W208" i="651" s="1"/>
  <c r="U309" i="651"/>
  <c r="U53" i="651"/>
  <c r="U55" i="651" s="1"/>
  <c r="Y146" i="651"/>
  <c r="Y148" i="651" s="1"/>
  <c r="Y402" i="651"/>
  <c r="Y121" i="651"/>
  <c r="Y123" i="651" s="1"/>
  <c r="Y377" i="651"/>
  <c r="X339" i="651"/>
  <c r="X83" i="651"/>
  <c r="X85" i="651" s="1"/>
  <c r="U19" i="651"/>
  <c r="U368" i="651"/>
  <c r="X367" i="651"/>
  <c r="X274" i="651"/>
  <c r="X18" i="651"/>
  <c r="V498" i="651"/>
  <c r="V242" i="651"/>
  <c r="V244" i="651" s="1"/>
  <c r="W210" i="651"/>
  <c r="W212" i="651" s="1"/>
  <c r="W466" i="651"/>
  <c r="U98" i="651"/>
  <c r="U100" i="651" s="1"/>
  <c r="U354" i="651"/>
  <c r="T502" i="651"/>
  <c r="T506" i="651"/>
  <c r="T246" i="651"/>
  <c r="U28" i="651"/>
  <c r="U30" i="651" s="1"/>
  <c r="U284" i="651"/>
  <c r="X377" i="651"/>
  <c r="X121" i="651"/>
  <c r="X123" i="651" s="1"/>
  <c r="U218" i="651"/>
  <c r="U220" i="651" s="1"/>
  <c r="U474" i="651"/>
  <c r="Y28" i="651"/>
  <c r="Y30" i="651" s="1"/>
  <c r="Y284" i="651"/>
  <c r="Y68" i="651"/>
  <c r="Y70" i="651" s="1"/>
  <c r="Y324" i="651"/>
  <c r="T247" i="651"/>
  <c r="T253" i="651" s="1"/>
  <c r="T507" i="651"/>
  <c r="V18" i="651"/>
  <c r="V274" i="651"/>
  <c r="V367" i="651"/>
  <c r="V103" i="651"/>
  <c r="V105" i="651" s="1"/>
  <c r="V359" i="651"/>
  <c r="V10" i="651"/>
  <c r="V13" i="651" s="1"/>
  <c r="V267" i="651"/>
  <c r="T349" i="651"/>
  <c r="T93" i="651"/>
  <c r="T95" i="651" s="1"/>
  <c r="X470" i="651"/>
  <c r="X214" i="651"/>
  <c r="X216" i="651" s="1"/>
  <c r="T478" i="651"/>
  <c r="T222" i="651"/>
  <c r="T224" i="651" s="1"/>
  <c r="X189" i="651"/>
  <c r="X191" i="651" s="1"/>
  <c r="X445" i="651"/>
  <c r="V206" i="651"/>
  <c r="V208" i="651" s="1"/>
  <c r="V462" i="651"/>
  <c r="T126" i="651"/>
  <c r="T128" i="651" s="1"/>
  <c r="T382" i="651"/>
  <c r="V354" i="651"/>
  <c r="V98" i="651"/>
  <c r="V100" i="651" s="1"/>
  <c r="T48" i="651"/>
  <c r="T50" i="651" s="1"/>
  <c r="T304" i="651"/>
  <c r="X108" i="651"/>
  <c r="X110" i="651" s="1"/>
  <c r="X364" i="651"/>
  <c r="T214" i="651"/>
  <c r="T216" i="651" s="1"/>
  <c r="T470" i="651"/>
  <c r="V494" i="651"/>
  <c r="V238" i="651"/>
  <c r="V240" i="651" s="1"/>
  <c r="U103" i="651"/>
  <c r="U105" i="651" s="1"/>
  <c r="U359" i="651"/>
  <c r="Y470" i="651"/>
  <c r="Y214" i="651"/>
  <c r="Y216" i="651" s="1"/>
  <c r="T43" i="651"/>
  <c r="T45" i="651" s="1"/>
  <c r="T299" i="651"/>
  <c r="W136" i="651"/>
  <c r="W138" i="651" s="1"/>
  <c r="W392" i="651"/>
  <c r="T449" i="651"/>
  <c r="T175" i="651"/>
  <c r="T195" i="651" s="1"/>
  <c r="W407" i="651"/>
  <c r="W151" i="651"/>
  <c r="W153" i="651" s="1"/>
  <c r="Y202" i="651"/>
  <c r="Y204" i="651" s="1"/>
  <c r="Y458" i="651"/>
  <c r="W382" i="651"/>
  <c r="W126" i="651"/>
  <c r="W128" i="651" s="1"/>
  <c r="W28" i="651"/>
  <c r="W30" i="651" s="1"/>
  <c r="W284" i="651"/>
  <c r="T28" i="651"/>
  <c r="T30" i="651" s="1"/>
  <c r="T284" i="651"/>
  <c r="W184" i="651"/>
  <c r="W186" i="651" s="1"/>
  <c r="W440" i="651"/>
  <c r="X218" i="651"/>
  <c r="X220" i="651" s="1"/>
  <c r="X474" i="651"/>
  <c r="T435" i="651"/>
  <c r="T179" i="651"/>
  <c r="T181" i="651" s="1"/>
  <c r="V329" i="651"/>
  <c r="V73" i="651"/>
  <c r="V75" i="651" s="1"/>
  <c r="X174" i="651"/>
  <c r="X448" i="651"/>
  <c r="X430" i="651"/>
  <c r="Y449" i="651"/>
  <c r="Y175" i="651"/>
  <c r="Y195" i="651" s="1"/>
  <c r="U83" i="651"/>
  <c r="U85" i="651" s="1"/>
  <c r="U339" i="651"/>
  <c r="U174" i="651"/>
  <c r="U448" i="651"/>
  <c r="U430" i="651"/>
  <c r="Y238" i="651"/>
  <c r="Y240" i="651" s="1"/>
  <c r="Y494" i="651"/>
  <c r="T68" i="651"/>
  <c r="T70" i="651" s="1"/>
  <c r="T324" i="651"/>
  <c r="T462" i="651"/>
  <c r="T206" i="651"/>
  <c r="T208" i="651" s="1"/>
  <c r="V407" i="651"/>
  <c r="V151" i="651"/>
  <c r="V153" i="651" s="1"/>
  <c r="T141" i="651"/>
  <c r="T143" i="651" s="1"/>
  <c r="T397" i="651"/>
  <c r="U289" i="651"/>
  <c r="W364" i="651"/>
  <c r="W108" i="651"/>
  <c r="W110" i="651" s="1"/>
  <c r="Y53" i="651"/>
  <c r="Y55" i="651" s="1"/>
  <c r="Y309" i="651"/>
  <c r="T392" i="651"/>
  <c r="T136" i="651"/>
  <c r="T138" i="651" s="1"/>
  <c r="V156" i="651"/>
  <c r="V158" i="651" s="1"/>
  <c r="V412" i="651"/>
  <c r="I399" i="139"/>
  <c r="T505" i="651" l="1"/>
  <c r="V451" i="651"/>
  <c r="X505" i="651"/>
  <c r="U505" i="651"/>
  <c r="V505" i="651"/>
  <c r="T451" i="651"/>
  <c r="T423" i="651"/>
  <c r="Y505" i="651"/>
  <c r="W505" i="651"/>
  <c r="T252" i="651"/>
  <c r="T248" i="651"/>
  <c r="T251" i="651" s="1"/>
  <c r="U194" i="651"/>
  <c r="U176" i="651"/>
  <c r="U197" i="651" s="1"/>
  <c r="W423" i="651"/>
  <c r="T20" i="651"/>
  <c r="W194" i="651"/>
  <c r="W176" i="651"/>
  <c r="W197" i="651" s="1"/>
  <c r="U370" i="651"/>
  <c r="X252" i="651"/>
  <c r="X248" i="651"/>
  <c r="X251" i="651" s="1"/>
  <c r="T370" i="651"/>
  <c r="X163" i="651"/>
  <c r="X169" i="651" s="1"/>
  <c r="X166" i="651"/>
  <c r="V423" i="651"/>
  <c r="Y248" i="651"/>
  <c r="Y251" i="651" s="1"/>
  <c r="Y252" i="651"/>
  <c r="V370" i="651"/>
  <c r="T194" i="651"/>
  <c r="T176" i="651"/>
  <c r="T197" i="651" s="1"/>
  <c r="Y176" i="651"/>
  <c r="Y197" i="651" s="1"/>
  <c r="Y194" i="651"/>
  <c r="V194" i="651"/>
  <c r="V176" i="651"/>
  <c r="V197" i="651" s="1"/>
  <c r="U163" i="651"/>
  <c r="U169" i="651" s="1"/>
  <c r="U166" i="651"/>
  <c r="V248" i="651"/>
  <c r="V251" i="651" s="1"/>
  <c r="V252" i="651"/>
  <c r="U248" i="651"/>
  <c r="U251" i="651" s="1"/>
  <c r="U252" i="651"/>
  <c r="V20" i="651"/>
  <c r="X20" i="651"/>
  <c r="Y423" i="651"/>
  <c r="Y166" i="651"/>
  <c r="Y163" i="651"/>
  <c r="Y169" i="651" s="1"/>
  <c r="X370" i="651"/>
  <c r="U451" i="651"/>
  <c r="W248" i="651"/>
  <c r="W251" i="651" s="1"/>
  <c r="W252" i="651"/>
  <c r="Y20" i="651"/>
  <c r="W20" i="651"/>
  <c r="Y451" i="651"/>
  <c r="U423" i="651"/>
  <c r="W166" i="651"/>
  <c r="W163" i="651"/>
  <c r="W169" i="651" s="1"/>
  <c r="U20" i="651"/>
  <c r="T163" i="651"/>
  <c r="T169" i="651" s="1"/>
  <c r="T166" i="651"/>
  <c r="X451" i="651"/>
  <c r="X176" i="651"/>
  <c r="X197" i="651" s="1"/>
  <c r="X194" i="651"/>
  <c r="X423" i="651"/>
  <c r="W451" i="651"/>
  <c r="Y370" i="651"/>
  <c r="W370" i="651"/>
  <c r="V163" i="651"/>
  <c r="V169" i="651" s="1"/>
  <c r="V166" i="651"/>
  <c r="H399" i="139"/>
  <c r="H423" i="139"/>
  <c r="I423" i="139" s="1"/>
  <c r="H421" i="139"/>
  <c r="I421" i="139" s="1"/>
  <c r="H415" i="139"/>
  <c r="I415" i="139" s="1"/>
  <c r="H413" i="139"/>
  <c r="I413" i="139" s="1"/>
  <c r="H411" i="139"/>
  <c r="I411" i="139" s="1"/>
  <c r="X508" i="651" l="1"/>
  <c r="T508" i="651"/>
  <c r="W508" i="651"/>
  <c r="U508" i="651"/>
  <c r="Y508" i="651"/>
  <c r="V508" i="651"/>
  <c r="H409" i="139"/>
  <c r="I409" i="139"/>
  <c r="I425" i="139" s="1"/>
  <c r="AI157" i="650" l="1"/>
  <c r="P32" i="652" l="1"/>
  <c r="P29" i="652"/>
  <c r="P27" i="652"/>
  <c r="P26" i="652"/>
  <c r="P25" i="652"/>
  <c r="P20" i="652"/>
  <c r="P19" i="652"/>
  <c r="P18" i="652"/>
  <c r="P17" i="652"/>
  <c r="P16" i="652"/>
  <c r="J37" i="652" l="1"/>
  <c r="J9" i="42"/>
  <c r="I9" i="42"/>
  <c r="D11" i="595"/>
  <c r="C11" i="595"/>
  <c r="Q33" i="652" l="1"/>
  <c r="L80" i="652"/>
  <c r="Q32" i="652" s="1"/>
  <c r="L78" i="652"/>
  <c r="Q29" i="652" s="1"/>
  <c r="L77" i="652"/>
  <c r="K32" i="652"/>
  <c r="K30" i="652"/>
  <c r="K29" i="652"/>
  <c r="Q26" i="652" l="1"/>
  <c r="L82" i="652"/>
  <c r="K26" i="652"/>
  <c r="G505" i="651"/>
  <c r="I33" i="647" l="1"/>
  <c r="H33" i="647"/>
  <c r="H37" i="652"/>
  <c r="Q48" i="652"/>
  <c r="K27" i="652" l="1"/>
  <c r="K25" i="652"/>
  <c r="K24" i="652"/>
  <c r="K23" i="652"/>
  <c r="K22" i="652"/>
  <c r="K21" i="652"/>
  <c r="K20" i="652"/>
  <c r="K19" i="652"/>
  <c r="K18" i="652"/>
  <c r="K17" i="652"/>
  <c r="S158" i="647"/>
  <c r="S159" i="647"/>
  <c r="S160" i="647"/>
  <c r="S161" i="647"/>
  <c r="S162" i="647"/>
  <c r="S163" i="647"/>
  <c r="S164" i="647"/>
  <c r="S165" i="647"/>
  <c r="S166" i="647"/>
  <c r="S167" i="647"/>
  <c r="S169" i="647"/>
  <c r="Q18" i="652" l="1"/>
  <c r="Q22" i="652"/>
  <c r="Q23" i="652"/>
  <c r="Q17" i="652"/>
  <c r="Q24" i="652"/>
  <c r="Q19" i="652"/>
  <c r="Q20" i="652"/>
  <c r="Q25" i="652"/>
  <c r="Q27" i="652"/>
  <c r="Q21" i="652"/>
  <c r="Q16" i="652" l="1"/>
  <c r="G24" i="647"/>
  <c r="T169" i="647"/>
  <c r="T159" i="647"/>
  <c r="T160" i="647"/>
  <c r="T161" i="647"/>
  <c r="T162" i="647"/>
  <c r="T163" i="647"/>
  <c r="T164" i="647"/>
  <c r="T165" i="647"/>
  <c r="T166" i="647"/>
  <c r="T167" i="647"/>
  <c r="F29" i="647"/>
  <c r="F28" i="647"/>
  <c r="A8" i="647"/>
  <c r="A9" i="647" s="1"/>
  <c r="A10" i="647" s="1"/>
  <c r="A11" i="647" s="1"/>
  <c r="A12" i="647" s="1"/>
  <c r="A13" i="647" s="1"/>
  <c r="A14" i="647" s="1"/>
  <c r="A15" i="647" s="1"/>
  <c r="A16" i="647" s="1"/>
  <c r="A18" i="647" s="1"/>
  <c r="A20" i="647" s="1"/>
  <c r="AV542" i="651"/>
  <c r="AV541" i="651"/>
  <c r="AU542" i="651"/>
  <c r="AU541" i="651"/>
  <c r="V542" i="651" l="1"/>
  <c r="W542" i="651"/>
  <c r="X542" i="651"/>
  <c r="U542" i="651"/>
  <c r="Y542" i="651"/>
  <c r="T542" i="651"/>
  <c r="W541" i="651"/>
  <c r="U541" i="651"/>
  <c r="Y541" i="651"/>
  <c r="V541" i="651"/>
  <c r="X541" i="651"/>
  <c r="T541" i="651"/>
  <c r="M29" i="652"/>
  <c r="M28" i="652"/>
  <c r="R761" i="651"/>
  <c r="Q761" i="651"/>
  <c r="P761" i="651"/>
  <c r="O761" i="651"/>
  <c r="N761" i="651"/>
  <c r="M761" i="651"/>
  <c r="L761" i="651"/>
  <c r="K761" i="651"/>
  <c r="J761" i="651"/>
  <c r="I761" i="651"/>
  <c r="H761" i="651"/>
  <c r="G761" i="651"/>
  <c r="R760" i="651"/>
  <c r="Q760" i="651"/>
  <c r="P760" i="651"/>
  <c r="O760" i="651"/>
  <c r="N760" i="651"/>
  <c r="M760" i="651"/>
  <c r="L760" i="651"/>
  <c r="K760" i="651"/>
  <c r="J760" i="651"/>
  <c r="I760" i="651"/>
  <c r="H760" i="651"/>
  <c r="G760" i="651"/>
  <c r="R759" i="651"/>
  <c r="Q759" i="651"/>
  <c r="P759" i="651"/>
  <c r="O759" i="651"/>
  <c r="N759" i="651"/>
  <c r="M759" i="651"/>
  <c r="L759" i="651"/>
  <c r="K759" i="651"/>
  <c r="J759" i="651"/>
  <c r="I759" i="651"/>
  <c r="H759" i="651"/>
  <c r="G759" i="651"/>
  <c r="U543" i="651" l="1"/>
  <c r="U624" i="651" s="1"/>
  <c r="U762" i="651" s="1"/>
  <c r="U621" i="651"/>
  <c r="U33" i="651"/>
  <c r="W543" i="651"/>
  <c r="W624" i="651" s="1"/>
  <c r="W762" i="651" s="1"/>
  <c r="W621" i="651"/>
  <c r="W33" i="651"/>
  <c r="T622" i="651"/>
  <c r="T34" i="651"/>
  <c r="T114" i="651" s="1"/>
  <c r="Y622" i="651"/>
  <c r="Y34" i="651"/>
  <c r="Y114" i="651" s="1"/>
  <c r="T543" i="651"/>
  <c r="T624" i="651" s="1"/>
  <c r="T762" i="651" s="1"/>
  <c r="T621" i="651"/>
  <c r="T33" i="651"/>
  <c r="X622" i="651"/>
  <c r="X34" i="651"/>
  <c r="X114" i="651" s="1"/>
  <c r="V543" i="651"/>
  <c r="V624" i="651" s="1"/>
  <c r="V762" i="651" s="1"/>
  <c r="V621" i="651"/>
  <c r="V33" i="651"/>
  <c r="W622" i="651"/>
  <c r="W34" i="651"/>
  <c r="W114" i="651" s="1"/>
  <c r="U622" i="651"/>
  <c r="U34" i="651"/>
  <c r="U114" i="651" s="1"/>
  <c r="X543" i="651"/>
  <c r="X624" i="651" s="1"/>
  <c r="X762" i="651" s="1"/>
  <c r="X621" i="651"/>
  <c r="X33" i="651"/>
  <c r="Y543" i="651"/>
  <c r="Y624" i="651" s="1"/>
  <c r="Y762" i="651" s="1"/>
  <c r="Y621" i="651"/>
  <c r="Y33" i="651"/>
  <c r="V622" i="651"/>
  <c r="V34" i="651"/>
  <c r="V114" i="651" s="1"/>
  <c r="L762" i="651"/>
  <c r="K762" i="651"/>
  <c r="M762" i="651"/>
  <c r="N762" i="651"/>
  <c r="P762" i="651"/>
  <c r="Q762" i="651"/>
  <c r="H762" i="651"/>
  <c r="I762" i="651"/>
  <c r="G762" i="651"/>
  <c r="O762" i="651"/>
  <c r="J762" i="651"/>
  <c r="R762" i="651"/>
  <c r="O506" i="651"/>
  <c r="P505" i="651"/>
  <c r="N506" i="651"/>
  <c r="Q505" i="651"/>
  <c r="P506" i="651"/>
  <c r="P507" i="651"/>
  <c r="R505" i="651"/>
  <c r="O507" i="651"/>
  <c r="R506" i="651"/>
  <c r="R507" i="651"/>
  <c r="O505" i="651"/>
  <c r="N507" i="651"/>
  <c r="Q507" i="651"/>
  <c r="N505" i="651"/>
  <c r="Q506" i="651"/>
  <c r="W35" i="651" l="1"/>
  <c r="W116" i="651" s="1"/>
  <c r="W254" i="651" s="1"/>
  <c r="W113" i="651"/>
  <c r="T35" i="651"/>
  <c r="T116" i="651" s="1"/>
  <c r="T254" i="651" s="1"/>
  <c r="T113" i="651"/>
  <c r="Y35" i="651"/>
  <c r="Y116" i="651" s="1"/>
  <c r="Y254" i="651" s="1"/>
  <c r="Y113" i="651"/>
  <c r="U35" i="651"/>
  <c r="U116" i="651" s="1"/>
  <c r="U254" i="651" s="1"/>
  <c r="U113" i="651"/>
  <c r="V35" i="651"/>
  <c r="V116" i="651" s="1"/>
  <c r="V254" i="651" s="1"/>
  <c r="V113" i="651"/>
  <c r="X35" i="651"/>
  <c r="X116" i="651" s="1"/>
  <c r="X254" i="651" s="1"/>
  <c r="X113" i="651"/>
  <c r="P508" i="651"/>
  <c r="O508" i="651"/>
  <c r="Q508" i="651"/>
  <c r="R508" i="651"/>
  <c r="N508" i="651"/>
  <c r="T18" i="12" l="1"/>
  <c r="S18" i="12"/>
  <c r="R18" i="12"/>
  <c r="Q18" i="12"/>
  <c r="P18" i="12"/>
  <c r="O18" i="12"/>
  <c r="N18" i="12"/>
  <c r="L16" i="12"/>
  <c r="H350" i="15" l="1"/>
  <c r="H349" i="15"/>
  <c r="H357" i="15" s="1"/>
  <c r="H346" i="15"/>
  <c r="H342" i="15"/>
  <c r="H340" i="15"/>
  <c r="H337" i="15"/>
  <c r="H333" i="15"/>
  <c r="H320" i="15"/>
  <c r="H297" i="15"/>
  <c r="H296" i="15"/>
  <c r="H292" i="15"/>
  <c r="H290" i="15"/>
  <c r="H288" i="15"/>
  <c r="H287" i="15"/>
  <c r="H285" i="15"/>
  <c r="H283" i="15"/>
  <c r="H272" i="15"/>
  <c r="H270" i="15"/>
  <c r="H269" i="15"/>
  <c r="H265" i="15"/>
  <c r="H235" i="15"/>
  <c r="H234" i="15"/>
  <c r="H233" i="15"/>
  <c r="H231" i="15"/>
  <c r="H230" i="15"/>
  <c r="H229" i="15"/>
  <c r="H228" i="15"/>
  <c r="H227" i="15"/>
  <c r="H225" i="15"/>
  <c r="H223" i="15"/>
  <c r="H222" i="15"/>
  <c r="H220" i="15"/>
  <c r="H218" i="15"/>
  <c r="H216" i="15"/>
  <c r="H214" i="15"/>
  <c r="H213" i="15"/>
  <c r="H211" i="15"/>
  <c r="H209" i="15"/>
  <c r="H196" i="15"/>
  <c r="H195" i="15"/>
  <c r="H193" i="15"/>
  <c r="H191" i="15"/>
  <c r="H190" i="15"/>
  <c r="H188" i="15"/>
  <c r="H186" i="15"/>
  <c r="H184" i="15"/>
  <c r="H182" i="15"/>
  <c r="H181" i="15"/>
  <c r="H179" i="15"/>
  <c r="H177" i="15"/>
  <c r="H175" i="15"/>
  <c r="H173" i="15"/>
  <c r="H172" i="15"/>
  <c r="H170" i="15"/>
  <c r="H168" i="15"/>
  <c r="H157" i="15"/>
  <c r="H155" i="15"/>
  <c r="H154" i="15"/>
  <c r="H152" i="15"/>
  <c r="H150" i="15"/>
  <c r="H139" i="15"/>
  <c r="H137" i="15"/>
  <c r="H136" i="15"/>
  <c r="H134" i="15"/>
  <c r="H132" i="15"/>
  <c r="H121" i="15"/>
  <c r="H119" i="15"/>
  <c r="H118" i="15"/>
  <c r="H116" i="15"/>
  <c r="H114" i="15"/>
  <c r="H112" i="15"/>
  <c r="H110" i="15"/>
  <c r="H109" i="15"/>
  <c r="H107" i="15"/>
  <c r="H105" i="15"/>
  <c r="H94" i="15"/>
  <c r="H92" i="15"/>
  <c r="H91" i="15"/>
  <c r="H89" i="15"/>
  <c r="H87" i="15"/>
  <c r="H85" i="15"/>
  <c r="H83" i="15"/>
  <c r="H82" i="15"/>
  <c r="H80" i="15"/>
  <c r="H78" i="15"/>
  <c r="H76" i="15"/>
  <c r="H74" i="15"/>
  <c r="H73" i="15"/>
  <c r="H71" i="15"/>
  <c r="H69" i="15"/>
  <c r="H58" i="15"/>
  <c r="H56" i="15"/>
  <c r="H55" i="15"/>
  <c r="H54" i="15"/>
  <c r="H53" i="15"/>
  <c r="H52" i="15"/>
  <c r="H51" i="15"/>
  <c r="H40" i="15"/>
  <c r="H38" i="15"/>
  <c r="H37" i="15"/>
  <c r="H35" i="15"/>
  <c r="H33" i="15"/>
  <c r="H31" i="15"/>
  <c r="H29" i="15"/>
  <c r="H28" i="15"/>
  <c r="H26" i="15"/>
  <c r="H24" i="15"/>
  <c r="H353" i="15"/>
  <c r="T483" i="663"/>
  <c r="T464" i="663"/>
  <c r="T461" i="663"/>
  <c r="T460" i="663"/>
  <c r="T459" i="663"/>
  <c r="T415" i="663"/>
  <c r="T396" i="663"/>
  <c r="T393" i="663"/>
  <c r="T392" i="663"/>
  <c r="T391" i="663"/>
  <c r="AB59" i="663"/>
  <c r="AC52" i="663"/>
  <c r="AB52" i="663"/>
  <c r="AA52" i="663"/>
  <c r="Z52" i="663"/>
  <c r="Y52" i="663"/>
  <c r="X52" i="663"/>
  <c r="AA47" i="663"/>
  <c r="AD47" i="663" s="1"/>
  <c r="AB44" i="663"/>
  <c r="AC33" i="663"/>
  <c r="AB33" i="663"/>
  <c r="AA33" i="663"/>
  <c r="Z33" i="663"/>
  <c r="Y33" i="663"/>
  <c r="X33" i="663"/>
  <c r="AC32" i="663"/>
  <c r="AC30" i="663"/>
  <c r="AB30" i="663"/>
  <c r="AA30" i="663"/>
  <c r="Z30" i="663"/>
  <c r="Y30" i="663"/>
  <c r="X30" i="663"/>
  <c r="AC29" i="663"/>
  <c r="AB29" i="663"/>
  <c r="AA29" i="663"/>
  <c r="Z29" i="663"/>
  <c r="Y29" i="663"/>
  <c r="X29" i="663"/>
  <c r="AC28" i="663"/>
  <c r="AB28" i="663"/>
  <c r="AA28" i="663"/>
  <c r="Z28" i="663"/>
  <c r="Y28" i="663"/>
  <c r="X28" i="663"/>
  <c r="AA23" i="663"/>
  <c r="AD23" i="663" s="1"/>
  <c r="AA22" i="663"/>
  <c r="AD22" i="663" s="1"/>
  <c r="H338" i="15" l="1"/>
  <c r="H347" i="15"/>
  <c r="AD52" i="663"/>
  <c r="AA24" i="663"/>
  <c r="AD33" i="663"/>
  <c r="X27" i="663"/>
  <c r="T390" i="663"/>
  <c r="T382" i="663"/>
  <c r="T383" i="663" s="1"/>
  <c r="X19" i="663"/>
  <c r="X20" i="663" s="1"/>
  <c r="X58" i="663"/>
  <c r="T421" i="663"/>
  <c r="X14" i="663"/>
  <c r="T377" i="663"/>
  <c r="T376" i="663"/>
  <c r="X13" i="663"/>
  <c r="X31" i="663"/>
  <c r="T394" i="663"/>
  <c r="T404" i="663"/>
  <c r="X41" i="663"/>
  <c r="X15" i="663"/>
  <c r="T378" i="663"/>
  <c r="T395" i="663"/>
  <c r="X32" i="663"/>
  <c r="T416" i="663"/>
  <c r="T417" i="663" s="1"/>
  <c r="X53" i="663"/>
  <c r="X54" i="663" s="1"/>
  <c r="X42" i="663"/>
  <c r="T405" i="663"/>
  <c r="X57" i="663"/>
  <c r="T420" i="663"/>
  <c r="X43" i="663"/>
  <c r="T406" i="663"/>
  <c r="AD30" i="663"/>
  <c r="AD28" i="663"/>
  <c r="AD24" i="663"/>
  <c r="AD29" i="663"/>
  <c r="H358" i="15"/>
  <c r="H356" i="15"/>
  <c r="H352" i="15"/>
  <c r="H354" i="15" l="1"/>
  <c r="T428" i="663"/>
  <c r="X68" i="663"/>
  <c r="X16" i="663"/>
  <c r="T397" i="663"/>
  <c r="X34" i="663"/>
  <c r="X44" i="663"/>
  <c r="X59" i="663"/>
  <c r="T407" i="663"/>
  <c r="T422" i="663"/>
  <c r="T431" i="663"/>
  <c r="H252" i="15"/>
  <c r="H308" i="15"/>
  <c r="Z58" i="663"/>
  <c r="Y27" i="663"/>
  <c r="T458" i="663"/>
  <c r="T488" i="663"/>
  <c r="Y57" i="663"/>
  <c r="Y32" i="663"/>
  <c r="T463" i="663"/>
  <c r="H164" i="15"/>
  <c r="Z43" i="663"/>
  <c r="H263" i="15"/>
  <c r="Y31" i="663"/>
  <c r="T462" i="663"/>
  <c r="H96" i="15"/>
  <c r="AA19" i="663"/>
  <c r="AA20" i="663" s="1"/>
  <c r="H243" i="15"/>
  <c r="X65" i="663"/>
  <c r="Z13" i="663"/>
  <c r="H22" i="15"/>
  <c r="Z31" i="663"/>
  <c r="H148" i="15"/>
  <c r="AA43" i="663"/>
  <c r="H256" i="15"/>
  <c r="AA13" i="663"/>
  <c r="H15" i="15"/>
  <c r="H245" i="15"/>
  <c r="Z41" i="663"/>
  <c r="H163" i="15"/>
  <c r="H254" i="15"/>
  <c r="Z42" i="663"/>
  <c r="H159" i="15"/>
  <c r="AA32" i="663"/>
  <c r="H103" i="15"/>
  <c r="Z19" i="663"/>
  <c r="Z20" i="663" s="1"/>
  <c r="AA41" i="663"/>
  <c r="H238" i="15"/>
  <c r="H60" i="15"/>
  <c r="AA15" i="663"/>
  <c r="H98" i="15"/>
  <c r="AB19" i="663"/>
  <c r="H261" i="15"/>
  <c r="H260" i="15"/>
  <c r="AC43" i="663"/>
  <c r="H143" i="15"/>
  <c r="AB31" i="663"/>
  <c r="AC27" i="663"/>
  <c r="H127" i="15"/>
  <c r="Y14" i="663"/>
  <c r="T445" i="663"/>
  <c r="T379" i="663"/>
  <c r="H67" i="15"/>
  <c r="Z15" i="663"/>
  <c r="Z53" i="663"/>
  <c r="Z54" i="663" s="1"/>
  <c r="H281" i="15"/>
  <c r="AA53" i="663"/>
  <c r="H274" i="15"/>
  <c r="H242" i="15"/>
  <c r="AC41" i="663"/>
  <c r="H315" i="15"/>
  <c r="T474" i="663"/>
  <c r="Y43" i="663"/>
  <c r="AC15" i="663"/>
  <c r="H64" i="15"/>
  <c r="Z57" i="663"/>
  <c r="H317" i="15"/>
  <c r="H49" i="15"/>
  <c r="Z14" i="663"/>
  <c r="H278" i="15"/>
  <c r="AC53" i="663"/>
  <c r="AC54" i="663" s="1"/>
  <c r="AB14" i="663"/>
  <c r="H44" i="15"/>
  <c r="AB15" i="663"/>
  <c r="H62" i="15"/>
  <c r="H21" i="15"/>
  <c r="T444" i="663"/>
  <c r="Y13" i="663"/>
  <c r="H319" i="15"/>
  <c r="AA46" i="663"/>
  <c r="H19" i="15"/>
  <c r="AC13" i="663"/>
  <c r="AC58" i="663"/>
  <c r="H305" i="15"/>
  <c r="H310" i="15"/>
  <c r="AA57" i="663"/>
  <c r="H251" i="15"/>
  <c r="AC42" i="663"/>
  <c r="H146" i="15"/>
  <c r="Z32" i="663"/>
  <c r="H166" i="15"/>
  <c r="H161" i="15"/>
  <c r="AB32" i="663"/>
  <c r="H145" i="15"/>
  <c r="AC31" i="663"/>
  <c r="T472" i="663"/>
  <c r="Y41" i="663"/>
  <c r="H128" i="15"/>
  <c r="AC14" i="663"/>
  <c r="H46" i="15"/>
  <c r="Y58" i="663"/>
  <c r="T489" i="663"/>
  <c r="AC19" i="663"/>
  <c r="AC20" i="663" s="1"/>
  <c r="H100" i="15"/>
  <c r="H125" i="15"/>
  <c r="AB27" i="663"/>
  <c r="H42" i="15"/>
  <c r="AA14" i="663"/>
  <c r="H17" i="15"/>
  <c r="AB13" i="663"/>
  <c r="T484" i="663"/>
  <c r="T485" i="663" s="1"/>
  <c r="Y53" i="663"/>
  <c r="Y54" i="663" s="1"/>
  <c r="AA42" i="663"/>
  <c r="H247" i="15"/>
  <c r="H101" i="15"/>
  <c r="H301" i="15"/>
  <c r="AA58" i="663"/>
  <c r="T450" i="663"/>
  <c r="T451" i="663" s="1"/>
  <c r="Y19" i="663"/>
  <c r="Y20" i="663" s="1"/>
  <c r="H279" i="15"/>
  <c r="H306" i="15"/>
  <c r="H65" i="15"/>
  <c r="T473" i="663"/>
  <c r="Y42" i="663"/>
  <c r="H314" i="15"/>
  <c r="AC57" i="663"/>
  <c r="AA31" i="663"/>
  <c r="H141" i="15"/>
  <c r="H47" i="15"/>
  <c r="H276" i="15"/>
  <c r="H323" i="15" s="1"/>
  <c r="AB53" i="663"/>
  <c r="AB54" i="663" s="1"/>
  <c r="H130" i="15"/>
  <c r="Z27" i="663"/>
  <c r="H123" i="15"/>
  <c r="AA27" i="663"/>
  <c r="Y15" i="663"/>
  <c r="T446" i="663"/>
  <c r="H322" i="15" l="1"/>
  <c r="T399" i="663"/>
  <c r="T437" i="663" s="1"/>
  <c r="X69" i="663"/>
  <c r="X36" i="663"/>
  <c r="X74" i="663" s="1"/>
  <c r="X67" i="663"/>
  <c r="Z59" i="663"/>
  <c r="AC65" i="663"/>
  <c r="T490" i="663"/>
  <c r="X61" i="663"/>
  <c r="X75" i="663" s="1"/>
  <c r="Z34" i="663"/>
  <c r="T499" i="663"/>
  <c r="Y59" i="663"/>
  <c r="AC59" i="663"/>
  <c r="X64" i="663"/>
  <c r="AD15" i="663"/>
  <c r="AD14" i="663"/>
  <c r="AC34" i="663"/>
  <c r="Z16" i="663"/>
  <c r="T465" i="663"/>
  <c r="T424" i="663"/>
  <c r="T438" i="663" s="1"/>
  <c r="T432" i="663"/>
  <c r="AC16" i="663"/>
  <c r="T447" i="663"/>
  <c r="AD32" i="663"/>
  <c r="Y34" i="663"/>
  <c r="AD42" i="663"/>
  <c r="AD43" i="663"/>
  <c r="Y16" i="663"/>
  <c r="AB34" i="663"/>
  <c r="AB69" i="663" s="1"/>
  <c r="H201" i="15"/>
  <c r="Z68" i="663"/>
  <c r="AC68" i="663"/>
  <c r="Z44" i="663"/>
  <c r="Z65" i="663"/>
  <c r="H205" i="15"/>
  <c r="H324" i="15"/>
  <c r="H364" i="15" s="1"/>
  <c r="AA59" i="663"/>
  <c r="AD57" i="663"/>
  <c r="T427" i="663"/>
  <c r="T430" i="663"/>
  <c r="H328" i="15"/>
  <c r="H330" i="15"/>
  <c r="AB61" i="663"/>
  <c r="AB75" i="663" s="1"/>
  <c r="AD31" i="663"/>
  <c r="H200" i="15"/>
  <c r="H363" i="15" s="1"/>
  <c r="T475" i="663"/>
  <c r="T496" i="663"/>
  <c r="H202" i="15"/>
  <c r="H206" i="15"/>
  <c r="U367" i="663"/>
  <c r="AA16" i="663"/>
  <c r="AD13" i="663"/>
  <c r="H204" i="15"/>
  <c r="H329" i="15"/>
  <c r="AA34" i="663"/>
  <c r="AD27" i="663"/>
  <c r="Y44" i="663"/>
  <c r="Y65" i="663"/>
  <c r="AC44" i="663"/>
  <c r="AD19" i="663"/>
  <c r="AD20" i="663" s="1"/>
  <c r="AB20" i="663"/>
  <c r="AB68" i="663" s="1"/>
  <c r="AB16" i="663"/>
  <c r="AB65" i="663"/>
  <c r="AA48" i="663"/>
  <c r="AD46" i="663"/>
  <c r="AD48" i="663" s="1"/>
  <c r="H326" i="15"/>
  <c r="H325" i="15"/>
  <c r="H199" i="15"/>
  <c r="Y68" i="663"/>
  <c r="AD58" i="663"/>
  <c r="AD53" i="663"/>
  <c r="AD54" i="663" s="1"/>
  <c r="AA54" i="663"/>
  <c r="AA68" i="663" s="1"/>
  <c r="AA44" i="663"/>
  <c r="AA65" i="663"/>
  <c r="AD41" i="663"/>
  <c r="T440" i="663" l="1"/>
  <c r="T429" i="663" s="1"/>
  <c r="Z61" i="663"/>
  <c r="Z75" i="663" s="1"/>
  <c r="Z69" i="663"/>
  <c r="X77" i="663"/>
  <c r="X66" i="663" s="1"/>
  <c r="T500" i="663"/>
  <c r="AC67" i="663"/>
  <c r="T498" i="663"/>
  <c r="Z36" i="663"/>
  <c r="Z74" i="663" s="1"/>
  <c r="T492" i="663"/>
  <c r="T506" i="663" s="1"/>
  <c r="Y69" i="663"/>
  <c r="AC36" i="663"/>
  <c r="AC74" i="663" s="1"/>
  <c r="H365" i="15"/>
  <c r="Y36" i="663"/>
  <c r="Y74" i="663" s="1"/>
  <c r="AD16" i="663"/>
  <c r="T495" i="663"/>
  <c r="AD34" i="663"/>
  <c r="Y67" i="663"/>
  <c r="AD68" i="663"/>
  <c r="AC69" i="663"/>
  <c r="H369" i="15"/>
  <c r="Z67" i="663"/>
  <c r="AA67" i="663"/>
  <c r="Y64" i="663"/>
  <c r="AA36" i="663"/>
  <c r="AA74" i="663" s="1"/>
  <c r="Z64" i="663"/>
  <c r="U330" i="663"/>
  <c r="T467" i="663"/>
  <c r="T505" i="663" s="1"/>
  <c r="AD59" i="663"/>
  <c r="AD44" i="663"/>
  <c r="AD65" i="663"/>
  <c r="AB67" i="663"/>
  <c r="AB36" i="663"/>
  <c r="AB74" i="663" s="1"/>
  <c r="AB77" i="663" s="1"/>
  <c r="H370" i="15"/>
  <c r="Y61" i="663"/>
  <c r="Y75" i="663" s="1"/>
  <c r="AC61" i="663"/>
  <c r="AC75" i="663" s="1"/>
  <c r="H371" i="15"/>
  <c r="AC64" i="663"/>
  <c r="AA69" i="663"/>
  <c r="AA61" i="663"/>
  <c r="AA75" i="663" s="1"/>
  <c r="AA64" i="663"/>
  <c r="H362" i="15"/>
  <c r="AB64" i="663"/>
  <c r="Z77" i="663" l="1"/>
  <c r="Z66" i="663" s="1"/>
  <c r="X80" i="663"/>
  <c r="U206" i="663"/>
  <c r="T508" i="663"/>
  <c r="T497" i="663" s="1"/>
  <c r="H367" i="15"/>
  <c r="Y77" i="663"/>
  <c r="T372" i="663" s="1"/>
  <c r="AC77" i="663"/>
  <c r="AC66" i="663" s="1"/>
  <c r="AA77" i="663"/>
  <c r="AA66" i="663" s="1"/>
  <c r="AD67" i="663"/>
  <c r="AD36" i="663"/>
  <c r="AD74" i="663" s="1"/>
  <c r="AD64" i="663"/>
  <c r="AD69" i="663"/>
  <c r="AD61" i="663"/>
  <c r="AD75" i="663" s="1"/>
  <c r="Z80" i="663"/>
  <c r="AB80" i="663"/>
  <c r="AB66" i="663"/>
  <c r="Y80" i="663" l="1"/>
  <c r="Y66" i="663"/>
  <c r="AA80" i="663"/>
  <c r="AD77" i="663"/>
  <c r="AD66" i="663" s="1"/>
  <c r="AC80" i="663"/>
  <c r="AD80" i="663" l="1"/>
  <c r="U67" i="641" l="1"/>
  <c r="L379" i="139" l="1"/>
  <c r="L378" i="139"/>
  <c r="L374" i="139"/>
  <c r="L370" i="139"/>
  <c r="L366" i="139"/>
  <c r="L362" i="139"/>
  <c r="L338" i="139"/>
  <c r="L325" i="139"/>
  <c r="L283" i="139"/>
  <c r="L16" i="1"/>
  <c r="I21" i="3"/>
  <c r="I30" i="3"/>
  <c r="I39" i="3"/>
  <c r="I48" i="3"/>
  <c r="I57" i="3"/>
  <c r="I66" i="3"/>
  <c r="I75" i="3"/>
  <c r="I84" i="3"/>
  <c r="I93" i="3"/>
  <c r="I102" i="3"/>
  <c r="I111" i="3"/>
  <c r="I120" i="3"/>
  <c r="I129" i="3"/>
  <c r="I138" i="3"/>
  <c r="I147" i="3"/>
  <c r="I156" i="3"/>
  <c r="I165" i="3"/>
  <c r="I174" i="3"/>
  <c r="I183" i="3"/>
  <c r="I192" i="3"/>
  <c r="I200" i="3"/>
  <c r="I215" i="3"/>
  <c r="I224" i="3"/>
  <c r="I229" i="3"/>
  <c r="I230" i="3"/>
  <c r="I231" i="3"/>
  <c r="I234" i="3"/>
  <c r="I236" i="3"/>
  <c r="I244" i="3"/>
  <c r="I253" i="3"/>
  <c r="I262" i="3"/>
  <c r="I271" i="3"/>
  <c r="I280" i="3"/>
  <c r="I289" i="3"/>
  <c r="I298" i="3"/>
  <c r="I307" i="3"/>
  <c r="I316" i="3"/>
  <c r="I339" i="3"/>
  <c r="I348" i="3"/>
  <c r="I353" i="3"/>
  <c r="I354" i="3"/>
  <c r="I357" i="3"/>
  <c r="I358" i="3"/>
  <c r="I359" i="3"/>
  <c r="I382" i="3"/>
  <c r="I387" i="3"/>
  <c r="I392" i="3"/>
  <c r="I397" i="3"/>
  <c r="I402" i="3"/>
  <c r="I407" i="3"/>
  <c r="I412" i="3"/>
  <c r="I417" i="3"/>
  <c r="I422" i="3"/>
  <c r="I427" i="3"/>
  <c r="I432" i="3"/>
  <c r="I437" i="3"/>
  <c r="I442" i="3"/>
  <c r="I447" i="3"/>
  <c r="I452" i="3"/>
  <c r="I457" i="3"/>
  <c r="I462" i="3"/>
  <c r="I467" i="3"/>
  <c r="I472" i="3"/>
  <c r="I477" i="3"/>
  <c r="I482" i="3"/>
  <c r="I487" i="3"/>
  <c r="I492" i="3"/>
  <c r="I497" i="3"/>
  <c r="I501" i="3"/>
  <c r="I502" i="3"/>
  <c r="I503" i="3"/>
  <c r="I505" i="3"/>
  <c r="I506" i="3"/>
  <c r="I507" i="3"/>
  <c r="I523" i="3"/>
  <c r="I528" i="3"/>
  <c r="I533" i="3"/>
  <c r="I538" i="3"/>
  <c r="I543" i="3"/>
  <c r="I548" i="3"/>
  <c r="I553" i="3"/>
  <c r="I558" i="3"/>
  <c r="I563" i="3"/>
  <c r="I568" i="3"/>
  <c r="I573" i="3"/>
  <c r="I578" i="3"/>
  <c r="I583" i="3"/>
  <c r="I588" i="3"/>
  <c r="I593" i="3"/>
  <c r="I598" i="3"/>
  <c r="I603" i="3"/>
  <c r="I608" i="3"/>
  <c r="I613" i="3"/>
  <c r="I618" i="3"/>
  <c r="I623" i="3"/>
  <c r="I628" i="3"/>
  <c r="I631" i="3" s="1"/>
  <c r="J24" i="5" s="1"/>
  <c r="I632" i="3"/>
  <c r="I633" i="3"/>
  <c r="J25" i="5" s="1"/>
  <c r="I634" i="3"/>
  <c r="I649" i="3"/>
  <c r="J29" i="5" s="1"/>
  <c r="I656" i="3"/>
  <c r="I661" i="3"/>
  <c r="I666" i="3"/>
  <c r="I671" i="3"/>
  <c r="I676" i="3"/>
  <c r="I681" i="3"/>
  <c r="I686" i="3"/>
  <c r="I691" i="3"/>
  <c r="I696" i="3"/>
  <c r="I701" i="3"/>
  <c r="I706" i="3"/>
  <c r="I711" i="3"/>
  <c r="I716" i="3"/>
  <c r="I721" i="3"/>
  <c r="I726" i="3"/>
  <c r="I731" i="3"/>
  <c r="I736" i="3"/>
  <c r="I741" i="3"/>
  <c r="I746" i="3"/>
  <c r="I749" i="3"/>
  <c r="I750" i="3"/>
  <c r="I759" i="3"/>
  <c r="I764" i="3"/>
  <c r="I769" i="3"/>
  <c r="I774" i="3"/>
  <c r="I779" i="3"/>
  <c r="I799" i="3"/>
  <c r="I812" i="3"/>
  <c r="I817" i="3"/>
  <c r="I822" i="3"/>
  <c r="I827" i="3"/>
  <c r="I830" i="3"/>
  <c r="I831" i="3"/>
  <c r="I840" i="3"/>
  <c r="I844" i="3"/>
  <c r="I848" i="3"/>
  <c r="I852" i="3"/>
  <c r="I856" i="3"/>
  <c r="I860" i="3"/>
  <c r="I864" i="3"/>
  <c r="I868" i="3"/>
  <c r="I872" i="3"/>
  <c r="I876" i="3"/>
  <c r="I880" i="3"/>
  <c r="I884" i="3"/>
  <c r="I886" i="3"/>
  <c r="I887" i="3"/>
  <c r="I904" i="3"/>
  <c r="I911" i="3"/>
  <c r="I921" i="3"/>
  <c r="I1089" i="3"/>
  <c r="J53" i="5" s="1"/>
  <c r="I1096" i="3"/>
  <c r="J54" i="5" s="1"/>
  <c r="I1103" i="3"/>
  <c r="J55" i="5" s="1"/>
  <c r="I1110" i="3"/>
  <c r="J56" i="5" s="1"/>
  <c r="I1117" i="3"/>
  <c r="J57" i="5" s="1"/>
  <c r="I1135" i="3"/>
  <c r="J61" i="5" s="1"/>
  <c r="I1143" i="3"/>
  <c r="J63" i="5" s="1"/>
  <c r="I1150" i="3"/>
  <c r="I1157" i="3"/>
  <c r="I1162" i="3"/>
  <c r="J65" i="5" s="1"/>
  <c r="I1171" i="3"/>
  <c r="J67" i="5" s="1"/>
  <c r="I1178" i="3"/>
  <c r="J68" i="5" s="1"/>
  <c r="I1185" i="3"/>
  <c r="I1192" i="3"/>
  <c r="I1196" i="3"/>
  <c r="I1200" i="3"/>
  <c r="I1201" i="3"/>
  <c r="I1202" i="3"/>
  <c r="J26" i="5" l="1"/>
  <c r="J69" i="5"/>
  <c r="J64" i="5"/>
  <c r="I1222" i="3"/>
  <c r="J38" i="5"/>
  <c r="J15" i="5"/>
  <c r="J14" i="5"/>
  <c r="I913" i="3"/>
  <c r="J37" i="5" s="1"/>
  <c r="I889" i="3"/>
  <c r="J33" i="5" s="1"/>
  <c r="I355" i="3"/>
  <c r="I232" i="3"/>
  <c r="I752" i="3"/>
  <c r="J30" i="5" s="1"/>
  <c r="I509" i="3"/>
  <c r="I203" i="3"/>
  <c r="B13" i="52" l="1"/>
  <c r="C13" i="52"/>
  <c r="C18" i="594" l="1"/>
  <c r="D18" i="594" s="1"/>
  <c r="E18" i="594" s="1"/>
  <c r="C15" i="594" l="1"/>
  <c r="D15" i="594" s="1"/>
  <c r="E15" i="594" s="1"/>
  <c r="D14" i="594"/>
  <c r="E14" i="594" s="1"/>
  <c r="C16" i="594"/>
  <c r="D16" i="594" s="1"/>
  <c r="E16" i="594" s="1"/>
  <c r="E11" i="137"/>
  <c r="E16" i="137" s="1"/>
  <c r="E17" i="137" s="1"/>
  <c r="E22" i="137" s="1"/>
  <c r="F11" i="137"/>
  <c r="F16" i="137" s="1"/>
  <c r="F17" i="137" s="1"/>
  <c r="I12" i="42" l="1"/>
  <c r="J12" i="42" l="1"/>
  <c r="A17" i="649" l="1"/>
  <c r="R831" i="3" l="1"/>
  <c r="R830" i="3"/>
  <c r="Q831" i="3"/>
  <c r="Q830" i="3"/>
  <c r="P831" i="3"/>
  <c r="P830" i="3"/>
  <c r="N831" i="3"/>
  <c r="N830" i="3"/>
  <c r="M831" i="3"/>
  <c r="M830" i="3"/>
  <c r="L831" i="3"/>
  <c r="L830" i="3"/>
  <c r="J831" i="3"/>
  <c r="J830" i="3"/>
  <c r="H831" i="3"/>
  <c r="H830" i="3"/>
  <c r="AG203" i="4" l="1"/>
  <c r="AI22" i="4"/>
  <c r="AG46" i="4" l="1"/>
  <c r="AG21" i="4"/>
  <c r="H1134" i="6" l="1"/>
  <c r="H55" i="2" s="1"/>
  <c r="U1133" i="6"/>
  <c r="R1133" i="6"/>
  <c r="U1132" i="6"/>
  <c r="R1132" i="6"/>
  <c r="U1131" i="6"/>
  <c r="R1131" i="6"/>
  <c r="T1130" i="6"/>
  <c r="R1130" i="6"/>
  <c r="G1117" i="3"/>
  <c r="H57" i="5" s="1"/>
  <c r="H1117" i="3"/>
  <c r="I57" i="5" s="1"/>
  <c r="J1117" i="3"/>
  <c r="K57" i="5" s="1"/>
  <c r="K1117" i="3"/>
  <c r="L57" i="5" s="1"/>
  <c r="L1117" i="3"/>
  <c r="M57" i="5" s="1"/>
  <c r="M1117" i="3"/>
  <c r="N57" i="5" s="1"/>
  <c r="N1117" i="3"/>
  <c r="O57" i="5" s="1"/>
  <c r="O1117" i="3"/>
  <c r="P57" i="5" s="1"/>
  <c r="P1117" i="3"/>
  <c r="Q57" i="5" s="1"/>
  <c r="Q1117" i="3"/>
  <c r="R57" i="5" s="1"/>
  <c r="R1117" i="3"/>
  <c r="S57" i="5" s="1"/>
  <c r="T1117" i="3"/>
  <c r="U1117" i="3"/>
  <c r="V1117" i="3"/>
  <c r="W1117" i="3"/>
  <c r="X1117" i="3"/>
  <c r="AA57" i="5" s="1"/>
  <c r="Y1117" i="3"/>
  <c r="AB57" i="5" s="1"/>
  <c r="Z1117" i="3"/>
  <c r="AA1117" i="3"/>
  <c r="AB1117" i="3"/>
  <c r="AC1117" i="3"/>
  <c r="AD1117" i="3"/>
  <c r="AE1117" i="3"/>
  <c r="AF1117" i="3"/>
  <c r="AG1117" i="3"/>
  <c r="AH1117" i="3"/>
  <c r="AI1117" i="3"/>
  <c r="AJ1117" i="3"/>
  <c r="AK1117" i="3"/>
  <c r="AL1117" i="3"/>
  <c r="AM1117" i="3"/>
  <c r="AN1117" i="3"/>
  <c r="AO1117" i="3"/>
  <c r="AP1117" i="3"/>
  <c r="AQ1117" i="3"/>
  <c r="AR1117" i="3"/>
  <c r="AS1117" i="3"/>
  <c r="AY9" i="4"/>
  <c r="R1134" i="6" l="1"/>
  <c r="Q183" i="650"/>
  <c r="P183" i="650"/>
  <c r="O183" i="650"/>
  <c r="N183" i="650"/>
  <c r="M183" i="650"/>
  <c r="L183" i="650"/>
  <c r="K183" i="650"/>
  <c r="J183" i="650"/>
  <c r="I183" i="650"/>
  <c r="H183" i="650"/>
  <c r="G183" i="650"/>
  <c r="F183" i="650"/>
  <c r="Q182" i="650"/>
  <c r="P182" i="650"/>
  <c r="O182" i="650"/>
  <c r="N182" i="650"/>
  <c r="M182" i="650"/>
  <c r="L182" i="650"/>
  <c r="K182" i="650"/>
  <c r="J182" i="650"/>
  <c r="I182" i="650"/>
  <c r="H182" i="650"/>
  <c r="G182" i="650"/>
  <c r="F182" i="650"/>
  <c r="Q181" i="650"/>
  <c r="P181" i="650"/>
  <c r="O181" i="650"/>
  <c r="N181" i="650"/>
  <c r="M181" i="650"/>
  <c r="L181" i="650"/>
  <c r="K181" i="650"/>
  <c r="J181" i="650"/>
  <c r="I181" i="650"/>
  <c r="H181" i="650"/>
  <c r="G181" i="650"/>
  <c r="F181" i="650"/>
  <c r="Q180" i="650"/>
  <c r="P180" i="650"/>
  <c r="O180" i="650"/>
  <c r="N180" i="650"/>
  <c r="M180" i="650"/>
  <c r="L180" i="650"/>
  <c r="K180" i="650"/>
  <c r="J180" i="650"/>
  <c r="I180" i="650"/>
  <c r="H180" i="650"/>
  <c r="G180" i="650"/>
  <c r="F180" i="650"/>
  <c r="J184" i="650" l="1"/>
  <c r="AY179" i="4"/>
  <c r="F1131" i="6"/>
  <c r="AI179" i="4"/>
  <c r="R181" i="650"/>
  <c r="T181" i="650" s="1"/>
  <c r="F1133" i="6"/>
  <c r="AI181" i="4"/>
  <c r="R183" i="650"/>
  <c r="U183" i="650" s="1"/>
  <c r="AY181" i="4"/>
  <c r="AI178" i="4"/>
  <c r="F1130" i="6"/>
  <c r="R180" i="650"/>
  <c r="U180" i="650" s="1"/>
  <c r="AY178" i="4"/>
  <c r="F184" i="650"/>
  <c r="L184" i="650"/>
  <c r="G184" i="650"/>
  <c r="O184" i="650"/>
  <c r="AY180" i="4"/>
  <c r="R182" i="650"/>
  <c r="U182" i="650" s="1"/>
  <c r="AI180" i="4"/>
  <c r="F1132" i="6"/>
  <c r="M184" i="650"/>
  <c r="H184" i="650"/>
  <c r="P184" i="650"/>
  <c r="K184" i="650"/>
  <c r="N184" i="650"/>
  <c r="I184" i="650"/>
  <c r="Q184" i="650"/>
  <c r="AI182" i="4"/>
  <c r="AG182" i="4"/>
  <c r="AG179" i="4"/>
  <c r="AG180" i="4"/>
  <c r="AG181" i="4"/>
  <c r="AG178" i="4"/>
  <c r="AJ180" i="4" l="1"/>
  <c r="AJ182" i="4"/>
  <c r="AJ179" i="4"/>
  <c r="AJ178" i="4"/>
  <c r="AJ181" i="4"/>
  <c r="T180" i="650"/>
  <c r="F1134" i="6"/>
  <c r="F55" i="2" s="1"/>
  <c r="T182" i="650"/>
  <c r="AY182" i="4"/>
  <c r="R184" i="650"/>
  <c r="U181" i="650"/>
  <c r="T183" i="650"/>
  <c r="T184" i="650" l="1"/>
  <c r="U184" i="650"/>
  <c r="N842" i="711" l="1"/>
  <c r="I1186" i="710"/>
  <c r="L1186" i="710" s="1"/>
  <c r="AU1226" i="3" l="1"/>
  <c r="AU1225" i="3"/>
  <c r="AU1224" i="3"/>
  <c r="AU1221" i="3"/>
  <c r="AU486" i="3"/>
  <c r="AU345" i="3"/>
  <c r="AU336" i="3"/>
  <c r="AU318" i="3"/>
  <c r="AU313" i="3"/>
  <c r="AU304" i="3"/>
  <c r="AU295" i="3"/>
  <c r="AU268" i="3"/>
  <c r="AU259" i="3"/>
  <c r="AU250" i="3"/>
  <c r="AU241" i="3"/>
  <c r="AS359" i="3"/>
  <c r="AS358" i="3"/>
  <c r="AS357" i="3"/>
  <c r="AS354" i="3"/>
  <c r="AS353" i="3"/>
  <c r="AS348" i="3"/>
  <c r="AS339" i="3"/>
  <c r="AS236" i="3"/>
  <c r="AS234" i="3"/>
  <c r="AR359" i="3"/>
  <c r="AR358" i="3"/>
  <c r="AR357" i="3"/>
  <c r="AR354" i="3"/>
  <c r="AR353" i="3"/>
  <c r="AR348" i="3"/>
  <c r="AR339" i="3"/>
  <c r="AR236" i="3"/>
  <c r="AR234" i="3"/>
  <c r="AT359" i="3"/>
  <c r="AT358" i="3"/>
  <c r="AT357" i="3"/>
  <c r="AT354" i="3"/>
  <c r="AT353" i="3"/>
  <c r="AT348" i="3"/>
  <c r="AT339" i="3"/>
  <c r="AQ359" i="3"/>
  <c r="AQ358" i="3"/>
  <c r="AQ357" i="3"/>
  <c r="AQ354" i="3"/>
  <c r="AQ353" i="3"/>
  <c r="AQ348" i="3"/>
  <c r="AQ339" i="3"/>
  <c r="AQ236" i="3"/>
  <c r="AQ234" i="3"/>
  <c r="AR355" i="3" l="1"/>
  <c r="AQ355" i="3"/>
  <c r="AT355" i="3"/>
  <c r="AS355" i="3"/>
  <c r="G1246" i="712" l="1"/>
  <c r="G1245" i="712"/>
  <c r="G1229" i="712"/>
  <c r="G1228" i="712"/>
  <c r="G1227" i="712"/>
  <c r="G1224" i="712"/>
  <c r="G1198" i="712"/>
  <c r="G1199" i="712" s="1"/>
  <c r="G1194" i="712"/>
  <c r="G1193" i="712"/>
  <c r="G1192" i="712"/>
  <c r="G1191" i="712"/>
  <c r="G1187" i="712"/>
  <c r="G1186" i="712"/>
  <c r="G1185" i="712"/>
  <c r="G1184" i="712"/>
  <c r="G1180" i="712"/>
  <c r="G1179" i="712"/>
  <c r="G1178" i="712"/>
  <c r="G1177" i="712"/>
  <c r="G1173" i="712"/>
  <c r="G1174" i="712" s="1"/>
  <c r="G1169" i="712"/>
  <c r="G1168" i="712"/>
  <c r="G1164" i="712"/>
  <c r="G1163" i="712"/>
  <c r="G1159" i="712"/>
  <c r="G1158" i="712"/>
  <c r="G1157" i="712"/>
  <c r="G1156" i="712"/>
  <c r="G1152" i="712"/>
  <c r="G1151" i="712"/>
  <c r="G1150" i="712"/>
  <c r="G1149" i="712"/>
  <c r="G1145" i="712"/>
  <c r="G1141" i="712"/>
  <c r="G1142" i="712" s="1"/>
  <c r="G1137" i="712"/>
  <c r="G1136" i="712"/>
  <c r="G1119" i="712"/>
  <c r="G1118" i="712"/>
  <c r="G1117" i="712"/>
  <c r="G1116" i="712"/>
  <c r="G1112" i="712"/>
  <c r="G1111" i="712"/>
  <c r="G1110" i="712"/>
  <c r="G1109" i="712"/>
  <c r="G1105" i="712"/>
  <c r="G1104" i="712"/>
  <c r="G1103" i="712"/>
  <c r="G1102" i="712"/>
  <c r="G1098" i="712"/>
  <c r="G1099" i="712" s="1"/>
  <c r="G1091" i="712"/>
  <c r="G964" i="712" s="1"/>
  <c r="G1086" i="712"/>
  <c r="G1085" i="712"/>
  <c r="G1084" i="712"/>
  <c r="G1080" i="712"/>
  <c r="G1079" i="712"/>
  <c r="G1078" i="712"/>
  <c r="G1075" i="712"/>
  <c r="G1074" i="712"/>
  <c r="G1073" i="712"/>
  <c r="G1070" i="712"/>
  <c r="G1069" i="712"/>
  <c r="G1068" i="712"/>
  <c r="G1067" i="712"/>
  <c r="G1064" i="712"/>
  <c r="G1063" i="712"/>
  <c r="G1062" i="712"/>
  <c r="G1061" i="712"/>
  <c r="G1058" i="712"/>
  <c r="G1057" i="712"/>
  <c r="G1056" i="712"/>
  <c r="G1055" i="712"/>
  <c r="G1052" i="712"/>
  <c r="G1051" i="712"/>
  <c r="G1050" i="712"/>
  <c r="G1047" i="712"/>
  <c r="G1046" i="712"/>
  <c r="G1045" i="712"/>
  <c r="G1044" i="712"/>
  <c r="G1041" i="712"/>
  <c r="G1040" i="712"/>
  <c r="G1039" i="712"/>
  <c r="G1038" i="712"/>
  <c r="G1035" i="712"/>
  <c r="G1034" i="712"/>
  <c r="G1033" i="712"/>
  <c r="G1032" i="712"/>
  <c r="G1029" i="712"/>
  <c r="G1028" i="712"/>
  <c r="G1027" i="712"/>
  <c r="G1021" i="712"/>
  <c r="G1020" i="712"/>
  <c r="G1019" i="712"/>
  <c r="G1016" i="712"/>
  <c r="G1015" i="712"/>
  <c r="G1014" i="712"/>
  <c r="G1011" i="712"/>
  <c r="G1010" i="712"/>
  <c r="G1009" i="712"/>
  <c r="G1006" i="712"/>
  <c r="G1005" i="712"/>
  <c r="G1004" i="712"/>
  <c r="G1001" i="712"/>
  <c r="G1000" i="712"/>
  <c r="G999" i="712"/>
  <c r="G996" i="712"/>
  <c r="G995" i="712"/>
  <c r="G994" i="712"/>
  <c r="G991" i="712"/>
  <c r="G990" i="712"/>
  <c r="G989" i="712"/>
  <c r="G985" i="712"/>
  <c r="G984" i="712"/>
  <c r="G983" i="712"/>
  <c r="G982" i="712"/>
  <c r="G981" i="712"/>
  <c r="G980" i="712"/>
  <c r="G979" i="712"/>
  <c r="G978" i="712"/>
  <c r="G975" i="712"/>
  <c r="G974" i="712"/>
  <c r="G973" i="712"/>
  <c r="G970" i="712"/>
  <c r="G969" i="712"/>
  <c r="G968" i="712"/>
  <c r="G962" i="712"/>
  <c r="G961" i="712"/>
  <c r="G960" i="712"/>
  <c r="G959" i="712"/>
  <c r="G958" i="712"/>
  <c r="G957" i="712"/>
  <c r="G956" i="712"/>
  <c r="G953" i="712"/>
  <c r="G951" i="712"/>
  <c r="G950" i="712"/>
  <c r="G931" i="712"/>
  <c r="G929" i="712"/>
  <c r="G927" i="712"/>
  <c r="G925" i="712"/>
  <c r="G1225" i="712"/>
  <c r="G920" i="712"/>
  <c r="G919" i="712"/>
  <c r="G918" i="712"/>
  <c r="G917" i="712"/>
  <c r="G910" i="712"/>
  <c r="G909" i="712"/>
  <c r="G908" i="712"/>
  <c r="G907" i="712"/>
  <c r="G903" i="712"/>
  <c r="G902" i="712"/>
  <c r="G901" i="712"/>
  <c r="G900" i="712"/>
  <c r="G887" i="712"/>
  <c r="G886" i="712"/>
  <c r="G884" i="712"/>
  <c r="G883" i="712"/>
  <c r="G882" i="712"/>
  <c r="G880" i="712"/>
  <c r="G879" i="712"/>
  <c r="G878" i="712"/>
  <c r="G876" i="712"/>
  <c r="G875" i="712"/>
  <c r="G874" i="712"/>
  <c r="G872" i="712"/>
  <c r="G871" i="712"/>
  <c r="G870" i="712"/>
  <c r="G868" i="712"/>
  <c r="G867" i="712"/>
  <c r="G866" i="712"/>
  <c r="G864" i="712"/>
  <c r="G863" i="712"/>
  <c r="G862" i="712"/>
  <c r="G860" i="712"/>
  <c r="G859" i="712"/>
  <c r="G858" i="712"/>
  <c r="G856" i="712"/>
  <c r="G855" i="712"/>
  <c r="G854" i="712"/>
  <c r="G852" i="712"/>
  <c r="G851" i="712"/>
  <c r="G850" i="712"/>
  <c r="G848" i="712"/>
  <c r="G847" i="712"/>
  <c r="G846" i="712"/>
  <c r="G844" i="712"/>
  <c r="G843" i="712"/>
  <c r="G842" i="712"/>
  <c r="G840" i="712"/>
  <c r="G839" i="712"/>
  <c r="G838" i="712"/>
  <c r="G826" i="712"/>
  <c r="G825" i="712"/>
  <c r="G821" i="712"/>
  <c r="G820" i="712"/>
  <c r="G816" i="712"/>
  <c r="G815" i="712"/>
  <c r="G811" i="712"/>
  <c r="G810" i="712"/>
  <c r="G798" i="712"/>
  <c r="G797" i="712"/>
  <c r="G793" i="712"/>
  <c r="G792" i="712"/>
  <c r="G788" i="712"/>
  <c r="G787" i="712"/>
  <c r="G783" i="712"/>
  <c r="G782" i="712"/>
  <c r="G778" i="712"/>
  <c r="G777" i="712"/>
  <c r="G773" i="712"/>
  <c r="G772" i="712"/>
  <c r="G768" i="712"/>
  <c r="G767" i="712"/>
  <c r="G763" i="712"/>
  <c r="G762" i="712"/>
  <c r="G758" i="712"/>
  <c r="G757" i="712"/>
  <c r="G745" i="712"/>
  <c r="G744" i="712"/>
  <c r="G740" i="712"/>
  <c r="G739" i="712"/>
  <c r="G735" i="712"/>
  <c r="G734" i="712"/>
  <c r="G730" i="712"/>
  <c r="G729" i="712"/>
  <c r="G725" i="712"/>
  <c r="G724" i="712"/>
  <c r="G720" i="712"/>
  <c r="G719" i="712"/>
  <c r="G715" i="712"/>
  <c r="G714" i="712"/>
  <c r="G710" i="712"/>
  <c r="G709" i="712"/>
  <c r="G705" i="712"/>
  <c r="G704" i="712"/>
  <c r="G700" i="712"/>
  <c r="G699" i="712"/>
  <c r="G695" i="712"/>
  <c r="G694" i="712"/>
  <c r="G690" i="712"/>
  <c r="G689" i="712"/>
  <c r="G685" i="712"/>
  <c r="G684" i="712"/>
  <c r="G680" i="712"/>
  <c r="G679" i="712"/>
  <c r="G675" i="712"/>
  <c r="G674" i="712"/>
  <c r="G670" i="712"/>
  <c r="G669" i="712"/>
  <c r="G665" i="712"/>
  <c r="G664" i="712"/>
  <c r="G660" i="712"/>
  <c r="G659" i="712"/>
  <c r="G655" i="712"/>
  <c r="G654" i="712"/>
  <c r="G647" i="712"/>
  <c r="G646" i="712"/>
  <c r="G627" i="712"/>
  <c r="G626" i="712"/>
  <c r="G622" i="712"/>
  <c r="G621" i="712"/>
  <c r="G617" i="712"/>
  <c r="G616" i="712"/>
  <c r="G612" i="712"/>
  <c r="G611" i="712"/>
  <c r="G607" i="712"/>
  <c r="G606" i="712"/>
  <c r="G602" i="712"/>
  <c r="G601" i="712"/>
  <c r="G597" i="712"/>
  <c r="G596" i="712"/>
  <c r="G592" i="712"/>
  <c r="G591" i="712"/>
  <c r="G587" i="712"/>
  <c r="G586" i="712"/>
  <c r="G582" i="712"/>
  <c r="G581" i="712"/>
  <c r="G577" i="712"/>
  <c r="G576" i="712"/>
  <c r="G572" i="712"/>
  <c r="G571" i="712"/>
  <c r="G567" i="712"/>
  <c r="G566" i="712"/>
  <c r="G562" i="712"/>
  <c r="G561" i="712"/>
  <c r="G557" i="712"/>
  <c r="G556" i="712"/>
  <c r="G552" i="712"/>
  <c r="G551" i="712"/>
  <c r="G547" i="712"/>
  <c r="G546" i="712"/>
  <c r="G542" i="712"/>
  <c r="G541" i="712"/>
  <c r="G537" i="712"/>
  <c r="G536" i="712"/>
  <c r="G532" i="712"/>
  <c r="G531" i="712"/>
  <c r="G527" i="712"/>
  <c r="G526" i="712"/>
  <c r="G522" i="712"/>
  <c r="G521" i="712"/>
  <c r="G496" i="712"/>
  <c r="G495" i="712"/>
  <c r="G491" i="712"/>
  <c r="G490" i="712"/>
  <c r="G486" i="712"/>
  <c r="G485" i="712"/>
  <c r="G481" i="712"/>
  <c r="G480" i="712"/>
  <c r="G476" i="712"/>
  <c r="G475" i="712"/>
  <c r="G471" i="712"/>
  <c r="G470" i="712"/>
  <c r="G466" i="712"/>
  <c r="G465" i="712"/>
  <c r="G461" i="712"/>
  <c r="G460" i="712"/>
  <c r="G456" i="712"/>
  <c r="G455" i="712"/>
  <c r="G451" i="712"/>
  <c r="G450" i="712"/>
  <c r="G446" i="712"/>
  <c r="G445" i="712"/>
  <c r="G441" i="712"/>
  <c r="G440" i="712"/>
  <c r="G436" i="712"/>
  <c r="G435" i="712"/>
  <c r="G431" i="712"/>
  <c r="G430" i="712"/>
  <c r="G426" i="712"/>
  <c r="G425" i="712"/>
  <c r="G421" i="712"/>
  <c r="G420" i="712"/>
  <c r="G416" i="712"/>
  <c r="G415" i="712"/>
  <c r="G411" i="712"/>
  <c r="G410" i="712"/>
  <c r="G406" i="712"/>
  <c r="G405" i="712"/>
  <c r="G401" i="712"/>
  <c r="G400" i="712"/>
  <c r="G396" i="712"/>
  <c r="G395" i="712"/>
  <c r="G391" i="712"/>
  <c r="G390" i="712"/>
  <c r="G386" i="712"/>
  <c r="G385" i="712"/>
  <c r="G381" i="712"/>
  <c r="G380" i="712"/>
  <c r="G354" i="712"/>
  <c r="G350" i="712"/>
  <c r="G358" i="712" s="1"/>
  <c r="G347" i="712"/>
  <c r="G345" i="712"/>
  <c r="G343" i="712"/>
  <c r="G341" i="712"/>
  <c r="G338" i="712"/>
  <c r="G336" i="712"/>
  <c r="G334" i="712"/>
  <c r="G321" i="712"/>
  <c r="G320" i="712"/>
  <c r="G318" i="712"/>
  <c r="G315" i="712"/>
  <c r="G313" i="712"/>
  <c r="G311" i="712"/>
  <c r="G309" i="712"/>
  <c r="G306" i="712"/>
  <c r="G304" i="712"/>
  <c r="G302" i="712"/>
  <c r="G300" i="712"/>
  <c r="G297" i="712"/>
  <c r="G295" i="712"/>
  <c r="G293" i="712"/>
  <c r="G291" i="712"/>
  <c r="G288" i="712"/>
  <c r="G286" i="712"/>
  <c r="G284" i="712"/>
  <c r="G282" i="712"/>
  <c r="G279" i="712"/>
  <c r="G277" i="712"/>
  <c r="G275" i="712"/>
  <c r="G273" i="712"/>
  <c r="G270" i="712"/>
  <c r="G268" i="712"/>
  <c r="G266" i="712"/>
  <c r="G264" i="712"/>
  <c r="G261" i="712"/>
  <c r="G259" i="712"/>
  <c r="G257" i="712"/>
  <c r="G255" i="712"/>
  <c r="G252" i="712"/>
  <c r="G250" i="712"/>
  <c r="G248" i="712"/>
  <c r="G246" i="712"/>
  <c r="G243" i="712"/>
  <c r="G241" i="712"/>
  <c r="G239" i="712"/>
  <c r="G226" i="712"/>
  <c r="G223" i="712"/>
  <c r="G221" i="712"/>
  <c r="G219" i="712"/>
  <c r="G217" i="712"/>
  <c r="G214" i="712"/>
  <c r="G212" i="712"/>
  <c r="G210" i="712"/>
  <c r="G197" i="712"/>
  <c r="G196" i="712"/>
  <c r="G194" i="712"/>
  <c r="G191" i="712"/>
  <c r="G189" i="712"/>
  <c r="G187" i="712"/>
  <c r="G185" i="712"/>
  <c r="G182" i="712"/>
  <c r="G180" i="712"/>
  <c r="G178" i="712"/>
  <c r="G176" i="712"/>
  <c r="G173" i="712"/>
  <c r="G171" i="712"/>
  <c r="G169" i="712"/>
  <c r="G167" i="712"/>
  <c r="G164" i="712"/>
  <c r="G162" i="712"/>
  <c r="G160" i="712"/>
  <c r="G158" i="712"/>
  <c r="G155" i="712"/>
  <c r="G153" i="712"/>
  <c r="G151" i="712"/>
  <c r="G149" i="712"/>
  <c r="G146" i="712"/>
  <c r="G144" i="712"/>
  <c r="G142" i="712"/>
  <c r="G140" i="712"/>
  <c r="G137" i="712"/>
  <c r="G135" i="712"/>
  <c r="G133" i="712"/>
  <c r="G131" i="712"/>
  <c r="G128" i="712"/>
  <c r="G126" i="712"/>
  <c r="G124" i="712"/>
  <c r="G122" i="712"/>
  <c r="G119" i="712"/>
  <c r="G117" i="712"/>
  <c r="G115" i="712"/>
  <c r="G113" i="712"/>
  <c r="G110" i="712"/>
  <c r="G108" i="712"/>
  <c r="G106" i="712"/>
  <c r="G104" i="712"/>
  <c r="G101" i="712"/>
  <c r="G99" i="712"/>
  <c r="G97" i="712"/>
  <c r="G95" i="712"/>
  <c r="G92" i="712"/>
  <c r="G90" i="712"/>
  <c r="G88" i="712"/>
  <c r="G86" i="712"/>
  <c r="G83" i="712"/>
  <c r="G81" i="712"/>
  <c r="G79" i="712"/>
  <c r="G77" i="712"/>
  <c r="G74" i="712"/>
  <c r="G72" i="712"/>
  <c r="G70" i="712"/>
  <c r="G68" i="712"/>
  <c r="G65" i="712"/>
  <c r="G63" i="712"/>
  <c r="G61" i="712"/>
  <c r="G59" i="712"/>
  <c r="G56" i="712"/>
  <c r="G55" i="712"/>
  <c r="G54" i="712"/>
  <c r="G53" i="712"/>
  <c r="G52" i="712"/>
  <c r="G50" i="712"/>
  <c r="G47" i="712"/>
  <c r="G45" i="712"/>
  <c r="G43" i="712"/>
  <c r="G41" i="712"/>
  <c r="G39" i="712"/>
  <c r="G38" i="712"/>
  <c r="G36" i="712"/>
  <c r="G34" i="712"/>
  <c r="G32" i="712"/>
  <c r="G30" i="712"/>
  <c r="G29" i="712"/>
  <c r="G27" i="712"/>
  <c r="G25" i="712"/>
  <c r="G23" i="712"/>
  <c r="G21" i="712"/>
  <c r="G20" i="712"/>
  <c r="G18" i="712"/>
  <c r="G16" i="712"/>
  <c r="A1" i="712"/>
  <c r="G1246" i="711"/>
  <c r="G1245" i="711"/>
  <c r="G1229" i="711"/>
  <c r="G1228" i="711"/>
  <c r="G1227" i="711"/>
  <c r="G1224" i="711"/>
  <c r="G1198" i="711"/>
  <c r="G1199" i="711" s="1"/>
  <c r="G1194" i="711"/>
  <c r="G1193" i="711"/>
  <c r="G1192" i="711"/>
  <c r="G1191" i="711"/>
  <c r="G1187" i="711"/>
  <c r="G1186" i="711"/>
  <c r="G1185" i="711"/>
  <c r="G1184" i="711"/>
  <c r="G1180" i="711"/>
  <c r="G1179" i="711"/>
  <c r="G1178" i="711"/>
  <c r="G1177" i="711"/>
  <c r="G1173" i="711"/>
  <c r="G1174" i="711" s="1"/>
  <c r="G1169" i="711"/>
  <c r="G1168" i="711"/>
  <c r="G1164" i="711"/>
  <c r="G1163" i="711"/>
  <c r="G1159" i="711"/>
  <c r="G1158" i="711"/>
  <c r="G1157" i="711"/>
  <c r="G1156" i="711"/>
  <c r="G1152" i="711"/>
  <c r="G1151" i="711"/>
  <c r="G1150" i="711"/>
  <c r="G1149" i="711"/>
  <c r="G1145" i="711"/>
  <c r="G1141" i="711"/>
  <c r="G1142" i="711" s="1"/>
  <c r="G1137" i="711"/>
  <c r="G1136" i="711"/>
  <c r="G1119" i="711"/>
  <c r="G1118" i="711"/>
  <c r="G1117" i="711"/>
  <c r="G1116" i="711"/>
  <c r="G1112" i="711"/>
  <c r="G1111" i="711"/>
  <c r="G1110" i="711"/>
  <c r="G1109" i="711"/>
  <c r="G1105" i="711"/>
  <c r="G1104" i="711"/>
  <c r="G1103" i="711"/>
  <c r="G1102" i="711"/>
  <c r="G1098" i="711"/>
  <c r="G1099" i="711" s="1"/>
  <c r="G1091" i="711"/>
  <c r="G964" i="711" s="1"/>
  <c r="G1086" i="711"/>
  <c r="G1085" i="711"/>
  <c r="G1084" i="711"/>
  <c r="G1080" i="711"/>
  <c r="G1079" i="711"/>
  <c r="G1078" i="711"/>
  <c r="G1075" i="711"/>
  <c r="G1074" i="711"/>
  <c r="G1073" i="711"/>
  <c r="G1070" i="711"/>
  <c r="G1069" i="711"/>
  <c r="G1068" i="711"/>
  <c r="G1067" i="711"/>
  <c r="G1064" i="711"/>
  <c r="G1063" i="711"/>
  <c r="G1062" i="711"/>
  <c r="G1061" i="711"/>
  <c r="G1058" i="711"/>
  <c r="G1057" i="711"/>
  <c r="G1056" i="711"/>
  <c r="G1055" i="711"/>
  <c r="G1052" i="711"/>
  <c r="G1051" i="711"/>
  <c r="G1050" i="711"/>
  <c r="G1047" i="711"/>
  <c r="G1046" i="711"/>
  <c r="G1045" i="711"/>
  <c r="G1044" i="711"/>
  <c r="G1041" i="711"/>
  <c r="G1040" i="711"/>
  <c r="G1039" i="711"/>
  <c r="G1038" i="711"/>
  <c r="G1035" i="711"/>
  <c r="G1034" i="711"/>
  <c r="G1033" i="711"/>
  <c r="G1032" i="711"/>
  <c r="G1029" i="711"/>
  <c r="G1028" i="711"/>
  <c r="G1027" i="711"/>
  <c r="G1021" i="711"/>
  <c r="G1020" i="711"/>
  <c r="G1019" i="711"/>
  <c r="G1016" i="711"/>
  <c r="G1015" i="711"/>
  <c r="G1014" i="711"/>
  <c r="G1011" i="711"/>
  <c r="G1010" i="711"/>
  <c r="G1009" i="711"/>
  <c r="G1006" i="711"/>
  <c r="G1005" i="711"/>
  <c r="G1004" i="711"/>
  <c r="G1001" i="711"/>
  <c r="G1000" i="711"/>
  <c r="G999" i="711"/>
  <c r="G996" i="711"/>
  <c r="G995" i="711"/>
  <c r="G994" i="711"/>
  <c r="G991" i="711"/>
  <c r="G990" i="711"/>
  <c r="G989" i="711"/>
  <c r="G985" i="711"/>
  <c r="G984" i="711"/>
  <c r="G983" i="711"/>
  <c r="G982" i="711"/>
  <c r="G981" i="711"/>
  <c r="G980" i="711"/>
  <c r="G979" i="711"/>
  <c r="G978" i="711"/>
  <c r="G975" i="711"/>
  <c r="G974" i="711"/>
  <c r="G973" i="711"/>
  <c r="G970" i="711"/>
  <c r="G969" i="711"/>
  <c r="G968" i="711"/>
  <c r="G962" i="711"/>
  <c r="G961" i="711"/>
  <c r="G960" i="711"/>
  <c r="G959" i="711"/>
  <c r="G958" i="711"/>
  <c r="G957" i="711"/>
  <c r="G956" i="711"/>
  <c r="G953" i="711"/>
  <c r="G951" i="711"/>
  <c r="G950" i="711"/>
  <c r="G931" i="711"/>
  <c r="G929" i="711"/>
  <c r="G927" i="711"/>
  <c r="G925" i="711"/>
  <c r="G1225" i="711"/>
  <c r="G920" i="711"/>
  <c r="G919" i="711"/>
  <c r="G918" i="711"/>
  <c r="G917" i="711"/>
  <c r="G910" i="711"/>
  <c r="G909" i="711"/>
  <c r="G908" i="711"/>
  <c r="G907" i="711"/>
  <c r="G903" i="711"/>
  <c r="G902" i="711"/>
  <c r="G901" i="711"/>
  <c r="G900" i="711"/>
  <c r="G887" i="711"/>
  <c r="G886" i="711"/>
  <c r="G884" i="711"/>
  <c r="G883" i="711"/>
  <c r="G882" i="711"/>
  <c r="G880" i="711"/>
  <c r="G879" i="711"/>
  <c r="G878" i="711"/>
  <c r="G876" i="711"/>
  <c r="G875" i="711"/>
  <c r="G874" i="711"/>
  <c r="G872" i="711"/>
  <c r="G871" i="711"/>
  <c r="G870" i="711"/>
  <c r="G868" i="711"/>
  <c r="G867" i="711"/>
  <c r="G866" i="711"/>
  <c r="G864" i="711"/>
  <c r="G863" i="711"/>
  <c r="G862" i="711"/>
  <c r="G860" i="711"/>
  <c r="G859" i="711"/>
  <c r="G858" i="711"/>
  <c r="G856" i="711"/>
  <c r="G855" i="711"/>
  <c r="G854" i="711"/>
  <c r="G852" i="711"/>
  <c r="G851" i="711"/>
  <c r="G850" i="711"/>
  <c r="G848" i="711"/>
  <c r="G847" i="711"/>
  <c r="G846" i="711"/>
  <c r="G844" i="711"/>
  <c r="G843" i="711"/>
  <c r="G842" i="711"/>
  <c r="G840" i="711"/>
  <c r="G839" i="711"/>
  <c r="G838" i="711"/>
  <c r="G826" i="711"/>
  <c r="G825" i="711"/>
  <c r="G821" i="711"/>
  <c r="G820" i="711"/>
  <c r="G816" i="711"/>
  <c r="G815" i="711"/>
  <c r="G811" i="711"/>
  <c r="G810" i="711"/>
  <c r="G798" i="711"/>
  <c r="G797" i="711"/>
  <c r="G793" i="711"/>
  <c r="G792" i="711"/>
  <c r="G788" i="711"/>
  <c r="G787" i="711"/>
  <c r="G783" i="711"/>
  <c r="G782" i="711"/>
  <c r="G778" i="711"/>
  <c r="G777" i="711"/>
  <c r="G773" i="711"/>
  <c r="G772" i="711"/>
  <c r="G768" i="711"/>
  <c r="G767" i="711"/>
  <c r="G763" i="711"/>
  <c r="G762" i="711"/>
  <c r="G758" i="711"/>
  <c r="G757" i="711"/>
  <c r="G745" i="711"/>
  <c r="G744" i="711"/>
  <c r="G740" i="711"/>
  <c r="G739" i="711"/>
  <c r="G735" i="711"/>
  <c r="G734" i="711"/>
  <c r="G730" i="711"/>
  <c r="G729" i="711"/>
  <c r="G725" i="711"/>
  <c r="G724" i="711"/>
  <c r="G720" i="711"/>
  <c r="G719" i="711"/>
  <c r="G715" i="711"/>
  <c r="G714" i="711"/>
  <c r="G710" i="711"/>
  <c r="G709" i="711"/>
  <c r="G705" i="711"/>
  <c r="G704" i="711"/>
  <c r="G700" i="711"/>
  <c r="G699" i="711"/>
  <c r="G695" i="711"/>
  <c r="G694" i="711"/>
  <c r="G690" i="711"/>
  <c r="G689" i="711"/>
  <c r="G685" i="711"/>
  <c r="G684" i="711"/>
  <c r="G680" i="711"/>
  <c r="G679" i="711"/>
  <c r="G675" i="711"/>
  <c r="G674" i="711"/>
  <c r="G670" i="711"/>
  <c r="G669" i="711"/>
  <c r="G665" i="711"/>
  <c r="G664" i="711"/>
  <c r="G660" i="711"/>
  <c r="G659" i="711"/>
  <c r="G655" i="711"/>
  <c r="G654" i="711"/>
  <c r="G647" i="711"/>
  <c r="G646" i="711"/>
  <c r="G627" i="711"/>
  <c r="G626" i="711"/>
  <c r="G622" i="711"/>
  <c r="G621" i="711"/>
  <c r="G617" i="711"/>
  <c r="G616" i="711"/>
  <c r="G612" i="711"/>
  <c r="G611" i="711"/>
  <c r="G607" i="711"/>
  <c r="G606" i="711"/>
  <c r="G602" i="711"/>
  <c r="G601" i="711"/>
  <c r="G597" i="711"/>
  <c r="G596" i="711"/>
  <c r="G592" i="711"/>
  <c r="G591" i="711"/>
  <c r="G587" i="711"/>
  <c r="G586" i="711"/>
  <c r="G582" i="711"/>
  <c r="G581" i="711"/>
  <c r="G577" i="711"/>
  <c r="G576" i="711"/>
  <c r="G572" i="711"/>
  <c r="G571" i="711"/>
  <c r="G567" i="711"/>
  <c r="G566" i="711"/>
  <c r="G562" i="711"/>
  <c r="G561" i="711"/>
  <c r="G557" i="711"/>
  <c r="G556" i="711"/>
  <c r="G552" i="711"/>
  <c r="G551" i="711"/>
  <c r="G547" i="711"/>
  <c r="G546" i="711"/>
  <c r="G542" i="711"/>
  <c r="G541" i="711"/>
  <c r="G537" i="711"/>
  <c r="G536" i="711"/>
  <c r="G532" i="711"/>
  <c r="G531" i="711"/>
  <c r="G527" i="711"/>
  <c r="G526" i="711"/>
  <c r="G522" i="711"/>
  <c r="G521" i="711"/>
  <c r="G496" i="711"/>
  <c r="G495" i="711"/>
  <c r="G491" i="711"/>
  <c r="G490" i="711"/>
  <c r="G486" i="711"/>
  <c r="G485" i="711"/>
  <c r="G481" i="711"/>
  <c r="G480" i="711"/>
  <c r="G476" i="711"/>
  <c r="G475" i="711"/>
  <c r="G471" i="711"/>
  <c r="G470" i="711"/>
  <c r="G466" i="711"/>
  <c r="G465" i="711"/>
  <c r="G461" i="711"/>
  <c r="G460" i="711"/>
  <c r="G456" i="711"/>
  <c r="G455" i="711"/>
  <c r="G451" i="711"/>
  <c r="G450" i="711"/>
  <c r="G446" i="711"/>
  <c r="G445" i="711"/>
  <c r="G441" i="711"/>
  <c r="G440" i="711"/>
  <c r="G436" i="711"/>
  <c r="G435" i="711"/>
  <c r="G431" i="711"/>
  <c r="G430" i="711"/>
  <c r="G426" i="711"/>
  <c r="G425" i="711"/>
  <c r="G421" i="711"/>
  <c r="G420" i="711"/>
  <c r="G416" i="711"/>
  <c r="G415" i="711"/>
  <c r="G411" i="711"/>
  <c r="G410" i="711"/>
  <c r="G406" i="711"/>
  <c r="G405" i="711"/>
  <c r="G401" i="711"/>
  <c r="G400" i="711"/>
  <c r="G396" i="711"/>
  <c r="G395" i="711"/>
  <c r="G391" i="711"/>
  <c r="G390" i="711"/>
  <c r="G386" i="711"/>
  <c r="G385" i="711"/>
  <c r="G381" i="711"/>
  <c r="G380" i="711"/>
  <c r="G354" i="711"/>
  <c r="G350" i="711"/>
  <c r="G358" i="711" s="1"/>
  <c r="G347" i="711"/>
  <c r="G345" i="711"/>
  <c r="G343" i="711"/>
  <c r="G341" i="711"/>
  <c r="G338" i="711"/>
  <c r="G336" i="711"/>
  <c r="G334" i="711"/>
  <c r="G321" i="711"/>
  <c r="G320" i="711"/>
  <c r="G318" i="711"/>
  <c r="G315" i="711"/>
  <c r="G313" i="711"/>
  <c r="G311" i="711"/>
  <c r="G309" i="711"/>
  <c r="G306" i="711"/>
  <c r="G304" i="711"/>
  <c r="G302" i="711"/>
  <c r="G300" i="711"/>
  <c r="G297" i="711"/>
  <c r="G295" i="711"/>
  <c r="G293" i="711"/>
  <c r="G291" i="711"/>
  <c r="G288" i="711"/>
  <c r="G286" i="711"/>
  <c r="G284" i="711"/>
  <c r="G282" i="711"/>
  <c r="G279" i="711"/>
  <c r="G277" i="711"/>
  <c r="G275" i="711"/>
  <c r="G273" i="711"/>
  <c r="G270" i="711"/>
  <c r="G268" i="711"/>
  <c r="G266" i="711"/>
  <c r="G264" i="711"/>
  <c r="G261" i="711"/>
  <c r="G259" i="711"/>
  <c r="G257" i="711"/>
  <c r="G255" i="711"/>
  <c r="G252" i="711"/>
  <c r="G250" i="711"/>
  <c r="G248" i="711"/>
  <c r="G246" i="711"/>
  <c r="G243" i="711"/>
  <c r="G241" i="711"/>
  <c r="G239" i="711"/>
  <c r="G226" i="711"/>
  <c r="G223" i="711"/>
  <c r="G221" i="711"/>
  <c r="G219" i="711"/>
  <c r="G217" i="711"/>
  <c r="G214" i="711"/>
  <c r="G212" i="711"/>
  <c r="G210" i="711"/>
  <c r="G197" i="711"/>
  <c r="G196" i="711"/>
  <c r="G194" i="711"/>
  <c r="G191" i="711"/>
  <c r="G189" i="711"/>
  <c r="G187" i="711"/>
  <c r="G185" i="711"/>
  <c r="G182" i="711"/>
  <c r="G180" i="711"/>
  <c r="G178" i="711"/>
  <c r="G176" i="711"/>
  <c r="G173" i="711"/>
  <c r="G171" i="711"/>
  <c r="G169" i="711"/>
  <c r="G167" i="711"/>
  <c r="G164" i="711"/>
  <c r="G162" i="711"/>
  <c r="G160" i="711"/>
  <c r="G158" i="711"/>
  <c r="G155" i="711"/>
  <c r="G153" i="711"/>
  <c r="G151" i="711"/>
  <c r="G149" i="711"/>
  <c r="G146" i="711"/>
  <c r="G144" i="711"/>
  <c r="G142" i="711"/>
  <c r="G140" i="711"/>
  <c r="G137" i="711"/>
  <c r="G135" i="711"/>
  <c r="G133" i="711"/>
  <c r="G131" i="711"/>
  <c r="G128" i="711"/>
  <c r="G126" i="711"/>
  <c r="G124" i="711"/>
  <c r="G122" i="711"/>
  <c r="G119" i="711"/>
  <c r="G117" i="711"/>
  <c r="G115" i="711"/>
  <c r="G113" i="711"/>
  <c r="G110" i="711"/>
  <c r="G108" i="711"/>
  <c r="G106" i="711"/>
  <c r="G104" i="711"/>
  <c r="G101" i="711"/>
  <c r="G99" i="711"/>
  <c r="G97" i="711"/>
  <c r="G95" i="711"/>
  <c r="G92" i="711"/>
  <c r="G90" i="711"/>
  <c r="G88" i="711"/>
  <c r="G86" i="711"/>
  <c r="G83" i="711"/>
  <c r="G81" i="711"/>
  <c r="G79" i="711"/>
  <c r="G77" i="711"/>
  <c r="G74" i="711"/>
  <c r="G72" i="711"/>
  <c r="G70" i="711"/>
  <c r="G68" i="711"/>
  <c r="G65" i="711"/>
  <c r="G63" i="711"/>
  <c r="G61" i="711"/>
  <c r="G59" i="711"/>
  <c r="G56" i="711"/>
  <c r="G55" i="711"/>
  <c r="G54" i="711"/>
  <c r="G53" i="711"/>
  <c r="G52" i="711"/>
  <c r="G50" i="711"/>
  <c r="G47" i="711"/>
  <c r="G45" i="711"/>
  <c r="G43" i="711"/>
  <c r="G41" i="711"/>
  <c r="G39" i="711"/>
  <c r="G38" i="711"/>
  <c r="G36" i="711"/>
  <c r="G34" i="711"/>
  <c r="G32" i="711"/>
  <c r="G30" i="711"/>
  <c r="G29" i="711"/>
  <c r="G27" i="711"/>
  <c r="G25" i="711"/>
  <c r="G23" i="711"/>
  <c r="G21" i="711"/>
  <c r="G20" i="711"/>
  <c r="G18" i="711"/>
  <c r="G16" i="711"/>
  <c r="A1" i="711"/>
  <c r="G1246" i="710"/>
  <c r="G1245" i="710"/>
  <c r="G1229" i="710"/>
  <c r="G1228" i="710"/>
  <c r="G1227" i="710"/>
  <c r="G1224" i="710"/>
  <c r="G1198" i="710"/>
  <c r="G1199" i="710" s="1"/>
  <c r="G1194" i="710"/>
  <c r="G1193" i="710"/>
  <c r="G1192" i="710"/>
  <c r="G1191" i="710"/>
  <c r="G1187" i="710"/>
  <c r="G1186" i="710"/>
  <c r="G1185" i="710"/>
  <c r="G1184" i="710"/>
  <c r="G1180" i="710"/>
  <c r="G1179" i="710"/>
  <c r="G1178" i="710"/>
  <c r="G1177" i="710"/>
  <c r="G1173" i="710"/>
  <c r="G1174" i="710" s="1"/>
  <c r="G1169" i="710"/>
  <c r="G1168" i="710"/>
  <c r="G1164" i="710"/>
  <c r="G1163" i="710"/>
  <c r="G1159" i="710"/>
  <c r="G1158" i="710"/>
  <c r="G1157" i="710"/>
  <c r="G1156" i="710"/>
  <c r="G1152" i="710"/>
  <c r="G1151" i="710"/>
  <c r="G1150" i="710"/>
  <c r="G1149" i="710"/>
  <c r="G1145" i="710"/>
  <c r="G1141" i="710"/>
  <c r="G1142" i="710" s="1"/>
  <c r="G1137" i="710"/>
  <c r="G1136" i="710"/>
  <c r="G1241" i="710"/>
  <c r="G1119" i="710"/>
  <c r="G1118" i="710"/>
  <c r="G1117" i="710"/>
  <c r="G1116" i="710"/>
  <c r="G1112" i="710"/>
  <c r="G1111" i="710"/>
  <c r="G1110" i="710"/>
  <c r="G1109" i="710"/>
  <c r="G1105" i="710"/>
  <c r="G1104" i="710"/>
  <c r="G1103" i="710"/>
  <c r="G1102" i="710"/>
  <c r="G1098" i="710"/>
  <c r="G1099" i="710" s="1"/>
  <c r="G1092" i="710"/>
  <c r="G1091" i="710"/>
  <c r="G964" i="710" s="1"/>
  <c r="G1086" i="710"/>
  <c r="G1085" i="710"/>
  <c r="G1084" i="710"/>
  <c r="G1080" i="710"/>
  <c r="G1079" i="710"/>
  <c r="G1078" i="710"/>
  <c r="G1075" i="710"/>
  <c r="G1074" i="710"/>
  <c r="G1073" i="710"/>
  <c r="G1070" i="710"/>
  <c r="G1069" i="710"/>
  <c r="G1068" i="710"/>
  <c r="G1067" i="710"/>
  <c r="G1064" i="710"/>
  <c r="G1063" i="710"/>
  <c r="G1062" i="710"/>
  <c r="G1061" i="710"/>
  <c r="G1058" i="710"/>
  <c r="G1057" i="710"/>
  <c r="G1056" i="710"/>
  <c r="G1055" i="710"/>
  <c r="G1052" i="710"/>
  <c r="G1051" i="710"/>
  <c r="G1050" i="710"/>
  <c r="G1047" i="710"/>
  <c r="G1046" i="710"/>
  <c r="G1045" i="710"/>
  <c r="G1044" i="710"/>
  <c r="G1041" i="710"/>
  <c r="G1040" i="710"/>
  <c r="G1039" i="710"/>
  <c r="G1038" i="710"/>
  <c r="G1035" i="710"/>
  <c r="G1034" i="710"/>
  <c r="G1033" i="710"/>
  <c r="G1032" i="710"/>
  <c r="G1029" i="710"/>
  <c r="G1028" i="710"/>
  <c r="G1027" i="710"/>
  <c r="G1021" i="710"/>
  <c r="G1020" i="710"/>
  <c r="G1019" i="710"/>
  <c r="G1016" i="710"/>
  <c r="G1015" i="710"/>
  <c r="G1014" i="710"/>
  <c r="G1011" i="710"/>
  <c r="G1010" i="710"/>
  <c r="G1009" i="710"/>
  <c r="G1006" i="710"/>
  <c r="G1005" i="710"/>
  <c r="G1004" i="710"/>
  <c r="G1001" i="710"/>
  <c r="G1000" i="710"/>
  <c r="G999" i="710"/>
  <c r="G996" i="710"/>
  <c r="G995" i="710"/>
  <c r="G994" i="710"/>
  <c r="G991" i="710"/>
  <c r="G990" i="710"/>
  <c r="G989" i="710"/>
  <c r="G985" i="710"/>
  <c r="G984" i="710"/>
  <c r="G983" i="710"/>
  <c r="G982" i="710"/>
  <c r="G981" i="710"/>
  <c r="G980" i="710"/>
  <c r="G979" i="710"/>
  <c r="G978" i="710"/>
  <c r="G975" i="710"/>
  <c r="G974" i="710"/>
  <c r="G973" i="710"/>
  <c r="G970" i="710"/>
  <c r="G969" i="710"/>
  <c r="G968" i="710"/>
  <c r="G962" i="710"/>
  <c r="G961" i="710"/>
  <c r="G960" i="710"/>
  <c r="G959" i="710"/>
  <c r="G958" i="710"/>
  <c r="G957" i="710"/>
  <c r="G956" i="710"/>
  <c r="G953" i="710"/>
  <c r="G951" i="710"/>
  <c r="G950" i="710"/>
  <c r="G931" i="710"/>
  <c r="G929" i="710"/>
  <c r="G927" i="710"/>
  <c r="G925" i="710"/>
  <c r="G1225" i="710"/>
  <c r="G920" i="710"/>
  <c r="G919" i="710"/>
  <c r="G918" i="710"/>
  <c r="G917" i="710"/>
  <c r="G910" i="710"/>
  <c r="G909" i="710"/>
  <c r="G908" i="710"/>
  <c r="G907" i="710"/>
  <c r="G903" i="710"/>
  <c r="G902" i="710"/>
  <c r="G901" i="710"/>
  <c r="G900" i="710"/>
  <c r="G887" i="710"/>
  <c r="G886" i="710"/>
  <c r="G884" i="710"/>
  <c r="G883" i="710"/>
  <c r="G882" i="710"/>
  <c r="G880" i="710"/>
  <c r="G879" i="710"/>
  <c r="G878" i="710"/>
  <c r="G876" i="710"/>
  <c r="G875" i="710"/>
  <c r="G874" i="710"/>
  <c r="G872" i="710"/>
  <c r="G871" i="710"/>
  <c r="G870" i="710"/>
  <c r="G868" i="710"/>
  <c r="G867" i="710"/>
  <c r="G866" i="710"/>
  <c r="G864" i="710"/>
  <c r="G863" i="710"/>
  <c r="G862" i="710"/>
  <c r="G860" i="710"/>
  <c r="G859" i="710"/>
  <c r="G858" i="710"/>
  <c r="G856" i="710"/>
  <c r="G855" i="710"/>
  <c r="G854" i="710"/>
  <c r="G852" i="710"/>
  <c r="G851" i="710"/>
  <c r="G850" i="710"/>
  <c r="G848" i="710"/>
  <c r="G847" i="710"/>
  <c r="G846" i="710"/>
  <c r="G844" i="710"/>
  <c r="G843" i="710"/>
  <c r="G842" i="710"/>
  <c r="G840" i="710"/>
  <c r="G839" i="710"/>
  <c r="G838" i="710"/>
  <c r="G826" i="710"/>
  <c r="G825" i="710"/>
  <c r="G821" i="710"/>
  <c r="G820" i="710"/>
  <c r="G816" i="710"/>
  <c r="G815" i="710"/>
  <c r="G811" i="710"/>
  <c r="G810" i="710"/>
  <c r="G798" i="710"/>
  <c r="G797" i="710"/>
  <c r="G793" i="710"/>
  <c r="G792" i="710"/>
  <c r="G788" i="710"/>
  <c r="G787" i="710"/>
  <c r="G783" i="710"/>
  <c r="G782" i="710"/>
  <c r="G778" i="710"/>
  <c r="G777" i="710"/>
  <c r="G773" i="710"/>
  <c r="G772" i="710"/>
  <c r="G768" i="710"/>
  <c r="G767" i="710"/>
  <c r="G763" i="710"/>
  <c r="G762" i="710"/>
  <c r="G758" i="710"/>
  <c r="G757" i="710"/>
  <c r="G745" i="710"/>
  <c r="G744" i="710"/>
  <c r="G740" i="710"/>
  <c r="G739" i="710"/>
  <c r="G735" i="710"/>
  <c r="G734" i="710"/>
  <c r="G730" i="710"/>
  <c r="G729" i="710"/>
  <c r="G725" i="710"/>
  <c r="G724" i="710"/>
  <c r="G720" i="710"/>
  <c r="G719" i="710"/>
  <c r="G715" i="710"/>
  <c r="G714" i="710"/>
  <c r="G710" i="710"/>
  <c r="G709" i="710"/>
  <c r="G705" i="710"/>
  <c r="G704" i="710"/>
  <c r="G700" i="710"/>
  <c r="G699" i="710"/>
  <c r="G695" i="710"/>
  <c r="G694" i="710"/>
  <c r="G690" i="710"/>
  <c r="G689" i="710"/>
  <c r="G685" i="710"/>
  <c r="G684" i="710"/>
  <c r="G680" i="710"/>
  <c r="G679" i="710"/>
  <c r="G675" i="710"/>
  <c r="G674" i="710"/>
  <c r="G670" i="710"/>
  <c r="G669" i="710"/>
  <c r="G665" i="710"/>
  <c r="G664" i="710"/>
  <c r="G660" i="710"/>
  <c r="G659" i="710"/>
  <c r="G655" i="710"/>
  <c r="G654" i="710"/>
  <c r="G647" i="710"/>
  <c r="G646" i="710"/>
  <c r="G627" i="710"/>
  <c r="G626" i="710"/>
  <c r="G622" i="710"/>
  <c r="G621" i="710"/>
  <c r="G617" i="710"/>
  <c r="G616" i="710"/>
  <c r="G612" i="710"/>
  <c r="G611" i="710"/>
  <c r="G607" i="710"/>
  <c r="G606" i="710"/>
  <c r="G602" i="710"/>
  <c r="G601" i="710"/>
  <c r="G597" i="710"/>
  <c r="G596" i="710"/>
  <c r="G592" i="710"/>
  <c r="G591" i="710"/>
  <c r="G587" i="710"/>
  <c r="G586" i="710"/>
  <c r="G582" i="710"/>
  <c r="G581" i="710"/>
  <c r="G577" i="710"/>
  <c r="G576" i="710"/>
  <c r="G572" i="710"/>
  <c r="G571" i="710"/>
  <c r="G567" i="710"/>
  <c r="G566" i="710"/>
  <c r="G562" i="710"/>
  <c r="G561" i="710"/>
  <c r="G557" i="710"/>
  <c r="G556" i="710"/>
  <c r="G552" i="710"/>
  <c r="G551" i="710"/>
  <c r="G547" i="710"/>
  <c r="G546" i="710"/>
  <c r="G542" i="710"/>
  <c r="G541" i="710"/>
  <c r="G537" i="710"/>
  <c r="G536" i="710"/>
  <c r="G532" i="710"/>
  <c r="G531" i="710"/>
  <c r="G527" i="710"/>
  <c r="G526" i="710"/>
  <c r="G522" i="710"/>
  <c r="G521" i="710"/>
  <c r="G496" i="710"/>
  <c r="G495" i="710"/>
  <c r="G491" i="710"/>
  <c r="G490" i="710"/>
  <c r="G486" i="710"/>
  <c r="G485" i="710"/>
  <c r="G481" i="710"/>
  <c r="G480" i="710"/>
  <c r="G476" i="710"/>
  <c r="G475" i="710"/>
  <c r="G471" i="710"/>
  <c r="G470" i="710"/>
  <c r="G466" i="710"/>
  <c r="G465" i="710"/>
  <c r="G461" i="710"/>
  <c r="G460" i="710"/>
  <c r="G456" i="710"/>
  <c r="G455" i="710"/>
  <c r="G451" i="710"/>
  <c r="G450" i="710"/>
  <c r="G446" i="710"/>
  <c r="G445" i="710"/>
  <c r="G441" i="710"/>
  <c r="G440" i="710"/>
  <c r="G436" i="710"/>
  <c r="G435" i="710"/>
  <c r="G431" i="710"/>
  <c r="G430" i="710"/>
  <c r="G426" i="710"/>
  <c r="G425" i="710"/>
  <c r="G421" i="710"/>
  <c r="G420" i="710"/>
  <c r="G416" i="710"/>
  <c r="G415" i="710"/>
  <c r="G411" i="710"/>
  <c r="G410" i="710"/>
  <c r="G406" i="710"/>
  <c r="G405" i="710"/>
  <c r="G401" i="710"/>
  <c r="G400" i="710"/>
  <c r="G396" i="710"/>
  <c r="G395" i="710"/>
  <c r="G391" i="710"/>
  <c r="G390" i="710"/>
  <c r="G386" i="710"/>
  <c r="G385" i="710"/>
  <c r="G381" i="710"/>
  <c r="G380" i="710"/>
  <c r="G354" i="710"/>
  <c r="G350" i="710"/>
  <c r="G358" i="710" s="1"/>
  <c r="G347" i="710"/>
  <c r="G345" i="710"/>
  <c r="G343" i="710"/>
  <c r="G341" i="710"/>
  <c r="G338" i="710"/>
  <c r="G336" i="710"/>
  <c r="G334" i="710"/>
  <c r="G321" i="710"/>
  <c r="G320" i="710"/>
  <c r="G318" i="710"/>
  <c r="G315" i="710"/>
  <c r="G313" i="710"/>
  <c r="G311" i="710"/>
  <c r="G309" i="710"/>
  <c r="G306" i="710"/>
  <c r="G304" i="710"/>
  <c r="G302" i="710"/>
  <c r="G300" i="710"/>
  <c r="G297" i="710"/>
  <c r="G295" i="710"/>
  <c r="G293" i="710"/>
  <c r="G291" i="710"/>
  <c r="G288" i="710"/>
  <c r="G286" i="710"/>
  <c r="G284" i="710"/>
  <c r="G282" i="710"/>
  <c r="G279" i="710"/>
  <c r="G277" i="710"/>
  <c r="G275" i="710"/>
  <c r="G273" i="710"/>
  <c r="G270" i="710"/>
  <c r="G268" i="710"/>
  <c r="G266" i="710"/>
  <c r="G264" i="710"/>
  <c r="G261" i="710"/>
  <c r="G259" i="710"/>
  <c r="G257" i="710"/>
  <c r="G255" i="710"/>
  <c r="G252" i="710"/>
  <c r="G250" i="710"/>
  <c r="G248" i="710"/>
  <c r="G246" i="710"/>
  <c r="G243" i="710"/>
  <c r="G241" i="710"/>
  <c r="G239" i="710"/>
  <c r="G226" i="710"/>
  <c r="G223" i="710"/>
  <c r="G221" i="710"/>
  <c r="G219" i="710"/>
  <c r="G217" i="710"/>
  <c r="G214" i="710"/>
  <c r="G212" i="710"/>
  <c r="G210" i="710"/>
  <c r="G197" i="710"/>
  <c r="G196" i="710"/>
  <c r="G194" i="710"/>
  <c r="G191" i="710"/>
  <c r="G189" i="710"/>
  <c r="G187" i="710"/>
  <c r="G185" i="710"/>
  <c r="G182" i="710"/>
  <c r="G180" i="710"/>
  <c r="G178" i="710"/>
  <c r="G176" i="710"/>
  <c r="G173" i="710"/>
  <c r="G171" i="710"/>
  <c r="G169" i="710"/>
  <c r="G167" i="710"/>
  <c r="G164" i="710"/>
  <c r="G162" i="710"/>
  <c r="G160" i="710"/>
  <c r="G158" i="710"/>
  <c r="G155" i="710"/>
  <c r="G153" i="710"/>
  <c r="G151" i="710"/>
  <c r="G149" i="710"/>
  <c r="G146" i="710"/>
  <c r="G144" i="710"/>
  <c r="G142" i="710"/>
  <c r="G140" i="710"/>
  <c r="G137" i="710"/>
  <c r="G135" i="710"/>
  <c r="G133" i="710"/>
  <c r="G131" i="710"/>
  <c r="G128" i="710"/>
  <c r="G126" i="710"/>
  <c r="G124" i="710"/>
  <c r="G122" i="710"/>
  <c r="G119" i="710"/>
  <c r="G117" i="710"/>
  <c r="G115" i="710"/>
  <c r="G113" i="710"/>
  <c r="G110" i="710"/>
  <c r="G108" i="710"/>
  <c r="G106" i="710"/>
  <c r="G104" i="710"/>
  <c r="G101" i="710"/>
  <c r="G99" i="710"/>
  <c r="G97" i="710"/>
  <c r="G95" i="710"/>
  <c r="G92" i="710"/>
  <c r="G90" i="710"/>
  <c r="G88" i="710"/>
  <c r="G86" i="710"/>
  <c r="G83" i="710"/>
  <c r="G81" i="710"/>
  <c r="G79" i="710"/>
  <c r="G77" i="710"/>
  <c r="G74" i="710"/>
  <c r="G72" i="710"/>
  <c r="G70" i="710"/>
  <c r="G68" i="710"/>
  <c r="G65" i="710"/>
  <c r="G63" i="710"/>
  <c r="G61" i="710"/>
  <c r="G59" i="710"/>
  <c r="G56" i="710"/>
  <c r="G55" i="710"/>
  <c r="G54" i="710"/>
  <c r="G53" i="710"/>
  <c r="G52" i="710"/>
  <c r="G50" i="710"/>
  <c r="G47" i="710"/>
  <c r="G45" i="710"/>
  <c r="G43" i="710"/>
  <c r="G41" i="710"/>
  <c r="G39" i="710"/>
  <c r="G38" i="710"/>
  <c r="G36" i="710"/>
  <c r="G34" i="710"/>
  <c r="G32" i="710"/>
  <c r="G30" i="710"/>
  <c r="G29" i="710"/>
  <c r="G27" i="710"/>
  <c r="G25" i="710"/>
  <c r="G23" i="710"/>
  <c r="G21" i="710"/>
  <c r="G20" i="710"/>
  <c r="G18" i="710"/>
  <c r="G16" i="710"/>
  <c r="A1" i="710"/>
  <c r="G1242" i="711" l="1"/>
  <c r="G230" i="710"/>
  <c r="G359" i="710"/>
  <c r="G324" i="711"/>
  <c r="G324" i="712"/>
  <c r="G407" i="712"/>
  <c r="G427" i="712"/>
  <c r="G447" i="712"/>
  <c r="G467" i="712"/>
  <c r="G487" i="712"/>
  <c r="G558" i="712"/>
  <c r="G578" i="712"/>
  <c r="G598" i="712"/>
  <c r="G618" i="712"/>
  <c r="G649" i="712"/>
  <c r="G671" i="712"/>
  <c r="G691" i="712"/>
  <c r="G711" i="712"/>
  <c r="G731" i="712"/>
  <c r="G769" i="712"/>
  <c r="G789" i="712"/>
  <c r="G827" i="712"/>
  <c r="G244" i="710"/>
  <c r="G331" i="710"/>
  <c r="G280" i="710"/>
  <c r="G316" i="710"/>
  <c r="G271" i="711"/>
  <c r="G307" i="711"/>
  <c r="G330" i="711"/>
  <c r="G348" i="711"/>
  <c r="G207" i="712"/>
  <c r="G147" i="712"/>
  <c r="G183" i="712"/>
  <c r="G307" i="712"/>
  <c r="G330" i="712"/>
  <c r="G507" i="712"/>
  <c r="G397" i="712"/>
  <c r="G417" i="712"/>
  <c r="G437" i="712"/>
  <c r="G457" i="712"/>
  <c r="G477" i="712"/>
  <c r="G497" i="712"/>
  <c r="G528" i="712"/>
  <c r="G548" i="712"/>
  <c r="G568" i="712"/>
  <c r="G588" i="712"/>
  <c r="G608" i="712"/>
  <c r="G628" i="712"/>
  <c r="G631" i="712" s="1"/>
  <c r="G661" i="712"/>
  <c r="G681" i="712"/>
  <c r="G701" i="712"/>
  <c r="G721" i="712"/>
  <c r="G741" i="712"/>
  <c r="G779" i="712"/>
  <c r="G799" i="712"/>
  <c r="G817" i="712"/>
  <c r="G156" i="710"/>
  <c r="G192" i="710"/>
  <c r="G202" i="710"/>
  <c r="G48" i="710"/>
  <c r="G66" i="710"/>
  <c r="G102" i="710"/>
  <c r="G138" i="710"/>
  <c r="G224" i="710"/>
  <c r="G326" i="710"/>
  <c r="G262" i="710"/>
  <c r="G298" i="710"/>
  <c r="G129" i="712"/>
  <c r="G231" i="710"/>
  <c r="G397" i="710"/>
  <c r="G417" i="710"/>
  <c r="G437" i="710"/>
  <c r="G457" i="710"/>
  <c r="G477" i="710"/>
  <c r="G497" i="710"/>
  <c r="G528" i="710"/>
  <c r="G548" i="710"/>
  <c r="G568" i="710"/>
  <c r="G588" i="710"/>
  <c r="G608" i="710"/>
  <c r="G628" i="710"/>
  <c r="G631" i="710" s="1"/>
  <c r="G661" i="710"/>
  <c r="G681" i="710"/>
  <c r="G701" i="710"/>
  <c r="G721" i="710"/>
  <c r="G741" i="710"/>
  <c r="G779" i="710"/>
  <c r="G799" i="710"/>
  <c r="G817" i="710"/>
  <c r="G1106" i="711"/>
  <c r="G1203" i="711"/>
  <c r="G1160" i="711"/>
  <c r="G1170" i="711"/>
  <c r="G1195" i="711"/>
  <c r="G230" i="712"/>
  <c r="G224" i="712"/>
  <c r="G359" i="712"/>
  <c r="G1120" i="712"/>
  <c r="G1181" i="712"/>
  <c r="G407" i="710"/>
  <c r="G427" i="710"/>
  <c r="G447" i="710"/>
  <c r="G467" i="710"/>
  <c r="G487" i="710"/>
  <c r="G634" i="710"/>
  <c r="G558" i="710"/>
  <c r="G578" i="710"/>
  <c r="G598" i="710"/>
  <c r="G618" i="710"/>
  <c r="G649" i="710"/>
  <c r="G750" i="710"/>
  <c r="G671" i="710"/>
  <c r="G691" i="710"/>
  <c r="G711" i="710"/>
  <c r="G731" i="710"/>
  <c r="G769" i="710"/>
  <c r="G789" i="710"/>
  <c r="G831" i="710"/>
  <c r="G827" i="710"/>
  <c r="G201" i="712"/>
  <c r="G1203" i="712"/>
  <c r="G1170" i="712"/>
  <c r="G93" i="712"/>
  <c r="G206" i="712"/>
  <c r="G165" i="712"/>
  <c r="G253" i="712"/>
  <c r="G289" i="712"/>
  <c r="G634" i="712"/>
  <c r="G750" i="712"/>
  <c r="G831" i="712"/>
  <c r="G911" i="712"/>
  <c r="G1242" i="712"/>
  <c r="G84" i="710"/>
  <c r="G201" i="710"/>
  <c r="G207" i="710"/>
  <c r="G93" i="710"/>
  <c r="G129" i="710"/>
  <c r="G206" i="710"/>
  <c r="G165" i="710"/>
  <c r="G215" i="710"/>
  <c r="G236" i="710"/>
  <c r="G507" i="710"/>
  <c r="G174" i="710"/>
  <c r="G57" i="710"/>
  <c r="G75" i="710"/>
  <c r="G111" i="710"/>
  <c r="G147" i="710"/>
  <c r="G183" i="710"/>
  <c r="G253" i="710"/>
  <c r="G200" i="710"/>
  <c r="G120" i="710"/>
  <c r="G229" i="710"/>
  <c r="G339" i="710"/>
  <c r="G353" i="710"/>
  <c r="G271" i="710"/>
  <c r="G307" i="710"/>
  <c r="G330" i="710"/>
  <c r="G348" i="710"/>
  <c r="G402" i="710"/>
  <c r="G422" i="710"/>
  <c r="G442" i="710"/>
  <c r="G462" i="710"/>
  <c r="G482" i="710"/>
  <c r="G505" i="710"/>
  <c r="G533" i="710"/>
  <c r="G633" i="710"/>
  <c r="G553" i="710"/>
  <c r="G573" i="710"/>
  <c r="G593" i="710"/>
  <c r="G613" i="710"/>
  <c r="G666" i="710"/>
  <c r="G686" i="710"/>
  <c r="G706" i="710"/>
  <c r="G726" i="710"/>
  <c r="G746" i="710"/>
  <c r="G764" i="710"/>
  <c r="G784" i="710"/>
  <c r="G833" i="710"/>
  <c r="G822" i="710"/>
  <c r="G904" i="710"/>
  <c r="G1125" i="710"/>
  <c r="G200" i="711"/>
  <c r="G84" i="711"/>
  <c r="G120" i="711"/>
  <c r="G156" i="711"/>
  <c r="G192" i="711"/>
  <c r="G392" i="711"/>
  <c r="G412" i="711"/>
  <c r="G432" i="711"/>
  <c r="G452" i="711"/>
  <c r="G472" i="711"/>
  <c r="G492" i="711"/>
  <c r="G543" i="711"/>
  <c r="G563" i="711"/>
  <c r="G583" i="711"/>
  <c r="G603" i="711"/>
  <c r="G623" i="711"/>
  <c r="G749" i="711"/>
  <c r="G676" i="711"/>
  <c r="G696" i="711"/>
  <c r="G716" i="711"/>
  <c r="G736" i="711"/>
  <c r="G803" i="711"/>
  <c r="G774" i="711"/>
  <c r="G794" i="711"/>
  <c r="G830" i="711"/>
  <c r="G904" i="711"/>
  <c r="G1241" i="711"/>
  <c r="G202" i="712"/>
  <c r="G48" i="712"/>
  <c r="G66" i="712"/>
  <c r="G102" i="712"/>
  <c r="G138" i="712"/>
  <c r="G174" i="712"/>
  <c r="G215" i="712"/>
  <c r="G236" i="712"/>
  <c r="G244" i="712"/>
  <c r="G331" i="712"/>
  <c r="G280" i="712"/>
  <c r="G316" i="712"/>
  <c r="G348" i="712"/>
  <c r="G911" i="710"/>
  <c r="G253" i="711"/>
  <c r="G289" i="711"/>
  <c r="G57" i="712"/>
  <c r="G75" i="712"/>
  <c r="G111" i="712"/>
  <c r="G324" i="710"/>
  <c r="G289" i="710"/>
  <c r="G392" i="710"/>
  <c r="G412" i="710"/>
  <c r="G432" i="710"/>
  <c r="G452" i="710"/>
  <c r="G472" i="710"/>
  <c r="G492" i="710"/>
  <c r="G632" i="710"/>
  <c r="G543" i="710"/>
  <c r="G563" i="710"/>
  <c r="G583" i="710"/>
  <c r="G603" i="710"/>
  <c r="G623" i="710"/>
  <c r="G749" i="710"/>
  <c r="G676" i="710"/>
  <c r="G696" i="710"/>
  <c r="G716" i="710"/>
  <c r="G736" i="710"/>
  <c r="G803" i="710"/>
  <c r="G774" i="710"/>
  <c r="G794" i="710"/>
  <c r="G830" i="710"/>
  <c r="G921" i="710"/>
  <c r="G1106" i="710"/>
  <c r="G1113" i="710"/>
  <c r="G1120" i="710"/>
  <c r="G1205" i="710"/>
  <c r="G202" i="711"/>
  <c r="G48" i="711"/>
  <c r="G66" i="711"/>
  <c r="G102" i="711"/>
  <c r="G138" i="711"/>
  <c r="G174" i="711"/>
  <c r="G230" i="711"/>
  <c r="G224" i="711"/>
  <c r="G402" i="711"/>
  <c r="G422" i="711"/>
  <c r="G442" i="711"/>
  <c r="G462" i="711"/>
  <c r="G482" i="711"/>
  <c r="G505" i="711"/>
  <c r="G533" i="711"/>
  <c r="G633" i="711"/>
  <c r="G553" i="711"/>
  <c r="G573" i="711"/>
  <c r="G593" i="711"/>
  <c r="G613" i="711"/>
  <c r="G666" i="711"/>
  <c r="G686" i="711"/>
  <c r="G706" i="711"/>
  <c r="G726" i="711"/>
  <c r="G746" i="711"/>
  <c r="G764" i="711"/>
  <c r="G784" i="711"/>
  <c r="G833" i="711"/>
  <c r="G822" i="711"/>
  <c r="G921" i="711"/>
  <c r="G1113" i="711"/>
  <c r="G1204" i="711"/>
  <c r="G1205" i="711"/>
  <c r="G200" i="712"/>
  <c r="G84" i="712"/>
  <c r="G120" i="712"/>
  <c r="G156" i="712"/>
  <c r="G192" i="712"/>
  <c r="G231" i="712"/>
  <c r="G326" i="712"/>
  <c r="G262" i="712"/>
  <c r="G298" i="712"/>
  <c r="G1181" i="711"/>
  <c r="G271" i="712"/>
  <c r="G339" i="712"/>
  <c r="G392" i="712"/>
  <c r="G412" i="712"/>
  <c r="G432" i="712"/>
  <c r="G452" i="712"/>
  <c r="G472" i="712"/>
  <c r="G492" i="712"/>
  <c r="G543" i="712"/>
  <c r="G563" i="712"/>
  <c r="G583" i="712"/>
  <c r="G603" i="712"/>
  <c r="G623" i="712"/>
  <c r="G749" i="712"/>
  <c r="G676" i="712"/>
  <c r="G696" i="712"/>
  <c r="G716" i="712"/>
  <c r="G736" i="712"/>
  <c r="G803" i="712"/>
  <c r="G774" i="712"/>
  <c r="G794" i="712"/>
  <c r="G830" i="712"/>
  <c r="G904" i="712"/>
  <c r="G1241" i="712"/>
  <c r="G1153" i="712"/>
  <c r="G1188" i="712"/>
  <c r="G1106" i="712"/>
  <c r="G1160" i="712"/>
  <c r="G1195" i="712"/>
  <c r="G402" i="712"/>
  <c r="G422" i="712"/>
  <c r="G442" i="712"/>
  <c r="G462" i="712"/>
  <c r="G482" i="712"/>
  <c r="G505" i="712"/>
  <c r="G533" i="712"/>
  <c r="G633" i="712"/>
  <c r="G553" i="712"/>
  <c r="G573" i="712"/>
  <c r="G593" i="712"/>
  <c r="G613" i="712"/>
  <c r="G666" i="712"/>
  <c r="G686" i="712"/>
  <c r="G706" i="712"/>
  <c r="G726" i="712"/>
  <c r="G746" i="712"/>
  <c r="G764" i="712"/>
  <c r="G784" i="712"/>
  <c r="G833" i="712"/>
  <c r="G822" i="712"/>
  <c r="G921" i="712"/>
  <c r="G1092" i="712"/>
  <c r="G1125" i="712" s="1"/>
  <c r="G1113" i="712"/>
  <c r="G1204" i="712"/>
  <c r="G1205" i="712"/>
  <c r="G1165" i="712"/>
  <c r="G1153" i="710"/>
  <c r="G1160" i="710"/>
  <c r="G1165" i="710"/>
  <c r="G1170" i="710"/>
  <c r="G1181" i="710"/>
  <c r="G1195" i="710"/>
  <c r="G1242" i="710"/>
  <c r="G1203" i="710"/>
  <c r="G1204" i="710"/>
  <c r="G201" i="711"/>
  <c r="G207" i="711"/>
  <c r="G57" i="711"/>
  <c r="G75" i="711"/>
  <c r="G93" i="711"/>
  <c r="G111" i="711"/>
  <c r="G129" i="711"/>
  <c r="G206" i="711"/>
  <c r="G147" i="711"/>
  <c r="G165" i="711"/>
  <c r="G183" i="711"/>
  <c r="G215" i="711"/>
  <c r="G231" i="711"/>
  <c r="G236" i="711"/>
  <c r="G244" i="711"/>
  <c r="G326" i="711"/>
  <c r="G331" i="711"/>
  <c r="G262" i="711"/>
  <c r="G280" i="711"/>
  <c r="G298" i="711"/>
  <c r="G316" i="711"/>
  <c r="G339" i="711"/>
  <c r="G359" i="711"/>
  <c r="G507" i="711"/>
  <c r="G397" i="711"/>
  <c r="G407" i="711"/>
  <c r="G417" i="711"/>
  <c r="G427" i="711"/>
  <c r="G437" i="711"/>
  <c r="G447" i="711"/>
  <c r="G457" i="711"/>
  <c r="G467" i="711"/>
  <c r="G477" i="711"/>
  <c r="G487" i="711"/>
  <c r="G497" i="711"/>
  <c r="G634" i="711"/>
  <c r="G528" i="711"/>
  <c r="G548" i="711"/>
  <c r="G558" i="711"/>
  <c r="G568" i="711"/>
  <c r="G578" i="711"/>
  <c r="G588" i="711"/>
  <c r="G598" i="711"/>
  <c r="G608" i="711"/>
  <c r="G618" i="711"/>
  <c r="G628" i="711"/>
  <c r="G631" i="711" s="1"/>
  <c r="G649" i="711"/>
  <c r="G750" i="711"/>
  <c r="G661" i="711"/>
  <c r="G671" i="711"/>
  <c r="G681" i="711"/>
  <c r="G691" i="711"/>
  <c r="G701" i="711"/>
  <c r="G711" i="711"/>
  <c r="G721" i="711"/>
  <c r="G731" i="711"/>
  <c r="G741" i="711"/>
  <c r="G769" i="711"/>
  <c r="G779" i="711"/>
  <c r="G789" i="711"/>
  <c r="G799" i="711"/>
  <c r="G831" i="711"/>
  <c r="G817" i="711"/>
  <c r="G827" i="711"/>
  <c r="G911" i="711"/>
  <c r="G1088" i="711"/>
  <c r="G1092" i="711"/>
  <c r="G1125" i="711" s="1"/>
  <c r="G1153" i="711"/>
  <c r="G1165" i="711"/>
  <c r="G1188" i="711"/>
  <c r="G1120" i="711"/>
  <c r="G1188" i="710"/>
  <c r="G205" i="712"/>
  <c r="G229" i="712"/>
  <c r="G234" i="712"/>
  <c r="G323" i="712"/>
  <c r="G325" i="712"/>
  <c r="G365" i="712" s="1"/>
  <c r="G329" i="712"/>
  <c r="G353" i="712"/>
  <c r="G357" i="712"/>
  <c r="G502" i="712"/>
  <c r="G387" i="712"/>
  <c r="G538" i="712"/>
  <c r="G503" i="712"/>
  <c r="G501" i="712"/>
  <c r="G382" i="712"/>
  <c r="G632" i="712"/>
  <c r="G523" i="712"/>
  <c r="G506" i="712"/>
  <c r="G656" i="712"/>
  <c r="G802" i="712"/>
  <c r="G759" i="712"/>
  <c r="G913" i="712"/>
  <c r="G889" i="712"/>
  <c r="G986" i="712"/>
  <c r="G1023" i="712" s="1"/>
  <c r="G1081" i="712"/>
  <c r="G1124" i="712"/>
  <c r="G1138" i="712"/>
  <c r="G1146" i="712"/>
  <c r="G1202" i="712"/>
  <c r="G812" i="712"/>
  <c r="G205" i="711"/>
  <c r="G229" i="711"/>
  <c r="G234" i="711"/>
  <c r="G323" i="711"/>
  <c r="G325" i="711"/>
  <c r="G365" i="711" s="1"/>
  <c r="G329" i="711"/>
  <c r="G353" i="711"/>
  <c r="G357" i="711"/>
  <c r="G503" i="711"/>
  <c r="G501" i="711"/>
  <c r="G382" i="711"/>
  <c r="G632" i="711"/>
  <c r="G523" i="711"/>
  <c r="G502" i="711"/>
  <c r="G387" i="711"/>
  <c r="G538" i="711"/>
  <c r="G506" i="711"/>
  <c r="G656" i="711"/>
  <c r="G913" i="711"/>
  <c r="G802" i="711"/>
  <c r="G759" i="711"/>
  <c r="G889" i="711"/>
  <c r="G986" i="711"/>
  <c r="G1023" i="711" s="1"/>
  <c r="G1081" i="711"/>
  <c r="G1124" i="711"/>
  <c r="G1138" i="711"/>
  <c r="G1146" i="711"/>
  <c r="G1202" i="711"/>
  <c r="G812" i="711"/>
  <c r="G205" i="710"/>
  <c r="G234" i="710"/>
  <c r="G323" i="710"/>
  <c r="G325" i="710"/>
  <c r="G365" i="710" s="1"/>
  <c r="G329" i="710"/>
  <c r="G357" i="710"/>
  <c r="G503" i="710"/>
  <c r="G501" i="710"/>
  <c r="G382" i="710"/>
  <c r="G502" i="710"/>
  <c r="G387" i="710"/>
  <c r="G506" i="710"/>
  <c r="G523" i="710"/>
  <c r="G538" i="710"/>
  <c r="G656" i="710"/>
  <c r="G1243" i="710"/>
  <c r="G1093" i="710"/>
  <c r="G1126" i="710" s="1"/>
  <c r="G802" i="710"/>
  <c r="G759" i="710"/>
  <c r="G913" i="710"/>
  <c r="G1088" i="710"/>
  <c r="G889" i="710"/>
  <c r="G986" i="710"/>
  <c r="G1023" i="710" s="1"/>
  <c r="G1081" i="710"/>
  <c r="G1124" i="710"/>
  <c r="G1138" i="710"/>
  <c r="G1146" i="710"/>
  <c r="G1202" i="710"/>
  <c r="G812" i="710"/>
  <c r="G355" i="711" l="1"/>
  <c r="G371" i="711"/>
  <c r="G371" i="712"/>
  <c r="G232" i="711"/>
  <c r="G636" i="712"/>
  <c r="G364" i="712"/>
  <c r="G752" i="712"/>
  <c r="G232" i="712"/>
  <c r="G232" i="710"/>
  <c r="G364" i="710"/>
  <c r="G363" i="710"/>
  <c r="G1212" i="710"/>
  <c r="G635" i="710"/>
  <c r="G364" i="711"/>
  <c r="G372" i="712"/>
  <c r="G355" i="712"/>
  <c r="G805" i="711"/>
  <c r="G512" i="711"/>
  <c r="G366" i="710"/>
  <c r="G203" i="710"/>
  <c r="G327" i="711"/>
  <c r="G203" i="712"/>
  <c r="G752" i="710"/>
  <c r="G1088" i="712"/>
  <c r="G1212" i="711"/>
  <c r="G636" i="710"/>
  <c r="G752" i="711"/>
  <c r="G363" i="712"/>
  <c r="G636" i="711"/>
  <c r="G1212" i="712"/>
  <c r="G355" i="710"/>
  <c r="G327" i="710"/>
  <c r="G1211" i="712"/>
  <c r="G372" i="710"/>
  <c r="G805" i="710"/>
  <c r="G805" i="712"/>
  <c r="G635" i="712"/>
  <c r="G366" i="711"/>
  <c r="G203" i="711"/>
  <c r="G327" i="712"/>
  <c r="G371" i="710"/>
  <c r="G366" i="712"/>
  <c r="G512" i="710"/>
  <c r="G509" i="712"/>
  <c r="G512" i="712"/>
  <c r="G1208" i="710"/>
  <c r="G1213" i="710"/>
  <c r="G363" i="711"/>
  <c r="G1211" i="711"/>
  <c r="G635" i="711"/>
  <c r="G372" i="711"/>
  <c r="G1243" i="712"/>
  <c r="G1093" i="712"/>
  <c r="G1208" i="712"/>
  <c r="G1094" i="712"/>
  <c r="G1127" i="712" s="1"/>
  <c r="G1214" i="712" s="1"/>
  <c r="G370" i="712"/>
  <c r="G1208" i="711"/>
  <c r="G1094" i="711"/>
  <c r="G1127" i="711" s="1"/>
  <c r="G1214" i="711" s="1"/>
  <c r="G509" i="711"/>
  <c r="G370" i="711"/>
  <c r="G1243" i="711"/>
  <c r="G1093" i="711"/>
  <c r="G1211" i="710"/>
  <c r="G1094" i="710"/>
  <c r="G509" i="710"/>
  <c r="G370" i="710"/>
  <c r="G639" i="712" l="1"/>
  <c r="G639" i="711"/>
  <c r="G368" i="711"/>
  <c r="G639" i="710"/>
  <c r="G368" i="712"/>
  <c r="G368" i="710"/>
  <c r="G1126" i="712"/>
  <c r="G1213" i="712" s="1"/>
  <c r="G1095" i="712"/>
  <c r="G1130" i="712" s="1"/>
  <c r="G1217" i="712" s="1"/>
  <c r="G1222" i="712"/>
  <c r="G1223" i="712"/>
  <c r="G892" i="712"/>
  <c r="G1222" i="711"/>
  <c r="G1126" i="711"/>
  <c r="G1213" i="711" s="1"/>
  <c r="G1095" i="711"/>
  <c r="G1130" i="711" s="1"/>
  <c r="G1217" i="711" s="1"/>
  <c r="G1223" i="711"/>
  <c r="G892" i="711"/>
  <c r="G1127" i="710"/>
  <c r="G1214" i="710" s="1"/>
  <c r="G1095" i="710"/>
  <c r="G1130" i="710" s="1"/>
  <c r="G1217" i="710" s="1"/>
  <c r="G1222" i="710"/>
  <c r="G1226" i="710"/>
  <c r="G1223" i="710"/>
  <c r="G892" i="710"/>
  <c r="G1230" i="711" l="1"/>
  <c r="G1230" i="710"/>
  <c r="AP359" i="3"/>
  <c r="AP358" i="3"/>
  <c r="AP357" i="3"/>
  <c r="AP354" i="3"/>
  <c r="AP353" i="3"/>
  <c r="AP348" i="3"/>
  <c r="AP339" i="3"/>
  <c r="AP236" i="3"/>
  <c r="AP234" i="3"/>
  <c r="AO359" i="3"/>
  <c r="AO358" i="3"/>
  <c r="AO357" i="3"/>
  <c r="AO354" i="3"/>
  <c r="AO353" i="3"/>
  <c r="AO348" i="3"/>
  <c r="AO339" i="3"/>
  <c r="AO236" i="3"/>
  <c r="AO234" i="3"/>
  <c r="AN359" i="3"/>
  <c r="AN358" i="3"/>
  <c r="AN357" i="3"/>
  <c r="AN354" i="3"/>
  <c r="AN353" i="3"/>
  <c r="AN348" i="3"/>
  <c r="AN339" i="3"/>
  <c r="AN236" i="3"/>
  <c r="AN234" i="3"/>
  <c r="AM359" i="3"/>
  <c r="AM358" i="3"/>
  <c r="AM357" i="3"/>
  <c r="AM354" i="3"/>
  <c r="AM353" i="3"/>
  <c r="AM348" i="3"/>
  <c r="AM339" i="3"/>
  <c r="AM236" i="3"/>
  <c r="AM234" i="3"/>
  <c r="AL359" i="3"/>
  <c r="AL358" i="3"/>
  <c r="AL357" i="3"/>
  <c r="AL354" i="3"/>
  <c r="AL353" i="3"/>
  <c r="AL348" i="3"/>
  <c r="AL339" i="3"/>
  <c r="AL236" i="3"/>
  <c r="AL234" i="3"/>
  <c r="AK359" i="3"/>
  <c r="AK358" i="3"/>
  <c r="AK357" i="3"/>
  <c r="AK354" i="3"/>
  <c r="AK353" i="3"/>
  <c r="AK348" i="3"/>
  <c r="AK339" i="3"/>
  <c r="AK236" i="3"/>
  <c r="AK234" i="3"/>
  <c r="AJ359" i="3"/>
  <c r="AJ358" i="3"/>
  <c r="AJ357" i="3"/>
  <c r="AJ354" i="3"/>
  <c r="AJ353" i="3"/>
  <c r="AJ348" i="3"/>
  <c r="AJ339" i="3"/>
  <c r="AJ236" i="3"/>
  <c r="AJ234" i="3"/>
  <c r="AI359" i="3"/>
  <c r="AI358" i="3"/>
  <c r="AI357" i="3"/>
  <c r="AI354" i="3"/>
  <c r="AI353" i="3"/>
  <c r="AI348" i="3"/>
  <c r="AI339" i="3"/>
  <c r="AI236" i="3"/>
  <c r="AI234" i="3"/>
  <c r="AH359" i="3"/>
  <c r="AH358" i="3"/>
  <c r="AH357" i="3"/>
  <c r="AH354" i="3"/>
  <c r="AH353" i="3"/>
  <c r="AH348" i="3"/>
  <c r="AH339" i="3"/>
  <c r="AH236" i="3"/>
  <c r="AH234" i="3"/>
  <c r="G1246" i="709"/>
  <c r="G1245" i="709"/>
  <c r="G1229" i="709"/>
  <c r="G1228" i="709"/>
  <c r="G1227" i="709"/>
  <c r="G1224" i="709"/>
  <c r="G1198" i="709"/>
  <c r="G1199" i="709" s="1"/>
  <c r="G1194" i="709"/>
  <c r="G1193" i="709"/>
  <c r="G1192" i="709"/>
  <c r="G1191" i="709"/>
  <c r="G1187" i="709"/>
  <c r="G1186" i="709"/>
  <c r="G1185" i="709"/>
  <c r="G1184" i="709"/>
  <c r="G1180" i="709"/>
  <c r="G1179" i="709"/>
  <c r="G1178" i="709"/>
  <c r="G1177" i="709"/>
  <c r="G1173" i="709"/>
  <c r="G1174" i="709" s="1"/>
  <c r="G1169" i="709"/>
  <c r="G1168" i="709"/>
  <c r="G1164" i="709"/>
  <c r="G1163" i="709"/>
  <c r="G1159" i="709"/>
  <c r="G1158" i="709"/>
  <c r="G1157" i="709"/>
  <c r="G1156" i="709"/>
  <c r="G1152" i="709"/>
  <c r="G1151" i="709"/>
  <c r="G1150" i="709"/>
  <c r="G1149" i="709"/>
  <c r="G1145" i="709"/>
  <c r="G1141" i="709"/>
  <c r="G1142" i="709" s="1"/>
  <c r="G1137" i="709"/>
  <c r="G1136" i="709"/>
  <c r="G1241" i="709"/>
  <c r="G1119" i="709"/>
  <c r="G1118" i="709"/>
  <c r="G1117" i="709"/>
  <c r="G1116" i="709"/>
  <c r="G1112" i="709"/>
  <c r="G1111" i="709"/>
  <c r="G1110" i="709"/>
  <c r="G1109" i="709"/>
  <c r="G1105" i="709"/>
  <c r="G1104" i="709"/>
  <c r="G1103" i="709"/>
  <c r="G1102" i="709"/>
  <c r="G1098" i="709"/>
  <c r="G1099" i="709" s="1"/>
  <c r="G1242" i="709"/>
  <c r="G1091" i="709"/>
  <c r="G964" i="709" s="1"/>
  <c r="G1086" i="709"/>
  <c r="G1085" i="709"/>
  <c r="G1084" i="709"/>
  <c r="G1080" i="709"/>
  <c r="G1079" i="709"/>
  <c r="G1078" i="709"/>
  <c r="G1075" i="709"/>
  <c r="G1074" i="709"/>
  <c r="G1073" i="709"/>
  <c r="G1070" i="709"/>
  <c r="G1069" i="709"/>
  <c r="G1068" i="709"/>
  <c r="G1067" i="709"/>
  <c r="G1064" i="709"/>
  <c r="G1063" i="709"/>
  <c r="G1062" i="709"/>
  <c r="G1061" i="709"/>
  <c r="G1058" i="709"/>
  <c r="G1057" i="709"/>
  <c r="G1056" i="709"/>
  <c r="G1055" i="709"/>
  <c r="G1052" i="709"/>
  <c r="G1051" i="709"/>
  <c r="G1050" i="709"/>
  <c r="G1047" i="709"/>
  <c r="G1046" i="709"/>
  <c r="G1045" i="709"/>
  <c r="G1044" i="709"/>
  <c r="G1041" i="709"/>
  <c r="G1040" i="709"/>
  <c r="G1039" i="709"/>
  <c r="G1038" i="709"/>
  <c r="G1035" i="709"/>
  <c r="G1034" i="709"/>
  <c r="G1033" i="709"/>
  <c r="G1032" i="709"/>
  <c r="G1029" i="709"/>
  <c r="G1028" i="709"/>
  <c r="G1027" i="709"/>
  <c r="G1021" i="709"/>
  <c r="G1020" i="709"/>
  <c r="G1019" i="709"/>
  <c r="G1016" i="709"/>
  <c r="G1015" i="709"/>
  <c r="G1014" i="709"/>
  <c r="G1011" i="709"/>
  <c r="G1010" i="709"/>
  <c r="G1009" i="709"/>
  <c r="G1006" i="709"/>
  <c r="G1005" i="709"/>
  <c r="G1004" i="709"/>
  <c r="G1001" i="709"/>
  <c r="G1000" i="709"/>
  <c r="G999" i="709"/>
  <c r="G996" i="709"/>
  <c r="G995" i="709"/>
  <c r="G994" i="709"/>
  <c r="G991" i="709"/>
  <c r="G990" i="709"/>
  <c r="G989" i="709"/>
  <c r="G984" i="709"/>
  <c r="G983" i="709"/>
  <c r="G982" i="709"/>
  <c r="G981" i="709"/>
  <c r="G980" i="709"/>
  <c r="G979" i="709"/>
  <c r="G978" i="709"/>
  <c r="G975" i="709"/>
  <c r="G974" i="709"/>
  <c r="G973" i="709"/>
  <c r="G970" i="709"/>
  <c r="G969" i="709"/>
  <c r="G968" i="709"/>
  <c r="G962" i="709"/>
  <c r="G961" i="709"/>
  <c r="G960" i="709"/>
  <c r="G959" i="709"/>
  <c r="G958" i="709"/>
  <c r="G957" i="709"/>
  <c r="G956" i="709"/>
  <c r="G953" i="709"/>
  <c r="G951" i="709"/>
  <c r="G950" i="709"/>
  <c r="G931" i="709"/>
  <c r="G929" i="709"/>
  <c r="G927" i="709"/>
  <c r="G925" i="709"/>
  <c r="G1225" i="709"/>
  <c r="G920" i="709"/>
  <c r="G919" i="709"/>
  <c r="G918" i="709"/>
  <c r="G917" i="709"/>
  <c r="G910" i="709"/>
  <c r="G909" i="709"/>
  <c r="G908" i="709"/>
  <c r="G907" i="709"/>
  <c r="G903" i="709"/>
  <c r="G902" i="709"/>
  <c r="G901" i="709"/>
  <c r="G900" i="709"/>
  <c r="G887" i="709"/>
  <c r="G884" i="709"/>
  <c r="G883" i="709"/>
  <c r="G882" i="709"/>
  <c r="G880" i="709"/>
  <c r="G879" i="709"/>
  <c r="G878" i="709"/>
  <c r="G876" i="709"/>
  <c r="G875" i="709"/>
  <c r="G874" i="709"/>
  <c r="G872" i="709"/>
  <c r="G871" i="709"/>
  <c r="G870" i="709"/>
  <c r="G868" i="709"/>
  <c r="G867" i="709"/>
  <c r="G866" i="709"/>
  <c r="G864" i="709"/>
  <c r="G863" i="709"/>
  <c r="G862" i="709"/>
  <c r="G860" i="709"/>
  <c r="G859" i="709"/>
  <c r="G858" i="709"/>
  <c r="G856" i="709"/>
  <c r="G855" i="709"/>
  <c r="G854" i="709"/>
  <c r="G852" i="709"/>
  <c r="G851" i="709"/>
  <c r="G850" i="709"/>
  <c r="G848" i="709"/>
  <c r="G847" i="709"/>
  <c r="G846" i="709"/>
  <c r="G844" i="709"/>
  <c r="G843" i="709"/>
  <c r="G842" i="709"/>
  <c r="G840" i="709"/>
  <c r="G839" i="709"/>
  <c r="G838" i="709"/>
  <c r="G826" i="709"/>
  <c r="G825" i="709"/>
  <c r="G821" i="709"/>
  <c r="G820" i="709"/>
  <c r="G816" i="709"/>
  <c r="G815" i="709"/>
  <c r="G811" i="709"/>
  <c r="G810" i="709"/>
  <c r="G798" i="709"/>
  <c r="G797" i="709"/>
  <c r="G793" i="709"/>
  <c r="G792" i="709"/>
  <c r="G788" i="709"/>
  <c r="G787" i="709"/>
  <c r="G783" i="709"/>
  <c r="G782" i="709"/>
  <c r="G778" i="709"/>
  <c r="G777" i="709"/>
  <c r="G773" i="709"/>
  <c r="G772" i="709"/>
  <c r="G768" i="709"/>
  <c r="G767" i="709"/>
  <c r="G763" i="709"/>
  <c r="G762" i="709"/>
  <c r="G758" i="709"/>
  <c r="G757" i="709"/>
  <c r="G745" i="709"/>
  <c r="G744" i="709"/>
  <c r="G740" i="709"/>
  <c r="G739" i="709"/>
  <c r="G735" i="709"/>
  <c r="G734" i="709"/>
  <c r="G730" i="709"/>
  <c r="G729" i="709"/>
  <c r="G725" i="709"/>
  <c r="G724" i="709"/>
  <c r="G720" i="709"/>
  <c r="G719" i="709"/>
  <c r="G715" i="709"/>
  <c r="G714" i="709"/>
  <c r="G710" i="709"/>
  <c r="G709" i="709"/>
  <c r="G705" i="709"/>
  <c r="G704" i="709"/>
  <c r="G700" i="709"/>
  <c r="G699" i="709"/>
  <c r="G695" i="709"/>
  <c r="G694" i="709"/>
  <c r="G690" i="709"/>
  <c r="G689" i="709"/>
  <c r="G685" i="709"/>
  <c r="G684" i="709"/>
  <c r="G680" i="709"/>
  <c r="G679" i="709"/>
  <c r="G675" i="709"/>
  <c r="G674" i="709"/>
  <c r="G670" i="709"/>
  <c r="G669" i="709"/>
  <c r="G665" i="709"/>
  <c r="G664" i="709"/>
  <c r="G660" i="709"/>
  <c r="G659" i="709"/>
  <c r="G655" i="709"/>
  <c r="G654" i="709"/>
  <c r="G647" i="709"/>
  <c r="G646" i="709"/>
  <c r="G627" i="709"/>
  <c r="G626" i="709"/>
  <c r="G622" i="709"/>
  <c r="G621" i="709"/>
  <c r="G617" i="709"/>
  <c r="G616" i="709"/>
  <c r="G612" i="709"/>
  <c r="G611" i="709"/>
  <c r="G607" i="709"/>
  <c r="G606" i="709"/>
  <c r="G602" i="709"/>
  <c r="G601" i="709"/>
  <c r="G597" i="709"/>
  <c r="G596" i="709"/>
  <c r="G592" i="709"/>
  <c r="G591" i="709"/>
  <c r="G587" i="709"/>
  <c r="G586" i="709"/>
  <c r="G582" i="709"/>
  <c r="G581" i="709"/>
  <c r="G577" i="709"/>
  <c r="G576" i="709"/>
  <c r="G572" i="709"/>
  <c r="G571" i="709"/>
  <c r="G567" i="709"/>
  <c r="G566" i="709"/>
  <c r="G562" i="709"/>
  <c r="G561" i="709"/>
  <c r="G557" i="709"/>
  <c r="G556" i="709"/>
  <c r="G552" i="709"/>
  <c r="G551" i="709"/>
  <c r="G547" i="709"/>
  <c r="G546" i="709"/>
  <c r="G542" i="709"/>
  <c r="G541" i="709"/>
  <c r="G537" i="709"/>
  <c r="G536" i="709"/>
  <c r="G532" i="709"/>
  <c r="G531" i="709"/>
  <c r="G527" i="709"/>
  <c r="G526" i="709"/>
  <c r="G522" i="709"/>
  <c r="G521" i="709"/>
  <c r="G496" i="709"/>
  <c r="G495" i="709"/>
  <c r="G491" i="709"/>
  <c r="G490" i="709"/>
  <c r="G486" i="709"/>
  <c r="G485" i="709"/>
  <c r="G481" i="709"/>
  <c r="G480" i="709"/>
  <c r="G476" i="709"/>
  <c r="G475" i="709"/>
  <c r="G471" i="709"/>
  <c r="G470" i="709"/>
  <c r="G466" i="709"/>
  <c r="G465" i="709"/>
  <c r="G461" i="709"/>
  <c r="G460" i="709"/>
  <c r="G456" i="709"/>
  <c r="G455" i="709"/>
  <c r="G451" i="709"/>
  <c r="G450" i="709"/>
  <c r="G446" i="709"/>
  <c r="G445" i="709"/>
  <c r="G441" i="709"/>
  <c r="G440" i="709"/>
  <c r="G436" i="709"/>
  <c r="G435" i="709"/>
  <c r="G431" i="709"/>
  <c r="G430" i="709"/>
  <c r="G426" i="709"/>
  <c r="G425" i="709"/>
  <c r="G421" i="709"/>
  <c r="G420" i="709"/>
  <c r="G416" i="709"/>
  <c r="G415" i="709"/>
  <c r="G411" i="709"/>
  <c r="G410" i="709"/>
  <c r="G406" i="709"/>
  <c r="G405" i="709"/>
  <c r="G401" i="709"/>
  <c r="G400" i="709"/>
  <c r="G396" i="709"/>
  <c r="G395" i="709"/>
  <c r="G391" i="709"/>
  <c r="G390" i="709"/>
  <c r="G386" i="709"/>
  <c r="G385" i="709"/>
  <c r="G381" i="709"/>
  <c r="G380" i="709"/>
  <c r="G354" i="709"/>
  <c r="G350" i="709"/>
  <c r="G358" i="709" s="1"/>
  <c r="G347" i="709"/>
  <c r="G345" i="709"/>
  <c r="G343" i="709"/>
  <c r="G341" i="709"/>
  <c r="G338" i="709"/>
  <c r="G336" i="709"/>
  <c r="G334" i="709"/>
  <c r="G321" i="709"/>
  <c r="G320" i="709"/>
  <c r="G318" i="709"/>
  <c r="G315" i="709"/>
  <c r="G313" i="709"/>
  <c r="G311" i="709"/>
  <c r="G309" i="709"/>
  <c r="G306" i="709"/>
  <c r="G304" i="709"/>
  <c r="G302" i="709"/>
  <c r="G300" i="709"/>
  <c r="G297" i="709"/>
  <c r="G295" i="709"/>
  <c r="G293" i="709"/>
  <c r="G291" i="709"/>
  <c r="G288" i="709"/>
  <c r="G286" i="709"/>
  <c r="G284" i="709"/>
  <c r="G282" i="709"/>
  <c r="G279" i="709"/>
  <c r="G277" i="709"/>
  <c r="G275" i="709"/>
  <c r="G273" i="709"/>
  <c r="G270" i="709"/>
  <c r="G268" i="709"/>
  <c r="G266" i="709"/>
  <c r="G264" i="709"/>
  <c r="G261" i="709"/>
  <c r="G259" i="709"/>
  <c r="G257" i="709"/>
  <c r="G255" i="709"/>
  <c r="G252" i="709"/>
  <c r="G250" i="709"/>
  <c r="G248" i="709"/>
  <c r="G246" i="709"/>
  <c r="G243" i="709"/>
  <c r="G241" i="709"/>
  <c r="G239" i="709"/>
  <c r="G226" i="709"/>
  <c r="G223" i="709"/>
  <c r="G221" i="709"/>
  <c r="G219" i="709"/>
  <c r="G217" i="709"/>
  <c r="G214" i="709"/>
  <c r="G212" i="709"/>
  <c r="G210" i="709"/>
  <c r="G197" i="709"/>
  <c r="G196" i="709"/>
  <c r="G194" i="709"/>
  <c r="G191" i="709"/>
  <c r="G189" i="709"/>
  <c r="G187" i="709"/>
  <c r="G185" i="709"/>
  <c r="G182" i="709"/>
  <c r="G180" i="709"/>
  <c r="G178" i="709"/>
  <c r="G176" i="709"/>
  <c r="G173" i="709"/>
  <c r="G171" i="709"/>
  <c r="G169" i="709"/>
  <c r="G167" i="709"/>
  <c r="G164" i="709"/>
  <c r="G162" i="709"/>
  <c r="G160" i="709"/>
  <c r="G158" i="709"/>
  <c r="G155" i="709"/>
  <c r="G153" i="709"/>
  <c r="G151" i="709"/>
  <c r="G149" i="709"/>
  <c r="G146" i="709"/>
  <c r="G144" i="709"/>
  <c r="G142" i="709"/>
  <c r="G140" i="709"/>
  <c r="G137" i="709"/>
  <c r="G135" i="709"/>
  <c r="G133" i="709"/>
  <c r="G131" i="709"/>
  <c r="G128" i="709"/>
  <c r="G126" i="709"/>
  <c r="G124" i="709"/>
  <c r="G122" i="709"/>
  <c r="G119" i="709"/>
  <c r="G117" i="709"/>
  <c r="G115" i="709"/>
  <c r="G113" i="709"/>
  <c r="G110" i="709"/>
  <c r="G108" i="709"/>
  <c r="G106" i="709"/>
  <c r="G104" i="709"/>
  <c r="G101" i="709"/>
  <c r="G99" i="709"/>
  <c r="G97" i="709"/>
  <c r="G95" i="709"/>
  <c r="G92" i="709"/>
  <c r="G90" i="709"/>
  <c r="G88" i="709"/>
  <c r="G86" i="709"/>
  <c r="G83" i="709"/>
  <c r="G81" i="709"/>
  <c r="G79" i="709"/>
  <c r="G77" i="709"/>
  <c r="G74" i="709"/>
  <c r="G72" i="709"/>
  <c r="G70" i="709"/>
  <c r="G68" i="709"/>
  <c r="G65" i="709"/>
  <c r="G63" i="709"/>
  <c r="G61" i="709"/>
  <c r="G59" i="709"/>
  <c r="G56" i="709"/>
  <c r="G55" i="709"/>
  <c r="G54" i="709"/>
  <c r="G53" i="709"/>
  <c r="G52" i="709"/>
  <c r="G50" i="709"/>
  <c r="G47" i="709"/>
  <c r="G45" i="709"/>
  <c r="G43" i="709"/>
  <c r="G41" i="709"/>
  <c r="G39" i="709"/>
  <c r="G38" i="709"/>
  <c r="G36" i="709"/>
  <c r="G34" i="709"/>
  <c r="G32" i="709"/>
  <c r="G30" i="709"/>
  <c r="G29" i="709"/>
  <c r="G27" i="709"/>
  <c r="G25" i="709"/>
  <c r="G23" i="709"/>
  <c r="G20" i="709"/>
  <c r="G18" i="709"/>
  <c r="G16" i="709"/>
  <c r="A1" i="709"/>
  <c r="G1246" i="708"/>
  <c r="G1245" i="708"/>
  <c r="G1229" i="708"/>
  <c r="G1228" i="708"/>
  <c r="G1227" i="708"/>
  <c r="G1224" i="708"/>
  <c r="G1198" i="708"/>
  <c r="G1199" i="708" s="1"/>
  <c r="G1194" i="708"/>
  <c r="G1193" i="708"/>
  <c r="G1192" i="708"/>
  <c r="G1191" i="708"/>
  <c r="G1187" i="708"/>
  <c r="G1186" i="708"/>
  <c r="G1185" i="708"/>
  <c r="G1184" i="708"/>
  <c r="G1180" i="708"/>
  <c r="G1179" i="708"/>
  <c r="G1178" i="708"/>
  <c r="G1177" i="708"/>
  <c r="G1173" i="708"/>
  <c r="G1174" i="708" s="1"/>
  <c r="G1169" i="708"/>
  <c r="G1168" i="708"/>
  <c r="G1164" i="708"/>
  <c r="G1163" i="708"/>
  <c r="G1159" i="708"/>
  <c r="G1158" i="708"/>
  <c r="G1157" i="708"/>
  <c r="G1156" i="708"/>
  <c r="G1152" i="708"/>
  <c r="G1151" i="708"/>
  <c r="G1150" i="708"/>
  <c r="G1149" i="708"/>
  <c r="G1145" i="708"/>
  <c r="G1141" i="708"/>
  <c r="G1142" i="708" s="1"/>
  <c r="G1137" i="708"/>
  <c r="G1136" i="708"/>
  <c r="G1119" i="708"/>
  <c r="G1118" i="708"/>
  <c r="G1117" i="708"/>
  <c r="G1116" i="708"/>
  <c r="G1112" i="708"/>
  <c r="G1111" i="708"/>
  <c r="G1110" i="708"/>
  <c r="G1109" i="708"/>
  <c r="G1105" i="708"/>
  <c r="G1104" i="708"/>
  <c r="G1103" i="708"/>
  <c r="G1102" i="708"/>
  <c r="G1098" i="708"/>
  <c r="G1099" i="708" s="1"/>
  <c r="G1092" i="708"/>
  <c r="G1091" i="708"/>
  <c r="G964" i="708" s="1"/>
  <c r="G1086" i="708"/>
  <c r="G1085" i="708"/>
  <c r="G1084" i="708"/>
  <c r="G1080" i="708"/>
  <c r="G1079" i="708"/>
  <c r="G1078" i="708"/>
  <c r="G1075" i="708"/>
  <c r="G1074" i="708"/>
  <c r="G1073" i="708"/>
  <c r="G1070" i="708"/>
  <c r="G1069" i="708"/>
  <c r="G1068" i="708"/>
  <c r="G1067" i="708"/>
  <c r="G1064" i="708"/>
  <c r="G1063" i="708"/>
  <c r="G1062" i="708"/>
  <c r="G1061" i="708"/>
  <c r="G1058" i="708"/>
  <c r="G1057" i="708"/>
  <c r="G1056" i="708"/>
  <c r="G1055" i="708"/>
  <c r="G1052" i="708"/>
  <c r="G1051" i="708"/>
  <c r="G1050" i="708"/>
  <c r="G1047" i="708"/>
  <c r="G1046" i="708"/>
  <c r="G1045" i="708"/>
  <c r="G1044" i="708"/>
  <c r="G1041" i="708"/>
  <c r="G1040" i="708"/>
  <c r="G1039" i="708"/>
  <c r="G1038" i="708"/>
  <c r="G1035" i="708"/>
  <c r="G1034" i="708"/>
  <c r="G1033" i="708"/>
  <c r="G1032" i="708"/>
  <c r="G1029" i="708"/>
  <c r="G1028" i="708"/>
  <c r="G1027" i="708"/>
  <c r="G1021" i="708"/>
  <c r="G1020" i="708"/>
  <c r="G1019" i="708"/>
  <c r="G1016" i="708"/>
  <c r="G1015" i="708"/>
  <c r="G1014" i="708"/>
  <c r="G1011" i="708"/>
  <c r="G1010" i="708"/>
  <c r="G1009" i="708"/>
  <c r="G1006" i="708"/>
  <c r="G1005" i="708"/>
  <c r="G1004" i="708"/>
  <c r="G1001" i="708"/>
  <c r="G1000" i="708"/>
  <c r="G999" i="708"/>
  <c r="G996" i="708"/>
  <c r="G995" i="708"/>
  <c r="G994" i="708"/>
  <c r="G991" i="708"/>
  <c r="G990" i="708"/>
  <c r="G989" i="708"/>
  <c r="G984" i="708"/>
  <c r="G983" i="708"/>
  <c r="G982" i="708"/>
  <c r="G981" i="708"/>
  <c r="G980" i="708"/>
  <c r="G979" i="708"/>
  <c r="G978" i="708"/>
  <c r="G975" i="708"/>
  <c r="G974" i="708"/>
  <c r="G973" i="708"/>
  <c r="G970" i="708"/>
  <c r="G969" i="708"/>
  <c r="G968" i="708"/>
  <c r="G962" i="708"/>
  <c r="G961" i="708"/>
  <c r="G960" i="708"/>
  <c r="G959" i="708"/>
  <c r="G958" i="708"/>
  <c r="G957" i="708"/>
  <c r="G956" i="708"/>
  <c r="G953" i="708"/>
  <c r="G951" i="708"/>
  <c r="G950" i="708"/>
  <c r="G931" i="708"/>
  <c r="G929" i="708"/>
  <c r="G927" i="708"/>
  <c r="G925" i="708"/>
  <c r="G1225" i="708"/>
  <c r="G920" i="708"/>
  <c r="G919" i="708"/>
  <c r="G918" i="708"/>
  <c r="G917" i="708"/>
  <c r="G910" i="708"/>
  <c r="G909" i="708"/>
  <c r="G908" i="708"/>
  <c r="G907" i="708"/>
  <c r="G903" i="708"/>
  <c r="G902" i="708"/>
  <c r="G901" i="708"/>
  <c r="G900" i="708"/>
  <c r="G887" i="708"/>
  <c r="G886" i="708"/>
  <c r="G884" i="708"/>
  <c r="G883" i="708"/>
  <c r="G882" i="708"/>
  <c r="G880" i="708"/>
  <c r="G879" i="708"/>
  <c r="G878" i="708"/>
  <c r="G876" i="708"/>
  <c r="G875" i="708"/>
  <c r="G874" i="708"/>
  <c r="G872" i="708"/>
  <c r="G871" i="708"/>
  <c r="G870" i="708"/>
  <c r="G868" i="708"/>
  <c r="G867" i="708"/>
  <c r="G866" i="708"/>
  <c r="G864" i="708"/>
  <c r="G863" i="708"/>
  <c r="G862" i="708"/>
  <c r="G860" i="708"/>
  <c r="G859" i="708"/>
  <c r="G858" i="708"/>
  <c r="G856" i="708"/>
  <c r="G855" i="708"/>
  <c r="G854" i="708"/>
  <c r="G852" i="708"/>
  <c r="G851" i="708"/>
  <c r="G850" i="708"/>
  <c r="G848" i="708"/>
  <c r="G847" i="708"/>
  <c r="G846" i="708"/>
  <c r="G844" i="708"/>
  <c r="G843" i="708"/>
  <c r="G842" i="708"/>
  <c r="G840" i="708"/>
  <c r="G839" i="708"/>
  <c r="G838" i="708"/>
  <c r="G826" i="708"/>
  <c r="G825" i="708"/>
  <c r="G821" i="708"/>
  <c r="G820" i="708"/>
  <c r="G816" i="708"/>
  <c r="G815" i="708"/>
  <c r="G811" i="708"/>
  <c r="G810" i="708"/>
  <c r="G798" i="708"/>
  <c r="G797" i="708"/>
  <c r="G793" i="708"/>
  <c r="G792" i="708"/>
  <c r="G788" i="708"/>
  <c r="G787" i="708"/>
  <c r="G783" i="708"/>
  <c r="G782" i="708"/>
  <c r="G778" i="708"/>
  <c r="G777" i="708"/>
  <c r="G773" i="708"/>
  <c r="G772" i="708"/>
  <c r="G768" i="708"/>
  <c r="G767" i="708"/>
  <c r="G763" i="708"/>
  <c r="G762" i="708"/>
  <c r="G758" i="708"/>
  <c r="G757" i="708"/>
  <c r="G745" i="708"/>
  <c r="G744" i="708"/>
  <c r="G740" i="708"/>
  <c r="G739" i="708"/>
  <c r="G735" i="708"/>
  <c r="G734" i="708"/>
  <c r="G730" i="708"/>
  <c r="G729" i="708"/>
  <c r="G725" i="708"/>
  <c r="G724" i="708"/>
  <c r="G720" i="708"/>
  <c r="G719" i="708"/>
  <c r="G715" i="708"/>
  <c r="G714" i="708"/>
  <c r="G710" i="708"/>
  <c r="G709" i="708"/>
  <c r="G705" i="708"/>
  <c r="G704" i="708"/>
  <c r="G700" i="708"/>
  <c r="G699" i="708"/>
  <c r="G695" i="708"/>
  <c r="G694" i="708"/>
  <c r="G690" i="708"/>
  <c r="G689" i="708"/>
  <c r="G685" i="708"/>
  <c r="G684" i="708"/>
  <c r="G680" i="708"/>
  <c r="G679" i="708"/>
  <c r="G675" i="708"/>
  <c r="G674" i="708"/>
  <c r="G670" i="708"/>
  <c r="G669" i="708"/>
  <c r="G665" i="708"/>
  <c r="G664" i="708"/>
  <c r="G660" i="708"/>
  <c r="G659" i="708"/>
  <c r="G655" i="708"/>
  <c r="G654" i="708"/>
  <c r="G647" i="708"/>
  <c r="G646" i="708"/>
  <c r="G627" i="708"/>
  <c r="G626" i="708"/>
  <c r="G622" i="708"/>
  <c r="G621" i="708"/>
  <c r="G617" i="708"/>
  <c r="G616" i="708"/>
  <c r="G612" i="708"/>
  <c r="G611" i="708"/>
  <c r="G607" i="708"/>
  <c r="G606" i="708"/>
  <c r="G602" i="708"/>
  <c r="G601" i="708"/>
  <c r="G597" i="708"/>
  <c r="G596" i="708"/>
  <c r="G592" i="708"/>
  <c r="G591" i="708"/>
  <c r="G587" i="708"/>
  <c r="G586" i="708"/>
  <c r="G582" i="708"/>
  <c r="G581" i="708"/>
  <c r="G577" i="708"/>
  <c r="G576" i="708"/>
  <c r="G572" i="708"/>
  <c r="G571" i="708"/>
  <c r="G567" i="708"/>
  <c r="G566" i="708"/>
  <c r="G562" i="708"/>
  <c r="G561" i="708"/>
  <c r="G557" i="708"/>
  <c r="G556" i="708"/>
  <c r="G552" i="708"/>
  <c r="G551" i="708"/>
  <c r="G547" i="708"/>
  <c r="G546" i="708"/>
  <c r="G542" i="708"/>
  <c r="G541" i="708"/>
  <c r="G537" i="708"/>
  <c r="G536" i="708"/>
  <c r="G532" i="708"/>
  <c r="G531" i="708"/>
  <c r="G527" i="708"/>
  <c r="G526" i="708"/>
  <c r="G522" i="708"/>
  <c r="G521" i="708"/>
  <c r="G496" i="708"/>
  <c r="G495" i="708"/>
  <c r="G491" i="708"/>
  <c r="G490" i="708"/>
  <c r="G486" i="708"/>
  <c r="G485" i="708"/>
  <c r="G481" i="708"/>
  <c r="G480" i="708"/>
  <c r="G476" i="708"/>
  <c r="G475" i="708"/>
  <c r="G471" i="708"/>
  <c r="G470" i="708"/>
  <c r="G466" i="708"/>
  <c r="G465" i="708"/>
  <c r="G461" i="708"/>
  <c r="G460" i="708"/>
  <c r="G456" i="708"/>
  <c r="G455" i="708"/>
  <c r="G451" i="708"/>
  <c r="G450" i="708"/>
  <c r="G446" i="708"/>
  <c r="G445" i="708"/>
  <c r="G441" i="708"/>
  <c r="G440" i="708"/>
  <c r="G436" i="708"/>
  <c r="G435" i="708"/>
  <c r="G431" i="708"/>
  <c r="G430" i="708"/>
  <c r="G426" i="708"/>
  <c r="G425" i="708"/>
  <c r="G421" i="708"/>
  <c r="G420" i="708"/>
  <c r="G416" i="708"/>
  <c r="G415" i="708"/>
  <c r="G411" i="708"/>
  <c r="G410" i="708"/>
  <c r="G406" i="708"/>
  <c r="G405" i="708"/>
  <c r="G401" i="708"/>
  <c r="G400" i="708"/>
  <c r="G396" i="708"/>
  <c r="G395" i="708"/>
  <c r="G391" i="708"/>
  <c r="G390" i="708"/>
  <c r="G386" i="708"/>
  <c r="G385" i="708"/>
  <c r="G381" i="708"/>
  <c r="G380" i="708"/>
  <c r="G354" i="708"/>
  <c r="G350" i="708"/>
  <c r="G358" i="708" s="1"/>
  <c r="G347" i="708"/>
  <c r="G345" i="708"/>
  <c r="G343" i="708"/>
  <c r="G341" i="708"/>
  <c r="G338" i="708"/>
  <c r="G336" i="708"/>
  <c r="G334" i="708"/>
  <c r="G321" i="708"/>
  <c r="G320" i="708"/>
  <c r="G318" i="708"/>
  <c r="G315" i="708"/>
  <c r="G313" i="708"/>
  <c r="G311" i="708"/>
  <c r="G309" i="708"/>
  <c r="G306" i="708"/>
  <c r="G304" i="708"/>
  <c r="G302" i="708"/>
  <c r="G300" i="708"/>
  <c r="G297" i="708"/>
  <c r="G295" i="708"/>
  <c r="G293" i="708"/>
  <c r="G291" i="708"/>
  <c r="G288" i="708"/>
  <c r="G286" i="708"/>
  <c r="G284" i="708"/>
  <c r="G282" i="708"/>
  <c r="G279" i="708"/>
  <c r="G277" i="708"/>
  <c r="G275" i="708"/>
  <c r="G273" i="708"/>
  <c r="G270" i="708"/>
  <c r="G268" i="708"/>
  <c r="G266" i="708"/>
  <c r="G264" i="708"/>
  <c r="G261" i="708"/>
  <c r="G259" i="708"/>
  <c r="G257" i="708"/>
  <c r="G255" i="708"/>
  <c r="G252" i="708"/>
  <c r="G250" i="708"/>
  <c r="G248" i="708"/>
  <c r="G246" i="708"/>
  <c r="G243" i="708"/>
  <c r="G241" i="708"/>
  <c r="G239" i="708"/>
  <c r="G226" i="708"/>
  <c r="G223" i="708"/>
  <c r="G221" i="708"/>
  <c r="G219" i="708"/>
  <c r="G217" i="708"/>
  <c r="G214" i="708"/>
  <c r="G212" i="708"/>
  <c r="G230" i="708" s="1"/>
  <c r="G210" i="708"/>
  <c r="G197" i="708"/>
  <c r="G196" i="708"/>
  <c r="G194" i="708"/>
  <c r="G191" i="708"/>
  <c r="G189" i="708"/>
  <c r="G187" i="708"/>
  <c r="G185" i="708"/>
  <c r="G182" i="708"/>
  <c r="G180" i="708"/>
  <c r="G178" i="708"/>
  <c r="G176" i="708"/>
  <c r="G173" i="708"/>
  <c r="G171" i="708"/>
  <c r="G169" i="708"/>
  <c r="G167" i="708"/>
  <c r="G164" i="708"/>
  <c r="G162" i="708"/>
  <c r="G160" i="708"/>
  <c r="G158" i="708"/>
  <c r="G155" i="708"/>
  <c r="G153" i="708"/>
  <c r="G151" i="708"/>
  <c r="G149" i="708"/>
  <c r="G146" i="708"/>
  <c r="G144" i="708"/>
  <c r="G142" i="708"/>
  <c r="G140" i="708"/>
  <c r="G137" i="708"/>
  <c r="G135" i="708"/>
  <c r="G133" i="708"/>
  <c r="G131" i="708"/>
  <c r="G128" i="708"/>
  <c r="G126" i="708"/>
  <c r="G124" i="708"/>
  <c r="G122" i="708"/>
  <c r="G119" i="708"/>
  <c r="G117" i="708"/>
  <c r="G115" i="708"/>
  <c r="G113" i="708"/>
  <c r="G110" i="708"/>
  <c r="G108" i="708"/>
  <c r="G106" i="708"/>
  <c r="G104" i="708"/>
  <c r="G101" i="708"/>
  <c r="G99" i="708"/>
  <c r="G97" i="708"/>
  <c r="G95" i="708"/>
  <c r="G92" i="708"/>
  <c r="G90" i="708"/>
  <c r="G88" i="708"/>
  <c r="G86" i="708"/>
  <c r="G83" i="708"/>
  <c r="G81" i="708"/>
  <c r="G79" i="708"/>
  <c r="G77" i="708"/>
  <c r="G74" i="708"/>
  <c r="G72" i="708"/>
  <c r="G70" i="708"/>
  <c r="G68" i="708"/>
  <c r="G65" i="708"/>
  <c r="G63" i="708"/>
  <c r="G61" i="708"/>
  <c r="G59" i="708"/>
  <c r="G56" i="708"/>
  <c r="G55" i="708"/>
  <c r="G54" i="708"/>
  <c r="G53" i="708"/>
  <c r="G52" i="708"/>
  <c r="G50" i="708"/>
  <c r="G47" i="708"/>
  <c r="G45" i="708"/>
  <c r="G43" i="708"/>
  <c r="G41" i="708"/>
  <c r="G39" i="708"/>
  <c r="G38" i="708"/>
  <c r="G36" i="708"/>
  <c r="G34" i="708"/>
  <c r="G32" i="708"/>
  <c r="G30" i="708"/>
  <c r="G29" i="708"/>
  <c r="G27" i="708"/>
  <c r="G25" i="708"/>
  <c r="G23" i="708"/>
  <c r="G20" i="708"/>
  <c r="G18" i="708"/>
  <c r="G16" i="708"/>
  <c r="A1" i="708"/>
  <c r="G1246" i="707"/>
  <c r="G1245" i="707"/>
  <c r="G1229" i="707"/>
  <c r="G1228" i="707"/>
  <c r="G1227" i="707"/>
  <c r="G1224" i="707"/>
  <c r="G1198" i="707"/>
  <c r="G1199" i="707" s="1"/>
  <c r="G1194" i="707"/>
  <c r="G1193" i="707"/>
  <c r="G1192" i="707"/>
  <c r="G1191" i="707"/>
  <c r="G1187" i="707"/>
  <c r="G1186" i="707"/>
  <c r="G1185" i="707"/>
  <c r="G1184" i="707"/>
  <c r="G1180" i="707"/>
  <c r="G1179" i="707"/>
  <c r="G1178" i="707"/>
  <c r="G1177" i="707"/>
  <c r="G1173" i="707"/>
  <c r="G1174" i="707" s="1"/>
  <c r="G1169" i="707"/>
  <c r="G1168" i="707"/>
  <c r="G1164" i="707"/>
  <c r="G1163" i="707"/>
  <c r="G1159" i="707"/>
  <c r="G1158" i="707"/>
  <c r="G1157" i="707"/>
  <c r="G1156" i="707"/>
  <c r="G1152" i="707"/>
  <c r="G1151" i="707"/>
  <c r="G1150" i="707"/>
  <c r="G1149" i="707"/>
  <c r="G1145" i="707"/>
  <c r="G1141" i="707"/>
  <c r="G1142" i="707" s="1"/>
  <c r="G1137" i="707"/>
  <c r="G1136" i="707"/>
  <c r="G1119" i="707"/>
  <c r="G1118" i="707"/>
  <c r="G1117" i="707"/>
  <c r="G1116" i="707"/>
  <c r="G1112" i="707"/>
  <c r="G1111" i="707"/>
  <c r="G1110" i="707"/>
  <c r="G1109" i="707"/>
  <c r="G1105" i="707"/>
  <c r="G1104" i="707"/>
  <c r="G1103" i="707"/>
  <c r="G1102" i="707"/>
  <c r="G1098" i="707"/>
  <c r="G1099" i="707" s="1"/>
  <c r="G1092" i="707"/>
  <c r="G1091" i="707"/>
  <c r="G964" i="707" s="1"/>
  <c r="G1086" i="707"/>
  <c r="G1085" i="707"/>
  <c r="G1084" i="707"/>
  <c r="G1080" i="707"/>
  <c r="G1079" i="707"/>
  <c r="G1078" i="707"/>
  <c r="G1075" i="707"/>
  <c r="G1074" i="707"/>
  <c r="G1073" i="707"/>
  <c r="G1070" i="707"/>
  <c r="G1069" i="707"/>
  <c r="G1068" i="707"/>
  <c r="G1067" i="707"/>
  <c r="G1064" i="707"/>
  <c r="G1063" i="707"/>
  <c r="G1062" i="707"/>
  <c r="G1061" i="707"/>
  <c r="G1058" i="707"/>
  <c r="G1057" i="707"/>
  <c r="G1056" i="707"/>
  <c r="G1055" i="707"/>
  <c r="G1052" i="707"/>
  <c r="G1051" i="707"/>
  <c r="G1050" i="707"/>
  <c r="G1047" i="707"/>
  <c r="G1046" i="707"/>
  <c r="G1045" i="707"/>
  <c r="G1044" i="707"/>
  <c r="G1041" i="707"/>
  <c r="G1040" i="707"/>
  <c r="G1039" i="707"/>
  <c r="G1038" i="707"/>
  <c r="G1035" i="707"/>
  <c r="G1034" i="707"/>
  <c r="G1033" i="707"/>
  <c r="G1032" i="707"/>
  <c r="G1029" i="707"/>
  <c r="G1028" i="707"/>
  <c r="G1027" i="707"/>
  <c r="G1021" i="707"/>
  <c r="G1020" i="707"/>
  <c r="G1019" i="707"/>
  <c r="G1016" i="707"/>
  <c r="G1015" i="707"/>
  <c r="G1014" i="707"/>
  <c r="G1011" i="707"/>
  <c r="G1010" i="707"/>
  <c r="G1009" i="707"/>
  <c r="G1006" i="707"/>
  <c r="G1005" i="707"/>
  <c r="G1004" i="707"/>
  <c r="G1001" i="707"/>
  <c r="G1000" i="707"/>
  <c r="G999" i="707"/>
  <c r="G996" i="707"/>
  <c r="G995" i="707"/>
  <c r="G994" i="707"/>
  <c r="G991" i="707"/>
  <c r="G990" i="707"/>
  <c r="G989" i="707"/>
  <c r="G984" i="707"/>
  <c r="G983" i="707"/>
  <c r="G982" i="707"/>
  <c r="G981" i="707"/>
  <c r="G980" i="707"/>
  <c r="G979" i="707"/>
  <c r="G978" i="707"/>
  <c r="G975" i="707"/>
  <c r="G974" i="707"/>
  <c r="G973" i="707"/>
  <c r="G970" i="707"/>
  <c r="G969" i="707"/>
  <c r="G968" i="707"/>
  <c r="G962" i="707"/>
  <c r="G961" i="707"/>
  <c r="G960" i="707"/>
  <c r="G959" i="707"/>
  <c r="G958" i="707"/>
  <c r="G957" i="707"/>
  <c r="G956" i="707"/>
  <c r="G953" i="707"/>
  <c r="G951" i="707"/>
  <c r="G950" i="707"/>
  <c r="G931" i="707"/>
  <c r="G929" i="707"/>
  <c r="G927" i="707"/>
  <c r="G925" i="707"/>
  <c r="G1225" i="707"/>
  <c r="G920" i="707"/>
  <c r="G919" i="707"/>
  <c r="G918" i="707"/>
  <c r="G917" i="707"/>
  <c r="G910" i="707"/>
  <c r="G909" i="707"/>
  <c r="G908" i="707"/>
  <c r="G907" i="707"/>
  <c r="G903" i="707"/>
  <c r="G902" i="707"/>
  <c r="G901" i="707"/>
  <c r="G900" i="707"/>
  <c r="G884" i="707"/>
  <c r="G883" i="707"/>
  <c r="G882" i="707"/>
  <c r="G880" i="707"/>
  <c r="G879" i="707"/>
  <c r="G878" i="707"/>
  <c r="G876" i="707"/>
  <c r="G875" i="707"/>
  <c r="G874" i="707"/>
  <c r="G872" i="707"/>
  <c r="G871" i="707"/>
  <c r="G870" i="707"/>
  <c r="G868" i="707"/>
  <c r="G867" i="707"/>
  <c r="G866" i="707"/>
  <c r="G864" i="707"/>
  <c r="G863" i="707"/>
  <c r="G862" i="707"/>
  <c r="G860" i="707"/>
  <c r="G859" i="707"/>
  <c r="G858" i="707"/>
  <c r="G856" i="707"/>
  <c r="G855" i="707"/>
  <c r="G854" i="707"/>
  <c r="G852" i="707"/>
  <c r="G851" i="707"/>
  <c r="G850" i="707"/>
  <c r="G848" i="707"/>
  <c r="G847" i="707"/>
  <c r="G846" i="707"/>
  <c r="G843" i="707"/>
  <c r="G840" i="707"/>
  <c r="G839" i="707"/>
  <c r="G838" i="707"/>
  <c r="G826" i="707"/>
  <c r="G825" i="707"/>
  <c r="G821" i="707"/>
  <c r="G820" i="707"/>
  <c r="G816" i="707"/>
  <c r="G815" i="707"/>
  <c r="G811" i="707"/>
  <c r="G810" i="707"/>
  <c r="G798" i="707"/>
  <c r="G797" i="707"/>
  <c r="G793" i="707"/>
  <c r="G792" i="707"/>
  <c r="G788" i="707"/>
  <c r="G787" i="707"/>
  <c r="G783" i="707"/>
  <c r="G782" i="707"/>
  <c r="G778" i="707"/>
  <c r="G777" i="707"/>
  <c r="G773" i="707"/>
  <c r="G772" i="707"/>
  <c r="G768" i="707"/>
  <c r="G767" i="707"/>
  <c r="G763" i="707"/>
  <c r="G762" i="707"/>
  <c r="G758" i="707"/>
  <c r="G757" i="707"/>
  <c r="G745" i="707"/>
  <c r="G744" i="707"/>
  <c r="G740" i="707"/>
  <c r="G739" i="707"/>
  <c r="G735" i="707"/>
  <c r="G734" i="707"/>
  <c r="G730" i="707"/>
  <c r="G729" i="707"/>
  <c r="G725" i="707"/>
  <c r="G724" i="707"/>
  <c r="G720" i="707"/>
  <c r="G719" i="707"/>
  <c r="G715" i="707"/>
  <c r="G714" i="707"/>
  <c r="G710" i="707"/>
  <c r="G709" i="707"/>
  <c r="G705" i="707"/>
  <c r="G704" i="707"/>
  <c r="G700" i="707"/>
  <c r="G699" i="707"/>
  <c r="G695" i="707"/>
  <c r="G694" i="707"/>
  <c r="G690" i="707"/>
  <c r="G689" i="707"/>
  <c r="G685" i="707"/>
  <c r="G684" i="707"/>
  <c r="G680" i="707"/>
  <c r="G679" i="707"/>
  <c r="G675" i="707"/>
  <c r="G674" i="707"/>
  <c r="G670" i="707"/>
  <c r="G669" i="707"/>
  <c r="G665" i="707"/>
  <c r="G664" i="707"/>
  <c r="G660" i="707"/>
  <c r="G659" i="707"/>
  <c r="G655" i="707"/>
  <c r="G654" i="707"/>
  <c r="G647" i="707"/>
  <c r="G646" i="707"/>
  <c r="G627" i="707"/>
  <c r="G626" i="707"/>
  <c r="G622" i="707"/>
  <c r="G621" i="707"/>
  <c r="G617" i="707"/>
  <c r="G616" i="707"/>
  <c r="G612" i="707"/>
  <c r="G611" i="707"/>
  <c r="G607" i="707"/>
  <c r="G606" i="707"/>
  <c r="G602" i="707"/>
  <c r="G601" i="707"/>
  <c r="G597" i="707"/>
  <c r="G596" i="707"/>
  <c r="G592" i="707"/>
  <c r="G591" i="707"/>
  <c r="G587" i="707"/>
  <c r="G586" i="707"/>
  <c r="G582" i="707"/>
  <c r="G581" i="707"/>
  <c r="G577" i="707"/>
  <c r="G576" i="707"/>
  <c r="G572" i="707"/>
  <c r="G571" i="707"/>
  <c r="G567" i="707"/>
  <c r="G566" i="707"/>
  <c r="G562" i="707"/>
  <c r="G561" i="707"/>
  <c r="G557" i="707"/>
  <c r="G556" i="707"/>
  <c r="G552" i="707"/>
  <c r="G551" i="707"/>
  <c r="G547" i="707"/>
  <c r="G546" i="707"/>
  <c r="G542" i="707"/>
  <c r="G541" i="707"/>
  <c r="G537" i="707"/>
  <c r="G536" i="707"/>
  <c r="G532" i="707"/>
  <c r="G531" i="707"/>
  <c r="G527" i="707"/>
  <c r="G526" i="707"/>
  <c r="G522" i="707"/>
  <c r="G521" i="707"/>
  <c r="G496" i="707"/>
  <c r="G495" i="707"/>
  <c r="G491" i="707"/>
  <c r="G490" i="707"/>
  <c r="G486" i="707"/>
  <c r="G485" i="707"/>
  <c r="G481" i="707"/>
  <c r="G480" i="707"/>
  <c r="G476" i="707"/>
  <c r="G475" i="707"/>
  <c r="G471" i="707"/>
  <c r="G470" i="707"/>
  <c r="G466" i="707"/>
  <c r="G465" i="707"/>
  <c r="G461" i="707"/>
  <c r="G460" i="707"/>
  <c r="G456" i="707"/>
  <c r="G455" i="707"/>
  <c r="G451" i="707"/>
  <c r="G450" i="707"/>
  <c r="G446" i="707"/>
  <c r="G445" i="707"/>
  <c r="G441" i="707"/>
  <c r="G440" i="707"/>
  <c r="G436" i="707"/>
  <c r="G435" i="707"/>
  <c r="G431" i="707"/>
  <c r="G430" i="707"/>
  <c r="G426" i="707"/>
  <c r="G425" i="707"/>
  <c r="G421" i="707"/>
  <c r="G420" i="707"/>
  <c r="G416" i="707"/>
  <c r="G415" i="707"/>
  <c r="G411" i="707"/>
  <c r="G410" i="707"/>
  <c r="G406" i="707"/>
  <c r="G405" i="707"/>
  <c r="G401" i="707"/>
  <c r="G400" i="707"/>
  <c r="G396" i="707"/>
  <c r="G395" i="707"/>
  <c r="G391" i="707"/>
  <c r="G390" i="707"/>
  <c r="G386" i="707"/>
  <c r="G385" i="707"/>
  <c r="G381" i="707"/>
  <c r="G380" i="707"/>
  <c r="G354" i="707"/>
  <c r="G350" i="707"/>
  <c r="G358" i="707" s="1"/>
  <c r="G347" i="707"/>
  <c r="G345" i="707"/>
  <c r="G343" i="707"/>
  <c r="G341" i="707"/>
  <c r="G338" i="707"/>
  <c r="G336" i="707"/>
  <c r="G334" i="707"/>
  <c r="G321" i="707"/>
  <c r="G320" i="707"/>
  <c r="G318" i="707"/>
  <c r="G315" i="707"/>
  <c r="G313" i="707"/>
  <c r="G311" i="707"/>
  <c r="G309" i="707"/>
  <c r="G306" i="707"/>
  <c r="G304" i="707"/>
  <c r="G302" i="707"/>
  <c r="G300" i="707"/>
  <c r="G297" i="707"/>
  <c r="G295" i="707"/>
  <c r="G293" i="707"/>
  <c r="G291" i="707"/>
  <c r="G288" i="707"/>
  <c r="G286" i="707"/>
  <c r="G284" i="707"/>
  <c r="G282" i="707"/>
  <c r="G279" i="707"/>
  <c r="G277" i="707"/>
  <c r="G275" i="707"/>
  <c r="G273" i="707"/>
  <c r="G270" i="707"/>
  <c r="G268" i="707"/>
  <c r="G266" i="707"/>
  <c r="G264" i="707"/>
  <c r="G261" i="707"/>
  <c r="G259" i="707"/>
  <c r="G257" i="707"/>
  <c r="G255" i="707"/>
  <c r="G252" i="707"/>
  <c r="G250" i="707"/>
  <c r="G248" i="707"/>
  <c r="G246" i="707"/>
  <c r="G243" i="707"/>
  <c r="G241" i="707"/>
  <c r="G239" i="707"/>
  <c r="G226" i="707"/>
  <c r="G223" i="707"/>
  <c r="G221" i="707"/>
  <c r="G219" i="707"/>
  <c r="G217" i="707"/>
  <c r="G214" i="707"/>
  <c r="G212" i="707"/>
  <c r="G210" i="707"/>
  <c r="G197" i="707"/>
  <c r="G196" i="707"/>
  <c r="G194" i="707"/>
  <c r="G191" i="707"/>
  <c r="G189" i="707"/>
  <c r="G187" i="707"/>
  <c r="G185" i="707"/>
  <c r="G182" i="707"/>
  <c r="G180" i="707"/>
  <c r="G178" i="707"/>
  <c r="G176" i="707"/>
  <c r="G173" i="707"/>
  <c r="G171" i="707"/>
  <c r="G169" i="707"/>
  <c r="G167" i="707"/>
  <c r="G164" i="707"/>
  <c r="G162" i="707"/>
  <c r="G160" i="707"/>
  <c r="G158" i="707"/>
  <c r="G155" i="707"/>
  <c r="G153" i="707"/>
  <c r="G151" i="707"/>
  <c r="G149" i="707"/>
  <c r="G146" i="707"/>
  <c r="G144" i="707"/>
  <c r="G142" i="707"/>
  <c r="G140" i="707"/>
  <c r="G137" i="707"/>
  <c r="G135" i="707"/>
  <c r="G133" i="707"/>
  <c r="G131" i="707"/>
  <c r="G128" i="707"/>
  <c r="G126" i="707"/>
  <c r="G124" i="707"/>
  <c r="G122" i="707"/>
  <c r="G119" i="707"/>
  <c r="G117" i="707"/>
  <c r="G115" i="707"/>
  <c r="G113" i="707"/>
  <c r="G110" i="707"/>
  <c r="G108" i="707"/>
  <c r="G106" i="707"/>
  <c r="G104" i="707"/>
  <c r="G101" i="707"/>
  <c r="G99" i="707"/>
  <c r="G97" i="707"/>
  <c r="G95" i="707"/>
  <c r="G92" i="707"/>
  <c r="G90" i="707"/>
  <c r="G88" i="707"/>
  <c r="G86" i="707"/>
  <c r="G83" i="707"/>
  <c r="G81" i="707"/>
  <c r="G79" i="707"/>
  <c r="G77" i="707"/>
  <c r="G74" i="707"/>
  <c r="G72" i="707"/>
  <c r="G70" i="707"/>
  <c r="G68" i="707"/>
  <c r="G65" i="707"/>
  <c r="G63" i="707"/>
  <c r="G61" i="707"/>
  <c r="G59" i="707"/>
  <c r="G56" i="707"/>
  <c r="G55" i="707"/>
  <c r="G54" i="707"/>
  <c r="G53" i="707"/>
  <c r="G52" i="707"/>
  <c r="G50" i="707"/>
  <c r="G47" i="707"/>
  <c r="G45" i="707"/>
  <c r="G43" i="707"/>
  <c r="G41" i="707"/>
  <c r="G39" i="707"/>
  <c r="G38" i="707"/>
  <c r="G36" i="707"/>
  <c r="G34" i="707"/>
  <c r="G32" i="707"/>
  <c r="G30" i="707"/>
  <c r="G29" i="707"/>
  <c r="G27" i="707"/>
  <c r="G25" i="707"/>
  <c r="G23" i="707"/>
  <c r="G21" i="707"/>
  <c r="G20" i="707"/>
  <c r="G18" i="707"/>
  <c r="G16" i="707"/>
  <c r="A1" i="707"/>
  <c r="G1246" i="706"/>
  <c r="G1245" i="706"/>
  <c r="G1229" i="706"/>
  <c r="G1228" i="706"/>
  <c r="G1227" i="706"/>
  <c r="G1224" i="706"/>
  <c r="G1198" i="706"/>
  <c r="G1199" i="706" s="1"/>
  <c r="G1194" i="706"/>
  <c r="G1193" i="706"/>
  <c r="G1192" i="706"/>
  <c r="G1191" i="706"/>
  <c r="G1187" i="706"/>
  <c r="G1186" i="706"/>
  <c r="G1185" i="706"/>
  <c r="G1184" i="706"/>
  <c r="G1180" i="706"/>
  <c r="G1179" i="706"/>
  <c r="G1178" i="706"/>
  <c r="G1177" i="706"/>
  <c r="G1173" i="706"/>
  <c r="G1174" i="706" s="1"/>
  <c r="G1169" i="706"/>
  <c r="G1168" i="706"/>
  <c r="G1164" i="706"/>
  <c r="G1163" i="706"/>
  <c r="G1159" i="706"/>
  <c r="G1158" i="706"/>
  <c r="G1157" i="706"/>
  <c r="G1156" i="706"/>
  <c r="G1152" i="706"/>
  <c r="G1151" i="706"/>
  <c r="G1150" i="706"/>
  <c r="G1149" i="706"/>
  <c r="G1145" i="706"/>
  <c r="G1141" i="706"/>
  <c r="G1142" i="706" s="1"/>
  <c r="G1137" i="706"/>
  <c r="G1136" i="706"/>
  <c r="G1119" i="706"/>
  <c r="G1118" i="706"/>
  <c r="G1117" i="706"/>
  <c r="G1116" i="706"/>
  <c r="G1112" i="706"/>
  <c r="G1111" i="706"/>
  <c r="G1110" i="706"/>
  <c r="G1109" i="706"/>
  <c r="G1105" i="706"/>
  <c r="G1104" i="706"/>
  <c r="G1103" i="706"/>
  <c r="G1102" i="706"/>
  <c r="G1098" i="706"/>
  <c r="G1099" i="706" s="1"/>
  <c r="G1092" i="706"/>
  <c r="G1091" i="706"/>
  <c r="G964" i="706" s="1"/>
  <c r="G1086" i="706"/>
  <c r="G1085" i="706"/>
  <c r="G1084" i="706"/>
  <c r="G1080" i="706"/>
  <c r="G1079" i="706"/>
  <c r="G1078" i="706"/>
  <c r="G1075" i="706"/>
  <c r="G1074" i="706"/>
  <c r="G1073" i="706"/>
  <c r="G1070" i="706"/>
  <c r="G1069" i="706"/>
  <c r="G1068" i="706"/>
  <c r="G1067" i="706"/>
  <c r="G1064" i="706"/>
  <c r="G1063" i="706"/>
  <c r="G1062" i="706"/>
  <c r="G1061" i="706"/>
  <c r="G1058" i="706"/>
  <c r="G1057" i="706"/>
  <c r="G1056" i="706"/>
  <c r="G1055" i="706"/>
  <c r="G1052" i="706"/>
  <c r="G1051" i="706"/>
  <c r="G1050" i="706"/>
  <c r="G1047" i="706"/>
  <c r="G1046" i="706"/>
  <c r="G1045" i="706"/>
  <c r="G1044" i="706"/>
  <c r="G1041" i="706"/>
  <c r="G1040" i="706"/>
  <c r="G1039" i="706"/>
  <c r="G1038" i="706"/>
  <c r="G1035" i="706"/>
  <c r="G1034" i="706"/>
  <c r="G1033" i="706"/>
  <c r="G1032" i="706"/>
  <c r="G1029" i="706"/>
  <c r="G1028" i="706"/>
  <c r="G1027" i="706"/>
  <c r="G1021" i="706"/>
  <c r="G1020" i="706"/>
  <c r="G1019" i="706"/>
  <c r="G1016" i="706"/>
  <c r="G1015" i="706"/>
  <c r="G1014" i="706"/>
  <c r="G1011" i="706"/>
  <c r="G1010" i="706"/>
  <c r="G1009" i="706"/>
  <c r="G1006" i="706"/>
  <c r="G1005" i="706"/>
  <c r="G1004" i="706"/>
  <c r="G1001" i="706"/>
  <c r="G1000" i="706"/>
  <c r="G999" i="706"/>
  <c r="G996" i="706"/>
  <c r="G995" i="706"/>
  <c r="G994" i="706"/>
  <c r="G991" i="706"/>
  <c r="G990" i="706"/>
  <c r="G989" i="706"/>
  <c r="G984" i="706"/>
  <c r="G983" i="706"/>
  <c r="G982" i="706"/>
  <c r="G981" i="706"/>
  <c r="G980" i="706"/>
  <c r="G979" i="706"/>
  <c r="G978" i="706"/>
  <c r="G975" i="706"/>
  <c r="G974" i="706"/>
  <c r="G973" i="706"/>
  <c r="G970" i="706"/>
  <c r="G969" i="706"/>
  <c r="G968" i="706"/>
  <c r="G962" i="706"/>
  <c r="G961" i="706"/>
  <c r="G960" i="706"/>
  <c r="G959" i="706"/>
  <c r="G958" i="706"/>
  <c r="G957" i="706"/>
  <c r="G956" i="706"/>
  <c r="G953" i="706"/>
  <c r="G951" i="706"/>
  <c r="G950" i="706"/>
  <c r="G931" i="706"/>
  <c r="G929" i="706"/>
  <c r="G927" i="706"/>
  <c r="G925" i="706"/>
  <c r="G1225" i="706"/>
  <c r="G920" i="706"/>
  <c r="G919" i="706"/>
  <c r="G918" i="706"/>
  <c r="G917" i="706"/>
  <c r="G910" i="706"/>
  <c r="G909" i="706"/>
  <c r="G908" i="706"/>
  <c r="G907" i="706"/>
  <c r="G903" i="706"/>
  <c r="G902" i="706"/>
  <c r="G901" i="706"/>
  <c r="G900" i="706"/>
  <c r="G887" i="706"/>
  <c r="G884" i="706"/>
  <c r="G883" i="706"/>
  <c r="G882" i="706"/>
  <c r="G880" i="706"/>
  <c r="G879" i="706"/>
  <c r="G878" i="706"/>
  <c r="G876" i="706"/>
  <c r="G875" i="706"/>
  <c r="G874" i="706"/>
  <c r="G872" i="706"/>
  <c r="G871" i="706"/>
  <c r="G870" i="706"/>
  <c r="G868" i="706"/>
  <c r="G867" i="706"/>
  <c r="G866" i="706"/>
  <c r="G864" i="706"/>
  <c r="G863" i="706"/>
  <c r="G862" i="706"/>
  <c r="G860" i="706"/>
  <c r="G859" i="706"/>
  <c r="G858" i="706"/>
  <c r="G856" i="706"/>
  <c r="G855" i="706"/>
  <c r="G854" i="706"/>
  <c r="G852" i="706"/>
  <c r="G851" i="706"/>
  <c r="G850" i="706"/>
  <c r="G848" i="706"/>
  <c r="G847" i="706"/>
  <c r="G846" i="706"/>
  <c r="G844" i="706"/>
  <c r="G843" i="706"/>
  <c r="G842" i="706"/>
  <c r="G840" i="706"/>
  <c r="G839" i="706"/>
  <c r="G838" i="706"/>
  <c r="G826" i="706"/>
  <c r="G825" i="706"/>
  <c r="G821" i="706"/>
  <c r="G820" i="706"/>
  <c r="G816" i="706"/>
  <c r="G815" i="706"/>
  <c r="G811" i="706"/>
  <c r="G810" i="706"/>
  <c r="G798" i="706"/>
  <c r="G797" i="706"/>
  <c r="G793" i="706"/>
  <c r="G792" i="706"/>
  <c r="G788" i="706"/>
  <c r="G787" i="706"/>
  <c r="G783" i="706"/>
  <c r="G782" i="706"/>
  <c r="G778" i="706"/>
  <c r="G777" i="706"/>
  <c r="G773" i="706"/>
  <c r="G772" i="706"/>
  <c r="G768" i="706"/>
  <c r="G767" i="706"/>
  <c r="G763" i="706"/>
  <c r="G762" i="706"/>
  <c r="G758" i="706"/>
  <c r="G757" i="706"/>
  <c r="G745" i="706"/>
  <c r="G744" i="706"/>
  <c r="G740" i="706"/>
  <c r="G739" i="706"/>
  <c r="G735" i="706"/>
  <c r="G734" i="706"/>
  <c r="G730" i="706"/>
  <c r="G729" i="706"/>
  <c r="G725" i="706"/>
  <c r="G724" i="706"/>
  <c r="G720" i="706"/>
  <c r="G719" i="706"/>
  <c r="G715" i="706"/>
  <c r="G714" i="706"/>
  <c r="G710" i="706"/>
  <c r="G709" i="706"/>
  <c r="G705" i="706"/>
  <c r="G704" i="706"/>
  <c r="G700" i="706"/>
  <c r="G699" i="706"/>
  <c r="G695" i="706"/>
  <c r="G694" i="706"/>
  <c r="G690" i="706"/>
  <c r="G689" i="706"/>
  <c r="G685" i="706"/>
  <c r="G684" i="706"/>
  <c r="G680" i="706"/>
  <c r="G679" i="706"/>
  <c r="G675" i="706"/>
  <c r="G674" i="706"/>
  <c r="G670" i="706"/>
  <c r="G669" i="706"/>
  <c r="G665" i="706"/>
  <c r="G664" i="706"/>
  <c r="G660" i="706"/>
  <c r="G659" i="706"/>
  <c r="G655" i="706"/>
  <c r="G654" i="706"/>
  <c r="G647" i="706"/>
  <c r="G646" i="706"/>
  <c r="G627" i="706"/>
  <c r="G626" i="706"/>
  <c r="G622" i="706"/>
  <c r="G621" i="706"/>
  <c r="G617" i="706"/>
  <c r="G616" i="706"/>
  <c r="G612" i="706"/>
  <c r="G611" i="706"/>
  <c r="G607" i="706"/>
  <c r="G606" i="706"/>
  <c r="G602" i="706"/>
  <c r="G601" i="706"/>
  <c r="G597" i="706"/>
  <c r="G596" i="706"/>
  <c r="G592" i="706"/>
  <c r="G591" i="706"/>
  <c r="G587" i="706"/>
  <c r="G586" i="706"/>
  <c r="G582" i="706"/>
  <c r="G581" i="706"/>
  <c r="G577" i="706"/>
  <c r="G576" i="706"/>
  <c r="G572" i="706"/>
  <c r="G571" i="706"/>
  <c r="G567" i="706"/>
  <c r="G566" i="706"/>
  <c r="G562" i="706"/>
  <c r="G561" i="706"/>
  <c r="G557" i="706"/>
  <c r="G556" i="706"/>
  <c r="G552" i="706"/>
  <c r="G551" i="706"/>
  <c r="G547" i="706"/>
  <c r="G546" i="706"/>
  <c r="G542" i="706"/>
  <c r="G541" i="706"/>
  <c r="G537" i="706"/>
  <c r="G536" i="706"/>
  <c r="G532" i="706"/>
  <c r="G531" i="706"/>
  <c r="G527" i="706"/>
  <c r="G526" i="706"/>
  <c r="G522" i="706"/>
  <c r="G521" i="706"/>
  <c r="G496" i="706"/>
  <c r="G495" i="706"/>
  <c r="G491" i="706"/>
  <c r="G490" i="706"/>
  <c r="G486" i="706"/>
  <c r="G485" i="706"/>
  <c r="G481" i="706"/>
  <c r="G480" i="706"/>
  <c r="G476" i="706"/>
  <c r="G475" i="706"/>
  <c r="G471" i="706"/>
  <c r="G470" i="706"/>
  <c r="G466" i="706"/>
  <c r="G465" i="706"/>
  <c r="G461" i="706"/>
  <c r="G460" i="706"/>
  <c r="G456" i="706"/>
  <c r="G455" i="706"/>
  <c r="G451" i="706"/>
  <c r="G450" i="706"/>
  <c r="G446" i="706"/>
  <c r="G445" i="706"/>
  <c r="G441" i="706"/>
  <c r="G440" i="706"/>
  <c r="G436" i="706"/>
  <c r="G435" i="706"/>
  <c r="G431" i="706"/>
  <c r="G430" i="706"/>
  <c r="G426" i="706"/>
  <c r="G425" i="706"/>
  <c r="G421" i="706"/>
  <c r="G420" i="706"/>
  <c r="G416" i="706"/>
  <c r="G415" i="706"/>
  <c r="G411" i="706"/>
  <c r="G410" i="706"/>
  <c r="G406" i="706"/>
  <c r="G405" i="706"/>
  <c r="G401" i="706"/>
  <c r="G400" i="706"/>
  <c r="G396" i="706"/>
  <c r="G395" i="706"/>
  <c r="G391" i="706"/>
  <c r="G390" i="706"/>
  <c r="G386" i="706"/>
  <c r="G385" i="706"/>
  <c r="G381" i="706"/>
  <c r="G380" i="706"/>
  <c r="G354" i="706"/>
  <c r="G350" i="706"/>
  <c r="G358" i="706" s="1"/>
  <c r="G347" i="706"/>
  <c r="G345" i="706"/>
  <c r="G343" i="706"/>
  <c r="G341" i="706"/>
  <c r="G338" i="706"/>
  <c r="G336" i="706"/>
  <c r="G334" i="706"/>
  <c r="G321" i="706"/>
  <c r="G320" i="706"/>
  <c r="G318" i="706"/>
  <c r="G315" i="706"/>
  <c r="G313" i="706"/>
  <c r="G311" i="706"/>
  <c r="G309" i="706"/>
  <c r="G306" i="706"/>
  <c r="G304" i="706"/>
  <c r="G302" i="706"/>
  <c r="G300" i="706"/>
  <c r="G297" i="706"/>
  <c r="G295" i="706"/>
  <c r="G293" i="706"/>
  <c r="G291" i="706"/>
  <c r="G288" i="706"/>
  <c r="G286" i="706"/>
  <c r="G284" i="706"/>
  <c r="G282" i="706"/>
  <c r="G279" i="706"/>
  <c r="G277" i="706"/>
  <c r="G275" i="706"/>
  <c r="G273" i="706"/>
  <c r="G270" i="706"/>
  <c r="G268" i="706"/>
  <c r="G266" i="706"/>
  <c r="G264" i="706"/>
  <c r="G261" i="706"/>
  <c r="G259" i="706"/>
  <c r="G257" i="706"/>
  <c r="G255" i="706"/>
  <c r="G252" i="706"/>
  <c r="G250" i="706"/>
  <c r="G248" i="706"/>
  <c r="G246" i="706"/>
  <c r="G243" i="706"/>
  <c r="G241" i="706"/>
  <c r="G239" i="706"/>
  <c r="G226" i="706"/>
  <c r="G223" i="706"/>
  <c r="G221" i="706"/>
  <c r="G219" i="706"/>
  <c r="G217" i="706"/>
  <c r="G214" i="706"/>
  <c r="G212" i="706"/>
  <c r="G210" i="706"/>
  <c r="G197" i="706"/>
  <c r="G196" i="706"/>
  <c r="G194" i="706"/>
  <c r="G191" i="706"/>
  <c r="G189" i="706"/>
  <c r="G187" i="706"/>
  <c r="G185" i="706"/>
  <c r="G182" i="706"/>
  <c r="G180" i="706"/>
  <c r="G178" i="706"/>
  <c r="G176" i="706"/>
  <c r="G173" i="706"/>
  <c r="G171" i="706"/>
  <c r="G169" i="706"/>
  <c r="G167" i="706"/>
  <c r="G164" i="706"/>
  <c r="G162" i="706"/>
  <c r="G160" i="706"/>
  <c r="G158" i="706"/>
  <c r="G155" i="706"/>
  <c r="G153" i="706"/>
  <c r="G151" i="706"/>
  <c r="G149" i="706"/>
  <c r="G146" i="706"/>
  <c r="G144" i="706"/>
  <c r="G142" i="706"/>
  <c r="G140" i="706"/>
  <c r="G137" i="706"/>
  <c r="G135" i="706"/>
  <c r="G133" i="706"/>
  <c r="G131" i="706"/>
  <c r="G128" i="706"/>
  <c r="G126" i="706"/>
  <c r="G124" i="706"/>
  <c r="G122" i="706"/>
  <c r="G119" i="706"/>
  <c r="G117" i="706"/>
  <c r="G115" i="706"/>
  <c r="G113" i="706"/>
  <c r="G110" i="706"/>
  <c r="G108" i="706"/>
  <c r="G106" i="706"/>
  <c r="G104" i="706"/>
  <c r="G101" i="706"/>
  <c r="G99" i="706"/>
  <c r="G97" i="706"/>
  <c r="G95" i="706"/>
  <c r="G92" i="706"/>
  <c r="G90" i="706"/>
  <c r="G88" i="706"/>
  <c r="G86" i="706"/>
  <c r="G83" i="706"/>
  <c r="G81" i="706"/>
  <c r="G79" i="706"/>
  <c r="G77" i="706"/>
  <c r="G74" i="706"/>
  <c r="G72" i="706"/>
  <c r="G70" i="706"/>
  <c r="G68" i="706"/>
  <c r="G65" i="706"/>
  <c r="G63" i="706"/>
  <c r="G61" i="706"/>
  <c r="G59" i="706"/>
  <c r="G56" i="706"/>
  <c r="G55" i="706"/>
  <c r="G54" i="706"/>
  <c r="G53" i="706"/>
  <c r="G52" i="706"/>
  <c r="G50" i="706"/>
  <c r="G47" i="706"/>
  <c r="G45" i="706"/>
  <c r="G43" i="706"/>
  <c r="G41" i="706"/>
  <c r="G39" i="706"/>
  <c r="G38" i="706"/>
  <c r="G36" i="706"/>
  <c r="G34" i="706"/>
  <c r="G32" i="706"/>
  <c r="G30" i="706"/>
  <c r="G29" i="706"/>
  <c r="G27" i="706"/>
  <c r="G25" i="706"/>
  <c r="G23" i="706"/>
  <c r="G20" i="706"/>
  <c r="G18" i="706"/>
  <c r="G16" i="706"/>
  <c r="A1" i="706"/>
  <c r="G1246" i="705"/>
  <c r="G1245" i="705"/>
  <c r="G1229" i="705"/>
  <c r="G1228" i="705"/>
  <c r="G1227" i="705"/>
  <c r="G1224" i="705"/>
  <c r="G1198" i="705"/>
  <c r="G1199" i="705" s="1"/>
  <c r="G1194" i="705"/>
  <c r="G1193" i="705"/>
  <c r="G1192" i="705"/>
  <c r="G1191" i="705"/>
  <c r="G1187" i="705"/>
  <c r="G1186" i="705"/>
  <c r="G1185" i="705"/>
  <c r="G1184" i="705"/>
  <c r="G1180" i="705"/>
  <c r="G1179" i="705"/>
  <c r="G1178" i="705"/>
  <c r="G1177" i="705"/>
  <c r="G1173" i="705"/>
  <c r="G1174" i="705" s="1"/>
  <c r="G1169" i="705"/>
  <c r="G1168" i="705"/>
  <c r="G1164" i="705"/>
  <c r="G1163" i="705"/>
  <c r="G1159" i="705"/>
  <c r="G1158" i="705"/>
  <c r="G1157" i="705"/>
  <c r="G1156" i="705"/>
  <c r="G1152" i="705"/>
  <c r="G1151" i="705"/>
  <c r="G1150" i="705"/>
  <c r="G1149" i="705"/>
  <c r="G1145" i="705"/>
  <c r="G1141" i="705"/>
  <c r="G1142" i="705" s="1"/>
  <c r="G1137" i="705"/>
  <c r="G1136" i="705"/>
  <c r="G1241" i="705"/>
  <c r="G1119" i="705"/>
  <c r="G1118" i="705"/>
  <c r="G1117" i="705"/>
  <c r="G1116" i="705"/>
  <c r="G1112" i="705"/>
  <c r="G1111" i="705"/>
  <c r="G1110" i="705"/>
  <c r="G1109" i="705"/>
  <c r="G1105" i="705"/>
  <c r="G1104" i="705"/>
  <c r="G1103" i="705"/>
  <c r="G1102" i="705"/>
  <c r="G1098" i="705"/>
  <c r="G1099" i="705" s="1"/>
  <c r="G1091" i="705"/>
  <c r="G964" i="705" s="1"/>
  <c r="G1086" i="705"/>
  <c r="G1085" i="705"/>
  <c r="G1084" i="705"/>
  <c r="G1081" i="705"/>
  <c r="G1080" i="705"/>
  <c r="G1079" i="705"/>
  <c r="G1078" i="705"/>
  <c r="G1075" i="705"/>
  <c r="G1074" i="705"/>
  <c r="G1073" i="705"/>
  <c r="G1070" i="705"/>
  <c r="G1069" i="705"/>
  <c r="G1068" i="705"/>
  <c r="G1067" i="705"/>
  <c r="G1064" i="705"/>
  <c r="G1063" i="705"/>
  <c r="G1062" i="705"/>
  <c r="G1061" i="705"/>
  <c r="G1058" i="705"/>
  <c r="G1057" i="705"/>
  <c r="G1056" i="705"/>
  <c r="G1055" i="705"/>
  <c r="G1052" i="705"/>
  <c r="G1051" i="705"/>
  <c r="G1050" i="705"/>
  <c r="G1047" i="705"/>
  <c r="G1046" i="705"/>
  <c r="G1045" i="705"/>
  <c r="G1044" i="705"/>
  <c r="G1041" i="705"/>
  <c r="G1040" i="705"/>
  <c r="G1039" i="705"/>
  <c r="G1038" i="705"/>
  <c r="G1035" i="705"/>
  <c r="G1034" i="705"/>
  <c r="G1033" i="705"/>
  <c r="G1032" i="705"/>
  <c r="G1029" i="705"/>
  <c r="G1028" i="705"/>
  <c r="G1027" i="705"/>
  <c r="G1021" i="705"/>
  <c r="G1020" i="705"/>
  <c r="G1019" i="705"/>
  <c r="G1016" i="705"/>
  <c r="G1015" i="705"/>
  <c r="G1014" i="705"/>
  <c r="G1011" i="705"/>
  <c r="G1010" i="705"/>
  <c r="G1009" i="705"/>
  <c r="G1006" i="705"/>
  <c r="G1005" i="705"/>
  <c r="G1004" i="705"/>
  <c r="G1001" i="705"/>
  <c r="G1000" i="705"/>
  <c r="G999" i="705"/>
  <c r="G996" i="705"/>
  <c r="G995" i="705"/>
  <c r="G994" i="705"/>
  <c r="G991" i="705"/>
  <c r="G990" i="705"/>
  <c r="G989" i="705"/>
  <c r="G985" i="705"/>
  <c r="G984" i="705"/>
  <c r="G983" i="705"/>
  <c r="G982" i="705"/>
  <c r="G981" i="705"/>
  <c r="G980" i="705"/>
  <c r="G979" i="705"/>
  <c r="G978" i="705"/>
  <c r="G975" i="705"/>
  <c r="G974" i="705"/>
  <c r="G973" i="705"/>
  <c r="G970" i="705"/>
  <c r="G969" i="705"/>
  <c r="G968" i="705"/>
  <c r="G962" i="705"/>
  <c r="G961" i="705"/>
  <c r="G960" i="705"/>
  <c r="G959" i="705"/>
  <c r="G958" i="705"/>
  <c r="G957" i="705"/>
  <c r="G956" i="705"/>
  <c r="G953" i="705"/>
  <c r="G951" i="705"/>
  <c r="G950" i="705"/>
  <c r="G931" i="705"/>
  <c r="G929" i="705"/>
  <c r="G927" i="705"/>
  <c r="G925" i="705"/>
  <c r="G1225" i="705"/>
  <c r="G920" i="705"/>
  <c r="G919" i="705"/>
  <c r="G918" i="705"/>
  <c r="G917" i="705"/>
  <c r="G910" i="705"/>
  <c r="G909" i="705"/>
  <c r="G908" i="705"/>
  <c r="G907" i="705"/>
  <c r="G903" i="705"/>
  <c r="G902" i="705"/>
  <c r="G901" i="705"/>
  <c r="G900" i="705"/>
  <c r="G887" i="705"/>
  <c r="G886" i="705"/>
  <c r="G884" i="705"/>
  <c r="G883" i="705"/>
  <c r="G882" i="705"/>
  <c r="G880" i="705"/>
  <c r="G879" i="705"/>
  <c r="G878" i="705"/>
  <c r="G876" i="705"/>
  <c r="G875" i="705"/>
  <c r="G874" i="705"/>
  <c r="G872" i="705"/>
  <c r="G871" i="705"/>
  <c r="G870" i="705"/>
  <c r="G868" i="705"/>
  <c r="G867" i="705"/>
  <c r="G866" i="705"/>
  <c r="G864" i="705"/>
  <c r="G863" i="705"/>
  <c r="G862" i="705"/>
  <c r="G860" i="705"/>
  <c r="G859" i="705"/>
  <c r="G858" i="705"/>
  <c r="G856" i="705"/>
  <c r="G855" i="705"/>
  <c r="G854" i="705"/>
  <c r="G852" i="705"/>
  <c r="G851" i="705"/>
  <c r="G850" i="705"/>
  <c r="G848" i="705"/>
  <c r="G847" i="705"/>
  <c r="G846" i="705"/>
  <c r="G844" i="705"/>
  <c r="G843" i="705"/>
  <c r="G842" i="705"/>
  <c r="G840" i="705"/>
  <c r="G839" i="705"/>
  <c r="G838" i="705"/>
  <c r="G826" i="705"/>
  <c r="G825" i="705"/>
  <c r="G821" i="705"/>
  <c r="G820" i="705"/>
  <c r="G816" i="705"/>
  <c r="G815" i="705"/>
  <c r="G811" i="705"/>
  <c r="G810" i="705"/>
  <c r="G798" i="705"/>
  <c r="G797" i="705"/>
  <c r="G793" i="705"/>
  <c r="G792" i="705"/>
  <c r="G788" i="705"/>
  <c r="G787" i="705"/>
  <c r="G783" i="705"/>
  <c r="G782" i="705"/>
  <c r="G778" i="705"/>
  <c r="G777" i="705"/>
  <c r="G773" i="705"/>
  <c r="G772" i="705"/>
  <c r="G768" i="705"/>
  <c r="G767" i="705"/>
  <c r="G763" i="705"/>
  <c r="G762" i="705"/>
  <c r="G758" i="705"/>
  <c r="G757" i="705"/>
  <c r="G745" i="705"/>
  <c r="G744" i="705"/>
  <c r="G740" i="705"/>
  <c r="G739" i="705"/>
  <c r="G735" i="705"/>
  <c r="G734" i="705"/>
  <c r="G730" i="705"/>
  <c r="G729" i="705"/>
  <c r="G725" i="705"/>
  <c r="G724" i="705"/>
  <c r="G720" i="705"/>
  <c r="G719" i="705"/>
  <c r="G715" i="705"/>
  <c r="G714" i="705"/>
  <c r="G710" i="705"/>
  <c r="G709" i="705"/>
  <c r="G705" i="705"/>
  <c r="G704" i="705"/>
  <c r="G700" i="705"/>
  <c r="G699" i="705"/>
  <c r="G695" i="705"/>
  <c r="G694" i="705"/>
  <c r="G690" i="705"/>
  <c r="G689" i="705"/>
  <c r="G685" i="705"/>
  <c r="G684" i="705"/>
  <c r="G680" i="705"/>
  <c r="G679" i="705"/>
  <c r="G675" i="705"/>
  <c r="G674" i="705"/>
  <c r="G670" i="705"/>
  <c r="G669" i="705"/>
  <c r="G665" i="705"/>
  <c r="G664" i="705"/>
  <c r="G660" i="705"/>
  <c r="G659" i="705"/>
  <c r="G655" i="705"/>
  <c r="G654" i="705"/>
  <c r="G647" i="705"/>
  <c r="G646" i="705"/>
  <c r="G627" i="705"/>
  <c r="G626" i="705"/>
  <c r="G622" i="705"/>
  <c r="G621" i="705"/>
  <c r="G617" i="705"/>
  <c r="G616" i="705"/>
  <c r="G612" i="705"/>
  <c r="G611" i="705"/>
  <c r="G607" i="705"/>
  <c r="G606" i="705"/>
  <c r="G602" i="705"/>
  <c r="G601" i="705"/>
  <c r="G597" i="705"/>
  <c r="G596" i="705"/>
  <c r="G592" i="705"/>
  <c r="G591" i="705"/>
  <c r="G587" i="705"/>
  <c r="G586" i="705"/>
  <c r="G582" i="705"/>
  <c r="G581" i="705"/>
  <c r="G577" i="705"/>
  <c r="G576" i="705"/>
  <c r="G572" i="705"/>
  <c r="G571" i="705"/>
  <c r="G567" i="705"/>
  <c r="G566" i="705"/>
  <c r="G562" i="705"/>
  <c r="G561" i="705"/>
  <c r="G557" i="705"/>
  <c r="G556" i="705"/>
  <c r="G552" i="705"/>
  <c r="G551" i="705"/>
  <c r="G547" i="705"/>
  <c r="G546" i="705"/>
  <c r="G542" i="705"/>
  <c r="G541" i="705"/>
  <c r="G537" i="705"/>
  <c r="G536" i="705"/>
  <c r="G532" i="705"/>
  <c r="G531" i="705"/>
  <c r="G527" i="705"/>
  <c r="G526" i="705"/>
  <c r="G522" i="705"/>
  <c r="G521" i="705"/>
  <c r="G496" i="705"/>
  <c r="G495" i="705"/>
  <c r="G491" i="705"/>
  <c r="G490" i="705"/>
  <c r="G486" i="705"/>
  <c r="G485" i="705"/>
  <c r="G481" i="705"/>
  <c r="G480" i="705"/>
  <c r="G476" i="705"/>
  <c r="G475" i="705"/>
  <c r="G471" i="705"/>
  <c r="G470" i="705"/>
  <c r="G466" i="705"/>
  <c r="G465" i="705"/>
  <c r="G461" i="705"/>
  <c r="G460" i="705"/>
  <c r="G456" i="705"/>
  <c r="G455" i="705"/>
  <c r="G451" i="705"/>
  <c r="G450" i="705"/>
  <c r="G446" i="705"/>
  <c r="G445" i="705"/>
  <c r="G441" i="705"/>
  <c r="G440" i="705"/>
  <c r="G436" i="705"/>
  <c r="G435" i="705"/>
  <c r="G431" i="705"/>
  <c r="G430" i="705"/>
  <c r="G426" i="705"/>
  <c r="G425" i="705"/>
  <c r="G421" i="705"/>
  <c r="G420" i="705"/>
  <c r="G416" i="705"/>
  <c r="G415" i="705"/>
  <c r="G411" i="705"/>
  <c r="G410" i="705"/>
  <c r="G406" i="705"/>
  <c r="G405" i="705"/>
  <c r="G401" i="705"/>
  <c r="G400" i="705"/>
  <c r="G396" i="705"/>
  <c r="G395" i="705"/>
  <c r="G391" i="705"/>
  <c r="G390" i="705"/>
  <c r="G386" i="705"/>
  <c r="G385" i="705"/>
  <c r="G381" i="705"/>
  <c r="G380" i="705"/>
  <c r="G354" i="705"/>
  <c r="G350" i="705"/>
  <c r="G358" i="705" s="1"/>
  <c r="G347" i="705"/>
  <c r="G345" i="705"/>
  <c r="G343" i="705"/>
  <c r="G341" i="705"/>
  <c r="G338" i="705"/>
  <c r="G336" i="705"/>
  <c r="G334" i="705"/>
  <c r="G321" i="705"/>
  <c r="G320" i="705"/>
  <c r="G318" i="705"/>
  <c r="G315" i="705"/>
  <c r="G313" i="705"/>
  <c r="G311" i="705"/>
  <c r="G309" i="705"/>
  <c r="G306" i="705"/>
  <c r="G304" i="705"/>
  <c r="G302" i="705"/>
  <c r="G300" i="705"/>
  <c r="G297" i="705"/>
  <c r="G295" i="705"/>
  <c r="G293" i="705"/>
  <c r="G291" i="705"/>
  <c r="G288" i="705"/>
  <c r="G286" i="705"/>
  <c r="G284" i="705"/>
  <c r="G282" i="705"/>
  <c r="G279" i="705"/>
  <c r="G277" i="705"/>
  <c r="G275" i="705"/>
  <c r="G273" i="705"/>
  <c r="G270" i="705"/>
  <c r="G268" i="705"/>
  <c r="G266" i="705"/>
  <c r="G264" i="705"/>
  <c r="G261" i="705"/>
  <c r="G259" i="705"/>
  <c r="G257" i="705"/>
  <c r="G255" i="705"/>
  <c r="G252" i="705"/>
  <c r="G250" i="705"/>
  <c r="G248" i="705"/>
  <c r="G246" i="705"/>
  <c r="G243" i="705"/>
  <c r="G241" i="705"/>
  <c r="G239" i="705"/>
  <c r="G226" i="705"/>
  <c r="G223" i="705"/>
  <c r="G221" i="705"/>
  <c r="G219" i="705"/>
  <c r="G217" i="705"/>
  <c r="G214" i="705"/>
  <c r="G212" i="705"/>
  <c r="G210" i="705"/>
  <c r="G197" i="705"/>
  <c r="G196" i="705"/>
  <c r="G194" i="705"/>
  <c r="G191" i="705"/>
  <c r="G189" i="705"/>
  <c r="G187" i="705"/>
  <c r="G185" i="705"/>
  <c r="G182" i="705"/>
  <c r="G180" i="705"/>
  <c r="G178" i="705"/>
  <c r="G176" i="705"/>
  <c r="G173" i="705"/>
  <c r="G171" i="705"/>
  <c r="G169" i="705"/>
  <c r="G167" i="705"/>
  <c r="G164" i="705"/>
  <c r="G162" i="705"/>
  <c r="G160" i="705"/>
  <c r="G158" i="705"/>
  <c r="G155" i="705"/>
  <c r="G153" i="705"/>
  <c r="G151" i="705"/>
  <c r="G149" i="705"/>
  <c r="G146" i="705"/>
  <c r="G144" i="705"/>
  <c r="G142" i="705"/>
  <c r="G140" i="705"/>
  <c r="G137" i="705"/>
  <c r="G135" i="705"/>
  <c r="G133" i="705"/>
  <c r="G131" i="705"/>
  <c r="G128" i="705"/>
  <c r="G126" i="705"/>
  <c r="G124" i="705"/>
  <c r="G122" i="705"/>
  <c r="G119" i="705"/>
  <c r="G117" i="705"/>
  <c r="G115" i="705"/>
  <c r="G113" i="705"/>
  <c r="G110" i="705"/>
  <c r="G108" i="705"/>
  <c r="G106" i="705"/>
  <c r="G104" i="705"/>
  <c r="G101" i="705"/>
  <c r="G99" i="705"/>
  <c r="G97" i="705"/>
  <c r="G95" i="705"/>
  <c r="G92" i="705"/>
  <c r="G90" i="705"/>
  <c r="G88" i="705"/>
  <c r="G86" i="705"/>
  <c r="G83" i="705"/>
  <c r="G81" i="705"/>
  <c r="G79" i="705"/>
  <c r="G77" i="705"/>
  <c r="G74" i="705"/>
  <c r="G72" i="705"/>
  <c r="G70" i="705"/>
  <c r="G68" i="705"/>
  <c r="G65" i="705"/>
  <c r="G63" i="705"/>
  <c r="G61" i="705"/>
  <c r="G59" i="705"/>
  <c r="G56" i="705"/>
  <c r="G55" i="705"/>
  <c r="G54" i="705"/>
  <c r="G53" i="705"/>
  <c r="G52" i="705"/>
  <c r="G50" i="705"/>
  <c r="G47" i="705"/>
  <c r="G45" i="705"/>
  <c r="G43" i="705"/>
  <c r="G41" i="705"/>
  <c r="G39" i="705"/>
  <c r="G38" i="705"/>
  <c r="G36" i="705"/>
  <c r="G34" i="705"/>
  <c r="G32" i="705"/>
  <c r="G30" i="705"/>
  <c r="G29" i="705"/>
  <c r="G27" i="705"/>
  <c r="G25" i="705"/>
  <c r="G23" i="705"/>
  <c r="G21" i="705"/>
  <c r="G20" i="705"/>
  <c r="G18" i="705"/>
  <c r="G16" i="705"/>
  <c r="A1" i="705"/>
  <c r="G1246" i="704"/>
  <c r="G1245" i="704"/>
  <c r="G1229" i="704"/>
  <c r="G1228" i="704"/>
  <c r="G1227" i="704"/>
  <c r="G1224" i="704"/>
  <c r="G1198" i="704"/>
  <c r="G1199" i="704" s="1"/>
  <c r="G1194" i="704"/>
  <c r="G1193" i="704"/>
  <c r="G1192" i="704"/>
  <c r="G1191" i="704"/>
  <c r="G1187" i="704"/>
  <c r="G1186" i="704"/>
  <c r="G1185" i="704"/>
  <c r="G1184" i="704"/>
  <c r="G1180" i="704"/>
  <c r="G1179" i="704"/>
  <c r="G1178" i="704"/>
  <c r="G1177" i="704"/>
  <c r="G1173" i="704"/>
  <c r="G1174" i="704" s="1"/>
  <c r="G1169" i="704"/>
  <c r="G1168" i="704"/>
  <c r="G1164" i="704"/>
  <c r="G1163" i="704"/>
  <c r="G1159" i="704"/>
  <c r="G1158" i="704"/>
  <c r="G1157" i="704"/>
  <c r="G1156" i="704"/>
  <c r="G1152" i="704"/>
  <c r="G1151" i="704"/>
  <c r="G1150" i="704"/>
  <c r="G1149" i="704"/>
  <c r="G1145" i="704"/>
  <c r="G1141" i="704"/>
  <c r="G1142" i="704" s="1"/>
  <c r="G1137" i="704"/>
  <c r="G1136" i="704"/>
  <c r="G1119" i="704"/>
  <c r="G1118" i="704"/>
  <c r="G1117" i="704"/>
  <c r="G1116" i="704"/>
  <c r="G1112" i="704"/>
  <c r="G1111" i="704"/>
  <c r="G1110" i="704"/>
  <c r="G1109" i="704"/>
  <c r="G1105" i="704"/>
  <c r="G1104" i="704"/>
  <c r="G1103" i="704"/>
  <c r="G1102" i="704"/>
  <c r="G1098" i="704"/>
  <c r="G1099" i="704" s="1"/>
  <c r="G1091" i="704"/>
  <c r="G964" i="704" s="1"/>
  <c r="G1086" i="704"/>
  <c r="G1085" i="704"/>
  <c r="G1084" i="704"/>
  <c r="G1080" i="704"/>
  <c r="G1079" i="704"/>
  <c r="G1078" i="704"/>
  <c r="G1075" i="704"/>
  <c r="G1074" i="704"/>
  <c r="G1073" i="704"/>
  <c r="G1070" i="704"/>
  <c r="G1069" i="704"/>
  <c r="G1068" i="704"/>
  <c r="G1067" i="704"/>
  <c r="G1064" i="704"/>
  <c r="G1063" i="704"/>
  <c r="G1062" i="704"/>
  <c r="G1061" i="704"/>
  <c r="G1058" i="704"/>
  <c r="G1057" i="704"/>
  <c r="G1056" i="704"/>
  <c r="G1055" i="704"/>
  <c r="G1052" i="704"/>
  <c r="G1051" i="704"/>
  <c r="G1050" i="704"/>
  <c r="G1047" i="704"/>
  <c r="G1046" i="704"/>
  <c r="G1045" i="704"/>
  <c r="G1044" i="704"/>
  <c r="G1041" i="704"/>
  <c r="G1040" i="704"/>
  <c r="G1039" i="704"/>
  <c r="G1038" i="704"/>
  <c r="G1035" i="704"/>
  <c r="G1034" i="704"/>
  <c r="G1033" i="704"/>
  <c r="G1032" i="704"/>
  <c r="G1029" i="704"/>
  <c r="G1028" i="704"/>
  <c r="G1027" i="704"/>
  <c r="G1021" i="704"/>
  <c r="G1020" i="704"/>
  <c r="G1019" i="704"/>
  <c r="G1016" i="704"/>
  <c r="G1015" i="704"/>
  <c r="G1014" i="704"/>
  <c r="G1011" i="704"/>
  <c r="G1010" i="704"/>
  <c r="G1009" i="704"/>
  <c r="G1006" i="704"/>
  <c r="G1005" i="704"/>
  <c r="G1004" i="704"/>
  <c r="G1001" i="704"/>
  <c r="G1000" i="704"/>
  <c r="G999" i="704"/>
  <c r="G996" i="704"/>
  <c r="G995" i="704"/>
  <c r="G994" i="704"/>
  <c r="G991" i="704"/>
  <c r="G990" i="704"/>
  <c r="G989" i="704"/>
  <c r="G984" i="704"/>
  <c r="G983" i="704"/>
  <c r="G982" i="704"/>
  <c r="G981" i="704"/>
  <c r="G980" i="704"/>
  <c r="G979" i="704"/>
  <c r="G978" i="704"/>
  <c r="G975" i="704"/>
  <c r="G974" i="704"/>
  <c r="G973" i="704"/>
  <c r="G970" i="704"/>
  <c r="G969" i="704"/>
  <c r="G968" i="704"/>
  <c r="G962" i="704"/>
  <c r="G961" i="704"/>
  <c r="G960" i="704"/>
  <c r="G959" i="704"/>
  <c r="G958" i="704"/>
  <c r="G957" i="704"/>
  <c r="G956" i="704"/>
  <c r="G953" i="704"/>
  <c r="G951" i="704"/>
  <c r="G950" i="704"/>
  <c r="G931" i="704"/>
  <c r="G929" i="704"/>
  <c r="G927" i="704"/>
  <c r="G925" i="704"/>
  <c r="G1225" i="704"/>
  <c r="G920" i="704"/>
  <c r="G919" i="704"/>
  <c r="G918" i="704"/>
  <c r="G917" i="704"/>
  <c r="G910" i="704"/>
  <c r="G909" i="704"/>
  <c r="G908" i="704"/>
  <c r="G907" i="704"/>
  <c r="G903" i="704"/>
  <c r="G902" i="704"/>
  <c r="G901" i="704"/>
  <c r="G900" i="704"/>
  <c r="G887" i="704"/>
  <c r="G886" i="704"/>
  <c r="G884" i="704"/>
  <c r="G883" i="704"/>
  <c r="G882" i="704"/>
  <c r="G880" i="704"/>
  <c r="G879" i="704"/>
  <c r="G878" i="704"/>
  <c r="G876" i="704"/>
  <c r="G875" i="704"/>
  <c r="G874" i="704"/>
  <c r="G872" i="704"/>
  <c r="G871" i="704"/>
  <c r="G870" i="704"/>
  <c r="G868" i="704"/>
  <c r="G867" i="704"/>
  <c r="G866" i="704"/>
  <c r="G864" i="704"/>
  <c r="G863" i="704"/>
  <c r="G862" i="704"/>
  <c r="G860" i="704"/>
  <c r="G859" i="704"/>
  <c r="G858" i="704"/>
  <c r="G856" i="704"/>
  <c r="G855" i="704"/>
  <c r="G854" i="704"/>
  <c r="G852" i="704"/>
  <c r="G851" i="704"/>
  <c r="G850" i="704"/>
  <c r="G848" i="704"/>
  <c r="G847" i="704"/>
  <c r="G846" i="704"/>
  <c r="G844" i="704"/>
  <c r="G843" i="704"/>
  <c r="G842" i="704"/>
  <c r="G840" i="704"/>
  <c r="G839" i="704"/>
  <c r="G838" i="704"/>
  <c r="G826" i="704"/>
  <c r="G825" i="704"/>
  <c r="G821" i="704"/>
  <c r="G820" i="704"/>
  <c r="G816" i="704"/>
  <c r="G815" i="704"/>
  <c r="G811" i="704"/>
  <c r="G810" i="704"/>
  <c r="G798" i="704"/>
  <c r="G797" i="704"/>
  <c r="G793" i="704"/>
  <c r="G792" i="704"/>
  <c r="G788" i="704"/>
  <c r="G787" i="704"/>
  <c r="G783" i="704"/>
  <c r="G782" i="704"/>
  <c r="G778" i="704"/>
  <c r="G777" i="704"/>
  <c r="G773" i="704"/>
  <c r="G772" i="704"/>
  <c r="G768" i="704"/>
  <c r="G767" i="704"/>
  <c r="G763" i="704"/>
  <c r="G762" i="704"/>
  <c r="G758" i="704"/>
  <c r="G757" i="704"/>
  <c r="G745" i="704"/>
  <c r="G744" i="704"/>
  <c r="G740" i="704"/>
  <c r="G739" i="704"/>
  <c r="G735" i="704"/>
  <c r="G734" i="704"/>
  <c r="G730" i="704"/>
  <c r="G729" i="704"/>
  <c r="G725" i="704"/>
  <c r="G724" i="704"/>
  <c r="G720" i="704"/>
  <c r="G719" i="704"/>
  <c r="G715" i="704"/>
  <c r="G714" i="704"/>
  <c r="G710" i="704"/>
  <c r="G709" i="704"/>
  <c r="G705" i="704"/>
  <c r="G704" i="704"/>
  <c r="G700" i="704"/>
  <c r="G699" i="704"/>
  <c r="G695" i="704"/>
  <c r="G694" i="704"/>
  <c r="G690" i="704"/>
  <c r="G689" i="704"/>
  <c r="G685" i="704"/>
  <c r="G684" i="704"/>
  <c r="G680" i="704"/>
  <c r="G679" i="704"/>
  <c r="G675" i="704"/>
  <c r="G674" i="704"/>
  <c r="G670" i="704"/>
  <c r="G669" i="704"/>
  <c r="G665" i="704"/>
  <c r="G664" i="704"/>
  <c r="G660" i="704"/>
  <c r="G659" i="704"/>
  <c r="G655" i="704"/>
  <c r="G654" i="704"/>
  <c r="G647" i="704"/>
  <c r="G646" i="704"/>
  <c r="G627" i="704"/>
  <c r="G626" i="704"/>
  <c r="G622" i="704"/>
  <c r="G621" i="704"/>
  <c r="G617" i="704"/>
  <c r="G616" i="704"/>
  <c r="G612" i="704"/>
  <c r="G611" i="704"/>
  <c r="G607" i="704"/>
  <c r="G606" i="704"/>
  <c r="G602" i="704"/>
  <c r="G601" i="704"/>
  <c r="G597" i="704"/>
  <c r="G596" i="704"/>
  <c r="G592" i="704"/>
  <c r="G591" i="704"/>
  <c r="G587" i="704"/>
  <c r="G586" i="704"/>
  <c r="G582" i="704"/>
  <c r="G581" i="704"/>
  <c r="G577" i="704"/>
  <c r="G576" i="704"/>
  <c r="G572" i="704"/>
  <c r="G571" i="704"/>
  <c r="G567" i="704"/>
  <c r="G566" i="704"/>
  <c r="G562" i="704"/>
  <c r="G561" i="704"/>
  <c r="G557" i="704"/>
  <c r="G556" i="704"/>
  <c r="G552" i="704"/>
  <c r="G551" i="704"/>
  <c r="G547" i="704"/>
  <c r="G546" i="704"/>
  <c r="G542" i="704"/>
  <c r="G541" i="704"/>
  <c r="G537" i="704"/>
  <c r="G536" i="704"/>
  <c r="G532" i="704"/>
  <c r="G531" i="704"/>
  <c r="G527" i="704"/>
  <c r="G526" i="704"/>
  <c r="G522" i="704"/>
  <c r="G521" i="704"/>
  <c r="G496" i="704"/>
  <c r="G495" i="704"/>
  <c r="G491" i="704"/>
  <c r="G490" i="704"/>
  <c r="G486" i="704"/>
  <c r="G485" i="704"/>
  <c r="G481" i="704"/>
  <c r="G480" i="704"/>
  <c r="G476" i="704"/>
  <c r="G475" i="704"/>
  <c r="G471" i="704"/>
  <c r="G470" i="704"/>
  <c r="G466" i="704"/>
  <c r="G465" i="704"/>
  <c r="G461" i="704"/>
  <c r="G460" i="704"/>
  <c r="G456" i="704"/>
  <c r="G455" i="704"/>
  <c r="G451" i="704"/>
  <c r="G450" i="704"/>
  <c r="G446" i="704"/>
  <c r="G445" i="704"/>
  <c r="G441" i="704"/>
  <c r="G440" i="704"/>
  <c r="G436" i="704"/>
  <c r="G435" i="704"/>
  <c r="G431" i="704"/>
  <c r="G430" i="704"/>
  <c r="G426" i="704"/>
  <c r="G425" i="704"/>
  <c r="G421" i="704"/>
  <c r="G420" i="704"/>
  <c r="G416" i="704"/>
  <c r="G415" i="704"/>
  <c r="G411" i="704"/>
  <c r="G410" i="704"/>
  <c r="G406" i="704"/>
  <c r="G405" i="704"/>
  <c r="G401" i="704"/>
  <c r="G400" i="704"/>
  <c r="G396" i="704"/>
  <c r="G395" i="704"/>
  <c r="G391" i="704"/>
  <c r="G390" i="704"/>
  <c r="G386" i="704"/>
  <c r="G385" i="704"/>
  <c r="G381" i="704"/>
  <c r="G380" i="704"/>
  <c r="G354" i="704"/>
  <c r="G350" i="704"/>
  <c r="G358" i="704" s="1"/>
  <c r="G347" i="704"/>
  <c r="G345" i="704"/>
  <c r="G343" i="704"/>
  <c r="G341" i="704"/>
  <c r="G338" i="704"/>
  <c r="G336" i="704"/>
  <c r="G334" i="704"/>
  <c r="G321" i="704"/>
  <c r="G320" i="704"/>
  <c r="G318" i="704"/>
  <c r="G315" i="704"/>
  <c r="G313" i="704"/>
  <c r="G311" i="704"/>
  <c r="G309" i="704"/>
  <c r="G306" i="704"/>
  <c r="G304" i="704"/>
  <c r="G302" i="704"/>
  <c r="G300" i="704"/>
  <c r="G297" i="704"/>
  <c r="G295" i="704"/>
  <c r="G293" i="704"/>
  <c r="G291" i="704"/>
  <c r="G288" i="704"/>
  <c r="G286" i="704"/>
  <c r="G284" i="704"/>
  <c r="G282" i="704"/>
  <c r="G279" i="704"/>
  <c r="G277" i="704"/>
  <c r="G275" i="704"/>
  <c r="G273" i="704"/>
  <c r="G270" i="704"/>
  <c r="G268" i="704"/>
  <c r="G266" i="704"/>
  <c r="G264" i="704"/>
  <c r="G261" i="704"/>
  <c r="G259" i="704"/>
  <c r="G257" i="704"/>
  <c r="G255" i="704"/>
  <c r="G252" i="704"/>
  <c r="G250" i="704"/>
  <c r="G248" i="704"/>
  <c r="G246" i="704"/>
  <c r="G243" i="704"/>
  <c r="G241" i="704"/>
  <c r="G239" i="704"/>
  <c r="G226" i="704"/>
  <c r="G223" i="704"/>
  <c r="G221" i="704"/>
  <c r="G219" i="704"/>
  <c r="G217" i="704"/>
  <c r="G214" i="704"/>
  <c r="G212" i="704"/>
  <c r="G210" i="704"/>
  <c r="G197" i="704"/>
  <c r="G196" i="704"/>
  <c r="G194" i="704"/>
  <c r="G191" i="704"/>
  <c r="G189" i="704"/>
  <c r="G187" i="704"/>
  <c r="G185" i="704"/>
  <c r="G182" i="704"/>
  <c r="G180" i="704"/>
  <c r="G178" i="704"/>
  <c r="G176" i="704"/>
  <c r="G173" i="704"/>
  <c r="G171" i="704"/>
  <c r="G169" i="704"/>
  <c r="G167" i="704"/>
  <c r="G164" i="704"/>
  <c r="G162" i="704"/>
  <c r="G160" i="704"/>
  <c r="G158" i="704"/>
  <c r="G155" i="704"/>
  <c r="G153" i="704"/>
  <c r="G151" i="704"/>
  <c r="G149" i="704"/>
  <c r="G146" i="704"/>
  <c r="G144" i="704"/>
  <c r="G142" i="704"/>
  <c r="G140" i="704"/>
  <c r="G137" i="704"/>
  <c r="G135" i="704"/>
  <c r="G133" i="704"/>
  <c r="G131" i="704"/>
  <c r="G128" i="704"/>
  <c r="G126" i="704"/>
  <c r="G124" i="704"/>
  <c r="G122" i="704"/>
  <c r="G119" i="704"/>
  <c r="G117" i="704"/>
  <c r="G115" i="704"/>
  <c r="G113" i="704"/>
  <c r="G110" i="704"/>
  <c r="G108" i="704"/>
  <c r="G106" i="704"/>
  <c r="G104" i="704"/>
  <c r="G101" i="704"/>
  <c r="G99" i="704"/>
  <c r="G97" i="704"/>
  <c r="G95" i="704"/>
  <c r="G92" i="704"/>
  <c r="G90" i="704"/>
  <c r="G88" i="704"/>
  <c r="G86" i="704"/>
  <c r="G83" i="704"/>
  <c r="G81" i="704"/>
  <c r="G79" i="704"/>
  <c r="G77" i="704"/>
  <c r="G74" i="704"/>
  <c r="G72" i="704"/>
  <c r="G70" i="704"/>
  <c r="G68" i="704"/>
  <c r="G65" i="704"/>
  <c r="G63" i="704"/>
  <c r="G61" i="704"/>
  <c r="G59" i="704"/>
  <c r="G56" i="704"/>
  <c r="G55" i="704"/>
  <c r="G54" i="704"/>
  <c r="G53" i="704"/>
  <c r="G52" i="704"/>
  <c r="G50" i="704"/>
  <c r="G47" i="704"/>
  <c r="G45" i="704"/>
  <c r="G43" i="704"/>
  <c r="G41" i="704"/>
  <c r="G39" i="704"/>
  <c r="G38" i="704"/>
  <c r="G36" i="704"/>
  <c r="G34" i="704"/>
  <c r="G32" i="704"/>
  <c r="G30" i="704"/>
  <c r="G29" i="704"/>
  <c r="G27" i="704"/>
  <c r="G25" i="704"/>
  <c r="G23" i="704"/>
  <c r="G20" i="704"/>
  <c r="G18" i="704"/>
  <c r="G16" i="704"/>
  <c r="A1" i="704"/>
  <c r="G1246" i="703"/>
  <c r="G1245" i="703"/>
  <c r="G1229" i="703"/>
  <c r="G1228" i="703"/>
  <c r="G1227" i="703"/>
  <c r="G1224" i="703"/>
  <c r="G1198" i="703"/>
  <c r="G1199" i="703" s="1"/>
  <c r="G1194" i="703"/>
  <c r="G1193" i="703"/>
  <c r="G1192" i="703"/>
  <c r="G1191" i="703"/>
  <c r="G1187" i="703"/>
  <c r="G1186" i="703"/>
  <c r="G1185" i="703"/>
  <c r="G1184" i="703"/>
  <c r="G1180" i="703"/>
  <c r="G1179" i="703"/>
  <c r="G1178" i="703"/>
  <c r="G1177" i="703"/>
  <c r="G1173" i="703"/>
  <c r="G1174" i="703" s="1"/>
  <c r="G1169" i="703"/>
  <c r="G1168" i="703"/>
  <c r="G1164" i="703"/>
  <c r="G1163" i="703"/>
  <c r="G1159" i="703"/>
  <c r="G1158" i="703"/>
  <c r="G1157" i="703"/>
  <c r="G1156" i="703"/>
  <c r="G1152" i="703"/>
  <c r="G1151" i="703"/>
  <c r="G1150" i="703"/>
  <c r="G1149" i="703"/>
  <c r="G1145" i="703"/>
  <c r="G1141" i="703"/>
  <c r="G1142" i="703" s="1"/>
  <c r="G1137" i="703"/>
  <c r="G1136" i="703"/>
  <c r="G1119" i="703"/>
  <c r="G1118" i="703"/>
  <c r="G1117" i="703"/>
  <c r="G1116" i="703"/>
  <c r="G1112" i="703"/>
  <c r="G1111" i="703"/>
  <c r="G1110" i="703"/>
  <c r="G1109" i="703"/>
  <c r="G1105" i="703"/>
  <c r="G1104" i="703"/>
  <c r="G1103" i="703"/>
  <c r="G1102" i="703"/>
  <c r="G1098" i="703"/>
  <c r="G1099" i="703" s="1"/>
  <c r="G1091" i="703"/>
  <c r="G964" i="703" s="1"/>
  <c r="G1086" i="703"/>
  <c r="G1085" i="703"/>
  <c r="G1084" i="703"/>
  <c r="G1080" i="703"/>
  <c r="G1079" i="703"/>
  <c r="G1078" i="703"/>
  <c r="G1075" i="703"/>
  <c r="G1074" i="703"/>
  <c r="G1073" i="703"/>
  <c r="G1070" i="703"/>
  <c r="G1069" i="703"/>
  <c r="G1068" i="703"/>
  <c r="G1067" i="703"/>
  <c r="G1064" i="703"/>
  <c r="G1063" i="703"/>
  <c r="G1062" i="703"/>
  <c r="G1061" i="703"/>
  <c r="G1058" i="703"/>
  <c r="G1057" i="703"/>
  <c r="G1056" i="703"/>
  <c r="G1055" i="703"/>
  <c r="G1052" i="703"/>
  <c r="G1051" i="703"/>
  <c r="G1050" i="703"/>
  <c r="G1047" i="703"/>
  <c r="G1046" i="703"/>
  <c r="G1045" i="703"/>
  <c r="G1044" i="703"/>
  <c r="G1041" i="703"/>
  <c r="G1040" i="703"/>
  <c r="G1039" i="703"/>
  <c r="G1038" i="703"/>
  <c r="G1035" i="703"/>
  <c r="G1034" i="703"/>
  <c r="G1033" i="703"/>
  <c r="G1032" i="703"/>
  <c r="G1029" i="703"/>
  <c r="G1028" i="703"/>
  <c r="G1027" i="703"/>
  <c r="G1021" i="703"/>
  <c r="G1020" i="703"/>
  <c r="G1019" i="703"/>
  <c r="G1016" i="703"/>
  <c r="G1015" i="703"/>
  <c r="G1014" i="703"/>
  <c r="G1011" i="703"/>
  <c r="G1010" i="703"/>
  <c r="G1009" i="703"/>
  <c r="G1006" i="703"/>
  <c r="G1005" i="703"/>
  <c r="G1004" i="703"/>
  <c r="G1001" i="703"/>
  <c r="G1000" i="703"/>
  <c r="G999" i="703"/>
  <c r="G996" i="703"/>
  <c r="G995" i="703"/>
  <c r="G994" i="703"/>
  <c r="G991" i="703"/>
  <c r="G990" i="703"/>
  <c r="G989" i="703"/>
  <c r="G985" i="703"/>
  <c r="G984" i="703"/>
  <c r="G983" i="703"/>
  <c r="G982" i="703"/>
  <c r="G981" i="703"/>
  <c r="G980" i="703"/>
  <c r="G979" i="703"/>
  <c r="G978" i="703"/>
  <c r="G975" i="703"/>
  <c r="G974" i="703"/>
  <c r="G973" i="703"/>
  <c r="G970" i="703"/>
  <c r="G969" i="703"/>
  <c r="G968" i="703"/>
  <c r="G962" i="703"/>
  <c r="G961" i="703"/>
  <c r="G960" i="703"/>
  <c r="G959" i="703"/>
  <c r="G958" i="703"/>
  <c r="G957" i="703"/>
  <c r="G956" i="703"/>
  <c r="G953" i="703"/>
  <c r="G951" i="703"/>
  <c r="G950" i="703"/>
  <c r="G931" i="703"/>
  <c r="G929" i="703"/>
  <c r="G927" i="703"/>
  <c r="G925" i="703"/>
  <c r="G1225" i="703"/>
  <c r="G920" i="703"/>
  <c r="G919" i="703"/>
  <c r="G918" i="703"/>
  <c r="G917" i="703"/>
  <c r="G910" i="703"/>
  <c r="G909" i="703"/>
  <c r="G908" i="703"/>
  <c r="G907" i="703"/>
  <c r="G903" i="703"/>
  <c r="G902" i="703"/>
  <c r="G901" i="703"/>
  <c r="G900" i="703"/>
  <c r="G887" i="703"/>
  <c r="G886" i="703"/>
  <c r="G884" i="703"/>
  <c r="G883" i="703"/>
  <c r="G882" i="703"/>
  <c r="G880" i="703"/>
  <c r="G879" i="703"/>
  <c r="G878" i="703"/>
  <c r="G876" i="703"/>
  <c r="G875" i="703"/>
  <c r="G874" i="703"/>
  <c r="G872" i="703"/>
  <c r="G871" i="703"/>
  <c r="G870" i="703"/>
  <c r="G868" i="703"/>
  <c r="G867" i="703"/>
  <c r="G866" i="703"/>
  <c r="G864" i="703"/>
  <c r="G863" i="703"/>
  <c r="G862" i="703"/>
  <c r="G860" i="703"/>
  <c r="G859" i="703"/>
  <c r="G858" i="703"/>
  <c r="G856" i="703"/>
  <c r="G855" i="703"/>
  <c r="G854" i="703"/>
  <c r="G852" i="703"/>
  <c r="G851" i="703"/>
  <c r="G850" i="703"/>
  <c r="G848" i="703"/>
  <c r="G847" i="703"/>
  <c r="G846" i="703"/>
  <c r="G844" i="703"/>
  <c r="G843" i="703"/>
  <c r="G842" i="703"/>
  <c r="G840" i="703"/>
  <c r="G839" i="703"/>
  <c r="G838" i="703"/>
  <c r="G826" i="703"/>
  <c r="G825" i="703"/>
  <c r="G821" i="703"/>
  <c r="G820" i="703"/>
  <c r="G816" i="703"/>
  <c r="G815" i="703"/>
  <c r="G811" i="703"/>
  <c r="G810" i="703"/>
  <c r="G798" i="703"/>
  <c r="G797" i="703"/>
  <c r="G793" i="703"/>
  <c r="G792" i="703"/>
  <c r="G788" i="703"/>
  <c r="G787" i="703"/>
  <c r="G783" i="703"/>
  <c r="G782" i="703"/>
  <c r="G778" i="703"/>
  <c r="G777" i="703"/>
  <c r="G773" i="703"/>
  <c r="G772" i="703"/>
  <c r="G768" i="703"/>
  <c r="G767" i="703"/>
  <c r="G763" i="703"/>
  <c r="G762" i="703"/>
  <c r="G758" i="703"/>
  <c r="G757" i="703"/>
  <c r="G745" i="703"/>
  <c r="G744" i="703"/>
  <c r="G740" i="703"/>
  <c r="G739" i="703"/>
  <c r="G735" i="703"/>
  <c r="G734" i="703"/>
  <c r="G730" i="703"/>
  <c r="G729" i="703"/>
  <c r="G725" i="703"/>
  <c r="G724" i="703"/>
  <c r="G720" i="703"/>
  <c r="G719" i="703"/>
  <c r="G715" i="703"/>
  <c r="G714" i="703"/>
  <c r="G710" i="703"/>
  <c r="G709" i="703"/>
  <c r="G705" i="703"/>
  <c r="G704" i="703"/>
  <c r="G700" i="703"/>
  <c r="G699" i="703"/>
  <c r="G695" i="703"/>
  <c r="G694" i="703"/>
  <c r="G690" i="703"/>
  <c r="G689" i="703"/>
  <c r="G685" i="703"/>
  <c r="G684" i="703"/>
  <c r="G680" i="703"/>
  <c r="G679" i="703"/>
  <c r="G675" i="703"/>
  <c r="G674" i="703"/>
  <c r="G670" i="703"/>
  <c r="G669" i="703"/>
  <c r="G665" i="703"/>
  <c r="G664" i="703"/>
  <c r="G660" i="703"/>
  <c r="G659" i="703"/>
  <c r="G655" i="703"/>
  <c r="G654" i="703"/>
  <c r="G647" i="703"/>
  <c r="G646" i="703"/>
  <c r="G627" i="703"/>
  <c r="G626" i="703"/>
  <c r="G622" i="703"/>
  <c r="G621" i="703"/>
  <c r="G617" i="703"/>
  <c r="G616" i="703"/>
  <c r="G612" i="703"/>
  <c r="G611" i="703"/>
  <c r="G607" i="703"/>
  <c r="G606" i="703"/>
  <c r="G602" i="703"/>
  <c r="G601" i="703"/>
  <c r="G597" i="703"/>
  <c r="G596" i="703"/>
  <c r="G592" i="703"/>
  <c r="G591" i="703"/>
  <c r="G587" i="703"/>
  <c r="G586" i="703"/>
  <c r="G582" i="703"/>
  <c r="G581" i="703"/>
  <c r="G577" i="703"/>
  <c r="G576" i="703"/>
  <c r="G572" i="703"/>
  <c r="G571" i="703"/>
  <c r="G567" i="703"/>
  <c r="G566" i="703"/>
  <c r="G562" i="703"/>
  <c r="G561" i="703"/>
  <c r="G557" i="703"/>
  <c r="G556" i="703"/>
  <c r="G552" i="703"/>
  <c r="G551" i="703"/>
  <c r="G547" i="703"/>
  <c r="G546" i="703"/>
  <c r="G542" i="703"/>
  <c r="G541" i="703"/>
  <c r="G537" i="703"/>
  <c r="G536" i="703"/>
  <c r="G532" i="703"/>
  <c r="G531" i="703"/>
  <c r="G527" i="703"/>
  <c r="G526" i="703"/>
  <c r="G522" i="703"/>
  <c r="G521" i="703"/>
  <c r="G496" i="703"/>
  <c r="G495" i="703"/>
  <c r="G491" i="703"/>
  <c r="G490" i="703"/>
  <c r="G486" i="703"/>
  <c r="G485" i="703"/>
  <c r="G481" i="703"/>
  <c r="G480" i="703"/>
  <c r="G476" i="703"/>
  <c r="G475" i="703"/>
  <c r="G471" i="703"/>
  <c r="G470" i="703"/>
  <c r="G466" i="703"/>
  <c r="G465" i="703"/>
  <c r="G461" i="703"/>
  <c r="G460" i="703"/>
  <c r="G456" i="703"/>
  <c r="G455" i="703"/>
  <c r="G451" i="703"/>
  <c r="G450" i="703"/>
  <c r="G446" i="703"/>
  <c r="G445" i="703"/>
  <c r="G441" i="703"/>
  <c r="G440" i="703"/>
  <c r="G436" i="703"/>
  <c r="G435" i="703"/>
  <c r="G431" i="703"/>
  <c r="G430" i="703"/>
  <c r="G426" i="703"/>
  <c r="G425" i="703"/>
  <c r="G421" i="703"/>
  <c r="G420" i="703"/>
  <c r="G416" i="703"/>
  <c r="G415" i="703"/>
  <c r="G411" i="703"/>
  <c r="G410" i="703"/>
  <c r="G406" i="703"/>
  <c r="G405" i="703"/>
  <c r="G401" i="703"/>
  <c r="G400" i="703"/>
  <c r="G396" i="703"/>
  <c r="G395" i="703"/>
  <c r="G391" i="703"/>
  <c r="G390" i="703"/>
  <c r="G386" i="703"/>
  <c r="G385" i="703"/>
  <c r="G381" i="703"/>
  <c r="G380" i="703"/>
  <c r="G354" i="703"/>
  <c r="G350" i="703"/>
  <c r="G358" i="703" s="1"/>
  <c r="G347" i="703"/>
  <c r="G345" i="703"/>
  <c r="G343" i="703"/>
  <c r="G341" i="703"/>
  <c r="G338" i="703"/>
  <c r="G336" i="703"/>
  <c r="G334" i="703"/>
  <c r="G321" i="703"/>
  <c r="G320" i="703"/>
  <c r="G318" i="703"/>
  <c r="G315" i="703"/>
  <c r="G313" i="703"/>
  <c r="G311" i="703"/>
  <c r="G309" i="703"/>
  <c r="G306" i="703"/>
  <c r="G304" i="703"/>
  <c r="G302" i="703"/>
  <c r="G300" i="703"/>
  <c r="G297" i="703"/>
  <c r="G295" i="703"/>
  <c r="G293" i="703"/>
  <c r="G291" i="703"/>
  <c r="G288" i="703"/>
  <c r="G286" i="703"/>
  <c r="G284" i="703"/>
  <c r="G282" i="703"/>
  <c r="G279" i="703"/>
  <c r="G277" i="703"/>
  <c r="G275" i="703"/>
  <c r="G273" i="703"/>
  <c r="G270" i="703"/>
  <c r="G268" i="703"/>
  <c r="G266" i="703"/>
  <c r="G264" i="703"/>
  <c r="G261" i="703"/>
  <c r="G259" i="703"/>
  <c r="G257" i="703"/>
  <c r="G255" i="703"/>
  <c r="G252" i="703"/>
  <c r="G250" i="703"/>
  <c r="G248" i="703"/>
  <c r="G246" i="703"/>
  <c r="G243" i="703"/>
  <c r="G241" i="703"/>
  <c r="G239" i="703"/>
  <c r="G226" i="703"/>
  <c r="G223" i="703"/>
  <c r="G221" i="703"/>
  <c r="G219" i="703"/>
  <c r="G217" i="703"/>
  <c r="G214" i="703"/>
  <c r="G212" i="703"/>
  <c r="G210" i="703"/>
  <c r="G197" i="703"/>
  <c r="G196" i="703"/>
  <c r="G194" i="703"/>
  <c r="G191" i="703"/>
  <c r="G189" i="703"/>
  <c r="G187" i="703"/>
  <c r="G185" i="703"/>
  <c r="G182" i="703"/>
  <c r="G180" i="703"/>
  <c r="G178" i="703"/>
  <c r="G176" i="703"/>
  <c r="G173" i="703"/>
  <c r="G171" i="703"/>
  <c r="G169" i="703"/>
  <c r="G167" i="703"/>
  <c r="G164" i="703"/>
  <c r="G162" i="703"/>
  <c r="G160" i="703"/>
  <c r="G158" i="703"/>
  <c r="G155" i="703"/>
  <c r="G153" i="703"/>
  <c r="G151" i="703"/>
  <c r="G149" i="703"/>
  <c r="G146" i="703"/>
  <c r="G144" i="703"/>
  <c r="G142" i="703"/>
  <c r="G140" i="703"/>
  <c r="G137" i="703"/>
  <c r="G135" i="703"/>
  <c r="G133" i="703"/>
  <c r="G131" i="703"/>
  <c r="G128" i="703"/>
  <c r="G126" i="703"/>
  <c r="G124" i="703"/>
  <c r="G122" i="703"/>
  <c r="G119" i="703"/>
  <c r="G117" i="703"/>
  <c r="G115" i="703"/>
  <c r="G113" i="703"/>
  <c r="G110" i="703"/>
  <c r="G108" i="703"/>
  <c r="G106" i="703"/>
  <c r="G104" i="703"/>
  <c r="G101" i="703"/>
  <c r="G99" i="703"/>
  <c r="G97" i="703"/>
  <c r="G95" i="703"/>
  <c r="G92" i="703"/>
  <c r="G90" i="703"/>
  <c r="G88" i="703"/>
  <c r="G86" i="703"/>
  <c r="G83" i="703"/>
  <c r="G81" i="703"/>
  <c r="G79" i="703"/>
  <c r="G77" i="703"/>
  <c r="G74" i="703"/>
  <c r="G72" i="703"/>
  <c r="G70" i="703"/>
  <c r="G68" i="703"/>
  <c r="G65" i="703"/>
  <c r="G63" i="703"/>
  <c r="G61" i="703"/>
  <c r="G59" i="703"/>
  <c r="G56" i="703"/>
  <c r="G55" i="703"/>
  <c r="G54" i="703"/>
  <c r="G53" i="703"/>
  <c r="G52" i="703"/>
  <c r="G50" i="703"/>
  <c r="G47" i="703"/>
  <c r="G45" i="703"/>
  <c r="G43" i="703"/>
  <c r="G41" i="703"/>
  <c r="G39" i="703"/>
  <c r="G38" i="703"/>
  <c r="G36" i="703"/>
  <c r="G34" i="703"/>
  <c r="G32" i="703"/>
  <c r="G30" i="703"/>
  <c r="G29" i="703"/>
  <c r="G27" i="703"/>
  <c r="G25" i="703"/>
  <c r="G23" i="703"/>
  <c r="G21" i="703"/>
  <c r="G20" i="703"/>
  <c r="G18" i="703"/>
  <c r="G16" i="703"/>
  <c r="A1" i="703"/>
  <c r="G1246" i="702"/>
  <c r="G1245" i="702"/>
  <c r="G1229" i="702"/>
  <c r="G1228" i="702"/>
  <c r="G1227" i="702"/>
  <c r="G1224" i="702"/>
  <c r="G1198" i="702"/>
  <c r="G1199" i="702" s="1"/>
  <c r="G1194" i="702"/>
  <c r="G1193" i="702"/>
  <c r="G1192" i="702"/>
  <c r="G1191" i="702"/>
  <c r="G1187" i="702"/>
  <c r="G1186" i="702"/>
  <c r="G1185" i="702"/>
  <c r="G1184" i="702"/>
  <c r="G1180" i="702"/>
  <c r="G1179" i="702"/>
  <c r="G1178" i="702"/>
  <c r="G1177" i="702"/>
  <c r="G1173" i="702"/>
  <c r="G1174" i="702" s="1"/>
  <c r="G1169" i="702"/>
  <c r="G1168" i="702"/>
  <c r="G1164" i="702"/>
  <c r="G1163" i="702"/>
  <c r="G1159" i="702"/>
  <c r="G1158" i="702"/>
  <c r="G1157" i="702"/>
  <c r="G1156" i="702"/>
  <c r="G1152" i="702"/>
  <c r="G1151" i="702"/>
  <c r="G1150" i="702"/>
  <c r="G1149" i="702"/>
  <c r="G1145" i="702"/>
  <c r="G1141" i="702"/>
  <c r="G1142" i="702" s="1"/>
  <c r="G1137" i="702"/>
  <c r="G1136" i="702"/>
  <c r="G1119" i="702"/>
  <c r="G1118" i="702"/>
  <c r="G1117" i="702"/>
  <c r="G1116" i="702"/>
  <c r="G1112" i="702"/>
  <c r="G1111" i="702"/>
  <c r="G1110" i="702"/>
  <c r="G1109" i="702"/>
  <c r="G1105" i="702"/>
  <c r="G1104" i="702"/>
  <c r="G1103" i="702"/>
  <c r="G1102" i="702"/>
  <c r="G1098" i="702"/>
  <c r="G1099" i="702" s="1"/>
  <c r="G1091" i="702"/>
  <c r="G964" i="702" s="1"/>
  <c r="G1086" i="702"/>
  <c r="G1085" i="702"/>
  <c r="G1084" i="702"/>
  <c r="G1080" i="702"/>
  <c r="G1079" i="702"/>
  <c r="G1078" i="702"/>
  <c r="G1075" i="702"/>
  <c r="G1074" i="702"/>
  <c r="G1073" i="702"/>
  <c r="G1070" i="702"/>
  <c r="G1069" i="702"/>
  <c r="G1068" i="702"/>
  <c r="G1067" i="702"/>
  <c r="G1064" i="702"/>
  <c r="G1063" i="702"/>
  <c r="G1062" i="702"/>
  <c r="G1061" i="702"/>
  <c r="G1058" i="702"/>
  <c r="G1057" i="702"/>
  <c r="G1056" i="702"/>
  <c r="G1055" i="702"/>
  <c r="G1052" i="702"/>
  <c r="G1051" i="702"/>
  <c r="G1050" i="702"/>
  <c r="G1047" i="702"/>
  <c r="G1046" i="702"/>
  <c r="G1045" i="702"/>
  <c r="G1044" i="702"/>
  <c r="G1041" i="702"/>
  <c r="G1040" i="702"/>
  <c r="G1039" i="702"/>
  <c r="G1038" i="702"/>
  <c r="G1035" i="702"/>
  <c r="G1034" i="702"/>
  <c r="G1033" i="702"/>
  <c r="G1032" i="702"/>
  <c r="G1029" i="702"/>
  <c r="G1028" i="702"/>
  <c r="G1027" i="702"/>
  <c r="G1021" i="702"/>
  <c r="G1020" i="702"/>
  <c r="G1019" i="702"/>
  <c r="G1016" i="702"/>
  <c r="G1015" i="702"/>
  <c r="G1014" i="702"/>
  <c r="G1011" i="702"/>
  <c r="G1010" i="702"/>
  <c r="G1009" i="702"/>
  <c r="G1006" i="702"/>
  <c r="G1005" i="702"/>
  <c r="G1004" i="702"/>
  <c r="G1001" i="702"/>
  <c r="G1000" i="702"/>
  <c r="G999" i="702"/>
  <c r="G996" i="702"/>
  <c r="G995" i="702"/>
  <c r="G994" i="702"/>
  <c r="G991" i="702"/>
  <c r="G990" i="702"/>
  <c r="G989" i="702"/>
  <c r="G985" i="702"/>
  <c r="G984" i="702"/>
  <c r="G983" i="702"/>
  <c r="G982" i="702"/>
  <c r="G981" i="702"/>
  <c r="G980" i="702"/>
  <c r="G979" i="702"/>
  <c r="G978" i="702"/>
  <c r="G975" i="702"/>
  <c r="G974" i="702"/>
  <c r="G973" i="702"/>
  <c r="G970" i="702"/>
  <c r="G969" i="702"/>
  <c r="G968" i="702"/>
  <c r="G962" i="702"/>
  <c r="G961" i="702"/>
  <c r="G960" i="702"/>
  <c r="G959" i="702"/>
  <c r="G958" i="702"/>
  <c r="G957" i="702"/>
  <c r="G956" i="702"/>
  <c r="G953" i="702"/>
  <c r="G951" i="702"/>
  <c r="G950" i="702"/>
  <c r="G931" i="702"/>
  <c r="G929" i="702"/>
  <c r="G927" i="702"/>
  <c r="G925" i="702"/>
  <c r="G1225" i="702"/>
  <c r="G920" i="702"/>
  <c r="G919" i="702"/>
  <c r="G918" i="702"/>
  <c r="G917" i="702"/>
  <c r="G910" i="702"/>
  <c r="G909" i="702"/>
  <c r="G908" i="702"/>
  <c r="G907" i="702"/>
  <c r="G903" i="702"/>
  <c r="G902" i="702"/>
  <c r="G901" i="702"/>
  <c r="G900" i="702"/>
  <c r="G887" i="702"/>
  <c r="G886" i="702"/>
  <c r="G884" i="702"/>
  <c r="G883" i="702"/>
  <c r="G882" i="702"/>
  <c r="G880" i="702"/>
  <c r="G879" i="702"/>
  <c r="G878" i="702"/>
  <c r="G876" i="702"/>
  <c r="G875" i="702"/>
  <c r="G874" i="702"/>
  <c r="G872" i="702"/>
  <c r="G871" i="702"/>
  <c r="G870" i="702"/>
  <c r="G868" i="702"/>
  <c r="G867" i="702"/>
  <c r="G866" i="702"/>
  <c r="G864" i="702"/>
  <c r="G863" i="702"/>
  <c r="G862" i="702"/>
  <c r="G860" i="702"/>
  <c r="G859" i="702"/>
  <c r="G858" i="702"/>
  <c r="G856" i="702"/>
  <c r="G855" i="702"/>
  <c r="G854" i="702"/>
  <c r="G852" i="702"/>
  <c r="G851" i="702"/>
  <c r="G850" i="702"/>
  <c r="G848" i="702"/>
  <c r="G847" i="702"/>
  <c r="G846" i="702"/>
  <c r="G844" i="702"/>
  <c r="G843" i="702"/>
  <c r="G842" i="702"/>
  <c r="G840" i="702"/>
  <c r="G839" i="702"/>
  <c r="G838" i="702"/>
  <c r="G826" i="702"/>
  <c r="G825" i="702"/>
  <c r="G821" i="702"/>
  <c r="G820" i="702"/>
  <c r="G816" i="702"/>
  <c r="G815" i="702"/>
  <c r="G811" i="702"/>
  <c r="G810" i="702"/>
  <c r="G798" i="702"/>
  <c r="G797" i="702"/>
  <c r="G793" i="702"/>
  <c r="G792" i="702"/>
  <c r="G788" i="702"/>
  <c r="G787" i="702"/>
  <c r="G783" i="702"/>
  <c r="G782" i="702"/>
  <c r="G778" i="702"/>
  <c r="G777" i="702"/>
  <c r="G773" i="702"/>
  <c r="G772" i="702"/>
  <c r="G768" i="702"/>
  <c r="G767" i="702"/>
  <c r="G763" i="702"/>
  <c r="G762" i="702"/>
  <c r="G758" i="702"/>
  <c r="G757" i="702"/>
  <c r="G745" i="702"/>
  <c r="G744" i="702"/>
  <c r="G740" i="702"/>
  <c r="G739" i="702"/>
  <c r="G735" i="702"/>
  <c r="G734" i="702"/>
  <c r="G730" i="702"/>
  <c r="G729" i="702"/>
  <c r="G725" i="702"/>
  <c r="G724" i="702"/>
  <c r="G720" i="702"/>
  <c r="G719" i="702"/>
  <c r="G715" i="702"/>
  <c r="G714" i="702"/>
  <c r="G710" i="702"/>
  <c r="G709" i="702"/>
  <c r="G705" i="702"/>
  <c r="G704" i="702"/>
  <c r="G700" i="702"/>
  <c r="G699" i="702"/>
  <c r="G695" i="702"/>
  <c r="G694" i="702"/>
  <c r="G690" i="702"/>
  <c r="G689" i="702"/>
  <c r="G685" i="702"/>
  <c r="G684" i="702"/>
  <c r="G680" i="702"/>
  <c r="G679" i="702"/>
  <c r="G675" i="702"/>
  <c r="G674" i="702"/>
  <c r="G670" i="702"/>
  <c r="G669" i="702"/>
  <c r="G665" i="702"/>
  <c r="G664" i="702"/>
  <c r="G660" i="702"/>
  <c r="G659" i="702"/>
  <c r="G655" i="702"/>
  <c r="G654" i="702"/>
  <c r="G647" i="702"/>
  <c r="G646" i="702"/>
  <c r="G627" i="702"/>
  <c r="G626" i="702"/>
  <c r="G622" i="702"/>
  <c r="G621" i="702"/>
  <c r="G617" i="702"/>
  <c r="G616" i="702"/>
  <c r="G612" i="702"/>
  <c r="G611" i="702"/>
  <c r="G607" i="702"/>
  <c r="G606" i="702"/>
  <c r="G602" i="702"/>
  <c r="G601" i="702"/>
  <c r="G597" i="702"/>
  <c r="G596" i="702"/>
  <c r="G592" i="702"/>
  <c r="G591" i="702"/>
  <c r="G587" i="702"/>
  <c r="G586" i="702"/>
  <c r="G582" i="702"/>
  <c r="G581" i="702"/>
  <c r="G577" i="702"/>
  <c r="G576" i="702"/>
  <c r="G572" i="702"/>
  <c r="G571" i="702"/>
  <c r="G567" i="702"/>
  <c r="G566" i="702"/>
  <c r="G562" i="702"/>
  <c r="G561" i="702"/>
  <c r="G557" i="702"/>
  <c r="G556" i="702"/>
  <c r="G552" i="702"/>
  <c r="G551" i="702"/>
  <c r="G547" i="702"/>
  <c r="G546" i="702"/>
  <c r="G542" i="702"/>
  <c r="G541" i="702"/>
  <c r="G537" i="702"/>
  <c r="G536" i="702"/>
  <c r="G532" i="702"/>
  <c r="G531" i="702"/>
  <c r="G527" i="702"/>
  <c r="G526" i="702"/>
  <c r="G522" i="702"/>
  <c r="G521" i="702"/>
  <c r="G496" i="702"/>
  <c r="G495" i="702"/>
  <c r="G491" i="702"/>
  <c r="G490" i="702"/>
  <c r="G486" i="702"/>
  <c r="G485" i="702"/>
  <c r="G481" i="702"/>
  <c r="G480" i="702"/>
  <c r="G476" i="702"/>
  <c r="G475" i="702"/>
  <c r="G471" i="702"/>
  <c r="G470" i="702"/>
  <c r="G466" i="702"/>
  <c r="G465" i="702"/>
  <c r="G461" i="702"/>
  <c r="G460" i="702"/>
  <c r="G456" i="702"/>
  <c r="G455" i="702"/>
  <c r="G451" i="702"/>
  <c r="G450" i="702"/>
  <c r="G446" i="702"/>
  <c r="G445" i="702"/>
  <c r="G441" i="702"/>
  <c r="G440" i="702"/>
  <c r="G436" i="702"/>
  <c r="G435" i="702"/>
  <c r="G431" i="702"/>
  <c r="G430" i="702"/>
  <c r="G426" i="702"/>
  <c r="G425" i="702"/>
  <c r="G421" i="702"/>
  <c r="G420" i="702"/>
  <c r="G416" i="702"/>
  <c r="G415" i="702"/>
  <c r="G411" i="702"/>
  <c r="G410" i="702"/>
  <c r="G406" i="702"/>
  <c r="G405" i="702"/>
  <c r="G401" i="702"/>
  <c r="G400" i="702"/>
  <c r="G396" i="702"/>
  <c r="G395" i="702"/>
  <c r="G391" i="702"/>
  <c r="G390" i="702"/>
  <c r="G386" i="702"/>
  <c r="G385" i="702"/>
  <c r="G381" i="702"/>
  <c r="G380" i="702"/>
  <c r="G354" i="702"/>
  <c r="G350" i="702"/>
  <c r="G358" i="702" s="1"/>
  <c r="G347" i="702"/>
  <c r="G345" i="702"/>
  <c r="G343" i="702"/>
  <c r="G341" i="702"/>
  <c r="G338" i="702"/>
  <c r="G336" i="702"/>
  <c r="G334" i="702"/>
  <c r="G321" i="702"/>
  <c r="G320" i="702"/>
  <c r="G318" i="702"/>
  <c r="G315" i="702"/>
  <c r="G313" i="702"/>
  <c r="G311" i="702"/>
  <c r="G309" i="702"/>
  <c r="G306" i="702"/>
  <c r="G304" i="702"/>
  <c r="G302" i="702"/>
  <c r="G300" i="702"/>
  <c r="G297" i="702"/>
  <c r="G295" i="702"/>
  <c r="G293" i="702"/>
  <c r="G291" i="702"/>
  <c r="G288" i="702"/>
  <c r="G286" i="702"/>
  <c r="G284" i="702"/>
  <c r="G282" i="702"/>
  <c r="G279" i="702"/>
  <c r="G277" i="702"/>
  <c r="G275" i="702"/>
  <c r="G273" i="702"/>
  <c r="G270" i="702"/>
  <c r="G268" i="702"/>
  <c r="G266" i="702"/>
  <c r="G264" i="702"/>
  <c r="G261" i="702"/>
  <c r="G259" i="702"/>
  <c r="G257" i="702"/>
  <c r="G255" i="702"/>
  <c r="G252" i="702"/>
  <c r="G250" i="702"/>
  <c r="G248" i="702"/>
  <c r="G246" i="702"/>
  <c r="G243" i="702"/>
  <c r="G241" i="702"/>
  <c r="G239" i="702"/>
  <c r="G226" i="702"/>
  <c r="G223" i="702"/>
  <c r="G221" i="702"/>
  <c r="G219" i="702"/>
  <c r="G217" i="702"/>
  <c r="G214" i="702"/>
  <c r="G212" i="702"/>
  <c r="G210" i="702"/>
  <c r="G197" i="702"/>
  <c r="G196" i="702"/>
  <c r="G194" i="702"/>
  <c r="G191" i="702"/>
  <c r="G189" i="702"/>
  <c r="G187" i="702"/>
  <c r="G185" i="702"/>
  <c r="G182" i="702"/>
  <c r="G180" i="702"/>
  <c r="G178" i="702"/>
  <c r="G176" i="702"/>
  <c r="G173" i="702"/>
  <c r="G171" i="702"/>
  <c r="G169" i="702"/>
  <c r="G167" i="702"/>
  <c r="G164" i="702"/>
  <c r="G162" i="702"/>
  <c r="G160" i="702"/>
  <c r="G158" i="702"/>
  <c r="G155" i="702"/>
  <c r="G153" i="702"/>
  <c r="G151" i="702"/>
  <c r="G149" i="702"/>
  <c r="G146" i="702"/>
  <c r="G144" i="702"/>
  <c r="G142" i="702"/>
  <c r="G140" i="702"/>
  <c r="G137" i="702"/>
  <c r="G135" i="702"/>
  <c r="G133" i="702"/>
  <c r="G131" i="702"/>
  <c r="G128" i="702"/>
  <c r="G126" i="702"/>
  <c r="G124" i="702"/>
  <c r="G122" i="702"/>
  <c r="G119" i="702"/>
  <c r="G117" i="702"/>
  <c r="G115" i="702"/>
  <c r="G113" i="702"/>
  <c r="G110" i="702"/>
  <c r="G108" i="702"/>
  <c r="G106" i="702"/>
  <c r="G104" i="702"/>
  <c r="G101" i="702"/>
  <c r="G99" i="702"/>
  <c r="G97" i="702"/>
  <c r="G95" i="702"/>
  <c r="G92" i="702"/>
  <c r="G90" i="702"/>
  <c r="G88" i="702"/>
  <c r="G86" i="702"/>
  <c r="G83" i="702"/>
  <c r="G81" i="702"/>
  <c r="G79" i="702"/>
  <c r="G77" i="702"/>
  <c r="G74" i="702"/>
  <c r="G72" i="702"/>
  <c r="G70" i="702"/>
  <c r="G68" i="702"/>
  <c r="G65" i="702"/>
  <c r="G63" i="702"/>
  <c r="G61" i="702"/>
  <c r="G59" i="702"/>
  <c r="G56" i="702"/>
  <c r="G55" i="702"/>
  <c r="G54" i="702"/>
  <c r="G53" i="702"/>
  <c r="G52" i="702"/>
  <c r="G50" i="702"/>
  <c r="G47" i="702"/>
  <c r="G45" i="702"/>
  <c r="G43" i="702"/>
  <c r="G41" i="702"/>
  <c r="G39" i="702"/>
  <c r="G38" i="702"/>
  <c r="G36" i="702"/>
  <c r="G34" i="702"/>
  <c r="G32" i="702"/>
  <c r="G30" i="702"/>
  <c r="G29" i="702"/>
  <c r="G27" i="702"/>
  <c r="G25" i="702"/>
  <c r="G23" i="702"/>
  <c r="G21" i="702"/>
  <c r="G20" i="702"/>
  <c r="G18" i="702"/>
  <c r="G16" i="702"/>
  <c r="A1" i="702"/>
  <c r="G1246" i="701"/>
  <c r="G1245" i="701"/>
  <c r="G1229" i="701"/>
  <c r="G1228" i="701"/>
  <c r="G1227" i="701"/>
  <c r="G1224" i="701"/>
  <c r="G1198" i="701"/>
  <c r="G1199" i="701" s="1"/>
  <c r="G1194" i="701"/>
  <c r="G1193" i="701"/>
  <c r="G1192" i="701"/>
  <c r="G1191" i="701"/>
  <c r="G1187" i="701"/>
  <c r="G1186" i="701"/>
  <c r="G1185" i="701"/>
  <c r="G1184" i="701"/>
  <c r="G1180" i="701"/>
  <c r="G1179" i="701"/>
  <c r="G1178" i="701"/>
  <c r="G1177" i="701"/>
  <c r="G1173" i="701"/>
  <c r="G1174" i="701" s="1"/>
  <c r="G1169" i="701"/>
  <c r="G1168" i="701"/>
  <c r="G1164" i="701"/>
  <c r="G1163" i="701"/>
  <c r="G1159" i="701"/>
  <c r="G1158" i="701"/>
  <c r="G1157" i="701"/>
  <c r="G1156" i="701"/>
  <c r="G1152" i="701"/>
  <c r="G1151" i="701"/>
  <c r="G1150" i="701"/>
  <c r="G1149" i="701"/>
  <c r="G1145" i="701"/>
  <c r="G1141" i="701"/>
  <c r="G1142" i="701" s="1"/>
  <c r="G1137" i="701"/>
  <c r="G1136" i="701"/>
  <c r="G1119" i="701"/>
  <c r="G1118" i="701"/>
  <c r="G1117" i="701"/>
  <c r="G1116" i="701"/>
  <c r="G1112" i="701"/>
  <c r="G1111" i="701"/>
  <c r="G1110" i="701"/>
  <c r="G1109" i="701"/>
  <c r="G1105" i="701"/>
  <c r="G1104" i="701"/>
  <c r="G1103" i="701"/>
  <c r="G1102" i="701"/>
  <c r="G1098" i="701"/>
  <c r="G1099" i="701" s="1"/>
  <c r="G1092" i="701"/>
  <c r="G1091" i="701"/>
  <c r="G964" i="701" s="1"/>
  <c r="G1086" i="701"/>
  <c r="G1085" i="701"/>
  <c r="G1084" i="701"/>
  <c r="G1080" i="701"/>
  <c r="G1079" i="701"/>
  <c r="G1078" i="701"/>
  <c r="G1075" i="701"/>
  <c r="G1074" i="701"/>
  <c r="G1073" i="701"/>
  <c r="G1070" i="701"/>
  <c r="G1069" i="701"/>
  <c r="G1068" i="701"/>
  <c r="G1067" i="701"/>
  <c r="G1064" i="701"/>
  <c r="G1063" i="701"/>
  <c r="G1062" i="701"/>
  <c r="G1061" i="701"/>
  <c r="G1058" i="701"/>
  <c r="G1057" i="701"/>
  <c r="G1056" i="701"/>
  <c r="G1055" i="701"/>
  <c r="G1052" i="701"/>
  <c r="G1051" i="701"/>
  <c r="G1050" i="701"/>
  <c r="G1047" i="701"/>
  <c r="G1046" i="701"/>
  <c r="G1045" i="701"/>
  <c r="G1044" i="701"/>
  <c r="G1041" i="701"/>
  <c r="G1040" i="701"/>
  <c r="G1039" i="701"/>
  <c r="G1038" i="701"/>
  <c r="G1035" i="701"/>
  <c r="G1034" i="701"/>
  <c r="G1033" i="701"/>
  <c r="G1032" i="701"/>
  <c r="G1029" i="701"/>
  <c r="G1028" i="701"/>
  <c r="G1027" i="701"/>
  <c r="G1021" i="701"/>
  <c r="G1020" i="701"/>
  <c r="G1019" i="701"/>
  <c r="G1016" i="701"/>
  <c r="G1015" i="701"/>
  <c r="G1014" i="701"/>
  <c r="G1011" i="701"/>
  <c r="G1010" i="701"/>
  <c r="G1009" i="701"/>
  <c r="G1006" i="701"/>
  <c r="G1005" i="701"/>
  <c r="G1004" i="701"/>
  <c r="G1001" i="701"/>
  <c r="G1000" i="701"/>
  <c r="G999" i="701"/>
  <c r="G996" i="701"/>
  <c r="G995" i="701"/>
  <c r="G994" i="701"/>
  <c r="G991" i="701"/>
  <c r="G990" i="701"/>
  <c r="G989" i="701"/>
  <c r="G984" i="701"/>
  <c r="G983" i="701"/>
  <c r="G982" i="701"/>
  <c r="G981" i="701"/>
  <c r="G980" i="701"/>
  <c r="G979" i="701"/>
  <c r="G978" i="701"/>
  <c r="G975" i="701"/>
  <c r="G974" i="701"/>
  <c r="G973" i="701"/>
  <c r="G970" i="701"/>
  <c r="G969" i="701"/>
  <c r="G968" i="701"/>
  <c r="G962" i="701"/>
  <c r="G961" i="701"/>
  <c r="G960" i="701"/>
  <c r="G959" i="701"/>
  <c r="G958" i="701"/>
  <c r="G957" i="701"/>
  <c r="G956" i="701"/>
  <c r="G953" i="701"/>
  <c r="G951" i="701"/>
  <c r="G950" i="701"/>
  <c r="G931" i="701"/>
  <c r="G929" i="701"/>
  <c r="G927" i="701"/>
  <c r="G925" i="701"/>
  <c r="G1225" i="701"/>
  <c r="G920" i="701"/>
  <c r="G919" i="701"/>
  <c r="G918" i="701"/>
  <c r="G917" i="701"/>
  <c r="G910" i="701"/>
  <c r="G909" i="701"/>
  <c r="G908" i="701"/>
  <c r="G907" i="701"/>
  <c r="G903" i="701"/>
  <c r="G902" i="701"/>
  <c r="G901" i="701"/>
  <c r="G900" i="701"/>
  <c r="G887" i="701"/>
  <c r="G886" i="701"/>
  <c r="G884" i="701"/>
  <c r="G883" i="701"/>
  <c r="G882" i="701"/>
  <c r="G880" i="701"/>
  <c r="G879" i="701"/>
  <c r="G878" i="701"/>
  <c r="G876" i="701"/>
  <c r="G875" i="701"/>
  <c r="G874" i="701"/>
  <c r="G872" i="701"/>
  <c r="G871" i="701"/>
  <c r="G870" i="701"/>
  <c r="G868" i="701"/>
  <c r="G867" i="701"/>
  <c r="G866" i="701"/>
  <c r="G864" i="701"/>
  <c r="G863" i="701"/>
  <c r="G862" i="701"/>
  <c r="G860" i="701"/>
  <c r="G859" i="701"/>
  <c r="G858" i="701"/>
  <c r="G856" i="701"/>
  <c r="G855" i="701"/>
  <c r="G854" i="701"/>
  <c r="G852" i="701"/>
  <c r="G851" i="701"/>
  <c r="G850" i="701"/>
  <c r="G848" i="701"/>
  <c r="G847" i="701"/>
  <c r="G846" i="701"/>
  <c r="G844" i="701"/>
  <c r="G843" i="701"/>
  <c r="G842" i="701"/>
  <c r="G840" i="701"/>
  <c r="G839" i="701"/>
  <c r="G838" i="701"/>
  <c r="G826" i="701"/>
  <c r="G825" i="701"/>
  <c r="G821" i="701"/>
  <c r="G820" i="701"/>
  <c r="G816" i="701"/>
  <c r="G815" i="701"/>
  <c r="G811" i="701"/>
  <c r="G810" i="701"/>
  <c r="G798" i="701"/>
  <c r="G797" i="701"/>
  <c r="G793" i="701"/>
  <c r="G792" i="701"/>
  <c r="G788" i="701"/>
  <c r="G787" i="701"/>
  <c r="G783" i="701"/>
  <c r="G782" i="701"/>
  <c r="G778" i="701"/>
  <c r="G777" i="701"/>
  <c r="G773" i="701"/>
  <c r="G772" i="701"/>
  <c r="G768" i="701"/>
  <c r="G767" i="701"/>
  <c r="G763" i="701"/>
  <c r="G762" i="701"/>
  <c r="G758" i="701"/>
  <c r="G757" i="701"/>
  <c r="G745" i="701"/>
  <c r="G744" i="701"/>
  <c r="G740" i="701"/>
  <c r="G739" i="701"/>
  <c r="G735" i="701"/>
  <c r="G734" i="701"/>
  <c r="G730" i="701"/>
  <c r="G729" i="701"/>
  <c r="G725" i="701"/>
  <c r="G724" i="701"/>
  <c r="G720" i="701"/>
  <c r="G719" i="701"/>
  <c r="G715" i="701"/>
  <c r="G714" i="701"/>
  <c r="G710" i="701"/>
  <c r="G709" i="701"/>
  <c r="G705" i="701"/>
  <c r="G704" i="701"/>
  <c r="G700" i="701"/>
  <c r="G699" i="701"/>
  <c r="G695" i="701"/>
  <c r="G694" i="701"/>
  <c r="G690" i="701"/>
  <c r="G689" i="701"/>
  <c r="G685" i="701"/>
  <c r="G684" i="701"/>
  <c r="G680" i="701"/>
  <c r="G679" i="701"/>
  <c r="G675" i="701"/>
  <c r="G674" i="701"/>
  <c r="G670" i="701"/>
  <c r="G669" i="701"/>
  <c r="G665" i="701"/>
  <c r="G664" i="701"/>
  <c r="G660" i="701"/>
  <c r="G659" i="701"/>
  <c r="G655" i="701"/>
  <c r="G654" i="701"/>
  <c r="G647" i="701"/>
  <c r="G646" i="701"/>
  <c r="G627" i="701"/>
  <c r="G626" i="701"/>
  <c r="G622" i="701"/>
  <c r="G621" i="701"/>
  <c r="G617" i="701"/>
  <c r="G616" i="701"/>
  <c r="G612" i="701"/>
  <c r="G611" i="701"/>
  <c r="G607" i="701"/>
  <c r="G606" i="701"/>
  <c r="G602" i="701"/>
  <c r="G601" i="701"/>
  <c r="G597" i="701"/>
  <c r="G596" i="701"/>
  <c r="G592" i="701"/>
  <c r="G591" i="701"/>
  <c r="G587" i="701"/>
  <c r="G586" i="701"/>
  <c r="G582" i="701"/>
  <c r="G581" i="701"/>
  <c r="G577" i="701"/>
  <c r="G576" i="701"/>
  <c r="G572" i="701"/>
  <c r="G571" i="701"/>
  <c r="G567" i="701"/>
  <c r="G566" i="701"/>
  <c r="G562" i="701"/>
  <c r="G561" i="701"/>
  <c r="G557" i="701"/>
  <c r="G556" i="701"/>
  <c r="G552" i="701"/>
  <c r="G551" i="701"/>
  <c r="G547" i="701"/>
  <c r="G546" i="701"/>
  <c r="G542" i="701"/>
  <c r="G541" i="701"/>
  <c r="G537" i="701"/>
  <c r="G536" i="701"/>
  <c r="G532" i="701"/>
  <c r="G531" i="701"/>
  <c r="G527" i="701"/>
  <c r="G526" i="701"/>
  <c r="G522" i="701"/>
  <c r="G521" i="701"/>
  <c r="G496" i="701"/>
  <c r="G495" i="701"/>
  <c r="G491" i="701"/>
  <c r="G490" i="701"/>
  <c r="G486" i="701"/>
  <c r="G485" i="701"/>
  <c r="G481" i="701"/>
  <c r="G480" i="701"/>
  <c r="G476" i="701"/>
  <c r="G475" i="701"/>
  <c r="G471" i="701"/>
  <c r="G470" i="701"/>
  <c r="G466" i="701"/>
  <c r="G465" i="701"/>
  <c r="G461" i="701"/>
  <c r="G460" i="701"/>
  <c r="G456" i="701"/>
  <c r="G455" i="701"/>
  <c r="G451" i="701"/>
  <c r="G450" i="701"/>
  <c r="G446" i="701"/>
  <c r="G445" i="701"/>
  <c r="G441" i="701"/>
  <c r="G440" i="701"/>
  <c r="G436" i="701"/>
  <c r="G435" i="701"/>
  <c r="G431" i="701"/>
  <c r="G430" i="701"/>
  <c r="G426" i="701"/>
  <c r="G425" i="701"/>
  <c r="G421" i="701"/>
  <c r="G420" i="701"/>
  <c r="G416" i="701"/>
  <c r="G415" i="701"/>
  <c r="G411" i="701"/>
  <c r="G410" i="701"/>
  <c r="G406" i="701"/>
  <c r="G405" i="701"/>
  <c r="G401" i="701"/>
  <c r="G400" i="701"/>
  <c r="G396" i="701"/>
  <c r="G395" i="701"/>
  <c r="G391" i="701"/>
  <c r="G390" i="701"/>
  <c r="G386" i="701"/>
  <c r="G385" i="701"/>
  <c r="G381" i="701"/>
  <c r="G380" i="701"/>
  <c r="G354" i="701"/>
  <c r="G350" i="701"/>
  <c r="G358" i="701" s="1"/>
  <c r="G347" i="701"/>
  <c r="G345" i="701"/>
  <c r="G343" i="701"/>
  <c r="G341" i="701"/>
  <c r="G338" i="701"/>
  <c r="G336" i="701"/>
  <c r="G334" i="701"/>
  <c r="G321" i="701"/>
  <c r="G320" i="701"/>
  <c r="G318" i="701"/>
  <c r="G315" i="701"/>
  <c r="G313" i="701"/>
  <c r="G311" i="701"/>
  <c r="G309" i="701"/>
  <c r="G306" i="701"/>
  <c r="G304" i="701"/>
  <c r="G302" i="701"/>
  <c r="G300" i="701"/>
  <c r="G297" i="701"/>
  <c r="G295" i="701"/>
  <c r="G293" i="701"/>
  <c r="G291" i="701"/>
  <c r="G288" i="701"/>
  <c r="G286" i="701"/>
  <c r="G284" i="701"/>
  <c r="G282" i="701"/>
  <c r="G279" i="701"/>
  <c r="G277" i="701"/>
  <c r="G275" i="701"/>
  <c r="G273" i="701"/>
  <c r="G270" i="701"/>
  <c r="G268" i="701"/>
  <c r="G266" i="701"/>
  <c r="G264" i="701"/>
  <c r="G261" i="701"/>
  <c r="G259" i="701"/>
  <c r="G257" i="701"/>
  <c r="G255" i="701"/>
  <c r="G252" i="701"/>
  <c r="G250" i="701"/>
  <c r="G248" i="701"/>
  <c r="G246" i="701"/>
  <c r="G243" i="701"/>
  <c r="G241" i="701"/>
  <c r="G239" i="701"/>
  <c r="G226" i="701"/>
  <c r="G223" i="701"/>
  <c r="G221" i="701"/>
  <c r="G219" i="701"/>
  <c r="G217" i="701"/>
  <c r="G214" i="701"/>
  <c r="G212" i="701"/>
  <c r="G210" i="701"/>
  <c r="G197" i="701"/>
  <c r="G196" i="701"/>
  <c r="G194" i="701"/>
  <c r="G191" i="701"/>
  <c r="G189" i="701"/>
  <c r="G187" i="701"/>
  <c r="G185" i="701"/>
  <c r="G182" i="701"/>
  <c r="G180" i="701"/>
  <c r="G178" i="701"/>
  <c r="G176" i="701"/>
  <c r="G173" i="701"/>
  <c r="G171" i="701"/>
  <c r="G169" i="701"/>
  <c r="G167" i="701"/>
  <c r="G164" i="701"/>
  <c r="G162" i="701"/>
  <c r="G160" i="701"/>
  <c r="G158" i="701"/>
  <c r="G155" i="701"/>
  <c r="G153" i="701"/>
  <c r="G151" i="701"/>
  <c r="G149" i="701"/>
  <c r="G146" i="701"/>
  <c r="G144" i="701"/>
  <c r="G142" i="701"/>
  <c r="G140" i="701"/>
  <c r="G137" i="701"/>
  <c r="G135" i="701"/>
  <c r="G133" i="701"/>
  <c r="G131" i="701"/>
  <c r="G128" i="701"/>
  <c r="G126" i="701"/>
  <c r="G124" i="701"/>
  <c r="G122" i="701"/>
  <c r="G119" i="701"/>
  <c r="G117" i="701"/>
  <c r="G115" i="701"/>
  <c r="G113" i="701"/>
  <c r="G110" i="701"/>
  <c r="G108" i="701"/>
  <c r="G106" i="701"/>
  <c r="G104" i="701"/>
  <c r="G101" i="701"/>
  <c r="G99" i="701"/>
  <c r="G97" i="701"/>
  <c r="G95" i="701"/>
  <c r="G92" i="701"/>
  <c r="G90" i="701"/>
  <c r="G88" i="701"/>
  <c r="G86" i="701"/>
  <c r="G83" i="701"/>
  <c r="G81" i="701"/>
  <c r="G79" i="701"/>
  <c r="G77" i="701"/>
  <c r="G74" i="701"/>
  <c r="G72" i="701"/>
  <c r="G70" i="701"/>
  <c r="G68" i="701"/>
  <c r="G65" i="701"/>
  <c r="G63" i="701"/>
  <c r="G61" i="701"/>
  <c r="G59" i="701"/>
  <c r="G56" i="701"/>
  <c r="G55" i="701"/>
  <c r="G54" i="701"/>
  <c r="G53" i="701"/>
  <c r="G52" i="701"/>
  <c r="G50" i="701"/>
  <c r="G47" i="701"/>
  <c r="G45" i="701"/>
  <c r="G43" i="701"/>
  <c r="G41" i="701"/>
  <c r="G39" i="701"/>
  <c r="G38" i="701"/>
  <c r="G36" i="701"/>
  <c r="G34" i="701"/>
  <c r="G32" i="701"/>
  <c r="G30" i="701"/>
  <c r="G29" i="701"/>
  <c r="G27" i="701"/>
  <c r="G25" i="701"/>
  <c r="G23" i="701"/>
  <c r="G21" i="701"/>
  <c r="G20" i="701"/>
  <c r="G18" i="701"/>
  <c r="G16" i="701"/>
  <c r="A1" i="701"/>
  <c r="G397" i="709" l="1"/>
  <c r="G417" i="709"/>
  <c r="G437" i="709"/>
  <c r="G457" i="709"/>
  <c r="G477" i="709"/>
  <c r="G497" i="709"/>
  <c r="G1165" i="709"/>
  <c r="G138" i="708"/>
  <c r="G224" i="708"/>
  <c r="G1170" i="707"/>
  <c r="G633" i="706"/>
  <c r="G633" i="701"/>
  <c r="G231" i="701"/>
  <c r="G84" i="704"/>
  <c r="G120" i="704"/>
  <c r="G156" i="704"/>
  <c r="G192" i="704"/>
  <c r="G230" i="709"/>
  <c r="G48" i="708"/>
  <c r="G66" i="708"/>
  <c r="G102" i="708"/>
  <c r="G1242" i="703"/>
  <c r="G1241" i="708"/>
  <c r="G676" i="709"/>
  <c r="G696" i="709"/>
  <c r="G716" i="709"/>
  <c r="G736" i="709"/>
  <c r="AK355" i="3"/>
  <c r="G1181" i="701"/>
  <c r="G505" i="702"/>
  <c r="G397" i="704"/>
  <c r="G417" i="704"/>
  <c r="G437" i="704"/>
  <c r="G817" i="704"/>
  <c r="G392" i="701"/>
  <c r="G412" i="701"/>
  <c r="G432" i="701"/>
  <c r="G452" i="701"/>
  <c r="G472" i="701"/>
  <c r="G492" i="701"/>
  <c r="G632" i="701"/>
  <c r="G543" i="701"/>
  <c r="G563" i="701"/>
  <c r="G583" i="701"/>
  <c r="G603" i="701"/>
  <c r="G623" i="701"/>
  <c r="G716" i="701"/>
  <c r="G736" i="701"/>
  <c r="G280" i="702"/>
  <c r="G316" i="702"/>
  <c r="G397" i="702"/>
  <c r="G417" i="702"/>
  <c r="G437" i="702"/>
  <c r="G457" i="702"/>
  <c r="G477" i="702"/>
  <c r="G497" i="702"/>
  <c r="G528" i="702"/>
  <c r="G548" i="702"/>
  <c r="G568" i="702"/>
  <c r="G588" i="702"/>
  <c r="G608" i="702"/>
  <c r="G628" i="702"/>
  <c r="G631" i="702" s="1"/>
  <c r="G661" i="702"/>
  <c r="G681" i="702"/>
  <c r="G701" i="702"/>
  <c r="G721" i="702"/>
  <c r="G741" i="702"/>
  <c r="G779" i="702"/>
  <c r="G799" i="702"/>
  <c r="G817" i="702"/>
  <c r="G229" i="704"/>
  <c r="G452" i="707"/>
  <c r="G472" i="707"/>
  <c r="G492" i="707"/>
  <c r="G397" i="708"/>
  <c r="G417" i="708"/>
  <c r="G437" i="708"/>
  <c r="G457" i="708"/>
  <c r="G477" i="708"/>
  <c r="G497" i="708"/>
  <c r="G528" i="708"/>
  <c r="G548" i="708"/>
  <c r="G568" i="708"/>
  <c r="G588" i="708"/>
  <c r="G608" i="708"/>
  <c r="G324" i="706"/>
  <c r="G1153" i="708"/>
  <c r="G1188" i="708"/>
  <c r="G324" i="709"/>
  <c r="G174" i="708"/>
  <c r="G749" i="701"/>
  <c r="G661" i="701"/>
  <c r="G681" i="701"/>
  <c r="G701" i="701"/>
  <c r="G803" i="701"/>
  <c r="G779" i="701"/>
  <c r="G799" i="701"/>
  <c r="G830" i="701"/>
  <c r="G817" i="701"/>
  <c r="G661" i="707"/>
  <c r="G681" i="707"/>
  <c r="G701" i="707"/>
  <c r="G721" i="707"/>
  <c r="G779" i="707"/>
  <c r="G799" i="707"/>
  <c r="G817" i="707"/>
  <c r="G628" i="708"/>
  <c r="G631" i="708" s="1"/>
  <c r="G911" i="709"/>
  <c r="G985" i="709"/>
  <c r="G1092" i="709"/>
  <c r="G1125" i="709" s="1"/>
  <c r="G1113" i="709"/>
  <c r="G229" i="701"/>
  <c r="G1170" i="701"/>
  <c r="G229" i="702"/>
  <c r="G236" i="702"/>
  <c r="G324" i="702"/>
  <c r="G392" i="702"/>
  <c r="G412" i="702"/>
  <c r="G432" i="702"/>
  <c r="G452" i="702"/>
  <c r="G472" i="702"/>
  <c r="G492" i="702"/>
  <c r="G1170" i="702"/>
  <c r="G353" i="703"/>
  <c r="G359" i="703"/>
  <c r="G402" i="703"/>
  <c r="G422" i="703"/>
  <c r="G442" i="703"/>
  <c r="G462" i="703"/>
  <c r="G482" i="703"/>
  <c r="G633" i="703"/>
  <c r="G764" i="703"/>
  <c r="G784" i="703"/>
  <c r="G822" i="703"/>
  <c r="G387" i="704"/>
  <c r="G407" i="704"/>
  <c r="G427" i="704"/>
  <c r="G447" i="704"/>
  <c r="G467" i="704"/>
  <c r="G505" i="704"/>
  <c r="G558" i="704"/>
  <c r="G578" i="704"/>
  <c r="G598" i="704"/>
  <c r="G618" i="704"/>
  <c r="G666" i="704"/>
  <c r="G686" i="704"/>
  <c r="G706" i="704"/>
  <c r="G726" i="704"/>
  <c r="G746" i="704"/>
  <c r="G769" i="704"/>
  <c r="G789" i="704"/>
  <c r="G833" i="704"/>
  <c r="G830" i="704"/>
  <c r="G827" i="704"/>
  <c r="G1242" i="704"/>
  <c r="G102" i="706"/>
  <c r="G138" i="706"/>
  <c r="G230" i="706"/>
  <c r="G353" i="706"/>
  <c r="G359" i="706"/>
  <c r="G533" i="706"/>
  <c r="G553" i="706"/>
  <c r="G573" i="706"/>
  <c r="G593" i="706"/>
  <c r="G613" i="706"/>
  <c r="G746" i="706"/>
  <c r="G1106" i="706"/>
  <c r="G507" i="709"/>
  <c r="G528" i="709"/>
  <c r="G548" i="709"/>
  <c r="G568" i="709"/>
  <c r="G588" i="709"/>
  <c r="G608" i="709"/>
  <c r="G628" i="709"/>
  <c r="G631" i="709" s="1"/>
  <c r="G666" i="709"/>
  <c r="G686" i="709"/>
  <c r="G706" i="709"/>
  <c r="G726" i="709"/>
  <c r="G746" i="709"/>
  <c r="G802" i="709"/>
  <c r="G764" i="709"/>
  <c r="G784" i="709"/>
  <c r="G230" i="701"/>
  <c r="G402" i="701"/>
  <c r="G422" i="701"/>
  <c r="G442" i="701"/>
  <c r="G462" i="701"/>
  <c r="G482" i="701"/>
  <c r="G533" i="701"/>
  <c r="G553" i="701"/>
  <c r="G573" i="701"/>
  <c r="G593" i="701"/>
  <c r="G613" i="701"/>
  <c r="G706" i="701"/>
  <c r="G726" i="701"/>
  <c r="G746" i="701"/>
  <c r="G231" i="704"/>
  <c r="G348" i="704"/>
  <c r="G1120" i="704"/>
  <c r="G397" i="705"/>
  <c r="G417" i="705"/>
  <c r="G437" i="705"/>
  <c r="G457" i="705"/>
  <c r="G477" i="705"/>
  <c r="G497" i="705"/>
  <c r="G661" i="705"/>
  <c r="G681" i="705"/>
  <c r="G701" i="705"/>
  <c r="G721" i="705"/>
  <c r="G741" i="705"/>
  <c r="G779" i="705"/>
  <c r="G799" i="705"/>
  <c r="G817" i="705"/>
  <c r="G231" i="707"/>
  <c r="G348" i="707"/>
  <c r="G402" i="707"/>
  <c r="G422" i="707"/>
  <c r="G442" i="707"/>
  <c r="G462" i="707"/>
  <c r="G482" i="707"/>
  <c r="G505" i="707"/>
  <c r="G533" i="707"/>
  <c r="G633" i="707"/>
  <c r="G553" i="707"/>
  <c r="G573" i="707"/>
  <c r="G593" i="707"/>
  <c r="G613" i="707"/>
  <c r="G649" i="707"/>
  <c r="G671" i="707"/>
  <c r="G691" i="707"/>
  <c r="G711" i="707"/>
  <c r="G746" i="707"/>
  <c r="G769" i="707"/>
  <c r="G789" i="707"/>
  <c r="G833" i="707"/>
  <c r="G830" i="707"/>
  <c r="G827" i="707"/>
  <c r="G676" i="708"/>
  <c r="G696" i="708"/>
  <c r="G716" i="708"/>
  <c r="G736" i="708"/>
  <c r="G831" i="708"/>
  <c r="G830" i="708"/>
  <c r="G1241" i="701"/>
  <c r="G1188" i="701"/>
  <c r="G326" i="701"/>
  <c r="G262" i="701"/>
  <c r="G298" i="701"/>
  <c r="G505" i="701"/>
  <c r="G649" i="701"/>
  <c r="G671" i="701"/>
  <c r="G691" i="701"/>
  <c r="G769" i="701"/>
  <c r="G789" i="701"/>
  <c r="G200" i="701"/>
  <c r="G84" i="701"/>
  <c r="G120" i="701"/>
  <c r="G156" i="701"/>
  <c r="G192" i="701"/>
  <c r="G1125" i="701"/>
  <c r="G48" i="702"/>
  <c r="G66" i="702"/>
  <c r="G102" i="702"/>
  <c r="G138" i="702"/>
  <c r="G174" i="702"/>
  <c r="G230" i="702"/>
  <c r="G1241" i="702"/>
  <c r="G1153" i="702"/>
  <c r="G1188" i="702"/>
  <c r="G202" i="703"/>
  <c r="G48" i="703"/>
  <c r="G66" i="703"/>
  <c r="G102" i="703"/>
  <c r="G138" i="703"/>
  <c r="G174" i="703"/>
  <c r="G230" i="703"/>
  <c r="G224" i="703"/>
  <c r="G253" i="703"/>
  <c r="G324" i="703"/>
  <c r="G325" i="703"/>
  <c r="G365" i="703" s="1"/>
  <c r="G502" i="703"/>
  <c r="G407" i="703"/>
  <c r="G427" i="703"/>
  <c r="G447" i="703"/>
  <c r="G467" i="703"/>
  <c r="G487" i="703"/>
  <c r="G634" i="703"/>
  <c r="G543" i="703"/>
  <c r="G563" i="703"/>
  <c r="G583" i="703"/>
  <c r="G603" i="703"/>
  <c r="G623" i="703"/>
  <c r="G750" i="703"/>
  <c r="G676" i="703"/>
  <c r="G696" i="703"/>
  <c r="G716" i="703"/>
  <c r="G736" i="703"/>
  <c r="G769" i="703"/>
  <c r="G789" i="703"/>
  <c r="G831" i="703"/>
  <c r="G827" i="703"/>
  <c r="G911" i="703"/>
  <c r="G253" i="704"/>
  <c r="G324" i="704"/>
  <c r="G502" i="704"/>
  <c r="G392" i="704"/>
  <c r="G412" i="704"/>
  <c r="G432" i="704"/>
  <c r="G452" i="704"/>
  <c r="G472" i="704"/>
  <c r="G492" i="704"/>
  <c r="G543" i="704"/>
  <c r="G563" i="704"/>
  <c r="G583" i="704"/>
  <c r="G603" i="704"/>
  <c r="G623" i="704"/>
  <c r="G774" i="704"/>
  <c r="G794" i="704"/>
  <c r="G1092" i="704"/>
  <c r="G1125" i="704" s="1"/>
  <c r="G1204" i="704"/>
  <c r="G1205" i="704"/>
  <c r="G1165" i="704"/>
  <c r="G229" i="705"/>
  <c r="G236" i="705"/>
  <c r="G156" i="706"/>
  <c r="G192" i="706"/>
  <c r="G202" i="709"/>
  <c r="G323" i="702"/>
  <c r="G331" i="702"/>
  <c r="G802" i="702"/>
  <c r="G1120" i="703"/>
  <c r="G1181" i="703"/>
  <c r="G201" i="704"/>
  <c r="G632" i="704"/>
  <c r="G533" i="704"/>
  <c r="G553" i="704"/>
  <c r="G573" i="704"/>
  <c r="G593" i="704"/>
  <c r="G613" i="704"/>
  <c r="G661" i="704"/>
  <c r="G681" i="704"/>
  <c r="G701" i="704"/>
  <c r="G721" i="704"/>
  <c r="G741" i="704"/>
  <c r="G985" i="704"/>
  <c r="G1241" i="704"/>
  <c r="G271" i="705"/>
  <c r="G307" i="705"/>
  <c r="G330" i="705"/>
  <c r="G348" i="705"/>
  <c r="G402" i="705"/>
  <c r="G422" i="705"/>
  <c r="G442" i="705"/>
  <c r="G462" i="705"/>
  <c r="G482" i="705"/>
  <c r="G505" i="705"/>
  <c r="G533" i="705"/>
  <c r="G633" i="705"/>
  <c r="G553" i="705"/>
  <c r="G573" i="705"/>
  <c r="G593" i="705"/>
  <c r="G613" i="705"/>
  <c r="G666" i="705"/>
  <c r="G686" i="705"/>
  <c r="G706" i="705"/>
  <c r="G726" i="705"/>
  <c r="G746" i="705"/>
  <c r="G764" i="705"/>
  <c r="G784" i="705"/>
  <c r="G833" i="705"/>
  <c r="G822" i="705"/>
  <c r="G921" i="705"/>
  <c r="G1106" i="705"/>
  <c r="G1203" i="705"/>
  <c r="G1153" i="705"/>
  <c r="G827" i="701"/>
  <c r="G528" i="703"/>
  <c r="G548" i="703"/>
  <c r="G568" i="703"/>
  <c r="G588" i="703"/>
  <c r="G608" i="703"/>
  <c r="G628" i="703"/>
  <c r="G631" i="703" s="1"/>
  <c r="G661" i="703"/>
  <c r="G681" i="703"/>
  <c r="G701" i="703"/>
  <c r="G721" i="703"/>
  <c r="G741" i="703"/>
  <c r="G326" i="704"/>
  <c r="G457" i="704"/>
  <c r="G477" i="704"/>
  <c r="G497" i="704"/>
  <c r="G921" i="704"/>
  <c r="G84" i="705"/>
  <c r="G120" i="705"/>
  <c r="G156" i="705"/>
  <c r="G192" i="705"/>
  <c r="G1165" i="705"/>
  <c r="G57" i="706"/>
  <c r="G75" i="706"/>
  <c r="G271" i="706"/>
  <c r="G307" i="706"/>
  <c r="G330" i="706"/>
  <c r="G397" i="706"/>
  <c r="G417" i="706"/>
  <c r="G437" i="706"/>
  <c r="G457" i="706"/>
  <c r="G477" i="706"/>
  <c r="G497" i="706"/>
  <c r="G528" i="706"/>
  <c r="G548" i="706"/>
  <c r="G568" i="706"/>
  <c r="G588" i="706"/>
  <c r="G608" i="706"/>
  <c r="G628" i="706"/>
  <c r="G631" i="706" s="1"/>
  <c r="G666" i="706"/>
  <c r="G686" i="706"/>
  <c r="G706" i="706"/>
  <c r="G764" i="706"/>
  <c r="G784" i="706"/>
  <c r="G822" i="706"/>
  <c r="G904" i="706"/>
  <c r="G1125" i="706"/>
  <c r="G1165" i="706"/>
  <c r="G323" i="707"/>
  <c r="G331" i="707"/>
  <c r="G280" i="707"/>
  <c r="G316" i="707"/>
  <c r="G911" i="707"/>
  <c r="G1241" i="707"/>
  <c r="G93" i="708"/>
  <c r="G129" i="708"/>
  <c r="G206" i="708"/>
  <c r="G165" i="708"/>
  <c r="G215" i="708"/>
  <c r="G253" i="708"/>
  <c r="G324" i="708"/>
  <c r="G392" i="708"/>
  <c r="G412" i="708"/>
  <c r="G432" i="708"/>
  <c r="G452" i="708"/>
  <c r="G472" i="708"/>
  <c r="G492" i="708"/>
  <c r="G543" i="708"/>
  <c r="G563" i="708"/>
  <c r="G583" i="708"/>
  <c r="G603" i="708"/>
  <c r="G623" i="708"/>
  <c r="G817" i="708"/>
  <c r="G75" i="709"/>
  <c r="G111" i="709"/>
  <c r="G147" i="709"/>
  <c r="G183" i="709"/>
  <c r="G231" i="709"/>
  <c r="G262" i="709"/>
  <c r="G298" i="709"/>
  <c r="G505" i="709"/>
  <c r="G649" i="709"/>
  <c r="G671" i="709"/>
  <c r="G691" i="709"/>
  <c r="G711" i="709"/>
  <c r="G731" i="709"/>
  <c r="G769" i="709"/>
  <c r="G789" i="709"/>
  <c r="G833" i="709"/>
  <c r="G830" i="709"/>
  <c r="G827" i="709"/>
  <c r="G1203" i="709"/>
  <c r="G1160" i="709"/>
  <c r="G1170" i="709"/>
  <c r="G1195" i="709"/>
  <c r="AJ355" i="3"/>
  <c r="AN355" i="3"/>
  <c r="G407" i="706"/>
  <c r="G427" i="706"/>
  <c r="G447" i="706"/>
  <c r="G467" i="706"/>
  <c r="G487" i="706"/>
  <c r="G634" i="706"/>
  <c r="G558" i="706"/>
  <c r="G578" i="706"/>
  <c r="G598" i="706"/>
  <c r="G618" i="706"/>
  <c r="G750" i="706"/>
  <c r="G676" i="706"/>
  <c r="G696" i="706"/>
  <c r="G716" i="706"/>
  <c r="G736" i="706"/>
  <c r="G774" i="706"/>
  <c r="G794" i="706"/>
  <c r="G831" i="706"/>
  <c r="G830" i="706"/>
  <c r="G1241" i="706"/>
  <c r="G1153" i="706"/>
  <c r="G1188" i="706"/>
  <c r="G202" i="707"/>
  <c r="G48" i="707"/>
  <c r="G66" i="707"/>
  <c r="G102" i="707"/>
  <c r="G138" i="707"/>
  <c r="G174" i="707"/>
  <c r="G230" i="707"/>
  <c r="G676" i="707"/>
  <c r="G696" i="707"/>
  <c r="G716" i="707"/>
  <c r="G774" i="707"/>
  <c r="G794" i="707"/>
  <c r="G231" i="708"/>
  <c r="G348" i="708"/>
  <c r="G402" i="708"/>
  <c r="G422" i="708"/>
  <c r="G442" i="708"/>
  <c r="G462" i="708"/>
  <c r="G482" i="708"/>
  <c r="G505" i="708"/>
  <c r="G533" i="708"/>
  <c r="G633" i="708"/>
  <c r="G553" i="708"/>
  <c r="G573" i="708"/>
  <c r="G593" i="708"/>
  <c r="G613" i="708"/>
  <c r="G649" i="708"/>
  <c r="G671" i="708"/>
  <c r="G691" i="708"/>
  <c r="G711" i="708"/>
  <c r="G731" i="708"/>
  <c r="G769" i="708"/>
  <c r="G789" i="708"/>
  <c r="G1106" i="708"/>
  <c r="G1170" i="708"/>
  <c r="G392" i="709"/>
  <c r="G412" i="709"/>
  <c r="G432" i="709"/>
  <c r="G452" i="709"/>
  <c r="G472" i="709"/>
  <c r="G492" i="709"/>
  <c r="G543" i="709"/>
  <c r="G563" i="709"/>
  <c r="G583" i="709"/>
  <c r="G603" i="709"/>
  <c r="G623" i="709"/>
  <c r="AH355" i="3"/>
  <c r="G1181" i="707"/>
  <c r="G323" i="708"/>
  <c r="G331" i="708"/>
  <c r="G280" i="708"/>
  <c r="G316" i="708"/>
  <c r="G802" i="708"/>
  <c r="G904" i="708"/>
  <c r="G1125" i="708"/>
  <c r="G48" i="709"/>
  <c r="G66" i="709"/>
  <c r="G102" i="709"/>
  <c r="G138" i="709"/>
  <c r="G174" i="709"/>
  <c r="G224" i="709"/>
  <c r="G253" i="709"/>
  <c r="G325" i="709"/>
  <c r="G365" i="709" s="1"/>
  <c r="G48" i="701"/>
  <c r="G66" i="701"/>
  <c r="G138" i="701"/>
  <c r="G174" i="701"/>
  <c r="G323" i="701"/>
  <c r="G280" i="701"/>
  <c r="G833" i="701"/>
  <c r="G57" i="701"/>
  <c r="G75" i="701"/>
  <c r="G111" i="701"/>
  <c r="G147" i="701"/>
  <c r="G183" i="701"/>
  <c r="G253" i="701"/>
  <c r="G324" i="701"/>
  <c r="G325" i="701"/>
  <c r="G365" i="701" s="1"/>
  <c r="G507" i="701"/>
  <c r="G397" i="701"/>
  <c r="G417" i="701"/>
  <c r="G437" i="701"/>
  <c r="G457" i="701"/>
  <c r="G477" i="701"/>
  <c r="G497" i="701"/>
  <c r="G528" i="701"/>
  <c r="G548" i="701"/>
  <c r="G568" i="701"/>
  <c r="G588" i="701"/>
  <c r="G608" i="701"/>
  <c r="G628" i="701"/>
  <c r="G631" i="701" s="1"/>
  <c r="G666" i="701"/>
  <c r="G686" i="701"/>
  <c r="G721" i="701"/>
  <c r="G741" i="701"/>
  <c r="G802" i="701"/>
  <c r="G764" i="701"/>
  <c r="G784" i="701"/>
  <c r="G822" i="701"/>
  <c r="G985" i="701"/>
  <c r="G1106" i="701"/>
  <c r="G1242" i="701"/>
  <c r="G1153" i="701"/>
  <c r="G202" i="702"/>
  <c r="G503" i="704"/>
  <c r="G501" i="704"/>
  <c r="G200" i="705"/>
  <c r="G201" i="701"/>
  <c r="G207" i="701"/>
  <c r="G93" i="701"/>
  <c r="G129" i="701"/>
  <c r="G206" i="701"/>
  <c r="G165" i="701"/>
  <c r="G215" i="701"/>
  <c r="G236" i="701"/>
  <c r="G271" i="701"/>
  <c r="G307" i="701"/>
  <c r="G330" i="701"/>
  <c r="G353" i="701"/>
  <c r="G359" i="701"/>
  <c r="G407" i="701"/>
  <c r="G427" i="701"/>
  <c r="G447" i="701"/>
  <c r="G467" i="701"/>
  <c r="G487" i="701"/>
  <c r="G634" i="701"/>
  <c r="G558" i="701"/>
  <c r="G578" i="701"/>
  <c r="G598" i="701"/>
  <c r="G618" i="701"/>
  <c r="G750" i="701"/>
  <c r="G676" i="701"/>
  <c r="G696" i="701"/>
  <c r="G711" i="701"/>
  <c r="G731" i="701"/>
  <c r="G774" i="701"/>
  <c r="G794" i="701"/>
  <c r="G831" i="701"/>
  <c r="G904" i="701"/>
  <c r="G202" i="704"/>
  <c r="G21" i="706"/>
  <c r="G202" i="701"/>
  <c r="G102" i="701"/>
  <c r="G224" i="701"/>
  <c r="G331" i="701"/>
  <c r="G316" i="701"/>
  <c r="G348" i="701"/>
  <c r="G289" i="704"/>
  <c r="G325" i="704"/>
  <c r="G365" i="704" s="1"/>
  <c r="G201" i="702"/>
  <c r="G207" i="702"/>
  <c r="G93" i="702"/>
  <c r="G129" i="702"/>
  <c r="G206" i="702"/>
  <c r="G165" i="702"/>
  <c r="G271" i="702"/>
  <c r="G307" i="702"/>
  <c r="G330" i="702"/>
  <c r="G348" i="702"/>
  <c r="G402" i="702"/>
  <c r="G422" i="702"/>
  <c r="G442" i="702"/>
  <c r="G462" i="702"/>
  <c r="G482" i="702"/>
  <c r="G533" i="702"/>
  <c r="G633" i="702"/>
  <c r="G553" i="702"/>
  <c r="G573" i="702"/>
  <c r="G593" i="702"/>
  <c r="G613" i="702"/>
  <c r="G666" i="702"/>
  <c r="G686" i="702"/>
  <c r="G706" i="702"/>
  <c r="G726" i="702"/>
  <c r="G746" i="702"/>
  <c r="G764" i="702"/>
  <c r="G784" i="702"/>
  <c r="G833" i="702"/>
  <c r="G822" i="702"/>
  <c r="G921" i="702"/>
  <c r="G1120" i="702"/>
  <c r="G1181" i="702"/>
  <c r="G201" i="703"/>
  <c r="G207" i="703"/>
  <c r="G93" i="703"/>
  <c r="G129" i="703"/>
  <c r="G206" i="703"/>
  <c r="G165" i="703"/>
  <c r="G229" i="703"/>
  <c r="G236" i="703"/>
  <c r="G323" i="703"/>
  <c r="G331" i="703"/>
  <c r="G280" i="703"/>
  <c r="G316" i="703"/>
  <c r="G392" i="703"/>
  <c r="G412" i="703"/>
  <c r="G432" i="703"/>
  <c r="G452" i="703"/>
  <c r="G472" i="703"/>
  <c r="G492" i="703"/>
  <c r="G632" i="703"/>
  <c r="G749" i="703"/>
  <c r="G803" i="703"/>
  <c r="G774" i="703"/>
  <c r="G794" i="703"/>
  <c r="G904" i="703"/>
  <c r="G1113" i="703"/>
  <c r="G1204" i="703"/>
  <c r="G1205" i="703"/>
  <c r="G1165" i="703"/>
  <c r="G207" i="704"/>
  <c r="G57" i="704"/>
  <c r="G75" i="704"/>
  <c r="G111" i="704"/>
  <c r="G147" i="704"/>
  <c r="G183" i="704"/>
  <c r="G230" i="704"/>
  <c r="G224" i="704"/>
  <c r="G244" i="704"/>
  <c r="G331" i="704"/>
  <c r="G280" i="704"/>
  <c r="G316" i="704"/>
  <c r="G339" i="704"/>
  <c r="G359" i="704"/>
  <c r="G633" i="704"/>
  <c r="G750" i="704"/>
  <c r="G671" i="704"/>
  <c r="G691" i="704"/>
  <c r="G711" i="704"/>
  <c r="G731" i="704"/>
  <c r="G831" i="704"/>
  <c r="G911" i="704"/>
  <c r="G1113" i="704"/>
  <c r="G1203" i="704"/>
  <c r="G1160" i="704"/>
  <c r="G1170" i="704"/>
  <c r="G1195" i="704"/>
  <c r="G57" i="705"/>
  <c r="G75" i="705"/>
  <c r="G111" i="705"/>
  <c r="G147" i="705"/>
  <c r="G183" i="705"/>
  <c r="G231" i="705"/>
  <c r="G326" i="705"/>
  <c r="G262" i="705"/>
  <c r="G298" i="705"/>
  <c r="G353" i="705"/>
  <c r="G359" i="705"/>
  <c r="G502" i="705"/>
  <c r="G407" i="705"/>
  <c r="G427" i="705"/>
  <c r="G447" i="705"/>
  <c r="G467" i="705"/>
  <c r="G487" i="705"/>
  <c r="G634" i="705"/>
  <c r="G558" i="705"/>
  <c r="G578" i="705"/>
  <c r="G598" i="705"/>
  <c r="G618" i="705"/>
  <c r="G649" i="705"/>
  <c r="G750" i="705"/>
  <c r="G671" i="705"/>
  <c r="G691" i="705"/>
  <c r="G711" i="705"/>
  <c r="G731" i="705"/>
  <c r="G769" i="705"/>
  <c r="G789" i="705"/>
  <c r="G831" i="705"/>
  <c r="G827" i="705"/>
  <c r="G911" i="705"/>
  <c r="G1195" i="705"/>
  <c r="G202" i="706"/>
  <c r="G48" i="706"/>
  <c r="G66" i="706"/>
  <c r="G911" i="701"/>
  <c r="G1113" i="701"/>
  <c r="G1203" i="701"/>
  <c r="G1160" i="701"/>
  <c r="G1195" i="701"/>
  <c r="G57" i="702"/>
  <c r="G75" i="702"/>
  <c r="G111" i="702"/>
  <c r="G147" i="702"/>
  <c r="G183" i="702"/>
  <c r="G224" i="702"/>
  <c r="G253" i="702"/>
  <c r="G325" i="702"/>
  <c r="G365" i="702" s="1"/>
  <c r="G543" i="702"/>
  <c r="G563" i="702"/>
  <c r="G583" i="702"/>
  <c r="G603" i="702"/>
  <c r="G623" i="702"/>
  <c r="G749" i="702"/>
  <c r="G676" i="702"/>
  <c r="G696" i="702"/>
  <c r="G716" i="702"/>
  <c r="G736" i="702"/>
  <c r="G803" i="702"/>
  <c r="G774" i="702"/>
  <c r="G794" i="702"/>
  <c r="G904" i="702"/>
  <c r="G1106" i="702"/>
  <c r="G1203" i="702"/>
  <c r="G1160" i="702"/>
  <c r="G1195" i="702"/>
  <c r="G57" i="703"/>
  <c r="G75" i="703"/>
  <c r="G111" i="703"/>
  <c r="G147" i="703"/>
  <c r="G183" i="703"/>
  <c r="G231" i="703"/>
  <c r="G326" i="703"/>
  <c r="G262" i="703"/>
  <c r="G298" i="703"/>
  <c r="G503" i="703"/>
  <c r="G505" i="703"/>
  <c r="G558" i="703"/>
  <c r="G578" i="703"/>
  <c r="G598" i="703"/>
  <c r="G618" i="703"/>
  <c r="G649" i="703"/>
  <c r="G671" i="703"/>
  <c r="G691" i="703"/>
  <c r="G711" i="703"/>
  <c r="G731" i="703"/>
  <c r="G833" i="703"/>
  <c r="G921" i="703"/>
  <c r="G1241" i="703"/>
  <c r="G1153" i="703"/>
  <c r="G1188" i="703"/>
  <c r="G93" i="704"/>
  <c r="G129" i="704"/>
  <c r="G206" i="704"/>
  <c r="G165" i="704"/>
  <c r="G262" i="704"/>
  <c r="G298" i="704"/>
  <c r="G323" i="704"/>
  <c r="G507" i="704"/>
  <c r="G402" i="704"/>
  <c r="G422" i="704"/>
  <c r="G442" i="704"/>
  <c r="G462" i="704"/>
  <c r="G482" i="704"/>
  <c r="G528" i="704"/>
  <c r="G548" i="704"/>
  <c r="G568" i="704"/>
  <c r="G588" i="704"/>
  <c r="G608" i="704"/>
  <c r="G628" i="704"/>
  <c r="G631" i="704" s="1"/>
  <c r="G802" i="704"/>
  <c r="G764" i="704"/>
  <c r="G784" i="704"/>
  <c r="G822" i="704"/>
  <c r="G1181" i="704"/>
  <c r="G201" i="705"/>
  <c r="G207" i="705"/>
  <c r="G93" i="705"/>
  <c r="G129" i="705"/>
  <c r="G206" i="705"/>
  <c r="G371" i="705" s="1"/>
  <c r="G165" i="705"/>
  <c r="G323" i="705"/>
  <c r="G331" i="705"/>
  <c r="G280" i="705"/>
  <c r="G316" i="705"/>
  <c r="G528" i="705"/>
  <c r="G548" i="705"/>
  <c r="G568" i="705"/>
  <c r="G588" i="705"/>
  <c r="G608" i="705"/>
  <c r="G628" i="705"/>
  <c r="G631" i="705" s="1"/>
  <c r="G802" i="705"/>
  <c r="G1242" i="705"/>
  <c r="G1113" i="705"/>
  <c r="G1204" i="705"/>
  <c r="G1205" i="705"/>
  <c r="G1160" i="705"/>
  <c r="G1170" i="705"/>
  <c r="G1181" i="705"/>
  <c r="G200" i="706"/>
  <c r="G84" i="706"/>
  <c r="G120" i="706"/>
  <c r="G985" i="706"/>
  <c r="G1242" i="706"/>
  <c r="G224" i="707"/>
  <c r="G229" i="707"/>
  <c r="G921" i="701"/>
  <c r="G1120" i="701"/>
  <c r="G1204" i="701"/>
  <c r="G1205" i="701"/>
  <c r="G1165" i="701"/>
  <c r="G200" i="702"/>
  <c r="G84" i="702"/>
  <c r="G120" i="702"/>
  <c r="G156" i="702"/>
  <c r="G192" i="702"/>
  <c r="G231" i="702"/>
  <c r="G326" i="702"/>
  <c r="G262" i="702"/>
  <c r="G298" i="702"/>
  <c r="G353" i="702"/>
  <c r="G359" i="702"/>
  <c r="G502" i="702"/>
  <c r="G407" i="702"/>
  <c r="G427" i="702"/>
  <c r="G447" i="702"/>
  <c r="G467" i="702"/>
  <c r="G487" i="702"/>
  <c r="G634" i="702"/>
  <c r="G558" i="702"/>
  <c r="G578" i="702"/>
  <c r="G598" i="702"/>
  <c r="G618" i="702"/>
  <c r="G649" i="702"/>
  <c r="G750" i="702"/>
  <c r="G671" i="702"/>
  <c r="G691" i="702"/>
  <c r="G711" i="702"/>
  <c r="G731" i="702"/>
  <c r="G769" i="702"/>
  <c r="G789" i="702"/>
  <c r="G831" i="702"/>
  <c r="G827" i="702"/>
  <c r="G911" i="702"/>
  <c r="G1242" i="702"/>
  <c r="G1113" i="702"/>
  <c r="G1204" i="702"/>
  <c r="G1205" i="702"/>
  <c r="G1165" i="702"/>
  <c r="G200" i="703"/>
  <c r="G84" i="703"/>
  <c r="G120" i="703"/>
  <c r="G156" i="703"/>
  <c r="G192" i="703"/>
  <c r="G271" i="703"/>
  <c r="G307" i="703"/>
  <c r="G330" i="703"/>
  <c r="G348" i="703"/>
  <c r="G507" i="703"/>
  <c r="G397" i="703"/>
  <c r="G417" i="703"/>
  <c r="G437" i="703"/>
  <c r="G457" i="703"/>
  <c r="G477" i="703"/>
  <c r="G497" i="703"/>
  <c r="G533" i="703"/>
  <c r="G553" i="703"/>
  <c r="G573" i="703"/>
  <c r="G593" i="703"/>
  <c r="G613" i="703"/>
  <c r="G666" i="703"/>
  <c r="G686" i="703"/>
  <c r="G706" i="703"/>
  <c r="G726" i="703"/>
  <c r="G746" i="703"/>
  <c r="G779" i="703"/>
  <c r="G799" i="703"/>
  <c r="G817" i="703"/>
  <c r="G1106" i="703"/>
  <c r="G1203" i="703"/>
  <c r="G1160" i="703"/>
  <c r="G1170" i="703"/>
  <c r="G1195" i="703"/>
  <c r="G48" i="704"/>
  <c r="G66" i="704"/>
  <c r="G102" i="704"/>
  <c r="G138" i="704"/>
  <c r="G174" i="704"/>
  <c r="G200" i="704"/>
  <c r="G215" i="704"/>
  <c r="G236" i="704"/>
  <c r="G271" i="704"/>
  <c r="G307" i="704"/>
  <c r="G330" i="704"/>
  <c r="G353" i="704"/>
  <c r="G634" i="704"/>
  <c r="G676" i="704"/>
  <c r="G696" i="704"/>
  <c r="G716" i="704"/>
  <c r="G736" i="704"/>
  <c r="G803" i="704"/>
  <c r="G779" i="704"/>
  <c r="G799" i="704"/>
  <c r="G904" i="704"/>
  <c r="G1106" i="704"/>
  <c r="G1153" i="704"/>
  <c r="G1188" i="704"/>
  <c r="G202" i="705"/>
  <c r="G48" i="705"/>
  <c r="G66" i="705"/>
  <c r="G102" i="705"/>
  <c r="G138" i="705"/>
  <c r="G174" i="705"/>
  <c r="G230" i="705"/>
  <c r="G224" i="705"/>
  <c r="G253" i="705"/>
  <c r="G324" i="705"/>
  <c r="G325" i="705"/>
  <c r="G365" i="705" s="1"/>
  <c r="G392" i="705"/>
  <c r="G412" i="705"/>
  <c r="G432" i="705"/>
  <c r="G452" i="705"/>
  <c r="G472" i="705"/>
  <c r="G492" i="705"/>
  <c r="G543" i="705"/>
  <c r="G563" i="705"/>
  <c r="G583" i="705"/>
  <c r="G603" i="705"/>
  <c r="G623" i="705"/>
  <c r="G676" i="705"/>
  <c r="G696" i="705"/>
  <c r="G716" i="705"/>
  <c r="G736" i="705"/>
  <c r="G803" i="705"/>
  <c r="G774" i="705"/>
  <c r="G794" i="705"/>
  <c r="G904" i="705"/>
  <c r="G913" i="705"/>
  <c r="G1088" i="705"/>
  <c r="G1120" i="705"/>
  <c r="G1188" i="705"/>
  <c r="G201" i="706"/>
  <c r="G207" i="706"/>
  <c r="G93" i="706"/>
  <c r="G129" i="706"/>
  <c r="G206" i="706"/>
  <c r="G165" i="706"/>
  <c r="G215" i="706"/>
  <c r="G236" i="706"/>
  <c r="G323" i="706"/>
  <c r="G331" i="706"/>
  <c r="G280" i="706"/>
  <c r="G316" i="706"/>
  <c r="G348" i="706"/>
  <c r="G402" i="706"/>
  <c r="G422" i="706"/>
  <c r="G442" i="706"/>
  <c r="G462" i="706"/>
  <c r="G482" i="706"/>
  <c r="G505" i="706"/>
  <c r="G649" i="706"/>
  <c r="G671" i="706"/>
  <c r="G691" i="706"/>
  <c r="G711" i="706"/>
  <c r="G731" i="706"/>
  <c r="G769" i="706"/>
  <c r="G789" i="706"/>
  <c r="G833" i="706"/>
  <c r="G827" i="706"/>
  <c r="G911" i="706"/>
  <c r="G1113" i="706"/>
  <c r="G1203" i="706"/>
  <c r="G1160" i="706"/>
  <c r="G1170" i="706"/>
  <c r="G1195" i="706"/>
  <c r="G57" i="707"/>
  <c r="G75" i="707"/>
  <c r="G111" i="707"/>
  <c r="G147" i="707"/>
  <c r="G183" i="707"/>
  <c r="G253" i="707"/>
  <c r="G324" i="707"/>
  <c r="G325" i="707"/>
  <c r="G365" i="707" s="1"/>
  <c r="G507" i="707"/>
  <c r="G397" i="707"/>
  <c r="G417" i="707"/>
  <c r="G437" i="707"/>
  <c r="G457" i="707"/>
  <c r="G477" i="707"/>
  <c r="G497" i="707"/>
  <c r="G528" i="707"/>
  <c r="G548" i="707"/>
  <c r="G568" i="707"/>
  <c r="G588" i="707"/>
  <c r="G608" i="707"/>
  <c r="G628" i="707"/>
  <c r="G631" i="707" s="1"/>
  <c r="G666" i="707"/>
  <c r="G686" i="707"/>
  <c r="G706" i="707"/>
  <c r="G726" i="707"/>
  <c r="G741" i="707"/>
  <c r="G802" i="707"/>
  <c r="G764" i="707"/>
  <c r="G784" i="707"/>
  <c r="G822" i="707"/>
  <c r="G1243" i="707"/>
  <c r="G985" i="707"/>
  <c r="G1088" i="707"/>
  <c r="G174" i="706"/>
  <c r="G224" i="706"/>
  <c r="G253" i="706"/>
  <c r="G325" i="706"/>
  <c r="G365" i="706" s="1"/>
  <c r="G507" i="706"/>
  <c r="G726" i="706"/>
  <c r="G802" i="706"/>
  <c r="G921" i="706"/>
  <c r="G1120" i="706"/>
  <c r="G1204" i="706"/>
  <c r="G1205" i="706"/>
  <c r="G200" i="707"/>
  <c r="G84" i="707"/>
  <c r="G120" i="707"/>
  <c r="G156" i="707"/>
  <c r="G192" i="707"/>
  <c r="G326" i="707"/>
  <c r="G262" i="707"/>
  <c r="G298" i="707"/>
  <c r="G392" i="707"/>
  <c r="G412" i="707"/>
  <c r="G432" i="707"/>
  <c r="G632" i="707"/>
  <c r="G543" i="707"/>
  <c r="G563" i="707"/>
  <c r="G583" i="707"/>
  <c r="G603" i="707"/>
  <c r="G623" i="707"/>
  <c r="G749" i="707"/>
  <c r="G736" i="707"/>
  <c r="G803" i="707"/>
  <c r="G1125" i="707"/>
  <c r="G207" i="708"/>
  <c r="G111" i="706"/>
  <c r="G147" i="706"/>
  <c r="G183" i="706"/>
  <c r="G231" i="706"/>
  <c r="G326" i="706"/>
  <c r="G262" i="706"/>
  <c r="G298" i="706"/>
  <c r="G392" i="706"/>
  <c r="G412" i="706"/>
  <c r="G432" i="706"/>
  <c r="G452" i="706"/>
  <c r="G472" i="706"/>
  <c r="G492" i="706"/>
  <c r="G632" i="706"/>
  <c r="G543" i="706"/>
  <c r="G563" i="706"/>
  <c r="G583" i="706"/>
  <c r="G603" i="706"/>
  <c r="G623" i="706"/>
  <c r="G749" i="706"/>
  <c r="G661" i="706"/>
  <c r="G681" i="706"/>
  <c r="G701" i="706"/>
  <c r="G721" i="706"/>
  <c r="G741" i="706"/>
  <c r="G803" i="706"/>
  <c r="G779" i="706"/>
  <c r="G799" i="706"/>
  <c r="G817" i="706"/>
  <c r="G913" i="706"/>
  <c r="G1181" i="706"/>
  <c r="G201" i="707"/>
  <c r="G207" i="707"/>
  <c r="G93" i="707"/>
  <c r="G129" i="707"/>
  <c r="G206" i="707"/>
  <c r="G165" i="707"/>
  <c r="G215" i="707"/>
  <c r="G236" i="707"/>
  <c r="G271" i="707"/>
  <c r="G307" i="707"/>
  <c r="G330" i="707"/>
  <c r="G353" i="707"/>
  <c r="G359" i="707"/>
  <c r="G407" i="707"/>
  <c r="G427" i="707"/>
  <c r="G447" i="707"/>
  <c r="G467" i="707"/>
  <c r="G487" i="707"/>
  <c r="G634" i="707"/>
  <c r="G558" i="707"/>
  <c r="G578" i="707"/>
  <c r="G598" i="707"/>
  <c r="G618" i="707"/>
  <c r="G750" i="707"/>
  <c r="G731" i="707"/>
  <c r="G831" i="707"/>
  <c r="G904" i="707"/>
  <c r="G201" i="708"/>
  <c r="G1242" i="708"/>
  <c r="G1106" i="707"/>
  <c r="G1242" i="707"/>
  <c r="G1153" i="707"/>
  <c r="G1188" i="707"/>
  <c r="G202" i="708"/>
  <c r="G325" i="708"/>
  <c r="G365" i="708" s="1"/>
  <c r="G507" i="708"/>
  <c r="G666" i="708"/>
  <c r="G686" i="708"/>
  <c r="G706" i="708"/>
  <c r="G726" i="708"/>
  <c r="G746" i="708"/>
  <c r="G764" i="708"/>
  <c r="G784" i="708"/>
  <c r="G833" i="708"/>
  <c r="G827" i="708"/>
  <c r="G911" i="708"/>
  <c r="G985" i="708"/>
  <c r="G1113" i="708"/>
  <c r="G1203" i="708"/>
  <c r="G1160" i="708"/>
  <c r="G1195" i="708"/>
  <c r="G57" i="709"/>
  <c r="G326" i="709"/>
  <c r="G632" i="709"/>
  <c r="G749" i="709"/>
  <c r="G661" i="709"/>
  <c r="G681" i="709"/>
  <c r="G701" i="709"/>
  <c r="G721" i="709"/>
  <c r="G741" i="709"/>
  <c r="G803" i="709"/>
  <c r="G779" i="709"/>
  <c r="G799" i="709"/>
  <c r="G822" i="709"/>
  <c r="G921" i="709"/>
  <c r="G1120" i="709"/>
  <c r="G1204" i="709"/>
  <c r="G1205" i="709"/>
  <c r="G1113" i="707"/>
  <c r="G1203" i="707"/>
  <c r="G1160" i="707"/>
  <c r="G1195" i="707"/>
  <c r="G57" i="708"/>
  <c r="G75" i="708"/>
  <c r="G111" i="708"/>
  <c r="G147" i="708"/>
  <c r="G183" i="708"/>
  <c r="G326" i="708"/>
  <c r="G262" i="708"/>
  <c r="G298" i="708"/>
  <c r="G632" i="708"/>
  <c r="G749" i="708"/>
  <c r="G661" i="708"/>
  <c r="G681" i="708"/>
  <c r="G701" i="708"/>
  <c r="G721" i="708"/>
  <c r="G741" i="708"/>
  <c r="G803" i="708"/>
  <c r="G779" i="708"/>
  <c r="G799" i="708"/>
  <c r="G822" i="708"/>
  <c r="G921" i="708"/>
  <c r="G1120" i="708"/>
  <c r="G1204" i="708"/>
  <c r="G1205" i="708"/>
  <c r="G1165" i="708"/>
  <c r="G200" i="709"/>
  <c r="G21" i="709"/>
  <c r="G84" i="709"/>
  <c r="G120" i="709"/>
  <c r="G156" i="709"/>
  <c r="G192" i="709"/>
  <c r="G271" i="709"/>
  <c r="G307" i="709"/>
  <c r="G330" i="709"/>
  <c r="G353" i="709"/>
  <c r="G359" i="709"/>
  <c r="G502" i="709"/>
  <c r="G407" i="709"/>
  <c r="G427" i="709"/>
  <c r="G447" i="709"/>
  <c r="G467" i="709"/>
  <c r="G487" i="709"/>
  <c r="G634" i="709"/>
  <c r="G558" i="709"/>
  <c r="G578" i="709"/>
  <c r="G598" i="709"/>
  <c r="G618" i="709"/>
  <c r="G750" i="709"/>
  <c r="G774" i="709"/>
  <c r="G794" i="709"/>
  <c r="G817" i="709"/>
  <c r="G913" i="709"/>
  <c r="G1088" i="709"/>
  <c r="G1181" i="709"/>
  <c r="AL355" i="3"/>
  <c r="AP355" i="3"/>
  <c r="G921" i="707"/>
  <c r="G1120" i="707"/>
  <c r="G1204" i="707"/>
  <c r="G1205" i="707"/>
  <c r="G1165" i="707"/>
  <c r="G200" i="708"/>
  <c r="G21" i="708"/>
  <c r="G84" i="708"/>
  <c r="G120" i="708"/>
  <c r="G156" i="708"/>
  <c r="G192" i="708"/>
  <c r="G271" i="708"/>
  <c r="G307" i="708"/>
  <c r="G330" i="708"/>
  <c r="G353" i="708"/>
  <c r="G359" i="708"/>
  <c r="G407" i="708"/>
  <c r="G427" i="708"/>
  <c r="G447" i="708"/>
  <c r="G467" i="708"/>
  <c r="G487" i="708"/>
  <c r="G634" i="708"/>
  <c r="G558" i="708"/>
  <c r="G578" i="708"/>
  <c r="G598" i="708"/>
  <c r="G618" i="708"/>
  <c r="G750" i="708"/>
  <c r="G774" i="708"/>
  <c r="G794" i="708"/>
  <c r="G913" i="708"/>
  <c r="G1181" i="708"/>
  <c r="G201" i="709"/>
  <c r="G207" i="709"/>
  <c r="G93" i="709"/>
  <c r="G129" i="709"/>
  <c r="G206" i="709"/>
  <c r="G165" i="709"/>
  <c r="G215" i="709"/>
  <c r="G323" i="709"/>
  <c r="G331" i="709"/>
  <c r="G280" i="709"/>
  <c r="G316" i="709"/>
  <c r="G348" i="709"/>
  <c r="G503" i="709"/>
  <c r="G402" i="709"/>
  <c r="G422" i="709"/>
  <c r="G442" i="709"/>
  <c r="G462" i="709"/>
  <c r="G482" i="709"/>
  <c r="G533" i="709"/>
  <c r="G633" i="709"/>
  <c r="G553" i="709"/>
  <c r="G573" i="709"/>
  <c r="G593" i="709"/>
  <c r="G613" i="709"/>
  <c r="G831" i="709"/>
  <c r="G904" i="709"/>
  <c r="G1106" i="709"/>
  <c r="G1153" i="709"/>
  <c r="G1188" i="709"/>
  <c r="AI355" i="3"/>
  <c r="AM355" i="3"/>
  <c r="AO355" i="3"/>
  <c r="G1232" i="711"/>
  <c r="G1232" i="710"/>
  <c r="G889" i="708"/>
  <c r="G889" i="706"/>
  <c r="G886" i="706"/>
  <c r="G749" i="705"/>
  <c r="G889" i="704"/>
  <c r="G889" i="701"/>
  <c r="G889" i="709"/>
  <c r="G886" i="709"/>
  <c r="G205" i="709"/>
  <c r="G236" i="709"/>
  <c r="G234" i="709"/>
  <c r="G229" i="709"/>
  <c r="G244" i="709"/>
  <c r="G289" i="709"/>
  <c r="G339" i="709"/>
  <c r="G329" i="709"/>
  <c r="G357" i="709"/>
  <c r="G382" i="709"/>
  <c r="G387" i="709"/>
  <c r="G501" i="709"/>
  <c r="G506" i="709"/>
  <c r="G523" i="709"/>
  <c r="G538" i="709"/>
  <c r="G1243" i="709"/>
  <c r="G1093" i="709"/>
  <c r="G1126" i="709" s="1"/>
  <c r="G986" i="709"/>
  <c r="G1023" i="709" s="1"/>
  <c r="G1081" i="709"/>
  <c r="G1124" i="709"/>
  <c r="G1138" i="709"/>
  <c r="G1146" i="709"/>
  <c r="G1202" i="709"/>
  <c r="G656" i="709"/>
  <c r="G759" i="709"/>
  <c r="G812" i="709"/>
  <c r="G205" i="708"/>
  <c r="G236" i="708"/>
  <c r="G234" i="708"/>
  <c r="G229" i="708"/>
  <c r="G503" i="708"/>
  <c r="G501" i="708"/>
  <c r="G382" i="708"/>
  <c r="G244" i="708"/>
  <c r="G289" i="708"/>
  <c r="G339" i="708"/>
  <c r="G502" i="708"/>
  <c r="G387" i="708"/>
  <c r="G329" i="708"/>
  <c r="G357" i="708"/>
  <c r="G506" i="708"/>
  <c r="G523" i="708"/>
  <c r="G538" i="708"/>
  <c r="G1243" i="708"/>
  <c r="G1093" i="708"/>
  <c r="G1126" i="708" s="1"/>
  <c r="G986" i="708"/>
  <c r="G1023" i="708" s="1"/>
  <c r="G1081" i="708"/>
  <c r="G1124" i="708"/>
  <c r="G1138" i="708"/>
  <c r="G1146" i="708"/>
  <c r="G1202" i="708"/>
  <c r="G656" i="708"/>
  <c r="G759" i="708"/>
  <c r="G812" i="708"/>
  <c r="G205" i="707"/>
  <c r="G234" i="707"/>
  <c r="G244" i="707"/>
  <c r="G289" i="707"/>
  <c r="G339" i="707"/>
  <c r="G502" i="707"/>
  <c r="G387" i="707"/>
  <c r="G503" i="707"/>
  <c r="G501" i="707"/>
  <c r="G382" i="707"/>
  <c r="G329" i="707"/>
  <c r="G357" i="707"/>
  <c r="G506" i="707"/>
  <c r="G523" i="707"/>
  <c r="G538" i="707"/>
  <c r="G913" i="707"/>
  <c r="G986" i="707"/>
  <c r="G1023" i="707" s="1"/>
  <c r="G1081" i="707"/>
  <c r="G1124" i="707"/>
  <c r="G1138" i="707"/>
  <c r="G1146" i="707"/>
  <c r="G1202" i="707"/>
  <c r="G656" i="707"/>
  <c r="G759" i="707"/>
  <c r="G812" i="707"/>
  <c r="G205" i="706"/>
  <c r="G229" i="706"/>
  <c r="G234" i="706"/>
  <c r="G244" i="706"/>
  <c r="G289" i="706"/>
  <c r="G339" i="706"/>
  <c r="G502" i="706"/>
  <c r="G387" i="706"/>
  <c r="G503" i="706"/>
  <c r="G501" i="706"/>
  <c r="G382" i="706"/>
  <c r="G329" i="706"/>
  <c r="G357" i="706"/>
  <c r="G506" i="706"/>
  <c r="G523" i="706"/>
  <c r="G538" i="706"/>
  <c r="G1088" i="706"/>
  <c r="G1243" i="706"/>
  <c r="G1093" i="706"/>
  <c r="G1126" i="706" s="1"/>
  <c r="G986" i="706"/>
  <c r="G1023" i="706" s="1"/>
  <c r="G1081" i="706"/>
  <c r="G1124" i="706"/>
  <c r="G1138" i="706"/>
  <c r="G1146" i="706"/>
  <c r="G1202" i="706"/>
  <c r="G656" i="706"/>
  <c r="G759" i="706"/>
  <c r="G812" i="706"/>
  <c r="G215" i="705"/>
  <c r="G244" i="705"/>
  <c r="G289" i="705"/>
  <c r="G339" i="705"/>
  <c r="G503" i="705"/>
  <c r="G501" i="705"/>
  <c r="G632" i="705"/>
  <c r="G523" i="705"/>
  <c r="G205" i="705"/>
  <c r="G234" i="705"/>
  <c r="G329" i="705"/>
  <c r="G357" i="705"/>
  <c r="G507" i="705"/>
  <c r="G506" i="705"/>
  <c r="G382" i="705"/>
  <c r="G387" i="705"/>
  <c r="G538" i="705"/>
  <c r="G656" i="705"/>
  <c r="G759" i="705"/>
  <c r="G830" i="705"/>
  <c r="G812" i="705"/>
  <c r="G889" i="705"/>
  <c r="G986" i="705"/>
  <c r="G1023" i="705" s="1"/>
  <c r="G1124" i="705"/>
  <c r="G1138" i="705"/>
  <c r="G1146" i="705"/>
  <c r="G1202" i="705"/>
  <c r="G1092" i="705"/>
  <c r="G1125" i="705" s="1"/>
  <c r="G21" i="704"/>
  <c r="G649" i="704"/>
  <c r="G913" i="704"/>
  <c r="G1088" i="704"/>
  <c r="G205" i="704"/>
  <c r="G234" i="704"/>
  <c r="G329" i="704"/>
  <c r="G357" i="704"/>
  <c r="G382" i="704"/>
  <c r="G487" i="704"/>
  <c r="G506" i="704"/>
  <c r="G523" i="704"/>
  <c r="G538" i="704"/>
  <c r="G749" i="704"/>
  <c r="G656" i="704"/>
  <c r="G1243" i="704"/>
  <c r="G1093" i="704"/>
  <c r="G1126" i="704" s="1"/>
  <c r="G986" i="704"/>
  <c r="G1023" i="704" s="1"/>
  <c r="G1081" i="704"/>
  <c r="G1124" i="704"/>
  <c r="G1138" i="704"/>
  <c r="G1146" i="704"/>
  <c r="G1202" i="704"/>
  <c r="G759" i="704"/>
  <c r="G812" i="704"/>
  <c r="G215" i="703"/>
  <c r="G244" i="703"/>
  <c r="G289" i="703"/>
  <c r="G339" i="703"/>
  <c r="G1088" i="703"/>
  <c r="G205" i="703"/>
  <c r="G234" i="703"/>
  <c r="G329" i="703"/>
  <c r="G357" i="703"/>
  <c r="G382" i="703"/>
  <c r="G387" i="703"/>
  <c r="G501" i="703"/>
  <c r="G506" i="703"/>
  <c r="G523" i="703"/>
  <c r="G538" i="703"/>
  <c r="G656" i="703"/>
  <c r="G802" i="703"/>
  <c r="G759" i="703"/>
  <c r="G830" i="703"/>
  <c r="G812" i="703"/>
  <c r="G913" i="703"/>
  <c r="G889" i="703"/>
  <c r="G986" i="703"/>
  <c r="G1023" i="703" s="1"/>
  <c r="G1081" i="703"/>
  <c r="G1124" i="703"/>
  <c r="G1138" i="703"/>
  <c r="G1146" i="703"/>
  <c r="G1202" i="703"/>
  <c r="G1092" i="703"/>
  <c r="G1125" i="703" s="1"/>
  <c r="G215" i="702"/>
  <c r="G244" i="702"/>
  <c r="G289" i="702"/>
  <c r="G339" i="702"/>
  <c r="G503" i="702"/>
  <c r="G501" i="702"/>
  <c r="G632" i="702"/>
  <c r="G523" i="702"/>
  <c r="G205" i="702"/>
  <c r="G234" i="702"/>
  <c r="G329" i="702"/>
  <c r="G357" i="702"/>
  <c r="G507" i="702"/>
  <c r="G506" i="702"/>
  <c r="G382" i="702"/>
  <c r="G387" i="702"/>
  <c r="G538" i="702"/>
  <c r="G656" i="702"/>
  <c r="G759" i="702"/>
  <c r="G913" i="702"/>
  <c r="G1088" i="702"/>
  <c r="G830" i="702"/>
  <c r="G812" i="702"/>
  <c r="G889" i="702"/>
  <c r="G986" i="702"/>
  <c r="G1023" i="702" s="1"/>
  <c r="G1081" i="702"/>
  <c r="G1124" i="702"/>
  <c r="G1138" i="702"/>
  <c r="G1146" i="702"/>
  <c r="G1202" i="702"/>
  <c r="G1092" i="702"/>
  <c r="G1125" i="702" s="1"/>
  <c r="G1212" i="702" s="1"/>
  <c r="G205" i="701"/>
  <c r="G234" i="701"/>
  <c r="G244" i="701"/>
  <c r="G289" i="701"/>
  <c r="G339" i="701"/>
  <c r="G355" i="701" s="1"/>
  <c r="G502" i="701"/>
  <c r="G387" i="701"/>
  <c r="G503" i="701"/>
  <c r="G501" i="701"/>
  <c r="G382" i="701"/>
  <c r="G329" i="701"/>
  <c r="G357" i="701"/>
  <c r="G506" i="701"/>
  <c r="G523" i="701"/>
  <c r="G538" i="701"/>
  <c r="G913" i="701"/>
  <c r="G1088" i="701"/>
  <c r="G1243" i="701"/>
  <c r="G1093" i="701"/>
  <c r="G1126" i="701" s="1"/>
  <c r="G986" i="701"/>
  <c r="G1023" i="701" s="1"/>
  <c r="G1081" i="701"/>
  <c r="G1124" i="701"/>
  <c r="G1138" i="701"/>
  <c r="G1146" i="701"/>
  <c r="G1202" i="701"/>
  <c r="G656" i="701"/>
  <c r="G759" i="701"/>
  <c r="G812" i="701"/>
  <c r="G232" i="701" l="1"/>
  <c r="G1212" i="708"/>
  <c r="G232" i="708"/>
  <c r="G1213" i="701"/>
  <c r="G364" i="709"/>
  <c r="G371" i="701"/>
  <c r="G232" i="705"/>
  <c r="G1213" i="709"/>
  <c r="G1212" i="701"/>
  <c r="G232" i="702"/>
  <c r="G636" i="706"/>
  <c r="G371" i="706"/>
  <c r="G366" i="703"/>
  <c r="G752" i="702"/>
  <c r="G1213" i="706"/>
  <c r="G1212" i="706"/>
  <c r="G355" i="704"/>
  <c r="G364" i="704"/>
  <c r="G364" i="708"/>
  <c r="G363" i="703"/>
  <c r="G1212" i="705"/>
  <c r="G364" i="701"/>
  <c r="G635" i="703"/>
  <c r="G355" i="703"/>
  <c r="G364" i="705"/>
  <c r="G232" i="709"/>
  <c r="G355" i="707"/>
  <c r="G366" i="709"/>
  <c r="G1212" i="709"/>
  <c r="G635" i="708"/>
  <c r="G371" i="708"/>
  <c r="G355" i="708"/>
  <c r="G366" i="707"/>
  <c r="G805" i="706"/>
  <c r="G752" i="705"/>
  <c r="G1213" i="704"/>
  <c r="G203" i="704"/>
  <c r="G752" i="704"/>
  <c r="G232" i="703"/>
  <c r="G364" i="702"/>
  <c r="G355" i="702"/>
  <c r="G752" i="701"/>
  <c r="G203" i="708"/>
  <c r="G363" i="701"/>
  <c r="G363" i="706"/>
  <c r="G636" i="708"/>
  <c r="G636" i="707"/>
  <c r="G366" i="705"/>
  <c r="G636" i="704"/>
  <c r="G203" i="703"/>
  <c r="G636" i="705"/>
  <c r="G327" i="704"/>
  <c r="G203" i="706"/>
  <c r="G364" i="703"/>
  <c r="G203" i="702"/>
  <c r="G636" i="701"/>
  <c r="G635" i="704"/>
  <c r="G639" i="704" s="1"/>
  <c r="G364" i="706"/>
  <c r="G752" i="703"/>
  <c r="G355" i="705"/>
  <c r="G1093" i="707"/>
  <c r="G1126" i="707" s="1"/>
  <c r="G1213" i="707" s="1"/>
  <c r="G636" i="703"/>
  <c r="G363" i="708"/>
  <c r="G752" i="709"/>
  <c r="G364" i="707"/>
  <c r="G1212" i="704"/>
  <c r="G805" i="701"/>
  <c r="G635" i="701"/>
  <c r="G805" i="702"/>
  <c r="G1212" i="703"/>
  <c r="G805" i="703"/>
  <c r="G805" i="704"/>
  <c r="G635" i="706"/>
  <c r="G1213" i="708"/>
  <c r="G363" i="709"/>
  <c r="G636" i="709"/>
  <c r="G371" i="709"/>
  <c r="G366" i="704"/>
  <c r="G1211" i="705"/>
  <c r="G203" i="705"/>
  <c r="G232" i="707"/>
  <c r="G1211" i="701"/>
  <c r="G752" i="707"/>
  <c r="G635" i="707"/>
  <c r="G805" i="709"/>
  <c r="G635" i="709"/>
  <c r="G232" i="706"/>
  <c r="G232" i="704"/>
  <c r="G512" i="702"/>
  <c r="G203" i="707"/>
  <c r="G509" i="704"/>
  <c r="G752" i="706"/>
  <c r="G355" i="706"/>
  <c r="G805" i="708"/>
  <c r="G1088" i="708"/>
  <c r="G636" i="702"/>
  <c r="G509" i="701"/>
  <c r="G1223" i="701"/>
  <c r="G1211" i="704"/>
  <c r="G805" i="705"/>
  <c r="G805" i="707"/>
  <c r="G509" i="707"/>
  <c r="G752" i="708"/>
  <c r="G327" i="709"/>
  <c r="G512" i="704"/>
  <c r="G366" i="701"/>
  <c r="G512" i="701"/>
  <c r="G203" i="701"/>
  <c r="G1211" i="709"/>
  <c r="G366" i="708"/>
  <c r="G372" i="703"/>
  <c r="G327" i="701"/>
  <c r="G635" i="702"/>
  <c r="G635" i="705"/>
  <c r="G1208" i="706"/>
  <c r="G509" i="706"/>
  <c r="G327" i="706"/>
  <c r="G203" i="709"/>
  <c r="G512" i="709"/>
  <c r="G372" i="707"/>
  <c r="G512" i="707"/>
  <c r="G372" i="706"/>
  <c r="G363" i="704"/>
  <c r="G512" i="703"/>
  <c r="G366" i="706"/>
  <c r="G372" i="704"/>
  <c r="G371" i="703"/>
  <c r="G372" i="702"/>
  <c r="G512" i="706"/>
  <c r="G372" i="701"/>
  <c r="G1208" i="702"/>
  <c r="G327" i="702"/>
  <c r="G1211" i="707"/>
  <c r="G327" i="707"/>
  <c r="G1211" i="708"/>
  <c r="G372" i="708"/>
  <c r="G355" i="709"/>
  <c r="G372" i="709"/>
  <c r="G371" i="707"/>
  <c r="G363" i="702"/>
  <c r="G372" i="705"/>
  <c r="G512" i="705"/>
  <c r="G371" i="702"/>
  <c r="G366" i="702"/>
  <c r="G1211" i="703"/>
  <c r="G509" i="703"/>
  <c r="G1212" i="707"/>
  <c r="G363" i="707"/>
  <c r="G371" i="704"/>
  <c r="G363" i="705"/>
  <c r="G1223" i="706"/>
  <c r="G1208" i="709"/>
  <c r="G1094" i="709"/>
  <c r="G1127" i="709" s="1"/>
  <c r="G1214" i="709" s="1"/>
  <c r="G509" i="709"/>
  <c r="G370" i="709"/>
  <c r="G512" i="708"/>
  <c r="G1208" i="708"/>
  <c r="G1094" i="708"/>
  <c r="G1127" i="708" s="1"/>
  <c r="G1214" i="708" s="1"/>
  <c r="G327" i="708"/>
  <c r="G509" i="708"/>
  <c r="G370" i="708"/>
  <c r="G1208" i="707"/>
  <c r="G370" i="707"/>
  <c r="G1094" i="706"/>
  <c r="G1211" i="706"/>
  <c r="G370" i="706"/>
  <c r="G1243" i="705"/>
  <c r="G1093" i="705"/>
  <c r="G1126" i="705" s="1"/>
  <c r="G1213" i="705" s="1"/>
  <c r="G327" i="705"/>
  <c r="G1208" i="705"/>
  <c r="G1094" i="705"/>
  <c r="G1127" i="705" s="1"/>
  <c r="G1214" i="705" s="1"/>
  <c r="G509" i="705"/>
  <c r="G370" i="705"/>
  <c r="G370" i="704"/>
  <c r="G1208" i="704"/>
  <c r="G1094" i="704"/>
  <c r="G1127" i="704" s="1"/>
  <c r="G1214" i="704" s="1"/>
  <c r="G1223" i="704"/>
  <c r="G892" i="704"/>
  <c r="G1208" i="703"/>
  <c r="G1094" i="703"/>
  <c r="G1127" i="703" s="1"/>
  <c r="G1214" i="703" s="1"/>
  <c r="G327" i="703"/>
  <c r="G1243" i="703"/>
  <c r="G1093" i="703"/>
  <c r="G1126" i="703" s="1"/>
  <c r="G1213" i="703" s="1"/>
  <c r="G370" i="703"/>
  <c r="G1211" i="702"/>
  <c r="G1243" i="702"/>
  <c r="G1093" i="702"/>
  <c r="G1126" i="702" s="1"/>
  <c r="G1213" i="702" s="1"/>
  <c r="G1094" i="702"/>
  <c r="G1127" i="702" s="1"/>
  <c r="G1214" i="702" s="1"/>
  <c r="G509" i="702"/>
  <c r="G370" i="702"/>
  <c r="G1208" i="701"/>
  <c r="G1094" i="701"/>
  <c r="G1127" i="701" s="1"/>
  <c r="G1214" i="701" s="1"/>
  <c r="G892" i="701"/>
  <c r="G370" i="701"/>
  <c r="G639" i="706" l="1"/>
  <c r="G639" i="708"/>
  <c r="G368" i="704"/>
  <c r="G368" i="708"/>
  <c r="G368" i="705"/>
  <c r="G639" i="701"/>
  <c r="G639" i="705"/>
  <c r="G639" i="709"/>
  <c r="G639" i="703"/>
  <c r="G639" i="707"/>
  <c r="G368" i="703"/>
  <c r="G639" i="702"/>
  <c r="G368" i="702"/>
  <c r="G892" i="706"/>
  <c r="G368" i="701"/>
  <c r="G368" i="706"/>
  <c r="G1094" i="707"/>
  <c r="G1127" i="707" s="1"/>
  <c r="G1214" i="707" s="1"/>
  <c r="G368" i="707"/>
  <c r="G368" i="709"/>
  <c r="G892" i="708"/>
  <c r="G1223" i="708"/>
  <c r="G1223" i="709"/>
  <c r="G892" i="709"/>
  <c r="G1222" i="709"/>
  <c r="G1095" i="709"/>
  <c r="G1130" i="709" s="1"/>
  <c r="G1217" i="709" s="1"/>
  <c r="G1222" i="708"/>
  <c r="G1095" i="708"/>
  <c r="G1130" i="708" s="1"/>
  <c r="G1217" i="708" s="1"/>
  <c r="G1222" i="707"/>
  <c r="G1222" i="706"/>
  <c r="G1127" i="706"/>
  <c r="G1214" i="706" s="1"/>
  <c r="G1095" i="706"/>
  <c r="G1130" i="706" s="1"/>
  <c r="G1217" i="706" s="1"/>
  <c r="G1222" i="705"/>
  <c r="G1095" i="705"/>
  <c r="G1130" i="705" s="1"/>
  <c r="G1217" i="705" s="1"/>
  <c r="G1223" i="705"/>
  <c r="G892" i="705"/>
  <c r="G1222" i="704"/>
  <c r="G1095" i="704"/>
  <c r="G1130" i="704" s="1"/>
  <c r="G1217" i="704" s="1"/>
  <c r="G1222" i="703"/>
  <c r="G1223" i="703"/>
  <c r="G892" i="703"/>
  <c r="G1095" i="703"/>
  <c r="G1130" i="703" s="1"/>
  <c r="G1217" i="703" s="1"/>
  <c r="G1222" i="702"/>
  <c r="G1095" i="702"/>
  <c r="G1130" i="702" s="1"/>
  <c r="G1217" i="702" s="1"/>
  <c r="G1223" i="702"/>
  <c r="G892" i="702"/>
  <c r="G1222" i="701"/>
  <c r="G1095" i="701"/>
  <c r="G1130" i="701" s="1"/>
  <c r="G1217" i="701" s="1"/>
  <c r="G1095" i="707" l="1"/>
  <c r="G1130" i="707" s="1"/>
  <c r="G1217" i="707" s="1"/>
  <c r="G1230" i="706"/>
  <c r="G1232" i="706" l="1"/>
  <c r="AU1243" i="3" l="1"/>
  <c r="AU1242" i="3"/>
  <c r="AG359" i="3" l="1"/>
  <c r="AG358" i="3"/>
  <c r="AG357" i="3"/>
  <c r="AG354" i="3"/>
  <c r="AG353" i="3"/>
  <c r="AG348" i="3"/>
  <c r="AG339" i="3"/>
  <c r="AG236" i="3"/>
  <c r="AG234" i="3"/>
  <c r="AF359" i="3"/>
  <c r="AF358" i="3"/>
  <c r="AF357" i="3"/>
  <c r="AF354" i="3"/>
  <c r="AF353" i="3"/>
  <c r="AF348" i="3"/>
  <c r="AF339" i="3"/>
  <c r="AF236" i="3"/>
  <c r="AF234" i="3"/>
  <c r="AE359" i="3"/>
  <c r="AE358" i="3"/>
  <c r="AE357" i="3"/>
  <c r="AE354" i="3"/>
  <c r="AE353" i="3"/>
  <c r="AE348" i="3"/>
  <c r="AE339" i="3"/>
  <c r="AE236" i="3"/>
  <c r="AE234" i="3"/>
  <c r="AD359" i="3"/>
  <c r="AD358" i="3"/>
  <c r="AD357" i="3"/>
  <c r="AD354" i="3"/>
  <c r="AD353" i="3"/>
  <c r="AD348" i="3"/>
  <c r="AD339" i="3"/>
  <c r="AD236" i="3"/>
  <c r="AD234" i="3"/>
  <c r="AC359" i="3"/>
  <c r="AC358" i="3"/>
  <c r="AC357" i="3"/>
  <c r="AC354" i="3"/>
  <c r="AC353" i="3"/>
  <c r="AC348" i="3"/>
  <c r="AC339" i="3"/>
  <c r="AC236" i="3"/>
  <c r="AC234" i="3"/>
  <c r="AB359" i="3"/>
  <c r="AB358" i="3"/>
  <c r="AB357" i="3"/>
  <c r="AB354" i="3"/>
  <c r="AB353" i="3"/>
  <c r="AB348" i="3"/>
  <c r="AB339" i="3"/>
  <c r="AB236" i="3"/>
  <c r="AB234" i="3"/>
  <c r="AA359" i="3"/>
  <c r="AA358" i="3"/>
  <c r="AA357" i="3"/>
  <c r="AA354" i="3"/>
  <c r="AA353" i="3"/>
  <c r="AA348" i="3"/>
  <c r="AA339" i="3"/>
  <c r="AA236" i="3"/>
  <c r="AA234" i="3"/>
  <c r="Z359" i="3"/>
  <c r="Z358" i="3"/>
  <c r="Z357" i="3"/>
  <c r="Z354" i="3"/>
  <c r="Z353" i="3"/>
  <c r="Z348" i="3"/>
  <c r="Z339" i="3"/>
  <c r="Z236" i="3"/>
  <c r="Z234" i="3"/>
  <c r="Y359" i="3"/>
  <c r="Y358" i="3"/>
  <c r="Y357" i="3"/>
  <c r="Y354" i="3"/>
  <c r="Y353" i="3"/>
  <c r="Y348" i="3"/>
  <c r="Y339" i="3"/>
  <c r="Y236" i="3"/>
  <c r="Y234" i="3"/>
  <c r="X359" i="3"/>
  <c r="X358" i="3"/>
  <c r="X357" i="3"/>
  <c r="X354" i="3"/>
  <c r="X353" i="3"/>
  <c r="X348" i="3"/>
  <c r="X339" i="3"/>
  <c r="X236" i="3"/>
  <c r="X234" i="3"/>
  <c r="A1" i="686"/>
  <c r="G1246" i="698"/>
  <c r="G1245" i="698"/>
  <c r="G1229" i="698"/>
  <c r="G1228" i="698"/>
  <c r="G1227" i="698"/>
  <c r="G1224" i="698"/>
  <c r="G1198" i="698"/>
  <c r="G1199" i="698" s="1"/>
  <c r="G1194" i="698"/>
  <c r="G1193" i="698"/>
  <c r="G1192" i="698"/>
  <c r="G1191" i="698"/>
  <c r="G1187" i="698"/>
  <c r="G1186" i="698"/>
  <c r="G1185" i="698"/>
  <c r="G1184" i="698"/>
  <c r="G1180" i="698"/>
  <c r="G1179" i="698"/>
  <c r="G1178" i="698"/>
  <c r="G1177" i="698"/>
  <c r="G1173" i="698"/>
  <c r="G1174" i="698" s="1"/>
  <c r="G1169" i="698"/>
  <c r="G1168" i="698"/>
  <c r="G1164" i="698"/>
  <c r="G1163" i="698"/>
  <c r="G1159" i="698"/>
  <c r="G1158" i="698"/>
  <c r="G1157" i="698"/>
  <c r="G1156" i="698"/>
  <c r="G1152" i="698"/>
  <c r="G1151" i="698"/>
  <c r="G1150" i="698"/>
  <c r="G1149" i="698"/>
  <c r="G1145" i="698"/>
  <c r="G1141" i="698"/>
  <c r="G1142" i="698" s="1"/>
  <c r="G1137" i="698"/>
  <c r="G1136" i="698"/>
  <c r="G1119" i="698"/>
  <c r="G1118" i="698"/>
  <c r="G1117" i="698"/>
  <c r="G1116" i="698"/>
  <c r="G1112" i="698"/>
  <c r="G1111" i="698"/>
  <c r="G1110" i="698"/>
  <c r="G1109" i="698"/>
  <c r="G1105" i="698"/>
  <c r="G1104" i="698"/>
  <c r="G1103" i="698"/>
  <c r="G1102" i="698"/>
  <c r="G1098" i="698"/>
  <c r="G1099" i="698" s="1"/>
  <c r="G1242" i="698"/>
  <c r="G1091" i="698"/>
  <c r="G964" i="698" s="1"/>
  <c r="G1086" i="698"/>
  <c r="G1085" i="698"/>
  <c r="G1084" i="698"/>
  <c r="G1081" i="698"/>
  <c r="G1080" i="698"/>
  <c r="G1079" i="698"/>
  <c r="G1078" i="698"/>
  <c r="G1075" i="698"/>
  <c r="G1074" i="698"/>
  <c r="G1073" i="698"/>
  <c r="G1070" i="698"/>
  <c r="G1069" i="698"/>
  <c r="G1068" i="698"/>
  <c r="G1067" i="698"/>
  <c r="G1064" i="698"/>
  <c r="G1063" i="698"/>
  <c r="G1062" i="698"/>
  <c r="G1061" i="698"/>
  <c r="G1058" i="698"/>
  <c r="G1057" i="698"/>
  <c r="G1056" i="698"/>
  <c r="G1055" i="698"/>
  <c r="G1052" i="698"/>
  <c r="G1051" i="698"/>
  <c r="G1050" i="698"/>
  <c r="G1047" i="698"/>
  <c r="G1046" i="698"/>
  <c r="G1045" i="698"/>
  <c r="G1044" i="698"/>
  <c r="G1041" i="698"/>
  <c r="G1040" i="698"/>
  <c r="G1039" i="698"/>
  <c r="G1038" i="698"/>
  <c r="G1035" i="698"/>
  <c r="G1034" i="698"/>
  <c r="G1033" i="698"/>
  <c r="G1032" i="698"/>
  <c r="G1029" i="698"/>
  <c r="G1028" i="698"/>
  <c r="G1027" i="698"/>
  <c r="G1021" i="698"/>
  <c r="G1020" i="698"/>
  <c r="G1019" i="698"/>
  <c r="G1016" i="698"/>
  <c r="G1015" i="698"/>
  <c r="G1014" i="698"/>
  <c r="G1011" i="698"/>
  <c r="G1010" i="698"/>
  <c r="G1009" i="698"/>
  <c r="G1006" i="698"/>
  <c r="G1005" i="698"/>
  <c r="G1004" i="698"/>
  <c r="G1001" i="698"/>
  <c r="G1000" i="698"/>
  <c r="G999" i="698"/>
  <c r="G996" i="698"/>
  <c r="G995" i="698"/>
  <c r="G994" i="698"/>
  <c r="G991" i="698"/>
  <c r="G990" i="698"/>
  <c r="G989" i="698"/>
  <c r="G985" i="698"/>
  <c r="G984" i="698"/>
  <c r="G983" i="698"/>
  <c r="G982" i="698"/>
  <c r="G981" i="698"/>
  <c r="G980" i="698"/>
  <c r="G979" i="698"/>
  <c r="G978" i="698"/>
  <c r="G975" i="698"/>
  <c r="G974" i="698"/>
  <c r="G973" i="698"/>
  <c r="G970" i="698"/>
  <c r="G969" i="698"/>
  <c r="G968" i="698"/>
  <c r="G962" i="698"/>
  <c r="G961" i="698"/>
  <c r="G960" i="698"/>
  <c r="G959" i="698"/>
  <c r="G958" i="698"/>
  <c r="G957" i="698"/>
  <c r="G956" i="698"/>
  <c r="G953" i="698"/>
  <c r="G951" i="698"/>
  <c r="G950" i="698"/>
  <c r="G931" i="698"/>
  <c r="G929" i="698"/>
  <c r="G927" i="698"/>
  <c r="G925" i="698"/>
  <c r="G1225" i="698"/>
  <c r="G920" i="698"/>
  <c r="G919" i="698"/>
  <c r="G918" i="698"/>
  <c r="G917" i="698"/>
  <c r="G910" i="698"/>
  <c r="G909" i="698"/>
  <c r="G908" i="698"/>
  <c r="G907" i="698"/>
  <c r="G903" i="698"/>
  <c r="G902" i="698"/>
  <c r="G901" i="698"/>
  <c r="G900" i="698"/>
  <c r="G887" i="698"/>
  <c r="G886" i="698"/>
  <c r="G884" i="698"/>
  <c r="G883" i="698"/>
  <c r="G882" i="698"/>
  <c r="G880" i="698"/>
  <c r="G879" i="698"/>
  <c r="G878" i="698"/>
  <c r="G876" i="698"/>
  <c r="G875" i="698"/>
  <c r="G874" i="698"/>
  <c r="G872" i="698"/>
  <c r="G871" i="698"/>
  <c r="G870" i="698"/>
  <c r="G868" i="698"/>
  <c r="G867" i="698"/>
  <c r="G866" i="698"/>
  <c r="G864" i="698"/>
  <c r="G863" i="698"/>
  <c r="G862" i="698"/>
  <c r="G860" i="698"/>
  <c r="G859" i="698"/>
  <c r="G858" i="698"/>
  <c r="G856" i="698"/>
  <c r="G855" i="698"/>
  <c r="G854" i="698"/>
  <c r="G852" i="698"/>
  <c r="G851" i="698"/>
  <c r="G850" i="698"/>
  <c r="G848" i="698"/>
  <c r="G847" i="698"/>
  <c r="G846" i="698"/>
  <c r="G844" i="698"/>
  <c r="G843" i="698"/>
  <c r="G842" i="698"/>
  <c r="G840" i="698"/>
  <c r="G839" i="698"/>
  <c r="G838" i="698"/>
  <c r="G826" i="698"/>
  <c r="G825" i="698"/>
  <c r="G821" i="698"/>
  <c r="G820" i="698"/>
  <c r="G816" i="698"/>
  <c r="G815" i="698"/>
  <c r="G811" i="698"/>
  <c r="G810" i="698"/>
  <c r="G798" i="698"/>
  <c r="G797" i="698"/>
  <c r="G793" i="698"/>
  <c r="G792" i="698"/>
  <c r="G788" i="698"/>
  <c r="G787" i="698"/>
  <c r="G783" i="698"/>
  <c r="G782" i="698"/>
  <c r="G778" i="698"/>
  <c r="G777" i="698"/>
  <c r="G773" i="698"/>
  <c r="G772" i="698"/>
  <c r="G768" i="698"/>
  <c r="G767" i="698"/>
  <c r="G763" i="698"/>
  <c r="G762" i="698"/>
  <c r="G758" i="698"/>
  <c r="G757" i="698"/>
  <c r="G745" i="698"/>
  <c r="G744" i="698"/>
  <c r="G740" i="698"/>
  <c r="G739" i="698"/>
  <c r="G735" i="698"/>
  <c r="G734" i="698"/>
  <c r="G730" i="698"/>
  <c r="G729" i="698"/>
  <c r="G725" i="698"/>
  <c r="G724" i="698"/>
  <c r="G720" i="698"/>
  <c r="G719" i="698"/>
  <c r="G715" i="698"/>
  <c r="G714" i="698"/>
  <c r="G710" i="698"/>
  <c r="G709" i="698"/>
  <c r="G705" i="698"/>
  <c r="G704" i="698"/>
  <c r="G700" i="698"/>
  <c r="G699" i="698"/>
  <c r="G695" i="698"/>
  <c r="G694" i="698"/>
  <c r="G690" i="698"/>
  <c r="G689" i="698"/>
  <c r="G685" i="698"/>
  <c r="G684" i="698"/>
  <c r="G680" i="698"/>
  <c r="G679" i="698"/>
  <c r="G675" i="698"/>
  <c r="G674" i="698"/>
  <c r="G670" i="698"/>
  <c r="G669" i="698"/>
  <c r="G665" i="698"/>
  <c r="G664" i="698"/>
  <c r="G660" i="698"/>
  <c r="G659" i="698"/>
  <c r="G655" i="698"/>
  <c r="G654" i="698"/>
  <c r="G647" i="698"/>
  <c r="G646" i="698"/>
  <c r="G627" i="698"/>
  <c r="G626" i="698"/>
  <c r="G622" i="698"/>
  <c r="G621" i="698"/>
  <c r="G617" i="698"/>
  <c r="G616" i="698"/>
  <c r="G612" i="698"/>
  <c r="G611" i="698"/>
  <c r="G607" i="698"/>
  <c r="G606" i="698"/>
  <c r="G602" i="698"/>
  <c r="G601" i="698"/>
  <c r="G597" i="698"/>
  <c r="G596" i="698"/>
  <c r="G592" i="698"/>
  <c r="G591" i="698"/>
  <c r="G587" i="698"/>
  <c r="G586" i="698"/>
  <c r="G582" i="698"/>
  <c r="G581" i="698"/>
  <c r="G577" i="698"/>
  <c r="G576" i="698"/>
  <c r="G572" i="698"/>
  <c r="G571" i="698"/>
  <c r="G567" i="698"/>
  <c r="G566" i="698"/>
  <c r="G562" i="698"/>
  <c r="G561" i="698"/>
  <c r="G557" i="698"/>
  <c r="G556" i="698"/>
  <c r="G552" i="698"/>
  <c r="G551" i="698"/>
  <c r="G547" i="698"/>
  <c r="G546" i="698"/>
  <c r="G542" i="698"/>
  <c r="G541" i="698"/>
  <c r="G537" i="698"/>
  <c r="G536" i="698"/>
  <c r="G532" i="698"/>
  <c r="G531" i="698"/>
  <c r="G527" i="698"/>
  <c r="G526" i="698"/>
  <c r="G522" i="698"/>
  <c r="G521" i="698"/>
  <c r="G496" i="698"/>
  <c r="G495" i="698"/>
  <c r="G491" i="698"/>
  <c r="G490" i="698"/>
  <c r="G486" i="698"/>
  <c r="G485" i="698"/>
  <c r="G481" i="698"/>
  <c r="G480" i="698"/>
  <c r="G476" i="698"/>
  <c r="G475" i="698"/>
  <c r="G471" i="698"/>
  <c r="G470" i="698"/>
  <c r="G466" i="698"/>
  <c r="G465" i="698"/>
  <c r="G461" i="698"/>
  <c r="G460" i="698"/>
  <c r="G456" i="698"/>
  <c r="G455" i="698"/>
  <c r="G451" i="698"/>
  <c r="G450" i="698"/>
  <c r="G446" i="698"/>
  <c r="G445" i="698"/>
  <c r="G441" i="698"/>
  <c r="G440" i="698"/>
  <c r="G436" i="698"/>
  <c r="G435" i="698"/>
  <c r="G431" i="698"/>
  <c r="G430" i="698"/>
  <c r="G426" i="698"/>
  <c r="G425" i="698"/>
  <c r="G421" i="698"/>
  <c r="G420" i="698"/>
  <c r="G416" i="698"/>
  <c r="G415" i="698"/>
  <c r="G411" i="698"/>
  <c r="G410" i="698"/>
  <c r="G406" i="698"/>
  <c r="G405" i="698"/>
  <c r="G401" i="698"/>
  <c r="G400" i="698"/>
  <c r="G396" i="698"/>
  <c r="G395" i="698"/>
  <c r="G391" i="698"/>
  <c r="G390" i="698"/>
  <c r="G386" i="698"/>
  <c r="G385" i="698"/>
  <c r="G381" i="698"/>
  <c r="G380" i="698"/>
  <c r="G354" i="698"/>
  <c r="G350" i="698"/>
  <c r="G358" i="698" s="1"/>
  <c r="G347" i="698"/>
  <c r="G345" i="698"/>
  <c r="G343" i="698"/>
  <c r="G341" i="698"/>
  <c r="G338" i="698"/>
  <c r="G336" i="698"/>
  <c r="G334" i="698"/>
  <c r="G321" i="698"/>
  <c r="G320" i="698"/>
  <c r="G318" i="698"/>
  <c r="G315" i="698"/>
  <c r="G313" i="698"/>
  <c r="G311" i="698"/>
  <c r="G309" i="698"/>
  <c r="G306" i="698"/>
  <c r="G304" i="698"/>
  <c r="G302" i="698"/>
  <c r="G300" i="698"/>
  <c r="G297" i="698"/>
  <c r="G295" i="698"/>
  <c r="G293" i="698"/>
  <c r="G291" i="698"/>
  <c r="G288" i="698"/>
  <c r="G286" i="698"/>
  <c r="G284" i="698"/>
  <c r="G282" i="698"/>
  <c r="G279" i="698"/>
  <c r="G277" i="698"/>
  <c r="G275" i="698"/>
  <c r="G273" i="698"/>
  <c r="G270" i="698"/>
  <c r="G268" i="698"/>
  <c r="G266" i="698"/>
  <c r="G264" i="698"/>
  <c r="G261" i="698"/>
  <c r="G259" i="698"/>
  <c r="G257" i="698"/>
  <c r="G255" i="698"/>
  <c r="G252" i="698"/>
  <c r="G250" i="698"/>
  <c r="G248" i="698"/>
  <c r="G246" i="698"/>
  <c r="G243" i="698"/>
  <c r="G241" i="698"/>
  <c r="G239" i="698"/>
  <c r="G226" i="698"/>
  <c r="G223" i="698"/>
  <c r="G221" i="698"/>
  <c r="G219" i="698"/>
  <c r="G217" i="698"/>
  <c r="G214" i="698"/>
  <c r="G212" i="698"/>
  <c r="G210" i="698"/>
  <c r="G197" i="698"/>
  <c r="G196" i="698"/>
  <c r="G194" i="698"/>
  <c r="G191" i="698"/>
  <c r="G189" i="698"/>
  <c r="G187" i="698"/>
  <c r="G185" i="698"/>
  <c r="G182" i="698"/>
  <c r="G180" i="698"/>
  <c r="G178" i="698"/>
  <c r="G176" i="698"/>
  <c r="G173" i="698"/>
  <c r="G171" i="698"/>
  <c r="G169" i="698"/>
  <c r="G167" i="698"/>
  <c r="G164" i="698"/>
  <c r="G162" i="698"/>
  <c r="G160" i="698"/>
  <c r="G158" i="698"/>
  <c r="G155" i="698"/>
  <c r="G153" i="698"/>
  <c r="G151" i="698"/>
  <c r="G149" i="698"/>
  <c r="G146" i="698"/>
  <c r="G144" i="698"/>
  <c r="G142" i="698"/>
  <c r="G140" i="698"/>
  <c r="G137" i="698"/>
  <c r="G135" i="698"/>
  <c r="G133" i="698"/>
  <c r="G131" i="698"/>
  <c r="G128" i="698"/>
  <c r="G126" i="698"/>
  <c r="G124" i="698"/>
  <c r="G122" i="698"/>
  <c r="G119" i="698"/>
  <c r="G117" i="698"/>
  <c r="G115" i="698"/>
  <c r="G113" i="698"/>
  <c r="G110" i="698"/>
  <c r="G108" i="698"/>
  <c r="G106" i="698"/>
  <c r="G104" i="698"/>
  <c r="G101" i="698"/>
  <c r="G99" i="698"/>
  <c r="G97" i="698"/>
  <c r="G95" i="698"/>
  <c r="G92" i="698"/>
  <c r="G90" i="698"/>
  <c r="G88" i="698"/>
  <c r="G86" i="698"/>
  <c r="G83" i="698"/>
  <c r="G81" i="698"/>
  <c r="G79" i="698"/>
  <c r="G77" i="698"/>
  <c r="G74" i="698"/>
  <c r="G72" i="698"/>
  <c r="G70" i="698"/>
  <c r="G68" i="698"/>
  <c r="G65" i="698"/>
  <c r="G63" i="698"/>
  <c r="G61" i="698"/>
  <c r="G59" i="698"/>
  <c r="G56" i="698"/>
  <c r="G55" i="698"/>
  <c r="G54" i="698"/>
  <c r="G53" i="698"/>
  <c r="G52" i="698"/>
  <c r="G50" i="698"/>
  <c r="G47" i="698"/>
  <c r="G45" i="698"/>
  <c r="G43" i="698"/>
  <c r="G41" i="698"/>
  <c r="G39" i="698"/>
  <c r="G38" i="698"/>
  <c r="G36" i="698"/>
  <c r="G34" i="698"/>
  <c r="G32" i="698"/>
  <c r="G30" i="698"/>
  <c r="G29" i="698"/>
  <c r="G27" i="698"/>
  <c r="G25" i="698"/>
  <c r="G23" i="698"/>
  <c r="G20" i="698"/>
  <c r="G18" i="698"/>
  <c r="G16" i="698"/>
  <c r="A1" i="698"/>
  <c r="G1246" i="697"/>
  <c r="G1245" i="697"/>
  <c r="G1229" i="697"/>
  <c r="G1228" i="697"/>
  <c r="G1227" i="697"/>
  <c r="G1224" i="697"/>
  <c r="G1198" i="697"/>
  <c r="G1199" i="697" s="1"/>
  <c r="G1194" i="697"/>
  <c r="G1193" i="697"/>
  <c r="G1192" i="697"/>
  <c r="G1191" i="697"/>
  <c r="G1187" i="697"/>
  <c r="G1186" i="697"/>
  <c r="G1185" i="697"/>
  <c r="G1184" i="697"/>
  <c r="G1180" i="697"/>
  <c r="G1179" i="697"/>
  <c r="G1178" i="697"/>
  <c r="G1177" i="697"/>
  <c r="G1173" i="697"/>
  <c r="G1174" i="697" s="1"/>
  <c r="G1169" i="697"/>
  <c r="G1168" i="697"/>
  <c r="G1164" i="697"/>
  <c r="G1163" i="697"/>
  <c r="G1159" i="697"/>
  <c r="G1158" i="697"/>
  <c r="G1157" i="697"/>
  <c r="G1156" i="697"/>
  <c r="G1152" i="697"/>
  <c r="G1151" i="697"/>
  <c r="G1150" i="697"/>
  <c r="G1149" i="697"/>
  <c r="G1145" i="697"/>
  <c r="G1141" i="697"/>
  <c r="G1142" i="697" s="1"/>
  <c r="G1137" i="697"/>
  <c r="G1136" i="697"/>
  <c r="G1119" i="697"/>
  <c r="G1118" i="697"/>
  <c r="G1117" i="697"/>
  <c r="G1116" i="697"/>
  <c r="G1112" i="697"/>
  <c r="G1111" i="697"/>
  <c r="G1110" i="697"/>
  <c r="G1109" i="697"/>
  <c r="G1105" i="697"/>
  <c r="G1104" i="697"/>
  <c r="G1103" i="697"/>
  <c r="G1102" i="697"/>
  <c r="G1098" i="697"/>
  <c r="G1099" i="697" s="1"/>
  <c r="G1091" i="697"/>
  <c r="G964" i="697" s="1"/>
  <c r="G1086" i="697"/>
  <c r="G1085" i="697"/>
  <c r="G1084" i="697"/>
  <c r="G1080" i="697"/>
  <c r="G1079" i="697"/>
  <c r="G1078" i="697"/>
  <c r="G1075" i="697"/>
  <c r="G1074" i="697"/>
  <c r="G1073" i="697"/>
  <c r="G1070" i="697"/>
  <c r="G1069" i="697"/>
  <c r="G1068" i="697"/>
  <c r="G1067" i="697"/>
  <c r="G1064" i="697"/>
  <c r="G1063" i="697"/>
  <c r="G1062" i="697"/>
  <c r="G1061" i="697"/>
  <c r="G1058" i="697"/>
  <c r="G1057" i="697"/>
  <c r="G1056" i="697"/>
  <c r="G1055" i="697"/>
  <c r="G1052" i="697"/>
  <c r="G1051" i="697"/>
  <c r="G1050" i="697"/>
  <c r="G1047" i="697"/>
  <c r="G1046" i="697"/>
  <c r="G1045" i="697"/>
  <c r="G1044" i="697"/>
  <c r="G1041" i="697"/>
  <c r="G1040" i="697"/>
  <c r="G1039" i="697"/>
  <c r="G1038" i="697"/>
  <c r="G1035" i="697"/>
  <c r="G1034" i="697"/>
  <c r="G1033" i="697"/>
  <c r="G1032" i="697"/>
  <c r="G1029" i="697"/>
  <c r="G1028" i="697"/>
  <c r="G1027" i="697"/>
  <c r="G1021" i="697"/>
  <c r="G1020" i="697"/>
  <c r="G1019" i="697"/>
  <c r="G1016" i="697"/>
  <c r="G1015" i="697"/>
  <c r="G1014" i="697"/>
  <c r="G1011" i="697"/>
  <c r="G1010" i="697"/>
  <c r="G1009" i="697"/>
  <c r="G1006" i="697"/>
  <c r="G1005" i="697"/>
  <c r="G1004" i="697"/>
  <c r="G1001" i="697"/>
  <c r="G1000" i="697"/>
  <c r="G999" i="697"/>
  <c r="G996" i="697"/>
  <c r="G995" i="697"/>
  <c r="G994" i="697"/>
  <c r="G991" i="697"/>
  <c r="G990" i="697"/>
  <c r="G989" i="697"/>
  <c r="G984" i="697"/>
  <c r="G983" i="697"/>
  <c r="G982" i="697"/>
  <c r="G981" i="697"/>
  <c r="G980" i="697"/>
  <c r="G979" i="697"/>
  <c r="G978" i="697"/>
  <c r="G975" i="697"/>
  <c r="G974" i="697"/>
  <c r="G973" i="697"/>
  <c r="G970" i="697"/>
  <c r="G969" i="697"/>
  <c r="G968" i="697"/>
  <c r="G962" i="697"/>
  <c r="G961" i="697"/>
  <c r="G960" i="697"/>
  <c r="G959" i="697"/>
  <c r="G958" i="697"/>
  <c r="G957" i="697"/>
  <c r="G956" i="697"/>
  <c r="G953" i="697"/>
  <c r="G951" i="697"/>
  <c r="G950" i="697"/>
  <c r="G931" i="697"/>
  <c r="G929" i="697"/>
  <c r="G927" i="697"/>
  <c r="G925" i="697"/>
  <c r="G1225" i="697"/>
  <c r="G920" i="697"/>
  <c r="G919" i="697"/>
  <c r="G918" i="697"/>
  <c r="G917" i="697"/>
  <c r="G910" i="697"/>
  <c r="G909" i="697"/>
  <c r="G908" i="697"/>
  <c r="G907" i="697"/>
  <c r="G903" i="697"/>
  <c r="G902" i="697"/>
  <c r="G901" i="697"/>
  <c r="G900" i="697"/>
  <c r="G887" i="697"/>
  <c r="G884" i="697"/>
  <c r="G883" i="697"/>
  <c r="G882" i="697"/>
  <c r="G880" i="697"/>
  <c r="G879" i="697"/>
  <c r="G878" i="697"/>
  <c r="G876" i="697"/>
  <c r="G875" i="697"/>
  <c r="G874" i="697"/>
  <c r="G872" i="697"/>
  <c r="G871" i="697"/>
  <c r="G870" i="697"/>
  <c r="G868" i="697"/>
  <c r="G867" i="697"/>
  <c r="G866" i="697"/>
  <c r="G864" i="697"/>
  <c r="G863" i="697"/>
  <c r="G862" i="697"/>
  <c r="G860" i="697"/>
  <c r="G859" i="697"/>
  <c r="G858" i="697"/>
  <c r="G856" i="697"/>
  <c r="G855" i="697"/>
  <c r="G854" i="697"/>
  <c r="G852" i="697"/>
  <c r="G851" i="697"/>
  <c r="G850" i="697"/>
  <c r="G848" i="697"/>
  <c r="G847" i="697"/>
  <c r="G846" i="697"/>
  <c r="G844" i="697"/>
  <c r="G843" i="697"/>
  <c r="G842" i="697"/>
  <c r="G840" i="697"/>
  <c r="G839" i="697"/>
  <c r="G838" i="697"/>
  <c r="G826" i="697"/>
  <c r="G825" i="697"/>
  <c r="G821" i="697"/>
  <c r="G820" i="697"/>
  <c r="G816" i="697"/>
  <c r="G815" i="697"/>
  <c r="G811" i="697"/>
  <c r="G810" i="697"/>
  <c r="G798" i="697"/>
  <c r="G797" i="697"/>
  <c r="G793" i="697"/>
  <c r="G792" i="697"/>
  <c r="G788" i="697"/>
  <c r="G787" i="697"/>
  <c r="G783" i="697"/>
  <c r="G782" i="697"/>
  <c r="G778" i="697"/>
  <c r="G777" i="697"/>
  <c r="G773" i="697"/>
  <c r="G772" i="697"/>
  <c r="G768" i="697"/>
  <c r="G767" i="697"/>
  <c r="G763" i="697"/>
  <c r="G762" i="697"/>
  <c r="G758" i="697"/>
  <c r="G757" i="697"/>
  <c r="G745" i="697"/>
  <c r="G744" i="697"/>
  <c r="G740" i="697"/>
  <c r="G739" i="697"/>
  <c r="G735" i="697"/>
  <c r="G734" i="697"/>
  <c r="G730" i="697"/>
  <c r="G729" i="697"/>
  <c r="G725" i="697"/>
  <c r="G724" i="697"/>
  <c r="G720" i="697"/>
  <c r="G719" i="697"/>
  <c r="G715" i="697"/>
  <c r="G714" i="697"/>
  <c r="G710" i="697"/>
  <c r="G709" i="697"/>
  <c r="G705" i="697"/>
  <c r="G704" i="697"/>
  <c r="G700" i="697"/>
  <c r="G699" i="697"/>
  <c r="G695" i="697"/>
  <c r="G694" i="697"/>
  <c r="G690" i="697"/>
  <c r="G689" i="697"/>
  <c r="G685" i="697"/>
  <c r="G684" i="697"/>
  <c r="G680" i="697"/>
  <c r="G679" i="697"/>
  <c r="G675" i="697"/>
  <c r="G674" i="697"/>
  <c r="G670" i="697"/>
  <c r="G669" i="697"/>
  <c r="G665" i="697"/>
  <c r="G664" i="697"/>
  <c r="G660" i="697"/>
  <c r="G659" i="697"/>
  <c r="G655" i="697"/>
  <c r="G654" i="697"/>
  <c r="G647" i="697"/>
  <c r="G646" i="697"/>
  <c r="G627" i="697"/>
  <c r="G626" i="697"/>
  <c r="G622" i="697"/>
  <c r="G621" i="697"/>
  <c r="G617" i="697"/>
  <c r="G616" i="697"/>
  <c r="G612" i="697"/>
  <c r="G611" i="697"/>
  <c r="G607" i="697"/>
  <c r="G606" i="697"/>
  <c r="G602" i="697"/>
  <c r="G601" i="697"/>
  <c r="G597" i="697"/>
  <c r="G596" i="697"/>
  <c r="G592" i="697"/>
  <c r="G591" i="697"/>
  <c r="G587" i="697"/>
  <c r="G586" i="697"/>
  <c r="G582" i="697"/>
  <c r="G581" i="697"/>
  <c r="G577" i="697"/>
  <c r="G576" i="697"/>
  <c r="G572" i="697"/>
  <c r="G571" i="697"/>
  <c r="G567" i="697"/>
  <c r="G566" i="697"/>
  <c r="G562" i="697"/>
  <c r="G561" i="697"/>
  <c r="G557" i="697"/>
  <c r="G556" i="697"/>
  <c r="G552" i="697"/>
  <c r="G551" i="697"/>
  <c r="G547" i="697"/>
  <c r="G546" i="697"/>
  <c r="G542" i="697"/>
  <c r="G541" i="697"/>
  <c r="G537" i="697"/>
  <c r="G536" i="697"/>
  <c r="G532" i="697"/>
  <c r="G531" i="697"/>
  <c r="G527" i="697"/>
  <c r="G526" i="697"/>
  <c r="G522" i="697"/>
  <c r="G521" i="697"/>
  <c r="G496" i="697"/>
  <c r="G495" i="697"/>
  <c r="G491" i="697"/>
  <c r="G490" i="697"/>
  <c r="G486" i="697"/>
  <c r="G485" i="697"/>
  <c r="G481" i="697"/>
  <c r="G480" i="697"/>
  <c r="G476" i="697"/>
  <c r="G475" i="697"/>
  <c r="G471" i="697"/>
  <c r="G470" i="697"/>
  <c r="G466" i="697"/>
  <c r="G465" i="697"/>
  <c r="G461" i="697"/>
  <c r="G460" i="697"/>
  <c r="G456" i="697"/>
  <c r="G455" i="697"/>
  <c r="G451" i="697"/>
  <c r="G450" i="697"/>
  <c r="G446" i="697"/>
  <c r="G445" i="697"/>
  <c r="G441" i="697"/>
  <c r="G440" i="697"/>
  <c r="G436" i="697"/>
  <c r="G435" i="697"/>
  <c r="G431" i="697"/>
  <c r="G430" i="697"/>
  <c r="G426" i="697"/>
  <c r="G425" i="697"/>
  <c r="G421" i="697"/>
  <c r="G420" i="697"/>
  <c r="G416" i="697"/>
  <c r="G415" i="697"/>
  <c r="G411" i="697"/>
  <c r="G410" i="697"/>
  <c r="G406" i="697"/>
  <c r="G405" i="697"/>
  <c r="G401" i="697"/>
  <c r="G400" i="697"/>
  <c r="G396" i="697"/>
  <c r="G395" i="697"/>
  <c r="G391" i="697"/>
  <c r="G390" i="697"/>
  <c r="G386" i="697"/>
  <c r="G385" i="697"/>
  <c r="G381" i="697"/>
  <c r="G380" i="697"/>
  <c r="G354" i="697"/>
  <c r="G350" i="697"/>
  <c r="G358" i="697" s="1"/>
  <c r="G347" i="697"/>
  <c r="G345" i="697"/>
  <c r="G343" i="697"/>
  <c r="G341" i="697"/>
  <c r="G338" i="697"/>
  <c r="G336" i="697"/>
  <c r="G334" i="697"/>
  <c r="G321" i="697"/>
  <c r="G320" i="697"/>
  <c r="G318" i="697"/>
  <c r="G315" i="697"/>
  <c r="G313" i="697"/>
  <c r="G311" i="697"/>
  <c r="G309" i="697"/>
  <c r="G306" i="697"/>
  <c r="G304" i="697"/>
  <c r="G302" i="697"/>
  <c r="G300" i="697"/>
  <c r="G297" i="697"/>
  <c r="G295" i="697"/>
  <c r="G293" i="697"/>
  <c r="G291" i="697"/>
  <c r="G288" i="697"/>
  <c r="G286" i="697"/>
  <c r="G284" i="697"/>
  <c r="G282" i="697"/>
  <c r="G279" i="697"/>
  <c r="G277" i="697"/>
  <c r="G275" i="697"/>
  <c r="G273" i="697"/>
  <c r="G270" i="697"/>
  <c r="G268" i="697"/>
  <c r="G266" i="697"/>
  <c r="G264" i="697"/>
  <c r="G261" i="697"/>
  <c r="G259" i="697"/>
  <c r="G257" i="697"/>
  <c r="G255" i="697"/>
  <c r="G252" i="697"/>
  <c r="G250" i="697"/>
  <c r="G248" i="697"/>
  <c r="G246" i="697"/>
  <c r="G243" i="697"/>
  <c r="G241" i="697"/>
  <c r="G239" i="697"/>
  <c r="G226" i="697"/>
  <c r="G223" i="697"/>
  <c r="G221" i="697"/>
  <c r="G219" i="697"/>
  <c r="G217" i="697"/>
  <c r="G214" i="697"/>
  <c r="G212" i="697"/>
  <c r="G210" i="697"/>
  <c r="G197" i="697"/>
  <c r="G196" i="697"/>
  <c r="G194" i="697"/>
  <c r="G191" i="697"/>
  <c r="G189" i="697"/>
  <c r="G187" i="697"/>
  <c r="G185" i="697"/>
  <c r="G182" i="697"/>
  <c r="G180" i="697"/>
  <c r="G178" i="697"/>
  <c r="G176" i="697"/>
  <c r="G173" i="697"/>
  <c r="G171" i="697"/>
  <c r="G169" i="697"/>
  <c r="G167" i="697"/>
  <c r="G164" i="697"/>
  <c r="G162" i="697"/>
  <c r="G160" i="697"/>
  <c r="G158" i="697"/>
  <c r="G155" i="697"/>
  <c r="G153" i="697"/>
  <c r="G151" i="697"/>
  <c r="G149" i="697"/>
  <c r="G146" i="697"/>
  <c r="G144" i="697"/>
  <c r="G142" i="697"/>
  <c r="G140" i="697"/>
  <c r="G137" i="697"/>
  <c r="G135" i="697"/>
  <c r="G133" i="697"/>
  <c r="G131" i="697"/>
  <c r="G128" i="697"/>
  <c r="G126" i="697"/>
  <c r="G124" i="697"/>
  <c r="G122" i="697"/>
  <c r="G119" i="697"/>
  <c r="G117" i="697"/>
  <c r="G115" i="697"/>
  <c r="G113" i="697"/>
  <c r="G110" i="697"/>
  <c r="G108" i="697"/>
  <c r="G106" i="697"/>
  <c r="G104" i="697"/>
  <c r="G101" i="697"/>
  <c r="G99" i="697"/>
  <c r="G97" i="697"/>
  <c r="G95" i="697"/>
  <c r="G92" i="697"/>
  <c r="G90" i="697"/>
  <c r="G88" i="697"/>
  <c r="G86" i="697"/>
  <c r="G83" i="697"/>
  <c r="G81" i="697"/>
  <c r="G79" i="697"/>
  <c r="G77" i="697"/>
  <c r="G74" i="697"/>
  <c r="G72" i="697"/>
  <c r="G70" i="697"/>
  <c r="G68" i="697"/>
  <c r="G65" i="697"/>
  <c r="G63" i="697"/>
  <c r="G61" i="697"/>
  <c r="G59" i="697"/>
  <c r="G56" i="697"/>
  <c r="G55" i="697"/>
  <c r="G54" i="697"/>
  <c r="G53" i="697"/>
  <c r="G52" i="697"/>
  <c r="G50" i="697"/>
  <c r="G47" i="697"/>
  <c r="G45" i="697"/>
  <c r="G43" i="697"/>
  <c r="G41" i="697"/>
  <c r="G39" i="697"/>
  <c r="G38" i="697"/>
  <c r="G36" i="697"/>
  <c r="G34" i="697"/>
  <c r="G32" i="697"/>
  <c r="G30" i="697"/>
  <c r="G29" i="697"/>
  <c r="G27" i="697"/>
  <c r="G25" i="697"/>
  <c r="G23" i="697"/>
  <c r="G21" i="697"/>
  <c r="G20" i="697"/>
  <c r="G18" i="697"/>
  <c r="G16" i="697"/>
  <c r="A1" i="697"/>
  <c r="G1246" i="696"/>
  <c r="G1245" i="696"/>
  <c r="G1229" i="696"/>
  <c r="G1228" i="696"/>
  <c r="G1227" i="696"/>
  <c r="G1224" i="696"/>
  <c r="G1198" i="696"/>
  <c r="G1199" i="696" s="1"/>
  <c r="G1194" i="696"/>
  <c r="G1193" i="696"/>
  <c r="G1192" i="696"/>
  <c r="G1191" i="696"/>
  <c r="G1187" i="696"/>
  <c r="G1186" i="696"/>
  <c r="G1185" i="696"/>
  <c r="G1184" i="696"/>
  <c r="G1180" i="696"/>
  <c r="G1179" i="696"/>
  <c r="G1178" i="696"/>
  <c r="G1177" i="696"/>
  <c r="G1173" i="696"/>
  <c r="G1174" i="696" s="1"/>
  <c r="G1169" i="696"/>
  <c r="G1168" i="696"/>
  <c r="G1164" i="696"/>
  <c r="G1163" i="696"/>
  <c r="G1159" i="696"/>
  <c r="G1158" i="696"/>
  <c r="G1157" i="696"/>
  <c r="G1156" i="696"/>
  <c r="G1152" i="696"/>
  <c r="G1151" i="696"/>
  <c r="G1150" i="696"/>
  <c r="G1149" i="696"/>
  <c r="G1145" i="696"/>
  <c r="G1141" i="696"/>
  <c r="G1142" i="696" s="1"/>
  <c r="G1137" i="696"/>
  <c r="G1136" i="696"/>
  <c r="G1119" i="696"/>
  <c r="G1118" i="696"/>
  <c r="G1117" i="696"/>
  <c r="G1116" i="696"/>
  <c r="G1112" i="696"/>
  <c r="G1111" i="696"/>
  <c r="G1110" i="696"/>
  <c r="G1109" i="696"/>
  <c r="G1105" i="696"/>
  <c r="G1104" i="696"/>
  <c r="G1103" i="696"/>
  <c r="G1102" i="696"/>
  <c r="G1098" i="696"/>
  <c r="G1099" i="696" s="1"/>
  <c r="G1091" i="696"/>
  <c r="G964" i="696" s="1"/>
  <c r="G1086" i="696"/>
  <c r="G1085" i="696"/>
  <c r="G1084" i="696"/>
  <c r="G1080" i="696"/>
  <c r="G1079" i="696"/>
  <c r="G1078" i="696"/>
  <c r="G1075" i="696"/>
  <c r="G1074" i="696"/>
  <c r="G1073" i="696"/>
  <c r="G1070" i="696"/>
  <c r="G1069" i="696"/>
  <c r="G1068" i="696"/>
  <c r="G1067" i="696"/>
  <c r="G1064" i="696"/>
  <c r="G1063" i="696"/>
  <c r="G1062" i="696"/>
  <c r="G1061" i="696"/>
  <c r="G1058" i="696"/>
  <c r="G1057" i="696"/>
  <c r="G1056" i="696"/>
  <c r="G1055" i="696"/>
  <c r="G1052" i="696"/>
  <c r="G1051" i="696"/>
  <c r="G1050" i="696"/>
  <c r="G1047" i="696"/>
  <c r="G1046" i="696"/>
  <c r="G1045" i="696"/>
  <c r="G1044" i="696"/>
  <c r="G1041" i="696"/>
  <c r="G1040" i="696"/>
  <c r="G1039" i="696"/>
  <c r="G1038" i="696"/>
  <c r="G1035" i="696"/>
  <c r="G1034" i="696"/>
  <c r="G1033" i="696"/>
  <c r="G1032" i="696"/>
  <c r="G1029" i="696"/>
  <c r="G1028" i="696"/>
  <c r="G1027" i="696"/>
  <c r="G1021" i="696"/>
  <c r="G1020" i="696"/>
  <c r="G1019" i="696"/>
  <c r="G1016" i="696"/>
  <c r="G1015" i="696"/>
  <c r="G1014" i="696"/>
  <c r="G1011" i="696"/>
  <c r="G1010" i="696"/>
  <c r="G1009" i="696"/>
  <c r="G1006" i="696"/>
  <c r="G1005" i="696"/>
  <c r="G1004" i="696"/>
  <c r="G1001" i="696"/>
  <c r="G1000" i="696"/>
  <c r="G999" i="696"/>
  <c r="G996" i="696"/>
  <c r="G995" i="696"/>
  <c r="G994" i="696"/>
  <c r="G991" i="696"/>
  <c r="G990" i="696"/>
  <c r="G989" i="696"/>
  <c r="G984" i="696"/>
  <c r="G983" i="696"/>
  <c r="G982" i="696"/>
  <c r="G981" i="696"/>
  <c r="G980" i="696"/>
  <c r="G979" i="696"/>
  <c r="G978" i="696"/>
  <c r="G975" i="696"/>
  <c r="G974" i="696"/>
  <c r="G973" i="696"/>
  <c r="G970" i="696"/>
  <c r="G969" i="696"/>
  <c r="G968" i="696"/>
  <c r="G962" i="696"/>
  <c r="G961" i="696"/>
  <c r="G960" i="696"/>
  <c r="G959" i="696"/>
  <c r="G958" i="696"/>
  <c r="G957" i="696"/>
  <c r="G956" i="696"/>
  <c r="G953" i="696"/>
  <c r="G951" i="696"/>
  <c r="G950" i="696"/>
  <c r="G931" i="696"/>
  <c r="G929" i="696"/>
  <c r="G927" i="696"/>
  <c r="G925" i="696"/>
  <c r="G1225" i="696"/>
  <c r="G920" i="696"/>
  <c r="G919" i="696"/>
  <c r="G918" i="696"/>
  <c r="G917" i="696"/>
  <c r="G910" i="696"/>
  <c r="G909" i="696"/>
  <c r="G908" i="696"/>
  <c r="G907" i="696"/>
  <c r="G903" i="696"/>
  <c r="G902" i="696"/>
  <c r="G901" i="696"/>
  <c r="G900" i="696"/>
  <c r="G887" i="696"/>
  <c r="G884" i="696"/>
  <c r="G883" i="696"/>
  <c r="G882" i="696"/>
  <c r="G880" i="696"/>
  <c r="G879" i="696"/>
  <c r="G878" i="696"/>
  <c r="G876" i="696"/>
  <c r="G875" i="696"/>
  <c r="G874" i="696"/>
  <c r="G872" i="696"/>
  <c r="G871" i="696"/>
  <c r="G870" i="696"/>
  <c r="G868" i="696"/>
  <c r="G867" i="696"/>
  <c r="G866" i="696"/>
  <c r="G864" i="696"/>
  <c r="G863" i="696"/>
  <c r="G862" i="696"/>
  <c r="G860" i="696"/>
  <c r="G859" i="696"/>
  <c r="G858" i="696"/>
  <c r="G856" i="696"/>
  <c r="G855" i="696"/>
  <c r="G854" i="696"/>
  <c r="G852" i="696"/>
  <c r="G851" i="696"/>
  <c r="G850" i="696"/>
  <c r="G848" i="696"/>
  <c r="G847" i="696"/>
  <c r="G846" i="696"/>
  <c r="G844" i="696"/>
  <c r="G843" i="696"/>
  <c r="G842" i="696"/>
  <c r="G840" i="696"/>
  <c r="G839" i="696"/>
  <c r="G838" i="696"/>
  <c r="G826" i="696"/>
  <c r="G825" i="696"/>
  <c r="G821" i="696"/>
  <c r="G820" i="696"/>
  <c r="G816" i="696"/>
  <c r="G815" i="696"/>
  <c r="G811" i="696"/>
  <c r="G810" i="696"/>
  <c r="G798" i="696"/>
  <c r="G797" i="696"/>
  <c r="G793" i="696"/>
  <c r="G792" i="696"/>
  <c r="G788" i="696"/>
  <c r="G787" i="696"/>
  <c r="G783" i="696"/>
  <c r="G782" i="696"/>
  <c r="G778" i="696"/>
  <c r="G777" i="696"/>
  <c r="G773" i="696"/>
  <c r="G772" i="696"/>
  <c r="G768" i="696"/>
  <c r="G767" i="696"/>
  <c r="G763" i="696"/>
  <c r="G762" i="696"/>
  <c r="G758" i="696"/>
  <c r="G757" i="696"/>
  <c r="G745" i="696"/>
  <c r="G744" i="696"/>
  <c r="G740" i="696"/>
  <c r="G739" i="696"/>
  <c r="G735" i="696"/>
  <c r="G734" i="696"/>
  <c r="G730" i="696"/>
  <c r="G729" i="696"/>
  <c r="G725" i="696"/>
  <c r="G724" i="696"/>
  <c r="G720" i="696"/>
  <c r="G719" i="696"/>
  <c r="G715" i="696"/>
  <c r="G714" i="696"/>
  <c r="G710" i="696"/>
  <c r="G709" i="696"/>
  <c r="G705" i="696"/>
  <c r="G704" i="696"/>
  <c r="G700" i="696"/>
  <c r="G699" i="696"/>
  <c r="G695" i="696"/>
  <c r="G694" i="696"/>
  <c r="G690" i="696"/>
  <c r="G689" i="696"/>
  <c r="G685" i="696"/>
  <c r="G684" i="696"/>
  <c r="G680" i="696"/>
  <c r="G679" i="696"/>
  <c r="G675" i="696"/>
  <c r="G674" i="696"/>
  <c r="G670" i="696"/>
  <c r="G669" i="696"/>
  <c r="G665" i="696"/>
  <c r="G664" i="696"/>
  <c r="G660" i="696"/>
  <c r="G659" i="696"/>
  <c r="G655" i="696"/>
  <c r="G654" i="696"/>
  <c r="G647" i="696"/>
  <c r="G646" i="696"/>
  <c r="G627" i="696"/>
  <c r="G626" i="696"/>
  <c r="G622" i="696"/>
  <c r="G621" i="696"/>
  <c r="G617" i="696"/>
  <c r="G616" i="696"/>
  <c r="G612" i="696"/>
  <c r="G611" i="696"/>
  <c r="G607" i="696"/>
  <c r="G606" i="696"/>
  <c r="G602" i="696"/>
  <c r="G601" i="696"/>
  <c r="G597" i="696"/>
  <c r="G596" i="696"/>
  <c r="G592" i="696"/>
  <c r="G591" i="696"/>
  <c r="G587" i="696"/>
  <c r="G586" i="696"/>
  <c r="G582" i="696"/>
  <c r="G581" i="696"/>
  <c r="G577" i="696"/>
  <c r="G576" i="696"/>
  <c r="G572" i="696"/>
  <c r="G571" i="696"/>
  <c r="G567" i="696"/>
  <c r="G566" i="696"/>
  <c r="G562" i="696"/>
  <c r="G561" i="696"/>
  <c r="G557" i="696"/>
  <c r="G556" i="696"/>
  <c r="G552" i="696"/>
  <c r="G551" i="696"/>
  <c r="G547" i="696"/>
  <c r="G546" i="696"/>
  <c r="G542" i="696"/>
  <c r="G541" i="696"/>
  <c r="G537" i="696"/>
  <c r="G536" i="696"/>
  <c r="G532" i="696"/>
  <c r="G531" i="696"/>
  <c r="G527" i="696"/>
  <c r="G526" i="696"/>
  <c r="G522" i="696"/>
  <c r="G521" i="696"/>
  <c r="G496" i="696"/>
  <c r="G495" i="696"/>
  <c r="G491" i="696"/>
  <c r="G490" i="696"/>
  <c r="G486" i="696"/>
  <c r="G485" i="696"/>
  <c r="G481" i="696"/>
  <c r="G480" i="696"/>
  <c r="G476" i="696"/>
  <c r="G475" i="696"/>
  <c r="G471" i="696"/>
  <c r="G470" i="696"/>
  <c r="G466" i="696"/>
  <c r="G465" i="696"/>
  <c r="G461" i="696"/>
  <c r="G460" i="696"/>
  <c r="G456" i="696"/>
  <c r="G455" i="696"/>
  <c r="G451" i="696"/>
  <c r="G450" i="696"/>
  <c r="G446" i="696"/>
  <c r="G445" i="696"/>
  <c r="G441" i="696"/>
  <c r="G440" i="696"/>
  <c r="G436" i="696"/>
  <c r="G435" i="696"/>
  <c r="G431" i="696"/>
  <c r="G430" i="696"/>
  <c r="G426" i="696"/>
  <c r="G425" i="696"/>
  <c r="G421" i="696"/>
  <c r="G420" i="696"/>
  <c r="G416" i="696"/>
  <c r="G415" i="696"/>
  <c r="G411" i="696"/>
  <c r="G410" i="696"/>
  <c r="G406" i="696"/>
  <c r="G405" i="696"/>
  <c r="G401" i="696"/>
  <c r="G400" i="696"/>
  <c r="G396" i="696"/>
  <c r="G395" i="696"/>
  <c r="G391" i="696"/>
  <c r="G390" i="696"/>
  <c r="G386" i="696"/>
  <c r="G385" i="696"/>
  <c r="G381" i="696"/>
  <c r="G380" i="696"/>
  <c r="G354" i="696"/>
  <c r="G350" i="696"/>
  <c r="G358" i="696" s="1"/>
  <c r="G347" i="696"/>
  <c r="G345" i="696"/>
  <c r="G343" i="696"/>
  <c r="G341" i="696"/>
  <c r="G338" i="696"/>
  <c r="G336" i="696"/>
  <c r="G334" i="696"/>
  <c r="G321" i="696"/>
  <c r="G320" i="696"/>
  <c r="G318" i="696"/>
  <c r="G315" i="696"/>
  <c r="G313" i="696"/>
  <c r="G311" i="696"/>
  <c r="G309" i="696"/>
  <c r="G306" i="696"/>
  <c r="G304" i="696"/>
  <c r="G302" i="696"/>
  <c r="G300" i="696"/>
  <c r="G297" i="696"/>
  <c r="G295" i="696"/>
  <c r="G293" i="696"/>
  <c r="G291" i="696"/>
  <c r="G288" i="696"/>
  <c r="G286" i="696"/>
  <c r="G284" i="696"/>
  <c r="G282" i="696"/>
  <c r="G279" i="696"/>
  <c r="G277" i="696"/>
  <c r="G275" i="696"/>
  <c r="G273" i="696"/>
  <c r="G270" i="696"/>
  <c r="G268" i="696"/>
  <c r="G266" i="696"/>
  <c r="G264" i="696"/>
  <c r="G261" i="696"/>
  <c r="G259" i="696"/>
  <c r="G257" i="696"/>
  <c r="G255" i="696"/>
  <c r="G252" i="696"/>
  <c r="G250" i="696"/>
  <c r="G248" i="696"/>
  <c r="G246" i="696"/>
  <c r="G243" i="696"/>
  <c r="G241" i="696"/>
  <c r="G239" i="696"/>
  <c r="G226" i="696"/>
  <c r="G223" i="696"/>
  <c r="G221" i="696"/>
  <c r="G219" i="696"/>
  <c r="G217" i="696"/>
  <c r="G214" i="696"/>
  <c r="G212" i="696"/>
  <c r="G210" i="696"/>
  <c r="G197" i="696"/>
  <c r="G196" i="696"/>
  <c r="G194" i="696"/>
  <c r="G191" i="696"/>
  <c r="G189" i="696"/>
  <c r="G187" i="696"/>
  <c r="G185" i="696"/>
  <c r="G182" i="696"/>
  <c r="G180" i="696"/>
  <c r="G178" i="696"/>
  <c r="G176" i="696"/>
  <c r="G173" i="696"/>
  <c r="G171" i="696"/>
  <c r="G169" i="696"/>
  <c r="G167" i="696"/>
  <c r="G164" i="696"/>
  <c r="G162" i="696"/>
  <c r="G160" i="696"/>
  <c r="G158" i="696"/>
  <c r="G155" i="696"/>
  <c r="G153" i="696"/>
  <c r="G151" i="696"/>
  <c r="G149" i="696"/>
  <c r="G146" i="696"/>
  <c r="G144" i="696"/>
  <c r="G142" i="696"/>
  <c r="G140" i="696"/>
  <c r="G137" i="696"/>
  <c r="G135" i="696"/>
  <c r="G133" i="696"/>
  <c r="G131" i="696"/>
  <c r="G128" i="696"/>
  <c r="G126" i="696"/>
  <c r="G124" i="696"/>
  <c r="G122" i="696"/>
  <c r="G119" i="696"/>
  <c r="G117" i="696"/>
  <c r="G115" i="696"/>
  <c r="G113" i="696"/>
  <c r="G110" i="696"/>
  <c r="G108" i="696"/>
  <c r="G106" i="696"/>
  <c r="G104" i="696"/>
  <c r="G101" i="696"/>
  <c r="G99" i="696"/>
  <c r="G97" i="696"/>
  <c r="G95" i="696"/>
  <c r="G92" i="696"/>
  <c r="G90" i="696"/>
  <c r="G88" i="696"/>
  <c r="G86" i="696"/>
  <c r="G83" i="696"/>
  <c r="G81" i="696"/>
  <c r="G79" i="696"/>
  <c r="G77" i="696"/>
  <c r="G74" i="696"/>
  <c r="G72" i="696"/>
  <c r="G70" i="696"/>
  <c r="G68" i="696"/>
  <c r="G65" i="696"/>
  <c r="G63" i="696"/>
  <c r="G61" i="696"/>
  <c r="G59" i="696"/>
  <c r="G56" i="696"/>
  <c r="G55" i="696"/>
  <c r="G54" i="696"/>
  <c r="G53" i="696"/>
  <c r="G52" i="696"/>
  <c r="G50" i="696"/>
  <c r="G47" i="696"/>
  <c r="G45" i="696"/>
  <c r="G43" i="696"/>
  <c r="G41" i="696"/>
  <c r="G39" i="696"/>
  <c r="G38" i="696"/>
  <c r="G36" i="696"/>
  <c r="G34" i="696"/>
  <c r="G32" i="696"/>
  <c r="G30" i="696"/>
  <c r="G29" i="696"/>
  <c r="G27" i="696"/>
  <c r="G25" i="696"/>
  <c r="G23" i="696"/>
  <c r="G20" i="696"/>
  <c r="G18" i="696"/>
  <c r="G16" i="696"/>
  <c r="A1" i="696"/>
  <c r="G1246" i="695"/>
  <c r="G1245" i="695"/>
  <c r="G1229" i="695"/>
  <c r="G1228" i="695"/>
  <c r="G1227" i="695"/>
  <c r="G1224" i="695"/>
  <c r="G1198" i="695"/>
  <c r="G1199" i="695" s="1"/>
  <c r="G1194" i="695"/>
  <c r="G1193" i="695"/>
  <c r="G1192" i="695"/>
  <c r="G1191" i="695"/>
  <c r="G1187" i="695"/>
  <c r="G1186" i="695"/>
  <c r="G1185" i="695"/>
  <c r="G1184" i="695"/>
  <c r="G1180" i="695"/>
  <c r="G1179" i="695"/>
  <c r="G1178" i="695"/>
  <c r="G1177" i="695"/>
  <c r="G1173" i="695"/>
  <c r="G1174" i="695" s="1"/>
  <c r="G1169" i="695"/>
  <c r="G1168" i="695"/>
  <c r="G1164" i="695"/>
  <c r="G1163" i="695"/>
  <c r="G1159" i="695"/>
  <c r="G1158" i="695"/>
  <c r="G1157" i="695"/>
  <c r="G1156" i="695"/>
  <c r="G1152" i="695"/>
  <c r="G1151" i="695"/>
  <c r="G1150" i="695"/>
  <c r="G1149" i="695"/>
  <c r="G1145" i="695"/>
  <c r="G1141" i="695"/>
  <c r="G1142" i="695" s="1"/>
  <c r="G1137" i="695"/>
  <c r="G1136" i="695"/>
  <c r="G1119" i="695"/>
  <c r="G1118" i="695"/>
  <c r="G1117" i="695"/>
  <c r="G1116" i="695"/>
  <c r="G1112" i="695"/>
  <c r="G1111" i="695"/>
  <c r="G1110" i="695"/>
  <c r="G1109" i="695"/>
  <c r="G1105" i="695"/>
  <c r="G1104" i="695"/>
  <c r="G1103" i="695"/>
  <c r="G1102" i="695"/>
  <c r="G1098" i="695"/>
  <c r="G1099" i="695" s="1"/>
  <c r="G1091" i="695"/>
  <c r="G964" i="695" s="1"/>
  <c r="G1086" i="695"/>
  <c r="G1085" i="695"/>
  <c r="G1084" i="695"/>
  <c r="G1080" i="695"/>
  <c r="G1079" i="695"/>
  <c r="G1078" i="695"/>
  <c r="G1075" i="695"/>
  <c r="G1074" i="695"/>
  <c r="G1073" i="695"/>
  <c r="G1070" i="695"/>
  <c r="G1069" i="695"/>
  <c r="G1068" i="695"/>
  <c r="G1067" i="695"/>
  <c r="G1064" i="695"/>
  <c r="G1063" i="695"/>
  <c r="G1062" i="695"/>
  <c r="G1061" i="695"/>
  <c r="G1058" i="695"/>
  <c r="G1057" i="695"/>
  <c r="G1056" i="695"/>
  <c r="G1055" i="695"/>
  <c r="G1052" i="695"/>
  <c r="G1051" i="695"/>
  <c r="G1050" i="695"/>
  <c r="G1047" i="695"/>
  <c r="G1046" i="695"/>
  <c r="G1045" i="695"/>
  <c r="G1044" i="695"/>
  <c r="G1041" i="695"/>
  <c r="G1040" i="695"/>
  <c r="G1039" i="695"/>
  <c r="G1038" i="695"/>
  <c r="G1035" i="695"/>
  <c r="G1034" i="695"/>
  <c r="G1033" i="695"/>
  <c r="G1032" i="695"/>
  <c r="G1029" i="695"/>
  <c r="G1028" i="695"/>
  <c r="G1027" i="695"/>
  <c r="G1021" i="695"/>
  <c r="G1020" i="695"/>
  <c r="G1019" i="695"/>
  <c r="G1016" i="695"/>
  <c r="G1015" i="695"/>
  <c r="G1014" i="695"/>
  <c r="G1011" i="695"/>
  <c r="G1010" i="695"/>
  <c r="G1009" i="695"/>
  <c r="G1006" i="695"/>
  <c r="G1005" i="695"/>
  <c r="G1004" i="695"/>
  <c r="G1001" i="695"/>
  <c r="G1000" i="695"/>
  <c r="G999" i="695"/>
  <c r="G996" i="695"/>
  <c r="G995" i="695"/>
  <c r="G994" i="695"/>
  <c r="G991" i="695"/>
  <c r="G990" i="695"/>
  <c r="G989" i="695"/>
  <c r="G985" i="695"/>
  <c r="G984" i="695"/>
  <c r="G983" i="695"/>
  <c r="G982" i="695"/>
  <c r="G981" i="695"/>
  <c r="G980" i="695"/>
  <c r="G979" i="695"/>
  <c r="G978" i="695"/>
  <c r="G975" i="695"/>
  <c r="G974" i="695"/>
  <c r="G973" i="695"/>
  <c r="G970" i="695"/>
  <c r="G969" i="695"/>
  <c r="G968" i="695"/>
  <c r="G962" i="695"/>
  <c r="G961" i="695"/>
  <c r="G960" i="695"/>
  <c r="G959" i="695"/>
  <c r="G958" i="695"/>
  <c r="G957" i="695"/>
  <c r="G956" i="695"/>
  <c r="G953" i="695"/>
  <c r="G951" i="695"/>
  <c r="G950" i="695"/>
  <c r="G931" i="695"/>
  <c r="G929" i="695"/>
  <c r="G927" i="695"/>
  <c r="G925" i="695"/>
  <c r="G1225" i="695"/>
  <c r="G920" i="695"/>
  <c r="G919" i="695"/>
  <c r="G918" i="695"/>
  <c r="G917" i="695"/>
  <c r="G910" i="695"/>
  <c r="G909" i="695"/>
  <c r="G908" i="695"/>
  <c r="G907" i="695"/>
  <c r="G903" i="695"/>
  <c r="G902" i="695"/>
  <c r="G901" i="695"/>
  <c r="G900" i="695"/>
  <c r="G887" i="695"/>
  <c r="G886" i="695"/>
  <c r="G884" i="695"/>
  <c r="G883" i="695"/>
  <c r="G882" i="695"/>
  <c r="G880" i="695"/>
  <c r="G879" i="695"/>
  <c r="G878" i="695"/>
  <c r="G876" i="695"/>
  <c r="G875" i="695"/>
  <c r="G874" i="695"/>
  <c r="G872" i="695"/>
  <c r="G871" i="695"/>
  <c r="G870" i="695"/>
  <c r="G868" i="695"/>
  <c r="G867" i="695"/>
  <c r="G866" i="695"/>
  <c r="G864" i="695"/>
  <c r="G863" i="695"/>
  <c r="G862" i="695"/>
  <c r="G860" i="695"/>
  <c r="G859" i="695"/>
  <c r="G858" i="695"/>
  <c r="G856" i="695"/>
  <c r="G855" i="695"/>
  <c r="G854" i="695"/>
  <c r="G852" i="695"/>
  <c r="G851" i="695"/>
  <c r="G850" i="695"/>
  <c r="G848" i="695"/>
  <c r="G847" i="695"/>
  <c r="G846" i="695"/>
  <c r="G844" i="695"/>
  <c r="G843" i="695"/>
  <c r="G842" i="695"/>
  <c r="G840" i="695"/>
  <c r="G839" i="695"/>
  <c r="G838" i="695"/>
  <c r="G826" i="695"/>
  <c r="G825" i="695"/>
  <c r="G821" i="695"/>
  <c r="G820" i="695"/>
  <c r="G816" i="695"/>
  <c r="G815" i="695"/>
  <c r="G811" i="695"/>
  <c r="G810" i="695"/>
  <c r="G798" i="695"/>
  <c r="G797" i="695"/>
  <c r="G793" i="695"/>
  <c r="G792" i="695"/>
  <c r="G788" i="695"/>
  <c r="G787" i="695"/>
  <c r="G783" i="695"/>
  <c r="G782" i="695"/>
  <c r="G778" i="695"/>
  <c r="G777" i="695"/>
  <c r="G773" i="695"/>
  <c r="G772" i="695"/>
  <c r="G768" i="695"/>
  <c r="G767" i="695"/>
  <c r="G763" i="695"/>
  <c r="G762" i="695"/>
  <c r="G758" i="695"/>
  <c r="G757" i="695"/>
  <c r="G745" i="695"/>
  <c r="G744" i="695"/>
  <c r="G740" i="695"/>
  <c r="G739" i="695"/>
  <c r="G735" i="695"/>
  <c r="G734" i="695"/>
  <c r="G730" i="695"/>
  <c r="G729" i="695"/>
  <c r="G725" i="695"/>
  <c r="G724" i="695"/>
  <c r="G720" i="695"/>
  <c r="G719" i="695"/>
  <c r="G715" i="695"/>
  <c r="G714" i="695"/>
  <c r="G710" i="695"/>
  <c r="G709" i="695"/>
  <c r="G705" i="695"/>
  <c r="G704" i="695"/>
  <c r="G700" i="695"/>
  <c r="G699" i="695"/>
  <c r="G695" i="695"/>
  <c r="G694" i="695"/>
  <c r="G690" i="695"/>
  <c r="G689" i="695"/>
  <c r="G685" i="695"/>
  <c r="G684" i="695"/>
  <c r="G680" i="695"/>
  <c r="G679" i="695"/>
  <c r="G675" i="695"/>
  <c r="G674" i="695"/>
  <c r="G670" i="695"/>
  <c r="G669" i="695"/>
  <c r="G665" i="695"/>
  <c r="G664" i="695"/>
  <c r="G660" i="695"/>
  <c r="G659" i="695"/>
  <c r="G655" i="695"/>
  <c r="G654" i="695"/>
  <c r="G647" i="695"/>
  <c r="G646" i="695"/>
  <c r="G627" i="695"/>
  <c r="G626" i="695"/>
  <c r="G622" i="695"/>
  <c r="G621" i="695"/>
  <c r="G617" i="695"/>
  <c r="G616" i="695"/>
  <c r="G612" i="695"/>
  <c r="G611" i="695"/>
  <c r="G607" i="695"/>
  <c r="G606" i="695"/>
  <c r="G602" i="695"/>
  <c r="G601" i="695"/>
  <c r="G597" i="695"/>
  <c r="G596" i="695"/>
  <c r="G592" i="695"/>
  <c r="G591" i="695"/>
  <c r="G587" i="695"/>
  <c r="G586" i="695"/>
  <c r="G582" i="695"/>
  <c r="G581" i="695"/>
  <c r="G577" i="695"/>
  <c r="G576" i="695"/>
  <c r="G572" i="695"/>
  <c r="G571" i="695"/>
  <c r="G567" i="695"/>
  <c r="G566" i="695"/>
  <c r="G562" i="695"/>
  <c r="G561" i="695"/>
  <c r="G557" i="695"/>
  <c r="G556" i="695"/>
  <c r="G552" i="695"/>
  <c r="G551" i="695"/>
  <c r="G547" i="695"/>
  <c r="G546" i="695"/>
  <c r="G542" i="695"/>
  <c r="G541" i="695"/>
  <c r="G537" i="695"/>
  <c r="G536" i="695"/>
  <c r="G532" i="695"/>
  <c r="G531" i="695"/>
  <c r="G527" i="695"/>
  <c r="G526" i="695"/>
  <c r="G522" i="695"/>
  <c r="G521" i="695"/>
  <c r="G496" i="695"/>
  <c r="G495" i="695"/>
  <c r="G491" i="695"/>
  <c r="G490" i="695"/>
  <c r="G486" i="695"/>
  <c r="G485" i="695"/>
  <c r="G481" i="695"/>
  <c r="G480" i="695"/>
  <c r="G476" i="695"/>
  <c r="G475" i="695"/>
  <c r="G471" i="695"/>
  <c r="G470" i="695"/>
  <c r="G466" i="695"/>
  <c r="G465" i="695"/>
  <c r="G461" i="695"/>
  <c r="G460" i="695"/>
  <c r="G456" i="695"/>
  <c r="G455" i="695"/>
  <c r="G451" i="695"/>
  <c r="G450" i="695"/>
  <c r="G446" i="695"/>
  <c r="G445" i="695"/>
  <c r="G441" i="695"/>
  <c r="G440" i="695"/>
  <c r="G436" i="695"/>
  <c r="G435" i="695"/>
  <c r="G431" i="695"/>
  <c r="G430" i="695"/>
  <c r="G426" i="695"/>
  <c r="G425" i="695"/>
  <c r="G421" i="695"/>
  <c r="G420" i="695"/>
  <c r="G416" i="695"/>
  <c r="G415" i="695"/>
  <c r="G411" i="695"/>
  <c r="G410" i="695"/>
  <c r="G406" i="695"/>
  <c r="G405" i="695"/>
  <c r="G401" i="695"/>
  <c r="G400" i="695"/>
  <c r="G396" i="695"/>
  <c r="G395" i="695"/>
  <c r="G391" i="695"/>
  <c r="G390" i="695"/>
  <c r="G386" i="695"/>
  <c r="G385" i="695"/>
  <c r="G381" i="695"/>
  <c r="G380" i="695"/>
  <c r="G354" i="695"/>
  <c r="G350" i="695"/>
  <c r="G358" i="695" s="1"/>
  <c r="G347" i="695"/>
  <c r="G345" i="695"/>
  <c r="G343" i="695"/>
  <c r="G341" i="695"/>
  <c r="G338" i="695"/>
  <c r="G336" i="695"/>
  <c r="G334" i="695"/>
  <c r="G321" i="695"/>
  <c r="G320" i="695"/>
  <c r="G318" i="695"/>
  <c r="G315" i="695"/>
  <c r="G313" i="695"/>
  <c r="G311" i="695"/>
  <c r="G309" i="695"/>
  <c r="G306" i="695"/>
  <c r="G304" i="695"/>
  <c r="G302" i="695"/>
  <c r="G300" i="695"/>
  <c r="G297" i="695"/>
  <c r="G295" i="695"/>
  <c r="G293" i="695"/>
  <c r="G291" i="695"/>
  <c r="G288" i="695"/>
  <c r="G286" i="695"/>
  <c r="G284" i="695"/>
  <c r="G282" i="695"/>
  <c r="G279" i="695"/>
  <c r="G277" i="695"/>
  <c r="G275" i="695"/>
  <c r="G273" i="695"/>
  <c r="G270" i="695"/>
  <c r="G268" i="695"/>
  <c r="G266" i="695"/>
  <c r="G264" i="695"/>
  <c r="G261" i="695"/>
  <c r="G259" i="695"/>
  <c r="G257" i="695"/>
  <c r="G255" i="695"/>
  <c r="G252" i="695"/>
  <c r="G250" i="695"/>
  <c r="G248" i="695"/>
  <c r="G246" i="695"/>
  <c r="G243" i="695"/>
  <c r="G241" i="695"/>
  <c r="G239" i="695"/>
  <c r="G226" i="695"/>
  <c r="G223" i="695"/>
  <c r="G221" i="695"/>
  <c r="G219" i="695"/>
  <c r="G217" i="695"/>
  <c r="G214" i="695"/>
  <c r="G212" i="695"/>
  <c r="G210" i="695"/>
  <c r="G197" i="695"/>
  <c r="G196" i="695"/>
  <c r="G194" i="695"/>
  <c r="G191" i="695"/>
  <c r="G189" i="695"/>
  <c r="G187" i="695"/>
  <c r="G185" i="695"/>
  <c r="G182" i="695"/>
  <c r="G180" i="695"/>
  <c r="G178" i="695"/>
  <c r="G176" i="695"/>
  <c r="G173" i="695"/>
  <c r="G171" i="695"/>
  <c r="G169" i="695"/>
  <c r="G167" i="695"/>
  <c r="G164" i="695"/>
  <c r="G162" i="695"/>
  <c r="G160" i="695"/>
  <c r="G158" i="695"/>
  <c r="G155" i="695"/>
  <c r="G153" i="695"/>
  <c r="G151" i="695"/>
  <c r="G149" i="695"/>
  <c r="G146" i="695"/>
  <c r="G144" i="695"/>
  <c r="G142" i="695"/>
  <c r="G140" i="695"/>
  <c r="G137" i="695"/>
  <c r="G135" i="695"/>
  <c r="G133" i="695"/>
  <c r="G131" i="695"/>
  <c r="G128" i="695"/>
  <c r="G126" i="695"/>
  <c r="G124" i="695"/>
  <c r="G122" i="695"/>
  <c r="G119" i="695"/>
  <c r="G117" i="695"/>
  <c r="G115" i="695"/>
  <c r="G113" i="695"/>
  <c r="G110" i="695"/>
  <c r="G108" i="695"/>
  <c r="G106" i="695"/>
  <c r="G104" i="695"/>
  <c r="G101" i="695"/>
  <c r="G99" i="695"/>
  <c r="G97" i="695"/>
  <c r="G95" i="695"/>
  <c r="G92" i="695"/>
  <c r="G90" i="695"/>
  <c r="G88" i="695"/>
  <c r="G86" i="695"/>
  <c r="G83" i="695"/>
  <c r="G81" i="695"/>
  <c r="G79" i="695"/>
  <c r="G77" i="695"/>
  <c r="G74" i="695"/>
  <c r="G72" i="695"/>
  <c r="G70" i="695"/>
  <c r="G68" i="695"/>
  <c r="G65" i="695"/>
  <c r="G63" i="695"/>
  <c r="G61" i="695"/>
  <c r="G59" i="695"/>
  <c r="G56" i="695"/>
  <c r="G55" i="695"/>
  <c r="G54" i="695"/>
  <c r="G53" i="695"/>
  <c r="G52" i="695"/>
  <c r="G50" i="695"/>
  <c r="G47" i="695"/>
  <c r="G45" i="695"/>
  <c r="G43" i="695"/>
  <c r="G41" i="695"/>
  <c r="G39" i="695"/>
  <c r="G38" i="695"/>
  <c r="G36" i="695"/>
  <c r="G34" i="695"/>
  <c r="G32" i="695"/>
  <c r="G30" i="695"/>
  <c r="G29" i="695"/>
  <c r="G27" i="695"/>
  <c r="G25" i="695"/>
  <c r="G23" i="695"/>
  <c r="G20" i="695"/>
  <c r="G18" i="695"/>
  <c r="G16" i="695"/>
  <c r="A1" i="695"/>
  <c r="G1246" i="694"/>
  <c r="G1245" i="694"/>
  <c r="G1229" i="694"/>
  <c r="G1228" i="694"/>
  <c r="G1227" i="694"/>
  <c r="G1224" i="694"/>
  <c r="G1198" i="694"/>
  <c r="G1199" i="694" s="1"/>
  <c r="G1194" i="694"/>
  <c r="G1193" i="694"/>
  <c r="G1192" i="694"/>
  <c r="G1191" i="694"/>
  <c r="G1187" i="694"/>
  <c r="G1186" i="694"/>
  <c r="G1185" i="694"/>
  <c r="G1184" i="694"/>
  <c r="G1180" i="694"/>
  <c r="G1179" i="694"/>
  <c r="G1178" i="694"/>
  <c r="G1177" i="694"/>
  <c r="G1173" i="694"/>
  <c r="G1174" i="694" s="1"/>
  <c r="G1169" i="694"/>
  <c r="G1168" i="694"/>
  <c r="G1164" i="694"/>
  <c r="G1163" i="694"/>
  <c r="G1159" i="694"/>
  <c r="G1158" i="694"/>
  <c r="G1157" i="694"/>
  <c r="G1156" i="694"/>
  <c r="G1152" i="694"/>
  <c r="G1151" i="694"/>
  <c r="G1150" i="694"/>
  <c r="G1149" i="694"/>
  <c r="G1145" i="694"/>
  <c r="G1141" i="694"/>
  <c r="G1142" i="694" s="1"/>
  <c r="G1137" i="694"/>
  <c r="G1136" i="694"/>
  <c r="G1119" i="694"/>
  <c r="G1118" i="694"/>
  <c r="G1117" i="694"/>
  <c r="G1116" i="694"/>
  <c r="G1112" i="694"/>
  <c r="G1111" i="694"/>
  <c r="G1110" i="694"/>
  <c r="G1109" i="694"/>
  <c r="G1105" i="694"/>
  <c r="G1104" i="694"/>
  <c r="G1103" i="694"/>
  <c r="G1102" i="694"/>
  <c r="G1098" i="694"/>
  <c r="G1099" i="694" s="1"/>
  <c r="G1092" i="694"/>
  <c r="G1091" i="694"/>
  <c r="G964" i="694" s="1"/>
  <c r="G1086" i="694"/>
  <c r="G1085" i="694"/>
  <c r="G1084" i="694"/>
  <c r="G1080" i="694"/>
  <c r="G1079" i="694"/>
  <c r="G1078" i="694"/>
  <c r="G1075" i="694"/>
  <c r="G1074" i="694"/>
  <c r="G1073" i="694"/>
  <c r="G1070" i="694"/>
  <c r="G1069" i="694"/>
  <c r="G1068" i="694"/>
  <c r="G1067" i="694"/>
  <c r="G1064" i="694"/>
  <c r="G1063" i="694"/>
  <c r="G1062" i="694"/>
  <c r="G1061" i="694"/>
  <c r="G1058" i="694"/>
  <c r="G1057" i="694"/>
  <c r="G1056" i="694"/>
  <c r="G1055" i="694"/>
  <c r="G1052" i="694"/>
  <c r="G1051" i="694"/>
  <c r="G1050" i="694"/>
  <c r="G1047" i="694"/>
  <c r="G1046" i="694"/>
  <c r="G1045" i="694"/>
  <c r="G1044" i="694"/>
  <c r="G1041" i="694"/>
  <c r="G1040" i="694"/>
  <c r="G1039" i="694"/>
  <c r="G1038" i="694"/>
  <c r="G1035" i="694"/>
  <c r="G1034" i="694"/>
  <c r="G1033" i="694"/>
  <c r="G1032" i="694"/>
  <c r="G1029" i="694"/>
  <c r="G1028" i="694"/>
  <c r="G1027" i="694"/>
  <c r="G1021" i="694"/>
  <c r="G1020" i="694"/>
  <c r="G1019" i="694"/>
  <c r="G1016" i="694"/>
  <c r="G1015" i="694"/>
  <c r="G1014" i="694"/>
  <c r="G1011" i="694"/>
  <c r="G1010" i="694"/>
  <c r="G1009" i="694"/>
  <c r="G1006" i="694"/>
  <c r="G1005" i="694"/>
  <c r="G1004" i="694"/>
  <c r="G1001" i="694"/>
  <c r="G1000" i="694"/>
  <c r="G999" i="694"/>
  <c r="G996" i="694"/>
  <c r="G995" i="694"/>
  <c r="G994" i="694"/>
  <c r="G991" i="694"/>
  <c r="G990" i="694"/>
  <c r="G989" i="694"/>
  <c r="G984" i="694"/>
  <c r="G983" i="694"/>
  <c r="G982" i="694"/>
  <c r="G981" i="694"/>
  <c r="G980" i="694"/>
  <c r="G979" i="694"/>
  <c r="G978" i="694"/>
  <c r="G975" i="694"/>
  <c r="G974" i="694"/>
  <c r="G973" i="694"/>
  <c r="G970" i="694"/>
  <c r="G969" i="694"/>
  <c r="G968" i="694"/>
  <c r="G962" i="694"/>
  <c r="G961" i="694"/>
  <c r="G960" i="694"/>
  <c r="G959" i="694"/>
  <c r="G958" i="694"/>
  <c r="G957" i="694"/>
  <c r="G956" i="694"/>
  <c r="G953" i="694"/>
  <c r="G951" i="694"/>
  <c r="G950" i="694"/>
  <c r="G931" i="694"/>
  <c r="G929" i="694"/>
  <c r="G927" i="694"/>
  <c r="G925" i="694"/>
  <c r="G920" i="694"/>
  <c r="G919" i="694"/>
  <c r="G918" i="694"/>
  <c r="G917" i="694"/>
  <c r="G910" i="694"/>
  <c r="G909" i="694"/>
  <c r="G908" i="694"/>
  <c r="G907" i="694"/>
  <c r="G903" i="694"/>
  <c r="G902" i="694"/>
  <c r="G901" i="694"/>
  <c r="G900" i="694"/>
  <c r="G887" i="694"/>
  <c r="G884" i="694"/>
  <c r="G883" i="694"/>
  <c r="G882" i="694"/>
  <c r="G880" i="694"/>
  <c r="G879" i="694"/>
  <c r="G878" i="694"/>
  <c r="G876" i="694"/>
  <c r="G875" i="694"/>
  <c r="G874" i="694"/>
  <c r="G872" i="694"/>
  <c r="G871" i="694"/>
  <c r="G870" i="694"/>
  <c r="G868" i="694"/>
  <c r="G867" i="694"/>
  <c r="G866" i="694"/>
  <c r="G864" i="694"/>
  <c r="G863" i="694"/>
  <c r="G862" i="694"/>
  <c r="G860" i="694"/>
  <c r="G859" i="694"/>
  <c r="G858" i="694"/>
  <c r="G856" i="694"/>
  <c r="G855" i="694"/>
  <c r="G854" i="694"/>
  <c r="G852" i="694"/>
  <c r="G851" i="694"/>
  <c r="G850" i="694"/>
  <c r="G848" i="694"/>
  <c r="G847" i="694"/>
  <c r="G846" i="694"/>
  <c r="G844" i="694"/>
  <c r="G843" i="694"/>
  <c r="G842" i="694"/>
  <c r="G840" i="694"/>
  <c r="G839" i="694"/>
  <c r="G838" i="694"/>
  <c r="G826" i="694"/>
  <c r="G825" i="694"/>
  <c r="G821" i="694"/>
  <c r="G820" i="694"/>
  <c r="G816" i="694"/>
  <c r="G815" i="694"/>
  <c r="G811" i="694"/>
  <c r="G810" i="694"/>
  <c r="G798" i="694"/>
  <c r="G797" i="694"/>
  <c r="G793" i="694"/>
  <c r="G792" i="694"/>
  <c r="G788" i="694"/>
  <c r="G787" i="694"/>
  <c r="G783" i="694"/>
  <c r="G782" i="694"/>
  <c r="G778" i="694"/>
  <c r="G777" i="694"/>
  <c r="G773" i="694"/>
  <c r="G772" i="694"/>
  <c r="G768" i="694"/>
  <c r="G767" i="694"/>
  <c r="G763" i="694"/>
  <c r="G762" i="694"/>
  <c r="G758" i="694"/>
  <c r="G757" i="694"/>
  <c r="G745" i="694"/>
  <c r="G744" i="694"/>
  <c r="G740" i="694"/>
  <c r="G739" i="694"/>
  <c r="G735" i="694"/>
  <c r="G734" i="694"/>
  <c r="G730" i="694"/>
  <c r="G729" i="694"/>
  <c r="G725" i="694"/>
  <c r="G724" i="694"/>
  <c r="G720" i="694"/>
  <c r="G719" i="694"/>
  <c r="G715" i="694"/>
  <c r="G714" i="694"/>
  <c r="G710" i="694"/>
  <c r="G709" i="694"/>
  <c r="G705" i="694"/>
  <c r="G704" i="694"/>
  <c r="G700" i="694"/>
  <c r="G699" i="694"/>
  <c r="G695" i="694"/>
  <c r="G694" i="694"/>
  <c r="G690" i="694"/>
  <c r="G689" i="694"/>
  <c r="G685" i="694"/>
  <c r="G684" i="694"/>
  <c r="G680" i="694"/>
  <c r="G679" i="694"/>
  <c r="G675" i="694"/>
  <c r="G674" i="694"/>
  <c r="G670" i="694"/>
  <c r="G669" i="694"/>
  <c r="G665" i="694"/>
  <c r="G664" i="694"/>
  <c r="G660" i="694"/>
  <c r="G659" i="694"/>
  <c r="G655" i="694"/>
  <c r="G654" i="694"/>
  <c r="G647" i="694"/>
  <c r="G646" i="694"/>
  <c r="G627" i="694"/>
  <c r="G626" i="694"/>
  <c r="G622" i="694"/>
  <c r="G621" i="694"/>
  <c r="G617" i="694"/>
  <c r="G616" i="694"/>
  <c r="G612" i="694"/>
  <c r="G611" i="694"/>
  <c r="G607" i="694"/>
  <c r="G606" i="694"/>
  <c r="G602" i="694"/>
  <c r="G601" i="694"/>
  <c r="G597" i="694"/>
  <c r="G596" i="694"/>
  <c r="G592" i="694"/>
  <c r="G591" i="694"/>
  <c r="G587" i="694"/>
  <c r="G586" i="694"/>
  <c r="G582" i="694"/>
  <c r="G581" i="694"/>
  <c r="G577" i="694"/>
  <c r="G576" i="694"/>
  <c r="G572" i="694"/>
  <c r="G571" i="694"/>
  <c r="G567" i="694"/>
  <c r="G566" i="694"/>
  <c r="G562" i="694"/>
  <c r="G561" i="694"/>
  <c r="G557" i="694"/>
  <c r="G556" i="694"/>
  <c r="G552" i="694"/>
  <c r="G551" i="694"/>
  <c r="G547" i="694"/>
  <c r="G546" i="694"/>
  <c r="G542" i="694"/>
  <c r="G541" i="694"/>
  <c r="G537" i="694"/>
  <c r="G536" i="694"/>
  <c r="G532" i="694"/>
  <c r="G531" i="694"/>
  <c r="G527" i="694"/>
  <c r="G526" i="694"/>
  <c r="G522" i="694"/>
  <c r="G521" i="694"/>
  <c r="G496" i="694"/>
  <c r="G495" i="694"/>
  <c r="G491" i="694"/>
  <c r="G490" i="694"/>
  <c r="G486" i="694"/>
  <c r="G485" i="694"/>
  <c r="G481" i="694"/>
  <c r="G480" i="694"/>
  <c r="G476" i="694"/>
  <c r="G475" i="694"/>
  <c r="G471" i="694"/>
  <c r="G470" i="694"/>
  <c r="G466" i="694"/>
  <c r="G465" i="694"/>
  <c r="G461" i="694"/>
  <c r="G460" i="694"/>
  <c r="G456" i="694"/>
  <c r="G455" i="694"/>
  <c r="G451" i="694"/>
  <c r="G450" i="694"/>
  <c r="G446" i="694"/>
  <c r="G445" i="694"/>
  <c r="G441" i="694"/>
  <c r="G440" i="694"/>
  <c r="G436" i="694"/>
  <c r="G435" i="694"/>
  <c r="G431" i="694"/>
  <c r="G430" i="694"/>
  <c r="G426" i="694"/>
  <c r="G425" i="694"/>
  <c r="G421" i="694"/>
  <c r="G420" i="694"/>
  <c r="G416" i="694"/>
  <c r="G415" i="694"/>
  <c r="G411" i="694"/>
  <c r="G410" i="694"/>
  <c r="G406" i="694"/>
  <c r="G405" i="694"/>
  <c r="G401" i="694"/>
  <c r="G400" i="694"/>
  <c r="G396" i="694"/>
  <c r="G395" i="694"/>
  <c r="G391" i="694"/>
  <c r="G390" i="694"/>
  <c r="G386" i="694"/>
  <c r="G385" i="694"/>
  <c r="G381" i="694"/>
  <c r="G380" i="694"/>
  <c r="G354" i="694"/>
  <c r="G350" i="694"/>
  <c r="G358" i="694" s="1"/>
  <c r="G347" i="694"/>
  <c r="G345" i="694"/>
  <c r="G343" i="694"/>
  <c r="G341" i="694"/>
  <c r="G338" i="694"/>
  <c r="G336" i="694"/>
  <c r="G334" i="694"/>
  <c r="G321" i="694"/>
  <c r="G320" i="694"/>
  <c r="G318" i="694"/>
  <c r="G315" i="694"/>
  <c r="G313" i="694"/>
  <c r="G311" i="694"/>
  <c r="G309" i="694"/>
  <c r="G306" i="694"/>
  <c r="G304" i="694"/>
  <c r="G302" i="694"/>
  <c r="G300" i="694"/>
  <c r="G297" i="694"/>
  <c r="G295" i="694"/>
  <c r="G293" i="694"/>
  <c r="G291" i="694"/>
  <c r="G288" i="694"/>
  <c r="G286" i="694"/>
  <c r="G284" i="694"/>
  <c r="G282" i="694"/>
  <c r="G279" i="694"/>
  <c r="G277" i="694"/>
  <c r="G275" i="694"/>
  <c r="G273" i="694"/>
  <c r="G270" i="694"/>
  <c r="G268" i="694"/>
  <c r="G266" i="694"/>
  <c r="G264" i="694"/>
  <c r="G261" i="694"/>
  <c r="G259" i="694"/>
  <c r="G257" i="694"/>
  <c r="G255" i="694"/>
  <c r="G252" i="694"/>
  <c r="G250" i="694"/>
  <c r="G248" i="694"/>
  <c r="G246" i="694"/>
  <c r="G243" i="694"/>
  <c r="G241" i="694"/>
  <c r="G239" i="694"/>
  <c r="G226" i="694"/>
  <c r="G223" i="694"/>
  <c r="G221" i="694"/>
  <c r="G219" i="694"/>
  <c r="G217" i="694"/>
  <c r="G214" i="694"/>
  <c r="G212" i="694"/>
  <c r="G210" i="694"/>
  <c r="G197" i="694"/>
  <c r="G196" i="694"/>
  <c r="G194" i="694"/>
  <c r="G191" i="694"/>
  <c r="G189" i="694"/>
  <c r="G187" i="694"/>
  <c r="G185" i="694"/>
  <c r="G182" i="694"/>
  <c r="G180" i="694"/>
  <c r="G178" i="694"/>
  <c r="G176" i="694"/>
  <c r="G173" i="694"/>
  <c r="G171" i="694"/>
  <c r="G169" i="694"/>
  <c r="G167" i="694"/>
  <c r="G164" i="694"/>
  <c r="G162" i="694"/>
  <c r="G160" i="694"/>
  <c r="G158" i="694"/>
  <c r="G155" i="694"/>
  <c r="G153" i="694"/>
  <c r="G151" i="694"/>
  <c r="G149" i="694"/>
  <c r="G146" i="694"/>
  <c r="G144" i="694"/>
  <c r="G142" i="694"/>
  <c r="G140" i="694"/>
  <c r="G137" i="694"/>
  <c r="G135" i="694"/>
  <c r="G133" i="694"/>
  <c r="G131" i="694"/>
  <c r="G128" i="694"/>
  <c r="G126" i="694"/>
  <c r="G124" i="694"/>
  <c r="G122" i="694"/>
  <c r="G119" i="694"/>
  <c r="G117" i="694"/>
  <c r="G115" i="694"/>
  <c r="G113" i="694"/>
  <c r="G110" i="694"/>
  <c r="G108" i="694"/>
  <c r="G106" i="694"/>
  <c r="G104" i="694"/>
  <c r="G101" i="694"/>
  <c r="G99" i="694"/>
  <c r="G97" i="694"/>
  <c r="G95" i="694"/>
  <c r="G92" i="694"/>
  <c r="G90" i="694"/>
  <c r="G88" i="694"/>
  <c r="G86" i="694"/>
  <c r="G83" i="694"/>
  <c r="G81" i="694"/>
  <c r="G79" i="694"/>
  <c r="G77" i="694"/>
  <c r="G74" i="694"/>
  <c r="G72" i="694"/>
  <c r="G70" i="694"/>
  <c r="G68" i="694"/>
  <c r="G65" i="694"/>
  <c r="G63" i="694"/>
  <c r="G61" i="694"/>
  <c r="G59" i="694"/>
  <c r="G56" i="694"/>
  <c r="G55" i="694"/>
  <c r="G54" i="694"/>
  <c r="G53" i="694"/>
  <c r="G52" i="694"/>
  <c r="G50" i="694"/>
  <c r="G47" i="694"/>
  <c r="G45" i="694"/>
  <c r="G43" i="694"/>
  <c r="G41" i="694"/>
  <c r="G39" i="694"/>
  <c r="G38" i="694"/>
  <c r="G36" i="694"/>
  <c r="G34" i="694"/>
  <c r="G32" i="694"/>
  <c r="G30" i="694"/>
  <c r="G29" i="694"/>
  <c r="G27" i="694"/>
  <c r="G25" i="694"/>
  <c r="G23" i="694"/>
  <c r="G20" i="694"/>
  <c r="G18" i="694"/>
  <c r="G16" i="694"/>
  <c r="A1" i="694"/>
  <c r="G1246" i="693"/>
  <c r="G1245" i="693"/>
  <c r="G1229" i="693"/>
  <c r="G1228" i="693"/>
  <c r="G1227" i="693"/>
  <c r="G1224" i="693"/>
  <c r="G1198" i="693"/>
  <c r="G1199" i="693" s="1"/>
  <c r="G1194" i="693"/>
  <c r="G1193" i="693"/>
  <c r="G1192" i="693"/>
  <c r="G1191" i="693"/>
  <c r="G1187" i="693"/>
  <c r="G1186" i="693"/>
  <c r="G1185" i="693"/>
  <c r="G1184" i="693"/>
  <c r="G1180" i="693"/>
  <c r="G1179" i="693"/>
  <c r="G1178" i="693"/>
  <c r="G1177" i="693"/>
  <c r="G1173" i="693"/>
  <c r="G1174" i="693" s="1"/>
  <c r="G1169" i="693"/>
  <c r="G1168" i="693"/>
  <c r="G1164" i="693"/>
  <c r="G1163" i="693"/>
  <c r="G1159" i="693"/>
  <c r="G1158" i="693"/>
  <c r="G1157" i="693"/>
  <c r="G1156" i="693"/>
  <c r="G1152" i="693"/>
  <c r="G1151" i="693"/>
  <c r="G1150" i="693"/>
  <c r="G1149" i="693"/>
  <c r="G1145" i="693"/>
  <c r="G1141" i="693"/>
  <c r="G1142" i="693" s="1"/>
  <c r="G1137" i="693"/>
  <c r="G1136" i="693"/>
  <c r="G1119" i="693"/>
  <c r="G1118" i="693"/>
  <c r="G1117" i="693"/>
  <c r="G1116" i="693"/>
  <c r="G1112" i="693"/>
  <c r="G1111" i="693"/>
  <c r="G1110" i="693"/>
  <c r="G1109" i="693"/>
  <c r="G1105" i="693"/>
  <c r="G1104" i="693"/>
  <c r="G1103" i="693"/>
  <c r="G1102" i="693"/>
  <c r="G1098" i="693"/>
  <c r="G1099" i="693" s="1"/>
  <c r="G1091" i="693"/>
  <c r="G964" i="693" s="1"/>
  <c r="G1086" i="693"/>
  <c r="G1085" i="693"/>
  <c r="G1084" i="693"/>
  <c r="G1080" i="693"/>
  <c r="G1079" i="693"/>
  <c r="G1078" i="693"/>
  <c r="G1075" i="693"/>
  <c r="G1074" i="693"/>
  <c r="G1073" i="693"/>
  <c r="G1070" i="693"/>
  <c r="G1069" i="693"/>
  <c r="G1068" i="693"/>
  <c r="G1067" i="693"/>
  <c r="G1064" i="693"/>
  <c r="G1063" i="693"/>
  <c r="G1062" i="693"/>
  <c r="G1061" i="693"/>
  <c r="G1058" i="693"/>
  <c r="G1057" i="693"/>
  <c r="G1056" i="693"/>
  <c r="G1055" i="693"/>
  <c r="G1052" i="693"/>
  <c r="G1051" i="693"/>
  <c r="G1050" i="693"/>
  <c r="G1047" i="693"/>
  <c r="G1046" i="693"/>
  <c r="G1045" i="693"/>
  <c r="G1044" i="693"/>
  <c r="G1041" i="693"/>
  <c r="G1040" i="693"/>
  <c r="G1039" i="693"/>
  <c r="G1038" i="693"/>
  <c r="G1035" i="693"/>
  <c r="G1034" i="693"/>
  <c r="G1033" i="693"/>
  <c r="G1032" i="693"/>
  <c r="G1029" i="693"/>
  <c r="G1028" i="693"/>
  <c r="G1027" i="693"/>
  <c r="G1021" i="693"/>
  <c r="G1020" i="693"/>
  <c r="G1019" i="693"/>
  <c r="G1016" i="693"/>
  <c r="G1015" i="693"/>
  <c r="G1014" i="693"/>
  <c r="G1011" i="693"/>
  <c r="G1010" i="693"/>
  <c r="G1009" i="693"/>
  <c r="G1006" i="693"/>
  <c r="G1005" i="693"/>
  <c r="G1004" i="693"/>
  <c r="G1001" i="693"/>
  <c r="G1000" i="693"/>
  <c r="G999" i="693"/>
  <c r="G996" i="693"/>
  <c r="G995" i="693"/>
  <c r="G994" i="693"/>
  <c r="G991" i="693"/>
  <c r="G990" i="693"/>
  <c r="G989" i="693"/>
  <c r="G985" i="693"/>
  <c r="G984" i="693"/>
  <c r="G983" i="693"/>
  <c r="G982" i="693"/>
  <c r="G981" i="693"/>
  <c r="G980" i="693"/>
  <c r="G979" i="693"/>
  <c r="G978" i="693"/>
  <c r="G975" i="693"/>
  <c r="G974" i="693"/>
  <c r="G973" i="693"/>
  <c r="G970" i="693"/>
  <c r="G969" i="693"/>
  <c r="G968" i="693"/>
  <c r="G962" i="693"/>
  <c r="G961" i="693"/>
  <c r="G960" i="693"/>
  <c r="G959" i="693"/>
  <c r="G958" i="693"/>
  <c r="G957" i="693"/>
  <c r="G956" i="693"/>
  <c r="G953" i="693"/>
  <c r="G951" i="693"/>
  <c r="G950" i="693"/>
  <c r="G931" i="693"/>
  <c r="G929" i="693"/>
  <c r="G927" i="693"/>
  <c r="G925" i="693"/>
  <c r="G1225" i="693"/>
  <c r="G920" i="693"/>
  <c r="G919" i="693"/>
  <c r="G918" i="693"/>
  <c r="G917" i="693"/>
  <c r="G910" i="693"/>
  <c r="G909" i="693"/>
  <c r="G908" i="693"/>
  <c r="G907" i="693"/>
  <c r="G903" i="693"/>
  <c r="G902" i="693"/>
  <c r="G901" i="693"/>
  <c r="G900" i="693"/>
  <c r="G887" i="693"/>
  <c r="G886" i="693"/>
  <c r="G884" i="693"/>
  <c r="G883" i="693"/>
  <c r="G882" i="693"/>
  <c r="G880" i="693"/>
  <c r="G879" i="693"/>
  <c r="G878" i="693"/>
  <c r="G876" i="693"/>
  <c r="G875" i="693"/>
  <c r="G874" i="693"/>
  <c r="G872" i="693"/>
  <c r="G871" i="693"/>
  <c r="G870" i="693"/>
  <c r="G868" i="693"/>
  <c r="G867" i="693"/>
  <c r="G866" i="693"/>
  <c r="G864" i="693"/>
  <c r="G863" i="693"/>
  <c r="G862" i="693"/>
  <c r="G860" i="693"/>
  <c r="G859" i="693"/>
  <c r="G858" i="693"/>
  <c r="G856" i="693"/>
  <c r="G855" i="693"/>
  <c r="G854" i="693"/>
  <c r="G852" i="693"/>
  <c r="G851" i="693"/>
  <c r="G850" i="693"/>
  <c r="G848" i="693"/>
  <c r="G847" i="693"/>
  <c r="G846" i="693"/>
  <c r="G844" i="693"/>
  <c r="G843" i="693"/>
  <c r="G842" i="693"/>
  <c r="G840" i="693"/>
  <c r="G839" i="693"/>
  <c r="G838" i="693"/>
  <c r="G826" i="693"/>
  <c r="G825" i="693"/>
  <c r="G821" i="693"/>
  <c r="G820" i="693"/>
  <c r="G816" i="693"/>
  <c r="G815" i="693"/>
  <c r="G811" i="693"/>
  <c r="G810" i="693"/>
  <c r="G798" i="693"/>
  <c r="G797" i="693"/>
  <c r="G793" i="693"/>
  <c r="G792" i="693"/>
  <c r="G788" i="693"/>
  <c r="G787" i="693"/>
  <c r="G783" i="693"/>
  <c r="G782" i="693"/>
  <c r="G778" i="693"/>
  <c r="G777" i="693"/>
  <c r="G773" i="693"/>
  <c r="G772" i="693"/>
  <c r="G768" i="693"/>
  <c r="G767" i="693"/>
  <c r="G763" i="693"/>
  <c r="G762" i="693"/>
  <c r="G758" i="693"/>
  <c r="G757" i="693"/>
  <c r="G745" i="693"/>
  <c r="G744" i="693"/>
  <c r="G740" i="693"/>
  <c r="G739" i="693"/>
  <c r="G735" i="693"/>
  <c r="G734" i="693"/>
  <c r="G730" i="693"/>
  <c r="G729" i="693"/>
  <c r="G725" i="693"/>
  <c r="G724" i="693"/>
  <c r="G720" i="693"/>
  <c r="G719" i="693"/>
  <c r="G715" i="693"/>
  <c r="G714" i="693"/>
  <c r="G710" i="693"/>
  <c r="G709" i="693"/>
  <c r="G705" i="693"/>
  <c r="G704" i="693"/>
  <c r="G700" i="693"/>
  <c r="G699" i="693"/>
  <c r="G695" i="693"/>
  <c r="G694" i="693"/>
  <c r="G690" i="693"/>
  <c r="G689" i="693"/>
  <c r="G685" i="693"/>
  <c r="G684" i="693"/>
  <c r="G680" i="693"/>
  <c r="G679" i="693"/>
  <c r="G675" i="693"/>
  <c r="G674" i="693"/>
  <c r="G670" i="693"/>
  <c r="G669" i="693"/>
  <c r="G665" i="693"/>
  <c r="G664" i="693"/>
  <c r="G660" i="693"/>
  <c r="G659" i="693"/>
  <c r="G655" i="693"/>
  <c r="G654" i="693"/>
  <c r="G647" i="693"/>
  <c r="G646" i="693"/>
  <c r="G627" i="693"/>
  <c r="G626" i="693"/>
  <c r="G622" i="693"/>
  <c r="G621" i="693"/>
  <c r="G617" i="693"/>
  <c r="G616" i="693"/>
  <c r="G612" i="693"/>
  <c r="G611" i="693"/>
  <c r="G607" i="693"/>
  <c r="G606" i="693"/>
  <c r="G602" i="693"/>
  <c r="G601" i="693"/>
  <c r="G597" i="693"/>
  <c r="G596" i="693"/>
  <c r="G592" i="693"/>
  <c r="G591" i="693"/>
  <c r="G587" i="693"/>
  <c r="G586" i="693"/>
  <c r="G582" i="693"/>
  <c r="G581" i="693"/>
  <c r="G577" i="693"/>
  <c r="G576" i="693"/>
  <c r="G572" i="693"/>
  <c r="G571" i="693"/>
  <c r="G567" i="693"/>
  <c r="G566" i="693"/>
  <c r="G562" i="693"/>
  <c r="G561" i="693"/>
  <c r="G557" i="693"/>
  <c r="G556" i="693"/>
  <c r="G552" i="693"/>
  <c r="G551" i="693"/>
  <c r="G547" i="693"/>
  <c r="G546" i="693"/>
  <c r="G542" i="693"/>
  <c r="G541" i="693"/>
  <c r="G537" i="693"/>
  <c r="G536" i="693"/>
  <c r="G532" i="693"/>
  <c r="G531" i="693"/>
  <c r="G527" i="693"/>
  <c r="G526" i="693"/>
  <c r="G522" i="693"/>
  <c r="G521" i="693"/>
  <c r="G496" i="693"/>
  <c r="G495" i="693"/>
  <c r="G491" i="693"/>
  <c r="G490" i="693"/>
  <c r="G486" i="693"/>
  <c r="G485" i="693"/>
  <c r="G481" i="693"/>
  <c r="G480" i="693"/>
  <c r="G476" i="693"/>
  <c r="G475" i="693"/>
  <c r="G471" i="693"/>
  <c r="G470" i="693"/>
  <c r="G466" i="693"/>
  <c r="G465" i="693"/>
  <c r="G461" i="693"/>
  <c r="G460" i="693"/>
  <c r="G456" i="693"/>
  <c r="G455" i="693"/>
  <c r="G451" i="693"/>
  <c r="G450" i="693"/>
  <c r="G446" i="693"/>
  <c r="G445" i="693"/>
  <c r="G441" i="693"/>
  <c r="G440" i="693"/>
  <c r="G436" i="693"/>
  <c r="G435" i="693"/>
  <c r="G431" i="693"/>
  <c r="G430" i="693"/>
  <c r="G426" i="693"/>
  <c r="G425" i="693"/>
  <c r="G421" i="693"/>
  <c r="G420" i="693"/>
  <c r="G416" i="693"/>
  <c r="G415" i="693"/>
  <c r="G411" i="693"/>
  <c r="G410" i="693"/>
  <c r="G406" i="693"/>
  <c r="G405" i="693"/>
  <c r="G401" i="693"/>
  <c r="G400" i="693"/>
  <c r="G396" i="693"/>
  <c r="G395" i="693"/>
  <c r="G391" i="693"/>
  <c r="G390" i="693"/>
  <c r="G386" i="693"/>
  <c r="G385" i="693"/>
  <c r="G381" i="693"/>
  <c r="G380" i="693"/>
  <c r="G354" i="693"/>
  <c r="G350" i="693"/>
  <c r="G358" i="693" s="1"/>
  <c r="G347" i="693"/>
  <c r="G345" i="693"/>
  <c r="G343" i="693"/>
  <c r="G341" i="693"/>
  <c r="G338" i="693"/>
  <c r="G336" i="693"/>
  <c r="G334" i="693"/>
  <c r="G321" i="693"/>
  <c r="G320" i="693"/>
  <c r="G318" i="693"/>
  <c r="G315" i="693"/>
  <c r="G313" i="693"/>
  <c r="G311" i="693"/>
  <c r="G309" i="693"/>
  <c r="G306" i="693"/>
  <c r="G304" i="693"/>
  <c r="G302" i="693"/>
  <c r="G300" i="693"/>
  <c r="G297" i="693"/>
  <c r="G295" i="693"/>
  <c r="G293" i="693"/>
  <c r="G291" i="693"/>
  <c r="G288" i="693"/>
  <c r="G286" i="693"/>
  <c r="G284" i="693"/>
  <c r="G282" i="693"/>
  <c r="G279" i="693"/>
  <c r="G277" i="693"/>
  <c r="G275" i="693"/>
  <c r="G273" i="693"/>
  <c r="G270" i="693"/>
  <c r="G268" i="693"/>
  <c r="G266" i="693"/>
  <c r="G264" i="693"/>
  <c r="G261" i="693"/>
  <c r="G259" i="693"/>
  <c r="G257" i="693"/>
  <c r="G255" i="693"/>
  <c r="G252" i="693"/>
  <c r="G250" i="693"/>
  <c r="G248" i="693"/>
  <c r="G246" i="693"/>
  <c r="G243" i="693"/>
  <c r="G241" i="693"/>
  <c r="G239" i="693"/>
  <c r="G226" i="693"/>
  <c r="G223" i="693"/>
  <c r="G221" i="693"/>
  <c r="G219" i="693"/>
  <c r="G217" i="693"/>
  <c r="G214" i="693"/>
  <c r="G212" i="693"/>
  <c r="G210" i="693"/>
  <c r="G197" i="693"/>
  <c r="G196" i="693"/>
  <c r="G194" i="693"/>
  <c r="G191" i="693"/>
  <c r="G189" i="693"/>
  <c r="G187" i="693"/>
  <c r="G185" i="693"/>
  <c r="G182" i="693"/>
  <c r="G180" i="693"/>
  <c r="G178" i="693"/>
  <c r="G176" i="693"/>
  <c r="G173" i="693"/>
  <c r="G171" i="693"/>
  <c r="G169" i="693"/>
  <c r="G167" i="693"/>
  <c r="G164" i="693"/>
  <c r="G162" i="693"/>
  <c r="G160" i="693"/>
  <c r="G158" i="693"/>
  <c r="G155" i="693"/>
  <c r="G153" i="693"/>
  <c r="G151" i="693"/>
  <c r="G149" i="693"/>
  <c r="G146" i="693"/>
  <c r="G144" i="693"/>
  <c r="G142" i="693"/>
  <c r="G140" i="693"/>
  <c r="G137" i="693"/>
  <c r="G135" i="693"/>
  <c r="G133" i="693"/>
  <c r="G131" i="693"/>
  <c r="G128" i="693"/>
  <c r="G126" i="693"/>
  <c r="G124" i="693"/>
  <c r="G122" i="693"/>
  <c r="G119" i="693"/>
  <c r="G117" i="693"/>
  <c r="G115" i="693"/>
  <c r="G113" i="693"/>
  <c r="G110" i="693"/>
  <c r="G108" i="693"/>
  <c r="G106" i="693"/>
  <c r="G104" i="693"/>
  <c r="G101" i="693"/>
  <c r="G99" i="693"/>
  <c r="G97" i="693"/>
  <c r="G95" i="693"/>
  <c r="G92" i="693"/>
  <c r="G90" i="693"/>
  <c r="G88" i="693"/>
  <c r="G86" i="693"/>
  <c r="G83" i="693"/>
  <c r="G81" i="693"/>
  <c r="G79" i="693"/>
  <c r="G77" i="693"/>
  <c r="G74" i="693"/>
  <c r="G72" i="693"/>
  <c r="G70" i="693"/>
  <c r="G68" i="693"/>
  <c r="G65" i="693"/>
  <c r="G63" i="693"/>
  <c r="G61" i="693"/>
  <c r="G59" i="693"/>
  <c r="G56" i="693"/>
  <c r="G55" i="693"/>
  <c r="G54" i="693"/>
  <c r="G53" i="693"/>
  <c r="G52" i="693"/>
  <c r="G50" i="693"/>
  <c r="G47" i="693"/>
  <c r="G45" i="693"/>
  <c r="G43" i="693"/>
  <c r="G41" i="693"/>
  <c r="G39" i="693"/>
  <c r="G38" i="693"/>
  <c r="G36" i="693"/>
  <c r="G34" i="693"/>
  <c r="G32" i="693"/>
  <c r="G30" i="693"/>
  <c r="G29" i="693"/>
  <c r="G27" i="693"/>
  <c r="G25" i="693"/>
  <c r="G23" i="693"/>
  <c r="G21" i="693"/>
  <c r="G20" i="693"/>
  <c r="G18" i="693"/>
  <c r="G16" i="693"/>
  <c r="A1" i="693"/>
  <c r="G1246" i="692"/>
  <c r="G1245" i="692"/>
  <c r="G1229" i="692"/>
  <c r="G1228" i="692"/>
  <c r="G1227" i="692"/>
  <c r="G1224" i="692"/>
  <c r="G1198" i="692"/>
  <c r="G1199" i="692" s="1"/>
  <c r="G1194" i="692"/>
  <c r="G1193" i="692"/>
  <c r="G1192" i="692"/>
  <c r="G1191" i="692"/>
  <c r="G1187" i="692"/>
  <c r="G1186" i="692"/>
  <c r="G1185" i="692"/>
  <c r="G1184" i="692"/>
  <c r="G1180" i="692"/>
  <c r="G1179" i="692"/>
  <c r="G1178" i="692"/>
  <c r="G1177" i="692"/>
  <c r="G1173" i="692"/>
  <c r="G1174" i="692" s="1"/>
  <c r="G1169" i="692"/>
  <c r="G1168" i="692"/>
  <c r="G1164" i="692"/>
  <c r="G1163" i="692"/>
  <c r="G1159" i="692"/>
  <c r="G1158" i="692"/>
  <c r="G1157" i="692"/>
  <c r="G1156" i="692"/>
  <c r="G1152" i="692"/>
  <c r="G1151" i="692"/>
  <c r="G1150" i="692"/>
  <c r="G1149" i="692"/>
  <c r="G1145" i="692"/>
  <c r="G1141" i="692"/>
  <c r="G1142" i="692" s="1"/>
  <c r="G1137" i="692"/>
  <c r="G1136" i="692"/>
  <c r="G1119" i="692"/>
  <c r="G1118" i="692"/>
  <c r="G1117" i="692"/>
  <c r="G1116" i="692"/>
  <c r="G1112" i="692"/>
  <c r="G1111" i="692"/>
  <c r="G1110" i="692"/>
  <c r="G1109" i="692"/>
  <c r="G1105" i="692"/>
  <c r="G1104" i="692"/>
  <c r="G1103" i="692"/>
  <c r="G1102" i="692"/>
  <c r="G1098" i="692"/>
  <c r="G1099" i="692" s="1"/>
  <c r="G1091" i="692"/>
  <c r="G964" i="692" s="1"/>
  <c r="G1086" i="692"/>
  <c r="G1085" i="692"/>
  <c r="G1084" i="692"/>
  <c r="G1080" i="692"/>
  <c r="G1079" i="692"/>
  <c r="G1078" i="692"/>
  <c r="G1075" i="692"/>
  <c r="G1074" i="692"/>
  <c r="G1073" i="692"/>
  <c r="G1070" i="692"/>
  <c r="G1069" i="692"/>
  <c r="G1068" i="692"/>
  <c r="G1067" i="692"/>
  <c r="G1064" i="692"/>
  <c r="G1063" i="692"/>
  <c r="G1062" i="692"/>
  <c r="G1061" i="692"/>
  <c r="G1058" i="692"/>
  <c r="G1057" i="692"/>
  <c r="G1056" i="692"/>
  <c r="G1055" i="692"/>
  <c r="G1052" i="692"/>
  <c r="G1051" i="692"/>
  <c r="G1050" i="692"/>
  <c r="G1047" i="692"/>
  <c r="G1046" i="692"/>
  <c r="G1045" i="692"/>
  <c r="G1044" i="692"/>
  <c r="G1041" i="692"/>
  <c r="G1040" i="692"/>
  <c r="G1039" i="692"/>
  <c r="G1038" i="692"/>
  <c r="G1035" i="692"/>
  <c r="G1034" i="692"/>
  <c r="G1033" i="692"/>
  <c r="G1032" i="692"/>
  <c r="G1029" i="692"/>
  <c r="G1028" i="692"/>
  <c r="G1027" i="692"/>
  <c r="G1021" i="692"/>
  <c r="G1020" i="692"/>
  <c r="G1019" i="692"/>
  <c r="G1016" i="692"/>
  <c r="G1015" i="692"/>
  <c r="G1014" i="692"/>
  <c r="G1011" i="692"/>
  <c r="G1010" i="692"/>
  <c r="G1009" i="692"/>
  <c r="G1006" i="692"/>
  <c r="G1005" i="692"/>
  <c r="G1004" i="692"/>
  <c r="G1001" i="692"/>
  <c r="G1000" i="692"/>
  <c r="G999" i="692"/>
  <c r="G996" i="692"/>
  <c r="G995" i="692"/>
  <c r="G994" i="692"/>
  <c r="G991" i="692"/>
  <c r="G990" i="692"/>
  <c r="G989" i="692"/>
  <c r="G984" i="692"/>
  <c r="G983" i="692"/>
  <c r="G982" i="692"/>
  <c r="G981" i="692"/>
  <c r="G980" i="692"/>
  <c r="G979" i="692"/>
  <c r="G978" i="692"/>
  <c r="G975" i="692"/>
  <c r="G974" i="692"/>
  <c r="G973" i="692"/>
  <c r="G970" i="692"/>
  <c r="G969" i="692"/>
  <c r="G968" i="692"/>
  <c r="G962" i="692"/>
  <c r="G961" i="692"/>
  <c r="G960" i="692"/>
  <c r="G959" i="692"/>
  <c r="G958" i="692"/>
  <c r="G957" i="692"/>
  <c r="G956" i="692"/>
  <c r="G953" i="692"/>
  <c r="G951" i="692"/>
  <c r="G950" i="692"/>
  <c r="G931" i="692"/>
  <c r="G929" i="692"/>
  <c r="G927" i="692"/>
  <c r="G925" i="692"/>
  <c r="G1225" i="692"/>
  <c r="G920" i="692"/>
  <c r="G919" i="692"/>
  <c r="G918" i="692"/>
  <c r="G917" i="692"/>
  <c r="G910" i="692"/>
  <c r="G909" i="692"/>
  <c r="G908" i="692"/>
  <c r="G907" i="692"/>
  <c r="G903" i="692"/>
  <c r="G902" i="692"/>
  <c r="G901" i="692"/>
  <c r="G900" i="692"/>
  <c r="G887" i="692"/>
  <c r="G886" i="692"/>
  <c r="G884" i="692"/>
  <c r="G883" i="692"/>
  <c r="G882" i="692"/>
  <c r="G880" i="692"/>
  <c r="G879" i="692"/>
  <c r="G878" i="692"/>
  <c r="G876" i="692"/>
  <c r="G875" i="692"/>
  <c r="G874" i="692"/>
  <c r="G872" i="692"/>
  <c r="G871" i="692"/>
  <c r="G870" i="692"/>
  <c r="G868" i="692"/>
  <c r="G867" i="692"/>
  <c r="G866" i="692"/>
  <c r="G864" i="692"/>
  <c r="G863" i="692"/>
  <c r="G862" i="692"/>
  <c r="G860" i="692"/>
  <c r="G859" i="692"/>
  <c r="G858" i="692"/>
  <c r="G856" i="692"/>
  <c r="G855" i="692"/>
  <c r="G854" i="692"/>
  <c r="G852" i="692"/>
  <c r="G851" i="692"/>
  <c r="G850" i="692"/>
  <c r="G848" i="692"/>
  <c r="G847" i="692"/>
  <c r="G846" i="692"/>
  <c r="G844" i="692"/>
  <c r="G843" i="692"/>
  <c r="G842" i="692"/>
  <c r="G840" i="692"/>
  <c r="G839" i="692"/>
  <c r="G838" i="692"/>
  <c r="G826" i="692"/>
  <c r="G825" i="692"/>
  <c r="G821" i="692"/>
  <c r="G820" i="692"/>
  <c r="G816" i="692"/>
  <c r="G815" i="692"/>
  <c r="G811" i="692"/>
  <c r="G810" i="692"/>
  <c r="G798" i="692"/>
  <c r="G797" i="692"/>
  <c r="G793" i="692"/>
  <c r="G792" i="692"/>
  <c r="G788" i="692"/>
  <c r="G787" i="692"/>
  <c r="G783" i="692"/>
  <c r="G782" i="692"/>
  <c r="G778" i="692"/>
  <c r="G777" i="692"/>
  <c r="G773" i="692"/>
  <c r="G772" i="692"/>
  <c r="G768" i="692"/>
  <c r="G767" i="692"/>
  <c r="G763" i="692"/>
  <c r="G762" i="692"/>
  <c r="G758" i="692"/>
  <c r="G757" i="692"/>
  <c r="G745" i="692"/>
  <c r="G744" i="692"/>
  <c r="G740" i="692"/>
  <c r="G739" i="692"/>
  <c r="G735" i="692"/>
  <c r="G734" i="692"/>
  <c r="G730" i="692"/>
  <c r="G729" i="692"/>
  <c r="G725" i="692"/>
  <c r="G724" i="692"/>
  <c r="G720" i="692"/>
  <c r="G719" i="692"/>
  <c r="G715" i="692"/>
  <c r="G714" i="692"/>
  <c r="G710" i="692"/>
  <c r="G709" i="692"/>
  <c r="G705" i="692"/>
  <c r="G704" i="692"/>
  <c r="G700" i="692"/>
  <c r="G699" i="692"/>
  <c r="G695" i="692"/>
  <c r="G694" i="692"/>
  <c r="G690" i="692"/>
  <c r="G689" i="692"/>
  <c r="G685" i="692"/>
  <c r="G684" i="692"/>
  <c r="G680" i="692"/>
  <c r="G679" i="692"/>
  <c r="G675" i="692"/>
  <c r="G674" i="692"/>
  <c r="G670" i="692"/>
  <c r="G669" i="692"/>
  <c r="G665" i="692"/>
  <c r="G664" i="692"/>
  <c r="G660" i="692"/>
  <c r="G659" i="692"/>
  <c r="G655" i="692"/>
  <c r="G654" i="692"/>
  <c r="G647" i="692"/>
  <c r="G646" i="692"/>
  <c r="G627" i="692"/>
  <c r="G626" i="692"/>
  <c r="G622" i="692"/>
  <c r="G621" i="692"/>
  <c r="G617" i="692"/>
  <c r="G616" i="692"/>
  <c r="G612" i="692"/>
  <c r="G611" i="692"/>
  <c r="G607" i="692"/>
  <c r="G606" i="692"/>
  <c r="G602" i="692"/>
  <c r="G601" i="692"/>
  <c r="G597" i="692"/>
  <c r="G596" i="692"/>
  <c r="G592" i="692"/>
  <c r="G591" i="692"/>
  <c r="G587" i="692"/>
  <c r="G586" i="692"/>
  <c r="G582" i="692"/>
  <c r="G581" i="692"/>
  <c r="G577" i="692"/>
  <c r="G576" i="692"/>
  <c r="G572" i="692"/>
  <c r="G571" i="692"/>
  <c r="G567" i="692"/>
  <c r="G566" i="692"/>
  <c r="G562" i="692"/>
  <c r="G561" i="692"/>
  <c r="G557" i="692"/>
  <c r="G556" i="692"/>
  <c r="G552" i="692"/>
  <c r="G551" i="692"/>
  <c r="G547" i="692"/>
  <c r="G546" i="692"/>
  <c r="G542" i="692"/>
  <c r="G541" i="692"/>
  <c r="G537" i="692"/>
  <c r="G536" i="692"/>
  <c r="G532" i="692"/>
  <c r="G531" i="692"/>
  <c r="G527" i="692"/>
  <c r="G526" i="692"/>
  <c r="G522" i="692"/>
  <c r="G521" i="692"/>
  <c r="G496" i="692"/>
  <c r="G495" i="692"/>
  <c r="G491" i="692"/>
  <c r="G490" i="692"/>
  <c r="G486" i="692"/>
  <c r="G485" i="692"/>
  <c r="G481" i="692"/>
  <c r="G480" i="692"/>
  <c r="G476" i="692"/>
  <c r="G475" i="692"/>
  <c r="G471" i="692"/>
  <c r="G470" i="692"/>
  <c r="G466" i="692"/>
  <c r="G465" i="692"/>
  <c r="G461" i="692"/>
  <c r="G460" i="692"/>
  <c r="G456" i="692"/>
  <c r="G455" i="692"/>
  <c r="G451" i="692"/>
  <c r="G450" i="692"/>
  <c r="G446" i="692"/>
  <c r="G445" i="692"/>
  <c r="G441" i="692"/>
  <c r="G440" i="692"/>
  <c r="G436" i="692"/>
  <c r="G435" i="692"/>
  <c r="G431" i="692"/>
  <c r="G430" i="692"/>
  <c r="G426" i="692"/>
  <c r="G425" i="692"/>
  <c r="G421" i="692"/>
  <c r="G420" i="692"/>
  <c r="G416" i="692"/>
  <c r="G415" i="692"/>
  <c r="G411" i="692"/>
  <c r="G410" i="692"/>
  <c r="G406" i="692"/>
  <c r="G405" i="692"/>
  <c r="G401" i="692"/>
  <c r="G400" i="692"/>
  <c r="G396" i="692"/>
  <c r="G395" i="692"/>
  <c r="G391" i="692"/>
  <c r="G390" i="692"/>
  <c r="G386" i="692"/>
  <c r="G385" i="692"/>
  <c r="G381" i="692"/>
  <c r="G380" i="692"/>
  <c r="G354" i="692"/>
  <c r="G350" i="692"/>
  <c r="G358" i="692" s="1"/>
  <c r="G347" i="692"/>
  <c r="G345" i="692"/>
  <c r="G343" i="692"/>
  <c r="G341" i="692"/>
  <c r="G338" i="692"/>
  <c r="G336" i="692"/>
  <c r="G334" i="692"/>
  <c r="G321" i="692"/>
  <c r="G320" i="692"/>
  <c r="G318" i="692"/>
  <c r="G315" i="692"/>
  <c r="G313" i="692"/>
  <c r="G311" i="692"/>
  <c r="G309" i="692"/>
  <c r="G306" i="692"/>
  <c r="G304" i="692"/>
  <c r="G302" i="692"/>
  <c r="G300" i="692"/>
  <c r="G297" i="692"/>
  <c r="G295" i="692"/>
  <c r="G293" i="692"/>
  <c r="G291" i="692"/>
  <c r="G288" i="692"/>
  <c r="G286" i="692"/>
  <c r="G284" i="692"/>
  <c r="G282" i="692"/>
  <c r="G279" i="692"/>
  <c r="G277" i="692"/>
  <c r="G275" i="692"/>
  <c r="G273" i="692"/>
  <c r="G270" i="692"/>
  <c r="G268" i="692"/>
  <c r="G266" i="692"/>
  <c r="G264" i="692"/>
  <c r="G261" i="692"/>
  <c r="G259" i="692"/>
  <c r="G257" i="692"/>
  <c r="G255" i="692"/>
  <c r="G252" i="692"/>
  <c r="G250" i="692"/>
  <c r="G248" i="692"/>
  <c r="G246" i="692"/>
  <c r="G243" i="692"/>
  <c r="G241" i="692"/>
  <c r="G239" i="692"/>
  <c r="G226" i="692"/>
  <c r="G223" i="692"/>
  <c r="G221" i="692"/>
  <c r="G219" i="692"/>
  <c r="G217" i="692"/>
  <c r="G214" i="692"/>
  <c r="G212" i="692"/>
  <c r="G210" i="692"/>
  <c r="G197" i="692"/>
  <c r="G196" i="692"/>
  <c r="G194" i="692"/>
  <c r="G191" i="692"/>
  <c r="G189" i="692"/>
  <c r="G187" i="692"/>
  <c r="G185" i="692"/>
  <c r="G182" i="692"/>
  <c r="G180" i="692"/>
  <c r="G178" i="692"/>
  <c r="G176" i="692"/>
  <c r="G173" i="692"/>
  <c r="G171" i="692"/>
  <c r="G169" i="692"/>
  <c r="G167" i="692"/>
  <c r="G164" i="692"/>
  <c r="G162" i="692"/>
  <c r="G160" i="692"/>
  <c r="G158" i="692"/>
  <c r="G155" i="692"/>
  <c r="G153" i="692"/>
  <c r="G151" i="692"/>
  <c r="G149" i="692"/>
  <c r="G146" i="692"/>
  <c r="G144" i="692"/>
  <c r="G142" i="692"/>
  <c r="G140" i="692"/>
  <c r="G137" i="692"/>
  <c r="G135" i="692"/>
  <c r="G133" i="692"/>
  <c r="G131" i="692"/>
  <c r="G128" i="692"/>
  <c r="G126" i="692"/>
  <c r="G124" i="692"/>
  <c r="G122" i="692"/>
  <c r="G119" i="692"/>
  <c r="G117" i="692"/>
  <c r="G115" i="692"/>
  <c r="G113" i="692"/>
  <c r="G110" i="692"/>
  <c r="G108" i="692"/>
  <c r="G106" i="692"/>
  <c r="G104" i="692"/>
  <c r="G101" i="692"/>
  <c r="G99" i="692"/>
  <c r="G97" i="692"/>
  <c r="G95" i="692"/>
  <c r="G92" i="692"/>
  <c r="G90" i="692"/>
  <c r="G88" i="692"/>
  <c r="G86" i="692"/>
  <c r="G83" i="692"/>
  <c r="G81" i="692"/>
  <c r="G79" i="692"/>
  <c r="G77" i="692"/>
  <c r="G74" i="692"/>
  <c r="G72" i="692"/>
  <c r="G70" i="692"/>
  <c r="G68" i="692"/>
  <c r="G65" i="692"/>
  <c r="G63" i="692"/>
  <c r="G61" i="692"/>
  <c r="G59" i="692"/>
  <c r="G56" i="692"/>
  <c r="G55" i="692"/>
  <c r="G54" i="692"/>
  <c r="G53" i="692"/>
  <c r="G52" i="692"/>
  <c r="G50" i="692"/>
  <c r="G47" i="692"/>
  <c r="G45" i="692"/>
  <c r="G43" i="692"/>
  <c r="G41" i="692"/>
  <c r="G39" i="692"/>
  <c r="G38" i="692"/>
  <c r="G36" i="692"/>
  <c r="G34" i="692"/>
  <c r="G32" i="692"/>
  <c r="G30" i="692"/>
  <c r="G29" i="692"/>
  <c r="G27" i="692"/>
  <c r="G25" i="692"/>
  <c r="G23" i="692"/>
  <c r="G21" i="692"/>
  <c r="G20" i="692"/>
  <c r="G18" i="692"/>
  <c r="G16" i="692"/>
  <c r="A1" i="692"/>
  <c r="G1246" i="691"/>
  <c r="G1245" i="691"/>
  <c r="G1229" i="691"/>
  <c r="G1228" i="691"/>
  <c r="G1227" i="691"/>
  <c r="G1224" i="691"/>
  <c r="G1198" i="691"/>
  <c r="G1199" i="691" s="1"/>
  <c r="G1194" i="691"/>
  <c r="G1193" i="691"/>
  <c r="G1192" i="691"/>
  <c r="G1191" i="691"/>
  <c r="G1187" i="691"/>
  <c r="G1186" i="691"/>
  <c r="G1185" i="691"/>
  <c r="G1184" i="691"/>
  <c r="G1180" i="691"/>
  <c r="G1179" i="691"/>
  <c r="G1178" i="691"/>
  <c r="G1177" i="691"/>
  <c r="G1173" i="691"/>
  <c r="G1174" i="691" s="1"/>
  <c r="G1169" i="691"/>
  <c r="G1168" i="691"/>
  <c r="G1164" i="691"/>
  <c r="G1163" i="691"/>
  <c r="G1159" i="691"/>
  <c r="G1158" i="691"/>
  <c r="G1157" i="691"/>
  <c r="G1156" i="691"/>
  <c r="G1152" i="691"/>
  <c r="G1151" i="691"/>
  <c r="G1150" i="691"/>
  <c r="G1149" i="691"/>
  <c r="G1145" i="691"/>
  <c r="G1141" i="691"/>
  <c r="G1142" i="691" s="1"/>
  <c r="G1137" i="691"/>
  <c r="G1136" i="691"/>
  <c r="G1119" i="691"/>
  <c r="G1118" i="691"/>
  <c r="G1117" i="691"/>
  <c r="G1116" i="691"/>
  <c r="G1112" i="691"/>
  <c r="G1111" i="691"/>
  <c r="G1110" i="691"/>
  <c r="G1109" i="691"/>
  <c r="G1105" i="691"/>
  <c r="G1104" i="691"/>
  <c r="G1103" i="691"/>
  <c r="G1102" i="691"/>
  <c r="G1098" i="691"/>
  <c r="G1099" i="691" s="1"/>
  <c r="G1091" i="691"/>
  <c r="G964" i="691" s="1"/>
  <c r="G1086" i="691"/>
  <c r="G1085" i="691"/>
  <c r="G1084" i="691"/>
  <c r="G1080" i="691"/>
  <c r="G1079" i="691"/>
  <c r="G1078" i="691"/>
  <c r="G1075" i="691"/>
  <c r="G1074" i="691"/>
  <c r="G1073" i="691"/>
  <c r="G1070" i="691"/>
  <c r="G1069" i="691"/>
  <c r="G1068" i="691"/>
  <c r="G1067" i="691"/>
  <c r="G1064" i="691"/>
  <c r="G1063" i="691"/>
  <c r="G1062" i="691"/>
  <c r="G1061" i="691"/>
  <c r="G1058" i="691"/>
  <c r="G1057" i="691"/>
  <c r="G1056" i="691"/>
  <c r="G1055" i="691"/>
  <c r="G1052" i="691"/>
  <c r="G1051" i="691"/>
  <c r="G1050" i="691"/>
  <c r="G1047" i="691"/>
  <c r="G1046" i="691"/>
  <c r="G1045" i="691"/>
  <c r="G1044" i="691"/>
  <c r="G1041" i="691"/>
  <c r="G1040" i="691"/>
  <c r="G1039" i="691"/>
  <c r="G1038" i="691"/>
  <c r="G1035" i="691"/>
  <c r="G1034" i="691"/>
  <c r="G1033" i="691"/>
  <c r="G1032" i="691"/>
  <c r="G1029" i="691"/>
  <c r="G1028" i="691"/>
  <c r="G1027" i="691"/>
  <c r="G1021" i="691"/>
  <c r="G1020" i="691"/>
  <c r="G1019" i="691"/>
  <c r="G1016" i="691"/>
  <c r="G1015" i="691"/>
  <c r="G1014" i="691"/>
  <c r="G1011" i="691"/>
  <c r="G1010" i="691"/>
  <c r="G1009" i="691"/>
  <c r="G1006" i="691"/>
  <c r="G1005" i="691"/>
  <c r="G1004" i="691"/>
  <c r="G1001" i="691"/>
  <c r="G1000" i="691"/>
  <c r="G999" i="691"/>
  <c r="G996" i="691"/>
  <c r="G995" i="691"/>
  <c r="G994" i="691"/>
  <c r="G991" i="691"/>
  <c r="G990" i="691"/>
  <c r="G989" i="691"/>
  <c r="G984" i="691"/>
  <c r="G983" i="691"/>
  <c r="G982" i="691"/>
  <c r="G981" i="691"/>
  <c r="G980" i="691"/>
  <c r="G979" i="691"/>
  <c r="G978" i="691"/>
  <c r="G975" i="691"/>
  <c r="G974" i="691"/>
  <c r="G973" i="691"/>
  <c r="G970" i="691"/>
  <c r="G969" i="691"/>
  <c r="G968" i="691"/>
  <c r="G962" i="691"/>
  <c r="G961" i="691"/>
  <c r="G960" i="691"/>
  <c r="G959" i="691"/>
  <c r="G958" i="691"/>
  <c r="G957" i="691"/>
  <c r="G956" i="691"/>
  <c r="G953" i="691"/>
  <c r="G951" i="691"/>
  <c r="G950" i="691"/>
  <c r="G931" i="691"/>
  <c r="G929" i="691"/>
  <c r="G927" i="691"/>
  <c r="G925" i="691"/>
  <c r="G1225" i="691"/>
  <c r="G920" i="691"/>
  <c r="G919" i="691"/>
  <c r="G918" i="691"/>
  <c r="G917" i="691"/>
  <c r="G910" i="691"/>
  <c r="G909" i="691"/>
  <c r="G908" i="691"/>
  <c r="G907" i="691"/>
  <c r="G903" i="691"/>
  <c r="G902" i="691"/>
  <c r="G901" i="691"/>
  <c r="G900" i="691"/>
  <c r="G887" i="691"/>
  <c r="G886" i="691"/>
  <c r="G884" i="691"/>
  <c r="G883" i="691"/>
  <c r="G882" i="691"/>
  <c r="G880" i="691"/>
  <c r="G879" i="691"/>
  <c r="G878" i="691"/>
  <c r="G876" i="691"/>
  <c r="G875" i="691"/>
  <c r="G874" i="691"/>
  <c r="G872" i="691"/>
  <c r="G871" i="691"/>
  <c r="G870" i="691"/>
  <c r="G868" i="691"/>
  <c r="G867" i="691"/>
  <c r="G866" i="691"/>
  <c r="G864" i="691"/>
  <c r="G863" i="691"/>
  <c r="G862" i="691"/>
  <c r="G860" i="691"/>
  <c r="G859" i="691"/>
  <c r="G858" i="691"/>
  <c r="G856" i="691"/>
  <c r="G855" i="691"/>
  <c r="G854" i="691"/>
  <c r="G852" i="691"/>
  <c r="G851" i="691"/>
  <c r="G850" i="691"/>
  <c r="G848" i="691"/>
  <c r="G847" i="691"/>
  <c r="G846" i="691"/>
  <c r="G844" i="691"/>
  <c r="G843" i="691"/>
  <c r="G842" i="691"/>
  <c r="G840" i="691"/>
  <c r="G839" i="691"/>
  <c r="G838" i="691"/>
  <c r="G826" i="691"/>
  <c r="G825" i="691"/>
  <c r="G821" i="691"/>
  <c r="G820" i="691"/>
  <c r="G816" i="691"/>
  <c r="G815" i="691"/>
  <c r="G811" i="691"/>
  <c r="G810" i="691"/>
  <c r="G798" i="691"/>
  <c r="G797" i="691"/>
  <c r="G793" i="691"/>
  <c r="G792" i="691"/>
  <c r="G788" i="691"/>
  <c r="G787" i="691"/>
  <c r="G783" i="691"/>
  <c r="G782" i="691"/>
  <c r="G778" i="691"/>
  <c r="G777" i="691"/>
  <c r="G773" i="691"/>
  <c r="G772" i="691"/>
  <c r="G768" i="691"/>
  <c r="G767" i="691"/>
  <c r="G763" i="691"/>
  <c r="G762" i="691"/>
  <c r="G758" i="691"/>
  <c r="G757" i="691"/>
  <c r="G745" i="691"/>
  <c r="G744" i="691"/>
  <c r="G740" i="691"/>
  <c r="G739" i="691"/>
  <c r="G735" i="691"/>
  <c r="G734" i="691"/>
  <c r="G730" i="691"/>
  <c r="G729" i="691"/>
  <c r="G725" i="691"/>
  <c r="G724" i="691"/>
  <c r="G720" i="691"/>
  <c r="G719" i="691"/>
  <c r="G715" i="691"/>
  <c r="G714" i="691"/>
  <c r="G710" i="691"/>
  <c r="G709" i="691"/>
  <c r="G705" i="691"/>
  <c r="G704" i="691"/>
  <c r="G700" i="691"/>
  <c r="G699" i="691"/>
  <c r="G695" i="691"/>
  <c r="G694" i="691"/>
  <c r="G690" i="691"/>
  <c r="G689" i="691"/>
  <c r="G685" i="691"/>
  <c r="G684" i="691"/>
  <c r="G680" i="691"/>
  <c r="G679" i="691"/>
  <c r="G675" i="691"/>
  <c r="G674" i="691"/>
  <c r="G670" i="691"/>
  <c r="G669" i="691"/>
  <c r="G665" i="691"/>
  <c r="G664" i="691"/>
  <c r="G660" i="691"/>
  <c r="G659" i="691"/>
  <c r="G655" i="691"/>
  <c r="G654" i="691"/>
  <c r="G647" i="691"/>
  <c r="G646" i="691"/>
  <c r="G627" i="691"/>
  <c r="G626" i="691"/>
  <c r="G622" i="691"/>
  <c r="G621" i="691"/>
  <c r="G617" i="691"/>
  <c r="G616" i="691"/>
  <c r="G612" i="691"/>
  <c r="G611" i="691"/>
  <c r="G607" i="691"/>
  <c r="G606" i="691"/>
  <c r="G602" i="691"/>
  <c r="G601" i="691"/>
  <c r="G597" i="691"/>
  <c r="G596" i="691"/>
  <c r="G592" i="691"/>
  <c r="G591" i="691"/>
  <c r="G587" i="691"/>
  <c r="G586" i="691"/>
  <c r="G582" i="691"/>
  <c r="G581" i="691"/>
  <c r="G577" i="691"/>
  <c r="G576" i="691"/>
  <c r="G572" i="691"/>
  <c r="G571" i="691"/>
  <c r="G567" i="691"/>
  <c r="G566" i="691"/>
  <c r="G562" i="691"/>
  <c r="G561" i="691"/>
  <c r="G557" i="691"/>
  <c r="G556" i="691"/>
  <c r="G552" i="691"/>
  <c r="G551" i="691"/>
  <c r="G547" i="691"/>
  <c r="G546" i="691"/>
  <c r="G542" i="691"/>
  <c r="G541" i="691"/>
  <c r="G537" i="691"/>
  <c r="G536" i="691"/>
  <c r="G532" i="691"/>
  <c r="G531" i="691"/>
  <c r="G527" i="691"/>
  <c r="G526" i="691"/>
  <c r="G522" i="691"/>
  <c r="G521" i="691"/>
  <c r="G496" i="691"/>
  <c r="G495" i="691"/>
  <c r="G491" i="691"/>
  <c r="G490" i="691"/>
  <c r="G486" i="691"/>
  <c r="G485" i="691"/>
  <c r="G481" i="691"/>
  <c r="G480" i="691"/>
  <c r="G476" i="691"/>
  <c r="G475" i="691"/>
  <c r="G471" i="691"/>
  <c r="G470" i="691"/>
  <c r="G466" i="691"/>
  <c r="G465" i="691"/>
  <c r="G461" i="691"/>
  <c r="G460" i="691"/>
  <c r="G456" i="691"/>
  <c r="G455" i="691"/>
  <c r="G451" i="691"/>
  <c r="G450" i="691"/>
  <c r="G446" i="691"/>
  <c r="G445" i="691"/>
  <c r="G441" i="691"/>
  <c r="G440" i="691"/>
  <c r="G436" i="691"/>
  <c r="G435" i="691"/>
  <c r="G431" i="691"/>
  <c r="G430" i="691"/>
  <c r="G426" i="691"/>
  <c r="G425" i="691"/>
  <c r="G421" i="691"/>
  <c r="G420" i="691"/>
  <c r="G416" i="691"/>
  <c r="G415" i="691"/>
  <c r="G411" i="691"/>
  <c r="G410" i="691"/>
  <c r="G406" i="691"/>
  <c r="G405" i="691"/>
  <c r="G401" i="691"/>
  <c r="G400" i="691"/>
  <c r="G396" i="691"/>
  <c r="G395" i="691"/>
  <c r="G391" i="691"/>
  <c r="G390" i="691"/>
  <c r="G386" i="691"/>
  <c r="G385" i="691"/>
  <c r="G381" i="691"/>
  <c r="G380" i="691"/>
  <c r="G354" i="691"/>
  <c r="G350" i="691"/>
  <c r="G358" i="691" s="1"/>
  <c r="G347" i="691"/>
  <c r="G345" i="691"/>
  <c r="G343" i="691"/>
  <c r="G341" i="691"/>
  <c r="G338" i="691"/>
  <c r="G336" i="691"/>
  <c r="G334" i="691"/>
  <c r="G321" i="691"/>
  <c r="G320" i="691"/>
  <c r="G318" i="691"/>
  <c r="G315" i="691"/>
  <c r="G313" i="691"/>
  <c r="G311" i="691"/>
  <c r="G309" i="691"/>
  <c r="G306" i="691"/>
  <c r="G304" i="691"/>
  <c r="G302" i="691"/>
  <c r="G300" i="691"/>
  <c r="G297" i="691"/>
  <c r="G295" i="691"/>
  <c r="G293" i="691"/>
  <c r="G291" i="691"/>
  <c r="G288" i="691"/>
  <c r="G286" i="691"/>
  <c r="G284" i="691"/>
  <c r="G282" i="691"/>
  <c r="G279" i="691"/>
  <c r="G277" i="691"/>
  <c r="G275" i="691"/>
  <c r="G273" i="691"/>
  <c r="G270" i="691"/>
  <c r="G268" i="691"/>
  <c r="G266" i="691"/>
  <c r="G264" i="691"/>
  <c r="G261" i="691"/>
  <c r="G259" i="691"/>
  <c r="G257" i="691"/>
  <c r="G255" i="691"/>
  <c r="G252" i="691"/>
  <c r="G250" i="691"/>
  <c r="G248" i="691"/>
  <c r="G246" i="691"/>
  <c r="G243" i="691"/>
  <c r="G241" i="691"/>
  <c r="G239" i="691"/>
  <c r="G226" i="691"/>
  <c r="G223" i="691"/>
  <c r="G221" i="691"/>
  <c r="G219" i="691"/>
  <c r="G217" i="691"/>
  <c r="G214" i="691"/>
  <c r="G212" i="691"/>
  <c r="G210" i="691"/>
  <c r="G197" i="691"/>
  <c r="G196" i="691"/>
  <c r="G194" i="691"/>
  <c r="G191" i="691"/>
  <c r="G189" i="691"/>
  <c r="G187" i="691"/>
  <c r="G185" i="691"/>
  <c r="G182" i="691"/>
  <c r="G180" i="691"/>
  <c r="G178" i="691"/>
  <c r="G176" i="691"/>
  <c r="G173" i="691"/>
  <c r="G171" i="691"/>
  <c r="G169" i="691"/>
  <c r="G167" i="691"/>
  <c r="G164" i="691"/>
  <c r="G162" i="691"/>
  <c r="G160" i="691"/>
  <c r="G158" i="691"/>
  <c r="G155" i="691"/>
  <c r="G153" i="691"/>
  <c r="G151" i="691"/>
  <c r="G149" i="691"/>
  <c r="G146" i="691"/>
  <c r="G144" i="691"/>
  <c r="G142" i="691"/>
  <c r="G140" i="691"/>
  <c r="G137" i="691"/>
  <c r="G135" i="691"/>
  <c r="G133" i="691"/>
  <c r="G131" i="691"/>
  <c r="G128" i="691"/>
  <c r="G126" i="691"/>
  <c r="G124" i="691"/>
  <c r="G122" i="691"/>
  <c r="G119" i="691"/>
  <c r="G117" i="691"/>
  <c r="G115" i="691"/>
  <c r="G113" i="691"/>
  <c r="G110" i="691"/>
  <c r="G108" i="691"/>
  <c r="G106" i="691"/>
  <c r="G104" i="691"/>
  <c r="G101" i="691"/>
  <c r="G99" i="691"/>
  <c r="G97" i="691"/>
  <c r="G95" i="691"/>
  <c r="G92" i="691"/>
  <c r="G90" i="691"/>
  <c r="G88" i="691"/>
  <c r="G86" i="691"/>
  <c r="G83" i="691"/>
  <c r="G81" i="691"/>
  <c r="G79" i="691"/>
  <c r="G77" i="691"/>
  <c r="G74" i="691"/>
  <c r="G72" i="691"/>
  <c r="G70" i="691"/>
  <c r="G68" i="691"/>
  <c r="G65" i="691"/>
  <c r="G63" i="691"/>
  <c r="G61" i="691"/>
  <c r="G59" i="691"/>
  <c r="G56" i="691"/>
  <c r="G55" i="691"/>
  <c r="G54" i="691"/>
  <c r="G53" i="691"/>
  <c r="G52" i="691"/>
  <c r="G50" i="691"/>
  <c r="G47" i="691"/>
  <c r="G45" i="691"/>
  <c r="G43" i="691"/>
  <c r="G41" i="691"/>
  <c r="G39" i="691"/>
  <c r="G38" i="691"/>
  <c r="G36" i="691"/>
  <c r="G34" i="691"/>
  <c r="G32" i="691"/>
  <c r="G30" i="691"/>
  <c r="G29" i="691"/>
  <c r="G27" i="691"/>
  <c r="G25" i="691"/>
  <c r="G23" i="691"/>
  <c r="G20" i="691"/>
  <c r="G18" i="691"/>
  <c r="G16" i="691"/>
  <c r="A1" i="691"/>
  <c r="G1246" i="690"/>
  <c r="G1245" i="690"/>
  <c r="G1229" i="690"/>
  <c r="G1228" i="690"/>
  <c r="G1227" i="690"/>
  <c r="G1224" i="690"/>
  <c r="G1198" i="690"/>
  <c r="G1199" i="690" s="1"/>
  <c r="G1194" i="690"/>
  <c r="G1193" i="690"/>
  <c r="G1192" i="690"/>
  <c r="G1191" i="690"/>
  <c r="G1187" i="690"/>
  <c r="G1186" i="690"/>
  <c r="G1185" i="690"/>
  <c r="G1184" i="690"/>
  <c r="G1180" i="690"/>
  <c r="G1179" i="690"/>
  <c r="G1178" i="690"/>
  <c r="G1177" i="690"/>
  <c r="G1173" i="690"/>
  <c r="G1174" i="690" s="1"/>
  <c r="G1169" i="690"/>
  <c r="G1168" i="690"/>
  <c r="G1164" i="690"/>
  <c r="G1163" i="690"/>
  <c r="G1159" i="690"/>
  <c r="G1158" i="690"/>
  <c r="G1157" i="690"/>
  <c r="G1156" i="690"/>
  <c r="G1152" i="690"/>
  <c r="G1151" i="690"/>
  <c r="G1150" i="690"/>
  <c r="G1149" i="690"/>
  <c r="G1145" i="690"/>
  <c r="G1141" i="690"/>
  <c r="G1142" i="690" s="1"/>
  <c r="G1137" i="690"/>
  <c r="G1136" i="690"/>
  <c r="G1241" i="690"/>
  <c r="G1119" i="690"/>
  <c r="G1118" i="690"/>
  <c r="G1117" i="690"/>
  <c r="G1116" i="690"/>
  <c r="G1112" i="690"/>
  <c r="G1111" i="690"/>
  <c r="G1110" i="690"/>
  <c r="G1109" i="690"/>
  <c r="G1105" i="690"/>
  <c r="G1104" i="690"/>
  <c r="G1103" i="690"/>
  <c r="G1102" i="690"/>
  <c r="G1098" i="690"/>
  <c r="G1099" i="690" s="1"/>
  <c r="G1092" i="690"/>
  <c r="G1242" i="690"/>
  <c r="G1091" i="690"/>
  <c r="G964" i="690" s="1"/>
  <c r="G1086" i="690"/>
  <c r="G1085" i="690"/>
  <c r="G1084" i="690"/>
  <c r="G1080" i="690"/>
  <c r="G1079" i="690"/>
  <c r="G1078" i="690"/>
  <c r="G1075" i="690"/>
  <c r="G1074" i="690"/>
  <c r="G1073" i="690"/>
  <c r="G1070" i="690"/>
  <c r="G1069" i="690"/>
  <c r="G1068" i="690"/>
  <c r="G1067" i="690"/>
  <c r="G1064" i="690"/>
  <c r="G1063" i="690"/>
  <c r="G1062" i="690"/>
  <c r="G1061" i="690"/>
  <c r="G1058" i="690"/>
  <c r="G1057" i="690"/>
  <c r="G1056" i="690"/>
  <c r="G1055" i="690"/>
  <c r="G1052" i="690"/>
  <c r="G1051" i="690"/>
  <c r="G1050" i="690"/>
  <c r="G1047" i="690"/>
  <c r="G1046" i="690"/>
  <c r="G1045" i="690"/>
  <c r="G1044" i="690"/>
  <c r="G1041" i="690"/>
  <c r="G1040" i="690"/>
  <c r="G1039" i="690"/>
  <c r="G1038" i="690"/>
  <c r="G1035" i="690"/>
  <c r="G1034" i="690"/>
  <c r="G1033" i="690"/>
  <c r="G1032" i="690"/>
  <c r="G1029" i="690"/>
  <c r="G1028" i="690"/>
  <c r="G1027" i="690"/>
  <c r="G1021" i="690"/>
  <c r="G1020" i="690"/>
  <c r="G1019" i="690"/>
  <c r="G1016" i="690"/>
  <c r="G1015" i="690"/>
  <c r="G1014" i="690"/>
  <c r="G1011" i="690"/>
  <c r="G1010" i="690"/>
  <c r="G1009" i="690"/>
  <c r="G1006" i="690"/>
  <c r="G1005" i="690"/>
  <c r="G1004" i="690"/>
  <c r="G1001" i="690"/>
  <c r="G1000" i="690"/>
  <c r="G999" i="690"/>
  <c r="G996" i="690"/>
  <c r="G995" i="690"/>
  <c r="G994" i="690"/>
  <c r="G991" i="690"/>
  <c r="G990" i="690"/>
  <c r="G989" i="690"/>
  <c r="G985" i="690"/>
  <c r="G984" i="690"/>
  <c r="G983" i="690"/>
  <c r="G982" i="690"/>
  <c r="G981" i="690"/>
  <c r="G980" i="690"/>
  <c r="G979" i="690"/>
  <c r="G978" i="690"/>
  <c r="G975" i="690"/>
  <c r="G974" i="690"/>
  <c r="G973" i="690"/>
  <c r="G970" i="690"/>
  <c r="G969" i="690"/>
  <c r="G968" i="690"/>
  <c r="G962" i="690"/>
  <c r="G961" i="690"/>
  <c r="G960" i="690"/>
  <c r="G959" i="690"/>
  <c r="G958" i="690"/>
  <c r="G957" i="690"/>
  <c r="G956" i="690"/>
  <c r="G953" i="690"/>
  <c r="G951" i="690"/>
  <c r="G950" i="690"/>
  <c r="G931" i="690"/>
  <c r="G929" i="690"/>
  <c r="G927" i="690"/>
  <c r="G925" i="690"/>
  <c r="G1225" i="690"/>
  <c r="G920" i="690"/>
  <c r="G919" i="690"/>
  <c r="G918" i="690"/>
  <c r="G917" i="690"/>
  <c r="G910" i="690"/>
  <c r="G909" i="690"/>
  <c r="G908" i="690"/>
  <c r="G907" i="690"/>
  <c r="G903" i="690"/>
  <c r="G902" i="690"/>
  <c r="G901" i="690"/>
  <c r="G900" i="690"/>
  <c r="G887" i="690"/>
  <c r="G886" i="690"/>
  <c r="G884" i="690"/>
  <c r="G883" i="690"/>
  <c r="G882" i="690"/>
  <c r="G880" i="690"/>
  <c r="G879" i="690"/>
  <c r="G878" i="690"/>
  <c r="G876" i="690"/>
  <c r="G875" i="690"/>
  <c r="G874" i="690"/>
  <c r="G872" i="690"/>
  <c r="G871" i="690"/>
  <c r="G870" i="690"/>
  <c r="G868" i="690"/>
  <c r="G867" i="690"/>
  <c r="G866" i="690"/>
  <c r="G864" i="690"/>
  <c r="G863" i="690"/>
  <c r="G862" i="690"/>
  <c r="G860" i="690"/>
  <c r="G859" i="690"/>
  <c r="G858" i="690"/>
  <c r="G856" i="690"/>
  <c r="G855" i="690"/>
  <c r="G854" i="690"/>
  <c r="G852" i="690"/>
  <c r="G851" i="690"/>
  <c r="G850" i="690"/>
  <c r="G848" i="690"/>
  <c r="G847" i="690"/>
  <c r="G846" i="690"/>
  <c r="G844" i="690"/>
  <c r="G843" i="690"/>
  <c r="G842" i="690"/>
  <c r="G840" i="690"/>
  <c r="G839" i="690"/>
  <c r="G838" i="690"/>
  <c r="G826" i="690"/>
  <c r="G825" i="690"/>
  <c r="G821" i="690"/>
  <c r="G820" i="690"/>
  <c r="G816" i="690"/>
  <c r="G815" i="690"/>
  <c r="G833" i="690"/>
  <c r="G811" i="690"/>
  <c r="G810" i="690"/>
  <c r="G798" i="690"/>
  <c r="G797" i="690"/>
  <c r="G793" i="690"/>
  <c r="G792" i="690"/>
  <c r="G788" i="690"/>
  <c r="G787" i="690"/>
  <c r="G783" i="690"/>
  <c r="G782" i="690"/>
  <c r="G778" i="690"/>
  <c r="G777" i="690"/>
  <c r="G773" i="690"/>
  <c r="G772" i="690"/>
  <c r="G768" i="690"/>
  <c r="G767" i="690"/>
  <c r="G763" i="690"/>
  <c r="G762" i="690"/>
  <c r="G758" i="690"/>
  <c r="G757" i="690"/>
  <c r="G745" i="690"/>
  <c r="G744" i="690"/>
  <c r="G740" i="690"/>
  <c r="G739" i="690"/>
  <c r="G735" i="690"/>
  <c r="G734" i="690"/>
  <c r="G730" i="690"/>
  <c r="G729" i="690"/>
  <c r="G725" i="690"/>
  <c r="G724" i="690"/>
  <c r="G720" i="690"/>
  <c r="G719" i="690"/>
  <c r="G715" i="690"/>
  <c r="G714" i="690"/>
  <c r="G710" i="690"/>
  <c r="G709" i="690"/>
  <c r="G705" i="690"/>
  <c r="G704" i="690"/>
  <c r="G700" i="690"/>
  <c r="G699" i="690"/>
  <c r="G695" i="690"/>
  <c r="G694" i="690"/>
  <c r="G690" i="690"/>
  <c r="G689" i="690"/>
  <c r="G685" i="690"/>
  <c r="G684" i="690"/>
  <c r="G680" i="690"/>
  <c r="G679" i="690"/>
  <c r="G675" i="690"/>
  <c r="G674" i="690"/>
  <c r="G670" i="690"/>
  <c r="G669" i="690"/>
  <c r="G665" i="690"/>
  <c r="G664" i="690"/>
  <c r="G660" i="690"/>
  <c r="G659" i="690"/>
  <c r="G655" i="690"/>
  <c r="G654" i="690"/>
  <c r="G647" i="690"/>
  <c r="G646" i="690"/>
  <c r="G627" i="690"/>
  <c r="G626" i="690"/>
  <c r="G622" i="690"/>
  <c r="G621" i="690"/>
  <c r="G617" i="690"/>
  <c r="G616" i="690"/>
  <c r="G612" i="690"/>
  <c r="G611" i="690"/>
  <c r="G607" i="690"/>
  <c r="G606" i="690"/>
  <c r="G602" i="690"/>
  <c r="G601" i="690"/>
  <c r="G597" i="690"/>
  <c r="G596" i="690"/>
  <c r="G592" i="690"/>
  <c r="G591" i="690"/>
  <c r="G587" i="690"/>
  <c r="G586" i="690"/>
  <c r="G582" i="690"/>
  <c r="G581" i="690"/>
  <c r="G577" i="690"/>
  <c r="G576" i="690"/>
  <c r="G572" i="690"/>
  <c r="G571" i="690"/>
  <c r="G567" i="690"/>
  <c r="G566" i="690"/>
  <c r="G562" i="690"/>
  <c r="G561" i="690"/>
  <c r="G557" i="690"/>
  <c r="G556" i="690"/>
  <c r="G552" i="690"/>
  <c r="G551" i="690"/>
  <c r="G547" i="690"/>
  <c r="G546" i="690"/>
  <c r="G542" i="690"/>
  <c r="G541" i="690"/>
  <c r="G537" i="690"/>
  <c r="G536" i="690"/>
  <c r="G532" i="690"/>
  <c r="G531" i="690"/>
  <c r="G527" i="690"/>
  <c r="G526" i="690"/>
  <c r="G522" i="690"/>
  <c r="G521" i="690"/>
  <c r="G496" i="690"/>
  <c r="G495" i="690"/>
  <c r="G491" i="690"/>
  <c r="G490" i="690"/>
  <c r="G486" i="690"/>
  <c r="G485" i="690"/>
  <c r="G481" i="690"/>
  <c r="G480" i="690"/>
  <c r="G476" i="690"/>
  <c r="G475" i="690"/>
  <c r="G471" i="690"/>
  <c r="G470" i="690"/>
  <c r="G466" i="690"/>
  <c r="G465" i="690"/>
  <c r="G461" i="690"/>
  <c r="G460" i="690"/>
  <c r="G456" i="690"/>
  <c r="G455" i="690"/>
  <c r="G451" i="690"/>
  <c r="G450" i="690"/>
  <c r="G446" i="690"/>
  <c r="G445" i="690"/>
  <c r="G441" i="690"/>
  <c r="G440" i="690"/>
  <c r="G436" i="690"/>
  <c r="G435" i="690"/>
  <c r="G431" i="690"/>
  <c r="G430" i="690"/>
  <c r="G426" i="690"/>
  <c r="G425" i="690"/>
  <c r="G421" i="690"/>
  <c r="G420" i="690"/>
  <c r="G416" i="690"/>
  <c r="G415" i="690"/>
  <c r="G411" i="690"/>
  <c r="G410" i="690"/>
  <c r="G406" i="690"/>
  <c r="G405" i="690"/>
  <c r="G401" i="690"/>
  <c r="G400" i="690"/>
  <c r="G396" i="690"/>
  <c r="G395" i="690"/>
  <c r="G391" i="690"/>
  <c r="G390" i="690"/>
  <c r="G386" i="690"/>
  <c r="G385" i="690"/>
  <c r="G381" i="690"/>
  <c r="G380" i="690"/>
  <c r="G354" i="690"/>
  <c r="G350" i="690"/>
  <c r="G358" i="690" s="1"/>
  <c r="G347" i="690"/>
  <c r="G345" i="690"/>
  <c r="G343" i="690"/>
  <c r="G341" i="690"/>
  <c r="G359" i="690" s="1"/>
  <c r="G338" i="690"/>
  <c r="G336" i="690"/>
  <c r="G334" i="690"/>
  <c r="G321" i="690"/>
  <c r="G320" i="690"/>
  <c r="G318" i="690"/>
  <c r="G315" i="690"/>
  <c r="G313" i="690"/>
  <c r="G311" i="690"/>
  <c r="G309" i="690"/>
  <c r="G306" i="690"/>
  <c r="G304" i="690"/>
  <c r="G302" i="690"/>
  <c r="G300" i="690"/>
  <c r="G297" i="690"/>
  <c r="G295" i="690"/>
  <c r="G293" i="690"/>
  <c r="G291" i="690"/>
  <c r="G288" i="690"/>
  <c r="G286" i="690"/>
  <c r="G284" i="690"/>
  <c r="G282" i="690"/>
  <c r="G279" i="690"/>
  <c r="G277" i="690"/>
  <c r="G324" i="690" s="1"/>
  <c r="G275" i="690"/>
  <c r="G273" i="690"/>
  <c r="G270" i="690"/>
  <c r="G268" i="690"/>
  <c r="G266" i="690"/>
  <c r="G264" i="690"/>
  <c r="G261" i="690"/>
  <c r="G259" i="690"/>
  <c r="G257" i="690"/>
  <c r="G255" i="690"/>
  <c r="G252" i="690"/>
  <c r="G250" i="690"/>
  <c r="G248" i="690"/>
  <c r="G246" i="690"/>
  <c r="G243" i="690"/>
  <c r="G241" i="690"/>
  <c r="G239" i="690"/>
  <c r="G226" i="690"/>
  <c r="G223" i="690"/>
  <c r="G221" i="690"/>
  <c r="G219" i="690"/>
  <c r="G217" i="690"/>
  <c r="G214" i="690"/>
  <c r="G212" i="690"/>
  <c r="G230" i="690" s="1"/>
  <c r="G210" i="690"/>
  <c r="G197" i="690"/>
  <c r="G196" i="690"/>
  <c r="G194" i="690"/>
  <c r="G191" i="690"/>
  <c r="G189" i="690"/>
  <c r="G187" i="690"/>
  <c r="G185" i="690"/>
  <c r="G182" i="690"/>
  <c r="G180" i="690"/>
  <c r="G178" i="690"/>
  <c r="G176" i="690"/>
  <c r="G173" i="690"/>
  <c r="G171" i="690"/>
  <c r="G169" i="690"/>
  <c r="G167" i="690"/>
  <c r="G164" i="690"/>
  <c r="G162" i="690"/>
  <c r="G160" i="690"/>
  <c r="G158" i="690"/>
  <c r="G155" i="690"/>
  <c r="G153" i="690"/>
  <c r="G151" i="690"/>
  <c r="G149" i="690"/>
  <c r="G146" i="690"/>
  <c r="G144" i="690"/>
  <c r="G142" i="690"/>
  <c r="G140" i="690"/>
  <c r="G137" i="690"/>
  <c r="G135" i="690"/>
  <c r="G133" i="690"/>
  <c r="G131" i="690"/>
  <c r="G128" i="690"/>
  <c r="G126" i="690"/>
  <c r="G124" i="690"/>
  <c r="G122" i="690"/>
  <c r="G119" i="690"/>
  <c r="G117" i="690"/>
  <c r="G115" i="690"/>
  <c r="G113" i="690"/>
  <c r="G110" i="690"/>
  <c r="G108" i="690"/>
  <c r="G106" i="690"/>
  <c r="G104" i="690"/>
  <c r="G101" i="690"/>
  <c r="G99" i="690"/>
  <c r="G97" i="690"/>
  <c r="G95" i="690"/>
  <c r="G92" i="690"/>
  <c r="G90" i="690"/>
  <c r="G88" i="690"/>
  <c r="G86" i="690"/>
  <c r="G83" i="690"/>
  <c r="G81" i="690"/>
  <c r="G79" i="690"/>
  <c r="G77" i="690"/>
  <c r="G74" i="690"/>
  <c r="G72" i="690"/>
  <c r="G70" i="690"/>
  <c r="G68" i="690"/>
  <c r="G65" i="690"/>
  <c r="G63" i="690"/>
  <c r="G61" i="690"/>
  <c r="G59" i="690"/>
  <c r="G56" i="690"/>
  <c r="G55" i="690"/>
  <c r="G54" i="690"/>
  <c r="G53" i="690"/>
  <c r="G52" i="690"/>
  <c r="G50" i="690"/>
  <c r="G47" i="690"/>
  <c r="G45" i="690"/>
  <c r="G43" i="690"/>
  <c r="G41" i="690"/>
  <c r="G39" i="690"/>
  <c r="G38" i="690"/>
  <c r="G36" i="690"/>
  <c r="G34" i="690"/>
  <c r="G32" i="690"/>
  <c r="G30" i="690"/>
  <c r="G29" i="690"/>
  <c r="G27" i="690"/>
  <c r="G25" i="690"/>
  <c r="G23" i="690"/>
  <c r="G21" i="690"/>
  <c r="G20" i="690"/>
  <c r="G18" i="690"/>
  <c r="G16" i="690"/>
  <c r="A1" i="690"/>
  <c r="G1246" i="689"/>
  <c r="G1245" i="689"/>
  <c r="G1229" i="689"/>
  <c r="G1228" i="689"/>
  <c r="G1227" i="689"/>
  <c r="G1224" i="689"/>
  <c r="G1198" i="689"/>
  <c r="G1199" i="689" s="1"/>
  <c r="G1194" i="689"/>
  <c r="G1193" i="689"/>
  <c r="G1192" i="689"/>
  <c r="G1191" i="689"/>
  <c r="G1187" i="689"/>
  <c r="G1186" i="689"/>
  <c r="G1185" i="689"/>
  <c r="G1184" i="689"/>
  <c r="G1180" i="689"/>
  <c r="G1179" i="689"/>
  <c r="G1178" i="689"/>
  <c r="G1177" i="689"/>
  <c r="G1173" i="689"/>
  <c r="G1174" i="689" s="1"/>
  <c r="G1169" i="689"/>
  <c r="G1168" i="689"/>
  <c r="G1164" i="689"/>
  <c r="G1163" i="689"/>
  <c r="G1159" i="689"/>
  <c r="G1158" i="689"/>
  <c r="G1157" i="689"/>
  <c r="G1156" i="689"/>
  <c r="G1152" i="689"/>
  <c r="G1151" i="689"/>
  <c r="G1150" i="689"/>
  <c r="G1149" i="689"/>
  <c r="G1145" i="689"/>
  <c r="G1141" i="689"/>
  <c r="G1142" i="689" s="1"/>
  <c r="G1137" i="689"/>
  <c r="G1136" i="689"/>
  <c r="G1241" i="689"/>
  <c r="G1119" i="689"/>
  <c r="G1118" i="689"/>
  <c r="G1117" i="689"/>
  <c r="G1116" i="689"/>
  <c r="G1112" i="689"/>
  <c r="G1111" i="689"/>
  <c r="G1110" i="689"/>
  <c r="G1109" i="689"/>
  <c r="G1105" i="689"/>
  <c r="G1104" i="689"/>
  <c r="G1103" i="689"/>
  <c r="G1102" i="689"/>
  <c r="G1098" i="689"/>
  <c r="G1099" i="689" s="1"/>
  <c r="G1092" i="689"/>
  <c r="G1242" i="689"/>
  <c r="G1091" i="689"/>
  <c r="G964" i="689" s="1"/>
  <c r="G1086" i="689"/>
  <c r="G1085" i="689"/>
  <c r="G1084" i="689"/>
  <c r="G1080" i="689"/>
  <c r="G1079" i="689"/>
  <c r="G1078" i="689"/>
  <c r="G1075" i="689"/>
  <c r="G1074" i="689"/>
  <c r="G1073" i="689"/>
  <c r="G1070" i="689"/>
  <c r="G1069" i="689"/>
  <c r="G1068" i="689"/>
  <c r="G1067" i="689"/>
  <c r="G1064" i="689"/>
  <c r="G1063" i="689"/>
  <c r="G1062" i="689"/>
  <c r="G1061" i="689"/>
  <c r="G1058" i="689"/>
  <c r="G1057" i="689"/>
  <c r="G1056" i="689"/>
  <c r="G1055" i="689"/>
  <c r="G1052" i="689"/>
  <c r="G1051" i="689"/>
  <c r="G1050" i="689"/>
  <c r="G1047" i="689"/>
  <c r="G1046" i="689"/>
  <c r="G1045" i="689"/>
  <c r="G1044" i="689"/>
  <c r="G1041" i="689"/>
  <c r="G1040" i="689"/>
  <c r="G1039" i="689"/>
  <c r="G1038" i="689"/>
  <c r="G1035" i="689"/>
  <c r="G1034" i="689"/>
  <c r="G1033" i="689"/>
  <c r="G1032" i="689"/>
  <c r="G1029" i="689"/>
  <c r="G1028" i="689"/>
  <c r="G1027" i="689"/>
  <c r="G1021" i="689"/>
  <c r="G1020" i="689"/>
  <c r="G1019" i="689"/>
  <c r="G1016" i="689"/>
  <c r="G1015" i="689"/>
  <c r="G1014" i="689"/>
  <c r="G1011" i="689"/>
  <c r="G1010" i="689"/>
  <c r="G1009" i="689"/>
  <c r="G1006" i="689"/>
  <c r="G1005" i="689"/>
  <c r="G1004" i="689"/>
  <c r="G1001" i="689"/>
  <c r="G1000" i="689"/>
  <c r="G999" i="689"/>
  <c r="G996" i="689"/>
  <c r="G995" i="689"/>
  <c r="G994" i="689"/>
  <c r="G991" i="689"/>
  <c r="G990" i="689"/>
  <c r="G989" i="689"/>
  <c r="G985" i="689"/>
  <c r="G984" i="689"/>
  <c r="G983" i="689"/>
  <c r="G982" i="689"/>
  <c r="G981" i="689"/>
  <c r="G980" i="689"/>
  <c r="G979" i="689"/>
  <c r="G978" i="689"/>
  <c r="G975" i="689"/>
  <c r="G974" i="689"/>
  <c r="G973" i="689"/>
  <c r="G970" i="689"/>
  <c r="G969" i="689"/>
  <c r="G968" i="689"/>
  <c r="G962" i="689"/>
  <c r="G961" i="689"/>
  <c r="G960" i="689"/>
  <c r="G959" i="689"/>
  <c r="G958" i="689"/>
  <c r="G957" i="689"/>
  <c r="G956" i="689"/>
  <c r="G953" i="689"/>
  <c r="G951" i="689"/>
  <c r="G950" i="689"/>
  <c r="G931" i="689"/>
  <c r="G929" i="689"/>
  <c r="G927" i="689"/>
  <c r="G925" i="689"/>
  <c r="G1225" i="689"/>
  <c r="G920" i="689"/>
  <c r="G919" i="689"/>
  <c r="G918" i="689"/>
  <c r="G917" i="689"/>
  <c r="G910" i="689"/>
  <c r="G909" i="689"/>
  <c r="G908" i="689"/>
  <c r="G907" i="689"/>
  <c r="G903" i="689"/>
  <c r="G902" i="689"/>
  <c r="G901" i="689"/>
  <c r="G900" i="689"/>
  <c r="G887" i="689"/>
  <c r="G886" i="689"/>
  <c r="G884" i="689"/>
  <c r="G883" i="689"/>
  <c r="G882" i="689"/>
  <c r="G880" i="689"/>
  <c r="G879" i="689"/>
  <c r="G878" i="689"/>
  <c r="G876" i="689"/>
  <c r="G875" i="689"/>
  <c r="G874" i="689"/>
  <c r="G872" i="689"/>
  <c r="G871" i="689"/>
  <c r="G870" i="689"/>
  <c r="G868" i="689"/>
  <c r="G867" i="689"/>
  <c r="G866" i="689"/>
  <c r="G864" i="689"/>
  <c r="G863" i="689"/>
  <c r="G862" i="689"/>
  <c r="G860" i="689"/>
  <c r="G859" i="689"/>
  <c r="G858" i="689"/>
  <c r="G856" i="689"/>
  <c r="G855" i="689"/>
  <c r="G854" i="689"/>
  <c r="G852" i="689"/>
  <c r="G851" i="689"/>
  <c r="G850" i="689"/>
  <c r="G848" i="689"/>
  <c r="G847" i="689"/>
  <c r="G846" i="689"/>
  <c r="G844" i="689"/>
  <c r="G843" i="689"/>
  <c r="G842" i="689"/>
  <c r="G840" i="689"/>
  <c r="G839" i="689"/>
  <c r="G838" i="689"/>
  <c r="G826" i="689"/>
  <c r="G825" i="689"/>
  <c r="G821" i="689"/>
  <c r="G820" i="689"/>
  <c r="G816" i="689"/>
  <c r="G815" i="689"/>
  <c r="G833" i="689"/>
  <c r="G811" i="689"/>
  <c r="G810" i="689"/>
  <c r="G798" i="689"/>
  <c r="G797" i="689"/>
  <c r="G793" i="689"/>
  <c r="G792" i="689"/>
  <c r="G788" i="689"/>
  <c r="G787" i="689"/>
  <c r="G783" i="689"/>
  <c r="G782" i="689"/>
  <c r="G778" i="689"/>
  <c r="G777" i="689"/>
  <c r="G773" i="689"/>
  <c r="G772" i="689"/>
  <c r="G768" i="689"/>
  <c r="G767" i="689"/>
  <c r="G763" i="689"/>
  <c r="G762" i="689"/>
  <c r="G758" i="689"/>
  <c r="G757" i="689"/>
  <c r="G745" i="689"/>
  <c r="G744" i="689"/>
  <c r="G740" i="689"/>
  <c r="G739" i="689"/>
  <c r="G735" i="689"/>
  <c r="G734" i="689"/>
  <c r="G730" i="689"/>
  <c r="G729" i="689"/>
  <c r="G725" i="689"/>
  <c r="G724" i="689"/>
  <c r="G720" i="689"/>
  <c r="G719" i="689"/>
  <c r="G715" i="689"/>
  <c r="G714" i="689"/>
  <c r="G710" i="689"/>
  <c r="G709" i="689"/>
  <c r="G705" i="689"/>
  <c r="G704" i="689"/>
  <c r="G700" i="689"/>
  <c r="G699" i="689"/>
  <c r="G695" i="689"/>
  <c r="G694" i="689"/>
  <c r="G690" i="689"/>
  <c r="G689" i="689"/>
  <c r="G685" i="689"/>
  <c r="G684" i="689"/>
  <c r="G680" i="689"/>
  <c r="G679" i="689"/>
  <c r="G675" i="689"/>
  <c r="G674" i="689"/>
  <c r="G670" i="689"/>
  <c r="G669" i="689"/>
  <c r="G665" i="689"/>
  <c r="G664" i="689"/>
  <c r="G660" i="689"/>
  <c r="G659" i="689"/>
  <c r="G655" i="689"/>
  <c r="G654" i="689"/>
  <c r="G647" i="689"/>
  <c r="G646" i="689"/>
  <c r="G627" i="689"/>
  <c r="G626" i="689"/>
  <c r="G622" i="689"/>
  <c r="G621" i="689"/>
  <c r="G617" i="689"/>
  <c r="G616" i="689"/>
  <c r="G612" i="689"/>
  <c r="G611" i="689"/>
  <c r="G607" i="689"/>
  <c r="G606" i="689"/>
  <c r="G602" i="689"/>
  <c r="G601" i="689"/>
  <c r="G597" i="689"/>
  <c r="G596" i="689"/>
  <c r="G592" i="689"/>
  <c r="G591" i="689"/>
  <c r="G587" i="689"/>
  <c r="G586" i="689"/>
  <c r="G582" i="689"/>
  <c r="G581" i="689"/>
  <c r="G577" i="689"/>
  <c r="G576" i="689"/>
  <c r="G572" i="689"/>
  <c r="G571" i="689"/>
  <c r="G567" i="689"/>
  <c r="G566" i="689"/>
  <c r="G562" i="689"/>
  <c r="G561" i="689"/>
  <c r="G557" i="689"/>
  <c r="G556" i="689"/>
  <c r="G552" i="689"/>
  <c r="G551" i="689"/>
  <c r="G547" i="689"/>
  <c r="G546" i="689"/>
  <c r="G542" i="689"/>
  <c r="G541" i="689"/>
  <c r="G537" i="689"/>
  <c r="G536" i="689"/>
  <c r="G532" i="689"/>
  <c r="G531" i="689"/>
  <c r="G527" i="689"/>
  <c r="G526" i="689"/>
  <c r="G522" i="689"/>
  <c r="G521" i="689"/>
  <c r="G496" i="689"/>
  <c r="G495" i="689"/>
  <c r="G491" i="689"/>
  <c r="G490" i="689"/>
  <c r="G486" i="689"/>
  <c r="G485" i="689"/>
  <c r="G481" i="689"/>
  <c r="G480" i="689"/>
  <c r="G476" i="689"/>
  <c r="G475" i="689"/>
  <c r="G471" i="689"/>
  <c r="G470" i="689"/>
  <c r="G466" i="689"/>
  <c r="G465" i="689"/>
  <c r="G461" i="689"/>
  <c r="G460" i="689"/>
  <c r="G456" i="689"/>
  <c r="G455" i="689"/>
  <c r="G451" i="689"/>
  <c r="G450" i="689"/>
  <c r="G446" i="689"/>
  <c r="G445" i="689"/>
  <c r="G441" i="689"/>
  <c r="G440" i="689"/>
  <c r="G436" i="689"/>
  <c r="G435" i="689"/>
  <c r="G431" i="689"/>
  <c r="G430" i="689"/>
  <c r="G426" i="689"/>
  <c r="G425" i="689"/>
  <c r="G421" i="689"/>
  <c r="G420" i="689"/>
  <c r="G416" i="689"/>
  <c r="G415" i="689"/>
  <c r="G411" i="689"/>
  <c r="G410" i="689"/>
  <c r="G406" i="689"/>
  <c r="G405" i="689"/>
  <c r="G401" i="689"/>
  <c r="G400" i="689"/>
  <c r="G396" i="689"/>
  <c r="G395" i="689"/>
  <c r="G391" i="689"/>
  <c r="G390" i="689"/>
  <c r="G386" i="689"/>
  <c r="G385" i="689"/>
  <c r="G381" i="689"/>
  <c r="G380" i="689"/>
  <c r="G354" i="689"/>
  <c r="G350" i="689"/>
  <c r="G358" i="689" s="1"/>
  <c r="G347" i="689"/>
  <c r="G345" i="689"/>
  <c r="G343" i="689"/>
  <c r="G341" i="689"/>
  <c r="G338" i="689"/>
  <c r="G336" i="689"/>
  <c r="G334" i="689"/>
  <c r="G321" i="689"/>
  <c r="G320" i="689"/>
  <c r="G318" i="689"/>
  <c r="G315" i="689"/>
  <c r="G313" i="689"/>
  <c r="G311" i="689"/>
  <c r="G309" i="689"/>
  <c r="G306" i="689"/>
  <c r="G304" i="689"/>
  <c r="G302" i="689"/>
  <c r="G300" i="689"/>
  <c r="G297" i="689"/>
  <c r="G295" i="689"/>
  <c r="G293" i="689"/>
  <c r="G291" i="689"/>
  <c r="G288" i="689"/>
  <c r="G286" i="689"/>
  <c r="G284" i="689"/>
  <c r="G282" i="689"/>
  <c r="G279" i="689"/>
  <c r="G277" i="689"/>
  <c r="G275" i="689"/>
  <c r="G273" i="689"/>
  <c r="G270" i="689"/>
  <c r="G268" i="689"/>
  <c r="G266" i="689"/>
  <c r="G264" i="689"/>
  <c r="G261" i="689"/>
  <c r="G259" i="689"/>
  <c r="G257" i="689"/>
  <c r="G255" i="689"/>
  <c r="G252" i="689"/>
  <c r="G250" i="689"/>
  <c r="G248" i="689"/>
  <c r="G246" i="689"/>
  <c r="G243" i="689"/>
  <c r="G241" i="689"/>
  <c r="G239" i="689"/>
  <c r="G226" i="689"/>
  <c r="G223" i="689"/>
  <c r="G221" i="689"/>
  <c r="G219" i="689"/>
  <c r="G217" i="689"/>
  <c r="G214" i="689"/>
  <c r="G212" i="689"/>
  <c r="G210" i="689"/>
  <c r="G197" i="689"/>
  <c r="G196" i="689"/>
  <c r="G194" i="689"/>
  <c r="G191" i="689"/>
  <c r="G189" i="689"/>
  <c r="G187" i="689"/>
  <c r="G185" i="689"/>
  <c r="G182" i="689"/>
  <c r="G180" i="689"/>
  <c r="G178" i="689"/>
  <c r="G176" i="689"/>
  <c r="G173" i="689"/>
  <c r="G171" i="689"/>
  <c r="G169" i="689"/>
  <c r="G167" i="689"/>
  <c r="G164" i="689"/>
  <c r="G162" i="689"/>
  <c r="G160" i="689"/>
  <c r="G158" i="689"/>
  <c r="G155" i="689"/>
  <c r="G153" i="689"/>
  <c r="G151" i="689"/>
  <c r="G149" i="689"/>
  <c r="G146" i="689"/>
  <c r="G144" i="689"/>
  <c r="G142" i="689"/>
  <c r="G140" i="689"/>
  <c r="G137" i="689"/>
  <c r="G135" i="689"/>
  <c r="G133" i="689"/>
  <c r="G131" i="689"/>
  <c r="G128" i="689"/>
  <c r="G126" i="689"/>
  <c r="G124" i="689"/>
  <c r="G122" i="689"/>
  <c r="G119" i="689"/>
  <c r="G117" i="689"/>
  <c r="G115" i="689"/>
  <c r="G113" i="689"/>
  <c r="G110" i="689"/>
  <c r="G108" i="689"/>
  <c r="G106" i="689"/>
  <c r="G104" i="689"/>
  <c r="G101" i="689"/>
  <c r="G99" i="689"/>
  <c r="G97" i="689"/>
  <c r="G95" i="689"/>
  <c r="G92" i="689"/>
  <c r="G90" i="689"/>
  <c r="G88" i="689"/>
  <c r="G86" i="689"/>
  <c r="G83" i="689"/>
  <c r="G81" i="689"/>
  <c r="G79" i="689"/>
  <c r="G77" i="689"/>
  <c r="G74" i="689"/>
  <c r="G72" i="689"/>
  <c r="G70" i="689"/>
  <c r="G68" i="689"/>
  <c r="G65" i="689"/>
  <c r="G63" i="689"/>
  <c r="G61" i="689"/>
  <c r="G59" i="689"/>
  <c r="G56" i="689"/>
  <c r="G55" i="689"/>
  <c r="G54" i="689"/>
  <c r="G53" i="689"/>
  <c r="G52" i="689"/>
  <c r="G50" i="689"/>
  <c r="G47" i="689"/>
  <c r="G45" i="689"/>
  <c r="G43" i="689"/>
  <c r="G41" i="689"/>
  <c r="G39" i="689"/>
  <c r="G38" i="689"/>
  <c r="G36" i="689"/>
  <c r="G34" i="689"/>
  <c r="G32" i="689"/>
  <c r="G30" i="689"/>
  <c r="G29" i="689"/>
  <c r="G27" i="689"/>
  <c r="G25" i="689"/>
  <c r="G23" i="689"/>
  <c r="G21" i="689"/>
  <c r="G20" i="689"/>
  <c r="G18" i="689"/>
  <c r="G16" i="689"/>
  <c r="A1" i="689"/>
  <c r="G1246" i="688"/>
  <c r="G1245" i="688"/>
  <c r="G1229" i="688"/>
  <c r="G1228" i="688"/>
  <c r="G1227" i="688"/>
  <c r="G1224" i="688"/>
  <c r="G1198" i="688"/>
  <c r="G1199" i="688" s="1"/>
  <c r="G1194" i="688"/>
  <c r="G1193" i="688"/>
  <c r="G1192" i="688"/>
  <c r="G1191" i="688"/>
  <c r="G1187" i="688"/>
  <c r="G1186" i="688"/>
  <c r="G1185" i="688"/>
  <c r="G1184" i="688"/>
  <c r="G1180" i="688"/>
  <c r="G1179" i="688"/>
  <c r="G1178" i="688"/>
  <c r="G1177" i="688"/>
  <c r="G1173" i="688"/>
  <c r="G1174" i="688" s="1"/>
  <c r="G1169" i="688"/>
  <c r="G1168" i="688"/>
  <c r="G1164" i="688"/>
  <c r="G1163" i="688"/>
  <c r="G1159" i="688"/>
  <c r="G1158" i="688"/>
  <c r="G1157" i="688"/>
  <c r="G1156" i="688"/>
  <c r="G1152" i="688"/>
  <c r="G1151" i="688"/>
  <c r="G1150" i="688"/>
  <c r="G1149" i="688"/>
  <c r="G1145" i="688"/>
  <c r="G1141" i="688"/>
  <c r="G1142" i="688" s="1"/>
  <c r="G1137" i="688"/>
  <c r="G1136" i="688"/>
  <c r="G1241" i="688"/>
  <c r="G1119" i="688"/>
  <c r="G1118" i="688"/>
  <c r="G1117" i="688"/>
  <c r="G1116" i="688"/>
  <c r="G1112" i="688"/>
  <c r="G1111" i="688"/>
  <c r="G1110" i="688"/>
  <c r="G1109" i="688"/>
  <c r="G1105" i="688"/>
  <c r="G1104" i="688"/>
  <c r="G1103" i="688"/>
  <c r="G1102" i="688"/>
  <c r="G1098" i="688"/>
  <c r="G1099" i="688" s="1"/>
  <c r="G1242" i="688"/>
  <c r="G1091" i="688"/>
  <c r="G964" i="688" s="1"/>
  <c r="G1086" i="688"/>
  <c r="G1085" i="688"/>
  <c r="G1084" i="688"/>
  <c r="G1080" i="688"/>
  <c r="G1079" i="688"/>
  <c r="G1078" i="688"/>
  <c r="G1075" i="688"/>
  <c r="G1074" i="688"/>
  <c r="G1073" i="688"/>
  <c r="G1070" i="688"/>
  <c r="G1069" i="688"/>
  <c r="G1068" i="688"/>
  <c r="G1067" i="688"/>
  <c r="G1064" i="688"/>
  <c r="G1063" i="688"/>
  <c r="G1062" i="688"/>
  <c r="G1061" i="688"/>
  <c r="G1058" i="688"/>
  <c r="G1057" i="688"/>
  <c r="G1056" i="688"/>
  <c r="G1055" i="688"/>
  <c r="G1052" i="688"/>
  <c r="G1051" i="688"/>
  <c r="G1050" i="688"/>
  <c r="G1047" i="688"/>
  <c r="G1046" i="688"/>
  <c r="G1045" i="688"/>
  <c r="G1044" i="688"/>
  <c r="G1041" i="688"/>
  <c r="G1040" i="688"/>
  <c r="G1039" i="688"/>
  <c r="G1038" i="688"/>
  <c r="G1035" i="688"/>
  <c r="G1034" i="688"/>
  <c r="G1033" i="688"/>
  <c r="G1032" i="688"/>
  <c r="G1029" i="688"/>
  <c r="G1028" i="688"/>
  <c r="G1027" i="688"/>
  <c r="G1021" i="688"/>
  <c r="G1020" i="688"/>
  <c r="G1019" i="688"/>
  <c r="G1016" i="688"/>
  <c r="G1015" i="688"/>
  <c r="G1014" i="688"/>
  <c r="G1011" i="688"/>
  <c r="G1010" i="688"/>
  <c r="G1009" i="688"/>
  <c r="G1006" i="688"/>
  <c r="G1005" i="688"/>
  <c r="G1004" i="688"/>
  <c r="G1001" i="688"/>
  <c r="G1000" i="688"/>
  <c r="G999" i="688"/>
  <c r="G996" i="688"/>
  <c r="G995" i="688"/>
  <c r="G994" i="688"/>
  <c r="G991" i="688"/>
  <c r="G990" i="688"/>
  <c r="G989" i="688"/>
  <c r="G985" i="688"/>
  <c r="G984" i="688"/>
  <c r="G983" i="688"/>
  <c r="G982" i="688"/>
  <c r="G981" i="688"/>
  <c r="G980" i="688"/>
  <c r="G979" i="688"/>
  <c r="G978" i="688"/>
  <c r="G975" i="688"/>
  <c r="G974" i="688"/>
  <c r="G973" i="688"/>
  <c r="G970" i="688"/>
  <c r="G969" i="688"/>
  <c r="G968" i="688"/>
  <c r="G962" i="688"/>
  <c r="G961" i="688"/>
  <c r="G960" i="688"/>
  <c r="G959" i="688"/>
  <c r="G958" i="688"/>
  <c r="G957" i="688"/>
  <c r="G956" i="688"/>
  <c r="G953" i="688"/>
  <c r="G951" i="688"/>
  <c r="G950" i="688"/>
  <c r="G931" i="688"/>
  <c r="G929" i="688"/>
  <c r="G927" i="688"/>
  <c r="G925" i="688"/>
  <c r="G1225" i="688"/>
  <c r="G920" i="688"/>
  <c r="G919" i="688"/>
  <c r="G918" i="688"/>
  <c r="G917" i="688"/>
  <c r="G910" i="688"/>
  <c r="G909" i="688"/>
  <c r="G908" i="688"/>
  <c r="G907" i="688"/>
  <c r="G903" i="688"/>
  <c r="G902" i="688"/>
  <c r="G901" i="688"/>
  <c r="G900" i="688"/>
  <c r="G887" i="688"/>
  <c r="G886" i="688"/>
  <c r="G884" i="688"/>
  <c r="G883" i="688"/>
  <c r="G882" i="688"/>
  <c r="G880" i="688"/>
  <c r="G879" i="688"/>
  <c r="G878" i="688"/>
  <c r="G876" i="688"/>
  <c r="G875" i="688"/>
  <c r="G874" i="688"/>
  <c r="G872" i="688"/>
  <c r="G871" i="688"/>
  <c r="G870" i="688"/>
  <c r="G868" i="688"/>
  <c r="G867" i="688"/>
  <c r="G866" i="688"/>
  <c r="G864" i="688"/>
  <c r="G863" i="688"/>
  <c r="G862" i="688"/>
  <c r="G860" i="688"/>
  <c r="G859" i="688"/>
  <c r="G858" i="688"/>
  <c r="G856" i="688"/>
  <c r="G855" i="688"/>
  <c r="G854" i="688"/>
  <c r="G852" i="688"/>
  <c r="G851" i="688"/>
  <c r="G850" i="688"/>
  <c r="G848" i="688"/>
  <c r="G847" i="688"/>
  <c r="G846" i="688"/>
  <c r="G844" i="688"/>
  <c r="G843" i="688"/>
  <c r="G842" i="688"/>
  <c r="G840" i="688"/>
  <c r="G839" i="688"/>
  <c r="G838" i="688"/>
  <c r="G826" i="688"/>
  <c r="G825" i="688"/>
  <c r="G821" i="688"/>
  <c r="G820" i="688"/>
  <c r="G816" i="688"/>
  <c r="G815" i="688"/>
  <c r="G833" i="688"/>
  <c r="G811" i="688"/>
  <c r="G810" i="688"/>
  <c r="G798" i="688"/>
  <c r="G797" i="688"/>
  <c r="G793" i="688"/>
  <c r="G792" i="688"/>
  <c r="G788" i="688"/>
  <c r="G787" i="688"/>
  <c r="G783" i="688"/>
  <c r="G782" i="688"/>
  <c r="G778" i="688"/>
  <c r="G777" i="688"/>
  <c r="G773" i="688"/>
  <c r="G772" i="688"/>
  <c r="G768" i="688"/>
  <c r="G767" i="688"/>
  <c r="G763" i="688"/>
  <c r="G762" i="688"/>
  <c r="G758" i="688"/>
  <c r="G757" i="688"/>
  <c r="G745" i="688"/>
  <c r="G744" i="688"/>
  <c r="G740" i="688"/>
  <c r="G739" i="688"/>
  <c r="G735" i="688"/>
  <c r="G734" i="688"/>
  <c r="G730" i="688"/>
  <c r="G729" i="688"/>
  <c r="G725" i="688"/>
  <c r="G724" i="688"/>
  <c r="G720" i="688"/>
  <c r="G719" i="688"/>
  <c r="G715" i="688"/>
  <c r="G714" i="688"/>
  <c r="G710" i="688"/>
  <c r="G709" i="688"/>
  <c r="G705" i="688"/>
  <c r="G704" i="688"/>
  <c r="G700" i="688"/>
  <c r="G699" i="688"/>
  <c r="G695" i="688"/>
  <c r="G694" i="688"/>
  <c r="G690" i="688"/>
  <c r="G689" i="688"/>
  <c r="G685" i="688"/>
  <c r="G684" i="688"/>
  <c r="G680" i="688"/>
  <c r="G679" i="688"/>
  <c r="G675" i="688"/>
  <c r="G674" i="688"/>
  <c r="G670" i="688"/>
  <c r="G669" i="688"/>
  <c r="G665" i="688"/>
  <c r="G664" i="688"/>
  <c r="G660" i="688"/>
  <c r="G659" i="688"/>
  <c r="G655" i="688"/>
  <c r="G654" i="688"/>
  <c r="G647" i="688"/>
  <c r="G646" i="688"/>
  <c r="G627" i="688"/>
  <c r="G626" i="688"/>
  <c r="G622" i="688"/>
  <c r="G621" i="688"/>
  <c r="G617" i="688"/>
  <c r="G616" i="688"/>
  <c r="G612" i="688"/>
  <c r="G611" i="688"/>
  <c r="G607" i="688"/>
  <c r="G606" i="688"/>
  <c r="G602" i="688"/>
  <c r="G601" i="688"/>
  <c r="G597" i="688"/>
  <c r="G596" i="688"/>
  <c r="G592" i="688"/>
  <c r="G591" i="688"/>
  <c r="G587" i="688"/>
  <c r="G586" i="688"/>
  <c r="G582" i="688"/>
  <c r="G581" i="688"/>
  <c r="G577" i="688"/>
  <c r="G576" i="688"/>
  <c r="G572" i="688"/>
  <c r="G571" i="688"/>
  <c r="G567" i="688"/>
  <c r="G566" i="688"/>
  <c r="G562" i="688"/>
  <c r="G561" i="688"/>
  <c r="G557" i="688"/>
  <c r="G556" i="688"/>
  <c r="G552" i="688"/>
  <c r="G551" i="688"/>
  <c r="G547" i="688"/>
  <c r="G546" i="688"/>
  <c r="G542" i="688"/>
  <c r="G541" i="688"/>
  <c r="G537" i="688"/>
  <c r="G536" i="688"/>
  <c r="G532" i="688"/>
  <c r="G531" i="688"/>
  <c r="G527" i="688"/>
  <c r="G526" i="688"/>
  <c r="G522" i="688"/>
  <c r="G521" i="688"/>
  <c r="G496" i="688"/>
  <c r="G495" i="688"/>
  <c r="G491" i="688"/>
  <c r="G490" i="688"/>
  <c r="G486" i="688"/>
  <c r="G485" i="688"/>
  <c r="G481" i="688"/>
  <c r="G480" i="688"/>
  <c r="G476" i="688"/>
  <c r="G475" i="688"/>
  <c r="G471" i="688"/>
  <c r="G470" i="688"/>
  <c r="G466" i="688"/>
  <c r="G465" i="688"/>
  <c r="G461" i="688"/>
  <c r="G460" i="688"/>
  <c r="G456" i="688"/>
  <c r="G455" i="688"/>
  <c r="G451" i="688"/>
  <c r="G450" i="688"/>
  <c r="G446" i="688"/>
  <c r="G445" i="688"/>
  <c r="G441" i="688"/>
  <c r="G440" i="688"/>
  <c r="G436" i="688"/>
  <c r="G435" i="688"/>
  <c r="G431" i="688"/>
  <c r="G430" i="688"/>
  <c r="G426" i="688"/>
  <c r="G425" i="688"/>
  <c r="G421" i="688"/>
  <c r="G420" i="688"/>
  <c r="G416" i="688"/>
  <c r="G415" i="688"/>
  <c r="G411" i="688"/>
  <c r="G410" i="688"/>
  <c r="G406" i="688"/>
  <c r="G405" i="688"/>
  <c r="G401" i="688"/>
  <c r="G400" i="688"/>
  <c r="G396" i="688"/>
  <c r="G395" i="688"/>
  <c r="G391" i="688"/>
  <c r="G390" i="688"/>
  <c r="G386" i="688"/>
  <c r="G385" i="688"/>
  <c r="G381" i="688"/>
  <c r="G380" i="688"/>
  <c r="G354" i="688"/>
  <c r="G350" i="688"/>
  <c r="G358" i="688" s="1"/>
  <c r="G347" i="688"/>
  <c r="G345" i="688"/>
  <c r="G343" i="688"/>
  <c r="G341" i="688"/>
  <c r="G338" i="688"/>
  <c r="G336" i="688"/>
  <c r="G334" i="688"/>
  <c r="G321" i="688"/>
  <c r="G320" i="688"/>
  <c r="G318" i="688"/>
  <c r="G315" i="688"/>
  <c r="G313" i="688"/>
  <c r="G311" i="688"/>
  <c r="G309" i="688"/>
  <c r="G306" i="688"/>
  <c r="G304" i="688"/>
  <c r="G302" i="688"/>
  <c r="G300" i="688"/>
  <c r="G297" i="688"/>
  <c r="G295" i="688"/>
  <c r="G293" i="688"/>
  <c r="G291" i="688"/>
  <c r="G288" i="688"/>
  <c r="G286" i="688"/>
  <c r="G284" i="688"/>
  <c r="G325" i="688" s="1"/>
  <c r="G365" i="688" s="1"/>
  <c r="G282" i="688"/>
  <c r="G279" i="688"/>
  <c r="G277" i="688"/>
  <c r="G275" i="688"/>
  <c r="G273" i="688"/>
  <c r="G270" i="688"/>
  <c r="G268" i="688"/>
  <c r="G266" i="688"/>
  <c r="G264" i="688"/>
  <c r="G261" i="688"/>
  <c r="G259" i="688"/>
  <c r="G257" i="688"/>
  <c r="G255" i="688"/>
  <c r="G252" i="688"/>
  <c r="G250" i="688"/>
  <c r="G248" i="688"/>
  <c r="G246" i="688"/>
  <c r="G243" i="688"/>
  <c r="G241" i="688"/>
  <c r="G239" i="688"/>
  <c r="G226" i="688"/>
  <c r="G223" i="688"/>
  <c r="G221" i="688"/>
  <c r="G219" i="688"/>
  <c r="G217" i="688"/>
  <c r="G214" i="688"/>
  <c r="G212" i="688"/>
  <c r="G210" i="688"/>
  <c r="G197" i="688"/>
  <c r="G196" i="688"/>
  <c r="G194" i="688"/>
  <c r="G191" i="688"/>
  <c r="G189" i="688"/>
  <c r="G187" i="688"/>
  <c r="G185" i="688"/>
  <c r="G182" i="688"/>
  <c r="G180" i="688"/>
  <c r="G178" i="688"/>
  <c r="G176" i="688"/>
  <c r="G173" i="688"/>
  <c r="G171" i="688"/>
  <c r="G169" i="688"/>
  <c r="G167" i="688"/>
  <c r="G164" i="688"/>
  <c r="G162" i="688"/>
  <c r="G160" i="688"/>
  <c r="G158" i="688"/>
  <c r="G155" i="688"/>
  <c r="G153" i="688"/>
  <c r="G151" i="688"/>
  <c r="G149" i="688"/>
  <c r="G146" i="688"/>
  <c r="G144" i="688"/>
  <c r="G142" i="688"/>
  <c r="G140" i="688"/>
  <c r="G137" i="688"/>
  <c r="G135" i="688"/>
  <c r="G133" i="688"/>
  <c r="G131" i="688"/>
  <c r="G128" i="688"/>
  <c r="G126" i="688"/>
  <c r="G124" i="688"/>
  <c r="G122" i="688"/>
  <c r="G119" i="688"/>
  <c r="G117" i="688"/>
  <c r="G115" i="688"/>
  <c r="G113" i="688"/>
  <c r="G110" i="688"/>
  <c r="G108" i="688"/>
  <c r="G106" i="688"/>
  <c r="G104" i="688"/>
  <c r="G101" i="688"/>
  <c r="G99" i="688"/>
  <c r="G97" i="688"/>
  <c r="G95" i="688"/>
  <c r="G92" i="688"/>
  <c r="G90" i="688"/>
  <c r="G88" i="688"/>
  <c r="G86" i="688"/>
  <c r="G83" i="688"/>
  <c r="G81" i="688"/>
  <c r="G79" i="688"/>
  <c r="G77" i="688"/>
  <c r="G74" i="688"/>
  <c r="G72" i="688"/>
  <c r="G70" i="688"/>
  <c r="G68" i="688"/>
  <c r="G65" i="688"/>
  <c r="G63" i="688"/>
  <c r="G61" i="688"/>
  <c r="G59" i="688"/>
  <c r="G56" i="688"/>
  <c r="G55" i="688"/>
  <c r="G54" i="688"/>
  <c r="G53" i="688"/>
  <c r="G52" i="688"/>
  <c r="G50" i="688"/>
  <c r="G47" i="688"/>
  <c r="G45" i="688"/>
  <c r="G43" i="688"/>
  <c r="G41" i="688"/>
  <c r="G39" i="688"/>
  <c r="G38" i="688"/>
  <c r="G36" i="688"/>
  <c r="G34" i="688"/>
  <c r="G32" i="688"/>
  <c r="G30" i="688"/>
  <c r="G29" i="688"/>
  <c r="G27" i="688"/>
  <c r="G25" i="688"/>
  <c r="G23" i="688"/>
  <c r="G21" i="688"/>
  <c r="G20" i="688"/>
  <c r="G18" i="688"/>
  <c r="G16" i="688"/>
  <c r="A1" i="688"/>
  <c r="G1246" i="687"/>
  <c r="G1245" i="687"/>
  <c r="G1229" i="687"/>
  <c r="G1228" i="687"/>
  <c r="G1227" i="687"/>
  <c r="G1224" i="687"/>
  <c r="G1198" i="687"/>
  <c r="G1199" i="687" s="1"/>
  <c r="G1194" i="687"/>
  <c r="G1193" i="687"/>
  <c r="G1192" i="687"/>
  <c r="G1191" i="687"/>
  <c r="G1187" i="687"/>
  <c r="G1186" i="687"/>
  <c r="G1185" i="687"/>
  <c r="G1184" i="687"/>
  <c r="G1180" i="687"/>
  <c r="G1179" i="687"/>
  <c r="G1178" i="687"/>
  <c r="G1177" i="687"/>
  <c r="G1173" i="687"/>
  <c r="G1174" i="687" s="1"/>
  <c r="G1169" i="687"/>
  <c r="G1168" i="687"/>
  <c r="G1164" i="687"/>
  <c r="G1163" i="687"/>
  <c r="G1159" i="687"/>
  <c r="G1158" i="687"/>
  <c r="G1157" i="687"/>
  <c r="G1156" i="687"/>
  <c r="G1152" i="687"/>
  <c r="G1151" i="687"/>
  <c r="G1150" i="687"/>
  <c r="G1149" i="687"/>
  <c r="G1145" i="687"/>
  <c r="G1141" i="687"/>
  <c r="G1142" i="687" s="1"/>
  <c r="G1137" i="687"/>
  <c r="G1136" i="687"/>
  <c r="G1241" i="687"/>
  <c r="G1119" i="687"/>
  <c r="G1118" i="687"/>
  <c r="G1117" i="687"/>
  <c r="G1116" i="687"/>
  <c r="G1112" i="687"/>
  <c r="G1111" i="687"/>
  <c r="G1110" i="687"/>
  <c r="G1109" i="687"/>
  <c r="G1105" i="687"/>
  <c r="G1104" i="687"/>
  <c r="G1103" i="687"/>
  <c r="G1102" i="687"/>
  <c r="G1098" i="687"/>
  <c r="G1099" i="687" s="1"/>
  <c r="G1092" i="687"/>
  <c r="G1242" i="687"/>
  <c r="G1091" i="687"/>
  <c r="G964" i="687" s="1"/>
  <c r="G1086" i="687"/>
  <c r="G1085" i="687"/>
  <c r="G1084" i="687"/>
  <c r="G1080" i="687"/>
  <c r="G1079" i="687"/>
  <c r="G1078" i="687"/>
  <c r="G1075" i="687"/>
  <c r="G1074" i="687"/>
  <c r="G1073" i="687"/>
  <c r="G1070" i="687"/>
  <c r="G1069" i="687"/>
  <c r="G1068" i="687"/>
  <c r="G1067" i="687"/>
  <c r="G1064" i="687"/>
  <c r="G1063" i="687"/>
  <c r="G1062" i="687"/>
  <c r="G1061" i="687"/>
  <c r="G1058" i="687"/>
  <c r="G1057" i="687"/>
  <c r="G1056" i="687"/>
  <c r="G1055" i="687"/>
  <c r="G1052" i="687"/>
  <c r="G1051" i="687"/>
  <c r="G1050" i="687"/>
  <c r="G1047" i="687"/>
  <c r="G1046" i="687"/>
  <c r="G1045" i="687"/>
  <c r="G1044" i="687"/>
  <c r="G1041" i="687"/>
  <c r="G1040" i="687"/>
  <c r="G1039" i="687"/>
  <c r="G1038" i="687"/>
  <c r="G1035" i="687"/>
  <c r="G1034" i="687"/>
  <c r="G1033" i="687"/>
  <c r="G1032" i="687"/>
  <c r="G1029" i="687"/>
  <c r="G1028" i="687"/>
  <c r="G1027" i="687"/>
  <c r="G1021" i="687"/>
  <c r="G1020" i="687"/>
  <c r="G1019" i="687"/>
  <c r="G1016" i="687"/>
  <c r="G1015" i="687"/>
  <c r="G1014" i="687"/>
  <c r="G1011" i="687"/>
  <c r="G1010" i="687"/>
  <c r="G1009" i="687"/>
  <c r="G1006" i="687"/>
  <c r="G1005" i="687"/>
  <c r="G1004" i="687"/>
  <c r="G1001" i="687"/>
  <c r="G1000" i="687"/>
  <c r="G999" i="687"/>
  <c r="G996" i="687"/>
  <c r="G995" i="687"/>
  <c r="G994" i="687"/>
  <c r="G991" i="687"/>
  <c r="G990" i="687"/>
  <c r="G989" i="687"/>
  <c r="G985" i="687"/>
  <c r="G984" i="687"/>
  <c r="G983" i="687"/>
  <c r="G982" i="687"/>
  <c r="G981" i="687"/>
  <c r="G980" i="687"/>
  <c r="G979" i="687"/>
  <c r="G978" i="687"/>
  <c r="G975" i="687"/>
  <c r="G974" i="687"/>
  <c r="G973" i="687"/>
  <c r="G970" i="687"/>
  <c r="G969" i="687"/>
  <c r="G968" i="687"/>
  <c r="G962" i="687"/>
  <c r="G961" i="687"/>
  <c r="G960" i="687"/>
  <c r="G959" i="687"/>
  <c r="G958" i="687"/>
  <c r="G957" i="687"/>
  <c r="G956" i="687"/>
  <c r="G953" i="687"/>
  <c r="G951" i="687"/>
  <c r="G950" i="687"/>
  <c r="G931" i="687"/>
  <c r="G929" i="687"/>
  <c r="G927" i="687"/>
  <c r="G925" i="687"/>
  <c r="G1225" i="687"/>
  <c r="G920" i="687"/>
  <c r="G919" i="687"/>
  <c r="G918" i="687"/>
  <c r="G917" i="687"/>
  <c r="G910" i="687"/>
  <c r="G909" i="687"/>
  <c r="G908" i="687"/>
  <c r="G907" i="687"/>
  <c r="G903" i="687"/>
  <c r="G902" i="687"/>
  <c r="G901" i="687"/>
  <c r="G900" i="687"/>
  <c r="G887" i="687"/>
  <c r="G886" i="687"/>
  <c r="G884" i="687"/>
  <c r="G883" i="687"/>
  <c r="G882" i="687"/>
  <c r="G880" i="687"/>
  <c r="G879" i="687"/>
  <c r="G878" i="687"/>
  <c r="G876" i="687"/>
  <c r="G875" i="687"/>
  <c r="G874" i="687"/>
  <c r="G872" i="687"/>
  <c r="G871" i="687"/>
  <c r="G870" i="687"/>
  <c r="G868" i="687"/>
  <c r="G867" i="687"/>
  <c r="G866" i="687"/>
  <c r="G864" i="687"/>
  <c r="G863" i="687"/>
  <c r="G862" i="687"/>
  <c r="G860" i="687"/>
  <c r="G859" i="687"/>
  <c r="G858" i="687"/>
  <c r="G856" i="687"/>
  <c r="G855" i="687"/>
  <c r="G854" i="687"/>
  <c r="G852" i="687"/>
  <c r="G851" i="687"/>
  <c r="G850" i="687"/>
  <c r="G848" i="687"/>
  <c r="G847" i="687"/>
  <c r="G846" i="687"/>
  <c r="G844" i="687"/>
  <c r="G843" i="687"/>
  <c r="G842" i="687"/>
  <c r="G840" i="687"/>
  <c r="G839" i="687"/>
  <c r="G838" i="687"/>
  <c r="G826" i="687"/>
  <c r="G825" i="687"/>
  <c r="G821" i="687"/>
  <c r="G820" i="687"/>
  <c r="G816" i="687"/>
  <c r="G815" i="687"/>
  <c r="G833" i="687"/>
  <c r="G811" i="687"/>
  <c r="G810" i="687"/>
  <c r="G798" i="687"/>
  <c r="G797" i="687"/>
  <c r="G793" i="687"/>
  <c r="G792" i="687"/>
  <c r="G788" i="687"/>
  <c r="G787" i="687"/>
  <c r="G783" i="687"/>
  <c r="G782" i="687"/>
  <c r="G778" i="687"/>
  <c r="G777" i="687"/>
  <c r="G773" i="687"/>
  <c r="G772" i="687"/>
  <c r="G768" i="687"/>
  <c r="G767" i="687"/>
  <c r="G763" i="687"/>
  <c r="G762" i="687"/>
  <c r="G758" i="687"/>
  <c r="G757" i="687"/>
  <c r="G745" i="687"/>
  <c r="G744" i="687"/>
  <c r="G740" i="687"/>
  <c r="G739" i="687"/>
  <c r="G735" i="687"/>
  <c r="G734" i="687"/>
  <c r="G730" i="687"/>
  <c r="G729" i="687"/>
  <c r="G725" i="687"/>
  <c r="G724" i="687"/>
  <c r="G720" i="687"/>
  <c r="G719" i="687"/>
  <c r="G715" i="687"/>
  <c r="G714" i="687"/>
  <c r="G710" i="687"/>
  <c r="G709" i="687"/>
  <c r="G705" i="687"/>
  <c r="G704" i="687"/>
  <c r="G700" i="687"/>
  <c r="G699" i="687"/>
  <c r="G695" i="687"/>
  <c r="G694" i="687"/>
  <c r="G690" i="687"/>
  <c r="G689" i="687"/>
  <c r="G685" i="687"/>
  <c r="G684" i="687"/>
  <c r="G680" i="687"/>
  <c r="G679" i="687"/>
  <c r="G675" i="687"/>
  <c r="G674" i="687"/>
  <c r="G670" i="687"/>
  <c r="G669" i="687"/>
  <c r="G665" i="687"/>
  <c r="G664" i="687"/>
  <c r="G660" i="687"/>
  <c r="G659" i="687"/>
  <c r="G655" i="687"/>
  <c r="G654" i="687"/>
  <c r="G647" i="687"/>
  <c r="G646" i="687"/>
  <c r="G627" i="687"/>
  <c r="G626" i="687"/>
  <c r="G622" i="687"/>
  <c r="G621" i="687"/>
  <c r="G617" i="687"/>
  <c r="G616" i="687"/>
  <c r="G612" i="687"/>
  <c r="G611" i="687"/>
  <c r="G607" i="687"/>
  <c r="G606" i="687"/>
  <c r="G602" i="687"/>
  <c r="G601" i="687"/>
  <c r="G597" i="687"/>
  <c r="G596" i="687"/>
  <c r="G592" i="687"/>
  <c r="G591" i="687"/>
  <c r="G587" i="687"/>
  <c r="G586" i="687"/>
  <c r="G582" i="687"/>
  <c r="G581" i="687"/>
  <c r="G577" i="687"/>
  <c r="G576" i="687"/>
  <c r="G572" i="687"/>
  <c r="G571" i="687"/>
  <c r="G567" i="687"/>
  <c r="G566" i="687"/>
  <c r="G562" i="687"/>
  <c r="G561" i="687"/>
  <c r="G557" i="687"/>
  <c r="G556" i="687"/>
  <c r="G552" i="687"/>
  <c r="G551" i="687"/>
  <c r="G547" i="687"/>
  <c r="G546" i="687"/>
  <c r="G542" i="687"/>
  <c r="G541" i="687"/>
  <c r="G537" i="687"/>
  <c r="G536" i="687"/>
  <c r="G532" i="687"/>
  <c r="G531" i="687"/>
  <c r="G527" i="687"/>
  <c r="G526" i="687"/>
  <c r="G522" i="687"/>
  <c r="G521" i="687"/>
  <c r="G496" i="687"/>
  <c r="G495" i="687"/>
  <c r="G491" i="687"/>
  <c r="G490" i="687"/>
  <c r="G486" i="687"/>
  <c r="G485" i="687"/>
  <c r="G481" i="687"/>
  <c r="G480" i="687"/>
  <c r="G476" i="687"/>
  <c r="G475" i="687"/>
  <c r="G471" i="687"/>
  <c r="G470" i="687"/>
  <c r="G466" i="687"/>
  <c r="G465" i="687"/>
  <c r="G461" i="687"/>
  <c r="G460" i="687"/>
  <c r="G456" i="687"/>
  <c r="G455" i="687"/>
  <c r="G451" i="687"/>
  <c r="G450" i="687"/>
  <c r="G446" i="687"/>
  <c r="G445" i="687"/>
  <c r="G441" i="687"/>
  <c r="G440" i="687"/>
  <c r="G436" i="687"/>
  <c r="G435" i="687"/>
  <c r="G431" i="687"/>
  <c r="G430" i="687"/>
  <c r="G426" i="687"/>
  <c r="G425" i="687"/>
  <c r="G421" i="687"/>
  <c r="G420" i="687"/>
  <c r="G416" i="687"/>
  <c r="G415" i="687"/>
  <c r="G411" i="687"/>
  <c r="G410" i="687"/>
  <c r="G406" i="687"/>
  <c r="G405" i="687"/>
  <c r="G401" i="687"/>
  <c r="G400" i="687"/>
  <c r="G396" i="687"/>
  <c r="G395" i="687"/>
  <c r="G391" i="687"/>
  <c r="G390" i="687"/>
  <c r="G386" i="687"/>
  <c r="G385" i="687"/>
  <c r="G381" i="687"/>
  <c r="G380" i="687"/>
  <c r="G354" i="687"/>
  <c r="G350" i="687"/>
  <c r="G358" i="687" s="1"/>
  <c r="G347" i="687"/>
  <c r="G345" i="687"/>
  <c r="G343" i="687"/>
  <c r="G341" i="687"/>
  <c r="G338" i="687"/>
  <c r="G336" i="687"/>
  <c r="G334" i="687"/>
  <c r="G321" i="687"/>
  <c r="G320" i="687"/>
  <c r="G318" i="687"/>
  <c r="G315" i="687"/>
  <c r="G313" i="687"/>
  <c r="G311" i="687"/>
  <c r="G309" i="687"/>
  <c r="G306" i="687"/>
  <c r="G304" i="687"/>
  <c r="G302" i="687"/>
  <c r="G300" i="687"/>
  <c r="G297" i="687"/>
  <c r="G295" i="687"/>
  <c r="G293" i="687"/>
  <c r="G291" i="687"/>
  <c r="G288" i="687"/>
  <c r="G286" i="687"/>
  <c r="G284" i="687"/>
  <c r="G282" i="687"/>
  <c r="G279" i="687"/>
  <c r="G277" i="687"/>
  <c r="G275" i="687"/>
  <c r="G273" i="687"/>
  <c r="G270" i="687"/>
  <c r="G268" i="687"/>
  <c r="G266" i="687"/>
  <c r="G264" i="687"/>
  <c r="G261" i="687"/>
  <c r="G259" i="687"/>
  <c r="G257" i="687"/>
  <c r="G255" i="687"/>
  <c r="G252" i="687"/>
  <c r="G250" i="687"/>
  <c r="G248" i="687"/>
  <c r="G246" i="687"/>
  <c r="G243" i="687"/>
  <c r="G241" i="687"/>
  <c r="G239" i="687"/>
  <c r="G226" i="687"/>
  <c r="G223" i="687"/>
  <c r="G221" i="687"/>
  <c r="G219" i="687"/>
  <c r="G217" i="687"/>
  <c r="G214" i="687"/>
  <c r="G212" i="687"/>
  <c r="G210" i="687"/>
  <c r="G197" i="687"/>
  <c r="G196" i="687"/>
  <c r="G194" i="687"/>
  <c r="G191" i="687"/>
  <c r="G189" i="687"/>
  <c r="G187" i="687"/>
  <c r="G185" i="687"/>
  <c r="G182" i="687"/>
  <c r="G180" i="687"/>
  <c r="G178" i="687"/>
  <c r="G176" i="687"/>
  <c r="G173" i="687"/>
  <c r="G171" i="687"/>
  <c r="G169" i="687"/>
  <c r="G167" i="687"/>
  <c r="G164" i="687"/>
  <c r="G162" i="687"/>
  <c r="G160" i="687"/>
  <c r="G158" i="687"/>
  <c r="G155" i="687"/>
  <c r="G153" i="687"/>
  <c r="G151" i="687"/>
  <c r="G149" i="687"/>
  <c r="G146" i="687"/>
  <c r="G144" i="687"/>
  <c r="G142" i="687"/>
  <c r="G140" i="687"/>
  <c r="G137" i="687"/>
  <c r="G135" i="687"/>
  <c r="G133" i="687"/>
  <c r="G131" i="687"/>
  <c r="G128" i="687"/>
  <c r="G126" i="687"/>
  <c r="G124" i="687"/>
  <c r="G122" i="687"/>
  <c r="G119" i="687"/>
  <c r="G117" i="687"/>
  <c r="G115" i="687"/>
  <c r="G113" i="687"/>
  <c r="G110" i="687"/>
  <c r="G108" i="687"/>
  <c r="G106" i="687"/>
  <c r="G104" i="687"/>
  <c r="G101" i="687"/>
  <c r="G99" i="687"/>
  <c r="G97" i="687"/>
  <c r="G95" i="687"/>
  <c r="G92" i="687"/>
  <c r="G90" i="687"/>
  <c r="G88" i="687"/>
  <c r="G86" i="687"/>
  <c r="G83" i="687"/>
  <c r="G81" i="687"/>
  <c r="G79" i="687"/>
  <c r="G77" i="687"/>
  <c r="G74" i="687"/>
  <c r="G72" i="687"/>
  <c r="G70" i="687"/>
  <c r="G68" i="687"/>
  <c r="G65" i="687"/>
  <c r="G63" i="687"/>
  <c r="G61" i="687"/>
  <c r="G59" i="687"/>
  <c r="G56" i="687"/>
  <c r="G55" i="687"/>
  <c r="G54" i="687"/>
  <c r="G53" i="687"/>
  <c r="G52" i="687"/>
  <c r="G50" i="687"/>
  <c r="G47" i="687"/>
  <c r="G45" i="687"/>
  <c r="G43" i="687"/>
  <c r="G41" i="687"/>
  <c r="G39" i="687"/>
  <c r="G38" i="687"/>
  <c r="G36" i="687"/>
  <c r="G34" i="687"/>
  <c r="G32" i="687"/>
  <c r="G30" i="687"/>
  <c r="G29" i="687"/>
  <c r="G27" i="687"/>
  <c r="G25" i="687"/>
  <c r="G23" i="687"/>
  <c r="G21" i="687"/>
  <c r="G20" i="687"/>
  <c r="G18" i="687"/>
  <c r="G16" i="687"/>
  <c r="A1" i="687"/>
  <c r="G1246" i="686"/>
  <c r="G1245" i="686"/>
  <c r="G1229" i="686"/>
  <c r="G1228" i="686"/>
  <c r="G1227" i="686"/>
  <c r="G1224" i="686"/>
  <c r="G1198" i="686"/>
  <c r="G1199" i="686" s="1"/>
  <c r="G1194" i="686"/>
  <c r="G1193" i="686"/>
  <c r="G1192" i="686"/>
  <c r="G1191" i="686"/>
  <c r="G1187" i="686"/>
  <c r="G1186" i="686"/>
  <c r="G1185" i="686"/>
  <c r="G1184" i="686"/>
  <c r="G1180" i="686"/>
  <c r="G1179" i="686"/>
  <c r="G1178" i="686"/>
  <c r="G1177" i="686"/>
  <c r="G1173" i="686"/>
  <c r="G1174" i="686" s="1"/>
  <c r="G1169" i="686"/>
  <c r="G1168" i="686"/>
  <c r="G1164" i="686"/>
  <c r="G1163" i="686"/>
  <c r="G1159" i="686"/>
  <c r="G1158" i="686"/>
  <c r="G1157" i="686"/>
  <c r="G1156" i="686"/>
  <c r="G1152" i="686"/>
  <c r="G1151" i="686"/>
  <c r="G1150" i="686"/>
  <c r="G1149" i="686"/>
  <c r="G1145" i="686"/>
  <c r="G1141" i="686"/>
  <c r="G1142" i="686" s="1"/>
  <c r="G1137" i="686"/>
  <c r="G1136" i="686"/>
  <c r="G1241" i="686"/>
  <c r="G1119" i="686"/>
  <c r="G1118" i="686"/>
  <c r="G1117" i="686"/>
  <c r="G1116" i="686"/>
  <c r="G1112" i="686"/>
  <c r="G1111" i="686"/>
  <c r="G1110" i="686"/>
  <c r="G1109" i="686"/>
  <c r="G1105" i="686"/>
  <c r="G1104" i="686"/>
  <c r="G1103" i="686"/>
  <c r="G1102" i="686"/>
  <c r="G1098" i="686"/>
  <c r="G1099" i="686" s="1"/>
  <c r="G1242" i="686"/>
  <c r="G1091" i="686"/>
  <c r="G964" i="686" s="1"/>
  <c r="G1086" i="686"/>
  <c r="G1085" i="686"/>
  <c r="G1084" i="686"/>
  <c r="G1080" i="686"/>
  <c r="G1079" i="686"/>
  <c r="G1078" i="686"/>
  <c r="G1075" i="686"/>
  <c r="G1074" i="686"/>
  <c r="G1073" i="686"/>
  <c r="G1070" i="686"/>
  <c r="G1069" i="686"/>
  <c r="G1068" i="686"/>
  <c r="G1067" i="686"/>
  <c r="G1064" i="686"/>
  <c r="G1063" i="686"/>
  <c r="G1062" i="686"/>
  <c r="G1061" i="686"/>
  <c r="G1058" i="686"/>
  <c r="G1057" i="686"/>
  <c r="G1056" i="686"/>
  <c r="G1055" i="686"/>
  <c r="G1052" i="686"/>
  <c r="G1051" i="686"/>
  <c r="G1050" i="686"/>
  <c r="G1047" i="686"/>
  <c r="G1046" i="686"/>
  <c r="G1045" i="686"/>
  <c r="G1044" i="686"/>
  <c r="G1041" i="686"/>
  <c r="G1040" i="686"/>
  <c r="G1039" i="686"/>
  <c r="G1038" i="686"/>
  <c r="G1035" i="686"/>
  <c r="G1034" i="686"/>
  <c r="G1033" i="686"/>
  <c r="G1032" i="686"/>
  <c r="G1029" i="686"/>
  <c r="G1028" i="686"/>
  <c r="G1027" i="686"/>
  <c r="G1021" i="686"/>
  <c r="G1020" i="686"/>
  <c r="G1019" i="686"/>
  <c r="G1016" i="686"/>
  <c r="G1015" i="686"/>
  <c r="G1014" i="686"/>
  <c r="G1011" i="686"/>
  <c r="G1010" i="686"/>
  <c r="G1009" i="686"/>
  <c r="G1006" i="686"/>
  <c r="G1005" i="686"/>
  <c r="G1004" i="686"/>
  <c r="G1001" i="686"/>
  <c r="G1000" i="686"/>
  <c r="G999" i="686"/>
  <c r="G996" i="686"/>
  <c r="G995" i="686"/>
  <c r="G994" i="686"/>
  <c r="G991" i="686"/>
  <c r="G990" i="686"/>
  <c r="G989" i="686"/>
  <c r="G985" i="686"/>
  <c r="G984" i="686"/>
  <c r="G983" i="686"/>
  <c r="G982" i="686"/>
  <c r="G981" i="686"/>
  <c r="G980" i="686"/>
  <c r="G979" i="686"/>
  <c r="G978" i="686"/>
  <c r="G975" i="686"/>
  <c r="G974" i="686"/>
  <c r="G973" i="686"/>
  <c r="G970" i="686"/>
  <c r="G969" i="686"/>
  <c r="G968" i="686"/>
  <c r="G962" i="686"/>
  <c r="G961" i="686"/>
  <c r="G960" i="686"/>
  <c r="G959" i="686"/>
  <c r="G958" i="686"/>
  <c r="G957" i="686"/>
  <c r="G956" i="686"/>
  <c r="G953" i="686"/>
  <c r="G951" i="686"/>
  <c r="G950" i="686"/>
  <c r="G931" i="686"/>
  <c r="G929" i="686"/>
  <c r="G927" i="686"/>
  <c r="G925" i="686"/>
  <c r="G1225" i="686"/>
  <c r="G920" i="686"/>
  <c r="G919" i="686"/>
  <c r="G918" i="686"/>
  <c r="G917" i="686"/>
  <c r="G910" i="686"/>
  <c r="G909" i="686"/>
  <c r="G908" i="686"/>
  <c r="G907" i="686"/>
  <c r="G903" i="686"/>
  <c r="G902" i="686"/>
  <c r="G901" i="686"/>
  <c r="G900" i="686"/>
  <c r="G887" i="686"/>
  <c r="G886" i="686"/>
  <c r="G884" i="686"/>
  <c r="G883" i="686"/>
  <c r="G882" i="686"/>
  <c r="G880" i="686"/>
  <c r="G879" i="686"/>
  <c r="G878" i="686"/>
  <c r="G876" i="686"/>
  <c r="G875" i="686"/>
  <c r="G874" i="686"/>
  <c r="G872" i="686"/>
  <c r="G871" i="686"/>
  <c r="G870" i="686"/>
  <c r="G868" i="686"/>
  <c r="G867" i="686"/>
  <c r="G866" i="686"/>
  <c r="G864" i="686"/>
  <c r="G863" i="686"/>
  <c r="G862" i="686"/>
  <c r="G860" i="686"/>
  <c r="G859" i="686"/>
  <c r="G858" i="686"/>
  <c r="G856" i="686"/>
  <c r="G855" i="686"/>
  <c r="G854" i="686"/>
  <c r="G852" i="686"/>
  <c r="G851" i="686"/>
  <c r="G850" i="686"/>
  <c r="G848" i="686"/>
  <c r="G847" i="686"/>
  <c r="G846" i="686"/>
  <c r="G844" i="686"/>
  <c r="G843" i="686"/>
  <c r="G842" i="686"/>
  <c r="G840" i="686"/>
  <c r="G839" i="686"/>
  <c r="G838" i="686"/>
  <c r="G826" i="686"/>
  <c r="G825" i="686"/>
  <c r="G821" i="686"/>
  <c r="G820" i="686"/>
  <c r="G816" i="686"/>
  <c r="G815" i="686"/>
  <c r="G833" i="686"/>
  <c r="G811" i="686"/>
  <c r="G810" i="686"/>
  <c r="G798" i="686"/>
  <c r="G797" i="686"/>
  <c r="G793" i="686"/>
  <c r="G792" i="686"/>
  <c r="G788" i="686"/>
  <c r="G787" i="686"/>
  <c r="G783" i="686"/>
  <c r="G782" i="686"/>
  <c r="G778" i="686"/>
  <c r="G777" i="686"/>
  <c r="G773" i="686"/>
  <c r="G772" i="686"/>
  <c r="G768" i="686"/>
  <c r="G767" i="686"/>
  <c r="G763" i="686"/>
  <c r="G762" i="686"/>
  <c r="G758" i="686"/>
  <c r="G757" i="686"/>
  <c r="G745" i="686"/>
  <c r="G744" i="686"/>
  <c r="G740" i="686"/>
  <c r="G739" i="686"/>
  <c r="G735" i="686"/>
  <c r="G734" i="686"/>
  <c r="G730" i="686"/>
  <c r="G729" i="686"/>
  <c r="G725" i="686"/>
  <c r="G724" i="686"/>
  <c r="G720" i="686"/>
  <c r="G719" i="686"/>
  <c r="G715" i="686"/>
  <c r="G714" i="686"/>
  <c r="G710" i="686"/>
  <c r="G709" i="686"/>
  <c r="G705" i="686"/>
  <c r="G704" i="686"/>
  <c r="G700" i="686"/>
  <c r="G699" i="686"/>
  <c r="G695" i="686"/>
  <c r="G694" i="686"/>
  <c r="G690" i="686"/>
  <c r="G689" i="686"/>
  <c r="G685" i="686"/>
  <c r="G684" i="686"/>
  <c r="G680" i="686"/>
  <c r="G679" i="686"/>
  <c r="G675" i="686"/>
  <c r="G674" i="686"/>
  <c r="G670" i="686"/>
  <c r="G669" i="686"/>
  <c r="G665" i="686"/>
  <c r="G664" i="686"/>
  <c r="G660" i="686"/>
  <c r="G659" i="686"/>
  <c r="G655" i="686"/>
  <c r="G654" i="686"/>
  <c r="G647" i="686"/>
  <c r="G646" i="686"/>
  <c r="G627" i="686"/>
  <c r="G626" i="686"/>
  <c r="G622" i="686"/>
  <c r="G621" i="686"/>
  <c r="G617" i="686"/>
  <c r="G616" i="686"/>
  <c r="G612" i="686"/>
  <c r="G611" i="686"/>
  <c r="G607" i="686"/>
  <c r="G606" i="686"/>
  <c r="G602" i="686"/>
  <c r="G601" i="686"/>
  <c r="G597" i="686"/>
  <c r="G596" i="686"/>
  <c r="G592" i="686"/>
  <c r="G591" i="686"/>
  <c r="G587" i="686"/>
  <c r="G586" i="686"/>
  <c r="G582" i="686"/>
  <c r="G581" i="686"/>
  <c r="G577" i="686"/>
  <c r="G576" i="686"/>
  <c r="G572" i="686"/>
  <c r="G571" i="686"/>
  <c r="G567" i="686"/>
  <c r="G566" i="686"/>
  <c r="G562" i="686"/>
  <c r="G561" i="686"/>
  <c r="G557" i="686"/>
  <c r="G556" i="686"/>
  <c r="G552" i="686"/>
  <c r="G551" i="686"/>
  <c r="G547" i="686"/>
  <c r="G546" i="686"/>
  <c r="G542" i="686"/>
  <c r="G541" i="686"/>
  <c r="G537" i="686"/>
  <c r="G536" i="686"/>
  <c r="G532" i="686"/>
  <c r="G531" i="686"/>
  <c r="G527" i="686"/>
  <c r="G526" i="686"/>
  <c r="G522" i="686"/>
  <c r="G521" i="686"/>
  <c r="G496" i="686"/>
  <c r="G495" i="686"/>
  <c r="G491" i="686"/>
  <c r="G490" i="686"/>
  <c r="G486" i="686"/>
  <c r="G485" i="686"/>
  <c r="G481" i="686"/>
  <c r="G480" i="686"/>
  <c r="G476" i="686"/>
  <c r="G475" i="686"/>
  <c r="G471" i="686"/>
  <c r="G470" i="686"/>
  <c r="G466" i="686"/>
  <c r="G465" i="686"/>
  <c r="G461" i="686"/>
  <c r="G460" i="686"/>
  <c r="G456" i="686"/>
  <c r="G455" i="686"/>
  <c r="G451" i="686"/>
  <c r="G450" i="686"/>
  <c r="G446" i="686"/>
  <c r="G445" i="686"/>
  <c r="G441" i="686"/>
  <c r="G440" i="686"/>
  <c r="G436" i="686"/>
  <c r="G435" i="686"/>
  <c r="G431" i="686"/>
  <c r="G430" i="686"/>
  <c r="G426" i="686"/>
  <c r="G425" i="686"/>
  <c r="G421" i="686"/>
  <c r="G420" i="686"/>
  <c r="G416" i="686"/>
  <c r="G415" i="686"/>
  <c r="G411" i="686"/>
  <c r="G410" i="686"/>
  <c r="G406" i="686"/>
  <c r="G405" i="686"/>
  <c r="G401" i="686"/>
  <c r="G400" i="686"/>
  <c r="G396" i="686"/>
  <c r="G395" i="686"/>
  <c r="G391" i="686"/>
  <c r="G390" i="686"/>
  <c r="G386" i="686"/>
  <c r="G385" i="686"/>
  <c r="G381" i="686"/>
  <c r="G380" i="686"/>
  <c r="G354" i="686"/>
  <c r="G350" i="686"/>
  <c r="G358" i="686" s="1"/>
  <c r="G347" i="686"/>
  <c r="G345" i="686"/>
  <c r="G343" i="686"/>
  <c r="G341" i="686"/>
  <c r="G338" i="686"/>
  <c r="G336" i="686"/>
  <c r="G334" i="686"/>
  <c r="G321" i="686"/>
  <c r="G320" i="686"/>
  <c r="G318" i="686"/>
  <c r="G315" i="686"/>
  <c r="G313" i="686"/>
  <c r="G311" i="686"/>
  <c r="G309" i="686"/>
  <c r="G306" i="686"/>
  <c r="G304" i="686"/>
  <c r="G302" i="686"/>
  <c r="G300" i="686"/>
  <c r="G297" i="686"/>
  <c r="G295" i="686"/>
  <c r="G293" i="686"/>
  <c r="G291" i="686"/>
  <c r="G288" i="686"/>
  <c r="G286" i="686"/>
  <c r="G284" i="686"/>
  <c r="G282" i="686"/>
  <c r="G279" i="686"/>
  <c r="G277" i="686"/>
  <c r="G275" i="686"/>
  <c r="G273" i="686"/>
  <c r="G270" i="686"/>
  <c r="G268" i="686"/>
  <c r="G266" i="686"/>
  <c r="G264" i="686"/>
  <c r="G261" i="686"/>
  <c r="G259" i="686"/>
  <c r="G257" i="686"/>
  <c r="G255" i="686"/>
  <c r="G252" i="686"/>
  <c r="G250" i="686"/>
  <c r="G248" i="686"/>
  <c r="G246" i="686"/>
  <c r="G243" i="686"/>
  <c r="G241" i="686"/>
  <c r="G239" i="686"/>
  <c r="G226" i="686"/>
  <c r="G223" i="686"/>
  <c r="G221" i="686"/>
  <c r="G219" i="686"/>
  <c r="G217" i="686"/>
  <c r="G214" i="686"/>
  <c r="G212" i="686"/>
  <c r="G210" i="686"/>
  <c r="G197" i="686"/>
  <c r="G196" i="686"/>
  <c r="G194" i="686"/>
  <c r="G191" i="686"/>
  <c r="G189" i="686"/>
  <c r="G187" i="686"/>
  <c r="G185" i="686"/>
  <c r="G182" i="686"/>
  <c r="G180" i="686"/>
  <c r="G178" i="686"/>
  <c r="G176" i="686"/>
  <c r="G173" i="686"/>
  <c r="G171" i="686"/>
  <c r="G169" i="686"/>
  <c r="G167" i="686"/>
  <c r="G164" i="686"/>
  <c r="G162" i="686"/>
  <c r="G160" i="686"/>
  <c r="G158" i="686"/>
  <c r="G155" i="686"/>
  <c r="G153" i="686"/>
  <c r="G151" i="686"/>
  <c r="G149" i="686"/>
  <c r="G146" i="686"/>
  <c r="G144" i="686"/>
  <c r="G142" i="686"/>
  <c r="G140" i="686"/>
  <c r="G137" i="686"/>
  <c r="G135" i="686"/>
  <c r="G133" i="686"/>
  <c r="G131" i="686"/>
  <c r="G128" i="686"/>
  <c r="G126" i="686"/>
  <c r="G124" i="686"/>
  <c r="G122" i="686"/>
  <c r="G119" i="686"/>
  <c r="G117" i="686"/>
  <c r="G115" i="686"/>
  <c r="G113" i="686"/>
  <c r="G110" i="686"/>
  <c r="G108" i="686"/>
  <c r="G106" i="686"/>
  <c r="G104" i="686"/>
  <c r="G101" i="686"/>
  <c r="G99" i="686"/>
  <c r="G97" i="686"/>
  <c r="G95" i="686"/>
  <c r="G92" i="686"/>
  <c r="G90" i="686"/>
  <c r="G88" i="686"/>
  <c r="G86" i="686"/>
  <c r="G83" i="686"/>
  <c r="G81" i="686"/>
  <c r="G79" i="686"/>
  <c r="G77" i="686"/>
  <c r="G74" i="686"/>
  <c r="G72" i="686"/>
  <c r="G70" i="686"/>
  <c r="G68" i="686"/>
  <c r="G65" i="686"/>
  <c r="G63" i="686"/>
  <c r="G61" i="686"/>
  <c r="G59" i="686"/>
  <c r="G56" i="686"/>
  <c r="G55" i="686"/>
  <c r="G54" i="686"/>
  <c r="G53" i="686"/>
  <c r="G52" i="686"/>
  <c r="G50" i="686"/>
  <c r="G47" i="686"/>
  <c r="G45" i="686"/>
  <c r="G43" i="686"/>
  <c r="G41" i="686"/>
  <c r="G39" i="686"/>
  <c r="G38" i="686"/>
  <c r="G36" i="686"/>
  <c r="G34" i="686"/>
  <c r="G32" i="686"/>
  <c r="G30" i="686"/>
  <c r="G29" i="686"/>
  <c r="G27" i="686"/>
  <c r="G25" i="686"/>
  <c r="G23" i="686"/>
  <c r="G21" i="686"/>
  <c r="G20" i="686"/>
  <c r="G18" i="686"/>
  <c r="G16" i="686"/>
  <c r="G1246" i="685"/>
  <c r="G1245" i="685"/>
  <c r="G1229" i="685"/>
  <c r="G1228" i="685"/>
  <c r="G1227" i="685"/>
  <c r="G1224" i="685"/>
  <c r="G1198" i="685"/>
  <c r="G1199" i="685" s="1"/>
  <c r="G1194" i="685"/>
  <c r="G1193" i="685"/>
  <c r="G1192" i="685"/>
  <c r="G1191" i="685"/>
  <c r="G1187" i="685"/>
  <c r="G1186" i="685"/>
  <c r="G1185" i="685"/>
  <c r="G1184" i="685"/>
  <c r="G1180" i="685"/>
  <c r="G1179" i="685"/>
  <c r="G1178" i="685"/>
  <c r="G1177" i="685"/>
  <c r="G1173" i="685"/>
  <c r="G1174" i="685" s="1"/>
  <c r="G1169" i="685"/>
  <c r="G1168" i="685"/>
  <c r="G1164" i="685"/>
  <c r="G1163" i="685"/>
  <c r="G1159" i="685"/>
  <c r="G1158" i="685"/>
  <c r="G1157" i="685"/>
  <c r="G1156" i="685"/>
  <c r="G1152" i="685"/>
  <c r="G1151" i="685"/>
  <c r="G1150" i="685"/>
  <c r="G1149" i="685"/>
  <c r="G1145" i="685"/>
  <c r="G1141" i="685"/>
  <c r="G1142" i="685" s="1"/>
  <c r="G1137" i="685"/>
  <c r="G1136" i="685"/>
  <c r="G1242" i="685"/>
  <c r="G1241" i="685"/>
  <c r="G1119" i="685"/>
  <c r="G1118" i="685"/>
  <c r="G1117" i="685"/>
  <c r="G1116" i="685"/>
  <c r="G1112" i="685"/>
  <c r="G1111" i="685"/>
  <c r="G1110" i="685"/>
  <c r="G1109" i="685"/>
  <c r="G1105" i="685"/>
  <c r="G1104" i="685"/>
  <c r="G1103" i="685"/>
  <c r="G1102" i="685"/>
  <c r="G1098" i="685"/>
  <c r="G1099" i="685" s="1"/>
  <c r="G1092" i="685"/>
  <c r="G1091" i="685"/>
  <c r="G964" i="685" s="1"/>
  <c r="G1086" i="685"/>
  <c r="G1085" i="685"/>
  <c r="G1084" i="685"/>
  <c r="G1080" i="685"/>
  <c r="G1079" i="685"/>
  <c r="G1078" i="685"/>
  <c r="G1075" i="685"/>
  <c r="G1074" i="685"/>
  <c r="G1073" i="685"/>
  <c r="G1070" i="685"/>
  <c r="G1069" i="685"/>
  <c r="G1068" i="685"/>
  <c r="G1067" i="685"/>
  <c r="G1064" i="685"/>
  <c r="G1063" i="685"/>
  <c r="G1062" i="685"/>
  <c r="G1061" i="685"/>
  <c r="G1058" i="685"/>
  <c r="G1057" i="685"/>
  <c r="G1056" i="685"/>
  <c r="G1055" i="685"/>
  <c r="G1052" i="685"/>
  <c r="G1051" i="685"/>
  <c r="G1050" i="685"/>
  <c r="G1047" i="685"/>
  <c r="G1046" i="685"/>
  <c r="G1045" i="685"/>
  <c r="G1044" i="685"/>
  <c r="G1041" i="685"/>
  <c r="G1040" i="685"/>
  <c r="G1039" i="685"/>
  <c r="G1038" i="685"/>
  <c r="G1035" i="685"/>
  <c r="G1034" i="685"/>
  <c r="G1033" i="685"/>
  <c r="G1032" i="685"/>
  <c r="G1029" i="685"/>
  <c r="G1028" i="685"/>
  <c r="G1027" i="685"/>
  <c r="G1021" i="685"/>
  <c r="G1020" i="685"/>
  <c r="G1019" i="685"/>
  <c r="G1016" i="685"/>
  <c r="G1015" i="685"/>
  <c r="G1014" i="685"/>
  <c r="G1011" i="685"/>
  <c r="G1010" i="685"/>
  <c r="G1009" i="685"/>
  <c r="G1006" i="685"/>
  <c r="G1005" i="685"/>
  <c r="G1004" i="685"/>
  <c r="G1001" i="685"/>
  <c r="G1000" i="685"/>
  <c r="G999" i="685"/>
  <c r="G996" i="685"/>
  <c r="G995" i="685"/>
  <c r="G994" i="685"/>
  <c r="G991" i="685"/>
  <c r="G990" i="685"/>
  <c r="G989" i="685"/>
  <c r="G985" i="685"/>
  <c r="G984" i="685"/>
  <c r="G983" i="685"/>
  <c r="G982" i="685"/>
  <c r="G981" i="685"/>
  <c r="G980" i="685"/>
  <c r="G979" i="685"/>
  <c r="G978" i="685"/>
  <c r="G975" i="685"/>
  <c r="G974" i="685"/>
  <c r="G973" i="685"/>
  <c r="G970" i="685"/>
  <c r="G969" i="685"/>
  <c r="G968" i="685"/>
  <c r="G962" i="685"/>
  <c r="G961" i="685"/>
  <c r="G960" i="685"/>
  <c r="G959" i="685"/>
  <c r="G958" i="685"/>
  <c r="G957" i="685"/>
  <c r="G956" i="685"/>
  <c r="G953" i="685"/>
  <c r="G951" i="685"/>
  <c r="G950" i="685"/>
  <c r="G931" i="685"/>
  <c r="G929" i="685"/>
  <c r="G927" i="685"/>
  <c r="G925" i="685"/>
  <c r="G1225" i="685"/>
  <c r="G920" i="685"/>
  <c r="G919" i="685"/>
  <c r="G918" i="685"/>
  <c r="G917" i="685"/>
  <c r="G910" i="685"/>
  <c r="G909" i="685"/>
  <c r="G908" i="685"/>
  <c r="G907" i="685"/>
  <c r="G903" i="685"/>
  <c r="G902" i="685"/>
  <c r="G901" i="685"/>
  <c r="G900" i="685"/>
  <c r="G887" i="685"/>
  <c r="G886" i="685"/>
  <c r="G884" i="685"/>
  <c r="G883" i="685"/>
  <c r="G882" i="685"/>
  <c r="G880" i="685"/>
  <c r="G879" i="685"/>
  <c r="G878" i="685"/>
  <c r="G876" i="685"/>
  <c r="G875" i="685"/>
  <c r="G874" i="685"/>
  <c r="G872" i="685"/>
  <c r="G871" i="685"/>
  <c r="G870" i="685"/>
  <c r="G868" i="685"/>
  <c r="G867" i="685"/>
  <c r="G866" i="685"/>
  <c r="G864" i="685"/>
  <c r="G863" i="685"/>
  <c r="G862" i="685"/>
  <c r="G860" i="685"/>
  <c r="G859" i="685"/>
  <c r="G858" i="685"/>
  <c r="G856" i="685"/>
  <c r="G855" i="685"/>
  <c r="G854" i="685"/>
  <c r="G852" i="685"/>
  <c r="G851" i="685"/>
  <c r="G850" i="685"/>
  <c r="G848" i="685"/>
  <c r="G847" i="685"/>
  <c r="G846" i="685"/>
  <c r="G844" i="685"/>
  <c r="G843" i="685"/>
  <c r="G842" i="685"/>
  <c r="G840" i="685"/>
  <c r="G839" i="685"/>
  <c r="G838" i="685"/>
  <c r="G826" i="685"/>
  <c r="G825" i="685"/>
  <c r="G821" i="685"/>
  <c r="G820" i="685"/>
  <c r="G816" i="685"/>
  <c r="G815" i="685"/>
  <c r="G833" i="685"/>
  <c r="G811" i="685"/>
  <c r="G810" i="685"/>
  <c r="G798" i="685"/>
  <c r="G797" i="685"/>
  <c r="G793" i="685"/>
  <c r="G792" i="685"/>
  <c r="G788" i="685"/>
  <c r="G787" i="685"/>
  <c r="G783" i="685"/>
  <c r="G782" i="685"/>
  <c r="G778" i="685"/>
  <c r="G777" i="685"/>
  <c r="G773" i="685"/>
  <c r="G772" i="685"/>
  <c r="G768" i="685"/>
  <c r="G767" i="685"/>
  <c r="G763" i="685"/>
  <c r="G762" i="685"/>
  <c r="G758" i="685"/>
  <c r="G757" i="685"/>
  <c r="G745" i="685"/>
  <c r="G744" i="685"/>
  <c r="G740" i="685"/>
  <c r="G739" i="685"/>
  <c r="G735" i="685"/>
  <c r="G734" i="685"/>
  <c r="G730" i="685"/>
  <c r="G729" i="685"/>
  <c r="G725" i="685"/>
  <c r="G724" i="685"/>
  <c r="G720" i="685"/>
  <c r="G719" i="685"/>
  <c r="G715" i="685"/>
  <c r="G714" i="685"/>
  <c r="G710" i="685"/>
  <c r="G709" i="685"/>
  <c r="G705" i="685"/>
  <c r="G704" i="685"/>
  <c r="G700" i="685"/>
  <c r="G699" i="685"/>
  <c r="G695" i="685"/>
  <c r="G694" i="685"/>
  <c r="G690" i="685"/>
  <c r="G689" i="685"/>
  <c r="G685" i="685"/>
  <c r="G684" i="685"/>
  <c r="G680" i="685"/>
  <c r="G679" i="685"/>
  <c r="G675" i="685"/>
  <c r="G674" i="685"/>
  <c r="G670" i="685"/>
  <c r="G669" i="685"/>
  <c r="G665" i="685"/>
  <c r="G664" i="685"/>
  <c r="G660" i="685"/>
  <c r="G659" i="685"/>
  <c r="G655" i="685"/>
  <c r="G654" i="685"/>
  <c r="G647" i="685"/>
  <c r="G646" i="685"/>
  <c r="G627" i="685"/>
  <c r="G626" i="685"/>
  <c r="G622" i="685"/>
  <c r="G621" i="685"/>
  <c r="G617" i="685"/>
  <c r="G616" i="685"/>
  <c r="G612" i="685"/>
  <c r="G611" i="685"/>
  <c r="G607" i="685"/>
  <c r="G606" i="685"/>
  <c r="G602" i="685"/>
  <c r="G601" i="685"/>
  <c r="G597" i="685"/>
  <c r="G596" i="685"/>
  <c r="G592" i="685"/>
  <c r="G591" i="685"/>
  <c r="G587" i="685"/>
  <c r="G586" i="685"/>
  <c r="G582" i="685"/>
  <c r="G581" i="685"/>
  <c r="G577" i="685"/>
  <c r="G576" i="685"/>
  <c r="G572" i="685"/>
  <c r="G571" i="685"/>
  <c r="G567" i="685"/>
  <c r="G566" i="685"/>
  <c r="G562" i="685"/>
  <c r="G561" i="685"/>
  <c r="G557" i="685"/>
  <c r="G556" i="685"/>
  <c r="G552" i="685"/>
  <c r="G551" i="685"/>
  <c r="G547" i="685"/>
  <c r="G546" i="685"/>
  <c r="G542" i="685"/>
  <c r="G541" i="685"/>
  <c r="G537" i="685"/>
  <c r="G536" i="685"/>
  <c r="G532" i="685"/>
  <c r="G531" i="685"/>
  <c r="G527" i="685"/>
  <c r="G526" i="685"/>
  <c r="G522" i="685"/>
  <c r="G521" i="685"/>
  <c r="G496" i="685"/>
  <c r="G495" i="685"/>
  <c r="G491" i="685"/>
  <c r="G490" i="685"/>
  <c r="G486" i="685"/>
  <c r="G485" i="685"/>
  <c r="G481" i="685"/>
  <c r="G480" i="685"/>
  <c r="G476" i="685"/>
  <c r="G475" i="685"/>
  <c r="G471" i="685"/>
  <c r="G470" i="685"/>
  <c r="G466" i="685"/>
  <c r="G465" i="685"/>
  <c r="G461" i="685"/>
  <c r="G460" i="685"/>
  <c r="G456" i="685"/>
  <c r="G455" i="685"/>
  <c r="G451" i="685"/>
  <c r="G450" i="685"/>
  <c r="G446" i="685"/>
  <c r="G445" i="685"/>
  <c r="G441" i="685"/>
  <c r="G440" i="685"/>
  <c r="G436" i="685"/>
  <c r="G435" i="685"/>
  <c r="G431" i="685"/>
  <c r="G430" i="685"/>
  <c r="G426" i="685"/>
  <c r="G425" i="685"/>
  <c r="G421" i="685"/>
  <c r="G420" i="685"/>
  <c r="G416" i="685"/>
  <c r="G415" i="685"/>
  <c r="G411" i="685"/>
  <c r="G410" i="685"/>
  <c r="G406" i="685"/>
  <c r="G405" i="685"/>
  <c r="G401" i="685"/>
  <c r="G400" i="685"/>
  <c r="G396" i="685"/>
  <c r="G395" i="685"/>
  <c r="G391" i="685"/>
  <c r="G390" i="685"/>
  <c r="G386" i="685"/>
  <c r="G385" i="685"/>
  <c r="G381" i="685"/>
  <c r="G380" i="685"/>
  <c r="G354" i="685"/>
  <c r="G350" i="685"/>
  <c r="G358" i="685" s="1"/>
  <c r="G347" i="685"/>
  <c r="G345" i="685"/>
  <c r="G343" i="685"/>
  <c r="G341" i="685"/>
  <c r="G338" i="685"/>
  <c r="G336" i="685"/>
  <c r="G334" i="685"/>
  <c r="G321" i="685"/>
  <c r="G320" i="685"/>
  <c r="G318" i="685"/>
  <c r="G315" i="685"/>
  <c r="G313" i="685"/>
  <c r="G311" i="685"/>
  <c r="G309" i="685"/>
  <c r="G306" i="685"/>
  <c r="G304" i="685"/>
  <c r="G302" i="685"/>
  <c r="G300" i="685"/>
  <c r="G297" i="685"/>
  <c r="G295" i="685"/>
  <c r="G293" i="685"/>
  <c r="G291" i="685"/>
  <c r="G288" i="685"/>
  <c r="G286" i="685"/>
  <c r="G284" i="685"/>
  <c r="G282" i="685"/>
  <c r="G279" i="685"/>
  <c r="G277" i="685"/>
  <c r="G275" i="685"/>
  <c r="G273" i="685"/>
  <c r="G270" i="685"/>
  <c r="G268" i="685"/>
  <c r="G266" i="685"/>
  <c r="G264" i="685"/>
  <c r="G261" i="685"/>
  <c r="G259" i="685"/>
  <c r="G257" i="685"/>
  <c r="G255" i="685"/>
  <c r="G252" i="685"/>
  <c r="G250" i="685"/>
  <c r="G248" i="685"/>
  <c r="G246" i="685"/>
  <c r="G243" i="685"/>
  <c r="G241" i="685"/>
  <c r="G239" i="685"/>
  <c r="G226" i="685"/>
  <c r="G223" i="685"/>
  <c r="G221" i="685"/>
  <c r="G219" i="685"/>
  <c r="G217" i="685"/>
  <c r="G214" i="685"/>
  <c r="G212" i="685"/>
  <c r="G210" i="685"/>
  <c r="G197" i="685"/>
  <c r="G196" i="685"/>
  <c r="G194" i="685"/>
  <c r="G191" i="685"/>
  <c r="G189" i="685"/>
  <c r="G187" i="685"/>
  <c r="G185" i="685"/>
  <c r="G182" i="685"/>
  <c r="G180" i="685"/>
  <c r="G178" i="685"/>
  <c r="G176" i="685"/>
  <c r="G173" i="685"/>
  <c r="G171" i="685"/>
  <c r="G169" i="685"/>
  <c r="G167" i="685"/>
  <c r="G164" i="685"/>
  <c r="G162" i="685"/>
  <c r="G160" i="685"/>
  <c r="G158" i="685"/>
  <c r="G155" i="685"/>
  <c r="G153" i="685"/>
  <c r="G151" i="685"/>
  <c r="G149" i="685"/>
  <c r="G146" i="685"/>
  <c r="G144" i="685"/>
  <c r="G142" i="685"/>
  <c r="G140" i="685"/>
  <c r="G137" i="685"/>
  <c r="G135" i="685"/>
  <c r="G133" i="685"/>
  <c r="G131" i="685"/>
  <c r="G128" i="685"/>
  <c r="G126" i="685"/>
  <c r="G124" i="685"/>
  <c r="G122" i="685"/>
  <c r="G119" i="685"/>
  <c r="G117" i="685"/>
  <c r="G115" i="685"/>
  <c r="G113" i="685"/>
  <c r="G110" i="685"/>
  <c r="G108" i="685"/>
  <c r="G106" i="685"/>
  <c r="G104" i="685"/>
  <c r="G101" i="685"/>
  <c r="G99" i="685"/>
  <c r="G97" i="685"/>
  <c r="G95" i="685"/>
  <c r="G92" i="685"/>
  <c r="G90" i="685"/>
  <c r="G88" i="685"/>
  <c r="G86" i="685"/>
  <c r="G83" i="685"/>
  <c r="G81" i="685"/>
  <c r="G79" i="685"/>
  <c r="G77" i="685"/>
  <c r="G74" i="685"/>
  <c r="G72" i="685"/>
  <c r="G70" i="685"/>
  <c r="G68" i="685"/>
  <c r="G65" i="685"/>
  <c r="G63" i="685"/>
  <c r="G61" i="685"/>
  <c r="G59" i="685"/>
  <c r="G56" i="685"/>
  <c r="G55" i="685"/>
  <c r="G54" i="685"/>
  <c r="G53" i="685"/>
  <c r="G52" i="685"/>
  <c r="G50" i="685"/>
  <c r="G47" i="685"/>
  <c r="G45" i="685"/>
  <c r="G43" i="685"/>
  <c r="G41" i="685"/>
  <c r="G39" i="685"/>
  <c r="G38" i="685"/>
  <c r="G36" i="685"/>
  <c r="G34" i="685"/>
  <c r="G32" i="685"/>
  <c r="G30" i="685"/>
  <c r="G29" i="685"/>
  <c r="G27" i="685"/>
  <c r="G25" i="685"/>
  <c r="G23" i="685"/>
  <c r="G21" i="685"/>
  <c r="G20" i="685"/>
  <c r="G18" i="685"/>
  <c r="G16" i="685"/>
  <c r="A1" i="685"/>
  <c r="G881" i="671"/>
  <c r="G880" i="671"/>
  <c r="G231" i="690" l="1"/>
  <c r="G326" i="690"/>
  <c r="G769" i="698"/>
  <c r="G230" i="686"/>
  <c r="G324" i="686"/>
  <c r="G359" i="686"/>
  <c r="G325" i="687"/>
  <c r="G365" i="687" s="1"/>
  <c r="G353" i="688"/>
  <c r="G230" i="689"/>
  <c r="G324" i="689"/>
  <c r="G359" i="689"/>
  <c r="G236" i="690"/>
  <c r="G331" i="690"/>
  <c r="G789" i="698"/>
  <c r="G236" i="687"/>
  <c r="G817" i="697"/>
  <c r="G331" i="687"/>
  <c r="G1170" i="698"/>
  <c r="G229" i="689"/>
  <c r="G397" i="685"/>
  <c r="G407" i="685"/>
  <c r="G417" i="685"/>
  <c r="G427" i="685"/>
  <c r="G437" i="685"/>
  <c r="G447" i="685"/>
  <c r="G817" i="686"/>
  <c r="G505" i="698"/>
  <c r="G427" i="687"/>
  <c r="G528" i="687"/>
  <c r="G588" i="687"/>
  <c r="G628" i="687"/>
  <c r="G631" i="687" s="1"/>
  <c r="G706" i="687"/>
  <c r="G533" i="688"/>
  <c r="G593" i="688"/>
  <c r="G671" i="688"/>
  <c r="G731" i="688"/>
  <c r="G749" i="688"/>
  <c r="G568" i="697"/>
  <c r="G608" i="697"/>
  <c r="G231" i="686"/>
  <c r="G326" i="686"/>
  <c r="G231" i="689"/>
  <c r="G326" i="689"/>
  <c r="G325" i="690"/>
  <c r="G365" i="690" s="1"/>
  <c r="G779" i="694"/>
  <c r="G799" i="694"/>
  <c r="G779" i="697"/>
  <c r="G799" i="697"/>
  <c r="G649" i="698"/>
  <c r="G671" i="698"/>
  <c r="G691" i="698"/>
  <c r="G711" i="698"/>
  <c r="G731" i="698"/>
  <c r="G407" i="687"/>
  <c r="G467" i="687"/>
  <c r="G548" i="687"/>
  <c r="G608" i="687"/>
  <c r="G686" i="687"/>
  <c r="G573" i="688"/>
  <c r="G649" i="688"/>
  <c r="G691" i="688"/>
  <c r="G548" i="697"/>
  <c r="G628" i="697"/>
  <c r="G631" i="697" s="1"/>
  <c r="G331" i="686"/>
  <c r="G331" i="689"/>
  <c r="G558" i="698"/>
  <c r="G578" i="698"/>
  <c r="G598" i="698"/>
  <c r="G618" i="698"/>
  <c r="G387" i="687"/>
  <c r="G447" i="687"/>
  <c r="G568" i="687"/>
  <c r="G666" i="687"/>
  <c r="G726" i="687"/>
  <c r="G553" i="688"/>
  <c r="G613" i="688"/>
  <c r="G711" i="688"/>
  <c r="G528" i="697"/>
  <c r="G588" i="697"/>
  <c r="G236" i="686"/>
  <c r="G236" i="689"/>
  <c r="G387" i="698"/>
  <c r="G407" i="698"/>
  <c r="G397" i="697"/>
  <c r="G417" i="697"/>
  <c r="G437" i="697"/>
  <c r="G457" i="697"/>
  <c r="G477" i="697"/>
  <c r="G497" i="697"/>
  <c r="G661" i="694"/>
  <c r="G681" i="694"/>
  <c r="G701" i="694"/>
  <c r="G721" i="694"/>
  <c r="G741" i="694"/>
  <c r="G528" i="694"/>
  <c r="G548" i="694"/>
  <c r="G568" i="694"/>
  <c r="G588" i="694"/>
  <c r="G608" i="694"/>
  <c r="G628" i="694"/>
  <c r="G631" i="694" s="1"/>
  <c r="G397" i="687"/>
  <c r="G417" i="687"/>
  <c r="G437" i="687"/>
  <c r="G457" i="687"/>
  <c r="G477" i="687"/>
  <c r="G497" i="687"/>
  <c r="G633" i="687"/>
  <c r="G558" i="687"/>
  <c r="G578" i="687"/>
  <c r="G598" i="687"/>
  <c r="G618" i="687"/>
  <c r="G750" i="687"/>
  <c r="G676" i="687"/>
  <c r="G696" i="687"/>
  <c r="G716" i="687"/>
  <c r="G230" i="687"/>
  <c r="G324" i="687"/>
  <c r="G359" i="687"/>
  <c r="G827" i="686"/>
  <c r="G324" i="685"/>
  <c r="G231" i="685"/>
  <c r="G230" i="685"/>
  <c r="G236" i="685"/>
  <c r="G331" i="685"/>
  <c r="G803" i="686"/>
  <c r="G353" i="686"/>
  <c r="G231" i="687"/>
  <c r="G505" i="687"/>
  <c r="G229" i="688"/>
  <c r="G543" i="688"/>
  <c r="G563" i="688"/>
  <c r="G583" i="688"/>
  <c r="G603" i="688"/>
  <c r="G623" i="688"/>
  <c r="G661" i="688"/>
  <c r="G681" i="688"/>
  <c r="G701" i="688"/>
  <c r="G721" i="688"/>
  <c r="G741" i="688"/>
  <c r="G231" i="688"/>
  <c r="G324" i="688"/>
  <c r="G359" i="688"/>
  <c r="G236" i="688"/>
  <c r="G331" i="688"/>
  <c r="G230" i="688"/>
  <c r="G502" i="688"/>
  <c r="G325" i="689"/>
  <c r="G365" i="689" s="1"/>
  <c r="G353" i="690"/>
  <c r="G229" i="690"/>
  <c r="G1170" i="686"/>
  <c r="G1181" i="686"/>
  <c r="G1188" i="686"/>
  <c r="G831" i="687"/>
  <c r="G822" i="687"/>
  <c r="G323" i="688"/>
  <c r="G817" i="688"/>
  <c r="G827" i="688"/>
  <c r="G632" i="689"/>
  <c r="G507" i="690"/>
  <c r="G634" i="690"/>
  <c r="G803" i="690"/>
  <c r="G325" i="685"/>
  <c r="G365" i="685" s="1"/>
  <c r="G200" i="685"/>
  <c r="G502" i="685"/>
  <c r="G1205" i="685"/>
  <c r="G634" i="686"/>
  <c r="G326" i="688"/>
  <c r="G325" i="686"/>
  <c r="G365" i="686" s="1"/>
  <c r="G229" i="687"/>
  <c r="G533" i="691"/>
  <c r="G553" i="691"/>
  <c r="G573" i="691"/>
  <c r="G593" i="691"/>
  <c r="G613" i="691"/>
  <c r="G666" i="691"/>
  <c r="G822" i="691"/>
  <c r="G676" i="696"/>
  <c r="G696" i="696"/>
  <c r="G774" i="696"/>
  <c r="G794" i="696"/>
  <c r="G633" i="697"/>
  <c r="G207" i="685"/>
  <c r="G359" i="685"/>
  <c r="G1106" i="698"/>
  <c r="G1203" i="698"/>
  <c r="G1160" i="698"/>
  <c r="G1195" i="698"/>
  <c r="G528" i="689"/>
  <c r="G548" i="689"/>
  <c r="G558" i="689"/>
  <c r="G568" i="689"/>
  <c r="G578" i="689"/>
  <c r="G588" i="689"/>
  <c r="G598" i="689"/>
  <c r="G608" i="689"/>
  <c r="G618" i="689"/>
  <c r="G628" i="689"/>
  <c r="G631" i="689" s="1"/>
  <c r="G666" i="689"/>
  <c r="G505" i="692"/>
  <c r="G1092" i="692"/>
  <c r="G1125" i="692" s="1"/>
  <c r="G339" i="693"/>
  <c r="G359" i="693"/>
  <c r="G1242" i="694"/>
  <c r="G505" i="695"/>
  <c r="G502" i="697"/>
  <c r="G392" i="697"/>
  <c r="G412" i="697"/>
  <c r="G432" i="697"/>
  <c r="G452" i="697"/>
  <c r="G472" i="697"/>
  <c r="G492" i="697"/>
  <c r="G634" i="697"/>
  <c r="G543" i="697"/>
  <c r="G563" i="697"/>
  <c r="G583" i="697"/>
  <c r="G603" i="697"/>
  <c r="G623" i="697"/>
  <c r="G750" i="697"/>
  <c r="G671" i="697"/>
  <c r="G691" i="697"/>
  <c r="G711" i="697"/>
  <c r="G731" i="697"/>
  <c r="G831" i="697"/>
  <c r="G1165" i="697"/>
  <c r="G57" i="698"/>
  <c r="G75" i="698"/>
  <c r="G111" i="698"/>
  <c r="G147" i="698"/>
  <c r="G183" i="698"/>
  <c r="G231" i="698"/>
  <c r="G271" i="698"/>
  <c r="G307" i="698"/>
  <c r="G348" i="698"/>
  <c r="G437" i="698"/>
  <c r="G457" i="698"/>
  <c r="G477" i="698"/>
  <c r="G497" i="698"/>
  <c r="G817" i="698"/>
  <c r="G1165" i="685"/>
  <c r="G397" i="686"/>
  <c r="G407" i="686"/>
  <c r="G417" i="686"/>
  <c r="G427" i="686"/>
  <c r="G437" i="686"/>
  <c r="G447" i="686"/>
  <c r="G457" i="686"/>
  <c r="G467" i="686"/>
  <c r="G487" i="686"/>
  <c r="G1165" i="688"/>
  <c r="G323" i="689"/>
  <c r="G831" i="694"/>
  <c r="G830" i="694"/>
  <c r="G392" i="695"/>
  <c r="G412" i="695"/>
  <c r="G432" i="695"/>
  <c r="G452" i="695"/>
  <c r="G472" i="695"/>
  <c r="G492" i="695"/>
  <c r="G563" i="695"/>
  <c r="G583" i="695"/>
  <c r="G603" i="695"/>
  <c r="G623" i="695"/>
  <c r="G676" i="695"/>
  <c r="G696" i="695"/>
  <c r="G716" i="695"/>
  <c r="G736" i="695"/>
  <c r="G774" i="695"/>
  <c r="G794" i="695"/>
  <c r="G1120" i="695"/>
  <c r="G1181" i="695"/>
  <c r="G201" i="696"/>
  <c r="G75" i="696"/>
  <c r="G111" i="696"/>
  <c r="G147" i="696"/>
  <c r="G183" i="696"/>
  <c r="G231" i="696"/>
  <c r="G348" i="696"/>
  <c r="G503" i="696"/>
  <c r="G402" i="696"/>
  <c r="G422" i="696"/>
  <c r="G442" i="696"/>
  <c r="G462" i="696"/>
  <c r="G482" i="696"/>
  <c r="G505" i="696"/>
  <c r="G533" i="696"/>
  <c r="G633" i="696"/>
  <c r="G553" i="696"/>
  <c r="G573" i="696"/>
  <c r="G593" i="696"/>
  <c r="G613" i="696"/>
  <c r="G649" i="696"/>
  <c r="G671" i="696"/>
  <c r="G691" i="696"/>
  <c r="G706" i="696"/>
  <c r="G726" i="696"/>
  <c r="G746" i="696"/>
  <c r="G769" i="696"/>
  <c r="G789" i="696"/>
  <c r="G833" i="696"/>
  <c r="G827" i="696"/>
  <c r="G1241" i="698"/>
  <c r="G507" i="686"/>
  <c r="G749" i="685"/>
  <c r="G156" i="685"/>
  <c r="G633" i="685"/>
  <c r="G774" i="697"/>
  <c r="G794" i="697"/>
  <c r="G746" i="698"/>
  <c r="G802" i="698"/>
  <c r="G764" i="698"/>
  <c r="G784" i="698"/>
  <c r="G229" i="686"/>
  <c r="G129" i="685"/>
  <c r="G138" i="685"/>
  <c r="G147" i="685"/>
  <c r="G326" i="685"/>
  <c r="G505" i="685"/>
  <c r="G750" i="685"/>
  <c r="G1242" i="691"/>
  <c r="G231" i="692"/>
  <c r="G271" i="692"/>
  <c r="G307" i="692"/>
  <c r="G330" i="692"/>
  <c r="G348" i="692"/>
  <c r="G1120" i="692"/>
  <c r="G1181" i="692"/>
  <c r="G201" i="693"/>
  <c r="G207" i="693"/>
  <c r="G1106" i="693"/>
  <c r="G1203" i="693"/>
  <c r="G1160" i="693"/>
  <c r="G1170" i="693"/>
  <c r="G1195" i="693"/>
  <c r="G402" i="694"/>
  <c r="G422" i="694"/>
  <c r="G442" i="694"/>
  <c r="G462" i="694"/>
  <c r="G482" i="694"/>
  <c r="G633" i="694"/>
  <c r="G280" i="696"/>
  <c r="G316" i="696"/>
  <c r="G397" i="696"/>
  <c r="G417" i="696"/>
  <c r="G437" i="696"/>
  <c r="G457" i="696"/>
  <c r="G477" i="696"/>
  <c r="G497" i="696"/>
  <c r="G528" i="696"/>
  <c r="G548" i="696"/>
  <c r="G568" i="696"/>
  <c r="G588" i="696"/>
  <c r="G608" i="696"/>
  <c r="G628" i="696"/>
  <c r="G631" i="696" s="1"/>
  <c r="G721" i="696"/>
  <c r="G741" i="696"/>
  <c r="G1092" i="696"/>
  <c r="G1125" i="696" s="1"/>
  <c r="G262" i="697"/>
  <c r="G298" i="697"/>
  <c r="G359" i="697"/>
  <c r="G666" i="697"/>
  <c r="G686" i="697"/>
  <c r="G706" i="697"/>
  <c r="G726" i="697"/>
  <c r="G746" i="697"/>
  <c r="G84" i="698"/>
  <c r="G120" i="698"/>
  <c r="G156" i="698"/>
  <c r="G192" i="698"/>
  <c r="G432" i="698"/>
  <c r="G911" i="691"/>
  <c r="G1242" i="693"/>
  <c r="G231" i="694"/>
  <c r="G1170" i="695"/>
  <c r="G324" i="696"/>
  <c r="G1120" i="696"/>
  <c r="G231" i="697"/>
  <c r="G326" i="687"/>
  <c r="G774" i="685"/>
  <c r="G794" i="685"/>
  <c r="G503" i="686"/>
  <c r="G632" i="686"/>
  <c r="G802" i="686"/>
  <c r="G502" i="687"/>
  <c r="G1106" i="687"/>
  <c r="G1113" i="687"/>
  <c r="G1120" i="687"/>
  <c r="G1205" i="687"/>
  <c r="G1170" i="688"/>
  <c r="G1181" i="688"/>
  <c r="G1188" i="688"/>
  <c r="G1195" i="688"/>
  <c r="G201" i="689"/>
  <c r="G505" i="689"/>
  <c r="G633" i="689"/>
  <c r="G750" i="689"/>
  <c r="G1205" i="689"/>
  <c r="G503" i="690"/>
  <c r="G632" i="690"/>
  <c r="G230" i="691"/>
  <c r="G353" i="691"/>
  <c r="G359" i="691"/>
  <c r="G913" i="691"/>
  <c r="G93" i="692"/>
  <c r="G129" i="692"/>
  <c r="G206" i="692"/>
  <c r="G165" i="692"/>
  <c r="G236" i="692"/>
  <c r="G324" i="692"/>
  <c r="G93" i="693"/>
  <c r="G129" i="693"/>
  <c r="G206" i="693"/>
  <c r="G165" i="693"/>
  <c r="G407" i="693"/>
  <c r="G427" i="693"/>
  <c r="G447" i="693"/>
  <c r="G467" i="693"/>
  <c r="G487" i="693"/>
  <c r="G634" i="693"/>
  <c r="G558" i="693"/>
  <c r="G578" i="693"/>
  <c r="G598" i="693"/>
  <c r="G618" i="693"/>
  <c r="G649" i="693"/>
  <c r="G750" i="693"/>
  <c r="G671" i="693"/>
  <c r="G691" i="693"/>
  <c r="G711" i="693"/>
  <c r="G731" i="693"/>
  <c r="G769" i="693"/>
  <c r="G789" i="693"/>
  <c r="G831" i="693"/>
  <c r="G827" i="693"/>
  <c r="G911" i="693"/>
  <c r="G392" i="694"/>
  <c r="G412" i="694"/>
  <c r="G432" i="694"/>
  <c r="G452" i="694"/>
  <c r="G472" i="694"/>
  <c r="G492" i="694"/>
  <c r="G985" i="694"/>
  <c r="G1125" i="694"/>
  <c r="G1113" i="694"/>
  <c r="G57" i="695"/>
  <c r="G75" i="695"/>
  <c r="G111" i="695"/>
  <c r="G147" i="695"/>
  <c r="G183" i="695"/>
  <c r="G231" i="695"/>
  <c r="G271" i="695"/>
  <c r="G307" i="695"/>
  <c r="G330" i="695"/>
  <c r="G769" i="689"/>
  <c r="G779" i="689"/>
  <c r="G789" i="689"/>
  <c r="G799" i="689"/>
  <c r="G1203" i="689"/>
  <c r="G1165" i="689"/>
  <c r="G48" i="690"/>
  <c r="G224" i="690"/>
  <c r="G323" i="690"/>
  <c r="G253" i="690"/>
  <c r="G262" i="690"/>
  <c r="G271" i="690"/>
  <c r="G280" i="690"/>
  <c r="G298" i="690"/>
  <c r="G307" i="690"/>
  <c r="G316" i="690"/>
  <c r="G271" i="691"/>
  <c r="G307" i="691"/>
  <c r="G330" i="691"/>
  <c r="G397" i="691"/>
  <c r="G417" i="691"/>
  <c r="G437" i="691"/>
  <c r="G457" i="691"/>
  <c r="G477" i="691"/>
  <c r="G497" i="691"/>
  <c r="G681" i="691"/>
  <c r="G701" i="691"/>
  <c r="G721" i="691"/>
  <c r="G741" i="691"/>
  <c r="G779" i="691"/>
  <c r="G799" i="691"/>
  <c r="G1170" i="691"/>
  <c r="G402" i="692"/>
  <c r="G422" i="692"/>
  <c r="G442" i="692"/>
  <c r="G462" i="692"/>
  <c r="G482" i="692"/>
  <c r="G533" i="692"/>
  <c r="G633" i="692"/>
  <c r="G553" i="692"/>
  <c r="G573" i="692"/>
  <c r="G593" i="692"/>
  <c r="G613" i="692"/>
  <c r="G666" i="692"/>
  <c r="G686" i="692"/>
  <c r="G706" i="692"/>
  <c r="G726" i="692"/>
  <c r="G229" i="694"/>
  <c r="G324" i="694"/>
  <c r="G229" i="697"/>
  <c r="G764" i="685"/>
  <c r="G784" i="685"/>
  <c r="G831" i="685"/>
  <c r="G1243" i="696"/>
  <c r="G985" i="696"/>
  <c r="G392" i="685"/>
  <c r="G402" i="685"/>
  <c r="G412" i="685"/>
  <c r="G422" i="685"/>
  <c r="G432" i="685"/>
  <c r="G442" i="685"/>
  <c r="G392" i="687"/>
  <c r="G402" i="687"/>
  <c r="G412" i="687"/>
  <c r="G422" i="687"/>
  <c r="G432" i="687"/>
  <c r="G442" i="687"/>
  <c r="G452" i="687"/>
  <c r="G462" i="687"/>
  <c r="G472" i="687"/>
  <c r="G482" i="687"/>
  <c r="G492" i="687"/>
  <c r="G533" i="687"/>
  <c r="G543" i="687"/>
  <c r="G553" i="687"/>
  <c r="G563" i="687"/>
  <c r="G573" i="687"/>
  <c r="G583" i="687"/>
  <c r="G593" i="687"/>
  <c r="G603" i="687"/>
  <c r="G613" i="687"/>
  <c r="G623" i="687"/>
  <c r="G201" i="688"/>
  <c r="G66" i="688"/>
  <c r="G75" i="688"/>
  <c r="G84" i="688"/>
  <c r="G93" i="688"/>
  <c r="G102" i="688"/>
  <c r="G111" i="688"/>
  <c r="G120" i="688"/>
  <c r="G129" i="688"/>
  <c r="G138" i="688"/>
  <c r="G147" i="688"/>
  <c r="G156" i="688"/>
  <c r="G165" i="688"/>
  <c r="G174" i="688"/>
  <c r="G183" i="688"/>
  <c r="G192" i="688"/>
  <c r="G348" i="688"/>
  <c r="G505" i="688"/>
  <c r="G528" i="688"/>
  <c r="G633" i="688"/>
  <c r="G548" i="688"/>
  <c r="G558" i="688"/>
  <c r="G568" i="688"/>
  <c r="G578" i="688"/>
  <c r="G588" i="688"/>
  <c r="G598" i="688"/>
  <c r="G608" i="688"/>
  <c r="G618" i="688"/>
  <c r="G628" i="688"/>
  <c r="G631" i="688" s="1"/>
  <c r="G750" i="688"/>
  <c r="G666" i="688"/>
  <c r="G676" i="688"/>
  <c r="G686" i="688"/>
  <c r="G696" i="688"/>
  <c r="G706" i="688"/>
  <c r="G716" i="688"/>
  <c r="G726" i="688"/>
  <c r="G736" i="688"/>
  <c r="G746" i="688"/>
  <c r="G831" i="688"/>
  <c r="G822" i="688"/>
  <c r="G93" i="691"/>
  <c r="G129" i="691"/>
  <c r="G206" i="691"/>
  <c r="G165" i="691"/>
  <c r="G324" i="691"/>
  <c r="G502" i="691"/>
  <c r="G407" i="691"/>
  <c r="G427" i="691"/>
  <c r="G447" i="691"/>
  <c r="G467" i="691"/>
  <c r="G487" i="691"/>
  <c r="G634" i="691"/>
  <c r="G543" i="691"/>
  <c r="G563" i="691"/>
  <c r="G583" i="691"/>
  <c r="G603" i="691"/>
  <c r="G623" i="691"/>
  <c r="G750" i="691"/>
  <c r="G691" i="691"/>
  <c r="G711" i="691"/>
  <c r="G731" i="691"/>
  <c r="G769" i="691"/>
  <c r="G789" i="691"/>
  <c r="G831" i="691"/>
  <c r="G1113" i="691"/>
  <c r="G1181" i="691"/>
  <c r="G1093" i="692"/>
  <c r="G1126" i="692" s="1"/>
  <c r="G985" i="692"/>
  <c r="G528" i="695"/>
  <c r="G548" i="695"/>
  <c r="G323" i="696"/>
  <c r="G331" i="696"/>
  <c r="G830" i="696"/>
  <c r="G1241" i="696"/>
  <c r="G326" i="697"/>
  <c r="G452" i="698"/>
  <c r="G472" i="698"/>
  <c r="G492" i="698"/>
  <c r="G1204" i="698"/>
  <c r="G1205" i="698"/>
  <c r="G1165" i="698"/>
  <c r="G271" i="693"/>
  <c r="G307" i="693"/>
  <c r="G330" i="693"/>
  <c r="G57" i="694"/>
  <c r="G75" i="694"/>
  <c r="G111" i="694"/>
  <c r="G147" i="694"/>
  <c r="G183" i="694"/>
  <c r="G271" i="694"/>
  <c r="G307" i="694"/>
  <c r="G330" i="694"/>
  <c r="G348" i="694"/>
  <c r="G503" i="694"/>
  <c r="G505" i="694"/>
  <c r="G558" i="694"/>
  <c r="G578" i="694"/>
  <c r="G598" i="694"/>
  <c r="G618" i="694"/>
  <c r="G649" i="694"/>
  <c r="G671" i="694"/>
  <c r="G691" i="694"/>
  <c r="G711" i="694"/>
  <c r="G731" i="694"/>
  <c r="G769" i="694"/>
  <c r="G789" i="694"/>
  <c r="G911" i="694"/>
  <c r="G236" i="695"/>
  <c r="G324" i="695"/>
  <c r="G253" i="696"/>
  <c r="G921" i="696"/>
  <c r="G1242" i="696"/>
  <c r="G84" i="697"/>
  <c r="G120" i="697"/>
  <c r="G156" i="697"/>
  <c r="G192" i="697"/>
  <c r="G271" i="697"/>
  <c r="G307" i="697"/>
  <c r="G348" i="697"/>
  <c r="G904" i="697"/>
  <c r="G1241" i="697"/>
  <c r="G229" i="698"/>
  <c r="G236" i="698"/>
  <c r="G746" i="692"/>
  <c r="G764" i="692"/>
  <c r="G784" i="692"/>
  <c r="G833" i="692"/>
  <c r="G822" i="692"/>
  <c r="G911" i="692"/>
  <c r="G1242" i="692"/>
  <c r="G1241" i="693"/>
  <c r="G822" i="694"/>
  <c r="G1203" i="694"/>
  <c r="G1160" i="694"/>
  <c r="G1170" i="694"/>
  <c r="G1195" i="694"/>
  <c r="G402" i="695"/>
  <c r="G422" i="695"/>
  <c r="G442" i="695"/>
  <c r="G462" i="695"/>
  <c r="G482" i="695"/>
  <c r="G633" i="695"/>
  <c r="G553" i="695"/>
  <c r="G573" i="695"/>
  <c r="G593" i="695"/>
  <c r="G613" i="695"/>
  <c r="G666" i="695"/>
  <c r="G686" i="695"/>
  <c r="G706" i="695"/>
  <c r="G726" i="695"/>
  <c r="G746" i="695"/>
  <c r="G764" i="695"/>
  <c r="G784" i="695"/>
  <c r="G833" i="695"/>
  <c r="G822" i="695"/>
  <c r="G921" i="695"/>
  <c r="G1242" i="695"/>
  <c r="G48" i="696"/>
  <c r="G66" i="696"/>
  <c r="G102" i="696"/>
  <c r="G138" i="696"/>
  <c r="G174" i="696"/>
  <c r="G230" i="696"/>
  <c r="G224" i="696"/>
  <c r="G913" i="696"/>
  <c r="G1204" i="696"/>
  <c r="G1205" i="696"/>
  <c r="G1165" i="696"/>
  <c r="G200" i="697"/>
  <c r="G93" i="697"/>
  <c r="G129" i="697"/>
  <c r="G165" i="697"/>
  <c r="G215" i="697"/>
  <c r="G236" i="697"/>
  <c r="G1106" i="697"/>
  <c r="G1203" i="697"/>
  <c r="G1160" i="697"/>
  <c r="G1170" i="697"/>
  <c r="G1195" i="697"/>
  <c r="G326" i="698"/>
  <c r="G262" i="698"/>
  <c r="G298" i="698"/>
  <c r="G353" i="698"/>
  <c r="G359" i="698"/>
  <c r="G442" i="698"/>
  <c r="G462" i="698"/>
  <c r="G482" i="698"/>
  <c r="G633" i="698"/>
  <c r="G833" i="698"/>
  <c r="G822" i="698"/>
  <c r="G921" i="698"/>
  <c r="G503" i="688"/>
  <c r="G632" i="688"/>
  <c r="G200" i="689"/>
  <c r="G207" i="689"/>
  <c r="G749" i="689"/>
  <c r="G746" i="689"/>
  <c r="G764" i="689"/>
  <c r="G774" i="689"/>
  <c r="G784" i="689"/>
  <c r="G794" i="689"/>
  <c r="G830" i="689"/>
  <c r="G207" i="692"/>
  <c r="G201" i="685"/>
  <c r="G202" i="685"/>
  <c r="G120" i="685"/>
  <c r="G503" i="685"/>
  <c r="G632" i="685"/>
  <c r="G802" i="685"/>
  <c r="G1125" i="685"/>
  <c r="G1203" i="685"/>
  <c r="G1153" i="685"/>
  <c r="G1160" i="685"/>
  <c r="G200" i="686"/>
  <c r="G207" i="686"/>
  <c r="G502" i="686"/>
  <c r="G477" i="686"/>
  <c r="G497" i="686"/>
  <c r="G528" i="686"/>
  <c r="G548" i="686"/>
  <c r="G558" i="686"/>
  <c r="G568" i="686"/>
  <c r="G578" i="686"/>
  <c r="G588" i="686"/>
  <c r="G598" i="686"/>
  <c r="G608" i="686"/>
  <c r="G618" i="686"/>
  <c r="G628" i="686"/>
  <c r="G631" i="686" s="1"/>
  <c r="G749" i="686"/>
  <c r="G666" i="686"/>
  <c r="G676" i="686"/>
  <c r="G686" i="686"/>
  <c r="G696" i="686"/>
  <c r="G706" i="686"/>
  <c r="G716" i="686"/>
  <c r="G726" i="686"/>
  <c r="G736" i="686"/>
  <c r="G746" i="686"/>
  <c r="G1106" i="686"/>
  <c r="G1113" i="686"/>
  <c r="G1205" i="686"/>
  <c r="G202" i="687"/>
  <c r="G503" i="687"/>
  <c r="G632" i="687"/>
  <c r="G1203" i="687"/>
  <c r="G48" i="688"/>
  <c r="G57" i="688"/>
  <c r="G224" i="688"/>
  <c r="G253" i="688"/>
  <c r="G262" i="688"/>
  <c r="G271" i="688"/>
  <c r="G280" i="688"/>
  <c r="G298" i="688"/>
  <c r="G307" i="688"/>
  <c r="G316" i="688"/>
  <c r="G507" i="688"/>
  <c r="G634" i="688"/>
  <c r="G803" i="688"/>
  <c r="G904" i="688"/>
  <c r="G911" i="688"/>
  <c r="G921" i="688"/>
  <c r="G201" i="692"/>
  <c r="G48" i="685"/>
  <c r="G323" i="685"/>
  <c r="G507" i="685"/>
  <c r="G634" i="685"/>
  <c r="G803" i="685"/>
  <c r="G769" i="685"/>
  <c r="G779" i="685"/>
  <c r="G789" i="685"/>
  <c r="G799" i="685"/>
  <c r="G830" i="685"/>
  <c r="G505" i="686"/>
  <c r="G633" i="686"/>
  <c r="G750" i="686"/>
  <c r="G831" i="686"/>
  <c r="G822" i="686"/>
  <c r="G1203" i="686"/>
  <c r="G1153" i="686"/>
  <c r="G1160" i="686"/>
  <c r="G1165" i="686"/>
  <c r="G507" i="687"/>
  <c r="G634" i="687"/>
  <c r="G649" i="687"/>
  <c r="G661" i="687"/>
  <c r="G671" i="687"/>
  <c r="G681" i="687"/>
  <c r="G691" i="687"/>
  <c r="G701" i="687"/>
  <c r="G711" i="687"/>
  <c r="G721" i="687"/>
  <c r="G731" i="687"/>
  <c r="G803" i="687"/>
  <c r="G817" i="687"/>
  <c r="G827" i="687"/>
  <c r="G904" i="687"/>
  <c r="G911" i="687"/>
  <c r="G921" i="687"/>
  <c r="G1125" i="687"/>
  <c r="G1204" i="687"/>
  <c r="G202" i="689"/>
  <c r="G1153" i="689"/>
  <c r="G1160" i="689"/>
  <c r="G57" i="690"/>
  <c r="G533" i="690"/>
  <c r="G543" i="690"/>
  <c r="G553" i="690"/>
  <c r="G563" i="690"/>
  <c r="G573" i="690"/>
  <c r="G583" i="690"/>
  <c r="G593" i="690"/>
  <c r="G603" i="690"/>
  <c r="G613" i="690"/>
  <c r="G623" i="690"/>
  <c r="G649" i="690"/>
  <c r="G661" i="690"/>
  <c r="G671" i="690"/>
  <c r="G681" i="690"/>
  <c r="G691" i="690"/>
  <c r="G701" i="690"/>
  <c r="G711" i="690"/>
  <c r="G721" i="690"/>
  <c r="G731" i="690"/>
  <c r="G817" i="690"/>
  <c r="G827" i="690"/>
  <c r="G207" i="691"/>
  <c r="G215" i="692"/>
  <c r="G229" i="692"/>
  <c r="G904" i="685"/>
  <c r="G911" i="685"/>
  <c r="G921" i="685"/>
  <c r="G1106" i="685"/>
  <c r="G1113" i="685"/>
  <c r="G1120" i="685"/>
  <c r="G1170" i="685"/>
  <c r="G1181" i="685"/>
  <c r="G1188" i="685"/>
  <c r="G202" i="686"/>
  <c r="G392" i="686"/>
  <c r="G402" i="686"/>
  <c r="G412" i="686"/>
  <c r="G422" i="686"/>
  <c r="G432" i="686"/>
  <c r="G442" i="686"/>
  <c r="G452" i="686"/>
  <c r="G462" i="686"/>
  <c r="G472" i="686"/>
  <c r="G482" i="686"/>
  <c r="G492" i="686"/>
  <c r="G533" i="686"/>
  <c r="G543" i="686"/>
  <c r="G553" i="686"/>
  <c r="G563" i="686"/>
  <c r="G573" i="686"/>
  <c r="G583" i="686"/>
  <c r="G593" i="686"/>
  <c r="G603" i="686"/>
  <c r="G613" i="686"/>
  <c r="G623" i="686"/>
  <c r="G649" i="686"/>
  <c r="G661" i="686"/>
  <c r="G671" i="686"/>
  <c r="G681" i="686"/>
  <c r="G691" i="686"/>
  <c r="G701" i="686"/>
  <c r="G711" i="686"/>
  <c r="G721" i="686"/>
  <c r="G731" i="686"/>
  <c r="G741" i="686"/>
  <c r="G1204" i="686"/>
  <c r="G200" i="687"/>
  <c r="G207" i="687"/>
  <c r="G1203" i="688"/>
  <c r="G1153" i="688"/>
  <c r="G1160" i="688"/>
  <c r="G48" i="689"/>
  <c r="G57" i="689"/>
  <c r="G507" i="689"/>
  <c r="G634" i="689"/>
  <c r="G533" i="689"/>
  <c r="G543" i="689"/>
  <c r="G553" i="689"/>
  <c r="G563" i="689"/>
  <c r="G573" i="689"/>
  <c r="G583" i="689"/>
  <c r="G593" i="689"/>
  <c r="G603" i="689"/>
  <c r="G613" i="689"/>
  <c r="G623" i="689"/>
  <c r="G649" i="689"/>
  <c r="G661" i="689"/>
  <c r="G671" i="689"/>
  <c r="G803" i="689"/>
  <c r="G502" i="690"/>
  <c r="G749" i="690"/>
  <c r="G201" i="691"/>
  <c r="G904" i="690"/>
  <c r="G911" i="690"/>
  <c r="G921" i="690"/>
  <c r="G1125" i="690"/>
  <c r="G1204" i="690"/>
  <c r="G200" i="691"/>
  <c r="G21" i="691"/>
  <c r="G84" i="691"/>
  <c r="G120" i="691"/>
  <c r="G156" i="691"/>
  <c r="G192" i="691"/>
  <c r="G231" i="691"/>
  <c r="G326" i="691"/>
  <c r="G262" i="691"/>
  <c r="G298" i="691"/>
  <c r="G392" i="691"/>
  <c r="G412" i="691"/>
  <c r="G432" i="691"/>
  <c r="G452" i="691"/>
  <c r="G472" i="691"/>
  <c r="G492" i="691"/>
  <c r="G632" i="691"/>
  <c r="G528" i="691"/>
  <c r="G548" i="691"/>
  <c r="G568" i="691"/>
  <c r="G588" i="691"/>
  <c r="G608" i="691"/>
  <c r="G628" i="691"/>
  <c r="G631" i="691" s="1"/>
  <c r="G661" i="691"/>
  <c r="G696" i="691"/>
  <c r="G716" i="691"/>
  <c r="G736" i="691"/>
  <c r="G803" i="691"/>
  <c r="G774" i="691"/>
  <c r="G794" i="691"/>
  <c r="G830" i="691"/>
  <c r="G817" i="691"/>
  <c r="G1092" i="691"/>
  <c r="G1125" i="691" s="1"/>
  <c r="G1106" i="691"/>
  <c r="G1204" i="691"/>
  <c r="G1205" i="691"/>
  <c r="G1165" i="691"/>
  <c r="G200" i="692"/>
  <c r="G84" i="692"/>
  <c r="G120" i="692"/>
  <c r="G156" i="692"/>
  <c r="G192" i="692"/>
  <c r="G326" i="692"/>
  <c r="G262" i="692"/>
  <c r="G298" i="692"/>
  <c r="G339" i="692"/>
  <c r="G359" i="692"/>
  <c r="G407" i="692"/>
  <c r="G427" i="692"/>
  <c r="G447" i="692"/>
  <c r="G467" i="692"/>
  <c r="G487" i="692"/>
  <c r="G634" i="692"/>
  <c r="G558" i="692"/>
  <c r="G578" i="692"/>
  <c r="G598" i="692"/>
  <c r="G618" i="692"/>
  <c r="G649" i="692"/>
  <c r="G750" i="692"/>
  <c r="G671" i="692"/>
  <c r="G691" i="692"/>
  <c r="G711" i="692"/>
  <c r="G731" i="692"/>
  <c r="G769" i="692"/>
  <c r="G789" i="692"/>
  <c r="G831" i="692"/>
  <c r="G827" i="692"/>
  <c r="G904" i="692"/>
  <c r="G1113" i="692"/>
  <c r="G1204" i="692"/>
  <c r="G1205" i="692"/>
  <c r="G1165" i="692"/>
  <c r="G200" i="693"/>
  <c r="G84" i="693"/>
  <c r="G120" i="693"/>
  <c r="G156" i="693"/>
  <c r="G192" i="693"/>
  <c r="G231" i="693"/>
  <c r="G326" i="693"/>
  <c r="G262" i="693"/>
  <c r="G298" i="693"/>
  <c r="G392" i="693"/>
  <c r="G412" i="693"/>
  <c r="G432" i="693"/>
  <c r="G452" i="693"/>
  <c r="G472" i="693"/>
  <c r="G492" i="693"/>
  <c r="G632" i="693"/>
  <c r="G543" i="693"/>
  <c r="G563" i="693"/>
  <c r="G583" i="693"/>
  <c r="G603" i="693"/>
  <c r="G623" i="693"/>
  <c r="G749" i="693"/>
  <c r="G676" i="693"/>
  <c r="G696" i="693"/>
  <c r="G716" i="693"/>
  <c r="G736" i="693"/>
  <c r="G803" i="693"/>
  <c r="G774" i="693"/>
  <c r="G794" i="693"/>
  <c r="G830" i="693"/>
  <c r="G904" i="693"/>
  <c r="G1153" i="693"/>
  <c r="G1188" i="693"/>
  <c r="G202" i="694"/>
  <c r="G48" i="694"/>
  <c r="G66" i="694"/>
  <c r="G102" i="694"/>
  <c r="G138" i="694"/>
  <c r="G174" i="694"/>
  <c r="G230" i="694"/>
  <c r="G224" i="694"/>
  <c r="G326" i="694"/>
  <c r="G262" i="694"/>
  <c r="G298" i="694"/>
  <c r="G339" i="694"/>
  <c r="G359" i="694"/>
  <c r="G502" i="694"/>
  <c r="G407" i="694"/>
  <c r="G427" i="694"/>
  <c r="G447" i="694"/>
  <c r="G467" i="694"/>
  <c r="G487" i="694"/>
  <c r="G634" i="694"/>
  <c r="G543" i="694"/>
  <c r="G563" i="694"/>
  <c r="G583" i="694"/>
  <c r="G603" i="694"/>
  <c r="G623" i="694"/>
  <c r="G750" i="694"/>
  <c r="G676" i="694"/>
  <c r="G696" i="694"/>
  <c r="G716" i="694"/>
  <c r="G736" i="694"/>
  <c r="G774" i="694"/>
  <c r="G348" i="695"/>
  <c r="G353" i="695"/>
  <c r="G1242" i="697"/>
  <c r="G1092" i="697"/>
  <c r="G1125" i="697" s="1"/>
  <c r="G339" i="697"/>
  <c r="G353" i="697"/>
  <c r="G1243" i="697"/>
  <c r="G985" i="697"/>
  <c r="G1170" i="689"/>
  <c r="G1181" i="689"/>
  <c r="G1188" i="689"/>
  <c r="G1195" i="689"/>
  <c r="G201" i="690"/>
  <c r="G364" i="690" s="1"/>
  <c r="G66" i="690"/>
  <c r="G75" i="690"/>
  <c r="G84" i="690"/>
  <c r="G93" i="690"/>
  <c r="G102" i="690"/>
  <c r="G111" i="690"/>
  <c r="G120" i="690"/>
  <c r="G129" i="690"/>
  <c r="G138" i="690"/>
  <c r="G147" i="690"/>
  <c r="G156" i="690"/>
  <c r="G165" i="690"/>
  <c r="G174" i="690"/>
  <c r="G183" i="690"/>
  <c r="G192" i="690"/>
  <c r="G348" i="690"/>
  <c r="G505" i="690"/>
  <c r="G528" i="690"/>
  <c r="G633" i="690"/>
  <c r="G548" i="690"/>
  <c r="G558" i="690"/>
  <c r="G568" i="690"/>
  <c r="G578" i="690"/>
  <c r="G588" i="690"/>
  <c r="G598" i="690"/>
  <c r="G608" i="690"/>
  <c r="G618" i="690"/>
  <c r="G628" i="690"/>
  <c r="G631" i="690" s="1"/>
  <c r="G750" i="690"/>
  <c r="G666" i="690"/>
  <c r="G676" i="690"/>
  <c r="G686" i="690"/>
  <c r="G696" i="690"/>
  <c r="G706" i="690"/>
  <c r="G716" i="690"/>
  <c r="G726" i="690"/>
  <c r="G736" i="690"/>
  <c r="G831" i="690"/>
  <c r="G822" i="690"/>
  <c r="G1106" i="690"/>
  <c r="G1113" i="690"/>
  <c r="G1120" i="690"/>
  <c r="G1205" i="690"/>
  <c r="G202" i="691"/>
  <c r="G48" i="691"/>
  <c r="G66" i="691"/>
  <c r="G102" i="691"/>
  <c r="G138" i="691"/>
  <c r="G174" i="691"/>
  <c r="G229" i="691"/>
  <c r="G236" i="691"/>
  <c r="G323" i="691"/>
  <c r="G331" i="691"/>
  <c r="G280" i="691"/>
  <c r="G316" i="691"/>
  <c r="G348" i="691"/>
  <c r="G503" i="691"/>
  <c r="G402" i="691"/>
  <c r="G422" i="691"/>
  <c r="G442" i="691"/>
  <c r="G462" i="691"/>
  <c r="G482" i="691"/>
  <c r="G505" i="691"/>
  <c r="G633" i="691"/>
  <c r="G558" i="691"/>
  <c r="G578" i="691"/>
  <c r="G598" i="691"/>
  <c r="G618" i="691"/>
  <c r="G649" i="691"/>
  <c r="G671" i="691"/>
  <c r="G686" i="691"/>
  <c r="G706" i="691"/>
  <c r="G726" i="691"/>
  <c r="G746" i="691"/>
  <c r="G764" i="691"/>
  <c r="G784" i="691"/>
  <c r="G833" i="691"/>
  <c r="G827" i="691"/>
  <c r="G921" i="691"/>
  <c r="G1120" i="691"/>
  <c r="G1241" i="691"/>
  <c r="G1153" i="691"/>
  <c r="G1188" i="691"/>
  <c r="G202" i="692"/>
  <c r="G48" i="692"/>
  <c r="G66" i="692"/>
  <c r="G102" i="692"/>
  <c r="G138" i="692"/>
  <c r="G174" i="692"/>
  <c r="G230" i="692"/>
  <c r="G224" i="692"/>
  <c r="G323" i="692"/>
  <c r="G331" i="692"/>
  <c r="G280" i="692"/>
  <c r="G316" i="692"/>
  <c r="G507" i="692"/>
  <c r="G397" i="692"/>
  <c r="G417" i="692"/>
  <c r="G437" i="692"/>
  <c r="G457" i="692"/>
  <c r="G477" i="692"/>
  <c r="G497" i="692"/>
  <c r="G528" i="692"/>
  <c r="G548" i="692"/>
  <c r="G568" i="692"/>
  <c r="G588" i="692"/>
  <c r="G608" i="692"/>
  <c r="G628" i="692"/>
  <c r="G631" i="692" s="1"/>
  <c r="G661" i="692"/>
  <c r="G681" i="692"/>
  <c r="G701" i="692"/>
  <c r="G721" i="692"/>
  <c r="G741" i="692"/>
  <c r="G779" i="692"/>
  <c r="G799" i="692"/>
  <c r="G817" i="692"/>
  <c r="G921" i="692"/>
  <c r="G1241" i="692"/>
  <c r="G1153" i="692"/>
  <c r="G1188" i="692"/>
  <c r="G202" i="693"/>
  <c r="G48" i="693"/>
  <c r="G66" i="693"/>
  <c r="G102" i="693"/>
  <c r="G138" i="693"/>
  <c r="G174" i="693"/>
  <c r="G215" i="693"/>
  <c r="G236" i="693"/>
  <c r="G244" i="693"/>
  <c r="G331" i="693"/>
  <c r="G280" i="693"/>
  <c r="G316" i="693"/>
  <c r="G348" i="693"/>
  <c r="G402" i="693"/>
  <c r="G422" i="693"/>
  <c r="G442" i="693"/>
  <c r="G462" i="693"/>
  <c r="G482" i="693"/>
  <c r="G505" i="693"/>
  <c r="G533" i="693"/>
  <c r="G633" i="693"/>
  <c r="G553" i="693"/>
  <c r="G573" i="693"/>
  <c r="G593" i="693"/>
  <c r="G613" i="693"/>
  <c r="G666" i="693"/>
  <c r="G686" i="693"/>
  <c r="G706" i="693"/>
  <c r="G726" i="693"/>
  <c r="G746" i="693"/>
  <c r="G764" i="693"/>
  <c r="G784" i="693"/>
  <c r="G833" i="693"/>
  <c r="G822" i="693"/>
  <c r="G921" i="693"/>
  <c r="G1092" i="693"/>
  <c r="G1125" i="693" s="1"/>
  <c r="G1113" i="693"/>
  <c r="G1204" i="693"/>
  <c r="G1205" i="693"/>
  <c r="G1165" i="693"/>
  <c r="G200" i="694"/>
  <c r="G21" i="694"/>
  <c r="G84" i="694"/>
  <c r="G120" i="694"/>
  <c r="G156" i="694"/>
  <c r="G192" i="694"/>
  <c r="G323" i="694"/>
  <c r="G331" i="694"/>
  <c r="G280" i="694"/>
  <c r="G316" i="694"/>
  <c r="G507" i="694"/>
  <c r="G397" i="694"/>
  <c r="G417" i="694"/>
  <c r="G437" i="694"/>
  <c r="G457" i="694"/>
  <c r="G477" i="694"/>
  <c r="G497" i="694"/>
  <c r="G533" i="694"/>
  <c r="G553" i="694"/>
  <c r="G573" i="694"/>
  <c r="G593" i="694"/>
  <c r="G613" i="694"/>
  <c r="G666" i="694"/>
  <c r="G686" i="694"/>
  <c r="G706" i="694"/>
  <c r="G726" i="694"/>
  <c r="G746" i="694"/>
  <c r="G802" i="694"/>
  <c r="G764" i="694"/>
  <c r="G784" i="694"/>
  <c r="G1225" i="694"/>
  <c r="G229" i="696"/>
  <c r="G57" i="691"/>
  <c r="G75" i="691"/>
  <c r="G111" i="691"/>
  <c r="G147" i="691"/>
  <c r="G183" i="691"/>
  <c r="G224" i="691"/>
  <c r="G253" i="691"/>
  <c r="G325" i="691"/>
  <c r="G365" i="691" s="1"/>
  <c r="G507" i="691"/>
  <c r="G802" i="691"/>
  <c r="G1203" i="691"/>
  <c r="G1160" i="691"/>
  <c r="G1195" i="691"/>
  <c r="G57" i="692"/>
  <c r="G75" i="692"/>
  <c r="G111" i="692"/>
  <c r="G147" i="692"/>
  <c r="G183" i="692"/>
  <c r="G253" i="692"/>
  <c r="G325" i="692"/>
  <c r="G365" i="692" s="1"/>
  <c r="G353" i="692"/>
  <c r="G392" i="692"/>
  <c r="G412" i="692"/>
  <c r="G432" i="692"/>
  <c r="G452" i="692"/>
  <c r="G472" i="692"/>
  <c r="G492" i="692"/>
  <c r="G632" i="692"/>
  <c r="G543" i="692"/>
  <c r="G563" i="692"/>
  <c r="G583" i="692"/>
  <c r="G603" i="692"/>
  <c r="G623" i="692"/>
  <c r="G749" i="692"/>
  <c r="G676" i="692"/>
  <c r="G696" i="692"/>
  <c r="G716" i="692"/>
  <c r="G736" i="692"/>
  <c r="G803" i="692"/>
  <c r="G774" i="692"/>
  <c r="G794" i="692"/>
  <c r="G830" i="692"/>
  <c r="G913" i="692"/>
  <c r="G1106" i="692"/>
  <c r="G1203" i="692"/>
  <c r="G1160" i="692"/>
  <c r="G1170" i="692"/>
  <c r="G1195" i="692"/>
  <c r="G57" i="693"/>
  <c r="G75" i="693"/>
  <c r="G111" i="693"/>
  <c r="G147" i="693"/>
  <c r="G183" i="693"/>
  <c r="G230" i="693"/>
  <c r="G224" i="693"/>
  <c r="G253" i="693"/>
  <c r="G324" i="693"/>
  <c r="G289" i="693"/>
  <c r="G507" i="693"/>
  <c r="G397" i="693"/>
  <c r="G417" i="693"/>
  <c r="G437" i="693"/>
  <c r="G457" i="693"/>
  <c r="G477" i="693"/>
  <c r="G497" i="693"/>
  <c r="G528" i="693"/>
  <c r="G548" i="693"/>
  <c r="G568" i="693"/>
  <c r="G588" i="693"/>
  <c r="G608" i="693"/>
  <c r="G628" i="693"/>
  <c r="G631" i="693" s="1"/>
  <c r="G661" i="693"/>
  <c r="G681" i="693"/>
  <c r="G701" i="693"/>
  <c r="G721" i="693"/>
  <c r="G741" i="693"/>
  <c r="G779" i="693"/>
  <c r="G799" i="693"/>
  <c r="G817" i="693"/>
  <c r="G1120" i="693"/>
  <c r="G1181" i="693"/>
  <c r="G201" i="694"/>
  <c r="G207" i="694"/>
  <c r="G93" i="694"/>
  <c r="G129" i="694"/>
  <c r="G206" i="694"/>
  <c r="G165" i="694"/>
  <c r="G253" i="694"/>
  <c r="G325" i="694"/>
  <c r="G365" i="694" s="1"/>
  <c r="G632" i="694"/>
  <c r="G749" i="694"/>
  <c r="G803" i="694"/>
  <c r="G21" i="695"/>
  <c r="G21" i="698"/>
  <c r="G833" i="694"/>
  <c r="G827" i="694"/>
  <c r="G921" i="694"/>
  <c r="G1120" i="694"/>
  <c r="G1204" i="694"/>
  <c r="G1205" i="694"/>
  <c r="G1165" i="694"/>
  <c r="G200" i="695"/>
  <c r="G84" i="695"/>
  <c r="G120" i="695"/>
  <c r="G156" i="695"/>
  <c r="G192" i="695"/>
  <c r="G244" i="695"/>
  <c r="G331" i="695"/>
  <c r="G280" i="695"/>
  <c r="G316" i="695"/>
  <c r="G507" i="695"/>
  <c r="G397" i="695"/>
  <c r="G417" i="695"/>
  <c r="G437" i="695"/>
  <c r="G457" i="695"/>
  <c r="G477" i="695"/>
  <c r="G497" i="695"/>
  <c r="G533" i="695"/>
  <c r="G568" i="695"/>
  <c r="G588" i="695"/>
  <c r="G608" i="695"/>
  <c r="G628" i="695"/>
  <c r="G631" i="695" s="1"/>
  <c r="G661" i="695"/>
  <c r="G681" i="695"/>
  <c r="G701" i="695"/>
  <c r="G721" i="695"/>
  <c r="G741" i="695"/>
  <c r="G779" i="695"/>
  <c r="G799" i="695"/>
  <c r="G817" i="695"/>
  <c r="G1088" i="695"/>
  <c r="G1241" i="695"/>
  <c r="G1153" i="695"/>
  <c r="G1188" i="695"/>
  <c r="G202" i="696"/>
  <c r="G57" i="696"/>
  <c r="G325" i="696"/>
  <c r="G365" i="696" s="1"/>
  <c r="G507" i="696"/>
  <c r="G666" i="696"/>
  <c r="G686" i="696"/>
  <c r="G802" i="696"/>
  <c r="G764" i="696"/>
  <c r="G784" i="696"/>
  <c r="G822" i="696"/>
  <c r="G889" i="696"/>
  <c r="G1181" i="696"/>
  <c r="G201" i="697"/>
  <c r="G207" i="697"/>
  <c r="G206" i="697"/>
  <c r="G330" i="697"/>
  <c r="G503" i="697"/>
  <c r="G387" i="697"/>
  <c r="G407" i="697"/>
  <c r="G427" i="697"/>
  <c r="G447" i="697"/>
  <c r="G467" i="697"/>
  <c r="G505" i="697"/>
  <c r="G558" i="697"/>
  <c r="G578" i="697"/>
  <c r="G598" i="697"/>
  <c r="G618" i="697"/>
  <c r="G649" i="697"/>
  <c r="G769" i="697"/>
  <c r="G789" i="697"/>
  <c r="G833" i="697"/>
  <c r="G827" i="697"/>
  <c r="G911" i="697"/>
  <c r="G1113" i="697"/>
  <c r="G1204" i="697"/>
  <c r="G1205" i="697"/>
  <c r="G200" i="698"/>
  <c r="G330" i="698"/>
  <c r="G402" i="698"/>
  <c r="G422" i="698"/>
  <c r="G533" i="698"/>
  <c r="G553" i="698"/>
  <c r="G573" i="698"/>
  <c r="G593" i="698"/>
  <c r="G613" i="698"/>
  <c r="G666" i="698"/>
  <c r="G686" i="698"/>
  <c r="G706" i="698"/>
  <c r="G726" i="698"/>
  <c r="Y355" i="3"/>
  <c r="AC355" i="3"/>
  <c r="G889" i="694"/>
  <c r="G1241" i="694"/>
  <c r="G1181" i="694"/>
  <c r="G201" i="695"/>
  <c r="G207" i="695"/>
  <c r="G93" i="695"/>
  <c r="G129" i="695"/>
  <c r="G206" i="695"/>
  <c r="G165" i="695"/>
  <c r="G215" i="695"/>
  <c r="G253" i="695"/>
  <c r="G289" i="695"/>
  <c r="G632" i="695"/>
  <c r="G749" i="695"/>
  <c r="G803" i="695"/>
  <c r="G830" i="695"/>
  <c r="G904" i="695"/>
  <c r="G1106" i="695"/>
  <c r="G1203" i="695"/>
  <c r="G1160" i="695"/>
  <c r="G1195" i="695"/>
  <c r="G84" i="696"/>
  <c r="G120" i="696"/>
  <c r="G156" i="696"/>
  <c r="G192" i="696"/>
  <c r="G326" i="696"/>
  <c r="G262" i="696"/>
  <c r="G298" i="696"/>
  <c r="G392" i="696"/>
  <c r="G412" i="696"/>
  <c r="G432" i="696"/>
  <c r="G452" i="696"/>
  <c r="G472" i="696"/>
  <c r="G492" i="696"/>
  <c r="G632" i="696"/>
  <c r="G543" i="696"/>
  <c r="G563" i="696"/>
  <c r="G583" i="696"/>
  <c r="G603" i="696"/>
  <c r="G623" i="696"/>
  <c r="G749" i="696"/>
  <c r="G661" i="696"/>
  <c r="G681" i="696"/>
  <c r="G701" i="696"/>
  <c r="G716" i="696"/>
  <c r="G736" i="696"/>
  <c r="G803" i="696"/>
  <c r="G779" i="696"/>
  <c r="G799" i="696"/>
  <c r="G817" i="696"/>
  <c r="G886" i="696"/>
  <c r="G904" i="696"/>
  <c r="G1106" i="696"/>
  <c r="G1153" i="696"/>
  <c r="G1188" i="696"/>
  <c r="G202" i="697"/>
  <c r="G48" i="697"/>
  <c r="G66" i="697"/>
  <c r="G102" i="697"/>
  <c r="G138" i="697"/>
  <c r="G174" i="697"/>
  <c r="G230" i="697"/>
  <c r="G224" i="697"/>
  <c r="G323" i="697"/>
  <c r="G331" i="697"/>
  <c r="G280" i="697"/>
  <c r="G316" i="697"/>
  <c r="G507" i="697"/>
  <c r="G402" i="697"/>
  <c r="G422" i="697"/>
  <c r="G442" i="697"/>
  <c r="G462" i="697"/>
  <c r="G482" i="697"/>
  <c r="G533" i="697"/>
  <c r="G553" i="697"/>
  <c r="G573" i="697"/>
  <c r="G593" i="697"/>
  <c r="G613" i="697"/>
  <c r="G681" i="697"/>
  <c r="G701" i="697"/>
  <c r="G721" i="697"/>
  <c r="G741" i="697"/>
  <c r="G802" i="697"/>
  <c r="G764" i="697"/>
  <c r="G784" i="697"/>
  <c r="G822" i="697"/>
  <c r="G1120" i="697"/>
  <c r="G1181" i="697"/>
  <c r="G201" i="698"/>
  <c r="G207" i="698"/>
  <c r="G93" i="698"/>
  <c r="G129" i="698"/>
  <c r="G206" i="698"/>
  <c r="G165" i="698"/>
  <c r="G323" i="698"/>
  <c r="G331" i="698"/>
  <c r="G280" i="698"/>
  <c r="G316" i="698"/>
  <c r="G397" i="698"/>
  <c r="G417" i="698"/>
  <c r="G632" i="698"/>
  <c r="G528" i="698"/>
  <c r="G548" i="698"/>
  <c r="G568" i="698"/>
  <c r="G588" i="698"/>
  <c r="G608" i="698"/>
  <c r="G628" i="698"/>
  <c r="G631" i="698" s="1"/>
  <c r="G749" i="698"/>
  <c r="G661" i="698"/>
  <c r="G681" i="698"/>
  <c r="G701" i="698"/>
  <c r="G721" i="698"/>
  <c r="G741" i="698"/>
  <c r="G803" i="698"/>
  <c r="G779" i="698"/>
  <c r="G1113" i="698"/>
  <c r="G794" i="694"/>
  <c r="G817" i="694"/>
  <c r="G886" i="694"/>
  <c r="G904" i="694"/>
  <c r="G1106" i="694"/>
  <c r="G1153" i="694"/>
  <c r="G1188" i="694"/>
  <c r="G202" i="695"/>
  <c r="G48" i="695"/>
  <c r="G66" i="695"/>
  <c r="G102" i="695"/>
  <c r="G138" i="695"/>
  <c r="G174" i="695"/>
  <c r="G230" i="695"/>
  <c r="G224" i="695"/>
  <c r="G326" i="695"/>
  <c r="G262" i="695"/>
  <c r="G298" i="695"/>
  <c r="G339" i="695"/>
  <c r="G359" i="695"/>
  <c r="G407" i="695"/>
  <c r="G427" i="695"/>
  <c r="G447" i="695"/>
  <c r="G467" i="695"/>
  <c r="G487" i="695"/>
  <c r="G634" i="695"/>
  <c r="G543" i="695"/>
  <c r="G558" i="695"/>
  <c r="G578" i="695"/>
  <c r="G598" i="695"/>
  <c r="G618" i="695"/>
  <c r="G649" i="695"/>
  <c r="G750" i="695"/>
  <c r="G671" i="695"/>
  <c r="G691" i="695"/>
  <c r="G711" i="695"/>
  <c r="G731" i="695"/>
  <c r="G769" i="695"/>
  <c r="G789" i="695"/>
  <c r="G831" i="695"/>
  <c r="G827" i="695"/>
  <c r="G911" i="695"/>
  <c r="G1092" i="695"/>
  <c r="G1125" i="695" s="1"/>
  <c r="G1113" i="695"/>
  <c r="G1204" i="695"/>
  <c r="G1205" i="695"/>
  <c r="G1165" i="695"/>
  <c r="G200" i="696"/>
  <c r="G207" i="696"/>
  <c r="G93" i="696"/>
  <c r="G129" i="696"/>
  <c r="G206" i="696"/>
  <c r="G165" i="696"/>
  <c r="G215" i="696"/>
  <c r="G236" i="696"/>
  <c r="G271" i="696"/>
  <c r="G307" i="696"/>
  <c r="G330" i="696"/>
  <c r="G353" i="696"/>
  <c r="G359" i="696"/>
  <c r="G502" i="696"/>
  <c r="G407" i="696"/>
  <c r="G427" i="696"/>
  <c r="G447" i="696"/>
  <c r="G467" i="696"/>
  <c r="G487" i="696"/>
  <c r="G634" i="696"/>
  <c r="G558" i="696"/>
  <c r="G578" i="696"/>
  <c r="G598" i="696"/>
  <c r="G618" i="696"/>
  <c r="G750" i="696"/>
  <c r="G711" i="696"/>
  <c r="G731" i="696"/>
  <c r="G831" i="696"/>
  <c r="G911" i="696"/>
  <c r="G1113" i="696"/>
  <c r="G1203" i="696"/>
  <c r="G1160" i="696"/>
  <c r="G1170" i="696"/>
  <c r="G1195" i="696"/>
  <c r="G57" i="697"/>
  <c r="G75" i="697"/>
  <c r="G111" i="697"/>
  <c r="G147" i="697"/>
  <c r="G183" i="697"/>
  <c r="G253" i="697"/>
  <c r="G324" i="697"/>
  <c r="G325" i="697"/>
  <c r="G365" i="697" s="1"/>
  <c r="G632" i="697"/>
  <c r="G676" i="697"/>
  <c r="G696" i="697"/>
  <c r="G716" i="697"/>
  <c r="G736" i="697"/>
  <c r="G803" i="697"/>
  <c r="G830" i="697"/>
  <c r="G1088" i="697"/>
  <c r="G1153" i="697"/>
  <c r="G1188" i="697"/>
  <c r="G202" i="698"/>
  <c r="G48" i="698"/>
  <c r="G66" i="698"/>
  <c r="G102" i="698"/>
  <c r="G138" i="698"/>
  <c r="G174" i="698"/>
  <c r="G230" i="698"/>
  <c r="G224" i="698"/>
  <c r="G253" i="698"/>
  <c r="G324" i="698"/>
  <c r="G325" i="698"/>
  <c r="G365" i="698" s="1"/>
  <c r="G502" i="698"/>
  <c r="G392" i="698"/>
  <c r="G412" i="698"/>
  <c r="G447" i="698"/>
  <c r="G467" i="698"/>
  <c r="G487" i="698"/>
  <c r="G634" i="698"/>
  <c r="G543" i="698"/>
  <c r="G563" i="698"/>
  <c r="G583" i="698"/>
  <c r="G603" i="698"/>
  <c r="G623" i="698"/>
  <c r="G750" i="698"/>
  <c r="G676" i="698"/>
  <c r="G696" i="698"/>
  <c r="G716" i="698"/>
  <c r="G736" i="698"/>
  <c r="G774" i="698"/>
  <c r="G794" i="698"/>
  <c r="G904" i="698"/>
  <c r="G913" i="698"/>
  <c r="G1088" i="698"/>
  <c r="G1120" i="698"/>
  <c r="G1181" i="698"/>
  <c r="AA355" i="3"/>
  <c r="G831" i="698"/>
  <c r="G827" i="698"/>
  <c r="G911" i="698"/>
  <c r="G1153" i="698"/>
  <c r="G1188" i="698"/>
  <c r="AE355" i="3"/>
  <c r="G921" i="697"/>
  <c r="G889" i="697"/>
  <c r="G886" i="697"/>
  <c r="AG355" i="3"/>
  <c r="G21" i="696"/>
  <c r="G904" i="691"/>
  <c r="G985" i="691"/>
  <c r="G200" i="690"/>
  <c r="G202" i="690"/>
  <c r="G366" i="690" s="1"/>
  <c r="G207" i="690"/>
  <c r="G372" i="690" s="1"/>
  <c r="G206" i="690"/>
  <c r="G330" i="690"/>
  <c r="G392" i="690"/>
  <c r="G397" i="690"/>
  <c r="G402" i="690"/>
  <c r="G407" i="690"/>
  <c r="G412" i="690"/>
  <c r="G417" i="690"/>
  <c r="G422" i="690"/>
  <c r="G427" i="690"/>
  <c r="G432" i="690"/>
  <c r="G437" i="690"/>
  <c r="G442" i="690"/>
  <c r="G447" i="690"/>
  <c r="G452" i="690"/>
  <c r="G457" i="690"/>
  <c r="G462" i="690"/>
  <c r="G467" i="690"/>
  <c r="G472" i="690"/>
  <c r="G477" i="690"/>
  <c r="G482" i="690"/>
  <c r="G487" i="690"/>
  <c r="G492" i="690"/>
  <c r="G497" i="690"/>
  <c r="G746" i="690"/>
  <c r="G764" i="690"/>
  <c r="G769" i="690"/>
  <c r="G774" i="690"/>
  <c r="G779" i="690"/>
  <c r="G784" i="690"/>
  <c r="G789" i="690"/>
  <c r="G794" i="690"/>
  <c r="G799" i="690"/>
  <c r="G1203" i="690"/>
  <c r="G1153" i="690"/>
  <c r="G1160" i="690"/>
  <c r="G1165" i="690"/>
  <c r="G1170" i="690"/>
  <c r="G1181" i="690"/>
  <c r="G1188" i="690"/>
  <c r="G1195" i="690"/>
  <c r="G206" i="689"/>
  <c r="G330" i="689"/>
  <c r="G676" i="689"/>
  <c r="G681" i="689"/>
  <c r="G686" i="689"/>
  <c r="G691" i="689"/>
  <c r="G696" i="689"/>
  <c r="G701" i="689"/>
  <c r="G706" i="689"/>
  <c r="G711" i="689"/>
  <c r="G716" i="689"/>
  <c r="G721" i="689"/>
  <c r="G726" i="689"/>
  <c r="G731" i="689"/>
  <c r="G736" i="689"/>
  <c r="G831" i="689"/>
  <c r="G817" i="689"/>
  <c r="G822" i="689"/>
  <c r="G827" i="689"/>
  <c r="G904" i="689"/>
  <c r="G911" i="689"/>
  <c r="G921" i="689"/>
  <c r="G1125" i="689"/>
  <c r="G1106" i="689"/>
  <c r="G1113" i="689"/>
  <c r="G1120" i="689"/>
  <c r="G1204" i="689"/>
  <c r="G66" i="689"/>
  <c r="G75" i="689"/>
  <c r="G84" i="689"/>
  <c r="G93" i="689"/>
  <c r="G102" i="689"/>
  <c r="G111" i="689"/>
  <c r="G120" i="689"/>
  <c r="G129" i="689"/>
  <c r="G138" i="689"/>
  <c r="G147" i="689"/>
  <c r="G156" i="689"/>
  <c r="G165" i="689"/>
  <c r="G174" i="689"/>
  <c r="G183" i="689"/>
  <c r="G192" i="689"/>
  <c r="G224" i="689"/>
  <c r="G253" i="689"/>
  <c r="G262" i="689"/>
  <c r="G271" i="689"/>
  <c r="G280" i="689"/>
  <c r="G298" i="689"/>
  <c r="G307" i="689"/>
  <c r="G316" i="689"/>
  <c r="G339" i="689"/>
  <c r="G348" i="689"/>
  <c r="G353" i="689"/>
  <c r="G392" i="689"/>
  <c r="G397" i="689"/>
  <c r="G402" i="689"/>
  <c r="G407" i="689"/>
  <c r="G412" i="689"/>
  <c r="G417" i="689"/>
  <c r="G422" i="689"/>
  <c r="G427" i="689"/>
  <c r="G432" i="689"/>
  <c r="G437" i="689"/>
  <c r="G442" i="689"/>
  <c r="G447" i="689"/>
  <c r="G452" i="689"/>
  <c r="G457" i="689"/>
  <c r="G462" i="689"/>
  <c r="G467" i="689"/>
  <c r="G472" i="689"/>
  <c r="G477" i="689"/>
  <c r="G482" i="689"/>
  <c r="G487" i="689"/>
  <c r="G492" i="689"/>
  <c r="G497" i="689"/>
  <c r="G200" i="688"/>
  <c r="G202" i="688"/>
  <c r="G207" i="688"/>
  <c r="G206" i="688"/>
  <c r="G330" i="688"/>
  <c r="G392" i="688"/>
  <c r="G397" i="688"/>
  <c r="G402" i="688"/>
  <c r="G407" i="688"/>
  <c r="G412" i="688"/>
  <c r="G417" i="688"/>
  <c r="G422" i="688"/>
  <c r="G427" i="688"/>
  <c r="G432" i="688"/>
  <c r="G437" i="688"/>
  <c r="G442" i="688"/>
  <c r="G447" i="688"/>
  <c r="G452" i="688"/>
  <c r="G457" i="688"/>
  <c r="G462" i="688"/>
  <c r="G467" i="688"/>
  <c r="G472" i="688"/>
  <c r="G477" i="688"/>
  <c r="G482" i="688"/>
  <c r="G487" i="688"/>
  <c r="G492" i="688"/>
  <c r="G497" i="688"/>
  <c r="G764" i="688"/>
  <c r="G769" i="688"/>
  <c r="G774" i="688"/>
  <c r="G779" i="688"/>
  <c r="G784" i="688"/>
  <c r="G789" i="688"/>
  <c r="G794" i="688"/>
  <c r="G799" i="688"/>
  <c r="G830" i="688"/>
  <c r="G1106" i="688"/>
  <c r="G1113" i="688"/>
  <c r="G1120" i="688"/>
  <c r="G1204" i="688"/>
  <c r="G1205" i="688"/>
  <c r="G206" i="687"/>
  <c r="G330" i="687"/>
  <c r="G201" i="687"/>
  <c r="G48" i="687"/>
  <c r="G57" i="687"/>
  <c r="G66" i="687"/>
  <c r="G75" i="687"/>
  <c r="G84" i="687"/>
  <c r="G93" i="687"/>
  <c r="G102" i="687"/>
  <c r="G111" i="687"/>
  <c r="G120" i="687"/>
  <c r="G129" i="687"/>
  <c r="G138" i="687"/>
  <c r="G147" i="687"/>
  <c r="G156" i="687"/>
  <c r="G165" i="687"/>
  <c r="G174" i="687"/>
  <c r="G183" i="687"/>
  <c r="G192" i="687"/>
  <c r="G224" i="687"/>
  <c r="G323" i="687"/>
  <c r="G253" i="687"/>
  <c r="G262" i="687"/>
  <c r="G271" i="687"/>
  <c r="G280" i="687"/>
  <c r="G298" i="687"/>
  <c r="G307" i="687"/>
  <c r="G316" i="687"/>
  <c r="G339" i="687"/>
  <c r="G348" i="687"/>
  <c r="G353" i="687"/>
  <c r="G741" i="687"/>
  <c r="G746" i="687"/>
  <c r="G764" i="687"/>
  <c r="G769" i="687"/>
  <c r="G774" i="687"/>
  <c r="G779" i="687"/>
  <c r="G784" i="687"/>
  <c r="G789" i="687"/>
  <c r="G794" i="687"/>
  <c r="G799" i="687"/>
  <c r="G830" i="687"/>
  <c r="G1153" i="687"/>
  <c r="G1160" i="687"/>
  <c r="G1165" i="687"/>
  <c r="G1170" i="687"/>
  <c r="G1181" i="687"/>
  <c r="G1188" i="687"/>
  <c r="G1195" i="687"/>
  <c r="G201" i="686"/>
  <c r="G364" i="686" s="1"/>
  <c r="G48" i="686"/>
  <c r="G57" i="686"/>
  <c r="G66" i="686"/>
  <c r="G75" i="686"/>
  <c r="G84" i="686"/>
  <c r="G93" i="686"/>
  <c r="G102" i="686"/>
  <c r="G111" i="686"/>
  <c r="G120" i="686"/>
  <c r="G129" i="686"/>
  <c r="G138" i="686"/>
  <c r="G147" i="686"/>
  <c r="G156" i="686"/>
  <c r="G165" i="686"/>
  <c r="G174" i="686"/>
  <c r="G183" i="686"/>
  <c r="G192" i="686"/>
  <c r="G224" i="686"/>
  <c r="G323" i="686"/>
  <c r="G253" i="686"/>
  <c r="G262" i="686"/>
  <c r="G271" i="686"/>
  <c r="G280" i="686"/>
  <c r="G298" i="686"/>
  <c r="G307" i="686"/>
  <c r="G316" i="686"/>
  <c r="G348" i="686"/>
  <c r="G904" i="686"/>
  <c r="G911" i="686"/>
  <c r="G921" i="686"/>
  <c r="G1195" i="686"/>
  <c r="G206" i="686"/>
  <c r="G330" i="686"/>
  <c r="G764" i="686"/>
  <c r="G769" i="686"/>
  <c r="G774" i="686"/>
  <c r="G779" i="686"/>
  <c r="G784" i="686"/>
  <c r="G789" i="686"/>
  <c r="G794" i="686"/>
  <c r="G799" i="686"/>
  <c r="G1120" i="686"/>
  <c r="G165" i="685"/>
  <c r="G174" i="685"/>
  <c r="G183" i="685"/>
  <c r="G192" i="685"/>
  <c r="G215" i="685"/>
  <c r="G224" i="685"/>
  <c r="G253" i="685"/>
  <c r="G262" i="685"/>
  <c r="G271" i="685"/>
  <c r="G280" i="685"/>
  <c r="G298" i="685"/>
  <c r="G307" i="685"/>
  <c r="G316" i="685"/>
  <c r="G339" i="685"/>
  <c r="G348" i="685"/>
  <c r="G1195" i="685"/>
  <c r="G57" i="685"/>
  <c r="G66" i="685"/>
  <c r="G75" i="685"/>
  <c r="G84" i="685"/>
  <c r="G93" i="685"/>
  <c r="G102" i="685"/>
  <c r="G111" i="685"/>
  <c r="G206" i="685"/>
  <c r="G330" i="685"/>
  <c r="G452" i="685"/>
  <c r="G457" i="685"/>
  <c r="G462" i="685"/>
  <c r="G467" i="685"/>
  <c r="G472" i="685"/>
  <c r="G477" i="685"/>
  <c r="G482" i="685"/>
  <c r="G487" i="685"/>
  <c r="G492" i="685"/>
  <c r="G497" i="685"/>
  <c r="G528" i="685"/>
  <c r="G533" i="685"/>
  <c r="G543" i="685"/>
  <c r="G548" i="685"/>
  <c r="G553" i="685"/>
  <c r="G558" i="685"/>
  <c r="G563" i="685"/>
  <c r="G568" i="685"/>
  <c r="G573" i="685"/>
  <c r="G578" i="685"/>
  <c r="G583" i="685"/>
  <c r="G588" i="685"/>
  <c r="G593" i="685"/>
  <c r="G598" i="685"/>
  <c r="G603" i="685"/>
  <c r="G608" i="685"/>
  <c r="G613" i="685"/>
  <c r="G618" i="685"/>
  <c r="G623" i="685"/>
  <c r="G628" i="685"/>
  <c r="G631" i="685" s="1"/>
  <c r="G649" i="685"/>
  <c r="G661" i="685"/>
  <c r="G666" i="685"/>
  <c r="G671" i="685"/>
  <c r="G676" i="685"/>
  <c r="G681" i="685"/>
  <c r="G686" i="685"/>
  <c r="G691" i="685"/>
  <c r="G696" i="685"/>
  <c r="G701" i="685"/>
  <c r="G706" i="685"/>
  <c r="G711" i="685"/>
  <c r="G716" i="685"/>
  <c r="G721" i="685"/>
  <c r="G726" i="685"/>
  <c r="G731" i="685"/>
  <c r="G736" i="685"/>
  <c r="G741" i="685"/>
  <c r="G746" i="685"/>
  <c r="G817" i="685"/>
  <c r="G822" i="685"/>
  <c r="G827" i="685"/>
  <c r="G1204" i="685"/>
  <c r="G892" i="685"/>
  <c r="G889" i="685"/>
  <c r="X355" i="3"/>
  <c r="Z355" i="3"/>
  <c r="AB355" i="3"/>
  <c r="AD355" i="3"/>
  <c r="AF355" i="3"/>
  <c r="G215" i="698"/>
  <c r="G232" i="698" s="1"/>
  <c r="G244" i="698"/>
  <c r="G289" i="698"/>
  <c r="G339" i="698"/>
  <c r="G503" i="698"/>
  <c r="G501" i="698"/>
  <c r="G427" i="698"/>
  <c r="G205" i="698"/>
  <c r="G234" i="698"/>
  <c r="G329" i="698"/>
  <c r="G357" i="698"/>
  <c r="G507" i="698"/>
  <c r="G506" i="698"/>
  <c r="G382" i="698"/>
  <c r="G523" i="698"/>
  <c r="G538" i="698"/>
  <c r="G656" i="698"/>
  <c r="G759" i="698"/>
  <c r="G799" i="698"/>
  <c r="G830" i="698"/>
  <c r="G812" i="698"/>
  <c r="G889" i="698"/>
  <c r="G986" i="698"/>
  <c r="G1023" i="698" s="1"/>
  <c r="G1124" i="698"/>
  <c r="G1138" i="698"/>
  <c r="G1146" i="698"/>
  <c r="G1202" i="698"/>
  <c r="G1092" i="698"/>
  <c r="G1125" i="698" s="1"/>
  <c r="G244" i="697"/>
  <c r="G289" i="697"/>
  <c r="G749" i="697"/>
  <c r="G661" i="697"/>
  <c r="G205" i="697"/>
  <c r="G234" i="697"/>
  <c r="G329" i="697"/>
  <c r="G357" i="697"/>
  <c r="G382" i="697"/>
  <c r="G487" i="697"/>
  <c r="G501" i="697"/>
  <c r="G506" i="697"/>
  <c r="G523" i="697"/>
  <c r="G538" i="697"/>
  <c r="G656" i="697"/>
  <c r="G913" i="697"/>
  <c r="G986" i="697"/>
  <c r="G1023" i="697" s="1"/>
  <c r="G1081" i="697"/>
  <c r="G1124" i="697"/>
  <c r="G1138" i="697"/>
  <c r="G1146" i="697"/>
  <c r="G1202" i="697"/>
  <c r="G759" i="697"/>
  <c r="G812" i="697"/>
  <c r="G205" i="696"/>
  <c r="G234" i="696"/>
  <c r="G244" i="696"/>
  <c r="G289" i="696"/>
  <c r="G339" i="696"/>
  <c r="G329" i="696"/>
  <c r="G357" i="696"/>
  <c r="G382" i="696"/>
  <c r="G387" i="696"/>
  <c r="G501" i="696"/>
  <c r="G506" i="696"/>
  <c r="G523" i="696"/>
  <c r="G538" i="696"/>
  <c r="G1088" i="696"/>
  <c r="G986" i="696"/>
  <c r="G1023" i="696" s="1"/>
  <c r="G1081" i="696"/>
  <c r="G1124" i="696"/>
  <c r="G1138" i="696"/>
  <c r="G1146" i="696"/>
  <c r="G1202" i="696"/>
  <c r="G656" i="696"/>
  <c r="G759" i="696"/>
  <c r="G812" i="696"/>
  <c r="G205" i="695"/>
  <c r="G229" i="695"/>
  <c r="G234" i="695"/>
  <c r="G323" i="695"/>
  <c r="G325" i="695"/>
  <c r="G365" i="695" s="1"/>
  <c r="G329" i="695"/>
  <c r="G357" i="695"/>
  <c r="G503" i="695"/>
  <c r="G501" i="695"/>
  <c r="G382" i="695"/>
  <c r="G502" i="695"/>
  <c r="G387" i="695"/>
  <c r="G506" i="695"/>
  <c r="G523" i="695"/>
  <c r="G538" i="695"/>
  <c r="G656" i="695"/>
  <c r="G913" i="695"/>
  <c r="G802" i="695"/>
  <c r="G759" i="695"/>
  <c r="G889" i="695"/>
  <c r="G986" i="695"/>
  <c r="G1023" i="695" s="1"/>
  <c r="G1081" i="695"/>
  <c r="G1124" i="695"/>
  <c r="G1138" i="695"/>
  <c r="G1146" i="695"/>
  <c r="G1202" i="695"/>
  <c r="G812" i="695"/>
  <c r="G215" i="694"/>
  <c r="G244" i="694"/>
  <c r="G289" i="694"/>
  <c r="G205" i="694"/>
  <c r="G236" i="694"/>
  <c r="G234" i="694"/>
  <c r="G329" i="694"/>
  <c r="G353" i="694"/>
  <c r="G357" i="694"/>
  <c r="G382" i="694"/>
  <c r="G387" i="694"/>
  <c r="G501" i="694"/>
  <c r="G506" i="694"/>
  <c r="G523" i="694"/>
  <c r="G538" i="694"/>
  <c r="G913" i="694"/>
  <c r="G1093" i="694"/>
  <c r="G1126" i="694" s="1"/>
  <c r="G986" i="694"/>
  <c r="G1023" i="694" s="1"/>
  <c r="G1081" i="694"/>
  <c r="G1124" i="694"/>
  <c r="G1138" i="694"/>
  <c r="G1146" i="694"/>
  <c r="G1202" i="694"/>
  <c r="G656" i="694"/>
  <c r="G759" i="694"/>
  <c r="G812" i="694"/>
  <c r="G205" i="693"/>
  <c r="G229" i="693"/>
  <c r="G234" i="693"/>
  <c r="G323" i="693"/>
  <c r="G325" i="693"/>
  <c r="G365" i="693" s="1"/>
  <c r="G329" i="693"/>
  <c r="G353" i="693"/>
  <c r="G357" i="693"/>
  <c r="G502" i="693"/>
  <c r="G387" i="693"/>
  <c r="G503" i="693"/>
  <c r="G501" i="693"/>
  <c r="G382" i="693"/>
  <c r="G506" i="693"/>
  <c r="G523" i="693"/>
  <c r="G538" i="693"/>
  <c r="G656" i="693"/>
  <c r="G802" i="693"/>
  <c r="G759" i="693"/>
  <c r="G913" i="693"/>
  <c r="G889" i="693"/>
  <c r="G986" i="693"/>
  <c r="G1023" i="693" s="1"/>
  <c r="G1081" i="693"/>
  <c r="G1124" i="693"/>
  <c r="G1138" i="693"/>
  <c r="G1146" i="693"/>
  <c r="G1202" i="693"/>
  <c r="G812" i="693"/>
  <c r="G244" i="692"/>
  <c r="G289" i="692"/>
  <c r="G502" i="692"/>
  <c r="G387" i="692"/>
  <c r="G205" i="692"/>
  <c r="G234" i="692"/>
  <c r="G329" i="692"/>
  <c r="G357" i="692"/>
  <c r="G503" i="692"/>
  <c r="G501" i="692"/>
  <c r="G382" i="692"/>
  <c r="G506" i="692"/>
  <c r="G523" i="692"/>
  <c r="G538" i="692"/>
  <c r="G656" i="692"/>
  <c r="G802" i="692"/>
  <c r="G759" i="692"/>
  <c r="G1243" i="692"/>
  <c r="G1088" i="692"/>
  <c r="G889" i="692"/>
  <c r="G986" i="692"/>
  <c r="G1023" i="692" s="1"/>
  <c r="G1081" i="692"/>
  <c r="G1124" i="692"/>
  <c r="G1138" i="692"/>
  <c r="G1146" i="692"/>
  <c r="G1202" i="692"/>
  <c r="G812" i="692"/>
  <c r="G215" i="691"/>
  <c r="G244" i="691"/>
  <c r="G289" i="691"/>
  <c r="G339" i="691"/>
  <c r="G749" i="691"/>
  <c r="G676" i="691"/>
  <c r="G1243" i="691"/>
  <c r="G1093" i="691"/>
  <c r="G1126" i="691" s="1"/>
  <c r="G205" i="691"/>
  <c r="G234" i="691"/>
  <c r="G329" i="691"/>
  <c r="G357" i="691"/>
  <c r="G382" i="691"/>
  <c r="G387" i="691"/>
  <c r="G501" i="691"/>
  <c r="G506" i="691"/>
  <c r="G523" i="691"/>
  <c r="G538" i="691"/>
  <c r="G656" i="691"/>
  <c r="G889" i="691"/>
  <c r="G986" i="691"/>
  <c r="G1023" i="691" s="1"/>
  <c r="G1081" i="691"/>
  <c r="G1124" i="691"/>
  <c r="G1138" i="691"/>
  <c r="G1146" i="691"/>
  <c r="G1202" i="691"/>
  <c r="G759" i="691"/>
  <c r="G812" i="691"/>
  <c r="G512" i="690"/>
  <c r="G215" i="690"/>
  <c r="G244" i="690"/>
  <c r="G289" i="690"/>
  <c r="G339" i="690"/>
  <c r="G741" i="690"/>
  <c r="G205" i="690"/>
  <c r="G234" i="690"/>
  <c r="G329" i="690"/>
  <c r="G357" i="690"/>
  <c r="G382" i="690"/>
  <c r="G387" i="690"/>
  <c r="G501" i="690"/>
  <c r="G506" i="690"/>
  <c r="G523" i="690"/>
  <c r="G538" i="690"/>
  <c r="G656" i="690"/>
  <c r="G802" i="690"/>
  <c r="G759" i="690"/>
  <c r="G830" i="690"/>
  <c r="G812" i="690"/>
  <c r="G913" i="690"/>
  <c r="G1088" i="690"/>
  <c r="G889" i="690"/>
  <c r="G986" i="690"/>
  <c r="G1023" i="690" s="1"/>
  <c r="G1081" i="690"/>
  <c r="G1124" i="690"/>
  <c r="G1138" i="690"/>
  <c r="G1146" i="690"/>
  <c r="G1202" i="690"/>
  <c r="G512" i="689"/>
  <c r="G215" i="689"/>
  <c r="G244" i="689"/>
  <c r="G289" i="689"/>
  <c r="G502" i="689"/>
  <c r="G387" i="689"/>
  <c r="G205" i="689"/>
  <c r="G234" i="689"/>
  <c r="G329" i="689"/>
  <c r="G357" i="689"/>
  <c r="G503" i="689"/>
  <c r="G501" i="689"/>
  <c r="G382" i="689"/>
  <c r="G506" i="689"/>
  <c r="G523" i="689"/>
  <c r="G538" i="689"/>
  <c r="G656" i="689"/>
  <c r="G802" i="689"/>
  <c r="G759" i="689"/>
  <c r="G741" i="689"/>
  <c r="G913" i="689"/>
  <c r="G1088" i="689"/>
  <c r="G889" i="689"/>
  <c r="G986" i="689"/>
  <c r="G1023" i="689" s="1"/>
  <c r="G1081" i="689"/>
  <c r="G1124" i="689"/>
  <c r="G1138" i="689"/>
  <c r="G1146" i="689"/>
  <c r="G1202" i="689"/>
  <c r="G812" i="689"/>
  <c r="G512" i="688"/>
  <c r="G215" i="688"/>
  <c r="G244" i="688"/>
  <c r="G289" i="688"/>
  <c r="G339" i="688"/>
  <c r="G913" i="688"/>
  <c r="G1088" i="688"/>
  <c r="G205" i="688"/>
  <c r="G234" i="688"/>
  <c r="G329" i="688"/>
  <c r="G357" i="688"/>
  <c r="G382" i="688"/>
  <c r="G387" i="688"/>
  <c r="G501" i="688"/>
  <c r="G506" i="688"/>
  <c r="G523" i="688"/>
  <c r="G538" i="688"/>
  <c r="G656" i="688"/>
  <c r="G802" i="688"/>
  <c r="G759" i="688"/>
  <c r="G889" i="688"/>
  <c r="G986" i="688"/>
  <c r="G1023" i="688" s="1"/>
  <c r="G1081" i="688"/>
  <c r="G1124" i="688"/>
  <c r="G1138" i="688"/>
  <c r="G1146" i="688"/>
  <c r="G1202" i="688"/>
  <c r="G812" i="688"/>
  <c r="G1092" i="688"/>
  <c r="G1125" i="688" s="1"/>
  <c r="G512" i="687"/>
  <c r="G215" i="687"/>
  <c r="G244" i="687"/>
  <c r="G289" i="687"/>
  <c r="G749" i="687"/>
  <c r="G736" i="687"/>
  <c r="G802" i="687"/>
  <c r="G759" i="687"/>
  <c r="G205" i="687"/>
  <c r="G234" i="687"/>
  <c r="G329" i="687"/>
  <c r="G357" i="687"/>
  <c r="G382" i="687"/>
  <c r="G487" i="687"/>
  <c r="G501" i="687"/>
  <c r="G506" i="687"/>
  <c r="G523" i="687"/>
  <c r="G538" i="687"/>
  <c r="G656" i="687"/>
  <c r="G913" i="687"/>
  <c r="G1088" i="687"/>
  <c r="G889" i="687"/>
  <c r="G986" i="687"/>
  <c r="G1023" i="687" s="1"/>
  <c r="G1081" i="687"/>
  <c r="G1124" i="687"/>
  <c r="G1138" i="687"/>
  <c r="G1146" i="687"/>
  <c r="G1202" i="687"/>
  <c r="G812" i="687"/>
  <c r="G512" i="686"/>
  <c r="G215" i="686"/>
  <c r="G244" i="686"/>
  <c r="G289" i="686"/>
  <c r="G339" i="686"/>
  <c r="G913" i="686"/>
  <c r="G1088" i="686"/>
  <c r="G205" i="686"/>
  <c r="G234" i="686"/>
  <c r="G329" i="686"/>
  <c r="G357" i="686"/>
  <c r="G382" i="686"/>
  <c r="G387" i="686"/>
  <c r="G501" i="686"/>
  <c r="G506" i="686"/>
  <c r="G523" i="686"/>
  <c r="G538" i="686"/>
  <c r="G656" i="686"/>
  <c r="G759" i="686"/>
  <c r="G830" i="686"/>
  <c r="G812" i="686"/>
  <c r="G889" i="686"/>
  <c r="G986" i="686"/>
  <c r="G1023" i="686" s="1"/>
  <c r="G1081" i="686"/>
  <c r="G1124" i="686"/>
  <c r="G1138" i="686"/>
  <c r="G1146" i="686"/>
  <c r="G1202" i="686"/>
  <c r="G1092" i="686"/>
  <c r="G1125" i="686" s="1"/>
  <c r="G512" i="685"/>
  <c r="G205" i="685"/>
  <c r="G229" i="685"/>
  <c r="G234" i="685"/>
  <c r="G244" i="685"/>
  <c r="G289" i="685"/>
  <c r="G329" i="685"/>
  <c r="G353" i="685"/>
  <c r="G357" i="685"/>
  <c r="G382" i="685"/>
  <c r="G387" i="685"/>
  <c r="G501" i="685"/>
  <c r="G506" i="685"/>
  <c r="G523" i="685"/>
  <c r="G538" i="685"/>
  <c r="G1223" i="685"/>
  <c r="G913" i="685"/>
  <c r="G1088" i="685"/>
  <c r="G1243" i="685"/>
  <c r="G1093" i="685"/>
  <c r="G1126" i="685" s="1"/>
  <c r="G986" i="685"/>
  <c r="G1023" i="685" s="1"/>
  <c r="G1081" i="685"/>
  <c r="G1124" i="685"/>
  <c r="G1138" i="685"/>
  <c r="G1146" i="685"/>
  <c r="G1202" i="685"/>
  <c r="G656" i="685"/>
  <c r="G759" i="685"/>
  <c r="G812" i="685"/>
  <c r="G372" i="689" l="1"/>
  <c r="G364" i="689"/>
  <c r="G232" i="690"/>
  <c r="G355" i="694"/>
  <c r="G364" i="688"/>
  <c r="G366" i="686"/>
  <c r="G372" i="687"/>
  <c r="G364" i="685"/>
  <c r="G372" i="686"/>
  <c r="G364" i="696"/>
  <c r="G1211" i="695"/>
  <c r="G636" i="696"/>
  <c r="G232" i="688"/>
  <c r="G1212" i="690"/>
  <c r="G1212" i="693"/>
  <c r="G232" i="696"/>
  <c r="G355" i="695"/>
  <c r="G355" i="697"/>
  <c r="G355" i="692"/>
  <c r="G636" i="689"/>
  <c r="G366" i="689"/>
  <c r="G371" i="695"/>
  <c r="G364" i="695"/>
  <c r="G636" i="694"/>
  <c r="G509" i="693"/>
  <c r="G363" i="690"/>
  <c r="G232" i="689"/>
  <c r="G363" i="688"/>
  <c r="G364" i="687"/>
  <c r="G232" i="686"/>
  <c r="G636" i="687"/>
  <c r="G366" i="687"/>
  <c r="G372" i="688"/>
  <c r="G366" i="688"/>
  <c r="G203" i="688"/>
  <c r="G635" i="688"/>
  <c r="G752" i="688"/>
  <c r="G355" i="688"/>
  <c r="G363" i="689"/>
  <c r="G636" i="690"/>
  <c r="G364" i="691"/>
  <c r="G232" i="691"/>
  <c r="G371" i="691"/>
  <c r="G636" i="691"/>
  <c r="G1211" i="698"/>
  <c r="G364" i="693"/>
  <c r="G364" i="694"/>
  <c r="G1212" i="694"/>
  <c r="G372" i="685"/>
  <c r="G355" i="685"/>
  <c r="G364" i="698"/>
  <c r="G371" i="692"/>
  <c r="G635" i="690"/>
  <c r="G355" i="690"/>
  <c r="G1088" i="691"/>
  <c r="G1088" i="693"/>
  <c r="G203" i="693"/>
  <c r="G1212" i="697"/>
  <c r="G355" i="691"/>
  <c r="G366" i="691"/>
  <c r="G1213" i="685"/>
  <c r="G1212" i="698"/>
  <c r="G355" i="698"/>
  <c r="G363" i="686"/>
  <c r="G203" i="687"/>
  <c r="G512" i="694"/>
  <c r="G355" i="693"/>
  <c r="G636" i="685"/>
  <c r="G1211" i="685"/>
  <c r="G232" i="687"/>
  <c r="G805" i="689"/>
  <c r="G1213" i="691"/>
  <c r="G363" i="694"/>
  <c r="G232" i="694"/>
  <c r="G355" i="696"/>
  <c r="G1212" i="689"/>
  <c r="G366" i="698"/>
  <c r="G371" i="694"/>
  <c r="G366" i="693"/>
  <c r="G366" i="692"/>
  <c r="G636" i="692"/>
  <c r="G366" i="685"/>
  <c r="G805" i="686"/>
  <c r="G635" i="691"/>
  <c r="G752" i="692"/>
  <c r="G1088" i="694"/>
  <c r="G635" i="696"/>
  <c r="G805" i="697"/>
  <c r="G1211" i="697"/>
  <c r="G232" i="685"/>
  <c r="G203" i="696"/>
  <c r="G636" i="695"/>
  <c r="G364" i="697"/>
  <c r="G203" i="697"/>
  <c r="G203" i="695"/>
  <c r="G636" i="693"/>
  <c r="G203" i="692"/>
  <c r="G1213" i="692"/>
  <c r="G636" i="688"/>
  <c r="G203" i="689"/>
  <c r="G636" i="686"/>
  <c r="G364" i="692"/>
  <c r="G805" i="691"/>
  <c r="G752" i="695"/>
  <c r="G355" i="687"/>
  <c r="G327" i="693"/>
  <c r="G203" i="691"/>
  <c r="G203" i="698"/>
  <c r="G752" i="685"/>
  <c r="G1211" i="687"/>
  <c r="G372" i="693"/>
  <c r="G1212" i="688"/>
  <c r="G509" i="698"/>
  <c r="G203" i="690"/>
  <c r="G752" i="686"/>
  <c r="G509" i="691"/>
  <c r="G805" i="693"/>
  <c r="G752" i="698"/>
  <c r="G1212" i="686"/>
  <c r="G355" i="686"/>
  <c r="G509" i="689"/>
  <c r="G1208" i="692"/>
  <c r="G805" i="692"/>
  <c r="G1093" i="697"/>
  <c r="G1126" i="697" s="1"/>
  <c r="G1213" i="697" s="1"/>
  <c r="G1094" i="698"/>
  <c r="G1127" i="698" s="1"/>
  <c r="G1214" i="698" s="1"/>
  <c r="G635" i="698"/>
  <c r="G636" i="698"/>
  <c r="G1212" i="696"/>
  <c r="G363" i="697"/>
  <c r="G512" i="692"/>
  <c r="G371" i="693"/>
  <c r="G635" i="686"/>
  <c r="G635" i="693"/>
  <c r="G805" i="695"/>
  <c r="G635" i="695"/>
  <c r="G636" i="697"/>
  <c r="G366" i="695"/>
  <c r="G805" i="687"/>
  <c r="G805" i="688"/>
  <c r="G805" i="690"/>
  <c r="G635" i="692"/>
  <c r="G805" i="694"/>
  <c r="G1213" i="694"/>
  <c r="G635" i="694"/>
  <c r="G639" i="694" s="1"/>
  <c r="G372" i="694"/>
  <c r="G805" i="696"/>
  <c r="G1093" i="696"/>
  <c r="G1126" i="696" s="1"/>
  <c r="G1213" i="696" s="1"/>
  <c r="G805" i="685"/>
  <c r="G635" i="685"/>
  <c r="G635" i="687"/>
  <c r="G327" i="688"/>
  <c r="G635" i="689"/>
  <c r="G752" i="693"/>
  <c r="G752" i="694"/>
  <c r="G752" i="696"/>
  <c r="G752" i="697"/>
  <c r="G635" i="697"/>
  <c r="G1212" i="695"/>
  <c r="G371" i="698"/>
  <c r="G232" i="697"/>
  <c r="G366" i="697"/>
  <c r="G1212" i="687"/>
  <c r="G1208" i="686"/>
  <c r="G509" i="687"/>
  <c r="G892" i="691"/>
  <c r="G327" i="692"/>
  <c r="G509" i="694"/>
  <c r="G1208" i="696"/>
  <c r="G372" i="696"/>
  <c r="G512" i="696"/>
  <c r="G1212" i="692"/>
  <c r="G1212" i="691"/>
  <c r="G512" i="693"/>
  <c r="G232" i="692"/>
  <c r="G512" i="691"/>
  <c r="G372" i="692"/>
  <c r="G1211" i="688"/>
  <c r="G509" i="692"/>
  <c r="G1211" i="693"/>
  <c r="G363" i="693"/>
  <c r="G1211" i="694"/>
  <c r="G1243" i="694"/>
  <c r="G363" i="695"/>
  <c r="G509" i="696"/>
  <c r="G327" i="696"/>
  <c r="G363" i="687"/>
  <c r="G355" i="689"/>
  <c r="G371" i="696"/>
  <c r="G363" i="696"/>
  <c r="G372" i="698"/>
  <c r="G232" i="695"/>
  <c r="G363" i="698"/>
  <c r="G203" i="694"/>
  <c r="G372" i="691"/>
  <c r="G1212" i="685"/>
  <c r="G752" i="687"/>
  <c r="G752" i="691"/>
  <c r="G203" i="686"/>
  <c r="G372" i="695"/>
  <c r="G371" i="697"/>
  <c r="G366" i="696"/>
  <c r="G327" i="695"/>
  <c r="G232" i="693"/>
  <c r="G366" i="694"/>
  <c r="G363" i="691"/>
  <c r="G1211" i="691"/>
  <c r="G203" i="685"/>
  <c r="G371" i="686"/>
  <c r="G371" i="689"/>
  <c r="G512" i="697"/>
  <c r="G372" i="697"/>
  <c r="G512" i="698"/>
  <c r="G512" i="695"/>
  <c r="G363" i="692"/>
  <c r="G1211" i="690"/>
  <c r="G752" i="690"/>
  <c r="G327" i="690"/>
  <c r="G371" i="690"/>
  <c r="G1211" i="689"/>
  <c r="G371" i="688"/>
  <c r="G327" i="687"/>
  <c r="G371" i="687"/>
  <c r="G509" i="685"/>
  <c r="G363" i="685"/>
  <c r="G371" i="685"/>
  <c r="G1243" i="698"/>
  <c r="G1093" i="698"/>
  <c r="G1126" i="698" s="1"/>
  <c r="G1213" i="698" s="1"/>
  <c r="G370" i="698"/>
  <c r="G327" i="698"/>
  <c r="G1208" i="698"/>
  <c r="G805" i="698"/>
  <c r="G1223" i="697"/>
  <c r="G892" i="697"/>
  <c r="G1208" i="697"/>
  <c r="G1094" i="697"/>
  <c r="G509" i="697"/>
  <c r="G370" i="697"/>
  <c r="G327" i="697"/>
  <c r="G1211" i="696"/>
  <c r="G1094" i="696"/>
  <c r="G1223" i="696"/>
  <c r="G892" i="696"/>
  <c r="G370" i="696"/>
  <c r="G1243" i="695"/>
  <c r="G1093" i="695"/>
  <c r="G370" i="695"/>
  <c r="G1208" i="695"/>
  <c r="G1094" i="695"/>
  <c r="G1127" i="695" s="1"/>
  <c r="G1214" i="695" s="1"/>
  <c r="G509" i="695"/>
  <c r="G1208" i="694"/>
  <c r="G1094" i="694"/>
  <c r="G1127" i="694" s="1"/>
  <c r="G1214" i="694" s="1"/>
  <c r="G370" i="694"/>
  <c r="G327" i="694"/>
  <c r="G1243" i="693"/>
  <c r="G1093" i="693"/>
  <c r="G370" i="693"/>
  <c r="G1208" i="693"/>
  <c r="G1094" i="693"/>
  <c r="G1127" i="693" s="1"/>
  <c r="G1214" i="693" s="1"/>
  <c r="G1211" i="692"/>
  <c r="G1094" i="692"/>
  <c r="G370" i="692"/>
  <c r="G1223" i="691"/>
  <c r="G1208" i="691"/>
  <c r="G327" i="691"/>
  <c r="G1094" i="691"/>
  <c r="G370" i="691"/>
  <c r="G1208" i="690"/>
  <c r="G1094" i="690"/>
  <c r="G1127" i="690" s="1"/>
  <c r="G1214" i="690" s="1"/>
  <c r="G509" i="690"/>
  <c r="G370" i="690"/>
  <c r="G1243" i="690"/>
  <c r="G1093" i="690"/>
  <c r="G1243" i="689"/>
  <c r="G1093" i="689"/>
  <c r="G1208" i="689"/>
  <c r="G1094" i="689"/>
  <c r="G1127" i="689" s="1"/>
  <c r="G1214" i="689" s="1"/>
  <c r="G370" i="689"/>
  <c r="G327" i="689"/>
  <c r="G752" i="689"/>
  <c r="G1208" i="688"/>
  <c r="G509" i="688"/>
  <c r="G370" i="688"/>
  <c r="G1243" i="688"/>
  <c r="G1093" i="688"/>
  <c r="G1126" i="688" s="1"/>
  <c r="G1213" i="688" s="1"/>
  <c r="G1094" i="688"/>
  <c r="G1127" i="688" s="1"/>
  <c r="G1214" i="688" s="1"/>
  <c r="G1223" i="687"/>
  <c r="G892" i="687"/>
  <c r="G1243" i="687"/>
  <c r="G1093" i="687"/>
  <c r="G1208" i="687"/>
  <c r="G1094" i="687"/>
  <c r="G1127" i="687" s="1"/>
  <c r="G1214" i="687" s="1"/>
  <c r="G370" i="687"/>
  <c r="G1211" i="686"/>
  <c r="G1243" i="686"/>
  <c r="G1093" i="686"/>
  <c r="G1126" i="686" s="1"/>
  <c r="G1213" i="686" s="1"/>
  <c r="G1094" i="686"/>
  <c r="G1127" i="686" s="1"/>
  <c r="G1214" i="686" s="1"/>
  <c r="G509" i="686"/>
  <c r="G370" i="686"/>
  <c r="G327" i="686"/>
  <c r="G370" i="685"/>
  <c r="G1208" i="685"/>
  <c r="G1094" i="685"/>
  <c r="G1127" i="685" s="1"/>
  <c r="G1214" i="685" s="1"/>
  <c r="G327" i="685"/>
  <c r="G639" i="693" l="1"/>
  <c r="G639" i="685"/>
  <c r="G639" i="696"/>
  <c r="G639" i="687"/>
  <c r="G639" i="698"/>
  <c r="G639" i="697"/>
  <c r="G639" i="689"/>
  <c r="G368" i="697"/>
  <c r="G639" i="695"/>
  <c r="G368" i="694"/>
  <c r="G639" i="692"/>
  <c r="G639" i="690"/>
  <c r="G368" i="688"/>
  <c r="G368" i="687"/>
  <c r="G639" i="688"/>
  <c r="G639" i="691"/>
  <c r="G368" i="696"/>
  <c r="G368" i="685"/>
  <c r="G368" i="686"/>
  <c r="G368" i="692"/>
  <c r="G368" i="689"/>
  <c r="G368" i="691"/>
  <c r="G368" i="693"/>
  <c r="G368" i="698"/>
  <c r="G639" i="686"/>
  <c r="G368" i="690"/>
  <c r="G368" i="695"/>
  <c r="G892" i="694"/>
  <c r="G1222" i="698"/>
  <c r="G1223" i="698"/>
  <c r="G892" i="698"/>
  <c r="G1095" i="698"/>
  <c r="G1130" i="698" s="1"/>
  <c r="G1217" i="698" s="1"/>
  <c r="G1127" i="697"/>
  <c r="G1214" i="697" s="1"/>
  <c r="G1095" i="697"/>
  <c r="G1130" i="697" s="1"/>
  <c r="G1217" i="697" s="1"/>
  <c r="G1222" i="697"/>
  <c r="G1127" i="696"/>
  <c r="G1214" i="696" s="1"/>
  <c r="G1095" i="696"/>
  <c r="G1130" i="696" s="1"/>
  <c r="G1217" i="696" s="1"/>
  <c r="G1222" i="696"/>
  <c r="G1223" i="695"/>
  <c r="G892" i="695"/>
  <c r="G1126" i="695"/>
  <c r="G1213" i="695" s="1"/>
  <c r="G1095" i="695"/>
  <c r="G1130" i="695" s="1"/>
  <c r="G1217" i="695" s="1"/>
  <c r="G1222" i="695"/>
  <c r="G1095" i="694"/>
  <c r="G1222" i="694"/>
  <c r="G1126" i="693"/>
  <c r="G1213" i="693" s="1"/>
  <c r="G1095" i="693"/>
  <c r="G1130" i="693" s="1"/>
  <c r="G1217" i="693" s="1"/>
  <c r="G1223" i="693"/>
  <c r="G892" i="693"/>
  <c r="G1222" i="693"/>
  <c r="G1222" i="692"/>
  <c r="G1127" i="692"/>
  <c r="G1214" i="692" s="1"/>
  <c r="G1095" i="692"/>
  <c r="G1130" i="692" s="1"/>
  <c r="G1217" i="692" s="1"/>
  <c r="G1223" i="692"/>
  <c r="G892" i="692"/>
  <c r="G1127" i="691"/>
  <c r="G1214" i="691" s="1"/>
  <c r="G1095" i="691"/>
  <c r="G1130" i="691" s="1"/>
  <c r="G1217" i="691" s="1"/>
  <c r="G1222" i="691"/>
  <c r="G1223" i="690"/>
  <c r="G892" i="690"/>
  <c r="G1126" i="690"/>
  <c r="G1213" i="690" s="1"/>
  <c r="G1095" i="690"/>
  <c r="G1130" i="690" s="1"/>
  <c r="G1217" i="690" s="1"/>
  <c r="G1226" i="690"/>
  <c r="G1222" i="690"/>
  <c r="G1222" i="689"/>
  <c r="G1223" i="689"/>
  <c r="G892" i="689"/>
  <c r="G1126" i="689"/>
  <c r="G1213" i="689" s="1"/>
  <c r="G1095" i="689"/>
  <c r="G1130" i="689" s="1"/>
  <c r="G1217" i="689" s="1"/>
  <c r="G1222" i="688"/>
  <c r="G1223" i="688"/>
  <c r="G892" i="688"/>
  <c r="G1095" i="688"/>
  <c r="G1130" i="688" s="1"/>
  <c r="G1217" i="688" s="1"/>
  <c r="G1126" i="687"/>
  <c r="G1213" i="687" s="1"/>
  <c r="G1095" i="687"/>
  <c r="G1130" i="687" s="1"/>
  <c r="G1217" i="687" s="1"/>
  <c r="G1226" i="687"/>
  <c r="G1222" i="687"/>
  <c r="G1223" i="686"/>
  <c r="G892" i="686"/>
  <c r="G1095" i="686"/>
  <c r="G1130" i="686" s="1"/>
  <c r="G1217" i="686" s="1"/>
  <c r="G1222" i="686"/>
  <c r="G1226" i="685"/>
  <c r="G1095" i="685"/>
  <c r="G1130" i="685" s="1"/>
  <c r="G1217" i="685" s="1"/>
  <c r="G1222" i="685"/>
  <c r="G1130" i="671"/>
  <c r="V359" i="3"/>
  <c r="V358" i="3"/>
  <c r="V357" i="3"/>
  <c r="V354" i="3"/>
  <c r="V353" i="3"/>
  <c r="V348" i="3"/>
  <c r="V339" i="3"/>
  <c r="V236" i="3"/>
  <c r="V234" i="3"/>
  <c r="W359" i="3"/>
  <c r="W358" i="3"/>
  <c r="W357" i="3"/>
  <c r="W354" i="3"/>
  <c r="W353" i="3"/>
  <c r="W348" i="3"/>
  <c r="W339" i="3"/>
  <c r="W236" i="3"/>
  <c r="W234" i="3"/>
  <c r="U359" i="3"/>
  <c r="U358" i="3"/>
  <c r="U357" i="3"/>
  <c r="U354" i="3"/>
  <c r="U353" i="3"/>
  <c r="U348" i="3"/>
  <c r="U339" i="3"/>
  <c r="U236" i="3"/>
  <c r="U234" i="3"/>
  <c r="T359" i="3"/>
  <c r="T358" i="3"/>
  <c r="T357" i="3"/>
  <c r="T354" i="3"/>
  <c r="T353" i="3"/>
  <c r="T348" i="3"/>
  <c r="T339" i="3"/>
  <c r="T236" i="3"/>
  <c r="T234" i="3"/>
  <c r="G1054" i="671"/>
  <c r="G1049" i="671"/>
  <c r="G1044" i="671"/>
  <c r="G1039" i="671"/>
  <c r="G1034" i="671"/>
  <c r="G1029" i="671"/>
  <c r="G1013" i="671"/>
  <c r="G1008" i="671"/>
  <c r="G1263" i="671"/>
  <c r="G924" i="671"/>
  <c r="G54" i="671"/>
  <c r="G56" i="671"/>
  <c r="G58" i="671"/>
  <c r="G1284" i="671"/>
  <c r="G1283" i="671"/>
  <c r="G1267" i="671"/>
  <c r="G1266" i="671"/>
  <c r="G1265" i="671"/>
  <c r="G1262" i="671"/>
  <c r="G1236" i="671"/>
  <c r="G1237" i="671" s="1"/>
  <c r="G1232" i="671"/>
  <c r="G1231" i="671"/>
  <c r="G1230" i="671"/>
  <c r="G1229" i="671"/>
  <c r="G1225" i="671"/>
  <c r="G1224" i="671"/>
  <c r="G1223" i="671"/>
  <c r="G1222" i="671"/>
  <c r="G1218" i="671"/>
  <c r="G1217" i="671"/>
  <c r="G1216" i="671"/>
  <c r="G1215" i="671"/>
  <c r="G1211" i="671"/>
  <c r="G1212" i="671" s="1"/>
  <c r="G1207" i="671"/>
  <c r="G1206" i="671"/>
  <c r="G1202" i="671"/>
  <c r="G1201" i="671"/>
  <c r="G1197" i="671"/>
  <c r="G1196" i="671"/>
  <c r="G1195" i="671"/>
  <c r="G1194" i="671"/>
  <c r="G1190" i="671"/>
  <c r="G1189" i="671"/>
  <c r="G1188" i="671"/>
  <c r="G1187" i="671"/>
  <c r="G1183" i="671"/>
  <c r="G1179" i="671"/>
  <c r="G1175" i="671"/>
  <c r="G1174" i="671"/>
  <c r="G1157" i="671"/>
  <c r="G1156" i="671"/>
  <c r="G1155" i="671"/>
  <c r="G1154" i="671"/>
  <c r="G1150" i="671"/>
  <c r="G1149" i="671"/>
  <c r="G1148" i="671"/>
  <c r="G1147" i="671"/>
  <c r="G1143" i="671"/>
  <c r="G1142" i="671"/>
  <c r="G1141" i="671"/>
  <c r="G1140" i="671"/>
  <c r="G1136" i="671"/>
  <c r="G1137" i="671" s="1"/>
  <c r="G1124" i="671"/>
  <c r="G1123" i="671"/>
  <c r="G1122" i="671"/>
  <c r="G1119" i="671"/>
  <c r="G1118" i="671"/>
  <c r="G1117" i="671"/>
  <c r="G1116" i="671"/>
  <c r="G1113" i="671"/>
  <c r="G1112" i="671"/>
  <c r="G1111" i="671"/>
  <c r="G1108" i="671"/>
  <c r="G1107" i="671"/>
  <c r="G1106" i="671"/>
  <c r="G1105" i="671"/>
  <c r="G1102" i="671"/>
  <c r="G1101" i="671"/>
  <c r="G1100" i="671"/>
  <c r="G1099" i="671"/>
  <c r="G1096" i="671"/>
  <c r="G1095" i="671"/>
  <c r="G1094" i="671"/>
  <c r="G1093" i="671"/>
  <c r="G1090" i="671"/>
  <c r="G1089" i="671"/>
  <c r="G1088" i="671"/>
  <c r="G1085" i="671"/>
  <c r="G1084" i="671"/>
  <c r="G1083" i="671"/>
  <c r="G1082" i="671"/>
  <c r="G1079" i="671"/>
  <c r="G1078" i="671"/>
  <c r="G1077" i="671"/>
  <c r="G1076" i="671"/>
  <c r="G1073" i="671"/>
  <c r="G1072" i="671"/>
  <c r="G1071" i="671"/>
  <c r="G1070" i="671"/>
  <c r="G1067" i="671"/>
  <c r="G1066" i="671"/>
  <c r="G1065" i="671"/>
  <c r="G1058" i="671"/>
  <c r="G1057" i="671"/>
  <c r="G1053" i="671"/>
  <c r="G1052" i="671"/>
  <c r="G1048" i="671"/>
  <c r="G1047" i="671"/>
  <c r="G1043" i="671"/>
  <c r="G1042" i="671"/>
  <c r="G1038" i="671"/>
  <c r="G1037" i="671"/>
  <c r="G1033" i="671"/>
  <c r="G1032" i="671"/>
  <c r="G1028" i="671"/>
  <c r="G1027" i="671"/>
  <c r="G1023" i="671"/>
  <c r="G1022" i="671"/>
  <c r="G1021" i="671"/>
  <c r="G1020" i="671"/>
  <c r="G1019" i="671"/>
  <c r="G1018" i="671"/>
  <c r="G1017" i="671"/>
  <c r="G1016" i="671"/>
  <c r="G1012" i="671"/>
  <c r="G1011" i="671"/>
  <c r="G1007" i="671"/>
  <c r="G1006" i="671"/>
  <c r="G1000" i="671"/>
  <c r="G999" i="671"/>
  <c r="G998" i="671"/>
  <c r="G997" i="671"/>
  <c r="G996" i="671"/>
  <c r="G995" i="671"/>
  <c r="G994" i="671"/>
  <c r="G989" i="671"/>
  <c r="G988" i="671"/>
  <c r="G969" i="671"/>
  <c r="G967" i="671"/>
  <c r="G965" i="671"/>
  <c r="G963" i="671"/>
  <c r="G958" i="671"/>
  <c r="G957" i="671"/>
  <c r="G956" i="671"/>
  <c r="G955" i="671"/>
  <c r="G948" i="671"/>
  <c r="G947" i="671"/>
  <c r="G946" i="671"/>
  <c r="G945" i="671"/>
  <c r="G941" i="671"/>
  <c r="G940" i="671"/>
  <c r="G939" i="671"/>
  <c r="G938" i="671"/>
  <c r="G925" i="671"/>
  <c r="G922" i="671"/>
  <c r="G921" i="671"/>
  <c r="G920" i="671"/>
  <c r="G918" i="671"/>
  <c r="G917" i="671"/>
  <c r="G916" i="671"/>
  <c r="G914" i="671"/>
  <c r="G913" i="671"/>
  <c r="G912" i="671"/>
  <c r="G910" i="671"/>
  <c r="G909" i="671"/>
  <c r="G908" i="671"/>
  <c r="G906" i="671"/>
  <c r="G905" i="671"/>
  <c r="G904" i="671"/>
  <c r="G902" i="671"/>
  <c r="G901" i="671"/>
  <c r="G900" i="671"/>
  <c r="G898" i="671"/>
  <c r="G897" i="671"/>
  <c r="G896" i="671"/>
  <c r="G894" i="671"/>
  <c r="G893" i="671"/>
  <c r="G892" i="671"/>
  <c r="G890" i="671"/>
  <c r="G889" i="671"/>
  <c r="G888" i="671"/>
  <c r="G886" i="671"/>
  <c r="G885" i="671"/>
  <c r="G884" i="671"/>
  <c r="G882" i="671"/>
  <c r="G878" i="671"/>
  <c r="G877" i="671"/>
  <c r="G876" i="671"/>
  <c r="G864" i="671"/>
  <c r="G863" i="671"/>
  <c r="G859" i="671"/>
  <c r="G858" i="671"/>
  <c r="G854" i="671"/>
  <c r="G853" i="671"/>
  <c r="G849" i="671"/>
  <c r="G848" i="671"/>
  <c r="G836" i="671"/>
  <c r="G835" i="671"/>
  <c r="G816" i="671"/>
  <c r="G815" i="671"/>
  <c r="G811" i="671"/>
  <c r="G810" i="671"/>
  <c r="G806" i="671"/>
  <c r="G805" i="671"/>
  <c r="G801" i="671"/>
  <c r="G800" i="671"/>
  <c r="G796" i="671"/>
  <c r="G795" i="671"/>
  <c r="G783" i="671"/>
  <c r="G782" i="671"/>
  <c r="G778" i="671"/>
  <c r="G777" i="671"/>
  <c r="G773" i="671"/>
  <c r="G772" i="671"/>
  <c r="G768" i="671"/>
  <c r="G767" i="671"/>
  <c r="G763" i="671"/>
  <c r="G762" i="671"/>
  <c r="G758" i="671"/>
  <c r="G757" i="671"/>
  <c r="G753" i="671"/>
  <c r="G752" i="671"/>
  <c r="G748" i="671"/>
  <c r="G747" i="671"/>
  <c r="G743" i="671"/>
  <c r="G742" i="671"/>
  <c r="G738" i="671"/>
  <c r="G737" i="671"/>
  <c r="G733" i="671"/>
  <c r="G732" i="671"/>
  <c r="G728" i="671"/>
  <c r="G727" i="671"/>
  <c r="G723" i="671"/>
  <c r="G722" i="671"/>
  <c r="G718" i="671"/>
  <c r="G717" i="671"/>
  <c r="G713" i="671"/>
  <c r="G712" i="671"/>
  <c r="G708" i="671"/>
  <c r="G707" i="671"/>
  <c r="G703" i="671"/>
  <c r="G702" i="671"/>
  <c r="G698" i="671"/>
  <c r="G697" i="671"/>
  <c r="G693" i="671"/>
  <c r="G692" i="671"/>
  <c r="G685" i="671"/>
  <c r="G684" i="671"/>
  <c r="G665" i="671"/>
  <c r="G664" i="671"/>
  <c r="G660" i="671"/>
  <c r="G659" i="671"/>
  <c r="G655" i="671"/>
  <c r="G654" i="671"/>
  <c r="G650" i="671"/>
  <c r="G649" i="671"/>
  <c r="G645" i="671"/>
  <c r="G644" i="671"/>
  <c r="G640" i="671"/>
  <c r="G639" i="671"/>
  <c r="G635" i="671"/>
  <c r="G634" i="671"/>
  <c r="G630" i="671"/>
  <c r="G629" i="671"/>
  <c r="G625" i="671"/>
  <c r="G624" i="671"/>
  <c r="G620" i="671"/>
  <c r="G619" i="671"/>
  <c r="G615" i="671"/>
  <c r="G614" i="671"/>
  <c r="G610" i="671"/>
  <c r="G609" i="671"/>
  <c r="G605" i="671"/>
  <c r="G604" i="671"/>
  <c r="G600" i="671"/>
  <c r="G599" i="671"/>
  <c r="G595" i="671"/>
  <c r="G594" i="671"/>
  <c r="G590" i="671"/>
  <c r="G589" i="671"/>
  <c r="G585" i="671"/>
  <c r="G584" i="671"/>
  <c r="G580" i="671"/>
  <c r="G579" i="671"/>
  <c r="G575" i="671"/>
  <c r="G574" i="671"/>
  <c r="G570" i="671"/>
  <c r="G569" i="671"/>
  <c r="G565" i="671"/>
  <c r="G564" i="671"/>
  <c r="G560" i="671"/>
  <c r="G559" i="671"/>
  <c r="G534" i="671"/>
  <c r="G533" i="671"/>
  <c r="G529" i="671"/>
  <c r="G528" i="671"/>
  <c r="G524" i="671"/>
  <c r="G523" i="671"/>
  <c r="G519" i="671"/>
  <c r="G518" i="671"/>
  <c r="G514" i="671"/>
  <c r="G513" i="671"/>
  <c r="G509" i="671"/>
  <c r="G508" i="671"/>
  <c r="G504" i="671"/>
  <c r="G503" i="671"/>
  <c r="G499" i="671"/>
  <c r="G498" i="671"/>
  <c r="G494" i="671"/>
  <c r="G493" i="671"/>
  <c r="G489" i="671"/>
  <c r="G488" i="671"/>
  <c r="G484" i="671"/>
  <c r="G483" i="671"/>
  <c r="G479" i="671"/>
  <c r="G478" i="671"/>
  <c r="G474" i="671"/>
  <c r="G473" i="671"/>
  <c r="G469" i="671"/>
  <c r="G468" i="671"/>
  <c r="G464" i="671"/>
  <c r="G463" i="671"/>
  <c r="G459" i="671"/>
  <c r="G458" i="671"/>
  <c r="G454" i="671"/>
  <c r="G453" i="671"/>
  <c r="G449" i="671"/>
  <c r="G448" i="671"/>
  <c r="G444" i="671"/>
  <c r="G443" i="671"/>
  <c r="G439" i="671"/>
  <c r="G438" i="671"/>
  <c r="G434" i="671"/>
  <c r="G433" i="671"/>
  <c r="G429" i="671"/>
  <c r="G428" i="671"/>
  <c r="G424" i="671"/>
  <c r="G423" i="671"/>
  <c r="G419" i="671"/>
  <c r="G418" i="671"/>
  <c r="G392" i="671"/>
  <c r="G388" i="671"/>
  <c r="G396" i="671" s="1"/>
  <c r="G385" i="671"/>
  <c r="G383" i="671"/>
  <c r="G381" i="671"/>
  <c r="G379" i="671"/>
  <c r="G376" i="671"/>
  <c r="G374" i="671"/>
  <c r="G372" i="671"/>
  <c r="G391" i="671" s="1"/>
  <c r="G359" i="671"/>
  <c r="G358" i="671"/>
  <c r="G356" i="671"/>
  <c r="G353" i="671"/>
  <c r="G351" i="671"/>
  <c r="G349" i="671"/>
  <c r="G347" i="671"/>
  <c r="G344" i="671"/>
  <c r="G342" i="671"/>
  <c r="G340" i="671"/>
  <c r="G338" i="671"/>
  <c r="G335" i="671"/>
  <c r="G333" i="671"/>
  <c r="G331" i="671"/>
  <c r="G329" i="671"/>
  <c r="G326" i="671"/>
  <c r="G324" i="671"/>
  <c r="G322" i="671"/>
  <c r="G320" i="671"/>
  <c r="G317" i="671"/>
  <c r="G315" i="671"/>
  <c r="G313" i="671"/>
  <c r="G311" i="671"/>
  <c r="G308" i="671"/>
  <c r="G306" i="671"/>
  <c r="G304" i="671"/>
  <c r="G302" i="671"/>
  <c r="G299" i="671"/>
  <c r="G297" i="671"/>
  <c r="G295" i="671"/>
  <c r="G293" i="671"/>
  <c r="G290" i="671"/>
  <c r="G288" i="671"/>
  <c r="G286" i="671"/>
  <c r="G284" i="671"/>
  <c r="G281" i="671"/>
  <c r="G279" i="671"/>
  <c r="G277" i="671"/>
  <c r="G264" i="671"/>
  <c r="G261" i="671"/>
  <c r="G259" i="671"/>
  <c r="G257" i="671"/>
  <c r="G255" i="671"/>
  <c r="G252" i="671"/>
  <c r="G250" i="671"/>
  <c r="G248" i="671"/>
  <c r="G235" i="671"/>
  <c r="G234" i="671"/>
  <c r="G232" i="671"/>
  <c r="G229" i="671"/>
  <c r="G227" i="671"/>
  <c r="G225" i="671"/>
  <c r="G223" i="671"/>
  <c r="G220" i="671"/>
  <c r="G218" i="671"/>
  <c r="G216" i="671"/>
  <c r="G214" i="671"/>
  <c r="G211" i="671"/>
  <c r="G209" i="671"/>
  <c r="G207" i="671"/>
  <c r="G205" i="671"/>
  <c r="G202" i="671"/>
  <c r="G200" i="671"/>
  <c r="G198" i="671"/>
  <c r="G196" i="671"/>
  <c r="G193" i="671"/>
  <c r="G191" i="671"/>
  <c r="G189" i="671"/>
  <c r="G187" i="671"/>
  <c r="G184" i="671"/>
  <c r="G182" i="671"/>
  <c r="G180" i="671"/>
  <c r="G178" i="671"/>
  <c r="G175" i="671"/>
  <c r="G173" i="671"/>
  <c r="G171" i="671"/>
  <c r="G169" i="671"/>
  <c r="G166" i="671"/>
  <c r="G164" i="671"/>
  <c r="G162" i="671"/>
  <c r="G160" i="671"/>
  <c r="G157" i="671"/>
  <c r="G155" i="671"/>
  <c r="G153" i="671"/>
  <c r="G151" i="671"/>
  <c r="G148" i="671"/>
  <c r="G146" i="671"/>
  <c r="G144" i="671"/>
  <c r="G142" i="671"/>
  <c r="G139" i="671"/>
  <c r="G137" i="671"/>
  <c r="G135" i="671"/>
  <c r="G133" i="671"/>
  <c r="G130" i="671"/>
  <c r="G128" i="671"/>
  <c r="G126" i="671"/>
  <c r="G124" i="671"/>
  <c r="G121" i="671"/>
  <c r="G119" i="671"/>
  <c r="G117" i="671"/>
  <c r="G115" i="671"/>
  <c r="G112" i="671"/>
  <c r="G110" i="671"/>
  <c r="G108" i="671"/>
  <c r="G106" i="671"/>
  <c r="G103" i="671"/>
  <c r="G101" i="671"/>
  <c r="G99" i="671"/>
  <c r="G97" i="671"/>
  <c r="G94" i="671"/>
  <c r="G93" i="671"/>
  <c r="G92" i="671"/>
  <c r="G91" i="671"/>
  <c r="G90" i="671"/>
  <c r="G88" i="671"/>
  <c r="G85" i="671"/>
  <c r="G83" i="671"/>
  <c r="G81" i="671"/>
  <c r="G79" i="671"/>
  <c r="G77" i="671"/>
  <c r="G76" i="671"/>
  <c r="G74" i="671"/>
  <c r="G72" i="671"/>
  <c r="G70" i="671"/>
  <c r="G68" i="671"/>
  <c r="G67" i="671"/>
  <c r="G65" i="671"/>
  <c r="G63" i="671"/>
  <c r="G61" i="671"/>
  <c r="G59" i="671"/>
  <c r="A1" i="671"/>
  <c r="M10" i="1"/>
  <c r="G362" i="671" l="1"/>
  <c r="G269" i="671"/>
  <c r="G274" i="671"/>
  <c r="G364" i="671"/>
  <c r="G869" i="671"/>
  <c r="G540" i="671"/>
  <c r="G268" i="671"/>
  <c r="G397" i="671"/>
  <c r="G543" i="671"/>
  <c r="G671" i="671"/>
  <c r="G788" i="671"/>
  <c r="G544" i="671"/>
  <c r="G541" i="671"/>
  <c r="G868" i="671"/>
  <c r="G672" i="671"/>
  <c r="G1223" i="694"/>
  <c r="G1130" i="694"/>
  <c r="G1217" i="694" s="1"/>
  <c r="U355" i="3"/>
  <c r="G933" i="690"/>
  <c r="G1230" i="690"/>
  <c r="G1226" i="689"/>
  <c r="G1226" i="688"/>
  <c r="G933" i="687"/>
  <c r="G1230" i="687"/>
  <c r="G1230" i="685"/>
  <c r="G933" i="685"/>
  <c r="G586" i="671"/>
  <c r="G591" i="671"/>
  <c r="G927" i="671"/>
  <c r="T355" i="3"/>
  <c r="W355" i="3"/>
  <c r="V355" i="3"/>
  <c r="G1024" i="671"/>
  <c r="G1240" i="671"/>
  <c r="G1191" i="671"/>
  <c r="G1126" i="671"/>
  <c r="G951" i="671"/>
  <c r="G871" i="671"/>
  <c r="G550" i="671"/>
  <c r="G820" i="671"/>
  <c r="G821" i="671"/>
  <c r="G1163" i="671"/>
  <c r="G1129" i="671"/>
  <c r="G1002" i="671" s="1"/>
  <c r="G1279" i="671"/>
  <c r="G830" i="671"/>
  <c r="G1131" i="671"/>
  <c r="G1164" i="671" s="1"/>
  <c r="G1281" i="671"/>
  <c r="G1059" i="671"/>
  <c r="G240" i="671"/>
  <c r="G831" i="671"/>
  <c r="G826" i="671"/>
  <c r="G991" i="671"/>
  <c r="G1151" i="671"/>
  <c r="G1144" i="671"/>
  <c r="G430" i="671"/>
  <c r="G435" i="671"/>
  <c r="G440" i="671"/>
  <c r="G245" i="671"/>
  <c r="G238" i="671"/>
  <c r="G95" i="671"/>
  <c r="G113" i="671"/>
  <c r="G131" i="671"/>
  <c r="G149" i="671"/>
  <c r="G167" i="671"/>
  <c r="G185" i="671"/>
  <c r="G203" i="671"/>
  <c r="G221" i="671"/>
  <c r="G262" i="671"/>
  <c r="G300" i="671"/>
  <c r="G336" i="671"/>
  <c r="G354" i="671"/>
  <c r="G386" i="671"/>
  <c r="G445" i="671"/>
  <c r="G450" i="671"/>
  <c r="G455" i="671"/>
  <c r="G460" i="671"/>
  <c r="G465" i="671"/>
  <c r="G470" i="671"/>
  <c r="G475" i="671"/>
  <c r="G480" i="671"/>
  <c r="G485" i="671"/>
  <c r="G490" i="671"/>
  <c r="G495" i="671"/>
  <c r="G500" i="671"/>
  <c r="G505" i="671"/>
  <c r="G510" i="671"/>
  <c r="G515" i="671"/>
  <c r="G520" i="671"/>
  <c r="G525" i="671"/>
  <c r="G530" i="671"/>
  <c r="G1243" i="671"/>
  <c r="G942" i="671"/>
  <c r="G949" i="671"/>
  <c r="G561" i="671"/>
  <c r="G566" i="671"/>
  <c r="G571" i="671"/>
  <c r="G581" i="671"/>
  <c r="G1158" i="671"/>
  <c r="G1198" i="671"/>
  <c r="G1203" i="671"/>
  <c r="G1208" i="671"/>
  <c r="G86" i="671"/>
  <c r="G104" i="671"/>
  <c r="G122" i="671"/>
  <c r="G140" i="671"/>
  <c r="G158" i="671"/>
  <c r="G176" i="671"/>
  <c r="G194" i="671"/>
  <c r="G212" i="671"/>
  <c r="G230" i="671"/>
  <c r="G253" i="671"/>
  <c r="G309" i="671"/>
  <c r="G345" i="671"/>
  <c r="G596" i="671"/>
  <c r="G601" i="671"/>
  <c r="G606" i="671"/>
  <c r="G611" i="671"/>
  <c r="G616" i="671"/>
  <c r="G621" i="671"/>
  <c r="G626" i="671"/>
  <c r="G631" i="671"/>
  <c r="G636" i="671"/>
  <c r="G641" i="671"/>
  <c r="G646" i="671"/>
  <c r="G651" i="671"/>
  <c r="G656" i="671"/>
  <c r="G661" i="671"/>
  <c r="G666" i="671"/>
  <c r="G669" i="671" s="1"/>
  <c r="G687" i="671"/>
  <c r="G694" i="671"/>
  <c r="G699" i="671"/>
  <c r="G704" i="671"/>
  <c r="G709" i="671"/>
  <c r="G714" i="671"/>
  <c r="G719" i="671"/>
  <c r="G724" i="671"/>
  <c r="G729" i="671"/>
  <c r="G734" i="671"/>
  <c r="G739" i="671"/>
  <c r="G744" i="671"/>
  <c r="G749" i="671"/>
  <c r="G754" i="671"/>
  <c r="G759" i="671"/>
  <c r="G764" i="671"/>
  <c r="G769" i="671"/>
  <c r="G774" i="671"/>
  <c r="G779" i="671"/>
  <c r="G784" i="671"/>
  <c r="G797" i="671"/>
  <c r="G802" i="671"/>
  <c r="G807" i="671"/>
  <c r="G812" i="671"/>
  <c r="G817" i="671"/>
  <c r="G837" i="671"/>
  <c r="G855" i="671"/>
  <c r="G860" i="671"/>
  <c r="G865" i="671"/>
  <c r="G959" i="671"/>
  <c r="G1242" i="671"/>
  <c r="G1219" i="671"/>
  <c r="G1226" i="671"/>
  <c r="G1233" i="671"/>
  <c r="G535" i="671"/>
  <c r="G244" i="671"/>
  <c r="G368" i="671"/>
  <c r="G239" i="671"/>
  <c r="G361" i="671"/>
  <c r="G1241" i="671"/>
  <c r="G267" i="671"/>
  <c r="G272" i="671"/>
  <c r="G369" i="671"/>
  <c r="G367" i="671"/>
  <c r="G243" i="671"/>
  <c r="G282" i="671"/>
  <c r="G291" i="671"/>
  <c r="G318" i="671"/>
  <c r="G363" i="671"/>
  <c r="G403" i="671" s="1"/>
  <c r="G327" i="671"/>
  <c r="G377" i="671"/>
  <c r="G395" i="671"/>
  <c r="G425" i="671"/>
  <c r="G545" i="671"/>
  <c r="G576" i="671"/>
  <c r="G670" i="671"/>
  <c r="G787" i="671"/>
  <c r="G1176" i="671"/>
  <c r="G1180" i="671"/>
  <c r="G1184" i="671"/>
  <c r="G420" i="671"/>
  <c r="G539" i="671"/>
  <c r="G850" i="671"/>
  <c r="G1250" i="671" l="1"/>
  <c r="G402" i="671"/>
  <c r="G404" i="671"/>
  <c r="G832" i="671"/>
  <c r="G674" i="671"/>
  <c r="G822" i="671"/>
  <c r="G1061" i="671"/>
  <c r="G841" i="671"/>
  <c r="G270" i="671"/>
  <c r="G241" i="671"/>
  <c r="G393" i="671"/>
  <c r="G1162" i="671"/>
  <c r="G1249" i="671" s="1"/>
  <c r="G936" i="690"/>
  <c r="G939" i="690"/>
  <c r="G1232" i="690"/>
  <c r="G933" i="689"/>
  <c r="G1230" i="689"/>
  <c r="G933" i="688"/>
  <c r="G1230" i="688"/>
  <c r="G936" i="687"/>
  <c r="G939" i="687"/>
  <c r="G1232" i="687"/>
  <c r="G933" i="686"/>
  <c r="G1226" i="686"/>
  <c r="G936" i="685"/>
  <c r="G939" i="685"/>
  <c r="G1232" i="685"/>
  <c r="G410" i="671"/>
  <c r="G1251" i="671"/>
  <c r="G825" i="671"/>
  <c r="G1132" i="671"/>
  <c r="G1280" i="671"/>
  <c r="G401" i="671"/>
  <c r="G547" i="671"/>
  <c r="G409" i="671"/>
  <c r="G790" i="671"/>
  <c r="G408" i="671"/>
  <c r="G673" i="671"/>
  <c r="G677" i="671" s="1"/>
  <c r="G365" i="671"/>
  <c r="G1246" i="671"/>
  <c r="G406" i="671" l="1"/>
  <c r="G936" i="689"/>
  <c r="G939" i="689"/>
  <c r="G1232" i="689"/>
  <c r="G936" i="688"/>
  <c r="G939" i="688"/>
  <c r="G1232" i="688"/>
  <c r="G1230" i="686"/>
  <c r="G936" i="686"/>
  <c r="G939" i="686"/>
  <c r="G1261" i="671"/>
  <c r="G930" i="671"/>
  <c r="G1165" i="671"/>
  <c r="G1252" i="671" s="1"/>
  <c r="G1133" i="671"/>
  <c r="G1168" i="671" s="1"/>
  <c r="G1255" i="671" s="1"/>
  <c r="G827" i="671"/>
  <c r="G843" i="671" s="1"/>
  <c r="G840" i="671"/>
  <c r="G1260" i="671"/>
  <c r="G1232" i="686" l="1"/>
  <c r="D14" i="653" l="1"/>
  <c r="E14" i="653" l="1"/>
  <c r="F14" i="653" l="1"/>
  <c r="B2" i="49" l="1"/>
  <c r="B16" i="49" l="1"/>
  <c r="G23" i="657" l="1"/>
  <c r="G22" i="657"/>
  <c r="F23" i="657"/>
  <c r="U10" i="657" s="1"/>
  <c r="F22" i="657"/>
  <c r="Z10" i="657" l="1"/>
  <c r="T21" i="657"/>
  <c r="T13" i="657"/>
  <c r="T14" i="657"/>
  <c r="T20" i="657"/>
  <c r="T12" i="657"/>
  <c r="T18" i="657"/>
  <c r="T10" i="657"/>
  <c r="Y10" i="657" s="1"/>
  <c r="T15" i="657"/>
  <c r="T19" i="657"/>
  <c r="T17" i="657"/>
  <c r="T11" i="657"/>
  <c r="T16" i="657"/>
  <c r="H325" i="6"/>
  <c r="H425" i="139" l="1"/>
  <c r="H405" i="139"/>
  <c r="I405" i="139" s="1"/>
  <c r="H406" i="139"/>
  <c r="I406" i="139" s="1"/>
  <c r="H407" i="139"/>
  <c r="I407" i="139" s="1"/>
  <c r="H408" i="139"/>
  <c r="I408" i="139" s="1"/>
  <c r="AT2" i="651" l="1"/>
  <c r="V11" i="657" l="1"/>
  <c r="V10" i="657" l="1"/>
  <c r="V12" i="657"/>
  <c r="G350" i="15" l="1"/>
  <c r="G349" i="15"/>
  <c r="G357" i="15" s="1"/>
  <c r="G342" i="15"/>
  <c r="G333" i="15"/>
  <c r="G234" i="15"/>
  <c r="G233" i="15"/>
  <c r="G227" i="15"/>
  <c r="G54" i="15"/>
  <c r="G52" i="15"/>
  <c r="G353" i="15"/>
  <c r="G352" i="15" l="1"/>
  <c r="T421" i="670"/>
  <c r="T420" i="670"/>
  <c r="T416" i="670"/>
  <c r="T415" i="670"/>
  <c r="T406" i="670"/>
  <c r="T405" i="670"/>
  <c r="T404" i="670"/>
  <c r="T396" i="670"/>
  <c r="T395" i="670"/>
  <c r="T394" i="670"/>
  <c r="T393" i="670"/>
  <c r="T392" i="670"/>
  <c r="T391" i="670"/>
  <c r="T390" i="670"/>
  <c r="T382" i="670"/>
  <c r="T383" i="670" s="1"/>
  <c r="T378" i="670"/>
  <c r="T377" i="670"/>
  <c r="T376" i="670"/>
  <c r="U367" i="670"/>
  <c r="G346" i="15"/>
  <c r="G347" i="15" s="1"/>
  <c r="G340" i="15"/>
  <c r="G358" i="15" s="1"/>
  <c r="G337" i="15"/>
  <c r="G338" i="15" s="1"/>
  <c r="G320" i="15"/>
  <c r="G319" i="15"/>
  <c r="G317" i="15"/>
  <c r="T488" i="670"/>
  <c r="G315" i="15"/>
  <c r="G314" i="15"/>
  <c r="G310" i="15"/>
  <c r="G308" i="15"/>
  <c r="T489" i="670"/>
  <c r="G306" i="15"/>
  <c r="G305" i="15"/>
  <c r="G297" i="15"/>
  <c r="G296" i="15"/>
  <c r="G292" i="15"/>
  <c r="G290" i="15"/>
  <c r="T483" i="670"/>
  <c r="G285" i="15"/>
  <c r="G281" i="15"/>
  <c r="T484" i="670"/>
  <c r="G278" i="15"/>
  <c r="G274" i="15"/>
  <c r="G272" i="15"/>
  <c r="G270" i="15"/>
  <c r="G269" i="15"/>
  <c r="G265" i="15"/>
  <c r="G263" i="15"/>
  <c r="T474" i="670"/>
  <c r="G261" i="15"/>
  <c r="G260" i="15"/>
  <c r="G256" i="15"/>
  <c r="T473" i="670"/>
  <c r="G252" i="15"/>
  <c r="G251" i="15"/>
  <c r="G247" i="15"/>
  <c r="G245" i="15"/>
  <c r="T472" i="670"/>
  <c r="G243" i="15"/>
  <c r="G238" i="15"/>
  <c r="G225" i="15"/>
  <c r="G222" i="15"/>
  <c r="G218" i="15"/>
  <c r="G211" i="15"/>
  <c r="G195" i="15"/>
  <c r="G193" i="15"/>
  <c r="G190" i="15"/>
  <c r="G188" i="15"/>
  <c r="G186" i="15"/>
  <c r="G184" i="15"/>
  <c r="T461" i="670"/>
  <c r="G181" i="15"/>
  <c r="G177" i="15"/>
  <c r="T464" i="670"/>
  <c r="G170" i="15"/>
  <c r="G168" i="15"/>
  <c r="G166" i="15"/>
  <c r="T463" i="670"/>
  <c r="G163" i="15"/>
  <c r="G159" i="15"/>
  <c r="T460" i="670"/>
  <c r="G154" i="15"/>
  <c r="G152" i="15"/>
  <c r="G150" i="15"/>
  <c r="G148" i="15"/>
  <c r="T462" i="670"/>
  <c r="G145" i="15"/>
  <c r="G141" i="15"/>
  <c r="T459" i="670"/>
  <c r="G136" i="15"/>
  <c r="G134" i="15"/>
  <c r="G132" i="15"/>
  <c r="G130" i="15"/>
  <c r="T458" i="670"/>
  <c r="G127" i="15"/>
  <c r="AB27" i="670"/>
  <c r="G123" i="15"/>
  <c r="G121" i="15"/>
  <c r="G118" i="15"/>
  <c r="G116" i="15"/>
  <c r="G114" i="15"/>
  <c r="G112" i="15"/>
  <c r="G109" i="15"/>
  <c r="G105" i="15"/>
  <c r="G103" i="15"/>
  <c r="T450" i="670"/>
  <c r="T451" i="670" s="1"/>
  <c r="G98" i="15"/>
  <c r="G94" i="15"/>
  <c r="G91" i="15"/>
  <c r="G87" i="15"/>
  <c r="G85" i="15"/>
  <c r="G82" i="15"/>
  <c r="G80" i="15"/>
  <c r="G78" i="15"/>
  <c r="G76" i="15"/>
  <c r="G73" i="15"/>
  <c r="G71" i="15"/>
  <c r="G67" i="15"/>
  <c r="T446" i="670"/>
  <c r="G64" i="15"/>
  <c r="G62" i="15"/>
  <c r="G60" i="15"/>
  <c r="AB59" i="670"/>
  <c r="AC58" i="670"/>
  <c r="X58" i="670"/>
  <c r="G58" i="15"/>
  <c r="AC57" i="670"/>
  <c r="AA57" i="670"/>
  <c r="X57" i="670"/>
  <c r="G55" i="15"/>
  <c r="Y53" i="670"/>
  <c r="X53" i="670"/>
  <c r="G53" i="15"/>
  <c r="Z52" i="670"/>
  <c r="X52" i="670"/>
  <c r="G51" i="15"/>
  <c r="T445" i="670"/>
  <c r="AA46" i="670"/>
  <c r="G46" i="15"/>
  <c r="AB44" i="670"/>
  <c r="G44" i="15"/>
  <c r="AC43" i="670"/>
  <c r="AA43" i="670"/>
  <c r="X43" i="670"/>
  <c r="AA42" i="670"/>
  <c r="X42" i="670"/>
  <c r="AA14" i="670"/>
  <c r="AA41" i="670"/>
  <c r="Y41" i="670"/>
  <c r="X41" i="670"/>
  <c r="G40" i="15"/>
  <c r="G37" i="15"/>
  <c r="G35" i="15"/>
  <c r="AC33" i="670"/>
  <c r="AA33" i="670"/>
  <c r="X33" i="670"/>
  <c r="AB32" i="670"/>
  <c r="X32" i="670"/>
  <c r="AC31" i="670"/>
  <c r="AB31" i="670"/>
  <c r="AA31" i="670"/>
  <c r="X31" i="670"/>
  <c r="G31" i="15"/>
  <c r="X30" i="670"/>
  <c r="AC29" i="670"/>
  <c r="AB29" i="670"/>
  <c r="AA29" i="670"/>
  <c r="Y29" i="670"/>
  <c r="X29" i="670"/>
  <c r="AC28" i="670"/>
  <c r="AA28" i="670"/>
  <c r="X28" i="670"/>
  <c r="G28" i="15"/>
  <c r="X27" i="670"/>
  <c r="G26" i="15"/>
  <c r="G22" i="15"/>
  <c r="AB19" i="670"/>
  <c r="AB20" i="670" s="1"/>
  <c r="Z19" i="670"/>
  <c r="Z20" i="670" s="1"/>
  <c r="Y19" i="670"/>
  <c r="Y20" i="670" s="1"/>
  <c r="X19" i="670"/>
  <c r="X20" i="670" s="1"/>
  <c r="G17" i="15"/>
  <c r="AC15" i="670"/>
  <c r="X15" i="670"/>
  <c r="Y14" i="670"/>
  <c r="X14" i="670"/>
  <c r="X13" i="670"/>
  <c r="X59" i="670" l="1"/>
  <c r="AC27" i="670"/>
  <c r="AA22" i="670"/>
  <c r="AD22" i="670" s="1"/>
  <c r="Y30" i="670"/>
  <c r="Y42" i="670"/>
  <c r="G354" i="15"/>
  <c r="X34" i="670"/>
  <c r="Z30" i="670"/>
  <c r="Z32" i="670"/>
  <c r="Z53" i="670"/>
  <c r="Z54" i="670" s="1"/>
  <c r="Z68" i="670" s="1"/>
  <c r="Y28" i="670"/>
  <c r="AB14" i="670"/>
  <c r="AA27" i="670"/>
  <c r="AC30" i="670"/>
  <c r="X54" i="670"/>
  <c r="X68" i="670" s="1"/>
  <c r="AA32" i="670"/>
  <c r="G329" i="15"/>
  <c r="AC14" i="670"/>
  <c r="AA53" i="670"/>
  <c r="AC59" i="670"/>
  <c r="X16" i="670"/>
  <c r="Z31" i="670"/>
  <c r="Y52" i="670"/>
  <c r="Y54" i="670" s="1"/>
  <c r="Y68" i="670" s="1"/>
  <c r="AC53" i="670"/>
  <c r="Z13" i="670"/>
  <c r="Y58" i="670"/>
  <c r="AB13" i="670"/>
  <c r="AB65" i="670" s="1"/>
  <c r="Z15" i="670"/>
  <c r="Z27" i="670"/>
  <c r="AB28" i="670"/>
  <c r="AD28" i="670" s="1"/>
  <c r="Y33" i="670"/>
  <c r="AC42" i="670"/>
  <c r="AD42" i="670" s="1"/>
  <c r="AB52" i="670"/>
  <c r="Z58" i="670"/>
  <c r="T465" i="670"/>
  <c r="AA15" i="670"/>
  <c r="AA47" i="670"/>
  <c r="AD47" i="670" s="1"/>
  <c r="AB15" i="670"/>
  <c r="AA30" i="670"/>
  <c r="AB33" i="670"/>
  <c r="AD33" i="670" s="1"/>
  <c r="Z41" i="670"/>
  <c r="Z43" i="670"/>
  <c r="Z57" i="670"/>
  <c r="T444" i="670"/>
  <c r="T447" i="670" s="1"/>
  <c r="G21" i="15"/>
  <c r="G38" i="15"/>
  <c r="G33" i="15"/>
  <c r="G47" i="15"/>
  <c r="G42" i="15"/>
  <c r="Z14" i="670"/>
  <c r="G49" i="15"/>
  <c r="G204" i="15" s="1"/>
  <c r="G322" i="15"/>
  <c r="G356" i="15"/>
  <c r="AC13" i="670"/>
  <c r="G19" i="15"/>
  <c r="G29" i="15"/>
  <c r="G24" i="15"/>
  <c r="G74" i="15"/>
  <c r="G69" i="15"/>
  <c r="G92" i="15"/>
  <c r="G89" i="15"/>
  <c r="AA19" i="670"/>
  <c r="G96" i="15"/>
  <c r="AC19" i="670"/>
  <c r="AC20" i="670" s="1"/>
  <c r="G100" i="15"/>
  <c r="G110" i="15"/>
  <c r="G107" i="15"/>
  <c r="G128" i="15"/>
  <c r="G125" i="15"/>
  <c r="Z28" i="670"/>
  <c r="G139" i="15"/>
  <c r="G146" i="15"/>
  <c r="G143" i="15"/>
  <c r="Z29" i="670"/>
  <c r="G157" i="15"/>
  <c r="G164" i="15"/>
  <c r="G161" i="15"/>
  <c r="AC32" i="670"/>
  <c r="G172" i="15"/>
  <c r="Z33" i="670"/>
  <c r="G175" i="15"/>
  <c r="G182" i="15"/>
  <c r="G179" i="15"/>
  <c r="AA23" i="670"/>
  <c r="AD23" i="670" s="1"/>
  <c r="G196" i="15"/>
  <c r="G228" i="15"/>
  <c r="G209" i="15"/>
  <c r="G230" i="15"/>
  <c r="G213" i="15"/>
  <c r="G235" i="15"/>
  <c r="G216" i="15"/>
  <c r="G223" i="15"/>
  <c r="G220" i="15"/>
  <c r="AC41" i="670"/>
  <c r="G242" i="15"/>
  <c r="Z42" i="670"/>
  <c r="G254" i="15"/>
  <c r="G330" i="15" s="1"/>
  <c r="G279" i="15"/>
  <c r="G276" i="15"/>
  <c r="G323" i="15" s="1"/>
  <c r="AA52" i="670"/>
  <c r="G283" i="15"/>
  <c r="AC52" i="670"/>
  <c r="G287" i="15"/>
  <c r="AA58" i="670"/>
  <c r="AD58" i="670" s="1"/>
  <c r="G301" i="15"/>
  <c r="T490" i="670"/>
  <c r="T428" i="670"/>
  <c r="Y15" i="670"/>
  <c r="Y27" i="670"/>
  <c r="AD29" i="670"/>
  <c r="AB30" i="670"/>
  <c r="Y31" i="670"/>
  <c r="AD31" i="670"/>
  <c r="Y32" i="670"/>
  <c r="Y43" i="670"/>
  <c r="AD43" i="670"/>
  <c r="AB53" i="670"/>
  <c r="Y57" i="670"/>
  <c r="G65" i="15"/>
  <c r="G83" i="15"/>
  <c r="G101" i="15"/>
  <c r="G119" i="15"/>
  <c r="G137" i="15"/>
  <c r="G155" i="15"/>
  <c r="G173" i="15"/>
  <c r="G288" i="15"/>
  <c r="T379" i="670"/>
  <c r="T397" i="670"/>
  <c r="T407" i="670"/>
  <c r="T417" i="670"/>
  <c r="T431" i="670" s="1"/>
  <c r="T422" i="670"/>
  <c r="Y13" i="670"/>
  <c r="AA13" i="670"/>
  <c r="AA44" i="670"/>
  <c r="AD46" i="670"/>
  <c r="G56" i="15"/>
  <c r="AD57" i="670"/>
  <c r="T485" i="670"/>
  <c r="T499" i="670" s="1"/>
  <c r="X65" i="670"/>
  <c r="X44" i="670"/>
  <c r="T475" i="670"/>
  <c r="G191" i="15"/>
  <c r="G214" i="15"/>
  <c r="AA20" i="670" l="1"/>
  <c r="AD27" i="670"/>
  <c r="T498" i="670"/>
  <c r="X36" i="670"/>
  <c r="X74" i="670" s="1"/>
  <c r="X69" i="670"/>
  <c r="X67" i="670"/>
  <c r="Z59" i="670"/>
  <c r="AD15" i="670"/>
  <c r="Z65" i="670"/>
  <c r="AA34" i="670"/>
  <c r="AC16" i="670"/>
  <c r="Y44" i="670"/>
  <c r="AA24" i="670"/>
  <c r="X64" i="670"/>
  <c r="AD48" i="670"/>
  <c r="Y16" i="670"/>
  <c r="AC44" i="670"/>
  <c r="T496" i="670"/>
  <c r="AA59" i="670"/>
  <c r="AD30" i="670"/>
  <c r="T399" i="670"/>
  <c r="T437" i="670" s="1"/>
  <c r="AD14" i="670"/>
  <c r="T424" i="670"/>
  <c r="T438" i="670" s="1"/>
  <c r="T467" i="670"/>
  <c r="T505" i="670" s="1"/>
  <c r="AB54" i="670"/>
  <c r="AB61" i="670" s="1"/>
  <c r="AB75" i="670" s="1"/>
  <c r="AD24" i="670"/>
  <c r="Z34" i="670"/>
  <c r="Z16" i="670"/>
  <c r="AD32" i="670"/>
  <c r="Y59" i="670"/>
  <c r="AC54" i="670"/>
  <c r="T500" i="670"/>
  <c r="AC34" i="670"/>
  <c r="AC69" i="670" s="1"/>
  <c r="AC65" i="670"/>
  <c r="T432" i="670"/>
  <c r="AA54" i="670"/>
  <c r="AA68" i="670" s="1"/>
  <c r="AB16" i="670"/>
  <c r="AB67" i="670" s="1"/>
  <c r="AD53" i="670"/>
  <c r="AD59" i="670"/>
  <c r="AD19" i="670"/>
  <c r="AD20" i="670" s="1"/>
  <c r="G206" i="15"/>
  <c r="G371" i="15" s="1"/>
  <c r="Z44" i="670"/>
  <c r="AD52" i="670"/>
  <c r="AB34" i="670"/>
  <c r="AB69" i="670" s="1"/>
  <c r="AA48" i="670"/>
  <c r="AD41" i="670"/>
  <c r="AD44" i="670" s="1"/>
  <c r="G328" i="15"/>
  <c r="G369" i="15" s="1"/>
  <c r="G200" i="15"/>
  <c r="T492" i="670"/>
  <c r="T506" i="670" s="1"/>
  <c r="T427" i="670"/>
  <c r="T495" i="670"/>
  <c r="G326" i="15"/>
  <c r="G199" i="15"/>
  <c r="Y34" i="670"/>
  <c r="Y69" i="670" s="1"/>
  <c r="G201" i="15"/>
  <c r="G205" i="15"/>
  <c r="G370" i="15" s="1"/>
  <c r="G202" i="15"/>
  <c r="G231" i="15"/>
  <c r="G229" i="15"/>
  <c r="G324" i="15"/>
  <c r="G364" i="15" s="1"/>
  <c r="G325" i="15"/>
  <c r="T430" i="670"/>
  <c r="Y65" i="670"/>
  <c r="X61" i="670"/>
  <c r="X75" i="670" s="1"/>
  <c r="AD13" i="670"/>
  <c r="AA16" i="670"/>
  <c r="AA65" i="670"/>
  <c r="Z61" i="670" l="1"/>
  <c r="Z75" i="670" s="1"/>
  <c r="G362" i="15"/>
  <c r="X77" i="670"/>
  <c r="X66" i="670" s="1"/>
  <c r="Z69" i="670"/>
  <c r="AD34" i="670"/>
  <c r="AD69" i="670" s="1"/>
  <c r="AD16" i="670"/>
  <c r="Z67" i="670"/>
  <c r="Y67" i="670"/>
  <c r="Y61" i="670"/>
  <c r="Y75" i="670" s="1"/>
  <c r="T508" i="670"/>
  <c r="T497" i="670" s="1"/>
  <c r="AC36" i="670"/>
  <c r="AC74" i="670" s="1"/>
  <c r="AA69" i="670"/>
  <c r="AC67" i="670"/>
  <c r="AA61" i="670"/>
  <c r="AA75" i="670" s="1"/>
  <c r="Z36" i="670"/>
  <c r="Z74" i="670" s="1"/>
  <c r="AC64" i="670"/>
  <c r="T440" i="670"/>
  <c r="T429" i="670" s="1"/>
  <c r="Y36" i="670"/>
  <c r="Y74" i="670" s="1"/>
  <c r="Y64" i="670"/>
  <c r="AB68" i="670"/>
  <c r="AD54" i="670"/>
  <c r="AD68" i="670" s="1"/>
  <c r="Z64" i="670"/>
  <c r="AB36" i="670"/>
  <c r="AB74" i="670" s="1"/>
  <c r="AB77" i="670" s="1"/>
  <c r="AB66" i="670" s="1"/>
  <c r="AB64" i="670"/>
  <c r="AC61" i="670"/>
  <c r="AC75" i="670" s="1"/>
  <c r="AC68" i="670"/>
  <c r="G363" i="15"/>
  <c r="G365" i="15"/>
  <c r="AA67" i="670"/>
  <c r="AA36" i="670"/>
  <c r="AA74" i="670" s="1"/>
  <c r="AA64" i="670"/>
  <c r="AD65" i="670"/>
  <c r="U330" i="670" l="1"/>
  <c r="AD36" i="670"/>
  <c r="AD74" i="670" s="1"/>
  <c r="AC77" i="670"/>
  <c r="AC80" i="670" s="1"/>
  <c r="AD67" i="670"/>
  <c r="Y77" i="670"/>
  <c r="T372" i="670" s="1"/>
  <c r="Z77" i="670"/>
  <c r="Z80" i="670" s="1"/>
  <c r="AD64" i="670"/>
  <c r="AA77" i="670"/>
  <c r="AA80" i="670" s="1"/>
  <c r="X80" i="670"/>
  <c r="U206" i="670"/>
  <c r="G11" i="15"/>
  <c r="AD61" i="670"/>
  <c r="AD75" i="670" s="1"/>
  <c r="AB80" i="670"/>
  <c r="G367" i="15"/>
  <c r="AC66" i="670" l="1"/>
  <c r="AD77" i="670"/>
  <c r="AD66" i="670" s="1"/>
  <c r="Y80" i="670"/>
  <c r="Y66" i="670"/>
  <c r="Z66" i="670"/>
  <c r="AA66" i="670"/>
  <c r="AD80" i="670" l="1"/>
  <c r="D13" i="52" l="1"/>
  <c r="G37" i="652" l="1"/>
  <c r="G41" i="652" s="1"/>
  <c r="AK262" i="650" l="1"/>
  <c r="AL260" i="4" l="1"/>
  <c r="AN260" i="4"/>
  <c r="AH81" i="647"/>
  <c r="AI81" i="647"/>
  <c r="AJ81" i="647"/>
  <c r="AK81" i="647"/>
  <c r="AL81" i="647"/>
  <c r="AM81" i="647"/>
  <c r="AN81" i="647"/>
  <c r="AO81" i="647"/>
  <c r="AP81" i="647"/>
  <c r="AQ81" i="647"/>
  <c r="AR81" i="647"/>
  <c r="X81" i="647"/>
  <c r="Y81" i="647"/>
  <c r="Z81" i="647"/>
  <c r="AA81" i="647"/>
  <c r="AB81" i="647"/>
  <c r="AC81" i="647"/>
  <c r="AD81" i="647"/>
  <c r="AE81" i="647"/>
  <c r="AF81" i="647"/>
  <c r="X143" i="647"/>
  <c r="Y143" i="647"/>
  <c r="Z143" i="647"/>
  <c r="AA143" i="647"/>
  <c r="AB143" i="647"/>
  <c r="AC143" i="647"/>
  <c r="AD143" i="647"/>
  <c r="AE143" i="647"/>
  <c r="AF143" i="647"/>
  <c r="AX163" i="650"/>
  <c r="AH163" i="650"/>
  <c r="I10" i="651" l="1"/>
  <c r="M10" i="651"/>
  <c r="N10" i="651"/>
  <c r="O10" i="651"/>
  <c r="P10" i="651"/>
  <c r="Q10" i="651"/>
  <c r="R10" i="651"/>
  <c r="I11" i="651"/>
  <c r="M11" i="651"/>
  <c r="N11" i="651"/>
  <c r="O11" i="651"/>
  <c r="P11" i="651"/>
  <c r="Q11" i="651"/>
  <c r="R11" i="651"/>
  <c r="N18" i="651"/>
  <c r="O18" i="651"/>
  <c r="P18" i="651"/>
  <c r="Q18" i="651"/>
  <c r="R18" i="651"/>
  <c r="N19" i="651"/>
  <c r="O19" i="651"/>
  <c r="P19" i="651"/>
  <c r="Q19" i="651"/>
  <c r="R19" i="651"/>
  <c r="N23" i="651"/>
  <c r="O23" i="651"/>
  <c r="P23" i="651"/>
  <c r="Q23" i="651"/>
  <c r="R23" i="651"/>
  <c r="N24" i="651"/>
  <c r="O24" i="651"/>
  <c r="P24" i="651"/>
  <c r="Q24" i="651"/>
  <c r="R24" i="651"/>
  <c r="N28" i="651"/>
  <c r="O28" i="651"/>
  <c r="P28" i="651"/>
  <c r="Q28" i="651"/>
  <c r="R28" i="651"/>
  <c r="N29" i="651"/>
  <c r="O29" i="651"/>
  <c r="P29" i="651"/>
  <c r="Q29" i="651"/>
  <c r="R29" i="651"/>
  <c r="N33" i="651"/>
  <c r="O33" i="651"/>
  <c r="P33" i="651"/>
  <c r="Q33" i="651"/>
  <c r="R33" i="651"/>
  <c r="N34" i="651"/>
  <c r="O34" i="651"/>
  <c r="P34" i="651"/>
  <c r="Q34" i="651"/>
  <c r="R34" i="651"/>
  <c r="N38" i="651"/>
  <c r="O38" i="651"/>
  <c r="P38" i="651"/>
  <c r="Q38" i="651"/>
  <c r="R38" i="651"/>
  <c r="N39" i="651"/>
  <c r="O39" i="651"/>
  <c r="P39" i="651"/>
  <c r="Q39" i="651"/>
  <c r="R39" i="651"/>
  <c r="N43" i="651"/>
  <c r="O43" i="651"/>
  <c r="P43" i="651"/>
  <c r="Q43" i="651"/>
  <c r="R43" i="651"/>
  <c r="N44" i="651"/>
  <c r="O44" i="651"/>
  <c r="P44" i="651"/>
  <c r="Q44" i="651"/>
  <c r="R44" i="651"/>
  <c r="N48" i="651"/>
  <c r="O48" i="651"/>
  <c r="P48" i="651"/>
  <c r="Q48" i="651"/>
  <c r="R48" i="651"/>
  <c r="N49" i="651"/>
  <c r="O49" i="651"/>
  <c r="P49" i="651"/>
  <c r="Q49" i="651"/>
  <c r="R49" i="651"/>
  <c r="N53" i="651"/>
  <c r="O53" i="651"/>
  <c r="P53" i="651"/>
  <c r="Q53" i="651"/>
  <c r="R53" i="651"/>
  <c r="N54" i="651"/>
  <c r="O54" i="651"/>
  <c r="P54" i="651"/>
  <c r="Q54" i="651"/>
  <c r="R54" i="651"/>
  <c r="N58" i="651"/>
  <c r="O58" i="651"/>
  <c r="P58" i="651"/>
  <c r="Q58" i="651"/>
  <c r="R58" i="651"/>
  <c r="N59" i="651"/>
  <c r="O59" i="651"/>
  <c r="P59" i="651"/>
  <c r="Q59" i="651"/>
  <c r="R59" i="651"/>
  <c r="N63" i="651"/>
  <c r="O63" i="651"/>
  <c r="P63" i="651"/>
  <c r="Q63" i="651"/>
  <c r="R63" i="651"/>
  <c r="N64" i="651"/>
  <c r="O64" i="651"/>
  <c r="P64" i="651"/>
  <c r="Q64" i="651"/>
  <c r="R64" i="651"/>
  <c r="N68" i="651"/>
  <c r="O68" i="651"/>
  <c r="P68" i="651"/>
  <c r="Q68" i="651"/>
  <c r="R68" i="651"/>
  <c r="N69" i="651"/>
  <c r="O69" i="651"/>
  <c r="P69" i="651"/>
  <c r="Q69" i="651"/>
  <c r="R69" i="651"/>
  <c r="N73" i="651"/>
  <c r="O73" i="651"/>
  <c r="P73" i="651"/>
  <c r="Q73" i="651"/>
  <c r="R73" i="651"/>
  <c r="N74" i="651"/>
  <c r="O74" i="651"/>
  <c r="P74" i="651"/>
  <c r="Q74" i="651"/>
  <c r="R74" i="651"/>
  <c r="N78" i="651"/>
  <c r="O78" i="651"/>
  <c r="P78" i="651"/>
  <c r="Q78" i="651"/>
  <c r="R78" i="651"/>
  <c r="N79" i="651"/>
  <c r="O79" i="651"/>
  <c r="P79" i="651"/>
  <c r="Q79" i="651"/>
  <c r="R79" i="651"/>
  <c r="N83" i="651"/>
  <c r="O83" i="651"/>
  <c r="P83" i="651"/>
  <c r="Q83" i="651"/>
  <c r="R83" i="651"/>
  <c r="N84" i="651"/>
  <c r="O84" i="651"/>
  <c r="P84" i="651"/>
  <c r="Q84" i="651"/>
  <c r="R84" i="651"/>
  <c r="N88" i="651"/>
  <c r="O88" i="651"/>
  <c r="P88" i="651"/>
  <c r="Q88" i="651"/>
  <c r="R88" i="651"/>
  <c r="N89" i="651"/>
  <c r="O89" i="651"/>
  <c r="P89" i="651"/>
  <c r="Q89" i="651"/>
  <c r="R89" i="651"/>
  <c r="N93" i="651"/>
  <c r="O93" i="651"/>
  <c r="P93" i="651"/>
  <c r="Q93" i="651"/>
  <c r="R93" i="651"/>
  <c r="N94" i="651"/>
  <c r="O94" i="651"/>
  <c r="P94" i="651"/>
  <c r="Q94" i="651"/>
  <c r="R94" i="651"/>
  <c r="N98" i="651"/>
  <c r="O98" i="651"/>
  <c r="P98" i="651"/>
  <c r="Q98" i="651"/>
  <c r="R98" i="651"/>
  <c r="N99" i="651"/>
  <c r="O99" i="651"/>
  <c r="P99" i="651"/>
  <c r="Q99" i="651"/>
  <c r="R99" i="651"/>
  <c r="N103" i="651"/>
  <c r="O103" i="651"/>
  <c r="P103" i="651"/>
  <c r="Q103" i="651"/>
  <c r="R103" i="651"/>
  <c r="N104" i="651"/>
  <c r="O104" i="651"/>
  <c r="P104" i="651"/>
  <c r="Q104" i="651"/>
  <c r="R104" i="651"/>
  <c r="N108" i="651"/>
  <c r="O108" i="651"/>
  <c r="P108" i="651"/>
  <c r="Q108" i="651"/>
  <c r="R108" i="651"/>
  <c r="N109" i="651"/>
  <c r="O109" i="651"/>
  <c r="P109" i="651"/>
  <c r="Q109" i="651"/>
  <c r="R109" i="651"/>
  <c r="N121" i="651"/>
  <c r="O121" i="651"/>
  <c r="P121" i="651"/>
  <c r="Q121" i="651"/>
  <c r="R121" i="651"/>
  <c r="N122" i="651"/>
  <c r="O122" i="651"/>
  <c r="P122" i="651"/>
  <c r="Q122" i="651"/>
  <c r="R122" i="651"/>
  <c r="N126" i="651"/>
  <c r="O126" i="651"/>
  <c r="P126" i="651"/>
  <c r="Q126" i="651"/>
  <c r="R126" i="651"/>
  <c r="N127" i="651"/>
  <c r="O127" i="651"/>
  <c r="P127" i="651"/>
  <c r="Q127" i="651"/>
  <c r="R127" i="651"/>
  <c r="N131" i="651"/>
  <c r="O131" i="651"/>
  <c r="P131" i="651"/>
  <c r="Q131" i="651"/>
  <c r="R131" i="651"/>
  <c r="N132" i="651"/>
  <c r="O132" i="651"/>
  <c r="P132" i="651"/>
  <c r="Q132" i="651"/>
  <c r="R132" i="651"/>
  <c r="N136" i="651"/>
  <c r="O136" i="651"/>
  <c r="P136" i="651"/>
  <c r="Q136" i="651"/>
  <c r="R136" i="651"/>
  <c r="N137" i="651"/>
  <c r="O137" i="651"/>
  <c r="P137" i="651"/>
  <c r="Q137" i="651"/>
  <c r="R137" i="651"/>
  <c r="N141" i="651"/>
  <c r="O141" i="651"/>
  <c r="P141" i="651"/>
  <c r="Q141" i="651"/>
  <c r="R141" i="651"/>
  <c r="N142" i="651"/>
  <c r="O142" i="651"/>
  <c r="P142" i="651"/>
  <c r="Q142" i="651"/>
  <c r="R142" i="651"/>
  <c r="N146" i="651"/>
  <c r="O146" i="651"/>
  <c r="P146" i="651"/>
  <c r="Q146" i="651"/>
  <c r="R146" i="651"/>
  <c r="N147" i="651"/>
  <c r="O147" i="651"/>
  <c r="P147" i="651"/>
  <c r="Q147" i="651"/>
  <c r="R147" i="651"/>
  <c r="N151" i="651"/>
  <c r="O151" i="651"/>
  <c r="P151" i="651"/>
  <c r="Q151" i="651"/>
  <c r="R151" i="651"/>
  <c r="N152" i="651"/>
  <c r="O152" i="651"/>
  <c r="P152" i="651"/>
  <c r="Q152" i="651"/>
  <c r="R152" i="651"/>
  <c r="N156" i="651"/>
  <c r="O156" i="651"/>
  <c r="P156" i="651"/>
  <c r="Q156" i="651"/>
  <c r="R156" i="651"/>
  <c r="N157" i="651"/>
  <c r="O157" i="651"/>
  <c r="P157" i="651"/>
  <c r="Q157" i="651"/>
  <c r="R157" i="651"/>
  <c r="N161" i="651"/>
  <c r="O161" i="651"/>
  <c r="P161" i="651"/>
  <c r="Q161" i="651"/>
  <c r="R161" i="651"/>
  <c r="N162" i="651"/>
  <c r="O162" i="651"/>
  <c r="P162" i="651"/>
  <c r="Q162" i="651"/>
  <c r="R162" i="651"/>
  <c r="N174" i="651"/>
  <c r="O174" i="651"/>
  <c r="P174" i="651"/>
  <c r="Q174" i="651"/>
  <c r="R174" i="651"/>
  <c r="N175" i="651"/>
  <c r="O175" i="651"/>
  <c r="P175" i="651"/>
  <c r="Q175" i="651"/>
  <c r="R175" i="651"/>
  <c r="N179" i="651"/>
  <c r="O179" i="651"/>
  <c r="P179" i="651"/>
  <c r="Q179" i="651"/>
  <c r="R179" i="651"/>
  <c r="N180" i="651"/>
  <c r="O180" i="651"/>
  <c r="P180" i="651"/>
  <c r="Q180" i="651"/>
  <c r="R180" i="651"/>
  <c r="N184" i="651"/>
  <c r="O184" i="651"/>
  <c r="P184" i="651"/>
  <c r="Q184" i="651"/>
  <c r="R184" i="651"/>
  <c r="N185" i="651"/>
  <c r="O185" i="651"/>
  <c r="P185" i="651"/>
  <c r="Q185" i="651"/>
  <c r="R185" i="651"/>
  <c r="N189" i="651"/>
  <c r="O189" i="651"/>
  <c r="P189" i="651"/>
  <c r="Q189" i="651"/>
  <c r="R189" i="651"/>
  <c r="N190" i="651"/>
  <c r="O190" i="651"/>
  <c r="P190" i="651"/>
  <c r="Q190" i="651"/>
  <c r="R190" i="651"/>
  <c r="N202" i="651"/>
  <c r="O202" i="651"/>
  <c r="P202" i="651"/>
  <c r="Q202" i="651"/>
  <c r="R202" i="651"/>
  <c r="N203" i="651"/>
  <c r="O203" i="651"/>
  <c r="P203" i="651"/>
  <c r="Q203" i="651"/>
  <c r="R203" i="651"/>
  <c r="N206" i="651"/>
  <c r="O206" i="651"/>
  <c r="P206" i="651"/>
  <c r="Q206" i="651"/>
  <c r="R206" i="651"/>
  <c r="N207" i="651"/>
  <c r="O207" i="651"/>
  <c r="P207" i="651"/>
  <c r="Q207" i="651"/>
  <c r="R207" i="651"/>
  <c r="N210" i="651"/>
  <c r="O210" i="651"/>
  <c r="P210" i="651"/>
  <c r="Q210" i="651"/>
  <c r="R210" i="651"/>
  <c r="N211" i="651"/>
  <c r="O211" i="651"/>
  <c r="P211" i="651"/>
  <c r="Q211" i="651"/>
  <c r="R211" i="651"/>
  <c r="N214" i="651"/>
  <c r="O214" i="651"/>
  <c r="P214" i="651"/>
  <c r="Q214" i="651"/>
  <c r="R214" i="651"/>
  <c r="N215" i="651"/>
  <c r="O215" i="651"/>
  <c r="P215" i="651"/>
  <c r="Q215" i="651"/>
  <c r="R215" i="651"/>
  <c r="N218" i="651"/>
  <c r="O218" i="651"/>
  <c r="P218" i="651"/>
  <c r="Q218" i="651"/>
  <c r="R218" i="651"/>
  <c r="N219" i="651"/>
  <c r="O219" i="651"/>
  <c r="P219" i="651"/>
  <c r="Q219" i="651"/>
  <c r="R219" i="651"/>
  <c r="O224" i="651"/>
  <c r="N230" i="651"/>
  <c r="O230" i="651"/>
  <c r="P230" i="651"/>
  <c r="Q230" i="651"/>
  <c r="R230" i="651"/>
  <c r="N231" i="651"/>
  <c r="O231" i="651"/>
  <c r="P231" i="651"/>
  <c r="Q231" i="651"/>
  <c r="R231" i="651"/>
  <c r="N234" i="651"/>
  <c r="O234" i="651"/>
  <c r="P234" i="651"/>
  <c r="Q234" i="651"/>
  <c r="R234" i="651"/>
  <c r="N235" i="651"/>
  <c r="O235" i="651"/>
  <c r="P235" i="651"/>
  <c r="Q235" i="651"/>
  <c r="R235" i="651"/>
  <c r="N238" i="651"/>
  <c r="O238" i="651"/>
  <c r="P238" i="651"/>
  <c r="Q238" i="651"/>
  <c r="R238" i="651"/>
  <c r="N239" i="651"/>
  <c r="O239" i="651"/>
  <c r="P239" i="651"/>
  <c r="Q239" i="651"/>
  <c r="R239" i="651"/>
  <c r="N242" i="651"/>
  <c r="O242" i="651"/>
  <c r="P242" i="651"/>
  <c r="Q242" i="651"/>
  <c r="R242" i="651"/>
  <c r="N243" i="651"/>
  <c r="O243" i="651"/>
  <c r="P243" i="651"/>
  <c r="Q243" i="651"/>
  <c r="R243" i="651"/>
  <c r="N246" i="651"/>
  <c r="O246" i="651"/>
  <c r="P246" i="651"/>
  <c r="Q246" i="651"/>
  <c r="R246" i="651"/>
  <c r="N247" i="651"/>
  <c r="O247" i="651"/>
  <c r="P247" i="651"/>
  <c r="Q247" i="651"/>
  <c r="R247" i="651"/>
  <c r="T277" i="6"/>
  <c r="AJ518" i="651"/>
  <c r="AK518" i="651"/>
  <c r="Z518" i="651"/>
  <c r="AL518" i="651" s="1"/>
  <c r="AA518" i="651"/>
  <c r="AM518" i="651" s="1"/>
  <c r="AB518" i="651"/>
  <c r="AN518" i="651" s="1"/>
  <c r="AC518" i="651"/>
  <c r="AO518" i="651" s="1"/>
  <c r="AD518" i="651"/>
  <c r="AE518" i="651"/>
  <c r="AQ518" i="651" s="1"/>
  <c r="AJ519" i="651"/>
  <c r="AK519" i="651"/>
  <c r="Z519" i="651"/>
  <c r="AL519" i="651" s="1"/>
  <c r="AA519" i="651"/>
  <c r="AM519" i="651" s="1"/>
  <c r="AB519" i="651"/>
  <c r="AN519" i="651" s="1"/>
  <c r="AC519" i="651"/>
  <c r="AO519" i="651" s="1"/>
  <c r="AD519" i="651"/>
  <c r="AP519" i="651" s="1"/>
  <c r="AE519" i="651"/>
  <c r="AQ519" i="651" s="1"/>
  <c r="AI526" i="651"/>
  <c r="AJ526" i="651"/>
  <c r="AK526" i="651"/>
  <c r="Z526" i="651"/>
  <c r="AL526" i="651" s="1"/>
  <c r="AA526" i="651"/>
  <c r="AM526" i="651" s="1"/>
  <c r="AB526" i="651"/>
  <c r="AN526" i="651" s="1"/>
  <c r="AC526" i="651"/>
  <c r="AO526" i="651" s="1"/>
  <c r="AD526" i="651"/>
  <c r="AP526" i="651" s="1"/>
  <c r="AE526" i="651"/>
  <c r="AQ526" i="651" s="1"/>
  <c r="AI527" i="651"/>
  <c r="AJ527" i="651"/>
  <c r="AK527" i="651"/>
  <c r="Z527" i="651"/>
  <c r="AL527" i="651" s="1"/>
  <c r="AA527" i="651"/>
  <c r="AM527" i="651" s="1"/>
  <c r="AB527" i="651"/>
  <c r="AN527" i="651" s="1"/>
  <c r="AC527" i="651"/>
  <c r="AO527" i="651" s="1"/>
  <c r="AD527" i="651"/>
  <c r="AP527" i="651" s="1"/>
  <c r="AE527" i="651"/>
  <c r="AQ527" i="651" s="1"/>
  <c r="AI531" i="651"/>
  <c r="AJ531" i="651"/>
  <c r="AK531" i="651"/>
  <c r="Z531" i="651"/>
  <c r="AL531" i="651" s="1"/>
  <c r="AA531" i="651"/>
  <c r="AM531" i="651" s="1"/>
  <c r="AB531" i="651"/>
  <c r="AN531" i="651" s="1"/>
  <c r="AC531" i="651"/>
  <c r="AO531" i="651" s="1"/>
  <c r="AD531" i="651"/>
  <c r="AP531" i="651" s="1"/>
  <c r="AE531" i="651"/>
  <c r="AQ531" i="651" s="1"/>
  <c r="AI532" i="651"/>
  <c r="AJ532" i="651"/>
  <c r="AK532" i="651"/>
  <c r="Z532" i="651"/>
  <c r="AL532" i="651" s="1"/>
  <c r="AA532" i="651"/>
  <c r="AM532" i="651" s="1"/>
  <c r="AB532" i="651"/>
  <c r="AN532" i="651" s="1"/>
  <c r="AC532" i="651"/>
  <c r="AO532" i="651" s="1"/>
  <c r="AD532" i="651"/>
  <c r="AP532" i="651" s="1"/>
  <c r="AE532" i="651"/>
  <c r="AQ532" i="651" s="1"/>
  <c r="AI536" i="651"/>
  <c r="AJ536" i="651"/>
  <c r="Z536" i="651"/>
  <c r="AL536" i="651" s="1"/>
  <c r="AA536" i="651"/>
  <c r="AM536" i="651" s="1"/>
  <c r="AB536" i="651"/>
  <c r="AN536" i="651" s="1"/>
  <c r="AC536" i="651"/>
  <c r="AO536" i="651" s="1"/>
  <c r="AD536" i="651"/>
  <c r="AP536" i="651" s="1"/>
  <c r="AE536" i="651"/>
  <c r="AQ536" i="651" s="1"/>
  <c r="AI537" i="651"/>
  <c r="AD537" i="651"/>
  <c r="AE537" i="651"/>
  <c r="AQ537" i="651" s="1"/>
  <c r="AI541" i="651"/>
  <c r="AJ541" i="651"/>
  <c r="AK541" i="651"/>
  <c r="Z541" i="651"/>
  <c r="AL541" i="651" s="1"/>
  <c r="AA541" i="651"/>
  <c r="AM541" i="651" s="1"/>
  <c r="AB541" i="651"/>
  <c r="AN541" i="651" s="1"/>
  <c r="AC541" i="651"/>
  <c r="AO541" i="651" s="1"/>
  <c r="AD541" i="651"/>
  <c r="AE541" i="651"/>
  <c r="AQ541" i="651" s="1"/>
  <c r="AI542" i="651"/>
  <c r="AJ542" i="651"/>
  <c r="AK542" i="651"/>
  <c r="Z542" i="651"/>
  <c r="AL542" i="651" s="1"/>
  <c r="AA542" i="651"/>
  <c r="AM542" i="651" s="1"/>
  <c r="AB542" i="651"/>
  <c r="AN542" i="651" s="1"/>
  <c r="AC542" i="651"/>
  <c r="AD542" i="651"/>
  <c r="AP542" i="651" s="1"/>
  <c r="AE542" i="651"/>
  <c r="AQ542" i="651" s="1"/>
  <c r="AI546" i="651"/>
  <c r="AJ546" i="651"/>
  <c r="AK546" i="651"/>
  <c r="Z546" i="651"/>
  <c r="AL546" i="651" s="1"/>
  <c r="AA546" i="651"/>
  <c r="AM546" i="651" s="1"/>
  <c r="AB546" i="651"/>
  <c r="AN546" i="651" s="1"/>
  <c r="AC546" i="651"/>
  <c r="AO546" i="651" s="1"/>
  <c r="AD546" i="651"/>
  <c r="AP546" i="651" s="1"/>
  <c r="AE546" i="651"/>
  <c r="AQ546" i="651" s="1"/>
  <c r="AI547" i="651"/>
  <c r="AJ547" i="651"/>
  <c r="AK547" i="651"/>
  <c r="Z547" i="651"/>
  <c r="AL547" i="651" s="1"/>
  <c r="AA547" i="651"/>
  <c r="AB547" i="651"/>
  <c r="AN547" i="651" s="1"/>
  <c r="AC547" i="651"/>
  <c r="AO547" i="651" s="1"/>
  <c r="AD547" i="651"/>
  <c r="AP547" i="651" s="1"/>
  <c r="AE547" i="651"/>
  <c r="AQ547" i="651" s="1"/>
  <c r="AI551" i="651"/>
  <c r="AJ551" i="651"/>
  <c r="AK551" i="651"/>
  <c r="Z551" i="651"/>
  <c r="AL551" i="651" s="1"/>
  <c r="AA551" i="651"/>
  <c r="AM551" i="651" s="1"/>
  <c r="AB551" i="651"/>
  <c r="AN551" i="651" s="1"/>
  <c r="AC551" i="651"/>
  <c r="AO551" i="651" s="1"/>
  <c r="AD551" i="651"/>
  <c r="AP551" i="651" s="1"/>
  <c r="AE551" i="651"/>
  <c r="AQ551" i="651" s="1"/>
  <c r="AI552" i="651"/>
  <c r="AJ552" i="651"/>
  <c r="AK552" i="651"/>
  <c r="Z552" i="651"/>
  <c r="AL552" i="651" s="1"/>
  <c r="AA552" i="651"/>
  <c r="AM552" i="651" s="1"/>
  <c r="AB552" i="651"/>
  <c r="AN552" i="651" s="1"/>
  <c r="AC552" i="651"/>
  <c r="AO552" i="651" s="1"/>
  <c r="AD552" i="651"/>
  <c r="AP552" i="651" s="1"/>
  <c r="AE552" i="651"/>
  <c r="AQ552" i="651" s="1"/>
  <c r="AI556" i="651"/>
  <c r="AK556" i="651"/>
  <c r="Z556" i="651"/>
  <c r="AL556" i="651" s="1"/>
  <c r="AA556" i="651"/>
  <c r="AM556" i="651" s="1"/>
  <c r="AB556" i="651"/>
  <c r="AN556" i="651" s="1"/>
  <c r="AC556" i="651"/>
  <c r="AO556" i="651" s="1"/>
  <c r="AD556" i="651"/>
  <c r="AP556" i="651" s="1"/>
  <c r="AE556" i="651"/>
  <c r="AQ556" i="651" s="1"/>
  <c r="AJ557" i="651"/>
  <c r="AK557" i="651"/>
  <c r="Z557" i="651"/>
  <c r="AL557" i="651" s="1"/>
  <c r="AA557" i="651"/>
  <c r="AM557" i="651" s="1"/>
  <c r="AB557" i="651"/>
  <c r="AN557" i="651" s="1"/>
  <c r="AC557" i="651"/>
  <c r="AO557" i="651" s="1"/>
  <c r="AD557" i="651"/>
  <c r="AP557" i="651" s="1"/>
  <c r="AE557" i="651"/>
  <c r="AQ557" i="651" s="1"/>
  <c r="AI561" i="651"/>
  <c r="AJ561" i="651"/>
  <c r="AK561" i="651"/>
  <c r="Z561" i="651"/>
  <c r="AL561" i="651" s="1"/>
  <c r="AA561" i="651"/>
  <c r="AM561" i="651" s="1"/>
  <c r="AB561" i="651"/>
  <c r="AN561" i="651" s="1"/>
  <c r="AC561" i="651"/>
  <c r="AO561" i="651" s="1"/>
  <c r="AD561" i="651"/>
  <c r="AP561" i="651" s="1"/>
  <c r="AE561" i="651"/>
  <c r="AQ561" i="651" s="1"/>
  <c r="AI562" i="651"/>
  <c r="AJ562" i="651"/>
  <c r="AK562" i="651"/>
  <c r="Z562" i="651"/>
  <c r="AL562" i="651" s="1"/>
  <c r="AA562" i="651"/>
  <c r="AM562" i="651" s="1"/>
  <c r="AB562" i="651"/>
  <c r="AN562" i="651" s="1"/>
  <c r="AC562" i="651"/>
  <c r="AO562" i="651" s="1"/>
  <c r="AD562" i="651"/>
  <c r="AP562" i="651" s="1"/>
  <c r="AE562" i="651"/>
  <c r="AQ562" i="651" s="1"/>
  <c r="AI566" i="651"/>
  <c r="AJ566" i="651"/>
  <c r="AK566" i="651"/>
  <c r="Z566" i="651"/>
  <c r="AL566" i="651" s="1"/>
  <c r="AA566" i="651"/>
  <c r="AM566" i="651" s="1"/>
  <c r="AB566" i="651"/>
  <c r="AN566" i="651" s="1"/>
  <c r="AC566" i="651"/>
  <c r="AO566" i="651" s="1"/>
  <c r="AD566" i="651"/>
  <c r="AP566" i="651" s="1"/>
  <c r="AE566" i="651"/>
  <c r="AQ566" i="651" s="1"/>
  <c r="AI567" i="651"/>
  <c r="AJ567" i="651"/>
  <c r="AK567" i="651"/>
  <c r="Z567" i="651"/>
  <c r="AL567" i="651" s="1"/>
  <c r="AA567" i="651"/>
  <c r="AM567" i="651" s="1"/>
  <c r="AB567" i="651"/>
  <c r="AN567" i="651" s="1"/>
  <c r="AC567" i="651"/>
  <c r="AO567" i="651" s="1"/>
  <c r="AD567" i="651"/>
  <c r="AP567" i="651" s="1"/>
  <c r="AE567" i="651"/>
  <c r="AQ567" i="651" s="1"/>
  <c r="AI571" i="651"/>
  <c r="AJ571" i="651"/>
  <c r="AK571" i="651"/>
  <c r="Z571" i="651"/>
  <c r="AA571" i="651"/>
  <c r="AB571" i="651"/>
  <c r="AN571" i="651" s="1"/>
  <c r="AC571" i="651"/>
  <c r="AO571" i="651" s="1"/>
  <c r="AD571" i="651"/>
  <c r="AP571" i="651" s="1"/>
  <c r="AE571" i="651"/>
  <c r="AQ571" i="651" s="1"/>
  <c r="AI572" i="651"/>
  <c r="AJ572" i="651"/>
  <c r="AK572" i="651"/>
  <c r="Z572" i="651"/>
  <c r="AL572" i="651" s="1"/>
  <c r="AA572" i="651"/>
  <c r="AM572" i="651" s="1"/>
  <c r="AB572" i="651"/>
  <c r="AN572" i="651" s="1"/>
  <c r="AC572" i="651"/>
  <c r="AO572" i="651" s="1"/>
  <c r="AD572" i="651"/>
  <c r="AP572" i="651" s="1"/>
  <c r="AE572" i="651"/>
  <c r="AQ572" i="651" s="1"/>
  <c r="AI576" i="651"/>
  <c r="AK576" i="651"/>
  <c r="Z576" i="651"/>
  <c r="AL576" i="651" s="1"/>
  <c r="AA576" i="651"/>
  <c r="AM576" i="651" s="1"/>
  <c r="AB576" i="651"/>
  <c r="AN576" i="651" s="1"/>
  <c r="AC576" i="651"/>
  <c r="AO576" i="651" s="1"/>
  <c r="AD576" i="651"/>
  <c r="AP576" i="651" s="1"/>
  <c r="AE576" i="651"/>
  <c r="AQ576" i="651" s="1"/>
  <c r="AJ577" i="651"/>
  <c r="AK577" i="651"/>
  <c r="Z577" i="651"/>
  <c r="AL577" i="651" s="1"/>
  <c r="AA577" i="651"/>
  <c r="AM577" i="651" s="1"/>
  <c r="AB577" i="651"/>
  <c r="AN577" i="651" s="1"/>
  <c r="AC577" i="651"/>
  <c r="AO577" i="651" s="1"/>
  <c r="AD577" i="651"/>
  <c r="AP577" i="651" s="1"/>
  <c r="AE577" i="651"/>
  <c r="AQ577" i="651" s="1"/>
  <c r="AI581" i="651"/>
  <c r="AJ581" i="651"/>
  <c r="AK581" i="651"/>
  <c r="Z581" i="651"/>
  <c r="AL581" i="651" s="1"/>
  <c r="AA581" i="651"/>
  <c r="AM581" i="651" s="1"/>
  <c r="AB581" i="651"/>
  <c r="AN581" i="651" s="1"/>
  <c r="AC581" i="651"/>
  <c r="AO581" i="651" s="1"/>
  <c r="AD581" i="651"/>
  <c r="AP581" i="651" s="1"/>
  <c r="AE581" i="651"/>
  <c r="AQ581" i="651" s="1"/>
  <c r="AI582" i="651"/>
  <c r="AJ582" i="651"/>
  <c r="AK582" i="651"/>
  <c r="Z582" i="651"/>
  <c r="AL582" i="651" s="1"/>
  <c r="AA582" i="651"/>
  <c r="AM582" i="651" s="1"/>
  <c r="AB582" i="651"/>
  <c r="AN582" i="651" s="1"/>
  <c r="AC582" i="651"/>
  <c r="AO582" i="651" s="1"/>
  <c r="AD582" i="651"/>
  <c r="AP582" i="651" s="1"/>
  <c r="AE582" i="651"/>
  <c r="AQ582" i="651" s="1"/>
  <c r="AI586" i="651"/>
  <c r="AJ586" i="651"/>
  <c r="AK586" i="651"/>
  <c r="Z586" i="651"/>
  <c r="AL586" i="651" s="1"/>
  <c r="AA586" i="651"/>
  <c r="AM586" i="651" s="1"/>
  <c r="AB586" i="651"/>
  <c r="AC586" i="651"/>
  <c r="AO586" i="651" s="1"/>
  <c r="AD586" i="651"/>
  <c r="AP586" i="651" s="1"/>
  <c r="AE586" i="651"/>
  <c r="AQ586" i="651" s="1"/>
  <c r="AI587" i="651"/>
  <c r="AJ587" i="651"/>
  <c r="AK587" i="651"/>
  <c r="Z587" i="651"/>
  <c r="AL587" i="651" s="1"/>
  <c r="AA587" i="651"/>
  <c r="AM587" i="651" s="1"/>
  <c r="AB587" i="651"/>
  <c r="AC587" i="651"/>
  <c r="AO587" i="651" s="1"/>
  <c r="AD587" i="651"/>
  <c r="AP587" i="651" s="1"/>
  <c r="AE587" i="651"/>
  <c r="AQ587" i="651" s="1"/>
  <c r="AI591" i="651"/>
  <c r="AJ591" i="651"/>
  <c r="AK591" i="651"/>
  <c r="Z591" i="651"/>
  <c r="AL591" i="651" s="1"/>
  <c r="AA591" i="651"/>
  <c r="AM591" i="651" s="1"/>
  <c r="AB591" i="651"/>
  <c r="AN591" i="651" s="1"/>
  <c r="AC591" i="651"/>
  <c r="AO591" i="651" s="1"/>
  <c r="AD591" i="651"/>
  <c r="AP591" i="651" s="1"/>
  <c r="AE591" i="651"/>
  <c r="AQ591" i="651" s="1"/>
  <c r="AI592" i="651"/>
  <c r="AJ592" i="651"/>
  <c r="Z592" i="651"/>
  <c r="AL592" i="651" s="1"/>
  <c r="AA592" i="651"/>
  <c r="AM592" i="651" s="1"/>
  <c r="AB592" i="651"/>
  <c r="AN592" i="651" s="1"/>
  <c r="AC592" i="651"/>
  <c r="AO592" i="651" s="1"/>
  <c r="AD592" i="651"/>
  <c r="AP592" i="651" s="1"/>
  <c r="AE592" i="651"/>
  <c r="AQ592" i="651" s="1"/>
  <c r="AJ596" i="651"/>
  <c r="AK596" i="651"/>
  <c r="Z596" i="651"/>
  <c r="AL596" i="651" s="1"/>
  <c r="AA596" i="651"/>
  <c r="AM596" i="651" s="1"/>
  <c r="AB596" i="651"/>
  <c r="AN596" i="651" s="1"/>
  <c r="AC596" i="651"/>
  <c r="AO596" i="651" s="1"/>
  <c r="AD596" i="651"/>
  <c r="AP596" i="651" s="1"/>
  <c r="AE596" i="651"/>
  <c r="AQ596" i="651" s="1"/>
  <c r="AI597" i="651"/>
  <c r="AJ597" i="651"/>
  <c r="AK597" i="651"/>
  <c r="Z597" i="651"/>
  <c r="AL597" i="651" s="1"/>
  <c r="AA597" i="651"/>
  <c r="AM597" i="651" s="1"/>
  <c r="AB597" i="651"/>
  <c r="AN597" i="651" s="1"/>
  <c r="AC597" i="651"/>
  <c r="AO597" i="651" s="1"/>
  <c r="AD597" i="651"/>
  <c r="AP597" i="651" s="1"/>
  <c r="AE597" i="651"/>
  <c r="AQ597" i="651" s="1"/>
  <c r="AI601" i="651"/>
  <c r="AJ601" i="651"/>
  <c r="AK601" i="651"/>
  <c r="Z601" i="651"/>
  <c r="AL601" i="651" s="1"/>
  <c r="AA601" i="651"/>
  <c r="AM601" i="651" s="1"/>
  <c r="AB601" i="651"/>
  <c r="AN601" i="651" s="1"/>
  <c r="AC601" i="651"/>
  <c r="AO601" i="651" s="1"/>
  <c r="AD601" i="651"/>
  <c r="AP601" i="651" s="1"/>
  <c r="AE601" i="651"/>
  <c r="AQ601" i="651" s="1"/>
  <c r="AI602" i="651"/>
  <c r="AJ602" i="651"/>
  <c r="Z602" i="651"/>
  <c r="AL602" i="651" s="1"/>
  <c r="AA602" i="651"/>
  <c r="AM602" i="651" s="1"/>
  <c r="AB602" i="651"/>
  <c r="AN602" i="651" s="1"/>
  <c r="AC602" i="651"/>
  <c r="AD602" i="651"/>
  <c r="AP602" i="651" s="1"/>
  <c r="AE602" i="651"/>
  <c r="AQ602" i="651" s="1"/>
  <c r="AI606" i="651"/>
  <c r="AJ606" i="651"/>
  <c r="AK606" i="651"/>
  <c r="Z606" i="651"/>
  <c r="AL606" i="651" s="1"/>
  <c r="AA606" i="651"/>
  <c r="AM606" i="651" s="1"/>
  <c r="AB606" i="651"/>
  <c r="AC606" i="651"/>
  <c r="AO606" i="651" s="1"/>
  <c r="AD606" i="651"/>
  <c r="AP606" i="651" s="1"/>
  <c r="AE606" i="651"/>
  <c r="AQ606" i="651" s="1"/>
  <c r="AI607" i="651"/>
  <c r="AJ607" i="651"/>
  <c r="Z607" i="651"/>
  <c r="AL607" i="651" s="1"/>
  <c r="AA607" i="651"/>
  <c r="AM607" i="651" s="1"/>
  <c r="AB607" i="651"/>
  <c r="AN607" i="651" s="1"/>
  <c r="AC607" i="651"/>
  <c r="AD607" i="651"/>
  <c r="AP607" i="651" s="1"/>
  <c r="AE607" i="651"/>
  <c r="AQ607" i="651" s="1"/>
  <c r="AI611" i="651"/>
  <c r="AJ611" i="651"/>
  <c r="AK611" i="651"/>
  <c r="Z611" i="651"/>
  <c r="AL611" i="651" s="1"/>
  <c r="AA611" i="651"/>
  <c r="AM611" i="651" s="1"/>
  <c r="AB611" i="651"/>
  <c r="AN611" i="651" s="1"/>
  <c r="AC611" i="651"/>
  <c r="AO611" i="651" s="1"/>
  <c r="AD611" i="651"/>
  <c r="AP611" i="651" s="1"/>
  <c r="AE611" i="651"/>
  <c r="AQ611" i="651" s="1"/>
  <c r="AI612" i="651"/>
  <c r="AJ612" i="651"/>
  <c r="Z612" i="651"/>
  <c r="AL612" i="651" s="1"/>
  <c r="AA612" i="651"/>
  <c r="AM612" i="651" s="1"/>
  <c r="AB612" i="651"/>
  <c r="AC612" i="651"/>
  <c r="AO612" i="651" s="1"/>
  <c r="AD612" i="651"/>
  <c r="AP612" i="651" s="1"/>
  <c r="AE612" i="651"/>
  <c r="AQ612" i="651" s="1"/>
  <c r="AI616" i="651"/>
  <c r="AJ616" i="651"/>
  <c r="AK616" i="651"/>
  <c r="Z616" i="651"/>
  <c r="AL616" i="651" s="1"/>
  <c r="AA616" i="651"/>
  <c r="AM616" i="651" s="1"/>
  <c r="AB616" i="651"/>
  <c r="AN616" i="651" s="1"/>
  <c r="AC616" i="651"/>
  <c r="AO616" i="651" s="1"/>
  <c r="AD616" i="651"/>
  <c r="AP616" i="651" s="1"/>
  <c r="AE616" i="651"/>
  <c r="AQ616" i="651" s="1"/>
  <c r="AJ617" i="651"/>
  <c r="AK617" i="651"/>
  <c r="Z617" i="651"/>
  <c r="AL617" i="651" s="1"/>
  <c r="AA617" i="651"/>
  <c r="AM617" i="651" s="1"/>
  <c r="AB617" i="651"/>
  <c r="AN617" i="651" s="1"/>
  <c r="AC617" i="651"/>
  <c r="AO617" i="651" s="1"/>
  <c r="AD617" i="651"/>
  <c r="AP617" i="651" s="1"/>
  <c r="AE617" i="651"/>
  <c r="AQ617" i="651" s="1"/>
  <c r="AI629" i="651"/>
  <c r="AJ629" i="651"/>
  <c r="AK629" i="651"/>
  <c r="Z629" i="651"/>
  <c r="AL629" i="651" s="1"/>
  <c r="AA629" i="651"/>
  <c r="AM629" i="651" s="1"/>
  <c r="AB629" i="651"/>
  <c r="AN629" i="651" s="1"/>
  <c r="AC629" i="651"/>
  <c r="AO629" i="651" s="1"/>
  <c r="AD629" i="651"/>
  <c r="AE629" i="651"/>
  <c r="AQ629" i="651" s="1"/>
  <c r="AI630" i="651"/>
  <c r="AJ630" i="651"/>
  <c r="AK630" i="651"/>
  <c r="Z630" i="651"/>
  <c r="AL630" i="651" s="1"/>
  <c r="AA630" i="651"/>
  <c r="AM630" i="651" s="1"/>
  <c r="AB630" i="651"/>
  <c r="AN630" i="651" s="1"/>
  <c r="AC630" i="651"/>
  <c r="AD630" i="651"/>
  <c r="AP630" i="651" s="1"/>
  <c r="AE630" i="651"/>
  <c r="AI634" i="651"/>
  <c r="AJ634" i="651"/>
  <c r="AK634" i="651"/>
  <c r="Z634" i="651"/>
  <c r="AL634" i="651" s="1"/>
  <c r="AA634" i="651"/>
  <c r="AM634" i="651" s="1"/>
  <c r="AB634" i="651"/>
  <c r="AN634" i="651" s="1"/>
  <c r="AC634" i="651"/>
  <c r="AO634" i="651" s="1"/>
  <c r="AD634" i="651"/>
  <c r="AP634" i="651" s="1"/>
  <c r="AE634" i="651"/>
  <c r="AQ634" i="651" s="1"/>
  <c r="AI635" i="651"/>
  <c r="AJ635" i="651"/>
  <c r="AK635" i="651"/>
  <c r="Z635" i="651"/>
  <c r="AL635" i="651" s="1"/>
  <c r="AA635" i="651"/>
  <c r="AM635" i="651" s="1"/>
  <c r="AB635" i="651"/>
  <c r="AN635" i="651" s="1"/>
  <c r="AC635" i="651"/>
  <c r="AD635" i="651"/>
  <c r="AP635" i="651" s="1"/>
  <c r="AE635" i="651"/>
  <c r="AQ635" i="651" s="1"/>
  <c r="AI639" i="651"/>
  <c r="AJ639" i="651"/>
  <c r="AK639" i="651"/>
  <c r="Z639" i="651"/>
  <c r="AA639" i="651"/>
  <c r="AM639" i="651" s="1"/>
  <c r="AB639" i="651"/>
  <c r="AN639" i="651" s="1"/>
  <c r="AC639" i="651"/>
  <c r="AO639" i="651" s="1"/>
  <c r="AD639" i="651"/>
  <c r="AP639" i="651" s="1"/>
  <c r="AE639" i="651"/>
  <c r="AQ639" i="651" s="1"/>
  <c r="AI640" i="651"/>
  <c r="AJ640" i="651"/>
  <c r="AK640" i="651"/>
  <c r="Z640" i="651"/>
  <c r="AL640" i="651" s="1"/>
  <c r="AA640" i="651"/>
  <c r="AM640" i="651" s="1"/>
  <c r="AB640" i="651"/>
  <c r="AN640" i="651" s="1"/>
  <c r="AC640" i="651"/>
  <c r="AO640" i="651" s="1"/>
  <c r="AD640" i="651"/>
  <c r="AP640" i="651" s="1"/>
  <c r="AE640" i="651"/>
  <c r="AQ640" i="651" s="1"/>
  <c r="AJ644" i="651"/>
  <c r="AK644" i="651"/>
  <c r="Z644" i="651"/>
  <c r="AL644" i="651" s="1"/>
  <c r="AA644" i="651"/>
  <c r="AM644" i="651" s="1"/>
  <c r="AB644" i="651"/>
  <c r="AN644" i="651" s="1"/>
  <c r="AC644" i="651"/>
  <c r="AO644" i="651" s="1"/>
  <c r="AD644" i="651"/>
  <c r="AP644" i="651" s="1"/>
  <c r="AE644" i="651"/>
  <c r="AQ644" i="651" s="1"/>
  <c r="AI645" i="651"/>
  <c r="AJ645" i="651"/>
  <c r="AK645" i="651"/>
  <c r="Z645" i="651"/>
  <c r="AL645" i="651" s="1"/>
  <c r="AA645" i="651"/>
  <c r="AM645" i="651" s="1"/>
  <c r="AB645" i="651"/>
  <c r="AN645" i="651" s="1"/>
  <c r="AC645" i="651"/>
  <c r="AO645" i="651" s="1"/>
  <c r="AD645" i="651"/>
  <c r="AP645" i="651" s="1"/>
  <c r="AE645" i="651"/>
  <c r="AQ645" i="651" s="1"/>
  <c r="AI649" i="651"/>
  <c r="AJ649" i="651"/>
  <c r="AK649" i="651"/>
  <c r="Z649" i="651"/>
  <c r="AL649" i="651" s="1"/>
  <c r="AA649" i="651"/>
  <c r="AM649" i="651" s="1"/>
  <c r="AB649" i="651"/>
  <c r="AN649" i="651" s="1"/>
  <c r="AC649" i="651"/>
  <c r="AO649" i="651" s="1"/>
  <c r="AD649" i="651"/>
  <c r="AP649" i="651" s="1"/>
  <c r="AE649" i="651"/>
  <c r="AQ649" i="651" s="1"/>
  <c r="AI650" i="651"/>
  <c r="AJ650" i="651"/>
  <c r="AK650" i="651"/>
  <c r="Z650" i="651"/>
  <c r="AL650" i="651" s="1"/>
  <c r="AA650" i="651"/>
  <c r="AM650" i="651" s="1"/>
  <c r="AB650" i="651"/>
  <c r="AN650" i="651" s="1"/>
  <c r="AC650" i="651"/>
  <c r="AO650" i="651" s="1"/>
  <c r="AD650" i="651"/>
  <c r="AP650" i="651" s="1"/>
  <c r="AE650" i="651"/>
  <c r="AQ650" i="651" s="1"/>
  <c r="AM661" i="651"/>
  <c r="AJ669" i="651"/>
  <c r="AK669" i="651"/>
  <c r="Z669" i="651"/>
  <c r="AL669" i="651" s="1"/>
  <c r="AA669" i="651"/>
  <c r="AM669" i="651" s="1"/>
  <c r="AB669" i="651"/>
  <c r="AN669" i="651" s="1"/>
  <c r="AC669" i="651"/>
  <c r="AO669" i="651" s="1"/>
  <c r="AD669" i="651"/>
  <c r="AP669" i="651" s="1"/>
  <c r="AE669" i="651"/>
  <c r="AQ669" i="651" s="1"/>
  <c r="AI670" i="651"/>
  <c r="AJ670" i="651"/>
  <c r="AK670" i="651"/>
  <c r="Z670" i="651"/>
  <c r="AL670" i="651" s="1"/>
  <c r="AA670" i="651"/>
  <c r="AM670" i="651" s="1"/>
  <c r="AB670" i="651"/>
  <c r="AN670" i="651" s="1"/>
  <c r="AC670" i="651"/>
  <c r="AO670" i="651" s="1"/>
  <c r="AD670" i="651"/>
  <c r="AP670" i="651" s="1"/>
  <c r="AE670" i="651"/>
  <c r="AQ670" i="651" s="1"/>
  <c r="AI682" i="651"/>
  <c r="AJ682" i="651"/>
  <c r="AK682" i="651"/>
  <c r="Z682" i="651"/>
  <c r="AL682" i="651" s="1"/>
  <c r="AA682" i="651"/>
  <c r="AM682" i="651" s="1"/>
  <c r="AB682" i="651"/>
  <c r="AN682" i="651" s="1"/>
  <c r="AC682" i="651"/>
  <c r="AO682" i="651" s="1"/>
  <c r="AD682" i="651"/>
  <c r="AP682" i="651" s="1"/>
  <c r="AE682" i="651"/>
  <c r="AQ682" i="651" s="1"/>
  <c r="AI683" i="651"/>
  <c r="AJ683" i="651"/>
  <c r="AK683" i="651"/>
  <c r="Z683" i="651"/>
  <c r="AL683" i="651" s="1"/>
  <c r="AA683" i="651"/>
  <c r="AM683" i="651" s="1"/>
  <c r="AB683" i="651"/>
  <c r="AN683" i="651" s="1"/>
  <c r="AC683" i="651"/>
  <c r="AO683" i="651" s="1"/>
  <c r="AD683" i="651"/>
  <c r="AP683" i="651" s="1"/>
  <c r="AE683" i="651"/>
  <c r="AQ683" i="651" s="1"/>
  <c r="AI687" i="651"/>
  <c r="AJ687" i="651"/>
  <c r="AK687" i="651"/>
  <c r="Z687" i="651"/>
  <c r="AL687" i="651" s="1"/>
  <c r="AA687" i="651"/>
  <c r="AM687" i="651" s="1"/>
  <c r="AB687" i="651"/>
  <c r="AN687" i="651" s="1"/>
  <c r="AC687" i="651"/>
  <c r="AO687" i="651" s="1"/>
  <c r="AD687" i="651"/>
  <c r="AP687" i="651" s="1"/>
  <c r="AE687" i="651"/>
  <c r="AQ687" i="651" s="1"/>
  <c r="AI688" i="651"/>
  <c r="AJ688" i="651"/>
  <c r="AK688" i="651"/>
  <c r="Z688" i="651"/>
  <c r="AA688" i="651"/>
  <c r="AM688" i="651" s="1"/>
  <c r="AB688" i="651"/>
  <c r="AN688" i="651" s="1"/>
  <c r="AC688" i="651"/>
  <c r="AO688" i="651" s="1"/>
  <c r="AD688" i="651"/>
  <c r="AE688" i="651"/>
  <c r="AQ688" i="651" s="1"/>
  <c r="AJ692" i="651"/>
  <c r="AK692" i="651"/>
  <c r="Z692" i="651"/>
  <c r="AL692" i="651" s="1"/>
  <c r="AA692" i="651"/>
  <c r="AM692" i="651" s="1"/>
  <c r="AB692" i="651"/>
  <c r="AN692" i="651" s="1"/>
  <c r="AC692" i="651"/>
  <c r="AO692" i="651" s="1"/>
  <c r="AD692" i="651"/>
  <c r="AP692" i="651" s="1"/>
  <c r="AE692" i="651"/>
  <c r="AQ692" i="651" s="1"/>
  <c r="AI693" i="651"/>
  <c r="AJ693" i="651"/>
  <c r="AK693" i="651"/>
  <c r="Z693" i="651"/>
  <c r="AA693" i="651"/>
  <c r="AM693" i="651" s="1"/>
  <c r="AB693" i="651"/>
  <c r="AN693" i="651" s="1"/>
  <c r="AC693" i="651"/>
  <c r="AO693" i="651" s="1"/>
  <c r="AD693" i="651"/>
  <c r="AE693" i="651"/>
  <c r="AQ693" i="651" s="1"/>
  <c r="AI697" i="651"/>
  <c r="AJ697" i="651"/>
  <c r="AK697" i="651"/>
  <c r="Z697" i="651"/>
  <c r="AL697" i="651" s="1"/>
  <c r="AA697" i="651"/>
  <c r="AM697" i="651" s="1"/>
  <c r="AB697" i="651"/>
  <c r="AN697" i="651" s="1"/>
  <c r="AC697" i="651"/>
  <c r="AO697" i="651" s="1"/>
  <c r="AD697" i="651"/>
  <c r="AP697" i="651" s="1"/>
  <c r="AE697" i="651"/>
  <c r="AQ697" i="651" s="1"/>
  <c r="AI698" i="651"/>
  <c r="AJ698" i="651"/>
  <c r="AK698" i="651"/>
  <c r="Z698" i="651"/>
  <c r="AL698" i="651" s="1"/>
  <c r="AA698" i="651"/>
  <c r="AM698" i="651" s="1"/>
  <c r="AB698" i="651"/>
  <c r="AN698" i="651" s="1"/>
  <c r="AC698" i="651"/>
  <c r="AD698" i="651"/>
  <c r="AP698" i="651" s="1"/>
  <c r="AE698" i="651"/>
  <c r="AQ698" i="651" s="1"/>
  <c r="AI710" i="651"/>
  <c r="AJ710" i="651"/>
  <c r="Z710" i="651"/>
  <c r="AL710" i="651" s="1"/>
  <c r="AA710" i="651"/>
  <c r="AM710" i="651" s="1"/>
  <c r="AB710" i="651"/>
  <c r="AN710" i="651" s="1"/>
  <c r="AC710" i="651"/>
  <c r="AD710" i="651"/>
  <c r="AP710" i="651" s="1"/>
  <c r="AE710" i="651"/>
  <c r="AQ710" i="651" s="1"/>
  <c r="AI711" i="651"/>
  <c r="AK711" i="651"/>
  <c r="Z711" i="651"/>
  <c r="AA711" i="651"/>
  <c r="AB711" i="651"/>
  <c r="AC711" i="651"/>
  <c r="AO711" i="651" s="1"/>
  <c r="AD711" i="651"/>
  <c r="AE711" i="651"/>
  <c r="AQ711" i="651" s="1"/>
  <c r="AJ714" i="651"/>
  <c r="AK714" i="651"/>
  <c r="Z714" i="651"/>
  <c r="AA714" i="651"/>
  <c r="AM714" i="651" s="1"/>
  <c r="AB714" i="651"/>
  <c r="AN714" i="651" s="1"/>
  <c r="AC714" i="651"/>
  <c r="AO714" i="651" s="1"/>
  <c r="AD714" i="651"/>
  <c r="AP714" i="651" s="1"/>
  <c r="AE714" i="651"/>
  <c r="AQ714" i="651" s="1"/>
  <c r="AI715" i="651"/>
  <c r="AK715" i="651"/>
  <c r="Z715" i="651"/>
  <c r="AL715" i="651" s="1"/>
  <c r="AA715" i="651"/>
  <c r="AM715" i="651" s="1"/>
  <c r="AB715" i="651"/>
  <c r="AC715" i="651"/>
  <c r="AO715" i="651" s="1"/>
  <c r="AD715" i="651"/>
  <c r="AP715" i="651" s="1"/>
  <c r="AE715" i="651"/>
  <c r="AQ715" i="651" s="1"/>
  <c r="AJ718" i="651"/>
  <c r="AK718" i="651"/>
  <c r="Z718" i="651"/>
  <c r="AL718" i="651" s="1"/>
  <c r="AA718" i="651"/>
  <c r="AM718" i="651" s="1"/>
  <c r="AB718" i="651"/>
  <c r="AN718" i="651" s="1"/>
  <c r="AC718" i="651"/>
  <c r="AO718" i="651" s="1"/>
  <c r="AD718" i="651"/>
  <c r="AP718" i="651" s="1"/>
  <c r="AE718" i="651"/>
  <c r="AQ718" i="651" s="1"/>
  <c r="AJ719" i="651"/>
  <c r="AK719" i="651"/>
  <c r="Z719" i="651"/>
  <c r="AL719" i="651" s="1"/>
  <c r="AA719" i="651"/>
  <c r="AM719" i="651" s="1"/>
  <c r="AB719" i="651"/>
  <c r="AN719" i="651" s="1"/>
  <c r="AC719" i="651"/>
  <c r="AO719" i="651" s="1"/>
  <c r="AD719" i="651"/>
  <c r="AP719" i="651" s="1"/>
  <c r="AE719" i="651"/>
  <c r="AQ719" i="651" s="1"/>
  <c r="AI722" i="651"/>
  <c r="AJ722" i="651"/>
  <c r="AK722" i="651"/>
  <c r="Z722" i="651"/>
  <c r="AL722" i="651" s="1"/>
  <c r="AA722" i="651"/>
  <c r="AM722" i="651" s="1"/>
  <c r="AB722" i="651"/>
  <c r="AN722" i="651" s="1"/>
  <c r="AC722" i="651"/>
  <c r="AO722" i="651" s="1"/>
  <c r="AD722" i="651"/>
  <c r="AP722" i="651" s="1"/>
  <c r="AE722" i="651"/>
  <c r="AQ722" i="651" s="1"/>
  <c r="AI723" i="651"/>
  <c r="AJ723" i="651"/>
  <c r="AK723" i="651"/>
  <c r="Z723" i="651"/>
  <c r="AL723" i="651" s="1"/>
  <c r="AA723" i="651"/>
  <c r="AM723" i="651" s="1"/>
  <c r="AB723" i="651"/>
  <c r="AN723" i="651" s="1"/>
  <c r="AC723" i="651"/>
  <c r="AO723" i="651" s="1"/>
  <c r="AD723" i="651"/>
  <c r="AP723" i="651" s="1"/>
  <c r="AE723" i="651"/>
  <c r="AQ723" i="651" s="1"/>
  <c r="AI726" i="651"/>
  <c r="AJ726" i="651"/>
  <c r="AK726" i="651"/>
  <c r="Z726" i="651"/>
  <c r="AL726" i="651" s="1"/>
  <c r="AA726" i="651"/>
  <c r="AM726" i="651" s="1"/>
  <c r="AB726" i="651"/>
  <c r="AC726" i="651"/>
  <c r="AO726" i="651" s="1"/>
  <c r="AD726" i="651"/>
  <c r="AP726" i="651" s="1"/>
  <c r="AE726" i="651"/>
  <c r="AQ726" i="651" s="1"/>
  <c r="AI727" i="651"/>
  <c r="AJ727" i="651"/>
  <c r="AK727" i="651"/>
  <c r="Z727" i="651"/>
  <c r="AL727" i="651" s="1"/>
  <c r="AA727" i="651"/>
  <c r="AB727" i="651"/>
  <c r="AN727" i="651" s="1"/>
  <c r="AC727" i="651"/>
  <c r="AO727" i="651" s="1"/>
  <c r="AD727" i="651"/>
  <c r="AP727" i="651" s="1"/>
  <c r="AE727" i="651"/>
  <c r="AQ727" i="651" s="1"/>
  <c r="AI730" i="651"/>
  <c r="AJ730" i="651"/>
  <c r="AK730" i="651"/>
  <c r="Z730" i="651"/>
  <c r="AL730" i="651" s="1"/>
  <c r="AA730" i="651"/>
  <c r="AM730" i="651" s="1"/>
  <c r="AB730" i="651"/>
  <c r="AN730" i="651" s="1"/>
  <c r="AC730" i="651"/>
  <c r="AO730" i="651" s="1"/>
  <c r="AD730" i="651"/>
  <c r="AP730" i="651" s="1"/>
  <c r="AE730" i="651"/>
  <c r="AQ730" i="651" s="1"/>
  <c r="AI731" i="651"/>
  <c r="AJ731" i="651"/>
  <c r="Z731" i="651"/>
  <c r="AL731" i="651" s="1"/>
  <c r="AA731" i="651"/>
  <c r="AM731" i="651" s="1"/>
  <c r="AB731" i="651"/>
  <c r="AN731" i="651" s="1"/>
  <c r="AC731" i="651"/>
  <c r="AO731" i="651" s="1"/>
  <c r="AD731" i="651"/>
  <c r="AE731" i="651"/>
  <c r="AQ731" i="651" s="1"/>
  <c r="AI734" i="651"/>
  <c r="AJ734" i="651"/>
  <c r="AK734" i="651"/>
  <c r="Z734" i="651"/>
  <c r="AL734" i="651" s="1"/>
  <c r="AA734" i="651"/>
  <c r="AM734" i="651" s="1"/>
  <c r="AB734" i="651"/>
  <c r="AN734" i="651" s="1"/>
  <c r="AC734" i="651"/>
  <c r="AO734" i="651" s="1"/>
  <c r="AD734" i="651"/>
  <c r="AP734" i="651" s="1"/>
  <c r="AE734" i="651"/>
  <c r="AQ734" i="651" s="1"/>
  <c r="AJ735" i="651"/>
  <c r="AK735" i="651"/>
  <c r="Z735" i="651"/>
  <c r="AL735" i="651" s="1"/>
  <c r="AA735" i="651"/>
  <c r="AM735" i="651" s="1"/>
  <c r="AB735" i="651"/>
  <c r="AN735" i="651" s="1"/>
  <c r="AC735" i="651"/>
  <c r="AO735" i="651" s="1"/>
  <c r="AD735" i="651"/>
  <c r="AP735" i="651" s="1"/>
  <c r="AE735" i="651"/>
  <c r="AQ735" i="651" s="1"/>
  <c r="AI738" i="651"/>
  <c r="AJ738" i="651"/>
  <c r="AK738" i="651"/>
  <c r="Z738" i="651"/>
  <c r="AL738" i="651" s="1"/>
  <c r="AA738" i="651"/>
  <c r="AM738" i="651" s="1"/>
  <c r="AB738" i="651"/>
  <c r="AN738" i="651" s="1"/>
  <c r="AC738" i="651"/>
  <c r="AO738" i="651" s="1"/>
  <c r="AD738" i="651"/>
  <c r="AE738" i="651"/>
  <c r="AQ738" i="651" s="1"/>
  <c r="AI739" i="651"/>
  <c r="AJ739" i="651"/>
  <c r="AK739" i="651"/>
  <c r="Z739" i="651"/>
  <c r="AL739" i="651" s="1"/>
  <c r="AA739" i="651"/>
  <c r="AM739" i="651" s="1"/>
  <c r="AB739" i="651"/>
  <c r="AN739" i="651" s="1"/>
  <c r="AC739" i="651"/>
  <c r="AD739" i="651"/>
  <c r="AP739" i="651" s="1"/>
  <c r="AE739" i="651"/>
  <c r="AQ739" i="651" s="1"/>
  <c r="AI742" i="651"/>
  <c r="AJ742" i="651"/>
  <c r="AK742" i="651"/>
  <c r="Z742" i="651"/>
  <c r="AL742" i="651" s="1"/>
  <c r="AA742" i="651"/>
  <c r="AM742" i="651" s="1"/>
  <c r="AB742" i="651"/>
  <c r="AC742" i="651"/>
  <c r="AO742" i="651" s="1"/>
  <c r="AD742" i="651"/>
  <c r="AP742" i="651" s="1"/>
  <c r="AE742" i="651"/>
  <c r="AQ742" i="651" s="1"/>
  <c r="AI743" i="651"/>
  <c r="AJ743" i="651"/>
  <c r="AK743" i="651"/>
  <c r="Z743" i="651"/>
  <c r="AA743" i="651"/>
  <c r="AB743" i="651"/>
  <c r="AN743" i="651" s="1"/>
  <c r="AC743" i="651"/>
  <c r="AO743" i="651" s="1"/>
  <c r="AD743" i="651"/>
  <c r="AE743" i="651"/>
  <c r="AQ743" i="651" s="1"/>
  <c r="AI746" i="651"/>
  <c r="AJ746" i="651"/>
  <c r="AK746" i="651"/>
  <c r="Z746" i="651"/>
  <c r="AL746" i="651" s="1"/>
  <c r="AA746" i="651"/>
  <c r="AM746" i="651" s="1"/>
  <c r="AB746" i="651"/>
  <c r="AN746" i="651" s="1"/>
  <c r="AC746" i="651"/>
  <c r="AO746" i="651" s="1"/>
  <c r="AD746" i="651"/>
  <c r="AP746" i="651" s="1"/>
  <c r="AE746" i="651"/>
  <c r="AQ746" i="651" s="1"/>
  <c r="AI747" i="651"/>
  <c r="AJ747" i="651"/>
  <c r="Z747" i="651"/>
  <c r="AL747" i="651" s="1"/>
  <c r="AA747" i="651"/>
  <c r="AM747" i="651" s="1"/>
  <c r="AB747" i="651"/>
  <c r="AC747" i="651"/>
  <c r="AO747" i="651" s="1"/>
  <c r="AD747" i="651"/>
  <c r="AP747" i="651" s="1"/>
  <c r="AE747" i="651"/>
  <c r="AQ747" i="651" s="1"/>
  <c r="AI750" i="651"/>
  <c r="AJ750" i="651"/>
  <c r="Z750" i="651"/>
  <c r="AL750" i="651" s="1"/>
  <c r="AA750" i="651"/>
  <c r="AM750" i="651" s="1"/>
  <c r="AB750" i="651"/>
  <c r="AN750" i="651" s="1"/>
  <c r="AC750" i="651"/>
  <c r="AO750" i="651" s="1"/>
  <c r="AD750" i="651"/>
  <c r="AP750" i="651" s="1"/>
  <c r="AE750" i="651"/>
  <c r="AQ750" i="651" s="1"/>
  <c r="AI751" i="651"/>
  <c r="AJ751" i="651"/>
  <c r="AK751" i="651"/>
  <c r="Z751" i="651"/>
  <c r="AA751" i="651"/>
  <c r="AM751" i="651" s="1"/>
  <c r="AB751" i="651"/>
  <c r="AN751" i="651" s="1"/>
  <c r="AC751" i="651"/>
  <c r="AO751" i="651" s="1"/>
  <c r="AD751" i="651"/>
  <c r="AE751" i="651"/>
  <c r="AQ751" i="651" s="1"/>
  <c r="AI754" i="651"/>
  <c r="AJ754" i="651"/>
  <c r="AK754" i="651"/>
  <c r="Z754" i="651"/>
  <c r="AL754" i="651" s="1"/>
  <c r="AA754" i="651"/>
  <c r="AM754" i="651" s="1"/>
  <c r="AB754" i="651"/>
  <c r="AN754" i="651" s="1"/>
  <c r="AC754" i="651"/>
  <c r="AO754" i="651" s="1"/>
  <c r="AD754" i="651"/>
  <c r="AP754" i="651" s="1"/>
  <c r="AE754" i="651"/>
  <c r="AQ754" i="651" s="1"/>
  <c r="AI755" i="651"/>
  <c r="AJ755" i="651"/>
  <c r="AK755" i="651"/>
  <c r="Z755" i="651"/>
  <c r="AL755" i="651" s="1"/>
  <c r="AA755" i="651"/>
  <c r="AM755" i="651" s="1"/>
  <c r="AB755" i="651"/>
  <c r="AN755" i="651" s="1"/>
  <c r="AC755" i="651"/>
  <c r="AO755" i="651" s="1"/>
  <c r="AD755" i="651"/>
  <c r="AP755" i="651" s="1"/>
  <c r="AE755" i="651"/>
  <c r="AQ755" i="651" s="1"/>
  <c r="E20" i="647"/>
  <c r="E26" i="647" s="1"/>
  <c r="D24" i="647"/>
  <c r="R258" i="650"/>
  <c r="U258" i="650" s="1"/>
  <c r="L258" i="650"/>
  <c r="F1207" i="6"/>
  <c r="I257" i="650"/>
  <c r="AI254" i="4"/>
  <c r="H256" i="650"/>
  <c r="D35" i="648"/>
  <c r="H255" i="650"/>
  <c r="R251" i="650"/>
  <c r="U251" i="650" s="1"/>
  <c r="N250" i="650"/>
  <c r="AI247" i="4"/>
  <c r="AI246" i="4"/>
  <c r="O248" i="650"/>
  <c r="AI242" i="4"/>
  <c r="Q244" i="650"/>
  <c r="L244" i="650"/>
  <c r="N243" i="650"/>
  <c r="I243" i="650"/>
  <c r="F1192" i="6"/>
  <c r="P241" i="650"/>
  <c r="K241" i="650"/>
  <c r="G241" i="650"/>
  <c r="F241" i="650"/>
  <c r="K237" i="650"/>
  <c r="Z237" i="650" s="1"/>
  <c r="Z238" i="650" s="1"/>
  <c r="H237" i="650"/>
  <c r="AI231" i="4"/>
  <c r="O228" i="650"/>
  <c r="AY225" i="4"/>
  <c r="L227" i="650"/>
  <c r="AA227" i="650" s="1"/>
  <c r="I223" i="650"/>
  <c r="R221" i="650"/>
  <c r="U221" i="650" s="1"/>
  <c r="Q221" i="650"/>
  <c r="R216" i="650"/>
  <c r="U216" i="650" s="1"/>
  <c r="M216" i="650"/>
  <c r="AY213" i="4"/>
  <c r="H214" i="650"/>
  <c r="F214" i="650"/>
  <c r="O213" i="650"/>
  <c r="AI207" i="4"/>
  <c r="Q209" i="650"/>
  <c r="AF209" i="650" s="1"/>
  <c r="H209" i="650"/>
  <c r="W209" i="650" s="1"/>
  <c r="AM209" i="650" s="1"/>
  <c r="AM210" i="650" s="1"/>
  <c r="D19" i="16"/>
  <c r="D17" i="16"/>
  <c r="J205" i="650"/>
  <c r="D13" i="16"/>
  <c r="L176" i="650"/>
  <c r="AI173" i="4"/>
  <c r="AI171" i="4"/>
  <c r="AY167" i="4"/>
  <c r="L168" i="650"/>
  <c r="AY165" i="4"/>
  <c r="Q166" i="650"/>
  <c r="O166" i="650"/>
  <c r="E22" i="17"/>
  <c r="AY160" i="4"/>
  <c r="K162" i="650"/>
  <c r="H162" i="650"/>
  <c r="J161" i="650"/>
  <c r="F1110" i="6"/>
  <c r="I160" i="650"/>
  <c r="J159" i="650"/>
  <c r="F159" i="650"/>
  <c r="R155" i="650"/>
  <c r="U155" i="650" s="1"/>
  <c r="F1091" i="6"/>
  <c r="J142" i="650"/>
  <c r="P141" i="650"/>
  <c r="AY138" i="4"/>
  <c r="I140" i="650"/>
  <c r="AI134" i="4"/>
  <c r="N136" i="650"/>
  <c r="P135" i="650"/>
  <c r="R130" i="650"/>
  <c r="I130" i="650"/>
  <c r="AI127" i="4"/>
  <c r="H124" i="650"/>
  <c r="J123" i="650"/>
  <c r="AY117" i="4"/>
  <c r="I117" i="650"/>
  <c r="AY111" i="4"/>
  <c r="I112" i="650"/>
  <c r="F1057" i="6"/>
  <c r="P108" i="650"/>
  <c r="O108" i="650"/>
  <c r="M108" i="650"/>
  <c r="H108" i="650"/>
  <c r="AY105" i="4"/>
  <c r="G107" i="650"/>
  <c r="I106" i="650"/>
  <c r="H106" i="650"/>
  <c r="M102" i="650"/>
  <c r="K102" i="650"/>
  <c r="J102" i="650"/>
  <c r="O100" i="650"/>
  <c r="N100" i="650"/>
  <c r="P96" i="650"/>
  <c r="H96" i="650"/>
  <c r="R94" i="650"/>
  <c r="H90" i="650"/>
  <c r="N89" i="650"/>
  <c r="F82" i="650"/>
  <c r="AY79" i="4"/>
  <c r="P81" i="650"/>
  <c r="AY75" i="4"/>
  <c r="R76" i="650"/>
  <c r="O76" i="650"/>
  <c r="R72" i="650"/>
  <c r="O72" i="650"/>
  <c r="N72" i="650"/>
  <c r="P71" i="650"/>
  <c r="I71" i="650"/>
  <c r="O67" i="650"/>
  <c r="N66" i="650"/>
  <c r="K66" i="650"/>
  <c r="AI60" i="4"/>
  <c r="G62" i="650"/>
  <c r="Q61" i="650"/>
  <c r="P61" i="650"/>
  <c r="AY54" i="4"/>
  <c r="Q56" i="650"/>
  <c r="P56" i="650"/>
  <c r="O56" i="650"/>
  <c r="L56" i="650"/>
  <c r="G56" i="650"/>
  <c r="J52" i="650"/>
  <c r="AY46" i="4"/>
  <c r="P48" i="650"/>
  <c r="H41" i="650"/>
  <c r="J40" i="650"/>
  <c r="AY34" i="4"/>
  <c r="N36" i="650"/>
  <c r="F984" i="6"/>
  <c r="I35" i="650"/>
  <c r="R29" i="650"/>
  <c r="M29" i="650"/>
  <c r="H29" i="650"/>
  <c r="N28" i="650"/>
  <c r="P27" i="650"/>
  <c r="G27" i="650"/>
  <c r="F27" i="650"/>
  <c r="F975" i="6"/>
  <c r="Q26" i="650"/>
  <c r="O26" i="650"/>
  <c r="I26" i="650"/>
  <c r="H26" i="650"/>
  <c r="AY22" i="4"/>
  <c r="O24" i="650"/>
  <c r="N24" i="650"/>
  <c r="K24" i="650"/>
  <c r="R23" i="650"/>
  <c r="M23" i="650"/>
  <c r="AI16" i="4"/>
  <c r="M18" i="650"/>
  <c r="I18" i="650"/>
  <c r="B24" i="16"/>
  <c r="B23" i="16"/>
  <c r="B22" i="16"/>
  <c r="O8" i="650"/>
  <c r="M8" i="650"/>
  <c r="B15" i="16"/>
  <c r="B14" i="16"/>
  <c r="G8" i="650"/>
  <c r="F496" i="6"/>
  <c r="F495" i="6"/>
  <c r="F491" i="6"/>
  <c r="F490" i="6"/>
  <c r="F485" i="6"/>
  <c r="F481" i="6"/>
  <c r="F480" i="6"/>
  <c r="F476" i="6"/>
  <c r="F475" i="6"/>
  <c r="F471" i="6"/>
  <c r="F470" i="6"/>
  <c r="F465" i="6"/>
  <c r="F461" i="6"/>
  <c r="F460" i="6"/>
  <c r="F456" i="6"/>
  <c r="F455" i="6"/>
  <c r="F451" i="6"/>
  <c r="F450" i="6"/>
  <c r="F446" i="6"/>
  <c r="F441" i="6"/>
  <c r="F440" i="6"/>
  <c r="F436" i="6"/>
  <c r="F435" i="6"/>
  <c r="F431" i="6"/>
  <c r="F430" i="6"/>
  <c r="F426" i="6"/>
  <c r="F425" i="6"/>
  <c r="F421" i="6"/>
  <c r="F420" i="6"/>
  <c r="F416" i="6"/>
  <c r="F415" i="6"/>
  <c r="F411" i="6"/>
  <c r="F410" i="6"/>
  <c r="F406" i="6"/>
  <c r="F405" i="6"/>
  <c r="F401" i="6"/>
  <c r="F400" i="6"/>
  <c r="F396" i="6"/>
  <c r="F395" i="6"/>
  <c r="F391" i="6"/>
  <c r="F390" i="6"/>
  <c r="F386" i="6"/>
  <c r="F385" i="6"/>
  <c r="F381" i="6"/>
  <c r="F944" i="6"/>
  <c r="F942" i="6"/>
  <c r="F938" i="6"/>
  <c r="F933" i="6"/>
  <c r="F932" i="6"/>
  <c r="F931" i="6"/>
  <c r="F930" i="6"/>
  <c r="F923" i="6"/>
  <c r="F922" i="6"/>
  <c r="F921" i="6"/>
  <c r="F895" i="6"/>
  <c r="F894" i="6"/>
  <c r="F890" i="6"/>
  <c r="F889" i="6"/>
  <c r="F885" i="6"/>
  <c r="F880" i="6"/>
  <c r="F879" i="6"/>
  <c r="F875" i="6"/>
  <c r="F874" i="6"/>
  <c r="F870" i="6"/>
  <c r="F865" i="6"/>
  <c r="F864" i="6"/>
  <c r="F860" i="6"/>
  <c r="F859" i="6"/>
  <c r="F854" i="6"/>
  <c r="F850" i="6"/>
  <c r="F849" i="6"/>
  <c r="F845" i="6"/>
  <c r="F844" i="6"/>
  <c r="F840" i="6"/>
  <c r="F839" i="6"/>
  <c r="F826" i="6"/>
  <c r="F822" i="6"/>
  <c r="F821" i="6"/>
  <c r="F817" i="6"/>
  <c r="F816" i="6"/>
  <c r="F812" i="6"/>
  <c r="F811" i="6"/>
  <c r="F798" i="6"/>
  <c r="F794" i="6"/>
  <c r="F793" i="6"/>
  <c r="F789" i="6"/>
  <c r="F788" i="6"/>
  <c r="F784" i="6"/>
  <c r="F783" i="6"/>
  <c r="F778" i="6"/>
  <c r="F774" i="6"/>
  <c r="F773" i="6"/>
  <c r="F769" i="6"/>
  <c r="F764" i="6"/>
  <c r="F763" i="6"/>
  <c r="F758" i="6"/>
  <c r="F746" i="6"/>
  <c r="F741" i="6"/>
  <c r="F740" i="6"/>
  <c r="F736" i="6"/>
  <c r="F735" i="6"/>
  <c r="F730" i="6"/>
  <c r="F726" i="6"/>
  <c r="F725" i="6"/>
  <c r="F721" i="6"/>
  <c r="F720" i="6"/>
  <c r="F716" i="6"/>
  <c r="F715" i="6"/>
  <c r="F710" i="6"/>
  <c r="F706" i="6"/>
  <c r="F705" i="6"/>
  <c r="F701" i="6"/>
  <c r="F700" i="6"/>
  <c r="F696" i="6"/>
  <c r="F695" i="6"/>
  <c r="F690" i="6"/>
  <c r="F686" i="6"/>
  <c r="F685" i="6"/>
  <c r="F681" i="6"/>
  <c r="F680" i="6"/>
  <c r="F676" i="6"/>
  <c r="F675" i="6"/>
  <c r="F670" i="6"/>
  <c r="F666" i="6"/>
  <c r="F661" i="6"/>
  <c r="F656" i="6"/>
  <c r="F655" i="6"/>
  <c r="F648" i="6"/>
  <c r="F647" i="6"/>
  <c r="F623" i="6"/>
  <c r="F622" i="6"/>
  <c r="F618" i="6"/>
  <c r="F617" i="6"/>
  <c r="F612" i="6"/>
  <c r="F608" i="6"/>
  <c r="F607" i="6"/>
  <c r="F603" i="6"/>
  <c r="F602" i="6"/>
  <c r="F598" i="6"/>
  <c r="F597" i="6"/>
  <c r="F593" i="6"/>
  <c r="F592" i="6"/>
  <c r="F588" i="6"/>
  <c r="F587" i="6"/>
  <c r="F583" i="6"/>
  <c r="F582" i="6"/>
  <c r="F578" i="6"/>
  <c r="F577" i="6"/>
  <c r="F573" i="6"/>
  <c r="F572" i="6"/>
  <c r="F568" i="6"/>
  <c r="F567" i="6"/>
  <c r="F563" i="6"/>
  <c r="F562" i="6"/>
  <c r="F558" i="6"/>
  <c r="F557" i="6"/>
  <c r="F553" i="6"/>
  <c r="F552" i="6"/>
  <c r="F548" i="6"/>
  <c r="F547" i="6"/>
  <c r="F543" i="6"/>
  <c r="F542" i="6"/>
  <c r="F538" i="6"/>
  <c r="F533" i="6"/>
  <c r="F532" i="6"/>
  <c r="F528" i="6"/>
  <c r="F527" i="6"/>
  <c r="F523" i="6"/>
  <c r="F522" i="6"/>
  <c r="AB6" i="5"/>
  <c r="AA6" i="5"/>
  <c r="Z6" i="5"/>
  <c r="R1202" i="3"/>
  <c r="R1201" i="3"/>
  <c r="R1200" i="3"/>
  <c r="R1199" i="3"/>
  <c r="R1196" i="3"/>
  <c r="R1192" i="3"/>
  <c r="R1185" i="3"/>
  <c r="R1178" i="3"/>
  <c r="S68" i="5" s="1"/>
  <c r="R1171" i="3"/>
  <c r="S67" i="5" s="1"/>
  <c r="R1162" i="3"/>
  <c r="S65" i="5" s="1"/>
  <c r="R1157" i="3"/>
  <c r="R1150" i="3"/>
  <c r="R1143" i="3"/>
  <c r="S63" i="5" s="1"/>
  <c r="R1139" i="3"/>
  <c r="S62" i="5" s="1"/>
  <c r="R1135" i="3"/>
  <c r="S61" i="5" s="1"/>
  <c r="R1110" i="3"/>
  <c r="S56" i="5" s="1"/>
  <c r="R1103" i="3"/>
  <c r="S55" i="5" s="1"/>
  <c r="R1096" i="3"/>
  <c r="S54" i="5" s="1"/>
  <c r="R1089" i="3"/>
  <c r="S53" i="5" s="1"/>
  <c r="R921" i="3"/>
  <c r="R911" i="3"/>
  <c r="R904" i="3"/>
  <c r="R884" i="3"/>
  <c r="R880" i="3"/>
  <c r="R876" i="3"/>
  <c r="R872" i="3"/>
  <c r="R868" i="3"/>
  <c r="R864" i="3"/>
  <c r="R860" i="3"/>
  <c r="R856" i="3"/>
  <c r="R852" i="3"/>
  <c r="R848" i="3"/>
  <c r="R840" i="3"/>
  <c r="R827" i="3"/>
  <c r="R822" i="3"/>
  <c r="R817" i="3"/>
  <c r="R812" i="3"/>
  <c r="R799" i="3"/>
  <c r="R779" i="3"/>
  <c r="R774" i="3"/>
  <c r="R769" i="3"/>
  <c r="R764" i="3"/>
  <c r="R759" i="3"/>
  <c r="R750" i="3"/>
  <c r="R746" i="3"/>
  <c r="R741" i="3"/>
  <c r="R736" i="3"/>
  <c r="R731" i="3"/>
  <c r="R726" i="3"/>
  <c r="R721" i="3"/>
  <c r="R711" i="3"/>
  <c r="R706" i="3"/>
  <c r="R701" i="3"/>
  <c r="R696" i="3"/>
  <c r="R691" i="3"/>
  <c r="R686" i="3"/>
  <c r="R681" i="3"/>
  <c r="R676" i="3"/>
  <c r="R671" i="3"/>
  <c r="R666" i="3"/>
  <c r="R661" i="3"/>
  <c r="R656" i="3"/>
  <c r="R649" i="3"/>
  <c r="S29" i="5" s="1"/>
  <c r="R634" i="3"/>
  <c r="R633" i="3"/>
  <c r="S25" i="5" s="1"/>
  <c r="R632" i="3"/>
  <c r="R628" i="3"/>
  <c r="R631" i="3" s="1"/>
  <c r="S24" i="5" s="1"/>
  <c r="R623" i="3"/>
  <c r="R618" i="3"/>
  <c r="R613" i="3"/>
  <c r="R608" i="3"/>
  <c r="R603" i="3"/>
  <c r="R598" i="3"/>
  <c r="R593" i="3"/>
  <c r="R588" i="3"/>
  <c r="R583" i="3"/>
  <c r="R578" i="3"/>
  <c r="R573" i="3"/>
  <c r="R568" i="3"/>
  <c r="R563" i="3"/>
  <c r="R558" i="3"/>
  <c r="R553" i="3"/>
  <c r="R548" i="3"/>
  <c r="R543" i="3"/>
  <c r="R538" i="3"/>
  <c r="R533" i="3"/>
  <c r="R528" i="3"/>
  <c r="R523" i="3"/>
  <c r="R507" i="3"/>
  <c r="R506" i="3"/>
  <c r="R505" i="3"/>
  <c r="R503" i="3"/>
  <c r="R502" i="3"/>
  <c r="R501" i="3"/>
  <c r="R497" i="3"/>
  <c r="R492" i="3"/>
  <c r="R487" i="3"/>
  <c r="R482" i="3"/>
  <c r="R477" i="3"/>
  <c r="R472" i="3"/>
  <c r="R467" i="3"/>
  <c r="R462" i="3"/>
  <c r="R457" i="3"/>
  <c r="R452" i="3"/>
  <c r="R447" i="3"/>
  <c r="R442" i="3"/>
  <c r="R437" i="3"/>
  <c r="R432" i="3"/>
  <c r="R427" i="3"/>
  <c r="R422" i="3"/>
  <c r="R417" i="3"/>
  <c r="R412" i="3"/>
  <c r="R407" i="3"/>
  <c r="R402" i="3"/>
  <c r="R397" i="3"/>
  <c r="R392" i="3"/>
  <c r="R387" i="3"/>
  <c r="R382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A1" i="2"/>
  <c r="K10" i="1"/>
  <c r="AN261" i="4"/>
  <c r="AG143" i="647"/>
  <c r="AH143" i="647"/>
  <c r="AI143" i="647"/>
  <c r="AJ143" i="647"/>
  <c r="AK143" i="647"/>
  <c r="AL143" i="647"/>
  <c r="AM143" i="647"/>
  <c r="AN143" i="647"/>
  <c r="AO143" i="647"/>
  <c r="AP143" i="647"/>
  <c r="AQ143" i="647"/>
  <c r="AR143" i="647"/>
  <c r="AG81" i="647"/>
  <c r="AU81" i="647" s="1"/>
  <c r="M16" i="652"/>
  <c r="S15" i="652"/>
  <c r="J16" i="1"/>
  <c r="A4" i="2"/>
  <c r="T421" i="641"/>
  <c r="T420" i="641"/>
  <c r="T416" i="641"/>
  <c r="T415" i="641"/>
  <c r="T406" i="641"/>
  <c r="T405" i="641"/>
  <c r="T404" i="641"/>
  <c r="T396" i="641"/>
  <c r="T395" i="641"/>
  <c r="T394" i="641"/>
  <c r="T393" i="641"/>
  <c r="T392" i="641"/>
  <c r="T391" i="641"/>
  <c r="T390" i="641"/>
  <c r="T382" i="641"/>
  <c r="T383" i="641" s="1"/>
  <c r="T378" i="641"/>
  <c r="U367" i="641"/>
  <c r="F340" i="15"/>
  <c r="F337" i="15"/>
  <c r="F338" i="6" s="1"/>
  <c r="Z57" i="641"/>
  <c r="T488" i="641"/>
  <c r="F315" i="15"/>
  <c r="AC57" i="641"/>
  <c r="AA57" i="641"/>
  <c r="T489" i="641"/>
  <c r="F306" i="15"/>
  <c r="AC58" i="641"/>
  <c r="AA58" i="641"/>
  <c r="Z52" i="641"/>
  <c r="Y52" i="641"/>
  <c r="F288" i="15"/>
  <c r="Z53" i="641"/>
  <c r="AB53" i="641"/>
  <c r="F274" i="15"/>
  <c r="F272" i="15"/>
  <c r="F273" i="6" s="1"/>
  <c r="F270" i="15"/>
  <c r="T474" i="641"/>
  <c r="AC43" i="641"/>
  <c r="Z42" i="641"/>
  <c r="T473" i="641"/>
  <c r="AA42" i="641"/>
  <c r="Z41" i="641"/>
  <c r="T472" i="641"/>
  <c r="F243" i="15"/>
  <c r="AC41" i="641"/>
  <c r="F225" i="15"/>
  <c r="F226" i="6" s="1"/>
  <c r="F222" i="15"/>
  <c r="F223" i="6" s="1"/>
  <c r="F218" i="15"/>
  <c r="F219" i="6" s="1"/>
  <c r="F213" i="15"/>
  <c r="F214" i="6" s="1"/>
  <c r="F211" i="15"/>
  <c r="F212" i="6" s="1"/>
  <c r="AA23" i="641"/>
  <c r="AD23" i="641" s="1"/>
  <c r="AA22" i="641"/>
  <c r="F193" i="15"/>
  <c r="F194" i="6" s="1"/>
  <c r="F190" i="15"/>
  <c r="F191" i="6" s="1"/>
  <c r="F188" i="15"/>
  <c r="F189" i="6" s="1"/>
  <c r="F186" i="15"/>
  <c r="F187" i="6" s="1"/>
  <c r="T461" i="641"/>
  <c r="AC30" i="641"/>
  <c r="AB30" i="641"/>
  <c r="F177" i="15"/>
  <c r="Z33" i="641"/>
  <c r="T464" i="641"/>
  <c r="AB33" i="641"/>
  <c r="AA33" i="641"/>
  <c r="Z32" i="641"/>
  <c r="T463" i="641"/>
  <c r="F163" i="15"/>
  <c r="F164" i="6" s="1"/>
  <c r="AB32" i="641"/>
  <c r="AA32" i="641"/>
  <c r="AE32" i="670" s="1"/>
  <c r="AC29" i="641"/>
  <c r="AB29" i="641"/>
  <c r="F150" i="15"/>
  <c r="Z31" i="641"/>
  <c r="AC31" i="641"/>
  <c r="F143" i="15"/>
  <c r="F144" i="6" s="1"/>
  <c r="AA31" i="641"/>
  <c r="AE31" i="670" s="1"/>
  <c r="Z28" i="641"/>
  <c r="T459" i="641"/>
  <c r="AC28" i="641"/>
  <c r="AB28" i="641"/>
  <c r="AA28" i="641"/>
  <c r="AC27" i="641"/>
  <c r="AB27" i="641"/>
  <c r="F121" i="15"/>
  <c r="F122" i="6" s="1"/>
  <c r="F118" i="15"/>
  <c r="F119" i="6" s="1"/>
  <c r="F116" i="15"/>
  <c r="F117" i="6" s="1"/>
  <c r="F114" i="15"/>
  <c r="F115" i="6" s="1"/>
  <c r="F112" i="15"/>
  <c r="F113" i="6" s="1"/>
  <c r="F107" i="15"/>
  <c r="F108" i="6" s="1"/>
  <c r="F105" i="15"/>
  <c r="F106" i="6" s="1"/>
  <c r="Z19" i="641"/>
  <c r="Z20" i="641" s="1"/>
  <c r="T450" i="641"/>
  <c r="T451" i="641" s="1"/>
  <c r="AB19" i="641"/>
  <c r="AA19" i="641"/>
  <c r="F91" i="15"/>
  <c r="F92" i="6" s="1"/>
  <c r="F87" i="15"/>
  <c r="F85" i="15"/>
  <c r="F86" i="6" s="1"/>
  <c r="F82" i="15"/>
  <c r="F83" i="6" s="1"/>
  <c r="F76" i="15"/>
  <c r="F77" i="6" s="1"/>
  <c r="F71" i="15"/>
  <c r="F72" i="6" s="1"/>
  <c r="F69" i="15"/>
  <c r="F70" i="6" s="1"/>
  <c r="Z15" i="641"/>
  <c r="T446" i="641"/>
  <c r="AC15" i="641"/>
  <c r="F62" i="15"/>
  <c r="F63" i="6" s="1"/>
  <c r="AB59" i="641"/>
  <c r="Z58" i="641"/>
  <c r="X58" i="641"/>
  <c r="F58" i="15"/>
  <c r="F59" i="6" s="1"/>
  <c r="X57" i="641"/>
  <c r="F55" i="15"/>
  <c r="F56" i="6" s="1"/>
  <c r="X53" i="641"/>
  <c r="AB52" i="641"/>
  <c r="X52" i="641"/>
  <c r="F51" i="15"/>
  <c r="F52" i="6" s="1"/>
  <c r="Z14" i="641"/>
  <c r="Y14" i="641"/>
  <c r="AB44" i="641"/>
  <c r="AB14" i="641"/>
  <c r="X43" i="641"/>
  <c r="X42" i="641"/>
  <c r="AA14" i="641"/>
  <c r="AE14" i="670" s="1"/>
  <c r="X41" i="641"/>
  <c r="F37" i="15"/>
  <c r="F38" i="6" s="1"/>
  <c r="X33" i="641"/>
  <c r="F33" i="15"/>
  <c r="F34" i="6" s="1"/>
  <c r="X32" i="641"/>
  <c r="X31" i="641"/>
  <c r="X30" i="641"/>
  <c r="X29" i="641"/>
  <c r="X28" i="641"/>
  <c r="F28" i="15"/>
  <c r="F29" i="6" s="1"/>
  <c r="X27" i="641"/>
  <c r="F21" i="15"/>
  <c r="X19" i="641"/>
  <c r="X20" i="641" s="1"/>
  <c r="AC13" i="641"/>
  <c r="X15" i="641"/>
  <c r="F15" i="15"/>
  <c r="X14" i="641"/>
  <c r="X13" i="641"/>
  <c r="AL261" i="4"/>
  <c r="G6" i="3"/>
  <c r="H4" i="5" s="1"/>
  <c r="I7" i="137"/>
  <c r="I8" i="137" s="1"/>
  <c r="I9" i="137" s="1"/>
  <c r="I10" i="137" s="1"/>
  <c r="I11" i="137" s="1"/>
  <c r="I12" i="137" s="1"/>
  <c r="I13" i="137" s="1"/>
  <c r="I14" i="137" s="1"/>
  <c r="I15" i="137" s="1"/>
  <c r="B5" i="660"/>
  <c r="G1202" i="3"/>
  <c r="G1201" i="3"/>
  <c r="G1200" i="3"/>
  <c r="G1199" i="3"/>
  <c r="BA262" i="650"/>
  <c r="AM260" i="4" s="1"/>
  <c r="BA51" i="650"/>
  <c r="BA50" i="650"/>
  <c r="BA49" i="650"/>
  <c r="AJ262" i="650"/>
  <c r="AJ51" i="650"/>
  <c r="AJ50" i="650"/>
  <c r="AJ49" i="650"/>
  <c r="M7" i="42"/>
  <c r="M8" i="42" s="1"/>
  <c r="M9" i="42" s="1"/>
  <c r="M10" i="42" s="1"/>
  <c r="M11" i="42" s="1"/>
  <c r="M12" i="42" s="1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AY269" i="650"/>
  <c r="AY268" i="650"/>
  <c r="AY267" i="650"/>
  <c r="AY266" i="650"/>
  <c r="F263" i="650"/>
  <c r="G262" i="650"/>
  <c r="G263" i="650" s="1"/>
  <c r="AY198" i="650"/>
  <c r="AI198" i="650"/>
  <c r="AK165" i="650"/>
  <c r="U165" i="650"/>
  <c r="AK144" i="650"/>
  <c r="AK138" i="650"/>
  <c r="AK128" i="650"/>
  <c r="AK80" i="650"/>
  <c r="U69" i="650"/>
  <c r="AK64" i="650"/>
  <c r="U64" i="650"/>
  <c r="AK59" i="650"/>
  <c r="AK54" i="650"/>
  <c r="T51" i="650"/>
  <c r="T50" i="650"/>
  <c r="T49" i="650"/>
  <c r="AK43" i="650"/>
  <c r="A17" i="650"/>
  <c r="A18" i="650" s="1"/>
  <c r="A19" i="650" s="1"/>
  <c r="A20" i="650" s="1"/>
  <c r="A21" i="650" s="1"/>
  <c r="A22" i="650" s="1"/>
  <c r="A23" i="650" s="1"/>
  <c r="A24" i="650" s="1"/>
  <c r="A25" i="650" s="1"/>
  <c r="A26" i="650" s="1"/>
  <c r="A27" i="650" s="1"/>
  <c r="A28" i="650" s="1"/>
  <c r="A29" i="650" s="1"/>
  <c r="A30" i="650" s="1"/>
  <c r="A31" i="650" s="1"/>
  <c r="A32" i="650" s="1"/>
  <c r="A33" i="650" s="1"/>
  <c r="A34" i="650" s="1"/>
  <c r="A35" i="650" s="1"/>
  <c r="A36" i="650" s="1"/>
  <c r="A37" i="650" s="1"/>
  <c r="A38" i="650" s="1"/>
  <c r="A39" i="650" s="1"/>
  <c r="A40" i="650" s="1"/>
  <c r="A41" i="650" s="1"/>
  <c r="A42" i="650" s="1"/>
  <c r="A43" i="650" s="1"/>
  <c r="A44" i="650" s="1"/>
  <c r="A45" i="650" s="1"/>
  <c r="A46" i="650" s="1"/>
  <c r="A47" i="650" s="1"/>
  <c r="A48" i="650" s="1"/>
  <c r="A49" i="650" s="1"/>
  <c r="A50" i="650" s="1"/>
  <c r="A51" i="650" s="1"/>
  <c r="A52" i="650" s="1"/>
  <c r="A53" i="650" s="1"/>
  <c r="A54" i="650" s="1"/>
  <c r="A55" i="650" s="1"/>
  <c r="A56" i="650" s="1"/>
  <c r="A57" i="650" s="1"/>
  <c r="A58" i="650" s="1"/>
  <c r="A59" i="650" s="1"/>
  <c r="A60" i="650" s="1"/>
  <c r="A61" i="650" s="1"/>
  <c r="A62" i="650" s="1"/>
  <c r="A63" i="650" s="1"/>
  <c r="A64" i="650" s="1"/>
  <c r="A65" i="650" s="1"/>
  <c r="A66" i="650" s="1"/>
  <c r="A67" i="650" s="1"/>
  <c r="A68" i="650" s="1"/>
  <c r="A69" i="650" s="1"/>
  <c r="A70" i="650" s="1"/>
  <c r="A71" i="650" s="1"/>
  <c r="A72" i="650" s="1"/>
  <c r="A73" i="650" s="1"/>
  <c r="A74" i="650" s="1"/>
  <c r="A75" i="650" s="1"/>
  <c r="A76" i="650" s="1"/>
  <c r="A77" i="650" s="1"/>
  <c r="A78" i="650" s="1"/>
  <c r="A79" i="650" s="1"/>
  <c r="A80" i="650" s="1"/>
  <c r="A81" i="650" s="1"/>
  <c r="A82" i="650" s="1"/>
  <c r="A83" i="650" s="1"/>
  <c r="A84" i="650" s="1"/>
  <c r="AT143" i="647"/>
  <c r="AT81" i="647"/>
  <c r="C3" i="660"/>
  <c r="C4" i="660"/>
  <c r="AH751" i="651"/>
  <c r="AF751" i="651"/>
  <c r="AH747" i="651"/>
  <c r="AG747" i="651"/>
  <c r="AH743" i="651"/>
  <c r="AR743" i="651"/>
  <c r="AF743" i="651"/>
  <c r="AH739" i="651"/>
  <c r="AG739" i="651"/>
  <c r="AF739" i="651"/>
  <c r="AH735" i="651"/>
  <c r="AR735" i="651"/>
  <c r="AF735" i="651"/>
  <c r="AH731" i="651"/>
  <c r="AG731" i="651"/>
  <c r="AF731" i="651"/>
  <c r="AH727" i="651"/>
  <c r="AR727" i="651"/>
  <c r="AF727" i="651"/>
  <c r="AH723" i="651"/>
  <c r="AG723" i="651"/>
  <c r="AF723" i="651"/>
  <c r="AH719" i="651"/>
  <c r="AR719" i="651"/>
  <c r="AF719" i="651"/>
  <c r="AH715" i="651"/>
  <c r="AG715" i="651"/>
  <c r="AF715" i="651"/>
  <c r="AH711" i="651"/>
  <c r="AR711" i="651"/>
  <c r="AF711" i="651"/>
  <c r="B710" i="651"/>
  <c r="B711" i="651" s="1"/>
  <c r="B712" i="651" s="1"/>
  <c r="B713" i="651" s="1"/>
  <c r="B714" i="651" s="1"/>
  <c r="B715" i="651" s="1"/>
  <c r="B716" i="651" s="1"/>
  <c r="B717" i="651" s="1"/>
  <c r="B718" i="651" s="1"/>
  <c r="B719" i="651" s="1"/>
  <c r="B720" i="651" s="1"/>
  <c r="B721" i="651" s="1"/>
  <c r="B722" i="651" s="1"/>
  <c r="B723" i="651" s="1"/>
  <c r="B724" i="651" s="1"/>
  <c r="B725" i="651" s="1"/>
  <c r="B726" i="651" s="1"/>
  <c r="B727" i="651" s="1"/>
  <c r="B728" i="651" s="1"/>
  <c r="B729" i="651" s="1"/>
  <c r="B730" i="651" s="1"/>
  <c r="B731" i="651" s="1"/>
  <c r="B732" i="651" s="1"/>
  <c r="B733" i="651" s="1"/>
  <c r="B734" i="651" s="1"/>
  <c r="B735" i="651" s="1"/>
  <c r="B736" i="651" s="1"/>
  <c r="B737" i="651" s="1"/>
  <c r="B738" i="651" s="1"/>
  <c r="B739" i="651" s="1"/>
  <c r="B740" i="651" s="1"/>
  <c r="B741" i="651" s="1"/>
  <c r="B742" i="651" s="1"/>
  <c r="B743" i="651" s="1"/>
  <c r="B744" i="651" s="1"/>
  <c r="B745" i="651" s="1"/>
  <c r="B746" i="651" s="1"/>
  <c r="B747" i="651" s="1"/>
  <c r="B748" i="651" s="1"/>
  <c r="B749" i="651" s="1"/>
  <c r="B750" i="651" s="1"/>
  <c r="B751" i="651" s="1"/>
  <c r="B752" i="651" s="1"/>
  <c r="B753" i="651" s="1"/>
  <c r="B754" i="651" s="1"/>
  <c r="B755" i="651" s="1"/>
  <c r="B756" i="651" s="1"/>
  <c r="B757" i="651" s="1"/>
  <c r="B758" i="651" s="1"/>
  <c r="B759" i="651" s="1"/>
  <c r="B760" i="651" s="1"/>
  <c r="B761" i="651" s="1"/>
  <c r="B762" i="651" s="1"/>
  <c r="AH698" i="651"/>
  <c r="AF698" i="651"/>
  <c r="AH693" i="651"/>
  <c r="AG693" i="651"/>
  <c r="AH688" i="651"/>
  <c r="AG688" i="651"/>
  <c r="AF688" i="651"/>
  <c r="AH670" i="651"/>
  <c r="AF670" i="651"/>
  <c r="AH645" i="651"/>
  <c r="AG645" i="651"/>
  <c r="AH640" i="651"/>
  <c r="AG640" i="651"/>
  <c r="AF640" i="651"/>
  <c r="AH635" i="651"/>
  <c r="AG635" i="651"/>
  <c r="AG634" i="651"/>
  <c r="AH630" i="651"/>
  <c r="AF630" i="651"/>
  <c r="AH629" i="651"/>
  <c r="AH617" i="651"/>
  <c r="AF617" i="651"/>
  <c r="AH612" i="651"/>
  <c r="AG612" i="651"/>
  <c r="AF612" i="651"/>
  <c r="AH607" i="651"/>
  <c r="AF607" i="651"/>
  <c r="AH602" i="651"/>
  <c r="AG602" i="651"/>
  <c r="AF602" i="651"/>
  <c r="AH597" i="651"/>
  <c r="AF597" i="651"/>
  <c r="AH592" i="651"/>
  <c r="AG592" i="651"/>
  <c r="AF592" i="651"/>
  <c r="AH587" i="651"/>
  <c r="AF587" i="651"/>
  <c r="AH582" i="651"/>
  <c r="AG582" i="651"/>
  <c r="AF582" i="651"/>
  <c r="AH577" i="651"/>
  <c r="AF577" i="651"/>
  <c r="AH572" i="651"/>
  <c r="AG572" i="651"/>
  <c r="AH567" i="651"/>
  <c r="AG567" i="651"/>
  <c r="AF567" i="651"/>
  <c r="AH566" i="651"/>
  <c r="AH562" i="651"/>
  <c r="AG562" i="651"/>
  <c r="AH557" i="651"/>
  <c r="AF557" i="651"/>
  <c r="AH552" i="651"/>
  <c r="AG552" i="651"/>
  <c r="AH547" i="651"/>
  <c r="AF547" i="651"/>
  <c r="AH542" i="651"/>
  <c r="AG542" i="651"/>
  <c r="AO537" i="651"/>
  <c r="AN537" i="651"/>
  <c r="AM537" i="651"/>
  <c r="AL537" i="651"/>
  <c r="AK537" i="651"/>
  <c r="AJ537" i="651"/>
  <c r="AH537" i="651"/>
  <c r="AF537" i="651"/>
  <c r="AH532" i="651"/>
  <c r="AG532" i="651"/>
  <c r="AH519" i="651"/>
  <c r="AG519" i="651"/>
  <c r="B456" i="651"/>
  <c r="B457" i="651" s="1"/>
  <c r="B458" i="651" s="1"/>
  <c r="B459" i="651" s="1"/>
  <c r="B460" i="651" s="1"/>
  <c r="B461" i="651" s="1"/>
  <c r="B462" i="651" s="1"/>
  <c r="B463" i="651" s="1"/>
  <c r="B464" i="651" s="1"/>
  <c r="B465" i="651" s="1"/>
  <c r="B466" i="651" s="1"/>
  <c r="B467" i="651" s="1"/>
  <c r="B468" i="651" s="1"/>
  <c r="B469" i="651" s="1"/>
  <c r="B470" i="651" s="1"/>
  <c r="B471" i="651" s="1"/>
  <c r="B472" i="651" s="1"/>
  <c r="B473" i="651" s="1"/>
  <c r="B474" i="651" s="1"/>
  <c r="B475" i="651" s="1"/>
  <c r="B476" i="651" s="1"/>
  <c r="B477" i="651" s="1"/>
  <c r="B478" i="651" s="1"/>
  <c r="B479" i="651" s="1"/>
  <c r="B480" i="651" s="1"/>
  <c r="B481" i="651" s="1"/>
  <c r="B482" i="651" s="1"/>
  <c r="B483" i="651" s="1"/>
  <c r="B484" i="651" s="1"/>
  <c r="B485" i="651" s="1"/>
  <c r="B486" i="651" s="1"/>
  <c r="B487" i="651" s="1"/>
  <c r="B488" i="651" s="1"/>
  <c r="B489" i="651" s="1"/>
  <c r="B490" i="651" s="1"/>
  <c r="B491" i="651" s="1"/>
  <c r="B492" i="651" s="1"/>
  <c r="B493" i="651" s="1"/>
  <c r="B494" i="651" s="1"/>
  <c r="B495" i="651" s="1"/>
  <c r="B496" i="651" s="1"/>
  <c r="B497" i="651" s="1"/>
  <c r="B498" i="651" s="1"/>
  <c r="B499" i="651" s="1"/>
  <c r="B500" i="651" s="1"/>
  <c r="B501" i="651" s="1"/>
  <c r="B502" i="651" s="1"/>
  <c r="B503" i="651" s="1"/>
  <c r="B504" i="651" s="1"/>
  <c r="B505" i="651" s="1"/>
  <c r="B506" i="651" s="1"/>
  <c r="B507" i="651" s="1"/>
  <c r="B508" i="651" s="1"/>
  <c r="B509" i="651" s="1"/>
  <c r="B510" i="651" s="1"/>
  <c r="B511" i="651" s="1"/>
  <c r="B202" i="651"/>
  <c r="B203" i="651" s="1"/>
  <c r="B204" i="651" s="1"/>
  <c r="B205" i="651" s="1"/>
  <c r="B206" i="651" s="1"/>
  <c r="B207" i="651" s="1"/>
  <c r="B208" i="651" s="1"/>
  <c r="B209" i="651" s="1"/>
  <c r="B210" i="651" s="1"/>
  <c r="B211" i="651" s="1"/>
  <c r="B212" i="651" s="1"/>
  <c r="B213" i="651" s="1"/>
  <c r="B214" i="651" s="1"/>
  <c r="B215" i="651" s="1"/>
  <c r="B216" i="651" s="1"/>
  <c r="B217" i="651" s="1"/>
  <c r="B218" i="651" s="1"/>
  <c r="B219" i="651" s="1"/>
  <c r="B220" i="651" s="1"/>
  <c r="B221" i="651" s="1"/>
  <c r="B222" i="651" s="1"/>
  <c r="B223" i="651" s="1"/>
  <c r="B224" i="651" s="1"/>
  <c r="B225" i="651" s="1"/>
  <c r="B226" i="651" s="1"/>
  <c r="B227" i="651" s="1"/>
  <c r="B228" i="651" s="1"/>
  <c r="B229" i="651" s="1"/>
  <c r="B230" i="651" s="1"/>
  <c r="B231" i="651" s="1"/>
  <c r="B232" i="651" s="1"/>
  <c r="B233" i="651" s="1"/>
  <c r="B234" i="651" s="1"/>
  <c r="B235" i="651" s="1"/>
  <c r="B236" i="651" s="1"/>
  <c r="B237" i="651" s="1"/>
  <c r="B238" i="651" s="1"/>
  <c r="B239" i="651" s="1"/>
  <c r="B240" i="651" s="1"/>
  <c r="B241" i="651" s="1"/>
  <c r="B242" i="651" s="1"/>
  <c r="B243" i="651" s="1"/>
  <c r="B244" i="651" s="1"/>
  <c r="B245" i="651" s="1"/>
  <c r="B246" i="651" s="1"/>
  <c r="B247" i="651" s="1"/>
  <c r="B248" i="651" s="1"/>
  <c r="B249" i="651" s="1"/>
  <c r="B250" i="651" s="1"/>
  <c r="B251" i="651" s="1"/>
  <c r="B252" i="651" s="1"/>
  <c r="B253" i="651" s="1"/>
  <c r="B254" i="651" s="1"/>
  <c r="B256" i="651" s="1"/>
  <c r="B257" i="651" s="1"/>
  <c r="AS2" i="651"/>
  <c r="AR2" i="651"/>
  <c r="AR532" i="651"/>
  <c r="AR536" i="651"/>
  <c r="AR546" i="651"/>
  <c r="AR556" i="651"/>
  <c r="AR557" i="651"/>
  <c r="AR635" i="651"/>
  <c r="AR519" i="651"/>
  <c r="AR746" i="651"/>
  <c r="AR572" i="651"/>
  <c r="AR566" i="651"/>
  <c r="AR562" i="651"/>
  <c r="AR552" i="651"/>
  <c r="AR547" i="651"/>
  <c r="AR542" i="651"/>
  <c r="AR537" i="651"/>
  <c r="AR577" i="651"/>
  <c r="AR587" i="651"/>
  <c r="AR597" i="651"/>
  <c r="AR607" i="651"/>
  <c r="AR617" i="651"/>
  <c r="AR630" i="651"/>
  <c r="AR634" i="651"/>
  <c r="AR636" i="651"/>
  <c r="AR639" i="651"/>
  <c r="AR640" i="651"/>
  <c r="AR646" i="651"/>
  <c r="AR650" i="651"/>
  <c r="AR670" i="651"/>
  <c r="AR694" i="651"/>
  <c r="AR693" i="651"/>
  <c r="AR698" i="651"/>
  <c r="AR742" i="651"/>
  <c r="AR747" i="651"/>
  <c r="AR751" i="651"/>
  <c r="AR521" i="651"/>
  <c r="AR518" i="651"/>
  <c r="AF519" i="651"/>
  <c r="AF526" i="651"/>
  <c r="AH526" i="651"/>
  <c r="AG527" i="651"/>
  <c r="AR527" i="651"/>
  <c r="AR531" i="651"/>
  <c r="AF532" i="651"/>
  <c r="AF536" i="651"/>
  <c r="AR538" i="651"/>
  <c r="AR541" i="651"/>
  <c r="AF542" i="651"/>
  <c r="AF546" i="651"/>
  <c r="AR548" i="651"/>
  <c r="AR551" i="651"/>
  <c r="AF552" i="651"/>
  <c r="AF556" i="651"/>
  <c r="AR558" i="651"/>
  <c r="AR561" i="651"/>
  <c r="AF562" i="651"/>
  <c r="AR567" i="651"/>
  <c r="AR571" i="651"/>
  <c r="AG526" i="651"/>
  <c r="AR526" i="651"/>
  <c r="AF527" i="651"/>
  <c r="AF531" i="651"/>
  <c r="AG536" i="651"/>
  <c r="AF541" i="651"/>
  <c r="AG546" i="651"/>
  <c r="AF551" i="651"/>
  <c r="AG556" i="651"/>
  <c r="AF561" i="651"/>
  <c r="AF566" i="651"/>
  <c r="AR568" i="651"/>
  <c r="AR573" i="651"/>
  <c r="AF572" i="651"/>
  <c r="AR578" i="651"/>
  <c r="AR588" i="651"/>
  <c r="AR598" i="651"/>
  <c r="AR608" i="651"/>
  <c r="AR618" i="651"/>
  <c r="AF571" i="651"/>
  <c r="AG576" i="651"/>
  <c r="AR576" i="651"/>
  <c r="AF581" i="651"/>
  <c r="AR582" i="651"/>
  <c r="AG586" i="651"/>
  <c r="AR586" i="651"/>
  <c r="AF591" i="651"/>
  <c r="AR592" i="651"/>
  <c r="AG596" i="651"/>
  <c r="AR596" i="651"/>
  <c r="AF601" i="651"/>
  <c r="AR602" i="651"/>
  <c r="AG606" i="651"/>
  <c r="AR606" i="651"/>
  <c r="AF611" i="651"/>
  <c r="AR612" i="651"/>
  <c r="AG616" i="651"/>
  <c r="AR616" i="651"/>
  <c r="AG629" i="651"/>
  <c r="AR629" i="651"/>
  <c r="AR644" i="651"/>
  <c r="AR656" i="651"/>
  <c r="AR689" i="651"/>
  <c r="AF576" i="651"/>
  <c r="AR581" i="651"/>
  <c r="AF586" i="651"/>
  <c r="AR591" i="651"/>
  <c r="AF596" i="651"/>
  <c r="AR601" i="651"/>
  <c r="AF606" i="651"/>
  <c r="AG611" i="651"/>
  <c r="AR611" i="651"/>
  <c r="AF616" i="651"/>
  <c r="AF629" i="651"/>
  <c r="AF635" i="651"/>
  <c r="AF639" i="651"/>
  <c r="AR641" i="651"/>
  <c r="AF645" i="651"/>
  <c r="AR645" i="651"/>
  <c r="AF634" i="651"/>
  <c r="AF644" i="651"/>
  <c r="AG649" i="651"/>
  <c r="AR649" i="651"/>
  <c r="AR659" i="651"/>
  <c r="AG669" i="651"/>
  <c r="AI669" i="651"/>
  <c r="AR669" i="651"/>
  <c r="AG682" i="651"/>
  <c r="AR682" i="651"/>
  <c r="AF683" i="651"/>
  <c r="AF687" i="651"/>
  <c r="AR688" i="651"/>
  <c r="AR692" i="651"/>
  <c r="AF649" i="651"/>
  <c r="AR654" i="651"/>
  <c r="AR664" i="651"/>
  <c r="AF669" i="651"/>
  <c r="AH669" i="651"/>
  <c r="AF682" i="651"/>
  <c r="AH682" i="651"/>
  <c r="AG683" i="651"/>
  <c r="AR683" i="651"/>
  <c r="AR687" i="651"/>
  <c r="AF693" i="651"/>
  <c r="AF692" i="651"/>
  <c r="AG697" i="651"/>
  <c r="AR697" i="651"/>
  <c r="AF710" i="651"/>
  <c r="AH710" i="651"/>
  <c r="AG714" i="651"/>
  <c r="AR714" i="651"/>
  <c r="AR715" i="651"/>
  <c r="AF718" i="651"/>
  <c r="AH718" i="651"/>
  <c r="AR728" i="651"/>
  <c r="AR736" i="651"/>
  <c r="AF697" i="651"/>
  <c r="AG710" i="651"/>
  <c r="AR710" i="651"/>
  <c r="AF714" i="651"/>
  <c r="AG718" i="651"/>
  <c r="AR718" i="651"/>
  <c r="AG722" i="651"/>
  <c r="AR722" i="651"/>
  <c r="AR723" i="651"/>
  <c r="AF726" i="651"/>
  <c r="AH726" i="651"/>
  <c r="AG730" i="651"/>
  <c r="AR730" i="651"/>
  <c r="AR731" i="651"/>
  <c r="AF734" i="651"/>
  <c r="AH734" i="651"/>
  <c r="AR738" i="651"/>
  <c r="AR739" i="651"/>
  <c r="AR744" i="651"/>
  <c r="AF722" i="651"/>
  <c r="AG726" i="651"/>
  <c r="AR726" i="651"/>
  <c r="AF730" i="651"/>
  <c r="AG734" i="651"/>
  <c r="AR734" i="651"/>
  <c r="AF738" i="651"/>
  <c r="AF746" i="651"/>
  <c r="AF747" i="651"/>
  <c r="AR748" i="651"/>
  <c r="AG750" i="651"/>
  <c r="AR750" i="651"/>
  <c r="AF754" i="651"/>
  <c r="AH754" i="651"/>
  <c r="AR754" i="651"/>
  <c r="AF742" i="651"/>
  <c r="AF750" i="651"/>
  <c r="AG754" i="651"/>
  <c r="AG755" i="651"/>
  <c r="AR755" i="651"/>
  <c r="AF755" i="651"/>
  <c r="AH755" i="651"/>
  <c r="AH742" i="651"/>
  <c r="AG742" i="651"/>
  <c r="AG738" i="651"/>
  <c r="AG746" i="651"/>
  <c r="AG751" i="651"/>
  <c r="AH746" i="651"/>
  <c r="AH738" i="651"/>
  <c r="AG735" i="651"/>
  <c r="AH730" i="651"/>
  <c r="AG727" i="651"/>
  <c r="AH722" i="651"/>
  <c r="AG719" i="651"/>
  <c r="AH697" i="651"/>
  <c r="AG687" i="651"/>
  <c r="AG670" i="651"/>
  <c r="AG639" i="651"/>
  <c r="AG630" i="651"/>
  <c r="AG617" i="651"/>
  <c r="AG607" i="651"/>
  <c r="AG597" i="651"/>
  <c r="AG587" i="651"/>
  <c r="AG577" i="651"/>
  <c r="AH571" i="651"/>
  <c r="AG571" i="651"/>
  <c r="AH518" i="651"/>
  <c r="AH556" i="651"/>
  <c r="AH546" i="651"/>
  <c r="AH536" i="651"/>
  <c r="AG518" i="651"/>
  <c r="AG743" i="651"/>
  <c r="AG692" i="651"/>
  <c r="AG644" i="651"/>
  <c r="AH750" i="651"/>
  <c r="AK750" i="651"/>
  <c r="AH714" i="651"/>
  <c r="AG711" i="651"/>
  <c r="AG698" i="651"/>
  <c r="AH692" i="651"/>
  <c r="AH649" i="651"/>
  <c r="AH687" i="651"/>
  <c r="AH683" i="651"/>
  <c r="AH644" i="651"/>
  <c r="AH634" i="651"/>
  <c r="AH616" i="651"/>
  <c r="AH606" i="651"/>
  <c r="AG601" i="651"/>
  <c r="AH596" i="651"/>
  <c r="AG591" i="651"/>
  <c r="AH586" i="651"/>
  <c r="AG581" i="651"/>
  <c r="AH576" i="651"/>
  <c r="AH639" i="651"/>
  <c r="AH611" i="651"/>
  <c r="AH601" i="651"/>
  <c r="AH591" i="651"/>
  <c r="AH581" i="651"/>
  <c r="AG566" i="651"/>
  <c r="AH561" i="651"/>
  <c r="AH551" i="651"/>
  <c r="AH541" i="651"/>
  <c r="AH531" i="651"/>
  <c r="AH527" i="651"/>
  <c r="AM571" i="651"/>
  <c r="AG561" i="651"/>
  <c r="AG557" i="651"/>
  <c r="AG551" i="651"/>
  <c r="AG547" i="651"/>
  <c r="AG541" i="651"/>
  <c r="AG537" i="651"/>
  <c r="AG531" i="651"/>
  <c r="AI518" i="651"/>
  <c r="AR702" i="651"/>
  <c r="AR720" i="651"/>
  <c r="AR752" i="651"/>
  <c r="AR613" i="651"/>
  <c r="AR603" i="651"/>
  <c r="AR593" i="651"/>
  <c r="AR583" i="651"/>
  <c r="AR740" i="651"/>
  <c r="AR666" i="651"/>
  <c r="AR631" i="651"/>
  <c r="AR699" i="651"/>
  <c r="AR661" i="651"/>
  <c r="AR651" i="651"/>
  <c r="AR621" i="651"/>
  <c r="AR732" i="651"/>
  <c r="AR724" i="651"/>
  <c r="AR716" i="651"/>
  <c r="AR671" i="651"/>
  <c r="AR563" i="651"/>
  <c r="AR553" i="651"/>
  <c r="AR543" i="651"/>
  <c r="AR533" i="651"/>
  <c r="AR760" i="651"/>
  <c r="AR712" i="651"/>
  <c r="AR674" i="651"/>
  <c r="AR675" i="651"/>
  <c r="AR622" i="651"/>
  <c r="AR761" i="651"/>
  <c r="AR756" i="651"/>
  <c r="AR705" i="651"/>
  <c r="AR684" i="651"/>
  <c r="AR703" i="651"/>
  <c r="AR528" i="651"/>
  <c r="H817" i="3"/>
  <c r="K1202" i="3"/>
  <c r="K1201" i="3"/>
  <c r="K1200" i="3"/>
  <c r="K1199" i="3"/>
  <c r="K1196" i="3"/>
  <c r="K1192" i="3"/>
  <c r="K1185" i="3"/>
  <c r="K1178" i="3"/>
  <c r="L68" i="5" s="1"/>
  <c r="K1171" i="3"/>
  <c r="L67" i="5" s="1"/>
  <c r="K1162" i="3"/>
  <c r="L65" i="5" s="1"/>
  <c r="K1157" i="3"/>
  <c r="K1150" i="3"/>
  <c r="K1143" i="3"/>
  <c r="L63" i="5" s="1"/>
  <c r="K1139" i="3"/>
  <c r="L62" i="5" s="1"/>
  <c r="K1135" i="3"/>
  <c r="L61" i="5" s="1"/>
  <c r="K1110" i="3"/>
  <c r="L56" i="5" s="1"/>
  <c r="K1103" i="3"/>
  <c r="L55" i="5" s="1"/>
  <c r="K1096" i="3"/>
  <c r="L54" i="5" s="1"/>
  <c r="K1089" i="3"/>
  <c r="L53" i="5" s="1"/>
  <c r="K921" i="3"/>
  <c r="L38" i="5" s="1"/>
  <c r="K911" i="3"/>
  <c r="K904" i="3"/>
  <c r="K887" i="3"/>
  <c r="K886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27" i="3"/>
  <c r="K822" i="3"/>
  <c r="K812" i="3"/>
  <c r="K803" i="3"/>
  <c r="K802" i="3"/>
  <c r="K799" i="3"/>
  <c r="K794" i="3"/>
  <c r="K789" i="3"/>
  <c r="K784" i="3"/>
  <c r="K779" i="3"/>
  <c r="K774" i="3"/>
  <c r="K769" i="3"/>
  <c r="K764" i="3"/>
  <c r="K759" i="3"/>
  <c r="K750" i="3"/>
  <c r="K749" i="3"/>
  <c r="K746" i="3"/>
  <c r="K741" i="3"/>
  <c r="K736" i="3"/>
  <c r="K731" i="3"/>
  <c r="K726" i="3"/>
  <c r="K721" i="3"/>
  <c r="K716" i="3"/>
  <c r="K711" i="3"/>
  <c r="K706" i="3"/>
  <c r="K701" i="3"/>
  <c r="K696" i="3"/>
  <c r="K691" i="3"/>
  <c r="K686" i="3"/>
  <c r="K681" i="3"/>
  <c r="K676" i="3"/>
  <c r="K671" i="3"/>
  <c r="K666" i="3"/>
  <c r="K661" i="3"/>
  <c r="K656" i="3"/>
  <c r="K649" i="3"/>
  <c r="L29" i="5" s="1"/>
  <c r="K634" i="3"/>
  <c r="K633" i="3"/>
  <c r="L25" i="5" s="1"/>
  <c r="K632" i="3"/>
  <c r="K628" i="3"/>
  <c r="K631" i="3" s="1"/>
  <c r="L24" i="5" s="1"/>
  <c r="K623" i="3"/>
  <c r="K618" i="3"/>
  <c r="K613" i="3"/>
  <c r="K608" i="3"/>
  <c r="K603" i="3"/>
  <c r="K598" i="3"/>
  <c r="K593" i="3"/>
  <c r="K588" i="3"/>
  <c r="K583" i="3"/>
  <c r="K578" i="3"/>
  <c r="K573" i="3"/>
  <c r="K568" i="3"/>
  <c r="K563" i="3"/>
  <c r="K558" i="3"/>
  <c r="K553" i="3"/>
  <c r="K548" i="3"/>
  <c r="K543" i="3"/>
  <c r="K538" i="3"/>
  <c r="K533" i="3"/>
  <c r="K528" i="3"/>
  <c r="K523" i="3"/>
  <c r="K507" i="3"/>
  <c r="K506" i="3"/>
  <c r="K505" i="3"/>
  <c r="K503" i="3"/>
  <c r="K502" i="3"/>
  <c r="K501" i="3"/>
  <c r="K497" i="3"/>
  <c r="K492" i="3"/>
  <c r="K487" i="3"/>
  <c r="K482" i="3"/>
  <c r="K477" i="3"/>
  <c r="K472" i="3"/>
  <c r="K467" i="3"/>
  <c r="K462" i="3"/>
  <c r="K457" i="3"/>
  <c r="K452" i="3"/>
  <c r="K447" i="3"/>
  <c r="K442" i="3"/>
  <c r="K437" i="3"/>
  <c r="K432" i="3"/>
  <c r="K427" i="3"/>
  <c r="K422" i="3"/>
  <c r="K417" i="3"/>
  <c r="K412" i="3"/>
  <c r="K407" i="3"/>
  <c r="K402" i="3"/>
  <c r="K397" i="3"/>
  <c r="K392" i="3"/>
  <c r="K387" i="3"/>
  <c r="K382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AR759" i="651"/>
  <c r="AR677" i="651"/>
  <c r="AR624" i="651"/>
  <c r="AR762" i="651"/>
  <c r="A2" i="657"/>
  <c r="J8" i="657"/>
  <c r="J9" i="657" s="1"/>
  <c r="J10" i="657" s="1"/>
  <c r="J11" i="657" s="1"/>
  <c r="J12" i="657" s="1"/>
  <c r="J13" i="657" s="1"/>
  <c r="J14" i="657" s="1"/>
  <c r="J15" i="657" s="1"/>
  <c r="J16" i="657" s="1"/>
  <c r="J17" i="657" s="1"/>
  <c r="J18" i="657" s="1"/>
  <c r="J19" i="657" s="1"/>
  <c r="J20" i="657" s="1"/>
  <c r="J21" i="657" s="1"/>
  <c r="J22" i="657" s="1"/>
  <c r="J23" i="657" s="1"/>
  <c r="K37" i="652"/>
  <c r="H41" i="652"/>
  <c r="A20" i="137"/>
  <c r="A22" i="137" s="1"/>
  <c r="A25" i="137" s="1"/>
  <c r="A26" i="137" s="1"/>
  <c r="F350" i="15"/>
  <c r="K350" i="15" s="1"/>
  <c r="F349" i="15"/>
  <c r="F357" i="15" s="1"/>
  <c r="F346" i="15"/>
  <c r="F342" i="15"/>
  <c r="F343" i="6" s="1"/>
  <c r="F333" i="15"/>
  <c r="F334" i="6" s="1"/>
  <c r="F305" i="15"/>
  <c r="F306" i="6" s="1"/>
  <c r="F296" i="15"/>
  <c r="F297" i="6" s="1"/>
  <c r="F227" i="15"/>
  <c r="K227" i="15" s="1"/>
  <c r="F181" i="15"/>
  <c r="F182" i="6" s="1"/>
  <c r="F54" i="15"/>
  <c r="F52" i="15"/>
  <c r="F31" i="15"/>
  <c r="F32" i="6" s="1"/>
  <c r="F24" i="15"/>
  <c r="F25" i="6" s="1"/>
  <c r="F196" i="15"/>
  <c r="F35" i="15"/>
  <c r="F36" i="6" s="1"/>
  <c r="F44" i="15"/>
  <c r="F45" i="6" s="1"/>
  <c r="F49" i="15"/>
  <c r="F50" i="6" s="1"/>
  <c r="F53" i="15"/>
  <c r="F54" i="6" s="1"/>
  <c r="F64" i="15"/>
  <c r="F65" i="6" s="1"/>
  <c r="F78" i="15"/>
  <c r="F79" i="6" s="1"/>
  <c r="F89" i="15"/>
  <c r="F90" i="6" s="1"/>
  <c r="F109" i="15"/>
  <c r="F110" i="6" s="1"/>
  <c r="F125" i="15"/>
  <c r="F126" i="6" s="1"/>
  <c r="F132" i="15"/>
  <c r="F136" i="15"/>
  <c r="F137" i="6" s="1"/>
  <c r="F141" i="15"/>
  <c r="F166" i="15"/>
  <c r="F167" i="6" s="1"/>
  <c r="F245" i="15"/>
  <c r="F246" i="6" s="1"/>
  <c r="F269" i="15"/>
  <c r="F270" i="6" s="1"/>
  <c r="F297" i="15"/>
  <c r="F308" i="15"/>
  <c r="F309" i="6" s="1"/>
  <c r="F40" i="15"/>
  <c r="F41" i="6" s="1"/>
  <c r="F73" i="15"/>
  <c r="F74" i="6" s="1"/>
  <c r="F80" i="15"/>
  <c r="F81" i="6" s="1"/>
  <c r="F94" i="15"/>
  <c r="F95" i="6" s="1"/>
  <c r="F96" i="15"/>
  <c r="F98" i="15"/>
  <c r="F99" i="6" s="1"/>
  <c r="F103" i="15"/>
  <c r="F104" i="6" s="1"/>
  <c r="F123" i="15"/>
  <c r="F139" i="15"/>
  <c r="F140" i="6" s="1"/>
  <c r="F152" i="15"/>
  <c r="F153" i="6" s="1"/>
  <c r="F154" i="15"/>
  <c r="F155" i="6" s="1"/>
  <c r="F168" i="15"/>
  <c r="F170" i="15"/>
  <c r="F171" i="6" s="1"/>
  <c r="F175" i="15"/>
  <c r="F176" i="6" s="1"/>
  <c r="F195" i="15"/>
  <c r="F234" i="15"/>
  <c r="F252" i="15"/>
  <c r="F261" i="15"/>
  <c r="F265" i="15"/>
  <c r="F266" i="6" s="1"/>
  <c r="F281" i="15"/>
  <c r="F282" i="6" s="1"/>
  <c r="F285" i="15"/>
  <c r="F286" i="6" s="1"/>
  <c r="F292" i="15"/>
  <c r="F293" i="6" s="1"/>
  <c r="F310" i="15"/>
  <c r="Q200" i="3"/>
  <c r="P200" i="3"/>
  <c r="O200" i="3"/>
  <c r="N200" i="3"/>
  <c r="M200" i="3"/>
  <c r="L200" i="3"/>
  <c r="J200" i="3"/>
  <c r="F200" i="3"/>
  <c r="U321" i="6"/>
  <c r="R321" i="6"/>
  <c r="U320" i="6"/>
  <c r="R320" i="6"/>
  <c r="A2" i="595"/>
  <c r="O2" i="595" s="1"/>
  <c r="AW1243" i="3"/>
  <c r="AX1243" i="3" s="1"/>
  <c r="AW1225" i="3"/>
  <c r="AX1225" i="3" s="1"/>
  <c r="AW1224" i="3"/>
  <c r="AX1224" i="3" s="1"/>
  <c r="AW1221" i="3"/>
  <c r="AX1221" i="3" s="1"/>
  <c r="AW313" i="3"/>
  <c r="AW304" i="3"/>
  <c r="AW295" i="3"/>
  <c r="G295" i="6" s="1"/>
  <c r="AW268" i="3"/>
  <c r="AW259" i="3"/>
  <c r="G259" i="6" s="1"/>
  <c r="AW250" i="3"/>
  <c r="G250" i="6" s="1"/>
  <c r="AW241" i="3"/>
  <c r="G241" i="6" s="1"/>
  <c r="E241" i="6" s="1"/>
  <c r="I23" i="20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H505" i="3"/>
  <c r="H506" i="3"/>
  <c r="H618" i="3"/>
  <c r="H623" i="3"/>
  <c r="H628" i="3"/>
  <c r="H631" i="3" s="1"/>
  <c r="I24" i="5" s="1"/>
  <c r="H632" i="3"/>
  <c r="H633" i="3"/>
  <c r="I25" i="5" s="1"/>
  <c r="H634" i="3"/>
  <c r="H789" i="3"/>
  <c r="H794" i="3"/>
  <c r="H802" i="3"/>
  <c r="E802" i="6" s="1"/>
  <c r="H1199" i="3"/>
  <c r="H1200" i="3"/>
  <c r="H1201" i="3"/>
  <c r="H1202" i="3"/>
  <c r="O11" i="1"/>
  <c r="O12" i="1" s="1"/>
  <c r="O13" i="1" s="1"/>
  <c r="O14" i="1" s="1"/>
  <c r="O15" i="1" s="1"/>
  <c r="O16" i="1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B2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H323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45" i="2"/>
  <c r="M57" i="2"/>
  <c r="M58" i="2"/>
  <c r="N71" i="2"/>
  <c r="M71" i="2" s="1"/>
  <c r="N72" i="2"/>
  <c r="M72" i="2" s="1"/>
  <c r="M74" i="2"/>
  <c r="N75" i="2"/>
  <c r="M75" i="2" s="1"/>
  <c r="N77" i="2"/>
  <c r="F7" i="2"/>
  <c r="T14" i="533"/>
  <c r="U14" i="533" s="1"/>
  <c r="T21" i="533"/>
  <c r="U21" i="533" s="1"/>
  <c r="T23" i="533"/>
  <c r="U23" i="533" s="1"/>
  <c r="T30" i="533"/>
  <c r="U30" i="533" s="1"/>
  <c r="T204" i="533"/>
  <c r="F7" i="52"/>
  <c r="F8" i="52" s="1"/>
  <c r="F9" i="52" s="1"/>
  <c r="F10" i="52" s="1"/>
  <c r="F11" i="52" s="1"/>
  <c r="F12" i="52" s="1"/>
  <c r="F13" i="52" s="1"/>
  <c r="F14" i="52" s="1"/>
  <c r="F15" i="52" s="1"/>
  <c r="F16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I2" i="52"/>
  <c r="A2" i="50"/>
  <c r="B2" i="14"/>
  <c r="L8" i="14"/>
  <c r="L9" i="14" s="1"/>
  <c r="L10" i="14" s="1"/>
  <c r="L11" i="14" s="1"/>
  <c r="L12" i="14" s="1"/>
  <c r="L13" i="14" s="1"/>
  <c r="L14" i="14" s="1"/>
  <c r="J15" i="14" s="1"/>
  <c r="M9" i="15"/>
  <c r="M10" i="15" s="1"/>
  <c r="M11" i="15" s="1"/>
  <c r="M12" i="15" s="1"/>
  <c r="M13" i="15" s="1"/>
  <c r="M14" i="15" s="1"/>
  <c r="M15" i="15" s="1"/>
  <c r="M16" i="15" s="1"/>
  <c r="M17" i="15" s="1"/>
  <c r="M18" i="15" s="1"/>
  <c r="M19" i="15" s="1"/>
  <c r="M20" i="15" s="1"/>
  <c r="M21" i="15" s="1"/>
  <c r="M22" i="15" s="1"/>
  <c r="M23" i="15" s="1"/>
  <c r="M24" i="15" s="1"/>
  <c r="M25" i="15" s="1"/>
  <c r="M26" i="15" s="1"/>
  <c r="M27" i="15" s="1"/>
  <c r="M28" i="15" s="1"/>
  <c r="M29" i="15" s="1"/>
  <c r="M30" i="15" s="1"/>
  <c r="M31" i="15" s="1"/>
  <c r="M32" i="15" s="1"/>
  <c r="M33" i="15" s="1"/>
  <c r="M34" i="15" s="1"/>
  <c r="M35" i="15" s="1"/>
  <c r="M36" i="15" s="1"/>
  <c r="M37" i="15" s="1"/>
  <c r="M38" i="15" s="1"/>
  <c r="M39" i="15" s="1"/>
  <c r="M40" i="15" s="1"/>
  <c r="M41" i="15" s="1"/>
  <c r="M42" i="15" s="1"/>
  <c r="M43" i="15" s="1"/>
  <c r="M44" i="15" s="1"/>
  <c r="M45" i="15" s="1"/>
  <c r="M46" i="15" s="1"/>
  <c r="M47" i="15" s="1"/>
  <c r="M48" i="15" s="1"/>
  <c r="M49" i="15" s="1"/>
  <c r="M50" i="15" s="1"/>
  <c r="M51" i="15" s="1"/>
  <c r="M52" i="15" s="1"/>
  <c r="M53" i="15" s="1"/>
  <c r="M54" i="15" s="1"/>
  <c r="M55" i="15" s="1"/>
  <c r="M56" i="15" s="1"/>
  <c r="M57" i="15" s="1"/>
  <c r="M58" i="15" s="1"/>
  <c r="M59" i="15" s="1"/>
  <c r="M60" i="15" s="1"/>
  <c r="M61" i="15" s="1"/>
  <c r="M62" i="15" s="1"/>
  <c r="M63" i="15" s="1"/>
  <c r="M64" i="15" s="1"/>
  <c r="M65" i="15" s="1"/>
  <c r="M66" i="15" s="1"/>
  <c r="M67" i="15" s="1"/>
  <c r="M68" i="15" s="1"/>
  <c r="M69" i="15" s="1"/>
  <c r="M70" i="15" s="1"/>
  <c r="M71" i="15" s="1"/>
  <c r="M72" i="15" s="1"/>
  <c r="M73" i="15" s="1"/>
  <c r="M74" i="15" s="1"/>
  <c r="M75" i="15" s="1"/>
  <c r="M76" i="15" s="1"/>
  <c r="M77" i="15" s="1"/>
  <c r="M78" i="15" s="1"/>
  <c r="M79" i="15" s="1"/>
  <c r="M80" i="15" s="1"/>
  <c r="M81" i="15" s="1"/>
  <c r="M82" i="15" s="1"/>
  <c r="M83" i="15" s="1"/>
  <c r="M84" i="15" s="1"/>
  <c r="M85" i="15" s="1"/>
  <c r="M86" i="15" s="1"/>
  <c r="M87" i="15" s="1"/>
  <c r="M88" i="15" s="1"/>
  <c r="M89" i="15" s="1"/>
  <c r="M90" i="15" s="1"/>
  <c r="M91" i="15" s="1"/>
  <c r="M92" i="15" s="1"/>
  <c r="M93" i="15" s="1"/>
  <c r="M94" i="15" s="1"/>
  <c r="M95" i="15" s="1"/>
  <c r="M96" i="15" s="1"/>
  <c r="M97" i="15" s="1"/>
  <c r="M98" i="15" s="1"/>
  <c r="M99" i="15" s="1"/>
  <c r="M100" i="15" s="1"/>
  <c r="M101" i="15" s="1"/>
  <c r="M102" i="15" s="1"/>
  <c r="M103" i="15" s="1"/>
  <c r="M104" i="15" s="1"/>
  <c r="M105" i="15" s="1"/>
  <c r="M106" i="15" s="1"/>
  <c r="M107" i="15" s="1"/>
  <c r="M108" i="15" s="1"/>
  <c r="M109" i="15" s="1"/>
  <c r="M110" i="15" s="1"/>
  <c r="M111" i="15" s="1"/>
  <c r="M112" i="15" s="1"/>
  <c r="M113" i="15" s="1"/>
  <c r="M114" i="15" s="1"/>
  <c r="M115" i="15" s="1"/>
  <c r="M116" i="15" s="1"/>
  <c r="M117" i="15" s="1"/>
  <c r="M118" i="15" s="1"/>
  <c r="M119" i="15" s="1"/>
  <c r="M120" i="15" s="1"/>
  <c r="M121" i="15" s="1"/>
  <c r="M122" i="15" s="1"/>
  <c r="M123" i="15" s="1"/>
  <c r="M124" i="15" s="1"/>
  <c r="M125" i="15" s="1"/>
  <c r="M126" i="15" s="1"/>
  <c r="M127" i="15" s="1"/>
  <c r="M128" i="15" s="1"/>
  <c r="M129" i="15" s="1"/>
  <c r="M130" i="15" s="1"/>
  <c r="M131" i="15" s="1"/>
  <c r="M132" i="15" s="1"/>
  <c r="M133" i="15" s="1"/>
  <c r="M134" i="15" s="1"/>
  <c r="M135" i="15" s="1"/>
  <c r="M136" i="15" s="1"/>
  <c r="M137" i="15" s="1"/>
  <c r="M138" i="15" s="1"/>
  <c r="M139" i="15" s="1"/>
  <c r="M140" i="15" s="1"/>
  <c r="M141" i="15" s="1"/>
  <c r="M142" i="15" s="1"/>
  <c r="M143" i="15" s="1"/>
  <c r="M144" i="15" s="1"/>
  <c r="M145" i="15" s="1"/>
  <c r="M146" i="15" s="1"/>
  <c r="M147" i="15" s="1"/>
  <c r="M148" i="15" s="1"/>
  <c r="M149" i="15" s="1"/>
  <c r="M150" i="15" s="1"/>
  <c r="M151" i="15" s="1"/>
  <c r="M152" i="15" s="1"/>
  <c r="M153" i="15" s="1"/>
  <c r="M154" i="15" s="1"/>
  <c r="M155" i="15" s="1"/>
  <c r="M156" i="15" s="1"/>
  <c r="M157" i="15" s="1"/>
  <c r="M158" i="15" s="1"/>
  <c r="M159" i="15" s="1"/>
  <c r="M160" i="15" s="1"/>
  <c r="M161" i="15" s="1"/>
  <c r="M162" i="15" s="1"/>
  <c r="M163" i="15" s="1"/>
  <c r="M164" i="15" s="1"/>
  <c r="M165" i="15" s="1"/>
  <c r="M166" i="15" s="1"/>
  <c r="M167" i="15" s="1"/>
  <c r="M168" i="15" s="1"/>
  <c r="M169" i="15" s="1"/>
  <c r="M170" i="15" s="1"/>
  <c r="M171" i="15" s="1"/>
  <c r="M172" i="15" s="1"/>
  <c r="M173" i="15" s="1"/>
  <c r="M174" i="15" s="1"/>
  <c r="M175" i="15" s="1"/>
  <c r="M176" i="15" s="1"/>
  <c r="M177" i="15" s="1"/>
  <c r="M178" i="15" s="1"/>
  <c r="M179" i="15" s="1"/>
  <c r="M180" i="15" s="1"/>
  <c r="M181" i="15" s="1"/>
  <c r="M182" i="15" s="1"/>
  <c r="M183" i="15" s="1"/>
  <c r="M184" i="15" s="1"/>
  <c r="M185" i="15" s="1"/>
  <c r="M186" i="15" s="1"/>
  <c r="M187" i="15" s="1"/>
  <c r="M188" i="15" s="1"/>
  <c r="M189" i="15" s="1"/>
  <c r="M190" i="15" s="1"/>
  <c r="M191" i="15" s="1"/>
  <c r="M192" i="15" s="1"/>
  <c r="M193" i="15" s="1"/>
  <c r="M194" i="15" s="1"/>
  <c r="M195" i="15" s="1"/>
  <c r="M196" i="15" s="1"/>
  <c r="M197" i="15" s="1"/>
  <c r="M198" i="15" s="1"/>
  <c r="M199" i="15" s="1"/>
  <c r="M200" i="15" s="1"/>
  <c r="M201" i="15" s="1"/>
  <c r="M202" i="15" s="1"/>
  <c r="M203" i="15" s="1"/>
  <c r="M204" i="15" s="1"/>
  <c r="M205" i="15" s="1"/>
  <c r="M206" i="15" s="1"/>
  <c r="M207" i="15" s="1"/>
  <c r="M208" i="15" s="1"/>
  <c r="M209" i="15" s="1"/>
  <c r="M210" i="15" s="1"/>
  <c r="M211" i="15" s="1"/>
  <c r="M212" i="15" s="1"/>
  <c r="M213" i="15" s="1"/>
  <c r="M214" i="15" s="1"/>
  <c r="M215" i="15" s="1"/>
  <c r="M216" i="15" s="1"/>
  <c r="M217" i="15" s="1"/>
  <c r="M218" i="15" s="1"/>
  <c r="M219" i="15" s="1"/>
  <c r="M220" i="15" s="1"/>
  <c r="M221" i="15" s="1"/>
  <c r="M222" i="15" s="1"/>
  <c r="M223" i="15" s="1"/>
  <c r="M224" i="15" s="1"/>
  <c r="M225" i="15" s="1"/>
  <c r="M226" i="15" s="1"/>
  <c r="M227" i="15" s="1"/>
  <c r="M228" i="15" s="1"/>
  <c r="M229" i="15" s="1"/>
  <c r="M230" i="15" s="1"/>
  <c r="M231" i="15" s="1"/>
  <c r="M232" i="15" s="1"/>
  <c r="M233" i="15" s="1"/>
  <c r="M234" i="15" s="1"/>
  <c r="M235" i="15" s="1"/>
  <c r="M236" i="15" s="1"/>
  <c r="M237" i="15" s="1"/>
  <c r="M238" i="15" s="1"/>
  <c r="M239" i="15" s="1"/>
  <c r="M240" i="15" s="1"/>
  <c r="M241" i="15" s="1"/>
  <c r="M242" i="15" s="1"/>
  <c r="M243" i="15" s="1"/>
  <c r="M244" i="15" s="1"/>
  <c r="M245" i="15" s="1"/>
  <c r="M246" i="15" s="1"/>
  <c r="M247" i="15" s="1"/>
  <c r="M248" i="15" s="1"/>
  <c r="M249" i="15" s="1"/>
  <c r="M250" i="15" s="1"/>
  <c r="M251" i="15" s="1"/>
  <c r="M252" i="15" s="1"/>
  <c r="M253" i="15" s="1"/>
  <c r="M254" i="15" s="1"/>
  <c r="M255" i="15" s="1"/>
  <c r="M256" i="15" s="1"/>
  <c r="M257" i="15" s="1"/>
  <c r="M258" i="15" s="1"/>
  <c r="M259" i="15" s="1"/>
  <c r="M260" i="15" s="1"/>
  <c r="M261" i="15" s="1"/>
  <c r="M262" i="15" s="1"/>
  <c r="M263" i="15" s="1"/>
  <c r="M264" i="15" s="1"/>
  <c r="M265" i="15" s="1"/>
  <c r="M266" i="15" s="1"/>
  <c r="M267" i="15" s="1"/>
  <c r="M268" i="15" s="1"/>
  <c r="M269" i="15" s="1"/>
  <c r="M270" i="15" s="1"/>
  <c r="M271" i="15" s="1"/>
  <c r="M272" i="15" s="1"/>
  <c r="M273" i="15" s="1"/>
  <c r="M274" i="15" s="1"/>
  <c r="M275" i="15" s="1"/>
  <c r="M276" i="15" s="1"/>
  <c r="M277" i="15" s="1"/>
  <c r="M278" i="15" s="1"/>
  <c r="M279" i="15" s="1"/>
  <c r="M280" i="15" s="1"/>
  <c r="M281" i="15" s="1"/>
  <c r="M282" i="15" s="1"/>
  <c r="M283" i="15" s="1"/>
  <c r="M284" i="15" s="1"/>
  <c r="M285" i="15" s="1"/>
  <c r="M286" i="15" s="1"/>
  <c r="M287" i="15" s="1"/>
  <c r="M288" i="15" s="1"/>
  <c r="M289" i="15" s="1"/>
  <c r="M290" i="15" s="1"/>
  <c r="M291" i="15" s="1"/>
  <c r="M292" i="15" s="1"/>
  <c r="M293" i="15" s="1"/>
  <c r="M294" i="15" s="1"/>
  <c r="M295" i="15" s="1"/>
  <c r="M296" i="15" s="1"/>
  <c r="M297" i="15" s="1"/>
  <c r="M298" i="15" s="1"/>
  <c r="M299" i="15" s="1"/>
  <c r="M300" i="15" s="1"/>
  <c r="M301" i="15" s="1"/>
  <c r="M302" i="15" s="1"/>
  <c r="M303" i="15" s="1"/>
  <c r="M304" i="15" s="1"/>
  <c r="M305" i="15" s="1"/>
  <c r="M306" i="15" s="1"/>
  <c r="M307" i="15" s="1"/>
  <c r="M308" i="15" s="1"/>
  <c r="M309" i="15" s="1"/>
  <c r="M310" i="15" s="1"/>
  <c r="M311" i="15" s="1"/>
  <c r="M312" i="15" s="1"/>
  <c r="M313" i="15" s="1"/>
  <c r="M314" i="15" s="1"/>
  <c r="M315" i="15" s="1"/>
  <c r="M316" i="15" s="1"/>
  <c r="M317" i="15" s="1"/>
  <c r="M318" i="15" s="1"/>
  <c r="M319" i="15" s="1"/>
  <c r="M320" i="15" s="1"/>
  <c r="M321" i="15" s="1"/>
  <c r="M322" i="15" s="1"/>
  <c r="M323" i="15" s="1"/>
  <c r="M324" i="15" s="1"/>
  <c r="M325" i="15" s="1"/>
  <c r="M326" i="15" s="1"/>
  <c r="M327" i="15" s="1"/>
  <c r="M328" i="15" s="1"/>
  <c r="M329" i="15" s="1"/>
  <c r="M330" i="15" s="1"/>
  <c r="M331" i="15" s="1"/>
  <c r="M332" i="15" s="1"/>
  <c r="M333" i="15" s="1"/>
  <c r="M334" i="15" s="1"/>
  <c r="M335" i="15" s="1"/>
  <c r="M336" i="15" s="1"/>
  <c r="M337" i="15" s="1"/>
  <c r="M338" i="15" s="1"/>
  <c r="M339" i="15" s="1"/>
  <c r="M340" i="15" s="1"/>
  <c r="M341" i="15" s="1"/>
  <c r="M342" i="15" s="1"/>
  <c r="M343" i="15" s="1"/>
  <c r="M344" i="15" s="1"/>
  <c r="M345" i="15" s="1"/>
  <c r="M346" i="15" s="1"/>
  <c r="M347" i="15" s="1"/>
  <c r="M348" i="15" s="1"/>
  <c r="M349" i="15" s="1"/>
  <c r="M350" i="15" s="1"/>
  <c r="M351" i="15" s="1"/>
  <c r="M352" i="15" s="1"/>
  <c r="M353" i="15" s="1"/>
  <c r="M354" i="15" s="1"/>
  <c r="M355" i="15" s="1"/>
  <c r="M356" i="15" s="1"/>
  <c r="M357" i="15" s="1"/>
  <c r="M358" i="15" s="1"/>
  <c r="M359" i="15" s="1"/>
  <c r="M360" i="15" s="1"/>
  <c r="M361" i="15" s="1"/>
  <c r="M362" i="15" s="1"/>
  <c r="M363" i="15" s="1"/>
  <c r="M364" i="15" s="1"/>
  <c r="M365" i="15" s="1"/>
  <c r="M366" i="15" s="1"/>
  <c r="M367" i="15" s="1"/>
  <c r="M368" i="15" s="1"/>
  <c r="M369" i="15" s="1"/>
  <c r="M370" i="15" s="1"/>
  <c r="M371" i="15" s="1"/>
  <c r="K275" i="15"/>
  <c r="K277" i="15"/>
  <c r="K280" i="15"/>
  <c r="K282" i="15"/>
  <c r="K284" i="15"/>
  <c r="K286" i="15"/>
  <c r="K289" i="15"/>
  <c r="K291" i="15"/>
  <c r="K293" i="15"/>
  <c r="K294" i="15"/>
  <c r="K295" i="15"/>
  <c r="K298" i="15"/>
  <c r="K300" i="15"/>
  <c r="K302" i="15"/>
  <c r="K303" i="15"/>
  <c r="K304" i="15"/>
  <c r="K307" i="15"/>
  <c r="K309" i="15"/>
  <c r="K311" i="15"/>
  <c r="K312" i="15"/>
  <c r="K313" i="15"/>
  <c r="K316" i="15"/>
  <c r="K321" i="15"/>
  <c r="K327" i="15"/>
  <c r="K331" i="15"/>
  <c r="K332" i="15"/>
  <c r="K334" i="15"/>
  <c r="K335" i="15"/>
  <c r="K336" i="15"/>
  <c r="K339" i="15"/>
  <c r="K341" i="15"/>
  <c r="K343" i="15"/>
  <c r="K344" i="15"/>
  <c r="K345" i="15"/>
  <c r="K348" i="15"/>
  <c r="K351" i="15"/>
  <c r="F353" i="15"/>
  <c r="K355" i="15"/>
  <c r="K359" i="15"/>
  <c r="K360" i="15"/>
  <c r="K361" i="15"/>
  <c r="K368" i="15"/>
  <c r="A2" i="33"/>
  <c r="J2" i="33"/>
  <c r="J3" i="33" s="1"/>
  <c r="J4" i="33" s="1"/>
  <c r="J5" i="33" s="1"/>
  <c r="J6" i="33" s="1"/>
  <c r="J7" i="33" s="1"/>
  <c r="J8" i="33" s="1"/>
  <c r="J9" i="33" s="1"/>
  <c r="J10" i="33" s="1"/>
  <c r="J11" i="33" s="1"/>
  <c r="J12" i="33" s="1"/>
  <c r="J13" i="33" s="1"/>
  <c r="J14" i="33" s="1"/>
  <c r="J15" i="33" s="1"/>
  <c r="J16" i="33" s="1"/>
  <c r="J17" i="33" s="1"/>
  <c r="J18" i="33" s="1"/>
  <c r="J19" i="33" s="1"/>
  <c r="J20" i="33" s="1"/>
  <c r="J21" i="33" s="1"/>
  <c r="J22" i="33" s="1"/>
  <c r="J23" i="33" s="1"/>
  <c r="J24" i="33" s="1"/>
  <c r="J25" i="33" s="1"/>
  <c r="J26" i="33" s="1"/>
  <c r="A2" i="594"/>
  <c r="K2" i="594" s="1"/>
  <c r="AA2" i="594" s="1"/>
  <c r="T2" i="594" s="1"/>
  <c r="A2" i="42"/>
  <c r="A2" i="137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M7" i="139"/>
  <c r="M8" i="139" s="1"/>
  <c r="M9" i="139" s="1"/>
  <c r="M10" i="139" s="1"/>
  <c r="M11" i="139" s="1"/>
  <c r="M12" i="139" s="1"/>
  <c r="M13" i="139" s="1"/>
  <c r="M14" i="139" s="1"/>
  <c r="M15" i="139" s="1"/>
  <c r="M16" i="139" s="1"/>
  <c r="M17" i="139" s="1"/>
  <c r="M18" i="139" s="1"/>
  <c r="M19" i="139" s="1"/>
  <c r="M20" i="139" s="1"/>
  <c r="M21" i="139" s="1"/>
  <c r="M22" i="139" s="1"/>
  <c r="M23" i="139" s="1"/>
  <c r="M24" i="139" s="1"/>
  <c r="M25" i="139" s="1"/>
  <c r="M26" i="139" s="1"/>
  <c r="M27" i="139" s="1"/>
  <c r="M28" i="139" s="1"/>
  <c r="M29" i="139" s="1"/>
  <c r="M30" i="139" s="1"/>
  <c r="M31" i="139" s="1"/>
  <c r="M32" i="139" s="1"/>
  <c r="M33" i="139" s="1"/>
  <c r="M34" i="139" s="1"/>
  <c r="M35" i="139" s="1"/>
  <c r="M36" i="139" s="1"/>
  <c r="M37" i="139" s="1"/>
  <c r="M38" i="139" s="1"/>
  <c r="M39" i="139" s="1"/>
  <c r="M40" i="139" s="1"/>
  <c r="M41" i="139" s="1"/>
  <c r="M42" i="139" s="1"/>
  <c r="M43" i="139" s="1"/>
  <c r="M44" i="139" s="1"/>
  <c r="M45" i="139" s="1"/>
  <c r="M46" i="139" s="1"/>
  <c r="M47" i="139" s="1"/>
  <c r="M48" i="139" s="1"/>
  <c r="M49" i="139" s="1"/>
  <c r="M50" i="139" s="1"/>
  <c r="M51" i="139" s="1"/>
  <c r="M52" i="139" s="1"/>
  <c r="M53" i="139" s="1"/>
  <c r="M54" i="139" s="1"/>
  <c r="M55" i="139" s="1"/>
  <c r="M56" i="139" s="1"/>
  <c r="M57" i="139" s="1"/>
  <c r="M58" i="139" s="1"/>
  <c r="M59" i="139" s="1"/>
  <c r="M60" i="139" s="1"/>
  <c r="M61" i="139" s="1"/>
  <c r="M62" i="139" s="1"/>
  <c r="M63" i="139" s="1"/>
  <c r="M64" i="139" s="1"/>
  <c r="M65" i="139" s="1"/>
  <c r="M66" i="139" s="1"/>
  <c r="M67" i="139" s="1"/>
  <c r="M68" i="139" s="1"/>
  <c r="M69" i="139" s="1"/>
  <c r="M70" i="139" s="1"/>
  <c r="M71" i="139" s="1"/>
  <c r="M72" i="139" s="1"/>
  <c r="M73" i="139" s="1"/>
  <c r="M74" i="139" s="1"/>
  <c r="M75" i="139" s="1"/>
  <c r="M76" i="139" s="1"/>
  <c r="M77" i="139" s="1"/>
  <c r="M78" i="139" s="1"/>
  <c r="M79" i="139" s="1"/>
  <c r="M80" i="139" s="1"/>
  <c r="M81" i="139" s="1"/>
  <c r="M82" i="139" s="1"/>
  <c r="M83" i="139" s="1"/>
  <c r="M84" i="139" s="1"/>
  <c r="M85" i="139" s="1"/>
  <c r="M86" i="139" s="1"/>
  <c r="M87" i="139" s="1"/>
  <c r="M88" i="139" s="1"/>
  <c r="M89" i="139" s="1"/>
  <c r="M90" i="139" s="1"/>
  <c r="M91" i="139" s="1"/>
  <c r="M92" i="139" s="1"/>
  <c r="M93" i="139" s="1"/>
  <c r="M94" i="139" s="1"/>
  <c r="M95" i="139" s="1"/>
  <c r="M96" i="139" s="1"/>
  <c r="M97" i="139" s="1"/>
  <c r="M98" i="139" s="1"/>
  <c r="M99" i="139" s="1"/>
  <c r="M100" i="139" s="1"/>
  <c r="M101" i="139" s="1"/>
  <c r="M102" i="139" s="1"/>
  <c r="M103" i="139" s="1"/>
  <c r="M104" i="139" s="1"/>
  <c r="M105" i="139" s="1"/>
  <c r="M106" i="139" s="1"/>
  <c r="M107" i="139" s="1"/>
  <c r="M108" i="139" s="1"/>
  <c r="M109" i="139" s="1"/>
  <c r="M110" i="139" s="1"/>
  <c r="M111" i="139" s="1"/>
  <c r="M112" i="139" s="1"/>
  <c r="M113" i="139" s="1"/>
  <c r="M114" i="139" s="1"/>
  <c r="M115" i="139" s="1"/>
  <c r="M116" i="139" s="1"/>
  <c r="M117" i="139" s="1"/>
  <c r="M118" i="139" s="1"/>
  <c r="M119" i="139" s="1"/>
  <c r="M120" i="139" s="1"/>
  <c r="M121" i="139" s="1"/>
  <c r="M122" i="139" s="1"/>
  <c r="M123" i="139" s="1"/>
  <c r="M124" i="139" s="1"/>
  <c r="M125" i="139" s="1"/>
  <c r="M126" i="139" s="1"/>
  <c r="M127" i="139" s="1"/>
  <c r="M128" i="139" s="1"/>
  <c r="M129" i="139" s="1"/>
  <c r="M130" i="139" s="1"/>
  <c r="M131" i="139" s="1"/>
  <c r="M132" i="139" s="1"/>
  <c r="M133" i="139" s="1"/>
  <c r="M134" i="139" s="1"/>
  <c r="M135" i="139" s="1"/>
  <c r="M136" i="139" s="1"/>
  <c r="M137" i="139" s="1"/>
  <c r="M138" i="139" s="1"/>
  <c r="M139" i="139" s="1"/>
  <c r="M140" i="139" s="1"/>
  <c r="M141" i="139" s="1"/>
  <c r="M142" i="139" s="1"/>
  <c r="M143" i="139" s="1"/>
  <c r="M144" i="139" s="1"/>
  <c r="M145" i="139" s="1"/>
  <c r="M146" i="139" s="1"/>
  <c r="M147" i="139" s="1"/>
  <c r="M148" i="139" s="1"/>
  <c r="M149" i="139" s="1"/>
  <c r="M150" i="139" s="1"/>
  <c r="M151" i="139" s="1"/>
  <c r="M152" i="139" s="1"/>
  <c r="M153" i="139" s="1"/>
  <c r="M154" i="139" s="1"/>
  <c r="M155" i="139" s="1"/>
  <c r="M156" i="139" s="1"/>
  <c r="M157" i="139" s="1"/>
  <c r="M158" i="139" s="1"/>
  <c r="M159" i="139" s="1"/>
  <c r="M160" i="139" s="1"/>
  <c r="M161" i="139" s="1"/>
  <c r="M162" i="139" s="1"/>
  <c r="M163" i="139" s="1"/>
  <c r="M164" i="139" s="1"/>
  <c r="M165" i="139" s="1"/>
  <c r="M166" i="139" s="1"/>
  <c r="M167" i="139" s="1"/>
  <c r="M168" i="139" s="1"/>
  <c r="M169" i="139" s="1"/>
  <c r="M170" i="139" s="1"/>
  <c r="M171" i="139" s="1"/>
  <c r="M172" i="139" s="1"/>
  <c r="M173" i="139" s="1"/>
  <c r="M174" i="139" s="1"/>
  <c r="M175" i="139" s="1"/>
  <c r="M176" i="139" s="1"/>
  <c r="M177" i="139" s="1"/>
  <c r="M178" i="139" s="1"/>
  <c r="M179" i="139" s="1"/>
  <c r="M180" i="139" s="1"/>
  <c r="M181" i="139" s="1"/>
  <c r="M182" i="139" s="1"/>
  <c r="M183" i="139" s="1"/>
  <c r="M184" i="139" s="1"/>
  <c r="M185" i="139" s="1"/>
  <c r="M186" i="139" s="1"/>
  <c r="M187" i="139" s="1"/>
  <c r="M188" i="139" s="1"/>
  <c r="M189" i="139" s="1"/>
  <c r="M190" i="139" s="1"/>
  <c r="M191" i="139" s="1"/>
  <c r="M192" i="139" s="1"/>
  <c r="M193" i="139" s="1"/>
  <c r="M194" i="139" s="1"/>
  <c r="M195" i="139" s="1"/>
  <c r="M196" i="139" s="1"/>
  <c r="M197" i="139" s="1"/>
  <c r="M198" i="139" s="1"/>
  <c r="M199" i="139" s="1"/>
  <c r="M200" i="139" s="1"/>
  <c r="M201" i="139" s="1"/>
  <c r="M202" i="139" s="1"/>
  <c r="M203" i="139" s="1"/>
  <c r="M204" i="139" s="1"/>
  <c r="M205" i="139" s="1"/>
  <c r="M206" i="139" s="1"/>
  <c r="M207" i="139" s="1"/>
  <c r="M208" i="139" s="1"/>
  <c r="M209" i="139" s="1"/>
  <c r="M210" i="139" s="1"/>
  <c r="M211" i="139" s="1"/>
  <c r="M212" i="139" s="1"/>
  <c r="M213" i="139" s="1"/>
  <c r="M214" i="139" s="1"/>
  <c r="M215" i="139" s="1"/>
  <c r="M216" i="139" s="1"/>
  <c r="M217" i="139" s="1"/>
  <c r="M218" i="139" s="1"/>
  <c r="M219" i="139" s="1"/>
  <c r="M220" i="139" s="1"/>
  <c r="M221" i="139" s="1"/>
  <c r="M222" i="139" s="1"/>
  <c r="M223" i="139" s="1"/>
  <c r="M224" i="139" s="1"/>
  <c r="M225" i="139" s="1"/>
  <c r="M226" i="139" s="1"/>
  <c r="M227" i="139" s="1"/>
  <c r="M228" i="139" s="1"/>
  <c r="M229" i="139" s="1"/>
  <c r="M230" i="139" s="1"/>
  <c r="M231" i="139" s="1"/>
  <c r="M232" i="139" s="1"/>
  <c r="M233" i="139" s="1"/>
  <c r="M234" i="139" s="1"/>
  <c r="M235" i="139" s="1"/>
  <c r="M236" i="139" s="1"/>
  <c r="M237" i="139" s="1"/>
  <c r="M238" i="139" s="1"/>
  <c r="M239" i="139" s="1"/>
  <c r="M240" i="139" s="1"/>
  <c r="M241" i="139" s="1"/>
  <c r="M242" i="139" s="1"/>
  <c r="M243" i="139" s="1"/>
  <c r="M244" i="139" s="1"/>
  <c r="M245" i="139" s="1"/>
  <c r="M246" i="139" s="1"/>
  <c r="M247" i="139" s="1"/>
  <c r="M248" i="139" s="1"/>
  <c r="M249" i="139" s="1"/>
  <c r="M250" i="139" s="1"/>
  <c r="M251" i="139" s="1"/>
  <c r="M252" i="139" s="1"/>
  <c r="M253" i="139" s="1"/>
  <c r="M254" i="139" s="1"/>
  <c r="M255" i="139" s="1"/>
  <c r="M256" i="139" s="1"/>
  <c r="M257" i="139" s="1"/>
  <c r="M258" i="139" s="1"/>
  <c r="M259" i="139" s="1"/>
  <c r="M260" i="139" s="1"/>
  <c r="M261" i="139" s="1"/>
  <c r="M262" i="139" s="1"/>
  <c r="M263" i="139" s="1"/>
  <c r="M264" i="139" s="1"/>
  <c r="M265" i="139" s="1"/>
  <c r="M266" i="139" s="1"/>
  <c r="M267" i="139" s="1"/>
  <c r="M268" i="139" s="1"/>
  <c r="M269" i="139" s="1"/>
  <c r="M270" i="139" s="1"/>
  <c r="M271" i="139" s="1"/>
  <c r="M272" i="139" s="1"/>
  <c r="M273" i="139" s="1"/>
  <c r="M274" i="139" s="1"/>
  <c r="M275" i="139" s="1"/>
  <c r="M276" i="139" s="1"/>
  <c r="M277" i="139" s="1"/>
  <c r="M278" i="139" s="1"/>
  <c r="M279" i="139" s="1"/>
  <c r="M280" i="139" s="1"/>
  <c r="M281" i="139" s="1"/>
  <c r="M282" i="139" s="1"/>
  <c r="M283" i="139" s="1"/>
  <c r="M284" i="139" s="1"/>
  <c r="M285" i="139" s="1"/>
  <c r="M286" i="139" s="1"/>
  <c r="M287" i="139" s="1"/>
  <c r="M288" i="139" s="1"/>
  <c r="M289" i="139" s="1"/>
  <c r="M290" i="139" s="1"/>
  <c r="M291" i="139" s="1"/>
  <c r="M292" i="139" s="1"/>
  <c r="M293" i="139" s="1"/>
  <c r="M294" i="139" s="1"/>
  <c r="M295" i="139" s="1"/>
  <c r="M296" i="139" s="1"/>
  <c r="M297" i="139" s="1"/>
  <c r="M298" i="139" s="1"/>
  <c r="M299" i="139" s="1"/>
  <c r="M300" i="139" s="1"/>
  <c r="M301" i="139" s="1"/>
  <c r="M302" i="139" s="1"/>
  <c r="M303" i="139" s="1"/>
  <c r="M304" i="139" s="1"/>
  <c r="M305" i="139" s="1"/>
  <c r="M306" i="139" s="1"/>
  <c r="M307" i="139" s="1"/>
  <c r="M308" i="139" s="1"/>
  <c r="M309" i="139" s="1"/>
  <c r="M310" i="139" s="1"/>
  <c r="M311" i="139" s="1"/>
  <c r="M312" i="139" s="1"/>
  <c r="M313" i="139" s="1"/>
  <c r="M314" i="139" s="1"/>
  <c r="M315" i="139" s="1"/>
  <c r="M316" i="139" s="1"/>
  <c r="M317" i="139" s="1"/>
  <c r="M318" i="139" s="1"/>
  <c r="M319" i="139" s="1"/>
  <c r="M320" i="139" s="1"/>
  <c r="M321" i="139" s="1"/>
  <c r="M322" i="139" s="1"/>
  <c r="M323" i="139" s="1"/>
  <c r="M324" i="139" s="1"/>
  <c r="M325" i="139" s="1"/>
  <c r="M326" i="139" s="1"/>
  <c r="M327" i="139" s="1"/>
  <c r="M328" i="139" s="1"/>
  <c r="M329" i="139" s="1"/>
  <c r="M330" i="139" s="1"/>
  <c r="M331" i="139" s="1"/>
  <c r="M332" i="139" s="1"/>
  <c r="M333" i="139" s="1"/>
  <c r="M334" i="139" s="1"/>
  <c r="M335" i="139" s="1"/>
  <c r="M336" i="139" s="1"/>
  <c r="M337" i="139" s="1"/>
  <c r="M338" i="139" s="1"/>
  <c r="M339" i="139" s="1"/>
  <c r="M340" i="139" s="1"/>
  <c r="M341" i="139" s="1"/>
  <c r="M342" i="139" s="1"/>
  <c r="M343" i="139" s="1"/>
  <c r="M344" i="139" s="1"/>
  <c r="M345" i="139" s="1"/>
  <c r="M346" i="139" s="1"/>
  <c r="M347" i="139" s="1"/>
  <c r="M348" i="139" s="1"/>
  <c r="M349" i="139" s="1"/>
  <c r="M350" i="139" s="1"/>
  <c r="M351" i="139" s="1"/>
  <c r="M352" i="139" s="1"/>
  <c r="M353" i="139" s="1"/>
  <c r="M354" i="139" s="1"/>
  <c r="M355" i="139" s="1"/>
  <c r="M356" i="139" s="1"/>
  <c r="M357" i="139" s="1"/>
  <c r="M358" i="139" s="1"/>
  <c r="M359" i="139" s="1"/>
  <c r="M360" i="139" s="1"/>
  <c r="M361" i="139" s="1"/>
  <c r="M362" i="139" s="1"/>
  <c r="M363" i="139" s="1"/>
  <c r="M364" i="139" s="1"/>
  <c r="M365" i="139" s="1"/>
  <c r="M366" i="139" s="1"/>
  <c r="M367" i="139" s="1"/>
  <c r="M368" i="139" s="1"/>
  <c r="M369" i="139" s="1"/>
  <c r="M370" i="139" s="1"/>
  <c r="M371" i="139" s="1"/>
  <c r="M372" i="139" s="1"/>
  <c r="M373" i="139" s="1"/>
  <c r="M374" i="139" s="1"/>
  <c r="M375" i="139" s="1"/>
  <c r="M376" i="139" s="1"/>
  <c r="M377" i="139" s="1"/>
  <c r="M378" i="139" s="1"/>
  <c r="M379" i="139" s="1"/>
  <c r="M380" i="139" s="1"/>
  <c r="M381" i="139" s="1"/>
  <c r="M382" i="139" s="1"/>
  <c r="M383" i="139" s="1"/>
  <c r="M384" i="139" s="1"/>
  <c r="M385" i="139" s="1"/>
  <c r="M386" i="139" s="1"/>
  <c r="M387" i="139" s="1"/>
  <c r="M388" i="139" s="1"/>
  <c r="M389" i="139" s="1"/>
  <c r="M390" i="139" s="1"/>
  <c r="M391" i="139" s="1"/>
  <c r="M392" i="139" s="1"/>
  <c r="M393" i="139" s="1"/>
  <c r="M394" i="139" s="1"/>
  <c r="M395" i="139" s="1"/>
  <c r="M396" i="139" s="1"/>
  <c r="M397" i="139" s="1"/>
  <c r="M398" i="139" s="1"/>
  <c r="M399" i="139" s="1"/>
  <c r="M400" i="139" s="1"/>
  <c r="M401" i="139" s="1"/>
  <c r="M402" i="139" s="1"/>
  <c r="M403" i="139" s="1"/>
  <c r="M404" i="139" s="1"/>
  <c r="M405" i="139" s="1"/>
  <c r="M406" i="139" s="1"/>
  <c r="M407" i="139" s="1"/>
  <c r="M408" i="139" s="1"/>
  <c r="M409" i="139" s="1"/>
  <c r="M410" i="139" s="1"/>
  <c r="M411" i="139" s="1"/>
  <c r="M412" i="139" s="1"/>
  <c r="M413" i="139" s="1"/>
  <c r="M414" i="139" s="1"/>
  <c r="M415" i="139" s="1"/>
  <c r="M416" i="139" s="1"/>
  <c r="M417" i="139" s="1"/>
  <c r="M418" i="139" s="1"/>
  <c r="M419" i="139" s="1"/>
  <c r="M420" i="139" s="1"/>
  <c r="M421" i="139" s="1"/>
  <c r="M422" i="139" s="1"/>
  <c r="M423" i="139" s="1"/>
  <c r="M424" i="139" s="1"/>
  <c r="M425" i="139" s="1"/>
  <c r="M426" i="139" s="1"/>
  <c r="M427" i="139" s="1"/>
  <c r="M428" i="139" s="1"/>
  <c r="M429" i="139" s="1"/>
  <c r="M430" i="139" s="1"/>
  <c r="M431" i="139" s="1"/>
  <c r="M432" i="139" s="1"/>
  <c r="M433" i="139" s="1"/>
  <c r="M434" i="139" s="1"/>
  <c r="M435" i="139" s="1"/>
  <c r="M436" i="139" s="1"/>
  <c r="M437" i="139" s="1"/>
  <c r="M438" i="139" s="1"/>
  <c r="M439" i="139" s="1"/>
  <c r="M440" i="139" s="1"/>
  <c r="M441" i="139" s="1"/>
  <c r="M442" i="139" s="1"/>
  <c r="M443" i="139" s="1"/>
  <c r="M444" i="139" s="1"/>
  <c r="M445" i="139" s="1"/>
  <c r="M446" i="139" s="1"/>
  <c r="M447" i="139" s="1"/>
  <c r="M448" i="139" s="1"/>
  <c r="M449" i="139" s="1"/>
  <c r="M450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AU3" i="4"/>
  <c r="AR9" i="4"/>
  <c r="AS9" i="4"/>
  <c r="AR11" i="4"/>
  <c r="AR12" i="4" s="1"/>
  <c r="AR13" i="4" s="1"/>
  <c r="AR14" i="4" s="1"/>
  <c r="AR15" i="4" s="1"/>
  <c r="AR16" i="4" s="1"/>
  <c r="AR17" i="4" s="1"/>
  <c r="AR18" i="4" s="1"/>
  <c r="AR19" i="4" s="1"/>
  <c r="AR20" i="4" s="1"/>
  <c r="AR21" i="4" s="1"/>
  <c r="AR22" i="4" s="1"/>
  <c r="AR23" i="4" s="1"/>
  <c r="AR24" i="4" s="1"/>
  <c r="AR25" i="4" s="1"/>
  <c r="AR26" i="4" s="1"/>
  <c r="AR27" i="4" s="1"/>
  <c r="AR28" i="4" s="1"/>
  <c r="AR29" i="4" s="1"/>
  <c r="AR30" i="4" s="1"/>
  <c r="AR31" i="4" s="1"/>
  <c r="AR32" i="4" s="1"/>
  <c r="AR33" i="4" s="1"/>
  <c r="AR34" i="4" s="1"/>
  <c r="AR35" i="4" s="1"/>
  <c r="AR36" i="4" s="1"/>
  <c r="AR37" i="4" s="1"/>
  <c r="AR38" i="4" s="1"/>
  <c r="AR39" i="4" s="1"/>
  <c r="AR40" i="4" s="1"/>
  <c r="AR41" i="4" s="1"/>
  <c r="AR42" i="4" s="1"/>
  <c r="AR43" i="4" s="1"/>
  <c r="AR44" i="4" s="1"/>
  <c r="AR45" i="4" s="1"/>
  <c r="AR46" i="4" s="1"/>
  <c r="AR47" i="4" s="1"/>
  <c r="AR48" i="4" s="1"/>
  <c r="AR49" i="4" s="1"/>
  <c r="AR50" i="4" s="1"/>
  <c r="AR51" i="4" s="1"/>
  <c r="AR52" i="4" s="1"/>
  <c r="AR53" i="4" s="1"/>
  <c r="AR54" i="4" s="1"/>
  <c r="AR55" i="4" s="1"/>
  <c r="AR56" i="4" s="1"/>
  <c r="AR57" i="4" s="1"/>
  <c r="AR58" i="4" s="1"/>
  <c r="AR59" i="4" s="1"/>
  <c r="AR60" i="4" s="1"/>
  <c r="AR61" i="4" s="1"/>
  <c r="AR62" i="4" s="1"/>
  <c r="AR63" i="4" s="1"/>
  <c r="AR64" i="4" s="1"/>
  <c r="AR65" i="4" s="1"/>
  <c r="AR66" i="4" s="1"/>
  <c r="AR67" i="4" s="1"/>
  <c r="AR68" i="4" s="1"/>
  <c r="AR69" i="4" s="1"/>
  <c r="AR70" i="4" s="1"/>
  <c r="AR71" i="4" s="1"/>
  <c r="AR72" i="4" s="1"/>
  <c r="AR73" i="4" s="1"/>
  <c r="AR74" i="4" s="1"/>
  <c r="AR75" i="4" s="1"/>
  <c r="AR76" i="4" s="1"/>
  <c r="AR77" i="4" s="1"/>
  <c r="AR78" i="4" s="1"/>
  <c r="AR79" i="4" s="1"/>
  <c r="AR80" i="4" s="1"/>
  <c r="AR81" i="4" s="1"/>
  <c r="AS11" i="4"/>
  <c r="AS12" i="4" s="1"/>
  <c r="AS13" i="4" s="1"/>
  <c r="AS14" i="4" s="1"/>
  <c r="AS16" i="4"/>
  <c r="AS17" i="4" s="1"/>
  <c r="AS18" i="4" s="1"/>
  <c r="AS19" i="4" s="1"/>
  <c r="AS20" i="4" s="1"/>
  <c r="AS21" i="4" s="1"/>
  <c r="AS22" i="4" s="1"/>
  <c r="AS23" i="4" s="1"/>
  <c r="AS24" i="4" s="1"/>
  <c r="AS25" i="4" s="1"/>
  <c r="AS26" i="4" s="1"/>
  <c r="AS27" i="4" s="1"/>
  <c r="AS28" i="4" s="1"/>
  <c r="AS29" i="4" s="1"/>
  <c r="AS30" i="4" s="1"/>
  <c r="AS31" i="4" s="1"/>
  <c r="AS32" i="4" s="1"/>
  <c r="AS33" i="4" s="1"/>
  <c r="AS34" i="4" s="1"/>
  <c r="AS35" i="4" s="1"/>
  <c r="AS36" i="4" s="1"/>
  <c r="AS37" i="4" s="1"/>
  <c r="AS38" i="4" s="1"/>
  <c r="AS39" i="4" s="1"/>
  <c r="AS40" i="4" s="1"/>
  <c r="AS41" i="4" s="1"/>
  <c r="AS42" i="4" s="1"/>
  <c r="AS43" i="4" s="1"/>
  <c r="AS44" i="4" s="1"/>
  <c r="AS45" i="4" s="1"/>
  <c r="AS46" i="4" s="1"/>
  <c r="AS47" i="4" s="1"/>
  <c r="AS48" i="4" s="1"/>
  <c r="AS49" i="4" s="1"/>
  <c r="AS50" i="4" s="1"/>
  <c r="AS51" i="4" s="1"/>
  <c r="AS52" i="4" s="1"/>
  <c r="AS53" i="4" s="1"/>
  <c r="AS54" i="4" s="1"/>
  <c r="AS55" i="4" s="1"/>
  <c r="AS56" i="4" s="1"/>
  <c r="AS57" i="4" s="1"/>
  <c r="AS58" i="4" s="1"/>
  <c r="AS59" i="4" s="1"/>
  <c r="AS60" i="4" s="1"/>
  <c r="AS61" i="4" s="1"/>
  <c r="AS62" i="4" s="1"/>
  <c r="AS63" i="4" s="1"/>
  <c r="AS64" i="4" s="1"/>
  <c r="AS65" i="4" s="1"/>
  <c r="AS66" i="4" s="1"/>
  <c r="AS67" i="4" s="1"/>
  <c r="AS68" i="4" s="1"/>
  <c r="AS69" i="4" s="1"/>
  <c r="AS70" i="4" s="1"/>
  <c r="AS71" i="4" s="1"/>
  <c r="AS72" i="4" s="1"/>
  <c r="AS73" i="4" s="1"/>
  <c r="AS74" i="4" s="1"/>
  <c r="AS75" i="4" s="1"/>
  <c r="AS76" i="4" s="1"/>
  <c r="AS77" i="4" s="1"/>
  <c r="AS78" i="4" s="1"/>
  <c r="AS79" i="4" s="1"/>
  <c r="AS80" i="4" s="1"/>
  <c r="AS81" i="4" s="1"/>
  <c r="AS82" i="4" s="1"/>
  <c r="AS83" i="4" s="1"/>
  <c r="AS84" i="4" s="1"/>
  <c r="AS85" i="4" s="1"/>
  <c r="AS86" i="4" s="1"/>
  <c r="AS87" i="4" s="1"/>
  <c r="AS88" i="4" s="1"/>
  <c r="AS89" i="4" s="1"/>
  <c r="AS90" i="4" s="1"/>
  <c r="AS91" i="4" s="1"/>
  <c r="AS92" i="4" s="1"/>
  <c r="AS93" i="4" s="1"/>
  <c r="AS94" i="4" s="1"/>
  <c r="AS95" i="4" s="1"/>
  <c r="AS96" i="4" s="1"/>
  <c r="AS97" i="4" s="1"/>
  <c r="AS98" i="4" s="1"/>
  <c r="AS99" i="4" s="1"/>
  <c r="AS100" i="4" s="1"/>
  <c r="AS101" i="4" s="1"/>
  <c r="AS102" i="4" s="1"/>
  <c r="AS103" i="4" s="1"/>
  <c r="AS104" i="4" s="1"/>
  <c r="AS105" i="4" s="1"/>
  <c r="AS106" i="4" s="1"/>
  <c r="AS107" i="4" s="1"/>
  <c r="AS108" i="4" s="1"/>
  <c r="AS109" i="4" s="1"/>
  <c r="AS110" i="4" s="1"/>
  <c r="AS111" i="4" s="1"/>
  <c r="AS112" i="4" s="1"/>
  <c r="AS113" i="4" s="1"/>
  <c r="AS114" i="4" s="1"/>
  <c r="AS115" i="4" s="1"/>
  <c r="AS116" i="4" s="1"/>
  <c r="AS117" i="4" s="1"/>
  <c r="AS118" i="4" s="1"/>
  <c r="AS119" i="4" s="1"/>
  <c r="AS120" i="4" s="1"/>
  <c r="AS121" i="4" s="1"/>
  <c r="AS122" i="4" s="1"/>
  <c r="AS123" i="4" s="1"/>
  <c r="AS124" i="4" s="1"/>
  <c r="AS125" i="4" s="1"/>
  <c r="AS126" i="4" s="1"/>
  <c r="AS127" i="4" s="1"/>
  <c r="AS128" i="4" s="1"/>
  <c r="AS129" i="4" s="1"/>
  <c r="AS130" i="4" s="1"/>
  <c r="AS131" i="4" s="1"/>
  <c r="AS132" i="4" s="1"/>
  <c r="AS133" i="4" s="1"/>
  <c r="AS134" i="4" s="1"/>
  <c r="AS135" i="4" s="1"/>
  <c r="AS136" i="4" s="1"/>
  <c r="AS137" i="4" s="1"/>
  <c r="AS138" i="4" s="1"/>
  <c r="AS139" i="4" s="1"/>
  <c r="AS140" i="4" s="1"/>
  <c r="AS141" i="4" s="1"/>
  <c r="AS142" i="4" s="1"/>
  <c r="AS143" i="4" s="1"/>
  <c r="AS144" i="4" s="1"/>
  <c r="AS145" i="4" s="1"/>
  <c r="AS146" i="4" s="1"/>
  <c r="AS147" i="4" s="1"/>
  <c r="AS148" i="4" s="1"/>
  <c r="AS149" i="4" s="1"/>
  <c r="AS150" i="4" s="1"/>
  <c r="AS151" i="4" s="1"/>
  <c r="AS152" i="4" s="1"/>
  <c r="AS153" i="4" s="1"/>
  <c r="AS154" i="4" s="1"/>
  <c r="AS155" i="4" s="1"/>
  <c r="AS156" i="4" s="1"/>
  <c r="AS157" i="4" s="1"/>
  <c r="AS158" i="4" s="1"/>
  <c r="AS159" i="4" s="1"/>
  <c r="AS160" i="4" s="1"/>
  <c r="AS161" i="4" s="1"/>
  <c r="AS162" i="4" s="1"/>
  <c r="AS163" i="4" s="1"/>
  <c r="AS164" i="4" s="1"/>
  <c r="AS165" i="4" s="1"/>
  <c r="AS166" i="4" s="1"/>
  <c r="AS167" i="4" s="1"/>
  <c r="AS168" i="4" s="1"/>
  <c r="AS169" i="4" s="1"/>
  <c r="AS170" i="4" s="1"/>
  <c r="AS171" i="4" s="1"/>
  <c r="AS172" i="4" s="1"/>
  <c r="AS173" i="4" s="1"/>
  <c r="AS174" i="4" s="1"/>
  <c r="AS175" i="4" s="1"/>
  <c r="AS176" i="4" s="1"/>
  <c r="AS177" i="4" s="1"/>
  <c r="AS185" i="4" s="1"/>
  <c r="AS186" i="4" s="1"/>
  <c r="AS187" i="4" s="1"/>
  <c r="AS188" i="4" s="1"/>
  <c r="AS189" i="4" s="1"/>
  <c r="AS190" i="4" s="1"/>
  <c r="AS191" i="4" s="1"/>
  <c r="AS192" i="4" s="1"/>
  <c r="AS193" i="4" s="1"/>
  <c r="AS194" i="4" s="1"/>
  <c r="AS195" i="4" s="1"/>
  <c r="AS196" i="4" s="1"/>
  <c r="AS197" i="4" s="1"/>
  <c r="AS198" i="4" s="1"/>
  <c r="AS199" i="4" s="1"/>
  <c r="AS200" i="4" s="1"/>
  <c r="AS201" i="4" s="1"/>
  <c r="AS202" i="4" s="1"/>
  <c r="AS203" i="4" s="1"/>
  <c r="AS204" i="4" s="1"/>
  <c r="AS205" i="4" s="1"/>
  <c r="AS206" i="4" s="1"/>
  <c r="AS207" i="4" s="1"/>
  <c r="AS208" i="4" s="1"/>
  <c r="AS209" i="4" s="1"/>
  <c r="AS210" i="4" s="1"/>
  <c r="AS211" i="4" s="1"/>
  <c r="AS212" i="4" s="1"/>
  <c r="AS213" i="4" s="1"/>
  <c r="AS214" i="4" s="1"/>
  <c r="AS215" i="4" s="1"/>
  <c r="AS216" i="4" s="1"/>
  <c r="AS217" i="4" s="1"/>
  <c r="AS218" i="4" s="1"/>
  <c r="AS219" i="4" s="1"/>
  <c r="AS220" i="4" s="1"/>
  <c r="AS221" i="4" s="1"/>
  <c r="AS222" i="4" s="1"/>
  <c r="AS223" i="4" s="1"/>
  <c r="AS224" i="4" s="1"/>
  <c r="AS225" i="4" s="1"/>
  <c r="AS226" i="4" s="1"/>
  <c r="AS227" i="4" s="1"/>
  <c r="AS228" i="4" s="1"/>
  <c r="AS229" i="4" s="1"/>
  <c r="AS230" i="4" s="1"/>
  <c r="AS231" i="4" s="1"/>
  <c r="AS232" i="4" s="1"/>
  <c r="AS233" i="4" s="1"/>
  <c r="AS234" i="4" s="1"/>
  <c r="AS235" i="4" s="1"/>
  <c r="AS236" i="4" s="1"/>
  <c r="AS237" i="4" s="1"/>
  <c r="AS238" i="4" s="1"/>
  <c r="AS239" i="4" s="1"/>
  <c r="AS240" i="4" s="1"/>
  <c r="AS241" i="4" s="1"/>
  <c r="AS242" i="4" s="1"/>
  <c r="AS243" i="4" s="1"/>
  <c r="AS244" i="4" s="1"/>
  <c r="AS245" i="4" s="1"/>
  <c r="AS246" i="4" s="1"/>
  <c r="AS247" i="4" s="1"/>
  <c r="AS248" i="4" s="1"/>
  <c r="AS249" i="4" s="1"/>
  <c r="AS250" i="4" s="1"/>
  <c r="AS251" i="4" s="1"/>
  <c r="AS252" i="4" s="1"/>
  <c r="AS253" i="4" s="1"/>
  <c r="AS254" i="4" s="1"/>
  <c r="AS255" i="4" s="1"/>
  <c r="AS256" i="4" s="1"/>
  <c r="AS257" i="4" s="1"/>
  <c r="AS258" i="4" s="1"/>
  <c r="AS259" i="4" s="1"/>
  <c r="AS260" i="4" s="1"/>
  <c r="AS261" i="4" s="1"/>
  <c r="AS262" i="4" s="1"/>
  <c r="AS263" i="4" s="1"/>
  <c r="AS264" i="4" s="1"/>
  <c r="AS265" i="4" s="1"/>
  <c r="AS266" i="4" s="1"/>
  <c r="AS267" i="4" s="1"/>
  <c r="AS268" i="4" s="1"/>
  <c r="AS269" i="4" s="1"/>
  <c r="AS270" i="4" s="1"/>
  <c r="AS271" i="4" s="1"/>
  <c r="AS272" i="4" s="1"/>
  <c r="AS273" i="4" s="1"/>
  <c r="AS274" i="4" s="1"/>
  <c r="AS275" i="4" s="1"/>
  <c r="AS276" i="4" s="1"/>
  <c r="AS277" i="4" s="1"/>
  <c r="AS278" i="4" s="1"/>
  <c r="AS279" i="4" s="1"/>
  <c r="AI131" i="4"/>
  <c r="AJ131" i="4"/>
  <c r="AI132" i="4"/>
  <c r="AJ132" i="4"/>
  <c r="AG260" i="4"/>
  <c r="AJ260" i="4" s="1"/>
  <c r="AI260" i="4"/>
  <c r="AY260" i="4"/>
  <c r="AY261" i="4" s="1"/>
  <c r="AX17" i="3"/>
  <c r="AX19" i="3"/>
  <c r="F21" i="3"/>
  <c r="J21" i="3"/>
  <c r="L21" i="3"/>
  <c r="M21" i="3"/>
  <c r="N21" i="3"/>
  <c r="O21" i="3"/>
  <c r="P21" i="3"/>
  <c r="Q21" i="3"/>
  <c r="AX22" i="3"/>
  <c r="AX24" i="3"/>
  <c r="AX26" i="3"/>
  <c r="AX28" i="3"/>
  <c r="F30" i="3"/>
  <c r="J30" i="3"/>
  <c r="L30" i="3"/>
  <c r="M30" i="3"/>
  <c r="N30" i="3"/>
  <c r="O30" i="3"/>
  <c r="P30" i="3"/>
  <c r="Q30" i="3"/>
  <c r="AX31" i="3"/>
  <c r="AX33" i="3"/>
  <c r="AX35" i="3"/>
  <c r="AX37" i="3"/>
  <c r="F39" i="3"/>
  <c r="J39" i="3"/>
  <c r="L39" i="3"/>
  <c r="M39" i="3"/>
  <c r="N39" i="3"/>
  <c r="O39" i="3"/>
  <c r="P39" i="3"/>
  <c r="Q39" i="3"/>
  <c r="AX40" i="3"/>
  <c r="AX42" i="3"/>
  <c r="AX44" i="3"/>
  <c r="AX46" i="3"/>
  <c r="F48" i="3"/>
  <c r="J48" i="3"/>
  <c r="L48" i="3"/>
  <c r="M48" i="3"/>
  <c r="N48" i="3"/>
  <c r="O48" i="3"/>
  <c r="P48" i="3"/>
  <c r="Q48" i="3"/>
  <c r="AX49" i="3"/>
  <c r="AX51" i="3"/>
  <c r="F57" i="3"/>
  <c r="J57" i="3"/>
  <c r="L57" i="3"/>
  <c r="M57" i="3"/>
  <c r="N57" i="3"/>
  <c r="O57" i="3"/>
  <c r="P57" i="3"/>
  <c r="Q57" i="3"/>
  <c r="AX58" i="3"/>
  <c r="AX60" i="3"/>
  <c r="AX62" i="3"/>
  <c r="AX64" i="3"/>
  <c r="F66" i="3"/>
  <c r="J66" i="3"/>
  <c r="L66" i="3"/>
  <c r="M66" i="3"/>
  <c r="N66" i="3"/>
  <c r="O66" i="3"/>
  <c r="P66" i="3"/>
  <c r="Q66" i="3"/>
  <c r="AX67" i="3"/>
  <c r="AX69" i="3"/>
  <c r="AX71" i="3"/>
  <c r="AX73" i="3"/>
  <c r="F75" i="3"/>
  <c r="J75" i="3"/>
  <c r="L75" i="3"/>
  <c r="M75" i="3"/>
  <c r="N75" i="3"/>
  <c r="O75" i="3"/>
  <c r="P75" i="3"/>
  <c r="Q75" i="3"/>
  <c r="AX76" i="3"/>
  <c r="AX78" i="3"/>
  <c r="AX80" i="3"/>
  <c r="AX82" i="3"/>
  <c r="F84" i="3"/>
  <c r="J84" i="3"/>
  <c r="L84" i="3"/>
  <c r="M84" i="3"/>
  <c r="N84" i="3"/>
  <c r="O84" i="3"/>
  <c r="P84" i="3"/>
  <c r="Q84" i="3"/>
  <c r="AX85" i="3"/>
  <c r="AX87" i="3"/>
  <c r="AX89" i="3"/>
  <c r="AX91" i="3"/>
  <c r="F93" i="3"/>
  <c r="J93" i="3"/>
  <c r="L93" i="3"/>
  <c r="M93" i="3"/>
  <c r="N93" i="3"/>
  <c r="O93" i="3"/>
  <c r="P93" i="3"/>
  <c r="Q93" i="3"/>
  <c r="AX94" i="3"/>
  <c r="AX96" i="3"/>
  <c r="AX98" i="3"/>
  <c r="AX100" i="3"/>
  <c r="F102" i="3"/>
  <c r="J102" i="3"/>
  <c r="L102" i="3"/>
  <c r="M102" i="3"/>
  <c r="N102" i="3"/>
  <c r="O102" i="3"/>
  <c r="P102" i="3"/>
  <c r="Q102" i="3"/>
  <c r="AX103" i="3"/>
  <c r="AX105" i="3"/>
  <c r="AX107" i="3"/>
  <c r="AX109" i="3"/>
  <c r="F111" i="3"/>
  <c r="J111" i="3"/>
  <c r="L111" i="3"/>
  <c r="M111" i="3"/>
  <c r="N111" i="3"/>
  <c r="O111" i="3"/>
  <c r="P111" i="3"/>
  <c r="Q111" i="3"/>
  <c r="AX112" i="3"/>
  <c r="AX114" i="3"/>
  <c r="AX116" i="3"/>
  <c r="AX118" i="3"/>
  <c r="F120" i="3"/>
  <c r="J120" i="3"/>
  <c r="L120" i="3"/>
  <c r="M120" i="3"/>
  <c r="N120" i="3"/>
  <c r="O120" i="3"/>
  <c r="P120" i="3"/>
  <c r="Q120" i="3"/>
  <c r="AX121" i="3"/>
  <c r="AX123" i="3"/>
  <c r="AX125" i="3"/>
  <c r="AX127" i="3"/>
  <c r="F129" i="3"/>
  <c r="J129" i="3"/>
  <c r="L129" i="3"/>
  <c r="M129" i="3"/>
  <c r="N129" i="3"/>
  <c r="O129" i="3"/>
  <c r="P129" i="3"/>
  <c r="Q129" i="3"/>
  <c r="AX130" i="3"/>
  <c r="AX132" i="3"/>
  <c r="AX134" i="3"/>
  <c r="AX136" i="3"/>
  <c r="F138" i="3"/>
  <c r="J138" i="3"/>
  <c r="L138" i="3"/>
  <c r="M138" i="3"/>
  <c r="N138" i="3"/>
  <c r="O138" i="3"/>
  <c r="P138" i="3"/>
  <c r="Q138" i="3"/>
  <c r="AX139" i="3"/>
  <c r="AX141" i="3"/>
  <c r="AX143" i="3"/>
  <c r="AX145" i="3"/>
  <c r="F147" i="3"/>
  <c r="J147" i="3"/>
  <c r="L147" i="3"/>
  <c r="M147" i="3"/>
  <c r="N147" i="3"/>
  <c r="O147" i="3"/>
  <c r="P147" i="3"/>
  <c r="Q147" i="3"/>
  <c r="AX148" i="3"/>
  <c r="AX150" i="3"/>
  <c r="AX152" i="3"/>
  <c r="AX154" i="3"/>
  <c r="F156" i="3"/>
  <c r="J156" i="3"/>
  <c r="L156" i="3"/>
  <c r="M156" i="3"/>
  <c r="N156" i="3"/>
  <c r="O156" i="3"/>
  <c r="P156" i="3"/>
  <c r="Q156" i="3"/>
  <c r="AX157" i="3"/>
  <c r="AX159" i="3"/>
  <c r="AX161" i="3"/>
  <c r="AX163" i="3"/>
  <c r="F165" i="3"/>
  <c r="J165" i="3"/>
  <c r="L165" i="3"/>
  <c r="M165" i="3"/>
  <c r="N165" i="3"/>
  <c r="O165" i="3"/>
  <c r="P165" i="3"/>
  <c r="Q165" i="3"/>
  <c r="AX166" i="3"/>
  <c r="AX168" i="3"/>
  <c r="AX170" i="3"/>
  <c r="AX172" i="3"/>
  <c r="F174" i="3"/>
  <c r="J174" i="3"/>
  <c r="L174" i="3"/>
  <c r="M174" i="3"/>
  <c r="N174" i="3"/>
  <c r="O174" i="3"/>
  <c r="P174" i="3"/>
  <c r="Q174" i="3"/>
  <c r="AX175" i="3"/>
  <c r="AX177" i="3"/>
  <c r="AX179" i="3"/>
  <c r="AX181" i="3"/>
  <c r="F183" i="3"/>
  <c r="J183" i="3"/>
  <c r="L183" i="3"/>
  <c r="M183" i="3"/>
  <c r="N183" i="3"/>
  <c r="O183" i="3"/>
  <c r="P183" i="3"/>
  <c r="Q183" i="3"/>
  <c r="AX184" i="3"/>
  <c r="AX186" i="3"/>
  <c r="AX188" i="3"/>
  <c r="AX190" i="3"/>
  <c r="F192" i="3"/>
  <c r="J192" i="3"/>
  <c r="L192" i="3"/>
  <c r="M192" i="3"/>
  <c r="N192" i="3"/>
  <c r="O192" i="3"/>
  <c r="P192" i="3"/>
  <c r="Q192" i="3"/>
  <c r="AX193" i="3"/>
  <c r="AX195" i="3"/>
  <c r="AX198" i="3"/>
  <c r="AX199" i="3"/>
  <c r="AX204" i="3"/>
  <c r="AX208" i="3"/>
  <c r="AX209" i="3"/>
  <c r="AX211" i="3"/>
  <c r="AX213" i="3"/>
  <c r="F215" i="3"/>
  <c r="J215" i="3"/>
  <c r="L215" i="3"/>
  <c r="M215" i="3"/>
  <c r="N215" i="3"/>
  <c r="O215" i="3"/>
  <c r="P215" i="3"/>
  <c r="Q215" i="3"/>
  <c r="AX216" i="3"/>
  <c r="AX218" i="3"/>
  <c r="AX220" i="3"/>
  <c r="AX222" i="3"/>
  <c r="F224" i="3"/>
  <c r="J224" i="3"/>
  <c r="L224" i="3"/>
  <c r="M224" i="3"/>
  <c r="N224" i="3"/>
  <c r="O224" i="3"/>
  <c r="P224" i="3"/>
  <c r="Q224" i="3"/>
  <c r="AX225" i="3"/>
  <c r="AX227" i="3"/>
  <c r="AX228" i="3"/>
  <c r="F229" i="3"/>
  <c r="J229" i="3"/>
  <c r="L229" i="3"/>
  <c r="M229" i="3"/>
  <c r="N229" i="3"/>
  <c r="O229" i="3"/>
  <c r="P229" i="3"/>
  <c r="Q229" i="3"/>
  <c r="F230" i="3"/>
  <c r="J230" i="3"/>
  <c r="L230" i="3"/>
  <c r="M230" i="3"/>
  <c r="N230" i="3"/>
  <c r="O230" i="3"/>
  <c r="P230" i="3"/>
  <c r="Q230" i="3"/>
  <c r="F231" i="3"/>
  <c r="J231" i="3"/>
  <c r="L231" i="3"/>
  <c r="M231" i="3"/>
  <c r="N231" i="3"/>
  <c r="O231" i="3"/>
  <c r="P231" i="3"/>
  <c r="Q231" i="3"/>
  <c r="AX233" i="3"/>
  <c r="F234" i="3"/>
  <c r="J234" i="3"/>
  <c r="L234" i="3"/>
  <c r="M234" i="3"/>
  <c r="N234" i="3"/>
  <c r="O234" i="3"/>
  <c r="P234" i="3"/>
  <c r="Q234" i="3"/>
  <c r="AX235" i="3"/>
  <c r="F236" i="3"/>
  <c r="J236" i="3"/>
  <c r="L236" i="3"/>
  <c r="M236" i="3"/>
  <c r="N236" i="3"/>
  <c r="O236" i="3"/>
  <c r="P236" i="3"/>
  <c r="Q236" i="3"/>
  <c r="AX237" i="3"/>
  <c r="AX238" i="3"/>
  <c r="AX240" i="3"/>
  <c r="AX242" i="3"/>
  <c r="F244" i="3"/>
  <c r="J244" i="3"/>
  <c r="L244" i="3"/>
  <c r="M244" i="3"/>
  <c r="N244" i="3"/>
  <c r="O244" i="3"/>
  <c r="P244" i="3"/>
  <c r="Q244" i="3"/>
  <c r="AX245" i="3"/>
  <c r="AX247" i="3"/>
  <c r="AX249" i="3"/>
  <c r="AX251" i="3"/>
  <c r="F253" i="3"/>
  <c r="J253" i="3"/>
  <c r="L253" i="3"/>
  <c r="M253" i="3"/>
  <c r="N253" i="3"/>
  <c r="O253" i="3"/>
  <c r="P253" i="3"/>
  <c r="Q253" i="3"/>
  <c r="AX254" i="3"/>
  <c r="AX256" i="3"/>
  <c r="AX258" i="3"/>
  <c r="AX260" i="3"/>
  <c r="F262" i="3"/>
  <c r="J262" i="3"/>
  <c r="L262" i="3"/>
  <c r="M262" i="3"/>
  <c r="N262" i="3"/>
  <c r="O262" i="3"/>
  <c r="P262" i="3"/>
  <c r="Q262" i="3"/>
  <c r="AX263" i="3"/>
  <c r="AX265" i="3"/>
  <c r="AX267" i="3"/>
  <c r="AX269" i="3"/>
  <c r="F271" i="3"/>
  <c r="J271" i="3"/>
  <c r="L271" i="3"/>
  <c r="M271" i="3"/>
  <c r="N271" i="3"/>
  <c r="O271" i="3"/>
  <c r="P271" i="3"/>
  <c r="Q271" i="3"/>
  <c r="AX272" i="3"/>
  <c r="AX274" i="3"/>
  <c r="AX276" i="3"/>
  <c r="AX278" i="3"/>
  <c r="F280" i="3"/>
  <c r="J280" i="3"/>
  <c r="L280" i="3"/>
  <c r="M280" i="3"/>
  <c r="N280" i="3"/>
  <c r="O280" i="3"/>
  <c r="P280" i="3"/>
  <c r="Q280" i="3"/>
  <c r="AX281" i="3"/>
  <c r="AX283" i="3"/>
  <c r="AX285" i="3"/>
  <c r="AX287" i="3"/>
  <c r="F289" i="3"/>
  <c r="J289" i="3"/>
  <c r="L289" i="3"/>
  <c r="M289" i="3"/>
  <c r="N289" i="3"/>
  <c r="O289" i="3"/>
  <c r="P289" i="3"/>
  <c r="Q289" i="3"/>
  <c r="AX290" i="3"/>
  <c r="AX292" i="3"/>
  <c r="AX294" i="3"/>
  <c r="AX296" i="3"/>
  <c r="F298" i="3"/>
  <c r="J298" i="3"/>
  <c r="L298" i="3"/>
  <c r="M298" i="3"/>
  <c r="N298" i="3"/>
  <c r="O298" i="3"/>
  <c r="P298" i="3"/>
  <c r="Q298" i="3"/>
  <c r="AX299" i="3"/>
  <c r="AX301" i="3"/>
  <c r="AX303" i="3"/>
  <c r="AX305" i="3"/>
  <c r="F307" i="3"/>
  <c r="J307" i="3"/>
  <c r="L307" i="3"/>
  <c r="M307" i="3"/>
  <c r="N307" i="3"/>
  <c r="O307" i="3"/>
  <c r="P307" i="3"/>
  <c r="Q307" i="3"/>
  <c r="AX308" i="3"/>
  <c r="AX310" i="3"/>
  <c r="AX312" i="3"/>
  <c r="AX314" i="3"/>
  <c r="F316" i="3"/>
  <c r="J316" i="3"/>
  <c r="L316" i="3"/>
  <c r="M316" i="3"/>
  <c r="N316" i="3"/>
  <c r="O316" i="3"/>
  <c r="P316" i="3"/>
  <c r="Q316" i="3"/>
  <c r="AX317" i="3"/>
  <c r="AX322" i="3"/>
  <c r="AX328" i="3"/>
  <c r="AX332" i="3"/>
  <c r="AX333" i="3"/>
  <c r="AX335" i="3"/>
  <c r="AX337" i="3"/>
  <c r="F339" i="3"/>
  <c r="J339" i="3"/>
  <c r="L339" i="3"/>
  <c r="M339" i="3"/>
  <c r="N339" i="3"/>
  <c r="O339" i="3"/>
  <c r="P339" i="3"/>
  <c r="Q339" i="3"/>
  <c r="AX340" i="3"/>
  <c r="AX342" i="3"/>
  <c r="AX344" i="3"/>
  <c r="AX346" i="3"/>
  <c r="F348" i="3"/>
  <c r="J348" i="3"/>
  <c r="L348" i="3"/>
  <c r="M348" i="3"/>
  <c r="N348" i="3"/>
  <c r="O348" i="3"/>
  <c r="P348" i="3"/>
  <c r="Q348" i="3"/>
  <c r="AX351" i="3"/>
  <c r="AX352" i="3"/>
  <c r="F353" i="3"/>
  <c r="J353" i="3"/>
  <c r="L353" i="3"/>
  <c r="M353" i="3"/>
  <c r="N353" i="3"/>
  <c r="O353" i="3"/>
  <c r="P353" i="3"/>
  <c r="Q353" i="3"/>
  <c r="F354" i="3"/>
  <c r="J354" i="3"/>
  <c r="L354" i="3"/>
  <c r="M354" i="3"/>
  <c r="N354" i="3"/>
  <c r="O354" i="3"/>
  <c r="P354" i="3"/>
  <c r="Q354" i="3"/>
  <c r="AU354" i="3"/>
  <c r="AW354" i="3"/>
  <c r="AX356" i="3"/>
  <c r="F357" i="3"/>
  <c r="J357" i="3"/>
  <c r="L357" i="3"/>
  <c r="M357" i="3"/>
  <c r="N357" i="3"/>
  <c r="O357" i="3"/>
  <c r="P357" i="3"/>
  <c r="Q357" i="3"/>
  <c r="F358" i="3"/>
  <c r="J358" i="3"/>
  <c r="L358" i="3"/>
  <c r="M358" i="3"/>
  <c r="N358" i="3"/>
  <c r="O358" i="3"/>
  <c r="P358" i="3"/>
  <c r="Q358" i="3"/>
  <c r="F359" i="3"/>
  <c r="J359" i="3"/>
  <c r="L359" i="3"/>
  <c r="M359" i="3"/>
  <c r="N359" i="3"/>
  <c r="O359" i="3"/>
  <c r="P359" i="3"/>
  <c r="Q359" i="3"/>
  <c r="AX360" i="3"/>
  <c r="AX367" i="3"/>
  <c r="AX369" i="3"/>
  <c r="AX373" i="3"/>
  <c r="AX374" i="3"/>
  <c r="AX375" i="3"/>
  <c r="AX376" i="3"/>
  <c r="AX377" i="3"/>
  <c r="AX378" i="3"/>
  <c r="AX379" i="3"/>
  <c r="F382" i="3"/>
  <c r="J382" i="3"/>
  <c r="L382" i="3"/>
  <c r="M382" i="3"/>
  <c r="N382" i="3"/>
  <c r="O382" i="3"/>
  <c r="P382" i="3"/>
  <c r="Q382" i="3"/>
  <c r="AX383" i="3"/>
  <c r="AX384" i="3"/>
  <c r="F387" i="3"/>
  <c r="J387" i="3"/>
  <c r="L387" i="3"/>
  <c r="M387" i="3"/>
  <c r="N387" i="3"/>
  <c r="O387" i="3"/>
  <c r="P387" i="3"/>
  <c r="Q387" i="3"/>
  <c r="AX388" i="3"/>
  <c r="AX389" i="3"/>
  <c r="F392" i="3"/>
  <c r="J392" i="3"/>
  <c r="L392" i="3"/>
  <c r="M392" i="3"/>
  <c r="N392" i="3"/>
  <c r="O392" i="3"/>
  <c r="P392" i="3"/>
  <c r="Q392" i="3"/>
  <c r="AX393" i="3"/>
  <c r="AX394" i="3"/>
  <c r="F397" i="3"/>
  <c r="J397" i="3"/>
  <c r="L397" i="3"/>
  <c r="M397" i="3"/>
  <c r="N397" i="3"/>
  <c r="O397" i="3"/>
  <c r="P397" i="3"/>
  <c r="Q397" i="3"/>
  <c r="AX398" i="3"/>
  <c r="AX399" i="3"/>
  <c r="F402" i="3"/>
  <c r="J402" i="3"/>
  <c r="L402" i="3"/>
  <c r="M402" i="3"/>
  <c r="N402" i="3"/>
  <c r="O402" i="3"/>
  <c r="P402" i="3"/>
  <c r="Q402" i="3"/>
  <c r="AX403" i="3"/>
  <c r="AX404" i="3"/>
  <c r="F407" i="3"/>
  <c r="J407" i="3"/>
  <c r="L407" i="3"/>
  <c r="M407" i="3"/>
  <c r="N407" i="3"/>
  <c r="O407" i="3"/>
  <c r="P407" i="3"/>
  <c r="Q407" i="3"/>
  <c r="AX408" i="3"/>
  <c r="AX409" i="3"/>
  <c r="F412" i="3"/>
  <c r="J412" i="3"/>
  <c r="L412" i="3"/>
  <c r="M412" i="3"/>
  <c r="N412" i="3"/>
  <c r="O412" i="3"/>
  <c r="P412" i="3"/>
  <c r="Q412" i="3"/>
  <c r="AX413" i="3"/>
  <c r="AX414" i="3"/>
  <c r="F417" i="3"/>
  <c r="J417" i="3"/>
  <c r="L417" i="3"/>
  <c r="M417" i="3"/>
  <c r="N417" i="3"/>
  <c r="O417" i="3"/>
  <c r="P417" i="3"/>
  <c r="Q417" i="3"/>
  <c r="AX418" i="3"/>
  <c r="AX419" i="3"/>
  <c r="F422" i="3"/>
  <c r="J422" i="3"/>
  <c r="L422" i="3"/>
  <c r="M422" i="3"/>
  <c r="N422" i="3"/>
  <c r="O422" i="3"/>
  <c r="P422" i="3"/>
  <c r="Q422" i="3"/>
  <c r="AX423" i="3"/>
  <c r="AX424" i="3"/>
  <c r="F427" i="3"/>
  <c r="J427" i="3"/>
  <c r="L427" i="3"/>
  <c r="M427" i="3"/>
  <c r="N427" i="3"/>
  <c r="O427" i="3"/>
  <c r="P427" i="3"/>
  <c r="Q427" i="3"/>
  <c r="AX428" i="3"/>
  <c r="AX429" i="3"/>
  <c r="F432" i="3"/>
  <c r="J432" i="3"/>
  <c r="L432" i="3"/>
  <c r="M432" i="3"/>
  <c r="N432" i="3"/>
  <c r="O432" i="3"/>
  <c r="P432" i="3"/>
  <c r="Q432" i="3"/>
  <c r="AX433" i="3"/>
  <c r="AX434" i="3"/>
  <c r="F437" i="3"/>
  <c r="J437" i="3"/>
  <c r="L437" i="3"/>
  <c r="M437" i="3"/>
  <c r="N437" i="3"/>
  <c r="O437" i="3"/>
  <c r="P437" i="3"/>
  <c r="Q437" i="3"/>
  <c r="AX438" i="3"/>
  <c r="AX439" i="3"/>
  <c r="F442" i="3"/>
  <c r="J442" i="3"/>
  <c r="L442" i="3"/>
  <c r="M442" i="3"/>
  <c r="N442" i="3"/>
  <c r="O442" i="3"/>
  <c r="P442" i="3"/>
  <c r="Q442" i="3"/>
  <c r="AX443" i="3"/>
  <c r="AX444" i="3"/>
  <c r="F447" i="3"/>
  <c r="J447" i="3"/>
  <c r="L447" i="3"/>
  <c r="M447" i="3"/>
  <c r="N447" i="3"/>
  <c r="O447" i="3"/>
  <c r="P447" i="3"/>
  <c r="Q447" i="3"/>
  <c r="AX448" i="3"/>
  <c r="AX449" i="3"/>
  <c r="F452" i="3"/>
  <c r="J452" i="3"/>
  <c r="L452" i="3"/>
  <c r="M452" i="3"/>
  <c r="N452" i="3"/>
  <c r="O452" i="3"/>
  <c r="P452" i="3"/>
  <c r="Q452" i="3"/>
  <c r="AX453" i="3"/>
  <c r="AX454" i="3"/>
  <c r="F457" i="3"/>
  <c r="J457" i="3"/>
  <c r="L457" i="3"/>
  <c r="M457" i="3"/>
  <c r="N457" i="3"/>
  <c r="O457" i="3"/>
  <c r="P457" i="3"/>
  <c r="Q457" i="3"/>
  <c r="AX458" i="3"/>
  <c r="AX459" i="3"/>
  <c r="F462" i="3"/>
  <c r="J462" i="3"/>
  <c r="L462" i="3"/>
  <c r="M462" i="3"/>
  <c r="N462" i="3"/>
  <c r="O462" i="3"/>
  <c r="P462" i="3"/>
  <c r="Q462" i="3"/>
  <c r="AX463" i="3"/>
  <c r="AX464" i="3"/>
  <c r="F467" i="3"/>
  <c r="J467" i="3"/>
  <c r="L467" i="3"/>
  <c r="M467" i="3"/>
  <c r="N467" i="3"/>
  <c r="O467" i="3"/>
  <c r="P467" i="3"/>
  <c r="Q467" i="3"/>
  <c r="AX468" i="3"/>
  <c r="AX469" i="3"/>
  <c r="F472" i="3"/>
  <c r="J472" i="3"/>
  <c r="L472" i="3"/>
  <c r="M472" i="3"/>
  <c r="N472" i="3"/>
  <c r="O472" i="3"/>
  <c r="P472" i="3"/>
  <c r="Q472" i="3"/>
  <c r="AX473" i="3"/>
  <c r="AX474" i="3"/>
  <c r="F477" i="3"/>
  <c r="J477" i="3"/>
  <c r="L477" i="3"/>
  <c r="M477" i="3"/>
  <c r="N477" i="3"/>
  <c r="O477" i="3"/>
  <c r="P477" i="3"/>
  <c r="Q477" i="3"/>
  <c r="AX478" i="3"/>
  <c r="AX479" i="3"/>
  <c r="F482" i="3"/>
  <c r="J482" i="3"/>
  <c r="L482" i="3"/>
  <c r="M482" i="3"/>
  <c r="N482" i="3"/>
  <c r="O482" i="3"/>
  <c r="P482" i="3"/>
  <c r="Q482" i="3"/>
  <c r="AX483" i="3"/>
  <c r="AX484" i="3"/>
  <c r="F487" i="3"/>
  <c r="J487" i="3"/>
  <c r="L487" i="3"/>
  <c r="M487" i="3"/>
  <c r="N487" i="3"/>
  <c r="O487" i="3"/>
  <c r="P487" i="3"/>
  <c r="Q487" i="3"/>
  <c r="AX488" i="3"/>
  <c r="AX489" i="3"/>
  <c r="F492" i="3"/>
  <c r="J492" i="3"/>
  <c r="L492" i="3"/>
  <c r="M492" i="3"/>
  <c r="N492" i="3"/>
  <c r="O492" i="3"/>
  <c r="P492" i="3"/>
  <c r="Q492" i="3"/>
  <c r="AX493" i="3"/>
  <c r="AX494" i="3"/>
  <c r="F497" i="3"/>
  <c r="J497" i="3"/>
  <c r="L497" i="3"/>
  <c r="M497" i="3"/>
  <c r="N497" i="3"/>
  <c r="O497" i="3"/>
  <c r="P497" i="3"/>
  <c r="Q497" i="3"/>
  <c r="AX498" i="3"/>
  <c r="AX499" i="3"/>
  <c r="AX500" i="3"/>
  <c r="F501" i="3"/>
  <c r="J501" i="3"/>
  <c r="L501" i="3"/>
  <c r="M501" i="3"/>
  <c r="N501" i="3"/>
  <c r="O501" i="3"/>
  <c r="P501" i="3"/>
  <c r="Q501" i="3"/>
  <c r="F502" i="3"/>
  <c r="J502" i="3"/>
  <c r="L502" i="3"/>
  <c r="M502" i="3"/>
  <c r="N502" i="3"/>
  <c r="O502" i="3"/>
  <c r="P502" i="3"/>
  <c r="Q502" i="3"/>
  <c r="F503" i="3"/>
  <c r="J503" i="3"/>
  <c r="L503" i="3"/>
  <c r="M503" i="3"/>
  <c r="N503" i="3"/>
  <c r="O503" i="3"/>
  <c r="P503" i="3"/>
  <c r="Q503" i="3"/>
  <c r="AX504" i="3"/>
  <c r="F505" i="3"/>
  <c r="J505" i="3"/>
  <c r="L505" i="3"/>
  <c r="M505" i="3"/>
  <c r="N505" i="3"/>
  <c r="O505" i="3"/>
  <c r="P505" i="3"/>
  <c r="Q505" i="3"/>
  <c r="F506" i="3"/>
  <c r="J506" i="3"/>
  <c r="L506" i="3"/>
  <c r="M506" i="3"/>
  <c r="N506" i="3"/>
  <c r="O506" i="3"/>
  <c r="P506" i="3"/>
  <c r="Q506" i="3"/>
  <c r="F507" i="3"/>
  <c r="J507" i="3"/>
  <c r="L507" i="3"/>
  <c r="M507" i="3"/>
  <c r="N507" i="3"/>
  <c r="O507" i="3"/>
  <c r="P507" i="3"/>
  <c r="Q507" i="3"/>
  <c r="AX508" i="3"/>
  <c r="AX513" i="3"/>
  <c r="AX514" i="3"/>
  <c r="AX515" i="3"/>
  <c r="AX516" i="3"/>
  <c r="AX517" i="3"/>
  <c r="AX518" i="3"/>
  <c r="AX519" i="3"/>
  <c r="AX520" i="3"/>
  <c r="F523" i="3"/>
  <c r="J523" i="3"/>
  <c r="L523" i="3"/>
  <c r="M523" i="3"/>
  <c r="N523" i="3"/>
  <c r="O523" i="3"/>
  <c r="P523" i="3"/>
  <c r="Q523" i="3"/>
  <c r="AX525" i="3"/>
  <c r="F528" i="3"/>
  <c r="J528" i="3"/>
  <c r="L528" i="3"/>
  <c r="M528" i="3"/>
  <c r="N528" i="3"/>
  <c r="O528" i="3"/>
  <c r="P528" i="3"/>
  <c r="Q528" i="3"/>
  <c r="AX530" i="3"/>
  <c r="F533" i="3"/>
  <c r="J533" i="3"/>
  <c r="L533" i="3"/>
  <c r="M533" i="3"/>
  <c r="N533" i="3"/>
  <c r="O533" i="3"/>
  <c r="P533" i="3"/>
  <c r="Q533" i="3"/>
  <c r="AX535" i="3"/>
  <c r="F538" i="3"/>
  <c r="J538" i="3"/>
  <c r="L538" i="3"/>
  <c r="M538" i="3"/>
  <c r="N538" i="3"/>
  <c r="O538" i="3"/>
  <c r="P538" i="3"/>
  <c r="Q538" i="3"/>
  <c r="AX540" i="3"/>
  <c r="F543" i="3"/>
  <c r="J543" i="3"/>
  <c r="L543" i="3"/>
  <c r="M543" i="3"/>
  <c r="N543" i="3"/>
  <c r="O543" i="3"/>
  <c r="P543" i="3"/>
  <c r="Q543" i="3"/>
  <c r="AX545" i="3"/>
  <c r="F548" i="3"/>
  <c r="J548" i="3"/>
  <c r="L548" i="3"/>
  <c r="M548" i="3"/>
  <c r="N548" i="3"/>
  <c r="O548" i="3"/>
  <c r="P548" i="3"/>
  <c r="Q548" i="3"/>
  <c r="AX550" i="3"/>
  <c r="F553" i="3"/>
  <c r="J553" i="3"/>
  <c r="L553" i="3"/>
  <c r="M553" i="3"/>
  <c r="N553" i="3"/>
  <c r="O553" i="3"/>
  <c r="P553" i="3"/>
  <c r="Q553" i="3"/>
  <c r="AX555" i="3"/>
  <c r="F558" i="3"/>
  <c r="J558" i="3"/>
  <c r="L558" i="3"/>
  <c r="M558" i="3"/>
  <c r="N558" i="3"/>
  <c r="O558" i="3"/>
  <c r="P558" i="3"/>
  <c r="Q558" i="3"/>
  <c r="AX560" i="3"/>
  <c r="F563" i="3"/>
  <c r="J563" i="3"/>
  <c r="L563" i="3"/>
  <c r="M563" i="3"/>
  <c r="N563" i="3"/>
  <c r="O563" i="3"/>
  <c r="P563" i="3"/>
  <c r="Q563" i="3"/>
  <c r="AX565" i="3"/>
  <c r="F568" i="3"/>
  <c r="J568" i="3"/>
  <c r="L568" i="3"/>
  <c r="M568" i="3"/>
  <c r="N568" i="3"/>
  <c r="O568" i="3"/>
  <c r="P568" i="3"/>
  <c r="Q568" i="3"/>
  <c r="AX570" i="3"/>
  <c r="F573" i="3"/>
  <c r="J573" i="3"/>
  <c r="L573" i="3"/>
  <c r="M573" i="3"/>
  <c r="N573" i="3"/>
  <c r="O573" i="3"/>
  <c r="P573" i="3"/>
  <c r="Q573" i="3"/>
  <c r="AX575" i="3"/>
  <c r="F578" i="3"/>
  <c r="J578" i="3"/>
  <c r="L578" i="3"/>
  <c r="M578" i="3"/>
  <c r="N578" i="3"/>
  <c r="O578" i="3"/>
  <c r="P578" i="3"/>
  <c r="Q578" i="3"/>
  <c r="AX580" i="3"/>
  <c r="F583" i="3"/>
  <c r="J583" i="3"/>
  <c r="L583" i="3"/>
  <c r="M583" i="3"/>
  <c r="N583" i="3"/>
  <c r="O583" i="3"/>
  <c r="P583" i="3"/>
  <c r="Q583" i="3"/>
  <c r="AX585" i="3"/>
  <c r="F588" i="3"/>
  <c r="J588" i="3"/>
  <c r="L588" i="3"/>
  <c r="M588" i="3"/>
  <c r="N588" i="3"/>
  <c r="O588" i="3"/>
  <c r="P588" i="3"/>
  <c r="Q588" i="3"/>
  <c r="AX590" i="3"/>
  <c r="F593" i="3"/>
  <c r="J593" i="3"/>
  <c r="L593" i="3"/>
  <c r="M593" i="3"/>
  <c r="N593" i="3"/>
  <c r="O593" i="3"/>
  <c r="P593" i="3"/>
  <c r="Q593" i="3"/>
  <c r="AX595" i="3"/>
  <c r="F598" i="3"/>
  <c r="J598" i="3"/>
  <c r="L598" i="3"/>
  <c r="M598" i="3"/>
  <c r="N598" i="3"/>
  <c r="O598" i="3"/>
  <c r="P598" i="3"/>
  <c r="Q598" i="3"/>
  <c r="AX600" i="3"/>
  <c r="F603" i="3"/>
  <c r="J603" i="3"/>
  <c r="L603" i="3"/>
  <c r="M603" i="3"/>
  <c r="N603" i="3"/>
  <c r="O603" i="3"/>
  <c r="P603" i="3"/>
  <c r="Q603" i="3"/>
  <c r="AX605" i="3"/>
  <c r="F608" i="3"/>
  <c r="J608" i="3"/>
  <c r="L608" i="3"/>
  <c r="M608" i="3"/>
  <c r="N608" i="3"/>
  <c r="O608" i="3"/>
  <c r="P608" i="3"/>
  <c r="Q608" i="3"/>
  <c r="AX610" i="3"/>
  <c r="F613" i="3"/>
  <c r="J613" i="3"/>
  <c r="L613" i="3"/>
  <c r="M613" i="3"/>
  <c r="N613" i="3"/>
  <c r="O613" i="3"/>
  <c r="P613" i="3"/>
  <c r="Q613" i="3"/>
  <c r="AX615" i="3"/>
  <c r="F618" i="3"/>
  <c r="J618" i="3"/>
  <c r="L618" i="3"/>
  <c r="M618" i="3"/>
  <c r="N618" i="3"/>
  <c r="O618" i="3"/>
  <c r="P618" i="3"/>
  <c r="Q618" i="3"/>
  <c r="AX620" i="3"/>
  <c r="F623" i="3"/>
  <c r="J623" i="3"/>
  <c r="L623" i="3"/>
  <c r="M623" i="3"/>
  <c r="N623" i="3"/>
  <c r="O623" i="3"/>
  <c r="P623" i="3"/>
  <c r="Q623" i="3"/>
  <c r="AX625" i="3"/>
  <c r="F628" i="3"/>
  <c r="F631" i="3" s="1"/>
  <c r="G24" i="5" s="1"/>
  <c r="J628" i="3"/>
  <c r="J631" i="3" s="1"/>
  <c r="K24" i="5" s="1"/>
  <c r="L628" i="3"/>
  <c r="L631" i="3" s="1"/>
  <c r="M24" i="5" s="1"/>
  <c r="M628" i="3"/>
  <c r="M631" i="3" s="1"/>
  <c r="N24" i="5" s="1"/>
  <c r="N628" i="3"/>
  <c r="N631" i="3" s="1"/>
  <c r="O24" i="5" s="1"/>
  <c r="O628" i="3"/>
  <c r="O631" i="3" s="1"/>
  <c r="P24" i="5" s="1"/>
  <c r="P628" i="3"/>
  <c r="P631" i="3" s="1"/>
  <c r="Q24" i="5" s="1"/>
  <c r="Q628" i="3"/>
  <c r="Q631" i="3" s="1"/>
  <c r="R24" i="5" s="1"/>
  <c r="AX630" i="3"/>
  <c r="F632" i="3"/>
  <c r="J632" i="3"/>
  <c r="L632" i="3"/>
  <c r="M632" i="3"/>
  <c r="N632" i="3"/>
  <c r="O632" i="3"/>
  <c r="P632" i="3"/>
  <c r="Q632" i="3"/>
  <c r="F633" i="3"/>
  <c r="G25" i="5" s="1"/>
  <c r="J633" i="3"/>
  <c r="K25" i="5" s="1"/>
  <c r="L633" i="3"/>
  <c r="M25" i="5" s="1"/>
  <c r="M633" i="3"/>
  <c r="N25" i="5" s="1"/>
  <c r="N633" i="3"/>
  <c r="O25" i="5" s="1"/>
  <c r="O633" i="3"/>
  <c r="P25" i="5" s="1"/>
  <c r="P633" i="3"/>
  <c r="Q25" i="5" s="1"/>
  <c r="Q633" i="3"/>
  <c r="R25" i="5" s="1"/>
  <c r="F634" i="3"/>
  <c r="J634" i="3"/>
  <c r="L634" i="3"/>
  <c r="M634" i="3"/>
  <c r="N634" i="3"/>
  <c r="O634" i="3"/>
  <c r="P634" i="3"/>
  <c r="Q634" i="3"/>
  <c r="AX637" i="3"/>
  <c r="AX638" i="3"/>
  <c r="AX640" i="3"/>
  <c r="AX641" i="3"/>
  <c r="AX642" i="3"/>
  <c r="AX643" i="3"/>
  <c r="AX644" i="3"/>
  <c r="AX645" i="3"/>
  <c r="AX648" i="3"/>
  <c r="F649" i="3"/>
  <c r="J649" i="3"/>
  <c r="K29" i="5" s="1"/>
  <c r="L649" i="3"/>
  <c r="M29" i="5" s="1"/>
  <c r="M649" i="3"/>
  <c r="N29" i="5" s="1"/>
  <c r="N649" i="3"/>
  <c r="O29" i="5" s="1"/>
  <c r="O649" i="3"/>
  <c r="P29" i="5" s="1"/>
  <c r="P649" i="3"/>
  <c r="Q29" i="5" s="1"/>
  <c r="Q649" i="3"/>
  <c r="R29" i="5" s="1"/>
  <c r="AX650" i="3"/>
  <c r="AX651" i="3"/>
  <c r="AX652" i="3"/>
  <c r="AX653" i="3"/>
  <c r="F656" i="3"/>
  <c r="J656" i="3"/>
  <c r="L656" i="3"/>
  <c r="M656" i="3"/>
  <c r="N656" i="3"/>
  <c r="O656" i="3"/>
  <c r="P656" i="3"/>
  <c r="Q656" i="3"/>
  <c r="AX657" i="3"/>
  <c r="AX658" i="3"/>
  <c r="F661" i="3"/>
  <c r="J661" i="3"/>
  <c r="L661" i="3"/>
  <c r="M661" i="3"/>
  <c r="N661" i="3"/>
  <c r="O661" i="3"/>
  <c r="P661" i="3"/>
  <c r="Q661" i="3"/>
  <c r="AX662" i="3"/>
  <c r="AX663" i="3"/>
  <c r="F666" i="3"/>
  <c r="J666" i="3"/>
  <c r="L666" i="3"/>
  <c r="M666" i="3"/>
  <c r="N666" i="3"/>
  <c r="O666" i="3"/>
  <c r="P666" i="3"/>
  <c r="Q666" i="3"/>
  <c r="AX667" i="3"/>
  <c r="AX668" i="3"/>
  <c r="F671" i="3"/>
  <c r="J671" i="3"/>
  <c r="L671" i="3"/>
  <c r="M671" i="3"/>
  <c r="N671" i="3"/>
  <c r="O671" i="3"/>
  <c r="P671" i="3"/>
  <c r="Q671" i="3"/>
  <c r="AX672" i="3"/>
  <c r="AX673" i="3"/>
  <c r="F676" i="3"/>
  <c r="J676" i="3"/>
  <c r="L676" i="3"/>
  <c r="M676" i="3"/>
  <c r="N676" i="3"/>
  <c r="O676" i="3"/>
  <c r="P676" i="3"/>
  <c r="Q676" i="3"/>
  <c r="AX677" i="3"/>
  <c r="AX678" i="3"/>
  <c r="F681" i="3"/>
  <c r="J681" i="3"/>
  <c r="L681" i="3"/>
  <c r="M681" i="3"/>
  <c r="N681" i="3"/>
  <c r="O681" i="3"/>
  <c r="P681" i="3"/>
  <c r="Q681" i="3"/>
  <c r="AX682" i="3"/>
  <c r="AX683" i="3"/>
  <c r="F686" i="3"/>
  <c r="J686" i="3"/>
  <c r="L686" i="3"/>
  <c r="M686" i="3"/>
  <c r="N686" i="3"/>
  <c r="O686" i="3"/>
  <c r="P686" i="3"/>
  <c r="Q686" i="3"/>
  <c r="AX687" i="3"/>
  <c r="AX688" i="3"/>
  <c r="F691" i="3"/>
  <c r="J691" i="3"/>
  <c r="L691" i="3"/>
  <c r="M691" i="3"/>
  <c r="N691" i="3"/>
  <c r="O691" i="3"/>
  <c r="P691" i="3"/>
  <c r="Q691" i="3"/>
  <c r="AX692" i="3"/>
  <c r="AX693" i="3"/>
  <c r="F696" i="3"/>
  <c r="J696" i="3"/>
  <c r="L696" i="3"/>
  <c r="M696" i="3"/>
  <c r="N696" i="3"/>
  <c r="O696" i="3"/>
  <c r="P696" i="3"/>
  <c r="Q696" i="3"/>
  <c r="AX697" i="3"/>
  <c r="AX698" i="3"/>
  <c r="F701" i="3"/>
  <c r="J701" i="3"/>
  <c r="L701" i="3"/>
  <c r="M701" i="3"/>
  <c r="N701" i="3"/>
  <c r="O701" i="3"/>
  <c r="P701" i="3"/>
  <c r="Q701" i="3"/>
  <c r="AX702" i="3"/>
  <c r="AX703" i="3"/>
  <c r="F706" i="3"/>
  <c r="J706" i="3"/>
  <c r="L706" i="3"/>
  <c r="M706" i="3"/>
  <c r="N706" i="3"/>
  <c r="O706" i="3"/>
  <c r="P706" i="3"/>
  <c r="Q706" i="3"/>
  <c r="AX707" i="3"/>
  <c r="AX708" i="3"/>
  <c r="F711" i="3"/>
  <c r="J711" i="3"/>
  <c r="L711" i="3"/>
  <c r="M711" i="3"/>
  <c r="N711" i="3"/>
  <c r="O711" i="3"/>
  <c r="P711" i="3"/>
  <c r="Q711" i="3"/>
  <c r="AX712" i="3"/>
  <c r="AX713" i="3"/>
  <c r="F716" i="3"/>
  <c r="J716" i="3"/>
  <c r="L716" i="3"/>
  <c r="M716" i="3"/>
  <c r="N716" i="3"/>
  <c r="O716" i="3"/>
  <c r="P716" i="3"/>
  <c r="Q716" i="3"/>
  <c r="AX717" i="3"/>
  <c r="AX718" i="3"/>
  <c r="F721" i="3"/>
  <c r="J721" i="3"/>
  <c r="L721" i="3"/>
  <c r="M721" i="3"/>
  <c r="N721" i="3"/>
  <c r="O721" i="3"/>
  <c r="P721" i="3"/>
  <c r="Q721" i="3"/>
  <c r="AX722" i="3"/>
  <c r="AX723" i="3"/>
  <c r="F726" i="3"/>
  <c r="J726" i="3"/>
  <c r="L726" i="3"/>
  <c r="M726" i="3"/>
  <c r="N726" i="3"/>
  <c r="O726" i="3"/>
  <c r="P726" i="3"/>
  <c r="Q726" i="3"/>
  <c r="AX727" i="3"/>
  <c r="AX728" i="3"/>
  <c r="F731" i="3"/>
  <c r="J731" i="3"/>
  <c r="L731" i="3"/>
  <c r="M731" i="3"/>
  <c r="N731" i="3"/>
  <c r="O731" i="3"/>
  <c r="P731" i="3"/>
  <c r="Q731" i="3"/>
  <c r="AX732" i="3"/>
  <c r="AX733" i="3"/>
  <c r="F736" i="3"/>
  <c r="J736" i="3"/>
  <c r="L736" i="3"/>
  <c r="M736" i="3"/>
  <c r="N736" i="3"/>
  <c r="O736" i="3"/>
  <c r="P736" i="3"/>
  <c r="Q736" i="3"/>
  <c r="AX737" i="3"/>
  <c r="AX738" i="3"/>
  <c r="F741" i="3"/>
  <c r="J741" i="3"/>
  <c r="L741" i="3"/>
  <c r="M741" i="3"/>
  <c r="N741" i="3"/>
  <c r="O741" i="3"/>
  <c r="P741" i="3"/>
  <c r="Q741" i="3"/>
  <c r="AX742" i="3"/>
  <c r="AX743" i="3"/>
  <c r="F746" i="3"/>
  <c r="J746" i="3"/>
  <c r="L746" i="3"/>
  <c r="M746" i="3"/>
  <c r="N746" i="3"/>
  <c r="O746" i="3"/>
  <c r="P746" i="3"/>
  <c r="Q746" i="3"/>
  <c r="AX747" i="3"/>
  <c r="AX748" i="3"/>
  <c r="F749" i="3"/>
  <c r="J749" i="3"/>
  <c r="L749" i="3"/>
  <c r="M749" i="3"/>
  <c r="N749" i="3"/>
  <c r="O749" i="3"/>
  <c r="P749" i="3"/>
  <c r="Q749" i="3"/>
  <c r="F750" i="3"/>
  <c r="J750" i="3"/>
  <c r="L750" i="3"/>
  <c r="M750" i="3"/>
  <c r="N750" i="3"/>
  <c r="O750" i="3"/>
  <c r="P750" i="3"/>
  <c r="Q750" i="3"/>
  <c r="AX751" i="3"/>
  <c r="AX753" i="3"/>
  <c r="AX754" i="3"/>
  <c r="AX755" i="3"/>
  <c r="AX756" i="3"/>
  <c r="F759" i="3"/>
  <c r="J759" i="3"/>
  <c r="L759" i="3"/>
  <c r="M759" i="3"/>
  <c r="N759" i="3"/>
  <c r="O759" i="3"/>
  <c r="P759" i="3"/>
  <c r="Q759" i="3"/>
  <c r="AX760" i="3"/>
  <c r="AX761" i="3"/>
  <c r="F764" i="3"/>
  <c r="J764" i="3"/>
  <c r="L764" i="3"/>
  <c r="M764" i="3"/>
  <c r="N764" i="3"/>
  <c r="O764" i="3"/>
  <c r="P764" i="3"/>
  <c r="Q764" i="3"/>
  <c r="AX765" i="3"/>
  <c r="AX766" i="3"/>
  <c r="F769" i="3"/>
  <c r="J769" i="3"/>
  <c r="L769" i="3"/>
  <c r="M769" i="3"/>
  <c r="N769" i="3"/>
  <c r="O769" i="3"/>
  <c r="P769" i="3"/>
  <c r="Q769" i="3"/>
  <c r="AX770" i="3"/>
  <c r="AX771" i="3"/>
  <c r="F774" i="3"/>
  <c r="J774" i="3"/>
  <c r="L774" i="3"/>
  <c r="M774" i="3"/>
  <c r="N774" i="3"/>
  <c r="O774" i="3"/>
  <c r="P774" i="3"/>
  <c r="Q774" i="3"/>
  <c r="AX775" i="3"/>
  <c r="AX776" i="3"/>
  <c r="F779" i="3"/>
  <c r="J779" i="3"/>
  <c r="L779" i="3"/>
  <c r="M779" i="3"/>
  <c r="N779" i="3"/>
  <c r="O779" i="3"/>
  <c r="P779" i="3"/>
  <c r="Q779" i="3"/>
  <c r="AX780" i="3"/>
  <c r="AX781" i="3"/>
  <c r="AX785" i="3"/>
  <c r="AX786" i="3"/>
  <c r="AX790" i="3"/>
  <c r="AX791" i="3"/>
  <c r="AX795" i="3"/>
  <c r="AX796" i="3"/>
  <c r="F799" i="3"/>
  <c r="J799" i="3"/>
  <c r="L799" i="3"/>
  <c r="M799" i="3"/>
  <c r="N799" i="3"/>
  <c r="O799" i="3"/>
  <c r="P799" i="3"/>
  <c r="Q799" i="3"/>
  <c r="AX800" i="3"/>
  <c r="AX801" i="3"/>
  <c r="AX804" i="3"/>
  <c r="AX806" i="3"/>
  <c r="AX807" i="3"/>
  <c r="AX808" i="3"/>
  <c r="AX809" i="3"/>
  <c r="F812" i="3"/>
  <c r="J812" i="3"/>
  <c r="L812" i="3"/>
  <c r="M812" i="3"/>
  <c r="N812" i="3"/>
  <c r="O812" i="3"/>
  <c r="P812" i="3"/>
  <c r="Q812" i="3"/>
  <c r="AX813" i="3"/>
  <c r="AX814" i="3"/>
  <c r="F817" i="3"/>
  <c r="J817" i="3"/>
  <c r="L817" i="3"/>
  <c r="M817" i="3"/>
  <c r="N817" i="3"/>
  <c r="O817" i="3"/>
  <c r="P817" i="3"/>
  <c r="Q817" i="3"/>
  <c r="AX818" i="3"/>
  <c r="AX819" i="3"/>
  <c r="F822" i="3"/>
  <c r="J822" i="3"/>
  <c r="L822" i="3"/>
  <c r="M822" i="3"/>
  <c r="N822" i="3"/>
  <c r="P822" i="3"/>
  <c r="Q822" i="3"/>
  <c r="AX823" i="3"/>
  <c r="AX824" i="3"/>
  <c r="F827" i="3"/>
  <c r="J827" i="3"/>
  <c r="L827" i="3"/>
  <c r="M827" i="3"/>
  <c r="N827" i="3"/>
  <c r="O827" i="3"/>
  <c r="P827" i="3"/>
  <c r="Q827" i="3"/>
  <c r="AX828" i="3"/>
  <c r="AX829" i="3"/>
  <c r="F830" i="3"/>
  <c r="F831" i="3"/>
  <c r="AX832" i="3"/>
  <c r="AX834" i="3"/>
  <c r="AX835" i="3"/>
  <c r="AX836" i="3"/>
  <c r="AX837" i="3"/>
  <c r="F840" i="3"/>
  <c r="J840" i="3"/>
  <c r="L840" i="3"/>
  <c r="O840" i="3"/>
  <c r="P840" i="3"/>
  <c r="Q840" i="3"/>
  <c r="AX841" i="3"/>
  <c r="F844" i="3"/>
  <c r="J844" i="3"/>
  <c r="L844" i="3"/>
  <c r="M844" i="3"/>
  <c r="O844" i="3"/>
  <c r="AX845" i="3"/>
  <c r="F848" i="3"/>
  <c r="J848" i="3"/>
  <c r="L848" i="3"/>
  <c r="M848" i="3"/>
  <c r="N848" i="3"/>
  <c r="O848" i="3"/>
  <c r="P848" i="3"/>
  <c r="Q848" i="3"/>
  <c r="AX849" i="3"/>
  <c r="F852" i="3"/>
  <c r="J852" i="3"/>
  <c r="L852" i="3"/>
  <c r="M852" i="3"/>
  <c r="N852" i="3"/>
  <c r="O852" i="3"/>
  <c r="P852" i="3"/>
  <c r="AX853" i="3"/>
  <c r="F856" i="3"/>
  <c r="J856" i="3"/>
  <c r="L856" i="3"/>
  <c r="M856" i="3"/>
  <c r="N856" i="3"/>
  <c r="O856" i="3"/>
  <c r="P856" i="3"/>
  <c r="Q856" i="3"/>
  <c r="AX857" i="3"/>
  <c r="F860" i="3"/>
  <c r="J860" i="3"/>
  <c r="L860" i="3"/>
  <c r="M860" i="3"/>
  <c r="N860" i="3"/>
  <c r="O860" i="3"/>
  <c r="P860" i="3"/>
  <c r="Q860" i="3"/>
  <c r="AX861" i="3"/>
  <c r="F864" i="3"/>
  <c r="J864" i="3"/>
  <c r="L864" i="3"/>
  <c r="M864" i="3"/>
  <c r="N864" i="3"/>
  <c r="O864" i="3"/>
  <c r="P864" i="3"/>
  <c r="Q864" i="3"/>
  <c r="AX865" i="3"/>
  <c r="F868" i="3"/>
  <c r="J868" i="3"/>
  <c r="L868" i="3"/>
  <c r="M868" i="3"/>
  <c r="N868" i="3"/>
  <c r="O868" i="3"/>
  <c r="P868" i="3"/>
  <c r="Q868" i="3"/>
  <c r="F872" i="3"/>
  <c r="J872" i="3"/>
  <c r="L872" i="3"/>
  <c r="M872" i="3"/>
  <c r="N872" i="3"/>
  <c r="O872" i="3"/>
  <c r="P872" i="3"/>
  <c r="Q872" i="3"/>
  <c r="F876" i="3"/>
  <c r="J876" i="3"/>
  <c r="L876" i="3"/>
  <c r="M876" i="3"/>
  <c r="N876" i="3"/>
  <c r="O876" i="3"/>
  <c r="P876" i="3"/>
  <c r="Q876" i="3"/>
  <c r="AX877" i="3"/>
  <c r="F880" i="3"/>
  <c r="J880" i="3"/>
  <c r="L880" i="3"/>
  <c r="M880" i="3"/>
  <c r="N880" i="3"/>
  <c r="O880" i="3"/>
  <c r="P880" i="3"/>
  <c r="Q880" i="3"/>
  <c r="AX881" i="3"/>
  <c r="F884" i="3"/>
  <c r="J884" i="3"/>
  <c r="L884" i="3"/>
  <c r="M884" i="3"/>
  <c r="N884" i="3"/>
  <c r="O884" i="3"/>
  <c r="P884" i="3"/>
  <c r="Q884" i="3"/>
  <c r="AX885" i="3"/>
  <c r="F886" i="3"/>
  <c r="J886" i="3"/>
  <c r="L886" i="3"/>
  <c r="O886" i="3"/>
  <c r="F887" i="3"/>
  <c r="J887" i="3"/>
  <c r="L887" i="3"/>
  <c r="O887" i="3"/>
  <c r="AX891" i="3"/>
  <c r="F904" i="3"/>
  <c r="J904" i="3"/>
  <c r="L904" i="3"/>
  <c r="M904" i="3"/>
  <c r="N904" i="3"/>
  <c r="O904" i="3"/>
  <c r="P904" i="3"/>
  <c r="Q904" i="3"/>
  <c r="AX905" i="3"/>
  <c r="AX906" i="3"/>
  <c r="F911" i="3"/>
  <c r="J911" i="3"/>
  <c r="L911" i="3"/>
  <c r="M911" i="3"/>
  <c r="N911" i="3"/>
  <c r="O911" i="3"/>
  <c r="P911" i="3"/>
  <c r="Q911" i="3"/>
  <c r="AX912" i="3"/>
  <c r="AX915" i="3"/>
  <c r="AX916" i="3"/>
  <c r="F921" i="3"/>
  <c r="F1222" i="3" s="1"/>
  <c r="J921" i="3"/>
  <c r="K38" i="5" s="1"/>
  <c r="L921" i="3"/>
  <c r="M38" i="5" s="1"/>
  <c r="M921" i="3"/>
  <c r="N38" i="5" s="1"/>
  <c r="N921" i="3"/>
  <c r="O38" i="5" s="1"/>
  <c r="O921" i="3"/>
  <c r="P38" i="5" s="1"/>
  <c r="P921" i="3"/>
  <c r="Q38" i="5" s="1"/>
  <c r="Q921" i="3"/>
  <c r="R38" i="5" s="1"/>
  <c r="AX922" i="3"/>
  <c r="AX924" i="3"/>
  <c r="AX926" i="3"/>
  <c r="AX928" i="3"/>
  <c r="AX930" i="3"/>
  <c r="AX932" i="3"/>
  <c r="AX938" i="3"/>
  <c r="AX952" i="3"/>
  <c r="AX954" i="3"/>
  <c r="AX955" i="3"/>
  <c r="AX963" i="3"/>
  <c r="AX965" i="3"/>
  <c r="AX966" i="3"/>
  <c r="AX967" i="3"/>
  <c r="AX971" i="3"/>
  <c r="AX972" i="3"/>
  <c r="AX976" i="3"/>
  <c r="AX977" i="3"/>
  <c r="AX987" i="3"/>
  <c r="AX988" i="3"/>
  <c r="AX992" i="3"/>
  <c r="AX993" i="3"/>
  <c r="AX997" i="3"/>
  <c r="AX998" i="3"/>
  <c r="AX1002" i="3"/>
  <c r="AX1003" i="3"/>
  <c r="AX1007" i="3"/>
  <c r="AX1008" i="3"/>
  <c r="AX1012" i="3"/>
  <c r="AX1013" i="3"/>
  <c r="AX1017" i="3"/>
  <c r="AX1019" i="3"/>
  <c r="AX1020" i="3"/>
  <c r="AX1021" i="3"/>
  <c r="AX1025" i="3"/>
  <c r="AX1026" i="3"/>
  <c r="AX1031" i="3"/>
  <c r="AX1032" i="3"/>
  <c r="AX1037" i="3"/>
  <c r="AX1043" i="3"/>
  <c r="AX1044" i="3"/>
  <c r="AX1048" i="3"/>
  <c r="AX1049" i="3"/>
  <c r="AX1054" i="3"/>
  <c r="AX1055" i="3"/>
  <c r="AX1060" i="3"/>
  <c r="AX1061" i="3"/>
  <c r="AX1066" i="3"/>
  <c r="AX1067" i="3"/>
  <c r="AX1071" i="3"/>
  <c r="AX1072" i="3"/>
  <c r="AX1077" i="3"/>
  <c r="AX1079" i="3"/>
  <c r="AX1080" i="3"/>
  <c r="AX1086" i="3"/>
  <c r="AX1087" i="3"/>
  <c r="J1089" i="3"/>
  <c r="K53" i="5" s="1"/>
  <c r="L1089" i="3"/>
  <c r="M53" i="5" s="1"/>
  <c r="M1089" i="3"/>
  <c r="N53" i="5" s="1"/>
  <c r="N1089" i="3"/>
  <c r="O53" i="5" s="1"/>
  <c r="O1089" i="3"/>
  <c r="P53" i="5" s="1"/>
  <c r="P1089" i="3"/>
  <c r="Q53" i="5" s="1"/>
  <c r="Q1089" i="3"/>
  <c r="R53" i="5" s="1"/>
  <c r="AX1090" i="3"/>
  <c r="AX1091" i="3"/>
  <c r="J1096" i="3"/>
  <c r="K54" i="5" s="1"/>
  <c r="L1096" i="3"/>
  <c r="M54" i="5" s="1"/>
  <c r="M1096" i="3"/>
  <c r="N54" i="5" s="1"/>
  <c r="N1096" i="3"/>
  <c r="O54" i="5" s="1"/>
  <c r="O1096" i="3"/>
  <c r="P54" i="5" s="1"/>
  <c r="P1096" i="3"/>
  <c r="Q54" i="5" s="1"/>
  <c r="Q1096" i="3"/>
  <c r="R54" i="5" s="1"/>
  <c r="AX1097" i="3"/>
  <c r="AX1098" i="3"/>
  <c r="L1103" i="3"/>
  <c r="M55" i="5" s="1"/>
  <c r="M1103" i="3"/>
  <c r="N55" i="5" s="1"/>
  <c r="N1103" i="3"/>
  <c r="O55" i="5" s="1"/>
  <c r="O1103" i="3"/>
  <c r="P55" i="5" s="1"/>
  <c r="P1103" i="3"/>
  <c r="Q55" i="5" s="1"/>
  <c r="Q1103" i="3"/>
  <c r="R55" i="5" s="1"/>
  <c r="AX1104" i="3"/>
  <c r="AX1105" i="3"/>
  <c r="L1110" i="3"/>
  <c r="M56" i="5" s="1"/>
  <c r="M1110" i="3"/>
  <c r="N56" i="5" s="1"/>
  <c r="N1110" i="3"/>
  <c r="O56" i="5" s="1"/>
  <c r="O1110" i="3"/>
  <c r="P56" i="5" s="1"/>
  <c r="P1110" i="3"/>
  <c r="Q56" i="5" s="1"/>
  <c r="Q1110" i="3"/>
  <c r="R56" i="5" s="1"/>
  <c r="AX1118" i="3"/>
  <c r="AX1120" i="3"/>
  <c r="AX1125" i="3"/>
  <c r="AX1126" i="3"/>
  <c r="AX1128" i="3"/>
  <c r="AX1129" i="3"/>
  <c r="AX1130" i="3"/>
  <c r="AX1131" i="3"/>
  <c r="AX1132" i="3"/>
  <c r="J1135" i="3"/>
  <c r="K61" i="5" s="1"/>
  <c r="L1135" i="3"/>
  <c r="M61" i="5" s="1"/>
  <c r="M1135" i="3"/>
  <c r="N61" i="5" s="1"/>
  <c r="N1135" i="3"/>
  <c r="O61" i="5" s="1"/>
  <c r="O1135" i="3"/>
  <c r="P61" i="5" s="1"/>
  <c r="P1135" i="3"/>
  <c r="Q61" i="5" s="1"/>
  <c r="Q1135" i="3"/>
  <c r="R61" i="5" s="1"/>
  <c r="AX1136" i="3"/>
  <c r="AX1137" i="3"/>
  <c r="J1139" i="3"/>
  <c r="K62" i="5" s="1"/>
  <c r="L1139" i="3"/>
  <c r="M62" i="5" s="1"/>
  <c r="M1139" i="3"/>
  <c r="N62" i="5" s="1"/>
  <c r="N1139" i="3"/>
  <c r="O62" i="5" s="1"/>
  <c r="O1139" i="3"/>
  <c r="P62" i="5" s="1"/>
  <c r="P1139" i="3"/>
  <c r="Q62" i="5" s="1"/>
  <c r="Q1139" i="3"/>
  <c r="R62" i="5" s="1"/>
  <c r="AX1140" i="3"/>
  <c r="AX1141" i="3"/>
  <c r="J1143" i="3"/>
  <c r="K63" i="5" s="1"/>
  <c r="L1143" i="3"/>
  <c r="M63" i="5" s="1"/>
  <c r="M1143" i="3"/>
  <c r="N63" i="5" s="1"/>
  <c r="N1143" i="3"/>
  <c r="O63" i="5" s="1"/>
  <c r="O1143" i="3"/>
  <c r="P63" i="5" s="1"/>
  <c r="P1143" i="3"/>
  <c r="Q63" i="5" s="1"/>
  <c r="Q1143" i="3"/>
  <c r="R63" i="5" s="1"/>
  <c r="AX1144" i="3"/>
  <c r="AX1145" i="3"/>
  <c r="J1150" i="3"/>
  <c r="L1150" i="3"/>
  <c r="M1150" i="3"/>
  <c r="N1150" i="3"/>
  <c r="O1150" i="3"/>
  <c r="P1150" i="3"/>
  <c r="Q1150" i="3"/>
  <c r="AX1151" i="3"/>
  <c r="AX1152" i="3"/>
  <c r="J1157" i="3"/>
  <c r="L1157" i="3"/>
  <c r="M1157" i="3"/>
  <c r="N1157" i="3"/>
  <c r="O1157" i="3"/>
  <c r="P1157" i="3"/>
  <c r="Q1157" i="3"/>
  <c r="AX1158" i="3"/>
  <c r="AX1159" i="3"/>
  <c r="J1162" i="3"/>
  <c r="K65" i="5" s="1"/>
  <c r="L1162" i="3"/>
  <c r="M65" i="5" s="1"/>
  <c r="M1162" i="3"/>
  <c r="N65" i="5" s="1"/>
  <c r="N1162" i="3"/>
  <c r="O65" i="5" s="1"/>
  <c r="O1162" i="3"/>
  <c r="P65" i="5" s="1"/>
  <c r="P1162" i="3"/>
  <c r="Q65" i="5" s="1"/>
  <c r="Q1162" i="3"/>
  <c r="R65" i="5" s="1"/>
  <c r="AX1163" i="3"/>
  <c r="AX1164" i="3"/>
  <c r="AX1168" i="3"/>
  <c r="AX1169" i="3"/>
  <c r="J1171" i="3"/>
  <c r="K67" i="5" s="1"/>
  <c r="L1171" i="3"/>
  <c r="M67" i="5" s="1"/>
  <c r="M1171" i="3"/>
  <c r="N67" i="5" s="1"/>
  <c r="N1171" i="3"/>
  <c r="O67" i="5" s="1"/>
  <c r="O1171" i="3"/>
  <c r="P67" i="5" s="1"/>
  <c r="P1171" i="3"/>
  <c r="Q67" i="5" s="1"/>
  <c r="Q1171" i="3"/>
  <c r="R67" i="5" s="1"/>
  <c r="AX1172" i="3"/>
  <c r="AX1173" i="3"/>
  <c r="J1178" i="3"/>
  <c r="K68" i="5" s="1"/>
  <c r="L1178" i="3"/>
  <c r="M68" i="5" s="1"/>
  <c r="M1178" i="3"/>
  <c r="N68" i="5" s="1"/>
  <c r="N1178" i="3"/>
  <c r="O68" i="5" s="1"/>
  <c r="O1178" i="3"/>
  <c r="P68" i="5" s="1"/>
  <c r="P1178" i="3"/>
  <c r="Q68" i="5" s="1"/>
  <c r="Q1178" i="3"/>
  <c r="R68" i="5" s="1"/>
  <c r="AX1179" i="3"/>
  <c r="AX1180" i="3"/>
  <c r="J1185" i="3"/>
  <c r="L1185" i="3"/>
  <c r="M1185" i="3"/>
  <c r="N1185" i="3"/>
  <c r="O1185" i="3"/>
  <c r="P1185" i="3"/>
  <c r="Q1185" i="3"/>
  <c r="AX1186" i="3"/>
  <c r="AX1187" i="3"/>
  <c r="J1192" i="3"/>
  <c r="L1192" i="3"/>
  <c r="M1192" i="3"/>
  <c r="N1192" i="3"/>
  <c r="O1192" i="3"/>
  <c r="P1192" i="3"/>
  <c r="Q1192" i="3"/>
  <c r="AX1193" i="3"/>
  <c r="AX1194" i="3"/>
  <c r="J1196" i="3"/>
  <c r="L1196" i="3"/>
  <c r="M1196" i="3"/>
  <c r="N1196" i="3"/>
  <c r="O1196" i="3"/>
  <c r="P1196" i="3"/>
  <c r="Q1196" i="3"/>
  <c r="AX1197" i="3"/>
  <c r="AX1198" i="3"/>
  <c r="J1199" i="3"/>
  <c r="L1199" i="3"/>
  <c r="M1199" i="3"/>
  <c r="N1199" i="3"/>
  <c r="O1199" i="3"/>
  <c r="P1199" i="3"/>
  <c r="Q1199" i="3"/>
  <c r="J1200" i="3"/>
  <c r="L1200" i="3"/>
  <c r="M1200" i="3"/>
  <c r="N1200" i="3"/>
  <c r="O1200" i="3"/>
  <c r="P1200" i="3"/>
  <c r="Q1200" i="3"/>
  <c r="J1201" i="3"/>
  <c r="L1201" i="3"/>
  <c r="M1201" i="3"/>
  <c r="N1201" i="3"/>
  <c r="O1201" i="3"/>
  <c r="P1201" i="3"/>
  <c r="Q1201" i="3"/>
  <c r="J1202" i="3"/>
  <c r="L1202" i="3"/>
  <c r="M1202" i="3"/>
  <c r="N1202" i="3"/>
  <c r="O1202" i="3"/>
  <c r="P1202" i="3"/>
  <c r="Q1202" i="3"/>
  <c r="AX1203" i="3"/>
  <c r="AX1204" i="3"/>
  <c r="AX1206" i="3"/>
  <c r="AX1207" i="3"/>
  <c r="AX1212" i="3"/>
  <c r="AX1213" i="3"/>
  <c r="AX1215" i="3"/>
  <c r="AX1216" i="3"/>
  <c r="AX1217" i="3"/>
  <c r="AX1218" i="3"/>
  <c r="AX1228" i="3"/>
  <c r="AX1230" i="3"/>
  <c r="AX1233" i="3"/>
  <c r="AX1236" i="3"/>
  <c r="AX1237" i="3"/>
  <c r="D24" i="12"/>
  <c r="D73" i="12" s="1"/>
  <c r="E24" i="12"/>
  <c r="E73" i="12" s="1"/>
  <c r="C25" i="12"/>
  <c r="C74" i="12" s="1"/>
  <c r="D25" i="12"/>
  <c r="D74" i="12" s="1"/>
  <c r="E25" i="12"/>
  <c r="E74" i="12" s="1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R16" i="6"/>
  <c r="U16" i="6"/>
  <c r="E17" i="6"/>
  <c r="Q18" i="6"/>
  <c r="T18" i="6"/>
  <c r="E19" i="6"/>
  <c r="Q20" i="6"/>
  <c r="T20" i="6"/>
  <c r="H21" i="6"/>
  <c r="E22" i="6"/>
  <c r="R23" i="6"/>
  <c r="U23" i="6"/>
  <c r="E24" i="6"/>
  <c r="R25" i="6"/>
  <c r="U25" i="6"/>
  <c r="E26" i="6"/>
  <c r="Q27" i="6"/>
  <c r="T27" i="6"/>
  <c r="E28" i="6"/>
  <c r="Q29" i="6"/>
  <c r="T29" i="6"/>
  <c r="H30" i="6"/>
  <c r="E31" i="6"/>
  <c r="R32" i="6"/>
  <c r="U32" i="6"/>
  <c r="E33" i="6"/>
  <c r="R34" i="6"/>
  <c r="U34" i="6"/>
  <c r="E35" i="6"/>
  <c r="Q36" i="6"/>
  <c r="T36" i="6"/>
  <c r="E37" i="6"/>
  <c r="Q38" i="6"/>
  <c r="T38" i="6"/>
  <c r="H39" i="6"/>
  <c r="E40" i="6"/>
  <c r="R41" i="6"/>
  <c r="U41" i="6"/>
  <c r="E42" i="6"/>
  <c r="R43" i="6"/>
  <c r="U43" i="6"/>
  <c r="E44" i="6"/>
  <c r="Q45" i="6"/>
  <c r="T45" i="6"/>
  <c r="E46" i="6"/>
  <c r="Q47" i="6"/>
  <c r="T47" i="6"/>
  <c r="H48" i="6"/>
  <c r="E49" i="6"/>
  <c r="R50" i="6"/>
  <c r="U50" i="6"/>
  <c r="E51" i="6"/>
  <c r="R52" i="6"/>
  <c r="U52" i="6"/>
  <c r="E53" i="6"/>
  <c r="I53" i="6"/>
  <c r="M53" i="6" s="1"/>
  <c r="R53" i="6" s="1"/>
  <c r="Q53" i="6"/>
  <c r="T53" i="6"/>
  <c r="Q54" i="6"/>
  <c r="T54" i="6"/>
  <c r="E55" i="6"/>
  <c r="I55" i="6"/>
  <c r="Q55" i="6"/>
  <c r="T55" i="6"/>
  <c r="Q56" i="6"/>
  <c r="T56" i="6"/>
  <c r="H57" i="6"/>
  <c r="E58" i="6"/>
  <c r="R59" i="6"/>
  <c r="U59" i="6"/>
  <c r="E60" i="6"/>
  <c r="R61" i="6"/>
  <c r="U61" i="6"/>
  <c r="F62" i="6"/>
  <c r="Q63" i="6"/>
  <c r="T63" i="6"/>
  <c r="F64" i="6"/>
  <c r="Q65" i="6"/>
  <c r="T65" i="6"/>
  <c r="H66" i="6"/>
  <c r="E67" i="6"/>
  <c r="R68" i="6"/>
  <c r="U68" i="6"/>
  <c r="E69" i="6"/>
  <c r="R70" i="6"/>
  <c r="U70" i="6"/>
  <c r="E71" i="6"/>
  <c r="Q72" i="6"/>
  <c r="T72" i="6"/>
  <c r="E73" i="6"/>
  <c r="Q74" i="6"/>
  <c r="T74" i="6"/>
  <c r="H75" i="6"/>
  <c r="E76" i="6"/>
  <c r="R77" i="6"/>
  <c r="U77" i="6"/>
  <c r="E78" i="6"/>
  <c r="R79" i="6"/>
  <c r="U79" i="6"/>
  <c r="E80" i="6"/>
  <c r="Q81" i="6"/>
  <c r="T81" i="6"/>
  <c r="E82" i="6"/>
  <c r="Q83" i="6"/>
  <c r="T83" i="6"/>
  <c r="H84" i="6"/>
  <c r="E85" i="6"/>
  <c r="R86" i="6"/>
  <c r="U86" i="6"/>
  <c r="E87" i="6"/>
  <c r="R88" i="6"/>
  <c r="U88" i="6"/>
  <c r="E89" i="6"/>
  <c r="Q90" i="6"/>
  <c r="T90" i="6"/>
  <c r="E91" i="6"/>
  <c r="Q92" i="6"/>
  <c r="T92" i="6"/>
  <c r="H93" i="6"/>
  <c r="E94" i="6"/>
  <c r="R95" i="6"/>
  <c r="U95" i="6"/>
  <c r="E96" i="6"/>
  <c r="R97" i="6"/>
  <c r="U97" i="6"/>
  <c r="E98" i="6"/>
  <c r="Q99" i="6"/>
  <c r="T99" i="6"/>
  <c r="E100" i="6"/>
  <c r="Q101" i="6"/>
  <c r="T101" i="6"/>
  <c r="H102" i="6"/>
  <c r="E103" i="6"/>
  <c r="R104" i="6"/>
  <c r="U104" i="6"/>
  <c r="E105" i="6"/>
  <c r="R106" i="6"/>
  <c r="U106" i="6"/>
  <c r="E107" i="6"/>
  <c r="Q108" i="6"/>
  <c r="T108" i="6"/>
  <c r="E109" i="6"/>
  <c r="Q110" i="6"/>
  <c r="T110" i="6"/>
  <c r="H111" i="6"/>
  <c r="E112" i="6"/>
  <c r="R113" i="6"/>
  <c r="U113" i="6"/>
  <c r="E114" i="6"/>
  <c r="R115" i="6"/>
  <c r="U115" i="6"/>
  <c r="E116" i="6"/>
  <c r="Q117" i="6"/>
  <c r="T117" i="6"/>
  <c r="E118" i="6"/>
  <c r="Q119" i="6"/>
  <c r="T119" i="6"/>
  <c r="H120" i="6"/>
  <c r="E121" i="6"/>
  <c r="R122" i="6"/>
  <c r="U122" i="6"/>
  <c r="E123" i="6"/>
  <c r="R124" i="6"/>
  <c r="U124" i="6"/>
  <c r="E125" i="6"/>
  <c r="Q126" i="6"/>
  <c r="T126" i="6"/>
  <c r="E127" i="6"/>
  <c r="Q128" i="6"/>
  <c r="T128" i="6"/>
  <c r="H129" i="6"/>
  <c r="E130" i="6"/>
  <c r="R131" i="6"/>
  <c r="U131" i="6"/>
  <c r="E132" i="6"/>
  <c r="R133" i="6"/>
  <c r="U133" i="6"/>
  <c r="E134" i="6"/>
  <c r="Q135" i="6"/>
  <c r="T135" i="6"/>
  <c r="E136" i="6"/>
  <c r="Q137" i="6"/>
  <c r="T137" i="6"/>
  <c r="H138" i="6"/>
  <c r="E139" i="6"/>
  <c r="R140" i="6"/>
  <c r="U140" i="6"/>
  <c r="E141" i="6"/>
  <c r="R142" i="6"/>
  <c r="U142" i="6"/>
  <c r="E143" i="6"/>
  <c r="Q144" i="6"/>
  <c r="T144" i="6"/>
  <c r="E145" i="6"/>
  <c r="Q146" i="6"/>
  <c r="T146" i="6"/>
  <c r="H147" i="6"/>
  <c r="E148" i="6"/>
  <c r="R149" i="6"/>
  <c r="U149" i="6"/>
  <c r="E150" i="6"/>
  <c r="R151" i="6"/>
  <c r="U151" i="6"/>
  <c r="E152" i="6"/>
  <c r="Q153" i="6"/>
  <c r="T153" i="6"/>
  <c r="E154" i="6"/>
  <c r="Q155" i="6"/>
  <c r="T155" i="6"/>
  <c r="H156" i="6"/>
  <c r="E157" i="6"/>
  <c r="R158" i="6"/>
  <c r="U158" i="6"/>
  <c r="E159" i="6"/>
  <c r="R160" i="6"/>
  <c r="U160" i="6"/>
  <c r="E161" i="6"/>
  <c r="Q162" i="6"/>
  <c r="T162" i="6"/>
  <c r="E163" i="6"/>
  <c r="Q164" i="6"/>
  <c r="T164" i="6"/>
  <c r="H165" i="6"/>
  <c r="E166" i="6"/>
  <c r="R167" i="6"/>
  <c r="U167" i="6"/>
  <c r="E168" i="6"/>
  <c r="R169" i="6"/>
  <c r="U169" i="6"/>
  <c r="E170" i="6"/>
  <c r="Q171" i="6"/>
  <c r="T171" i="6"/>
  <c r="E172" i="6"/>
  <c r="Q173" i="6"/>
  <c r="T173" i="6"/>
  <c r="H174" i="6"/>
  <c r="E175" i="6"/>
  <c r="R176" i="6"/>
  <c r="U176" i="6"/>
  <c r="E177" i="6"/>
  <c r="R178" i="6"/>
  <c r="U178" i="6"/>
  <c r="E179" i="6"/>
  <c r="Q180" i="6"/>
  <c r="T180" i="6"/>
  <c r="E181" i="6"/>
  <c r="Q182" i="6"/>
  <c r="T182" i="6"/>
  <c r="H183" i="6"/>
  <c r="E184" i="6"/>
  <c r="R185" i="6"/>
  <c r="U185" i="6"/>
  <c r="E186" i="6"/>
  <c r="R187" i="6"/>
  <c r="U187" i="6"/>
  <c r="E188" i="6"/>
  <c r="Q189" i="6"/>
  <c r="T189" i="6"/>
  <c r="E190" i="6"/>
  <c r="Q191" i="6"/>
  <c r="T191" i="6"/>
  <c r="H192" i="6"/>
  <c r="E193" i="6"/>
  <c r="R194" i="6"/>
  <c r="U194" i="6"/>
  <c r="E195" i="6"/>
  <c r="R196" i="6"/>
  <c r="U196" i="6"/>
  <c r="R197" i="6"/>
  <c r="U197" i="6"/>
  <c r="E198" i="6"/>
  <c r="E199" i="6"/>
  <c r="H200" i="6"/>
  <c r="H201" i="6"/>
  <c r="H202" i="6"/>
  <c r="E204" i="6"/>
  <c r="H205" i="6"/>
  <c r="H206" i="6"/>
  <c r="H207" i="6"/>
  <c r="E208" i="6"/>
  <c r="E209" i="6"/>
  <c r="R210" i="6"/>
  <c r="U210" i="6"/>
  <c r="E211" i="6"/>
  <c r="Q212" i="6"/>
  <c r="T212" i="6"/>
  <c r="E213" i="6"/>
  <c r="Q214" i="6"/>
  <c r="T214" i="6"/>
  <c r="H215" i="6"/>
  <c r="E216" i="6"/>
  <c r="R217" i="6"/>
  <c r="U217" i="6"/>
  <c r="E218" i="6"/>
  <c r="R219" i="6"/>
  <c r="U219" i="6"/>
  <c r="E220" i="6"/>
  <c r="Q221" i="6"/>
  <c r="T221" i="6"/>
  <c r="E222" i="6"/>
  <c r="Q223" i="6"/>
  <c r="T223" i="6"/>
  <c r="H224" i="6"/>
  <c r="E225" i="6"/>
  <c r="R226" i="6"/>
  <c r="U226" i="6"/>
  <c r="E227" i="6"/>
  <c r="E228" i="6"/>
  <c r="H229" i="6"/>
  <c r="H230" i="6"/>
  <c r="H231" i="6"/>
  <c r="E233" i="6"/>
  <c r="H234" i="6"/>
  <c r="E235" i="6"/>
  <c r="H236" i="6"/>
  <c r="E237" i="6"/>
  <c r="E238" i="6"/>
  <c r="R239" i="6"/>
  <c r="U239" i="6"/>
  <c r="E240" i="6"/>
  <c r="E242" i="6"/>
  <c r="Q243" i="6"/>
  <c r="T243" i="6"/>
  <c r="H244" i="6"/>
  <c r="E245" i="6"/>
  <c r="R246" i="6"/>
  <c r="U246" i="6"/>
  <c r="E247" i="6"/>
  <c r="R248" i="6"/>
  <c r="U248" i="6"/>
  <c r="E249" i="6"/>
  <c r="E251" i="6"/>
  <c r="Q252" i="6"/>
  <c r="T252" i="6"/>
  <c r="H253" i="6"/>
  <c r="E254" i="6"/>
  <c r="R255" i="6"/>
  <c r="U255" i="6"/>
  <c r="E256" i="6"/>
  <c r="R257" i="6"/>
  <c r="U257" i="6"/>
  <c r="E258" i="6"/>
  <c r="E260" i="6"/>
  <c r="Q261" i="6"/>
  <c r="T261" i="6"/>
  <c r="H262" i="6"/>
  <c r="E263" i="6"/>
  <c r="R264" i="6"/>
  <c r="U264" i="6"/>
  <c r="E265" i="6"/>
  <c r="R266" i="6"/>
  <c r="U266" i="6"/>
  <c r="E267" i="6"/>
  <c r="E269" i="6"/>
  <c r="Q270" i="6"/>
  <c r="T270" i="6"/>
  <c r="H271" i="6"/>
  <c r="E272" i="6"/>
  <c r="R273" i="6"/>
  <c r="U273" i="6"/>
  <c r="E274" i="6"/>
  <c r="R275" i="6"/>
  <c r="T275" i="6"/>
  <c r="E276" i="6"/>
  <c r="E278" i="6"/>
  <c r="Q279" i="6"/>
  <c r="T279" i="6"/>
  <c r="H280" i="6"/>
  <c r="E281" i="6"/>
  <c r="R282" i="6"/>
  <c r="T282" i="6"/>
  <c r="E283" i="6"/>
  <c r="R284" i="6"/>
  <c r="T284" i="6"/>
  <c r="E285" i="6"/>
  <c r="T286" i="6"/>
  <c r="E287" i="6"/>
  <c r="Q288" i="6"/>
  <c r="T288" i="6"/>
  <c r="H289" i="6"/>
  <c r="E290" i="6"/>
  <c r="R291" i="6"/>
  <c r="T291" i="6"/>
  <c r="E292" i="6"/>
  <c r="R293" i="6"/>
  <c r="T293" i="6"/>
  <c r="E294" i="6"/>
  <c r="E296" i="6"/>
  <c r="Q297" i="6"/>
  <c r="T297" i="6"/>
  <c r="H298" i="6"/>
  <c r="E299" i="6"/>
  <c r="F300" i="6"/>
  <c r="R300" i="6"/>
  <c r="T300" i="6"/>
  <c r="E301" i="6"/>
  <c r="R302" i="6"/>
  <c r="T302" i="6"/>
  <c r="E303" i="6"/>
  <c r="E305" i="6"/>
  <c r="Q306" i="6"/>
  <c r="T306" i="6"/>
  <c r="H307" i="6"/>
  <c r="E308" i="6"/>
  <c r="R309" i="6"/>
  <c r="T309" i="6"/>
  <c r="E310" i="6"/>
  <c r="R311" i="6"/>
  <c r="T311" i="6"/>
  <c r="E312" i="6"/>
  <c r="E314" i="6"/>
  <c r="Q315" i="6"/>
  <c r="T315" i="6"/>
  <c r="H316" i="6"/>
  <c r="E317" i="6"/>
  <c r="R318" i="6"/>
  <c r="T318" i="6"/>
  <c r="E322" i="6"/>
  <c r="H324" i="6"/>
  <c r="Q324" i="6"/>
  <c r="R324" i="6"/>
  <c r="H365" i="6"/>
  <c r="H326" i="6"/>
  <c r="E328" i="6"/>
  <c r="H329" i="6"/>
  <c r="H330" i="6"/>
  <c r="H331" i="6"/>
  <c r="E332" i="6"/>
  <c r="E333" i="6"/>
  <c r="R334" i="6"/>
  <c r="U334" i="6"/>
  <c r="E335" i="6"/>
  <c r="E337" i="6"/>
  <c r="Q338" i="6"/>
  <c r="T338" i="6"/>
  <c r="H339" i="6"/>
  <c r="E340" i="6"/>
  <c r="R341" i="6"/>
  <c r="R357" i="6" s="1"/>
  <c r="U341" i="6"/>
  <c r="U357" i="6" s="1"/>
  <c r="E342" i="6"/>
  <c r="R343" i="6"/>
  <c r="U343" i="6"/>
  <c r="E344" i="6"/>
  <c r="E346" i="6"/>
  <c r="Q347" i="6"/>
  <c r="T347" i="6"/>
  <c r="H348" i="6"/>
  <c r="E349" i="6"/>
  <c r="R350" i="6"/>
  <c r="R358" i="6" s="1"/>
  <c r="U350" i="6"/>
  <c r="U358" i="6" s="1"/>
  <c r="E351" i="6"/>
  <c r="E352" i="6"/>
  <c r="H353" i="6"/>
  <c r="F354" i="6"/>
  <c r="G354" i="6"/>
  <c r="H354" i="6"/>
  <c r="I354" i="6"/>
  <c r="M354" i="6"/>
  <c r="N354" i="6"/>
  <c r="Q354" i="6"/>
  <c r="R354" i="6"/>
  <c r="T354" i="6"/>
  <c r="U354" i="6"/>
  <c r="E356" i="6"/>
  <c r="H357" i="6"/>
  <c r="H358" i="6"/>
  <c r="H359" i="6"/>
  <c r="E367" i="6"/>
  <c r="E369" i="6"/>
  <c r="Q380" i="6"/>
  <c r="T380" i="6"/>
  <c r="Q381" i="6"/>
  <c r="T381" i="6"/>
  <c r="H382" i="6"/>
  <c r="R385" i="6"/>
  <c r="U385" i="6"/>
  <c r="R386" i="6"/>
  <c r="U386" i="6"/>
  <c r="H387" i="6"/>
  <c r="R390" i="6"/>
  <c r="U390" i="6"/>
  <c r="R391" i="6"/>
  <c r="U391" i="6"/>
  <c r="H392" i="6"/>
  <c r="R395" i="6"/>
  <c r="U395" i="6"/>
  <c r="R396" i="6"/>
  <c r="U396" i="6"/>
  <c r="H397" i="6"/>
  <c r="R400" i="6"/>
  <c r="U400" i="6"/>
  <c r="R401" i="6"/>
  <c r="U401" i="6"/>
  <c r="H402" i="6"/>
  <c r="R405" i="6"/>
  <c r="U405" i="6"/>
  <c r="R406" i="6"/>
  <c r="U406" i="6"/>
  <c r="H407" i="6"/>
  <c r="R410" i="6"/>
  <c r="U410" i="6"/>
  <c r="R411" i="6"/>
  <c r="U411" i="6"/>
  <c r="H412" i="6"/>
  <c r="R415" i="6"/>
  <c r="U415" i="6"/>
  <c r="R416" i="6"/>
  <c r="U416" i="6"/>
  <c r="H417" i="6"/>
  <c r="R420" i="6"/>
  <c r="U420" i="6"/>
  <c r="R421" i="6"/>
  <c r="U421" i="6"/>
  <c r="H422" i="6"/>
  <c r="R425" i="6"/>
  <c r="U425" i="6"/>
  <c r="R426" i="6"/>
  <c r="U426" i="6"/>
  <c r="H427" i="6"/>
  <c r="R430" i="6"/>
  <c r="U430" i="6"/>
  <c r="R431" i="6"/>
  <c r="U431" i="6"/>
  <c r="H432" i="6"/>
  <c r="R435" i="6"/>
  <c r="U435" i="6"/>
  <c r="R436" i="6"/>
  <c r="U436" i="6"/>
  <c r="H437" i="6"/>
  <c r="R440" i="6"/>
  <c r="U440" i="6"/>
  <c r="R441" i="6"/>
  <c r="U441" i="6"/>
  <c r="H442" i="6"/>
  <c r="R445" i="6"/>
  <c r="U445" i="6"/>
  <c r="R446" i="6"/>
  <c r="U446" i="6"/>
  <c r="H447" i="6"/>
  <c r="R450" i="6"/>
  <c r="U450" i="6"/>
  <c r="R451" i="6"/>
  <c r="U451" i="6"/>
  <c r="H452" i="6"/>
  <c r="R455" i="6"/>
  <c r="U455" i="6"/>
  <c r="R456" i="6"/>
  <c r="U456" i="6"/>
  <c r="H457" i="6"/>
  <c r="Q460" i="6"/>
  <c r="T460" i="6"/>
  <c r="Q461" i="6"/>
  <c r="T461" i="6"/>
  <c r="H462" i="6"/>
  <c r="Q465" i="6"/>
  <c r="T465" i="6"/>
  <c r="R466" i="6"/>
  <c r="U466" i="6"/>
  <c r="H467" i="6"/>
  <c r="Q470" i="6"/>
  <c r="T470" i="6"/>
  <c r="Q471" i="6"/>
  <c r="T471" i="6"/>
  <c r="H472" i="6"/>
  <c r="Q475" i="6"/>
  <c r="T475" i="6"/>
  <c r="R476" i="6"/>
  <c r="U476" i="6"/>
  <c r="H477" i="6"/>
  <c r="Q480" i="6"/>
  <c r="T480" i="6"/>
  <c r="R481" i="6"/>
  <c r="U481" i="6"/>
  <c r="H482" i="6"/>
  <c r="Q485" i="6"/>
  <c r="T485" i="6"/>
  <c r="Q486" i="6"/>
  <c r="T486" i="6"/>
  <c r="H487" i="6"/>
  <c r="Q490" i="6"/>
  <c r="T490" i="6"/>
  <c r="Q491" i="6"/>
  <c r="T491" i="6"/>
  <c r="H492" i="6"/>
  <c r="R495" i="6"/>
  <c r="U495" i="6"/>
  <c r="R496" i="6"/>
  <c r="U496" i="6"/>
  <c r="H497" i="6"/>
  <c r="H501" i="6"/>
  <c r="H502" i="6"/>
  <c r="H503" i="6"/>
  <c r="H505" i="6"/>
  <c r="H506" i="6"/>
  <c r="H507" i="6"/>
  <c r="Q522" i="6"/>
  <c r="T522" i="6"/>
  <c r="Q523" i="6"/>
  <c r="T523" i="6"/>
  <c r="H524" i="6"/>
  <c r="Q527" i="6"/>
  <c r="T527" i="6"/>
  <c r="Q528" i="6"/>
  <c r="T528" i="6"/>
  <c r="H529" i="6"/>
  <c r="Q532" i="6"/>
  <c r="T532" i="6"/>
  <c r="Q533" i="6"/>
  <c r="T533" i="6"/>
  <c r="H534" i="6"/>
  <c r="R537" i="6"/>
  <c r="U537" i="6"/>
  <c r="R538" i="6"/>
  <c r="T538" i="6"/>
  <c r="H539" i="6"/>
  <c r="Q542" i="6"/>
  <c r="T542" i="6"/>
  <c r="Q543" i="6"/>
  <c r="T543" i="6"/>
  <c r="H544" i="6"/>
  <c r="Q547" i="6"/>
  <c r="T547" i="6"/>
  <c r="Q548" i="6"/>
  <c r="T548" i="6"/>
  <c r="H549" i="6"/>
  <c r="Q552" i="6"/>
  <c r="T552" i="6"/>
  <c r="Q553" i="6"/>
  <c r="T553" i="6"/>
  <c r="H554" i="6"/>
  <c r="Q557" i="6"/>
  <c r="T557" i="6"/>
  <c r="Q558" i="6"/>
  <c r="T558" i="6"/>
  <c r="H559" i="6"/>
  <c r="Q562" i="6"/>
  <c r="T562" i="6"/>
  <c r="Q563" i="6"/>
  <c r="T563" i="6"/>
  <c r="H564" i="6"/>
  <c r="Q567" i="6"/>
  <c r="T567" i="6"/>
  <c r="Q568" i="6"/>
  <c r="T568" i="6"/>
  <c r="H569" i="6"/>
  <c r="Q572" i="6"/>
  <c r="T572" i="6"/>
  <c r="Q573" i="6"/>
  <c r="T573" i="6"/>
  <c r="H574" i="6"/>
  <c r="Q577" i="6"/>
  <c r="T577" i="6"/>
  <c r="Q578" i="6"/>
  <c r="T578" i="6"/>
  <c r="H579" i="6"/>
  <c r="Q582" i="6"/>
  <c r="T582" i="6"/>
  <c r="Q583" i="6"/>
  <c r="T583" i="6"/>
  <c r="H584" i="6"/>
  <c r="Q587" i="6"/>
  <c r="T587" i="6"/>
  <c r="Q588" i="6"/>
  <c r="T588" i="6"/>
  <c r="H589" i="6"/>
  <c r="Q592" i="6"/>
  <c r="T592" i="6"/>
  <c r="Q593" i="6"/>
  <c r="T593" i="6"/>
  <c r="H594" i="6"/>
  <c r="Q597" i="6"/>
  <c r="T597" i="6"/>
  <c r="Q598" i="6"/>
  <c r="T598" i="6"/>
  <c r="H599" i="6"/>
  <c r="Q602" i="6"/>
  <c r="T602" i="6"/>
  <c r="Q603" i="6"/>
  <c r="T603" i="6"/>
  <c r="H604" i="6"/>
  <c r="Q607" i="6"/>
  <c r="T607" i="6"/>
  <c r="Q608" i="6"/>
  <c r="T608" i="6"/>
  <c r="H609" i="6"/>
  <c r="Q612" i="6"/>
  <c r="T612" i="6"/>
  <c r="Q613" i="6"/>
  <c r="T613" i="6"/>
  <c r="H614" i="6"/>
  <c r="Q617" i="6"/>
  <c r="T617" i="6"/>
  <c r="Q618" i="6"/>
  <c r="T618" i="6"/>
  <c r="H619" i="6"/>
  <c r="Q622" i="6"/>
  <c r="T622" i="6"/>
  <c r="Q623" i="6"/>
  <c r="T623" i="6"/>
  <c r="H624" i="6"/>
  <c r="R627" i="6"/>
  <c r="U627" i="6"/>
  <c r="R628" i="6"/>
  <c r="U628" i="6"/>
  <c r="F629" i="6"/>
  <c r="H629" i="6"/>
  <c r="H632" i="6" s="1"/>
  <c r="H633" i="6"/>
  <c r="H635" i="6"/>
  <c r="R647" i="6"/>
  <c r="U647" i="6"/>
  <c r="R648" i="6"/>
  <c r="U648" i="6"/>
  <c r="H650" i="6"/>
  <c r="H27" i="2" s="1"/>
  <c r="E651" i="6"/>
  <c r="E652" i="6"/>
  <c r="E653" i="6"/>
  <c r="E654" i="6"/>
  <c r="R655" i="6"/>
  <c r="U655" i="6"/>
  <c r="R656" i="6"/>
  <c r="U656" i="6"/>
  <c r="H657" i="6"/>
  <c r="E658" i="6"/>
  <c r="E659" i="6"/>
  <c r="R660" i="6"/>
  <c r="U660" i="6"/>
  <c r="R661" i="6"/>
  <c r="U661" i="6"/>
  <c r="H662" i="6"/>
  <c r="E663" i="6"/>
  <c r="E664" i="6"/>
  <c r="R665" i="6"/>
  <c r="U665" i="6"/>
  <c r="R666" i="6"/>
  <c r="U666" i="6"/>
  <c r="H667" i="6"/>
  <c r="E668" i="6"/>
  <c r="E669" i="6"/>
  <c r="R670" i="6"/>
  <c r="U670" i="6"/>
  <c r="R671" i="6"/>
  <c r="U671" i="6"/>
  <c r="H672" i="6"/>
  <c r="E673" i="6"/>
  <c r="E674" i="6"/>
  <c r="R675" i="6"/>
  <c r="U675" i="6"/>
  <c r="R676" i="6"/>
  <c r="U676" i="6"/>
  <c r="H677" i="6"/>
  <c r="E678" i="6"/>
  <c r="E679" i="6"/>
  <c r="R680" i="6"/>
  <c r="U680" i="6"/>
  <c r="R681" i="6"/>
  <c r="U681" i="6"/>
  <c r="H682" i="6"/>
  <c r="E683" i="6"/>
  <c r="E684" i="6"/>
  <c r="R685" i="6"/>
  <c r="U685" i="6"/>
  <c r="R686" i="6"/>
  <c r="U686" i="6"/>
  <c r="H687" i="6"/>
  <c r="E688" i="6"/>
  <c r="E689" i="6"/>
  <c r="R690" i="6"/>
  <c r="U690" i="6"/>
  <c r="R691" i="6"/>
  <c r="U691" i="6"/>
  <c r="H692" i="6"/>
  <c r="E693" i="6"/>
  <c r="E694" i="6"/>
  <c r="R695" i="6"/>
  <c r="U695" i="6"/>
  <c r="R696" i="6"/>
  <c r="U696" i="6"/>
  <c r="H697" i="6"/>
  <c r="E698" i="6"/>
  <c r="E699" i="6"/>
  <c r="R700" i="6"/>
  <c r="U700" i="6"/>
  <c r="R701" i="6"/>
  <c r="U701" i="6"/>
  <c r="H702" i="6"/>
  <c r="E703" i="6"/>
  <c r="E704" i="6"/>
  <c r="R705" i="6"/>
  <c r="U705" i="6"/>
  <c r="R706" i="6"/>
  <c r="U706" i="6"/>
  <c r="H707" i="6"/>
  <c r="E708" i="6"/>
  <c r="E709" i="6"/>
  <c r="R710" i="6"/>
  <c r="U710" i="6"/>
  <c r="R711" i="6"/>
  <c r="U711" i="6"/>
  <c r="H712" i="6"/>
  <c r="E713" i="6"/>
  <c r="E714" i="6"/>
  <c r="R715" i="6"/>
  <c r="U715" i="6"/>
  <c r="R716" i="6"/>
  <c r="U716" i="6"/>
  <c r="H717" i="6"/>
  <c r="E718" i="6"/>
  <c r="E719" i="6"/>
  <c r="R720" i="6"/>
  <c r="U720" i="6"/>
  <c r="R721" i="6"/>
  <c r="U721" i="6"/>
  <c r="H722" i="6"/>
  <c r="E723" i="6"/>
  <c r="E724" i="6"/>
  <c r="R725" i="6"/>
  <c r="U725" i="6"/>
  <c r="R726" i="6"/>
  <c r="U726" i="6"/>
  <c r="H727" i="6"/>
  <c r="E728" i="6"/>
  <c r="E729" i="6"/>
  <c r="R730" i="6"/>
  <c r="U730" i="6"/>
  <c r="R731" i="6"/>
  <c r="U731" i="6"/>
  <c r="H732" i="6"/>
  <c r="E733" i="6"/>
  <c r="E734" i="6"/>
  <c r="R735" i="6"/>
  <c r="U735" i="6"/>
  <c r="R736" i="6"/>
  <c r="U736" i="6"/>
  <c r="H737" i="6"/>
  <c r="E738" i="6"/>
  <c r="E739" i="6"/>
  <c r="R740" i="6"/>
  <c r="U740" i="6"/>
  <c r="R741" i="6"/>
  <c r="U741" i="6"/>
  <c r="H742" i="6"/>
  <c r="E743" i="6"/>
  <c r="E744" i="6"/>
  <c r="R745" i="6"/>
  <c r="U745" i="6"/>
  <c r="R746" i="6"/>
  <c r="U746" i="6"/>
  <c r="H747" i="6"/>
  <c r="E748" i="6"/>
  <c r="H750" i="6"/>
  <c r="H751" i="6"/>
  <c r="E754" i="6"/>
  <c r="E755" i="6"/>
  <c r="E756" i="6"/>
  <c r="E757" i="6"/>
  <c r="R758" i="6"/>
  <c r="U758" i="6"/>
  <c r="R759" i="6"/>
  <c r="U759" i="6"/>
  <c r="H760" i="6"/>
  <c r="E761" i="6"/>
  <c r="E762" i="6"/>
  <c r="R763" i="6"/>
  <c r="U763" i="6"/>
  <c r="R764" i="6"/>
  <c r="U764" i="6"/>
  <c r="H765" i="6"/>
  <c r="E766" i="6"/>
  <c r="E767" i="6"/>
  <c r="R768" i="6"/>
  <c r="U768" i="6"/>
  <c r="R769" i="6"/>
  <c r="U769" i="6"/>
  <c r="H770" i="6"/>
  <c r="E771" i="6"/>
  <c r="E772" i="6"/>
  <c r="R773" i="6"/>
  <c r="U773" i="6"/>
  <c r="R774" i="6"/>
  <c r="U774" i="6"/>
  <c r="H775" i="6"/>
  <c r="E776" i="6"/>
  <c r="E777" i="6"/>
  <c r="R778" i="6"/>
  <c r="U778" i="6"/>
  <c r="R779" i="6"/>
  <c r="U779" i="6"/>
  <c r="H780" i="6"/>
  <c r="E781" i="6"/>
  <c r="E782" i="6"/>
  <c r="R783" i="6"/>
  <c r="U783" i="6"/>
  <c r="R784" i="6"/>
  <c r="U784" i="6"/>
  <c r="H785" i="6"/>
  <c r="E786" i="6"/>
  <c r="E787" i="6"/>
  <c r="Q788" i="6"/>
  <c r="T788" i="6"/>
  <c r="Q789" i="6"/>
  <c r="T789" i="6"/>
  <c r="H790" i="6"/>
  <c r="E791" i="6"/>
  <c r="E792" i="6"/>
  <c r="Q793" i="6"/>
  <c r="T793" i="6"/>
  <c r="Q794" i="6"/>
  <c r="T794" i="6"/>
  <c r="H795" i="6"/>
  <c r="E796" i="6"/>
  <c r="E797" i="6"/>
  <c r="R798" i="6"/>
  <c r="U798" i="6"/>
  <c r="R799" i="6"/>
  <c r="U799" i="6"/>
  <c r="H800" i="6"/>
  <c r="E801" i="6"/>
  <c r="H803" i="6"/>
  <c r="H804" i="6"/>
  <c r="E807" i="6"/>
  <c r="E808" i="6"/>
  <c r="E809" i="6"/>
  <c r="E810" i="6"/>
  <c r="R811" i="6"/>
  <c r="U811" i="6"/>
  <c r="R812" i="6"/>
  <c r="U812" i="6"/>
  <c r="H813" i="6"/>
  <c r="E814" i="6"/>
  <c r="R816" i="6"/>
  <c r="U816" i="6"/>
  <c r="R817" i="6"/>
  <c r="U817" i="6"/>
  <c r="H818" i="6"/>
  <c r="E819" i="6"/>
  <c r="E820" i="6"/>
  <c r="R821" i="6"/>
  <c r="U821" i="6"/>
  <c r="R822" i="6"/>
  <c r="U822" i="6"/>
  <c r="H823" i="6"/>
  <c r="E824" i="6"/>
  <c r="E825" i="6"/>
  <c r="R826" i="6"/>
  <c r="U826" i="6"/>
  <c r="R827" i="6"/>
  <c r="U827" i="6"/>
  <c r="H828" i="6"/>
  <c r="E829" i="6"/>
  <c r="H831" i="6"/>
  <c r="H832" i="6"/>
  <c r="E835" i="6"/>
  <c r="E836" i="6"/>
  <c r="E837" i="6"/>
  <c r="E838" i="6"/>
  <c r="R839" i="6"/>
  <c r="U839" i="6"/>
  <c r="R840" i="6"/>
  <c r="U840" i="6"/>
  <c r="E842" i="6"/>
  <c r="E843" i="6"/>
  <c r="R844" i="6"/>
  <c r="U844" i="6"/>
  <c r="R845" i="6"/>
  <c r="U845" i="6"/>
  <c r="E847" i="6"/>
  <c r="R849" i="6"/>
  <c r="U849" i="6"/>
  <c r="R850" i="6"/>
  <c r="U850" i="6"/>
  <c r="E853" i="6"/>
  <c r="R854" i="6"/>
  <c r="U854" i="6"/>
  <c r="R855" i="6"/>
  <c r="U855" i="6"/>
  <c r="E857" i="6"/>
  <c r="E858" i="6"/>
  <c r="R859" i="6"/>
  <c r="U859" i="6"/>
  <c r="R860" i="6"/>
  <c r="U860" i="6"/>
  <c r="E862" i="6"/>
  <c r="E863" i="6"/>
  <c r="R864" i="6"/>
  <c r="U864" i="6"/>
  <c r="R865" i="6"/>
  <c r="U865" i="6"/>
  <c r="E867" i="6"/>
  <c r="R869" i="6"/>
  <c r="U869" i="6"/>
  <c r="R870" i="6"/>
  <c r="U870" i="6"/>
  <c r="E873" i="6"/>
  <c r="R874" i="6"/>
  <c r="U874" i="6"/>
  <c r="R875" i="6"/>
  <c r="U875" i="6"/>
  <c r="E877" i="6"/>
  <c r="E878" i="6"/>
  <c r="R879" i="6"/>
  <c r="U879" i="6"/>
  <c r="R880" i="6"/>
  <c r="U880" i="6"/>
  <c r="E882" i="6"/>
  <c r="E883" i="6"/>
  <c r="R884" i="6"/>
  <c r="U884" i="6"/>
  <c r="R885" i="6"/>
  <c r="U885" i="6"/>
  <c r="E888" i="6"/>
  <c r="R889" i="6"/>
  <c r="U889" i="6"/>
  <c r="R890" i="6"/>
  <c r="U890" i="6"/>
  <c r="E893" i="6"/>
  <c r="R894" i="6"/>
  <c r="U894" i="6"/>
  <c r="R895" i="6"/>
  <c r="U895" i="6"/>
  <c r="E897" i="6"/>
  <c r="E898" i="6"/>
  <c r="H899" i="6"/>
  <c r="H900" i="6"/>
  <c r="E901" i="6"/>
  <c r="H902" i="6"/>
  <c r="L902" i="6"/>
  <c r="E903" i="6"/>
  <c r="E906" i="6"/>
  <c r="E907" i="6"/>
  <c r="E908" i="6"/>
  <c r="E909" i="6"/>
  <c r="E910" i="6"/>
  <c r="E911" i="6"/>
  <c r="E912" i="6"/>
  <c r="R913" i="6"/>
  <c r="T913" i="6"/>
  <c r="R914" i="6"/>
  <c r="U914" i="6"/>
  <c r="R915" i="6"/>
  <c r="U915" i="6"/>
  <c r="R916" i="6"/>
  <c r="U916" i="6"/>
  <c r="H917" i="6"/>
  <c r="E918" i="6"/>
  <c r="E919" i="6"/>
  <c r="R920" i="6"/>
  <c r="T920" i="6"/>
  <c r="R921" i="6"/>
  <c r="U921" i="6"/>
  <c r="R922" i="6"/>
  <c r="U922" i="6"/>
  <c r="R923" i="6"/>
  <c r="U923" i="6"/>
  <c r="H924" i="6"/>
  <c r="E925" i="6"/>
  <c r="F927" i="6"/>
  <c r="G927" i="6"/>
  <c r="AX914" i="3" s="1"/>
  <c r="H927" i="6"/>
  <c r="I927" i="6"/>
  <c r="E928" i="6"/>
  <c r="E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H1239" i="6" s="1"/>
  <c r="E935" i="6"/>
  <c r="E937" i="6"/>
  <c r="Q938" i="6"/>
  <c r="R938" i="6"/>
  <c r="T938" i="6"/>
  <c r="U938" i="6"/>
  <c r="Q940" i="6"/>
  <c r="R940" i="6"/>
  <c r="T940" i="6"/>
  <c r="U940" i="6"/>
  <c r="E941" i="6"/>
  <c r="Q942" i="6"/>
  <c r="R942" i="6"/>
  <c r="T942" i="6"/>
  <c r="U942" i="6"/>
  <c r="E943" i="6"/>
  <c r="Q944" i="6"/>
  <c r="R944" i="6"/>
  <c r="T944" i="6"/>
  <c r="U944" i="6"/>
  <c r="E945" i="6"/>
  <c r="E946" i="6"/>
  <c r="E947" i="6"/>
  <c r="E948" i="6"/>
  <c r="E949" i="6"/>
  <c r="E951" i="6"/>
  <c r="E952" i="6"/>
  <c r="E954" i="6"/>
  <c r="E955" i="6"/>
  <c r="E957" i="6"/>
  <c r="E958" i="6"/>
  <c r="E959" i="6"/>
  <c r="E960" i="6"/>
  <c r="E961" i="6"/>
  <c r="E962" i="6"/>
  <c r="E963" i="6"/>
  <c r="E964" i="6"/>
  <c r="E965" i="6"/>
  <c r="R966" i="6"/>
  <c r="U966" i="6"/>
  <c r="R967" i="6"/>
  <c r="U967" i="6"/>
  <c r="E968" i="6"/>
  <c r="E970" i="6"/>
  <c r="E971" i="6"/>
  <c r="R972" i="6"/>
  <c r="T972" i="6"/>
  <c r="R973" i="6"/>
  <c r="T973" i="6"/>
  <c r="R974" i="6"/>
  <c r="T974" i="6"/>
  <c r="R975" i="6"/>
  <c r="T975" i="6"/>
  <c r="R976" i="6"/>
  <c r="T976" i="6"/>
  <c r="R977" i="6"/>
  <c r="T977" i="6"/>
  <c r="R978" i="6"/>
  <c r="T978" i="6"/>
  <c r="E979" i="6"/>
  <c r="E981" i="6"/>
  <c r="E982" i="6"/>
  <c r="E983" i="6"/>
  <c r="R984" i="6"/>
  <c r="U984" i="6"/>
  <c r="R985" i="6"/>
  <c r="U985" i="6"/>
  <c r="E987" i="6"/>
  <c r="E988" i="6"/>
  <c r="R989" i="6"/>
  <c r="U989" i="6"/>
  <c r="R990" i="6"/>
  <c r="U990" i="6"/>
  <c r="E992" i="6"/>
  <c r="E993" i="6"/>
  <c r="E994" i="6"/>
  <c r="E995" i="6"/>
  <c r="E996" i="6"/>
  <c r="R997" i="6"/>
  <c r="U997" i="6"/>
  <c r="E998" i="6"/>
  <c r="E999" i="6"/>
  <c r="E1000" i="6"/>
  <c r="R1001" i="6"/>
  <c r="U1001" i="6"/>
  <c r="H1002" i="6"/>
  <c r="H1034" i="6" s="1"/>
  <c r="E1003" i="6"/>
  <c r="E1004" i="6"/>
  <c r="R1005" i="6"/>
  <c r="U1005" i="6"/>
  <c r="R1006" i="6"/>
  <c r="U1006" i="6"/>
  <c r="E1008" i="6"/>
  <c r="E1009" i="6"/>
  <c r="R1010" i="6"/>
  <c r="U1010" i="6"/>
  <c r="R1011" i="6"/>
  <c r="U1011" i="6"/>
  <c r="E1013" i="6"/>
  <c r="E1014" i="6"/>
  <c r="R1015" i="6"/>
  <c r="U1015" i="6"/>
  <c r="R1016" i="6"/>
  <c r="U1016" i="6"/>
  <c r="E1018" i="6"/>
  <c r="E1019" i="6"/>
  <c r="R1020" i="6"/>
  <c r="U1020" i="6"/>
  <c r="R1021" i="6"/>
  <c r="U1021" i="6"/>
  <c r="E1023" i="6"/>
  <c r="E1024" i="6"/>
  <c r="R1025" i="6"/>
  <c r="U1025" i="6"/>
  <c r="R1026" i="6"/>
  <c r="U1026" i="6"/>
  <c r="E1028" i="6"/>
  <c r="E1029" i="6"/>
  <c r="R1030" i="6"/>
  <c r="U1030" i="6"/>
  <c r="R1031" i="6"/>
  <c r="U1031" i="6"/>
  <c r="E1033" i="6"/>
  <c r="E1035" i="6"/>
  <c r="E1036" i="6"/>
  <c r="E1037" i="6"/>
  <c r="U1038" i="6"/>
  <c r="U1039" i="6"/>
  <c r="U1040" i="6"/>
  <c r="E1041" i="6"/>
  <c r="E1042" i="6"/>
  <c r="R1043" i="6"/>
  <c r="U1043" i="6"/>
  <c r="R1044" i="6"/>
  <c r="U1044" i="6"/>
  <c r="R1045" i="6"/>
  <c r="U1045" i="6"/>
  <c r="R1046" i="6"/>
  <c r="U1046" i="6"/>
  <c r="E1047" i="6"/>
  <c r="E1048" i="6"/>
  <c r="R1049" i="6"/>
  <c r="U1049" i="6"/>
  <c r="R1050" i="6"/>
  <c r="U1050" i="6"/>
  <c r="R1051" i="6"/>
  <c r="U1051" i="6"/>
  <c r="R1052" i="6"/>
  <c r="U1052" i="6"/>
  <c r="E1053" i="6"/>
  <c r="G1054" i="6"/>
  <c r="AX1038" i="3" s="1"/>
  <c r="R1055" i="6"/>
  <c r="U1055" i="6"/>
  <c r="R1056" i="6"/>
  <c r="U1056" i="6"/>
  <c r="R1057" i="6"/>
  <c r="U1057" i="6"/>
  <c r="R1058" i="6"/>
  <c r="U1058" i="6"/>
  <c r="E1059" i="6"/>
  <c r="E1060" i="6"/>
  <c r="R1061" i="6"/>
  <c r="U1061" i="6"/>
  <c r="R1062" i="6"/>
  <c r="U1062" i="6"/>
  <c r="R1063" i="6"/>
  <c r="U1063" i="6"/>
  <c r="E1064" i="6"/>
  <c r="E1065" i="6"/>
  <c r="R1066" i="6"/>
  <c r="U1066" i="6"/>
  <c r="R1067" i="6"/>
  <c r="U1067" i="6"/>
  <c r="R1068" i="6"/>
  <c r="U1068" i="6"/>
  <c r="R1069" i="6"/>
  <c r="U1069" i="6"/>
  <c r="E1070" i="6"/>
  <c r="E1071" i="6"/>
  <c r="R1072" i="6"/>
  <c r="U1072" i="6"/>
  <c r="R1073" i="6"/>
  <c r="U1073" i="6"/>
  <c r="R1074" i="6"/>
  <c r="U1074" i="6"/>
  <c r="R1075" i="6"/>
  <c r="U1075" i="6"/>
  <c r="E1076" i="6"/>
  <c r="E1077" i="6"/>
  <c r="R1078" i="6"/>
  <c r="U1078" i="6"/>
  <c r="R1079" i="6"/>
  <c r="U1079" i="6"/>
  <c r="R1080" i="6"/>
  <c r="U1080" i="6"/>
  <c r="R1081" i="6"/>
  <c r="U1081" i="6"/>
  <c r="E1082" i="6"/>
  <c r="R1084" i="6"/>
  <c r="U1084" i="6"/>
  <c r="R1085" i="6"/>
  <c r="U1085" i="6"/>
  <c r="R1086" i="6"/>
  <c r="U1086" i="6"/>
  <c r="R1089" i="6"/>
  <c r="U1089" i="6"/>
  <c r="R1090" i="6"/>
  <c r="U1090" i="6"/>
  <c r="R1091" i="6"/>
  <c r="U1091" i="6"/>
  <c r="R1092" i="6"/>
  <c r="U1092" i="6"/>
  <c r="E1093" i="6"/>
  <c r="H1101" i="6"/>
  <c r="H1141" i="6" s="1"/>
  <c r="E1095" i="6"/>
  <c r="E1096" i="6"/>
  <c r="E1097" i="6"/>
  <c r="H1098" i="6"/>
  <c r="H1138" i="6" s="1"/>
  <c r="H1139" i="6"/>
  <c r="H1140" i="6"/>
  <c r="E1103" i="6"/>
  <c r="E1104" i="6"/>
  <c r="R1105" i="6"/>
  <c r="R1106" i="6" s="1"/>
  <c r="U1105" i="6"/>
  <c r="U1106" i="6" s="1"/>
  <c r="H1106" i="6"/>
  <c r="H51" i="2" s="1"/>
  <c r="E1107" i="6"/>
  <c r="E1108" i="6"/>
  <c r="R1109" i="6"/>
  <c r="U1109" i="6"/>
  <c r="R1110" i="6"/>
  <c r="U1110" i="6"/>
  <c r="R1111" i="6"/>
  <c r="U1111" i="6"/>
  <c r="R1112" i="6"/>
  <c r="U1112" i="6"/>
  <c r="H1113" i="6"/>
  <c r="H52" i="2" s="1"/>
  <c r="R1116" i="6"/>
  <c r="T1116" i="6"/>
  <c r="R1117" i="6"/>
  <c r="U1117" i="6"/>
  <c r="R1118" i="6"/>
  <c r="U1118" i="6"/>
  <c r="R1119" i="6"/>
  <c r="U1119" i="6"/>
  <c r="H1120" i="6"/>
  <c r="H53" i="2" s="1"/>
  <c r="E1121" i="6"/>
  <c r="E1122" i="6"/>
  <c r="R1123" i="6"/>
  <c r="T1123" i="6"/>
  <c r="R1124" i="6"/>
  <c r="U1124" i="6"/>
  <c r="R1125" i="6"/>
  <c r="U1125" i="6"/>
  <c r="R1126" i="6"/>
  <c r="U1126" i="6"/>
  <c r="H1127" i="6"/>
  <c r="E1135" i="6"/>
  <c r="E1136" i="6"/>
  <c r="E1137" i="6"/>
  <c r="E1143" i="6"/>
  <c r="E1145" i="6"/>
  <c r="E1146" i="6"/>
  <c r="E1147" i="6"/>
  <c r="E1148" i="6"/>
  <c r="R1150" i="6"/>
  <c r="U1150" i="6"/>
  <c r="R1151" i="6"/>
  <c r="U1151" i="6"/>
  <c r="H1152" i="6"/>
  <c r="H59" i="2" s="1"/>
  <c r="E1153" i="6"/>
  <c r="E1154" i="6"/>
  <c r="R1155" i="6"/>
  <c r="R1156" i="6" s="1"/>
  <c r="U1155" i="6"/>
  <c r="U1156" i="6" s="1"/>
  <c r="H1156" i="6"/>
  <c r="H60" i="2" s="1"/>
  <c r="E1157" i="6"/>
  <c r="E1158" i="6"/>
  <c r="R1159" i="6"/>
  <c r="R1160" i="6" s="1"/>
  <c r="U1159" i="6"/>
  <c r="U1160" i="6" s="1"/>
  <c r="H1160" i="6"/>
  <c r="E1162" i="6"/>
  <c r="R1163" i="6"/>
  <c r="T1163" i="6"/>
  <c r="R1164" i="6"/>
  <c r="U1164" i="6"/>
  <c r="R1165" i="6"/>
  <c r="U1165" i="6"/>
  <c r="R1166" i="6"/>
  <c r="U1166" i="6"/>
  <c r="H1167" i="6"/>
  <c r="E1168" i="6"/>
  <c r="E1169" i="6"/>
  <c r="R1170" i="6"/>
  <c r="T1170" i="6"/>
  <c r="R1171" i="6"/>
  <c r="U1171" i="6"/>
  <c r="R1172" i="6"/>
  <c r="U1172" i="6"/>
  <c r="R1173" i="6"/>
  <c r="U1173" i="6"/>
  <c r="H1174" i="6"/>
  <c r="H63" i="2" s="1"/>
  <c r="E1175" i="6"/>
  <c r="E1176" i="6"/>
  <c r="R1177" i="6"/>
  <c r="U1177" i="6"/>
  <c r="R1178" i="6"/>
  <c r="U1178" i="6"/>
  <c r="H1179" i="6"/>
  <c r="E1180" i="6"/>
  <c r="E1181" i="6"/>
  <c r="R1182" i="6"/>
  <c r="U1182" i="6"/>
  <c r="R1183" i="6"/>
  <c r="U1183" i="6"/>
  <c r="U1184" i="6" s="1"/>
  <c r="H1184" i="6"/>
  <c r="H65" i="2" s="1"/>
  <c r="E1185" i="6"/>
  <c r="E1186" i="6"/>
  <c r="R1187" i="6"/>
  <c r="R1188" i="6" s="1"/>
  <c r="U1187" i="6"/>
  <c r="U1188" i="6" s="1"/>
  <c r="H1188" i="6"/>
  <c r="H66" i="2" s="1"/>
  <c r="E1189" i="6"/>
  <c r="E1190" i="6"/>
  <c r="R1191" i="6"/>
  <c r="T1191" i="6"/>
  <c r="R1192" i="6"/>
  <c r="U1192" i="6"/>
  <c r="R1193" i="6"/>
  <c r="U1193" i="6"/>
  <c r="R1194" i="6"/>
  <c r="U1194" i="6"/>
  <c r="H1195" i="6"/>
  <c r="E1196" i="6"/>
  <c r="E1197" i="6"/>
  <c r="R1198" i="6"/>
  <c r="T1198" i="6"/>
  <c r="R1199" i="6"/>
  <c r="U1199" i="6"/>
  <c r="R1200" i="6"/>
  <c r="U1200" i="6"/>
  <c r="R1201" i="6"/>
  <c r="U1201" i="6"/>
  <c r="H1202" i="6"/>
  <c r="E1203" i="6"/>
  <c r="R1205" i="6"/>
  <c r="T1205" i="6"/>
  <c r="R1206" i="6"/>
  <c r="U1206" i="6"/>
  <c r="R1207" i="6"/>
  <c r="U1207" i="6"/>
  <c r="R1208" i="6"/>
  <c r="U1208" i="6"/>
  <c r="H1209" i="6"/>
  <c r="E1211" i="6"/>
  <c r="F1212" i="6"/>
  <c r="F1213" i="6" s="1"/>
  <c r="R1212" i="6"/>
  <c r="R1213" i="6" s="1"/>
  <c r="U1212" i="6"/>
  <c r="U1213" i="6" s="1"/>
  <c r="H1213" i="6"/>
  <c r="E1214" i="6"/>
  <c r="E1215" i="6"/>
  <c r="H1216" i="6"/>
  <c r="H1217" i="6"/>
  <c r="H1218" i="6"/>
  <c r="H1219" i="6"/>
  <c r="E1220" i="6"/>
  <c r="E1223" i="6"/>
  <c r="E1224" i="6"/>
  <c r="E1229" i="6"/>
  <c r="E1232" i="6"/>
  <c r="E1234" i="6"/>
  <c r="E1235" i="6"/>
  <c r="N1238" i="6"/>
  <c r="E1241" i="6"/>
  <c r="N1241" i="6"/>
  <c r="E1242" i="6"/>
  <c r="N1242" i="6"/>
  <c r="F1243" i="6"/>
  <c r="G1243" i="6"/>
  <c r="H1243" i="6"/>
  <c r="I1243" i="6"/>
  <c r="M1243" i="6"/>
  <c r="F1244" i="6"/>
  <c r="G1244" i="6"/>
  <c r="E1244" i="6" s="1"/>
  <c r="H1244" i="6"/>
  <c r="I1244" i="6"/>
  <c r="M1244" i="6"/>
  <c r="E1247" i="6"/>
  <c r="E1249" i="6"/>
  <c r="E1251" i="6"/>
  <c r="E1252" i="6"/>
  <c r="R1253" i="6"/>
  <c r="U1253" i="6"/>
  <c r="E1255" i="6"/>
  <c r="E1256" i="6"/>
  <c r="E1261" i="6"/>
  <c r="E1262" i="6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56" i="2"/>
  <c r="K70" i="2"/>
  <c r="A1" i="5"/>
  <c r="G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AW1242" i="3"/>
  <c r="AX1242" i="3" s="1"/>
  <c r="AW336" i="3"/>
  <c r="G336" i="6" s="1"/>
  <c r="AW1226" i="3"/>
  <c r="AW345" i="3"/>
  <c r="G345" i="6" s="1"/>
  <c r="AW486" i="3"/>
  <c r="G486" i="6" s="1"/>
  <c r="AX486" i="3" s="1"/>
  <c r="AW318" i="3"/>
  <c r="E64" i="6"/>
  <c r="E62" i="6"/>
  <c r="E1245" i="6"/>
  <c r="Q852" i="3"/>
  <c r="N840" i="3"/>
  <c r="AA20" i="641" l="1"/>
  <c r="AE19" i="670"/>
  <c r="O2" i="42"/>
  <c r="U2" i="42"/>
  <c r="H238" i="650"/>
  <c r="W237" i="650"/>
  <c r="A85" i="650"/>
  <c r="A86" i="650" s="1"/>
  <c r="A87" i="650" s="1"/>
  <c r="A88" i="650" s="1"/>
  <c r="A89" i="650" s="1"/>
  <c r="A90" i="650" s="1"/>
  <c r="A91" i="650" s="1"/>
  <c r="A92" i="650" s="1"/>
  <c r="A93" i="650" s="1"/>
  <c r="A94" i="650" s="1"/>
  <c r="A95" i="650" s="1"/>
  <c r="A96" i="650" s="1"/>
  <c r="A97" i="650" s="1"/>
  <c r="A98" i="650" s="1"/>
  <c r="A99" i="650" s="1"/>
  <c r="A100" i="650" s="1"/>
  <c r="A101" i="650" s="1"/>
  <c r="A102" i="650" s="1"/>
  <c r="A103" i="650" s="1"/>
  <c r="A104" i="650" s="1"/>
  <c r="A105" i="650" s="1"/>
  <c r="A106" i="650" s="1"/>
  <c r="A107" i="650" s="1"/>
  <c r="A108" i="650" s="1"/>
  <c r="A109" i="650" s="1"/>
  <c r="A110" i="650" s="1"/>
  <c r="A111" i="650" s="1"/>
  <c r="A112" i="650" s="1"/>
  <c r="A113" i="650" s="1"/>
  <c r="A114" i="650" s="1"/>
  <c r="A115" i="650" s="1"/>
  <c r="A116" i="650" s="1"/>
  <c r="A117" i="650" s="1"/>
  <c r="A118" i="650" s="1"/>
  <c r="A119" i="650" s="1"/>
  <c r="A120" i="650" s="1"/>
  <c r="A121" i="650" s="1"/>
  <c r="A122" i="650" s="1"/>
  <c r="A123" i="650" s="1"/>
  <c r="A124" i="650" s="1"/>
  <c r="A125" i="650" s="1"/>
  <c r="A126" i="650" s="1"/>
  <c r="A127" i="650" s="1"/>
  <c r="A128" i="650" s="1"/>
  <c r="A129" i="650" s="1"/>
  <c r="A130" i="650" s="1"/>
  <c r="A131" i="650" s="1"/>
  <c r="A132" i="650" s="1"/>
  <c r="A133" i="650" s="1"/>
  <c r="A134" i="650" s="1"/>
  <c r="A135" i="650" s="1"/>
  <c r="A136" i="650" s="1"/>
  <c r="A137" i="650" s="1"/>
  <c r="A138" i="650" s="1"/>
  <c r="A139" i="650" s="1"/>
  <c r="A140" i="650" s="1"/>
  <c r="A141" i="650" s="1"/>
  <c r="A142" i="650" s="1"/>
  <c r="A143" i="650" s="1"/>
  <c r="A144" i="650" s="1"/>
  <c r="A145" i="650" s="1"/>
  <c r="A146" i="650" s="1"/>
  <c r="A147" i="650" s="1"/>
  <c r="A148" i="650" s="1"/>
  <c r="A149" i="650" s="1"/>
  <c r="A150" i="650" s="1"/>
  <c r="A151" i="650" s="1"/>
  <c r="A152" i="650" s="1"/>
  <c r="A153" i="650" s="1"/>
  <c r="A154" i="650" s="1"/>
  <c r="A155" i="650" s="1"/>
  <c r="A156" i="650" s="1"/>
  <c r="A157" i="650" s="1"/>
  <c r="A158" i="650" s="1"/>
  <c r="A159" i="650" s="1"/>
  <c r="A160" i="650" s="1"/>
  <c r="A161" i="650" s="1"/>
  <c r="A162" i="650" s="1"/>
  <c r="A163" i="650" s="1"/>
  <c r="A164" i="650" s="1"/>
  <c r="A165" i="650" s="1"/>
  <c r="A166" i="650" s="1"/>
  <c r="A167" i="650" s="1"/>
  <c r="A168" i="650" s="1"/>
  <c r="A169" i="650" s="1"/>
  <c r="A170" i="650" s="1"/>
  <c r="A171" i="650" s="1"/>
  <c r="A172" i="650" s="1"/>
  <c r="A173" i="650" s="1"/>
  <c r="A174" i="650" s="1"/>
  <c r="A175" i="650" s="1"/>
  <c r="A176" i="650" s="1"/>
  <c r="A177" i="650" s="1"/>
  <c r="A178" i="650" s="1"/>
  <c r="A179" i="650" s="1"/>
  <c r="A180" i="650" s="1"/>
  <c r="A181" i="650" s="1"/>
  <c r="A182" i="650" s="1"/>
  <c r="A183" i="650" s="1"/>
  <c r="A184" i="650" s="1"/>
  <c r="A185" i="650" s="1"/>
  <c r="A186" i="650" s="1"/>
  <c r="A187" i="650" s="1"/>
  <c r="A188" i="650" s="1"/>
  <c r="A189" i="650" s="1"/>
  <c r="A190" i="650" s="1"/>
  <c r="A191" i="650" s="1"/>
  <c r="A192" i="650" s="1"/>
  <c r="A193" i="650" s="1"/>
  <c r="A194" i="650" s="1"/>
  <c r="A195" i="650" s="1"/>
  <c r="A196" i="650" s="1"/>
  <c r="A197" i="650" s="1"/>
  <c r="A198" i="650" s="1"/>
  <c r="A199" i="650" s="1"/>
  <c r="A200" i="650" s="1"/>
  <c r="A201" i="650" s="1"/>
  <c r="A202" i="650" s="1"/>
  <c r="A203" i="650" s="1"/>
  <c r="A204" i="650" s="1"/>
  <c r="A205" i="650" s="1"/>
  <c r="A206" i="650" s="1"/>
  <c r="A207" i="650" s="1"/>
  <c r="A208" i="650" s="1"/>
  <c r="A209" i="650" s="1"/>
  <c r="A210" i="650" s="1"/>
  <c r="A211" i="650" s="1"/>
  <c r="A212" i="650" s="1"/>
  <c r="A213" i="650" s="1"/>
  <c r="A214" i="650" s="1"/>
  <c r="A215" i="650" s="1"/>
  <c r="A216" i="650" s="1"/>
  <c r="A217" i="650" s="1"/>
  <c r="A218" i="650" s="1"/>
  <c r="A219" i="650" s="1"/>
  <c r="A220" i="650" s="1"/>
  <c r="A221" i="650" s="1"/>
  <c r="A222" i="650" s="1"/>
  <c r="A223" i="650" s="1"/>
  <c r="A224" i="650" s="1"/>
  <c r="A225" i="650" s="1"/>
  <c r="A226" i="650" s="1"/>
  <c r="A227" i="650" s="1"/>
  <c r="A228" i="650" s="1"/>
  <c r="A229" i="650" s="1"/>
  <c r="A230" i="650" s="1"/>
  <c r="A231" i="650" s="1"/>
  <c r="A232" i="650" s="1"/>
  <c r="A233" i="650" s="1"/>
  <c r="A234" i="650" s="1"/>
  <c r="A235" i="650" s="1"/>
  <c r="A236" i="650" s="1"/>
  <c r="A237" i="650" s="1"/>
  <c r="A238" i="650" s="1"/>
  <c r="A239" i="650" s="1"/>
  <c r="A240" i="650" s="1"/>
  <c r="A241" i="650" s="1"/>
  <c r="A242" i="650" s="1"/>
  <c r="A243" i="650" s="1"/>
  <c r="A244" i="650" s="1"/>
  <c r="A245" i="650" s="1"/>
  <c r="A246" i="650" s="1"/>
  <c r="A247" i="650" s="1"/>
  <c r="A248" i="650" s="1"/>
  <c r="A249" i="650" s="1"/>
  <c r="A250" i="650" s="1"/>
  <c r="A251" i="650" s="1"/>
  <c r="A252" i="650" s="1"/>
  <c r="A253" i="650" s="1"/>
  <c r="A254" i="650" s="1"/>
  <c r="A255" i="650" s="1"/>
  <c r="A256" i="650" s="1"/>
  <c r="A257" i="650" s="1"/>
  <c r="A258" i="650" s="1"/>
  <c r="A259" i="650" s="1"/>
  <c r="A260" i="650" s="1"/>
  <c r="A261" i="650" s="1"/>
  <c r="A262" i="650" s="1"/>
  <c r="A263" i="650" s="1"/>
  <c r="A264" i="650" s="1"/>
  <c r="A265" i="650" s="1"/>
  <c r="A266" i="650" s="1"/>
  <c r="A267" i="650" s="1"/>
  <c r="A268" i="650" s="1"/>
  <c r="A269" i="650" s="1"/>
  <c r="A270" i="650" s="1"/>
  <c r="A271" i="650" s="1"/>
  <c r="A272" i="650" s="1"/>
  <c r="A273" i="650" s="1"/>
  <c r="A274" i="650" s="1"/>
  <c r="A275" i="650" s="1"/>
  <c r="A276" i="650" s="1"/>
  <c r="A277" i="650" s="1"/>
  <c r="A278" i="650" s="1"/>
  <c r="A279" i="650" s="1"/>
  <c r="A280" i="650" s="1"/>
  <c r="A281" i="650" s="1"/>
  <c r="AR82" i="4"/>
  <c r="AR83" i="4" s="1"/>
  <c r="AR84" i="4" s="1"/>
  <c r="AR85" i="4" s="1"/>
  <c r="AR86" i="4" s="1"/>
  <c r="AR87" i="4" s="1"/>
  <c r="AR88" i="4" s="1"/>
  <c r="AR89" i="4" s="1"/>
  <c r="AR90" i="4" s="1"/>
  <c r="AR91" i="4" s="1"/>
  <c r="AR92" i="4" s="1"/>
  <c r="AR93" i="4" s="1"/>
  <c r="AR94" i="4" s="1"/>
  <c r="AR95" i="4" s="1"/>
  <c r="AR96" i="4" s="1"/>
  <c r="AR97" i="4" s="1"/>
  <c r="AR98" i="4" s="1"/>
  <c r="AR99" i="4" s="1"/>
  <c r="AR100" i="4" s="1"/>
  <c r="AR101" i="4" s="1"/>
  <c r="AR102" i="4" s="1"/>
  <c r="AR103" i="4" s="1"/>
  <c r="AR104" i="4" s="1"/>
  <c r="AR105" i="4" s="1"/>
  <c r="AR106" i="4" s="1"/>
  <c r="AR107" i="4" s="1"/>
  <c r="AR108" i="4" s="1"/>
  <c r="AR109" i="4" s="1"/>
  <c r="AR110" i="4" s="1"/>
  <c r="AR111" i="4" s="1"/>
  <c r="AR112" i="4" s="1"/>
  <c r="AR113" i="4" s="1"/>
  <c r="AR114" i="4" s="1"/>
  <c r="AR115" i="4" s="1"/>
  <c r="AR116" i="4" s="1"/>
  <c r="AR117" i="4" s="1"/>
  <c r="AR118" i="4" s="1"/>
  <c r="AR119" i="4" s="1"/>
  <c r="AR120" i="4" s="1"/>
  <c r="AR121" i="4" s="1"/>
  <c r="AR122" i="4" s="1"/>
  <c r="AR123" i="4" s="1"/>
  <c r="AR124" i="4" s="1"/>
  <c r="AR125" i="4" s="1"/>
  <c r="AR126" i="4" s="1"/>
  <c r="AR127" i="4" s="1"/>
  <c r="AR128" i="4" s="1"/>
  <c r="AR129" i="4" s="1"/>
  <c r="AR130" i="4" s="1"/>
  <c r="AR131" i="4" s="1"/>
  <c r="AR132" i="4" s="1"/>
  <c r="AR133" i="4" s="1"/>
  <c r="AR134" i="4" s="1"/>
  <c r="AR135" i="4" s="1"/>
  <c r="AR136" i="4" s="1"/>
  <c r="AR137" i="4" s="1"/>
  <c r="AR138" i="4" s="1"/>
  <c r="AR139" i="4" s="1"/>
  <c r="AR140" i="4" s="1"/>
  <c r="AR141" i="4" s="1"/>
  <c r="AR142" i="4" s="1"/>
  <c r="AR143" i="4" s="1"/>
  <c r="AR144" i="4" s="1"/>
  <c r="AR145" i="4" s="1"/>
  <c r="AR146" i="4" s="1"/>
  <c r="AR147" i="4" s="1"/>
  <c r="AR148" i="4" s="1"/>
  <c r="AR149" i="4" s="1"/>
  <c r="AR150" i="4" s="1"/>
  <c r="AR151" i="4" s="1"/>
  <c r="AR152" i="4" s="1"/>
  <c r="AR153" i="4" s="1"/>
  <c r="AR154" i="4" s="1"/>
  <c r="AR155" i="4" s="1"/>
  <c r="AR156" i="4" s="1"/>
  <c r="AR157" i="4" s="1"/>
  <c r="AR158" i="4" s="1"/>
  <c r="AR159" i="4" s="1"/>
  <c r="AR160" i="4" s="1"/>
  <c r="AR161" i="4" s="1"/>
  <c r="AR162" i="4" s="1"/>
  <c r="AR163" i="4" s="1"/>
  <c r="AR164" i="4" s="1"/>
  <c r="AR165" i="4" s="1"/>
  <c r="AR166" i="4" s="1"/>
  <c r="AR167" i="4" s="1"/>
  <c r="AR168" i="4" s="1"/>
  <c r="AR169" i="4" s="1"/>
  <c r="AR170" i="4" s="1"/>
  <c r="AR171" i="4" s="1"/>
  <c r="AR172" i="4" s="1"/>
  <c r="AR173" i="4" s="1"/>
  <c r="AR174" i="4" s="1"/>
  <c r="AR175" i="4" s="1"/>
  <c r="AR176" i="4" s="1"/>
  <c r="AR177" i="4" s="1"/>
  <c r="AR178" i="4" s="1"/>
  <c r="AR179" i="4" s="1"/>
  <c r="AR180" i="4" s="1"/>
  <c r="AR181" i="4" s="1"/>
  <c r="AR182" i="4" s="1"/>
  <c r="AR183" i="4" s="1"/>
  <c r="AR184" i="4" s="1"/>
  <c r="AR185" i="4" s="1"/>
  <c r="AR186" i="4" s="1"/>
  <c r="AR187" i="4" s="1"/>
  <c r="AR188" i="4" s="1"/>
  <c r="AR189" i="4" s="1"/>
  <c r="AR190" i="4" s="1"/>
  <c r="AR191" i="4" s="1"/>
  <c r="AR192" i="4" s="1"/>
  <c r="AR193" i="4" s="1"/>
  <c r="AR194" i="4" s="1"/>
  <c r="AR195" i="4" s="1"/>
  <c r="AR196" i="4" s="1"/>
  <c r="AR197" i="4" s="1"/>
  <c r="AR198" i="4" s="1"/>
  <c r="AR199" i="4" s="1"/>
  <c r="AR200" i="4" s="1"/>
  <c r="AR201" i="4" s="1"/>
  <c r="AR202" i="4" s="1"/>
  <c r="AR203" i="4" s="1"/>
  <c r="AR204" i="4" s="1"/>
  <c r="AR205" i="4" s="1"/>
  <c r="AR206" i="4" s="1"/>
  <c r="AR207" i="4" s="1"/>
  <c r="AR208" i="4" s="1"/>
  <c r="AR209" i="4" s="1"/>
  <c r="AR210" i="4" s="1"/>
  <c r="AR211" i="4" s="1"/>
  <c r="AR212" i="4" s="1"/>
  <c r="AR213" i="4" s="1"/>
  <c r="AR214" i="4" s="1"/>
  <c r="AR215" i="4" s="1"/>
  <c r="AR216" i="4" s="1"/>
  <c r="AR217" i="4" s="1"/>
  <c r="AR218" i="4" s="1"/>
  <c r="AR219" i="4" s="1"/>
  <c r="AR220" i="4" s="1"/>
  <c r="AR221" i="4" s="1"/>
  <c r="AR222" i="4" s="1"/>
  <c r="AR223" i="4" s="1"/>
  <c r="AR224" i="4" s="1"/>
  <c r="AR225" i="4" s="1"/>
  <c r="AR226" i="4" s="1"/>
  <c r="AR227" i="4" s="1"/>
  <c r="AR228" i="4" s="1"/>
  <c r="AR229" i="4" s="1"/>
  <c r="AR230" i="4" s="1"/>
  <c r="AR231" i="4" s="1"/>
  <c r="AR232" i="4" s="1"/>
  <c r="AR233" i="4" s="1"/>
  <c r="AR234" i="4" s="1"/>
  <c r="AR235" i="4" s="1"/>
  <c r="AR236" i="4" s="1"/>
  <c r="AR237" i="4" s="1"/>
  <c r="AR238" i="4" s="1"/>
  <c r="AR239" i="4" s="1"/>
  <c r="AR240" i="4" s="1"/>
  <c r="AR241" i="4" s="1"/>
  <c r="AR242" i="4" s="1"/>
  <c r="AR243" i="4" s="1"/>
  <c r="AR244" i="4" s="1"/>
  <c r="AR245" i="4" s="1"/>
  <c r="AR246" i="4" s="1"/>
  <c r="AR247" i="4" s="1"/>
  <c r="AR248" i="4" s="1"/>
  <c r="AR249" i="4" s="1"/>
  <c r="AR250" i="4" s="1"/>
  <c r="AR251" i="4" s="1"/>
  <c r="AR252" i="4" s="1"/>
  <c r="AR253" i="4" s="1"/>
  <c r="AR254" i="4" s="1"/>
  <c r="AR255" i="4" s="1"/>
  <c r="AR256" i="4" s="1"/>
  <c r="AR257" i="4" s="1"/>
  <c r="AR258" i="4" s="1"/>
  <c r="AR259" i="4" s="1"/>
  <c r="AR260" i="4" s="1"/>
  <c r="AR261" i="4" s="1"/>
  <c r="AR262" i="4" s="1"/>
  <c r="AR263" i="4" s="1"/>
  <c r="AR264" i="4" s="1"/>
  <c r="AR265" i="4" s="1"/>
  <c r="AR266" i="4" s="1"/>
  <c r="AR267" i="4" s="1"/>
  <c r="AR268" i="4" s="1"/>
  <c r="AR269" i="4" s="1"/>
  <c r="AR270" i="4" s="1"/>
  <c r="AR271" i="4" s="1"/>
  <c r="AR272" i="4" s="1"/>
  <c r="AR273" i="4" s="1"/>
  <c r="AR274" i="4" s="1"/>
  <c r="AR275" i="4" s="1"/>
  <c r="AR276" i="4" s="1"/>
  <c r="AR277" i="4" s="1"/>
  <c r="AR278" i="4" s="1"/>
  <c r="AR279" i="4" s="1"/>
  <c r="AS639" i="651"/>
  <c r="AD228" i="650"/>
  <c r="AT228" i="650" s="1"/>
  <c r="AV209" i="650"/>
  <c r="AV210" i="650" s="1"/>
  <c r="J206" i="650"/>
  <c r="U1100" i="6"/>
  <c r="U1140" i="6" s="1"/>
  <c r="R1100" i="6"/>
  <c r="R1140" i="6" s="1"/>
  <c r="U1099" i="6"/>
  <c r="U1139" i="6" s="1"/>
  <c r="R1099" i="6"/>
  <c r="U1094" i="6"/>
  <c r="U1101" i="6" s="1"/>
  <c r="U1141" i="6" s="1"/>
  <c r="R1094" i="6"/>
  <c r="R1101" i="6" s="1"/>
  <c r="R1141" i="6" s="1"/>
  <c r="AI671" i="651"/>
  <c r="AQ227" i="650"/>
  <c r="AP237" i="650"/>
  <c r="AP238" i="650" s="1"/>
  <c r="AK618" i="651"/>
  <c r="O181" i="651"/>
  <c r="S69" i="5"/>
  <c r="N53" i="6"/>
  <c r="U53" i="6" s="1"/>
  <c r="L64" i="5"/>
  <c r="R64" i="5"/>
  <c r="R26" i="5"/>
  <c r="AI528" i="651"/>
  <c r="L26" i="5"/>
  <c r="S26" i="5"/>
  <c r="O69" i="5"/>
  <c r="P26" i="5"/>
  <c r="Q15" i="5"/>
  <c r="O26" i="5"/>
  <c r="Q14" i="5"/>
  <c r="N69" i="5"/>
  <c r="N26" i="5"/>
  <c r="M15" i="5"/>
  <c r="M14" i="5"/>
  <c r="M69" i="5"/>
  <c r="O15" i="5"/>
  <c r="I26" i="5"/>
  <c r="K69" i="5"/>
  <c r="P64" i="5"/>
  <c r="M26" i="5"/>
  <c r="N15" i="5"/>
  <c r="N14" i="5"/>
  <c r="P15" i="5"/>
  <c r="Q64" i="5"/>
  <c r="O14" i="5"/>
  <c r="R69" i="5"/>
  <c r="N64" i="5"/>
  <c r="K15" i="5"/>
  <c r="K14" i="5"/>
  <c r="S14" i="5"/>
  <c r="P14" i="5"/>
  <c r="O64" i="5"/>
  <c r="A57" i="5"/>
  <c r="A58" i="5" s="1"/>
  <c r="A60" i="5" s="1"/>
  <c r="A61" i="5" s="1"/>
  <c r="A62" i="5" s="1"/>
  <c r="A63" i="5" s="1"/>
  <c r="M64" i="5"/>
  <c r="L14" i="5"/>
  <c r="L69" i="5"/>
  <c r="S15" i="5"/>
  <c r="AO533" i="651"/>
  <c r="K26" i="5"/>
  <c r="Q69" i="5"/>
  <c r="P69" i="5"/>
  <c r="K64" i="5"/>
  <c r="Q26" i="5"/>
  <c r="R15" i="5"/>
  <c r="R14" i="5"/>
  <c r="L15" i="5"/>
  <c r="R1222" i="3"/>
  <c r="S38" i="5"/>
  <c r="S64" i="5"/>
  <c r="U23" i="650"/>
  <c r="U29" i="650"/>
  <c r="AQ603" i="651"/>
  <c r="AO548" i="651"/>
  <c r="AK521" i="651"/>
  <c r="K15" i="14"/>
  <c r="L355" i="3"/>
  <c r="AK694" i="651"/>
  <c r="AO588" i="651"/>
  <c r="AM641" i="651"/>
  <c r="AK666" i="651"/>
  <c r="R191" i="651"/>
  <c r="F12" i="1"/>
  <c r="F8" i="1" s="1"/>
  <c r="F11" i="1"/>
  <c r="W9" i="6" s="1"/>
  <c r="F16" i="1"/>
  <c r="E12" i="657"/>
  <c r="E18" i="657" s="1"/>
  <c r="AQ756" i="651"/>
  <c r="P240" i="651"/>
  <c r="AG568" i="651"/>
  <c r="AH573" i="651"/>
  <c r="AN651" i="651"/>
  <c r="AL651" i="651"/>
  <c r="AM651" i="651"/>
  <c r="R176" i="651"/>
  <c r="N236" i="651"/>
  <c r="O55" i="651"/>
  <c r="P35" i="651"/>
  <c r="O70" i="651"/>
  <c r="N65" i="651"/>
  <c r="R30" i="651"/>
  <c r="M13" i="651"/>
  <c r="N232" i="3"/>
  <c r="P355" i="3"/>
  <c r="O355" i="3"/>
  <c r="G14" i="5"/>
  <c r="Q1222" i="3"/>
  <c r="H6" i="3"/>
  <c r="O1222" i="3"/>
  <c r="I16" i="137"/>
  <c r="I17" i="137" s="1"/>
  <c r="I18" i="137" s="1"/>
  <c r="I19" i="137" s="1"/>
  <c r="I20" i="137" s="1"/>
  <c r="I21" i="137" s="1"/>
  <c r="I22" i="137" s="1"/>
  <c r="I23" i="137" s="1"/>
  <c r="I24" i="137" s="1"/>
  <c r="I25" i="137" s="1"/>
  <c r="I26" i="137" s="1"/>
  <c r="I27" i="137" s="1"/>
  <c r="I28" i="137" s="1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3" i="2" s="1"/>
  <c r="A76" i="2" s="1"/>
  <c r="A78" i="2" s="1"/>
  <c r="AK661" i="651"/>
  <c r="AQ646" i="651"/>
  <c r="AO613" i="651"/>
  <c r="AM608" i="651"/>
  <c r="AN528" i="651"/>
  <c r="AH598" i="651"/>
  <c r="AK752" i="651"/>
  <c r="AM631" i="651"/>
  <c r="AQ613" i="651"/>
  <c r="O889" i="3"/>
  <c r="P33" i="5" s="1"/>
  <c r="H232" i="6"/>
  <c r="N913" i="3"/>
  <c r="O37" i="5" s="1"/>
  <c r="AL538" i="651"/>
  <c r="AH748" i="651"/>
  <c r="AH712" i="651"/>
  <c r="J889" i="3"/>
  <c r="K33" i="5" s="1"/>
  <c r="F833" i="3"/>
  <c r="G32" i="5" s="1"/>
  <c r="I13" i="651"/>
  <c r="H61" i="2"/>
  <c r="H370" i="6"/>
  <c r="N833" i="3"/>
  <c r="O32" i="5" s="1"/>
  <c r="L232" i="3"/>
  <c r="AJ689" i="651"/>
  <c r="E1054" i="6"/>
  <c r="N203" i="3"/>
  <c r="G38" i="5"/>
  <c r="F254" i="15"/>
  <c r="F255" i="6" s="1"/>
  <c r="AJ740" i="651"/>
  <c r="AL740" i="651"/>
  <c r="AL724" i="651"/>
  <c r="AM720" i="651"/>
  <c r="AN694" i="651"/>
  <c r="AL631" i="651"/>
  <c r="AN618" i="651"/>
  <c r="AL603" i="651"/>
  <c r="AJ588" i="651"/>
  <c r="AJ548" i="651"/>
  <c r="AL543" i="651"/>
  <c r="F67" i="15"/>
  <c r="F68" i="6" s="1"/>
  <c r="H926" i="6"/>
  <c r="H35" i="2" s="1"/>
  <c r="AK728" i="651"/>
  <c r="O240" i="651"/>
  <c r="AX1226" i="3"/>
  <c r="F127" i="15"/>
  <c r="F128" i="6" s="1"/>
  <c r="F242" i="15"/>
  <c r="F243" i="6" s="1"/>
  <c r="R228" i="651"/>
  <c r="Q80" i="651"/>
  <c r="M752" i="3"/>
  <c r="N30" i="5" s="1"/>
  <c r="H372" i="6"/>
  <c r="J1222" i="3"/>
  <c r="R85" i="651"/>
  <c r="H1225" i="6"/>
  <c r="H1257" i="6" s="1"/>
  <c r="H16" i="2"/>
  <c r="AH724" i="651"/>
  <c r="O123" i="651"/>
  <c r="P80" i="651"/>
  <c r="F314" i="15"/>
  <c r="F315" i="6" s="1"/>
  <c r="G15" i="5"/>
  <c r="H54" i="2"/>
  <c r="AH671" i="651"/>
  <c r="AQ671" i="651"/>
  <c r="F1109" i="6"/>
  <c r="AI253" i="4"/>
  <c r="AY219" i="4"/>
  <c r="AO689" i="651"/>
  <c r="M232" i="3"/>
  <c r="Q203" i="3"/>
  <c r="O203" i="3"/>
  <c r="F290" i="15"/>
  <c r="F291" i="6" s="1"/>
  <c r="AQ744" i="651"/>
  <c r="AO641" i="651"/>
  <c r="AQ728" i="651"/>
  <c r="AC53" i="641"/>
  <c r="F278" i="15"/>
  <c r="F279" i="6" s="1"/>
  <c r="AA47" i="641"/>
  <c r="AD47" i="641" s="1"/>
  <c r="F320" i="15"/>
  <c r="E13" i="657" s="1"/>
  <c r="AM598" i="651"/>
  <c r="H36" i="2"/>
  <c r="L1222" i="3"/>
  <c r="L889" i="3"/>
  <c r="M33" i="5" s="1"/>
  <c r="F133" i="6"/>
  <c r="AI548" i="651"/>
  <c r="AH694" i="651"/>
  <c r="AI636" i="651"/>
  <c r="R25" i="651"/>
  <c r="F350" i="6"/>
  <c r="F358" i="6" s="1"/>
  <c r="H371" i="6"/>
  <c r="AO646" i="651"/>
  <c r="P220" i="651"/>
  <c r="P212" i="651"/>
  <c r="AA46" i="641"/>
  <c r="AD46" i="641" s="1"/>
  <c r="F319" i="15"/>
  <c r="F197" i="6"/>
  <c r="N1205" i="3"/>
  <c r="AJ671" i="651"/>
  <c r="AA43" i="641"/>
  <c r="AD43" i="641" s="1"/>
  <c r="F256" i="15"/>
  <c r="AS616" i="651"/>
  <c r="O80" i="651"/>
  <c r="F311" i="6"/>
  <c r="O40" i="651"/>
  <c r="H62" i="2"/>
  <c r="F353" i="6"/>
  <c r="H31" i="2"/>
  <c r="F179" i="15"/>
  <c r="F180" i="6" s="1"/>
  <c r="F347" i="6"/>
  <c r="F348" i="6" s="1"/>
  <c r="F347" i="15"/>
  <c r="AL646" i="651"/>
  <c r="AN593" i="651"/>
  <c r="AJ573" i="651"/>
  <c r="AG666" i="651"/>
  <c r="AK736" i="651"/>
  <c r="AP636" i="651"/>
  <c r="AI553" i="651"/>
  <c r="AJ724" i="651"/>
  <c r="AI748" i="651"/>
  <c r="N248" i="651"/>
  <c r="N40" i="651"/>
  <c r="AP608" i="651"/>
  <c r="AL521" i="651"/>
  <c r="AH563" i="651"/>
  <c r="AH728" i="651"/>
  <c r="P158" i="651"/>
  <c r="P148" i="651"/>
  <c r="R110" i="651"/>
  <c r="P65" i="651"/>
  <c r="P60" i="651"/>
  <c r="P55" i="651"/>
  <c r="F352" i="15"/>
  <c r="AB15" i="641"/>
  <c r="AL736" i="651"/>
  <c r="AN732" i="651"/>
  <c r="AJ699" i="651"/>
  <c r="AN689" i="651"/>
  <c r="AN661" i="651"/>
  <c r="AJ651" i="651"/>
  <c r="AN641" i="651"/>
  <c r="N143" i="651"/>
  <c r="AY116" i="4"/>
  <c r="N108" i="650"/>
  <c r="AI157" i="4"/>
  <c r="AI133" i="4"/>
  <c r="AG712" i="651"/>
  <c r="AM578" i="651"/>
  <c r="AM603" i="651"/>
  <c r="P191" i="651"/>
  <c r="R128" i="651"/>
  <c r="H64" i="2"/>
  <c r="O913" i="3"/>
  <c r="P37" i="5" s="1"/>
  <c r="F913" i="3"/>
  <c r="G37" i="5" s="1"/>
  <c r="F203" i="3"/>
  <c r="AH651" i="651"/>
  <c r="AG703" i="651"/>
  <c r="AH716" i="651"/>
  <c r="AF744" i="651"/>
  <c r="AF699" i="651"/>
  <c r="Y30" i="641"/>
  <c r="AP724" i="651"/>
  <c r="AP699" i="651"/>
  <c r="AS665" i="651"/>
  <c r="AP651" i="651"/>
  <c r="AJ646" i="651"/>
  <c r="AJ618" i="651"/>
  <c r="AP563" i="651"/>
  <c r="E927" i="6"/>
  <c r="H364" i="6"/>
  <c r="P913" i="3"/>
  <c r="Q37" i="5" s="1"/>
  <c r="M913" i="3"/>
  <c r="N37" i="5" s="1"/>
  <c r="Q833" i="3"/>
  <c r="R32" i="5" s="1"/>
  <c r="AM521" i="651"/>
  <c r="AG543" i="651"/>
  <c r="AG736" i="651"/>
  <c r="AF724" i="651"/>
  <c r="AF728" i="651"/>
  <c r="AF684" i="651"/>
  <c r="AG671" i="651"/>
  <c r="AF598" i="651"/>
  <c r="AF578" i="651"/>
  <c r="AO732" i="651"/>
  <c r="AK671" i="651"/>
  <c r="AO661" i="651"/>
  <c r="AK631" i="651"/>
  <c r="AM618" i="651"/>
  <c r="AI588" i="651"/>
  <c r="AO573" i="651"/>
  <c r="N216" i="651"/>
  <c r="AY157" i="4"/>
  <c r="Q17" i="650"/>
  <c r="AI38" i="4"/>
  <c r="F341" i="6"/>
  <c r="F357" i="6" s="1"/>
  <c r="F356" i="15"/>
  <c r="F358" i="15"/>
  <c r="J913" i="3"/>
  <c r="K37" i="5" s="1"/>
  <c r="N752" i="3"/>
  <c r="O30" i="5" s="1"/>
  <c r="Q232" i="3"/>
  <c r="J232" i="3"/>
  <c r="AS735" i="651"/>
  <c r="AI735" i="651"/>
  <c r="AT735" i="651" s="1"/>
  <c r="AN563" i="651"/>
  <c r="Z13" i="641"/>
  <c r="Z16" i="641" s="1"/>
  <c r="F22" i="15"/>
  <c r="F23" i="6" s="1"/>
  <c r="AA15" i="641"/>
  <c r="AE15" i="670" s="1"/>
  <c r="F60" i="15"/>
  <c r="AS718" i="651"/>
  <c r="AS692" i="651"/>
  <c r="AK689" i="651"/>
  <c r="AQ666" i="651"/>
  <c r="AS664" i="651"/>
  <c r="AO651" i="651"/>
  <c r="AS644" i="651"/>
  <c r="AS596" i="651"/>
  <c r="AI596" i="651"/>
  <c r="AI598" i="651" s="1"/>
  <c r="AQ578" i="651"/>
  <c r="AQ558" i="651"/>
  <c r="AS537" i="651"/>
  <c r="AK536" i="651"/>
  <c r="AT536" i="651" s="1"/>
  <c r="AS536" i="651"/>
  <c r="AM533" i="651"/>
  <c r="L833" i="3"/>
  <c r="M32" i="5" s="1"/>
  <c r="P833" i="3"/>
  <c r="Q32" i="5" s="1"/>
  <c r="Q355" i="3"/>
  <c r="J355" i="3"/>
  <c r="O232" i="3"/>
  <c r="AS635" i="651"/>
  <c r="AI692" i="651"/>
  <c r="AI694" i="651" s="1"/>
  <c r="AT664" i="651"/>
  <c r="AP736" i="651"/>
  <c r="AF588" i="651"/>
  <c r="AI519" i="651"/>
  <c r="AI521" i="651" s="1"/>
  <c r="AI718" i="651"/>
  <c r="AC42" i="641"/>
  <c r="AC44" i="641" s="1"/>
  <c r="F251" i="15"/>
  <c r="F252" i="6" s="1"/>
  <c r="Z43" i="641"/>
  <c r="Z44" i="641" s="1"/>
  <c r="F263" i="15"/>
  <c r="F264" i="6" s="1"/>
  <c r="R232" i="3"/>
  <c r="AP558" i="651"/>
  <c r="AI568" i="651"/>
  <c r="F355" i="3"/>
  <c r="P203" i="3"/>
  <c r="F247" i="15"/>
  <c r="AS634" i="651"/>
  <c r="AS755" i="651"/>
  <c r="AS519" i="651"/>
  <c r="R208" i="651"/>
  <c r="N100" i="651"/>
  <c r="H1222" i="6"/>
  <c r="H68" i="2"/>
  <c r="F178" i="6"/>
  <c r="F271" i="6"/>
  <c r="AQ724" i="651"/>
  <c r="AF720" i="651"/>
  <c r="AQ712" i="651"/>
  <c r="AP684" i="651"/>
  <c r="AO538" i="651"/>
  <c r="AI533" i="651"/>
  <c r="P105" i="651"/>
  <c r="AS649" i="651"/>
  <c r="AJ631" i="651"/>
  <c r="AN724" i="651"/>
  <c r="AP537" i="651"/>
  <c r="AP622" i="651" s="1"/>
  <c r="AC19" i="641"/>
  <c r="AC20" i="641" s="1"/>
  <c r="F100" i="15"/>
  <c r="F101" i="6" s="1"/>
  <c r="Z29" i="641"/>
  <c r="F157" i="15"/>
  <c r="F158" i="6" s="1"/>
  <c r="AC52" i="641"/>
  <c r="F287" i="15"/>
  <c r="F288" i="6" s="1"/>
  <c r="AL720" i="651"/>
  <c r="AS582" i="651"/>
  <c r="AL578" i="651"/>
  <c r="AN553" i="651"/>
  <c r="AP548" i="651"/>
  <c r="AS526" i="651"/>
  <c r="N1244" i="6"/>
  <c r="H366" i="6"/>
  <c r="F276" i="15"/>
  <c r="F277" i="6" s="1"/>
  <c r="F324" i="6" s="1"/>
  <c r="AS670" i="651"/>
  <c r="AJ538" i="651"/>
  <c r="AK583" i="651"/>
  <c r="AN631" i="651"/>
  <c r="AP646" i="651"/>
  <c r="AJ553" i="651"/>
  <c r="AI644" i="651"/>
  <c r="AI646" i="651" s="1"/>
  <c r="AS587" i="651"/>
  <c r="AM732" i="651"/>
  <c r="F130" i="15"/>
  <c r="F131" i="6" s="1"/>
  <c r="Z27" i="641"/>
  <c r="P106" i="650"/>
  <c r="P123" i="650"/>
  <c r="F1123" i="6"/>
  <c r="O237" i="650"/>
  <c r="AD237" i="650" s="1"/>
  <c r="AD238" i="650" s="1"/>
  <c r="N240" i="651"/>
  <c r="P138" i="651"/>
  <c r="R45" i="651"/>
  <c r="K355" i="3"/>
  <c r="AO568" i="651"/>
  <c r="AH588" i="651"/>
  <c r="AP598" i="651"/>
  <c r="AJ748" i="651"/>
  <c r="AJ613" i="651"/>
  <c r="AN671" i="651"/>
  <c r="AF618" i="651"/>
  <c r="P204" i="651"/>
  <c r="AI631" i="651"/>
  <c r="AG593" i="651"/>
  <c r="AJ641" i="651"/>
  <c r="AI651" i="651"/>
  <c r="AI563" i="651"/>
  <c r="AQ740" i="651"/>
  <c r="AF538" i="651"/>
  <c r="O166" i="651"/>
  <c r="O138" i="651"/>
  <c r="Q123" i="651"/>
  <c r="R90" i="651"/>
  <c r="Q45" i="651"/>
  <c r="P20" i="651"/>
  <c r="AH583" i="651"/>
  <c r="AP578" i="651"/>
  <c r="AH608" i="651"/>
  <c r="AH689" i="651"/>
  <c r="AJ732" i="651"/>
  <c r="AL548" i="651"/>
  <c r="AI703" i="651"/>
  <c r="AH740" i="651"/>
  <c r="AG716" i="651"/>
  <c r="AF671" i="651"/>
  <c r="AF593" i="651"/>
  <c r="AL636" i="651"/>
  <c r="AQ563" i="651"/>
  <c r="AI583" i="651"/>
  <c r="AI603" i="651"/>
  <c r="AN740" i="651"/>
  <c r="P248" i="651"/>
  <c r="O232" i="651"/>
  <c r="O204" i="651"/>
  <c r="O95" i="651"/>
  <c r="P70" i="651"/>
  <c r="Q35" i="651"/>
  <c r="N20" i="651"/>
  <c r="F169" i="6"/>
  <c r="F124" i="6"/>
  <c r="F57" i="6"/>
  <c r="K1222" i="3"/>
  <c r="K889" i="3"/>
  <c r="L33" i="5" s="1"/>
  <c r="AG728" i="651"/>
  <c r="AH684" i="651"/>
  <c r="AF573" i="651"/>
  <c r="AF528" i="651"/>
  <c r="Y42" i="641"/>
  <c r="AA53" i="641"/>
  <c r="T460" i="641"/>
  <c r="Y29" i="641"/>
  <c r="H637" i="6"/>
  <c r="H636" i="6"/>
  <c r="H22" i="2" s="1"/>
  <c r="N1243" i="6"/>
  <c r="O1205" i="3"/>
  <c r="M1222" i="3"/>
  <c r="L24" i="2"/>
  <c r="F889" i="3"/>
  <c r="G33" i="5" s="1"/>
  <c r="K752" i="3"/>
  <c r="L30" i="5" s="1"/>
  <c r="AK684" i="651"/>
  <c r="AO528" i="651"/>
  <c r="Q244" i="651"/>
  <c r="Q240" i="651"/>
  <c r="O236" i="651"/>
  <c r="O220" i="651"/>
  <c r="Q208" i="651"/>
  <c r="R204" i="651"/>
  <c r="N191" i="651"/>
  <c r="Q163" i="651"/>
  <c r="N148" i="651"/>
  <c r="P85" i="651"/>
  <c r="N85" i="651"/>
  <c r="R80" i="651"/>
  <c r="P75" i="651"/>
  <c r="Q65" i="651"/>
  <c r="Q50" i="651"/>
  <c r="P45" i="651"/>
  <c r="N45" i="651"/>
  <c r="N25" i="651"/>
  <c r="AS754" i="651"/>
  <c r="AQ748" i="651"/>
  <c r="AS746" i="651"/>
  <c r="AM740" i="651"/>
  <c r="AO736" i="651"/>
  <c r="AQ732" i="651"/>
  <c r="AS730" i="651"/>
  <c r="AO720" i="651"/>
  <c r="AM699" i="651"/>
  <c r="AO694" i="651"/>
  <c r="AS688" i="651"/>
  <c r="AJ703" i="651"/>
  <c r="AS682" i="651"/>
  <c r="AM671" i="651"/>
  <c r="AO666" i="651"/>
  <c r="AS660" i="651"/>
  <c r="AI661" i="651"/>
  <c r="AI641" i="651"/>
  <c r="AK636" i="651"/>
  <c r="AO618" i="651"/>
  <c r="AI613" i="651"/>
  <c r="AS601" i="651"/>
  <c r="AO598" i="651"/>
  <c r="AM583" i="651"/>
  <c r="AO578" i="651"/>
  <c r="AS566" i="651"/>
  <c r="AS562" i="651"/>
  <c r="AQ553" i="651"/>
  <c r="AS551" i="651"/>
  <c r="AM543" i="651"/>
  <c r="AI538" i="651"/>
  <c r="AS527" i="651"/>
  <c r="Q248" i="651"/>
  <c r="R240" i="651"/>
  <c r="R236" i="651"/>
  <c r="P228" i="651"/>
  <c r="Q216" i="651"/>
  <c r="N163" i="651"/>
  <c r="O158" i="651"/>
  <c r="P128" i="651"/>
  <c r="N128" i="651"/>
  <c r="R123" i="651"/>
  <c r="N105" i="651"/>
  <c r="Q90" i="651"/>
  <c r="Q85" i="651"/>
  <c r="O85" i="651"/>
  <c r="R65" i="651"/>
  <c r="R20" i="651"/>
  <c r="F88" i="6"/>
  <c r="F93" i="6" s="1"/>
  <c r="AX241" i="3"/>
  <c r="F275" i="6"/>
  <c r="M1205" i="3"/>
  <c r="L1205" i="3"/>
  <c r="AQ583" i="651"/>
  <c r="AL699" i="651"/>
  <c r="AM724" i="651"/>
  <c r="AF716" i="651"/>
  <c r="AI684" i="651"/>
  <c r="AJ636" i="651"/>
  <c r="AO744" i="651"/>
  <c r="AH744" i="651"/>
  <c r="T445" i="641"/>
  <c r="F92" i="15"/>
  <c r="F214" i="15"/>
  <c r="F228" i="15"/>
  <c r="AD58" i="641"/>
  <c r="AG583" i="651"/>
  <c r="AO593" i="651"/>
  <c r="AL608" i="651"/>
  <c r="AH703" i="651"/>
  <c r="AK740" i="651"/>
  <c r="AK646" i="651"/>
  <c r="AM563" i="651"/>
  <c r="AJ533" i="651"/>
  <c r="AM694" i="651"/>
  <c r="Y33" i="641"/>
  <c r="P252" i="651"/>
  <c r="P244" i="651"/>
  <c r="P166" i="651"/>
  <c r="Q114" i="651"/>
  <c r="F338" i="15"/>
  <c r="F134" i="15"/>
  <c r="F135" i="6" s="1"/>
  <c r="F159" i="15"/>
  <c r="F42" i="15"/>
  <c r="K805" i="3"/>
  <c r="L31" i="5" s="1"/>
  <c r="AS607" i="651"/>
  <c r="AS751" i="651"/>
  <c r="AS734" i="651"/>
  <c r="AG553" i="651"/>
  <c r="AL533" i="651"/>
  <c r="AL563" i="651"/>
  <c r="AN573" i="651"/>
  <c r="AL593" i="651"/>
  <c r="AH641" i="651"/>
  <c r="AQ651" i="651"/>
  <c r="AM748" i="651"/>
  <c r="AM553" i="651"/>
  <c r="AK558" i="651"/>
  <c r="AJ608" i="651"/>
  <c r="AM703" i="651"/>
  <c r="AI728" i="651"/>
  <c r="AK724" i="651"/>
  <c r="AF661" i="651"/>
  <c r="AS640" i="651"/>
  <c r="O13" i="651"/>
  <c r="AG261" i="4"/>
  <c r="F317" i="15"/>
  <c r="F318" i="6" s="1"/>
  <c r="F330" i="6" s="1"/>
  <c r="F161" i="15"/>
  <c r="F162" i="6" s="1"/>
  <c r="F260" i="15"/>
  <c r="F261" i="6" s="1"/>
  <c r="F209" i="15"/>
  <c r="F210" i="6" s="1"/>
  <c r="F229" i="6" s="1"/>
  <c r="F148" i="15"/>
  <c r="F149" i="6" s="1"/>
  <c r="AS581" i="651"/>
  <c r="AS687" i="651"/>
  <c r="AS645" i="651"/>
  <c r="AJ521" i="651"/>
  <c r="AQ548" i="651"/>
  <c r="AP593" i="651"/>
  <c r="AP613" i="651"/>
  <c r="AP641" i="651"/>
  <c r="AQ699" i="651"/>
  <c r="AI543" i="651"/>
  <c r="AM593" i="651"/>
  <c r="AN736" i="651"/>
  <c r="AP728" i="651"/>
  <c r="P113" i="651"/>
  <c r="P25" i="651"/>
  <c r="H1227" i="6"/>
  <c r="H1259" i="6" s="1"/>
  <c r="F151" i="6"/>
  <c r="F156" i="6" s="1"/>
  <c r="F301" i="15"/>
  <c r="F145" i="15"/>
  <c r="F146" i="6" s="1"/>
  <c r="F19" i="15"/>
  <c r="F20" i="6" s="1"/>
  <c r="AO553" i="651"/>
  <c r="AJ568" i="651"/>
  <c r="AK598" i="651"/>
  <c r="AM646" i="651"/>
  <c r="AG603" i="651"/>
  <c r="AM689" i="651"/>
  <c r="AJ720" i="651"/>
  <c r="AJ563" i="651"/>
  <c r="AP573" i="651"/>
  <c r="AQ588" i="651"/>
  <c r="AN646" i="651"/>
  <c r="AM666" i="651"/>
  <c r="AI744" i="651"/>
  <c r="AL671" i="651"/>
  <c r="AF651" i="651"/>
  <c r="AS602" i="651"/>
  <c r="AS567" i="651"/>
  <c r="AT649" i="651"/>
  <c r="AS611" i="651"/>
  <c r="AG533" i="651"/>
  <c r="AK543" i="651"/>
  <c r="AN558" i="651"/>
  <c r="AM538" i="651"/>
  <c r="AP588" i="651"/>
  <c r="AN720" i="651"/>
  <c r="AP716" i="651"/>
  <c r="AL558" i="651"/>
  <c r="AI724" i="651"/>
  <c r="AN752" i="651"/>
  <c r="AO716" i="651"/>
  <c r="AS715" i="651"/>
  <c r="AT723" i="651"/>
  <c r="P195" i="651"/>
  <c r="P181" i="651"/>
  <c r="AB54" i="641"/>
  <c r="AB61" i="641" s="1"/>
  <c r="AB75" i="641" s="1"/>
  <c r="O195" i="651"/>
  <c r="N186" i="651"/>
  <c r="Q153" i="651"/>
  <c r="R148" i="651"/>
  <c r="R105" i="651"/>
  <c r="O60" i="651"/>
  <c r="P253" i="651"/>
  <c r="R232" i="651"/>
  <c r="N220" i="651"/>
  <c r="Q212" i="651"/>
  <c r="P208" i="651"/>
  <c r="P163" i="651"/>
  <c r="P153" i="651"/>
  <c r="P133" i="651"/>
  <c r="N123" i="651"/>
  <c r="P110" i="651"/>
  <c r="P90" i="651"/>
  <c r="N60" i="651"/>
  <c r="P50" i="651"/>
  <c r="X54" i="641"/>
  <c r="X68" i="641" s="1"/>
  <c r="X59" i="641"/>
  <c r="P216" i="651"/>
  <c r="O208" i="651"/>
  <c r="P186" i="651"/>
  <c r="P176" i="651"/>
  <c r="O153" i="651"/>
  <c r="P143" i="651"/>
  <c r="O133" i="651"/>
  <c r="Q128" i="651"/>
  <c r="O110" i="651"/>
  <c r="P100" i="651"/>
  <c r="P95" i="651"/>
  <c r="O90" i="651"/>
  <c r="R70" i="651"/>
  <c r="O50" i="651"/>
  <c r="Q40" i="651"/>
  <c r="P30" i="651"/>
  <c r="P232" i="651"/>
  <c r="P224" i="651"/>
  <c r="O216" i="651"/>
  <c r="O186" i="651"/>
  <c r="O176" i="651"/>
  <c r="R163" i="651"/>
  <c r="O143" i="651"/>
  <c r="P123" i="651"/>
  <c r="O100" i="651"/>
  <c r="N80" i="651"/>
  <c r="Q70" i="651"/>
  <c r="P40" i="651"/>
  <c r="O30" i="651"/>
  <c r="P13" i="651"/>
  <c r="L203" i="3"/>
  <c r="F111" i="6"/>
  <c r="AG538" i="651"/>
  <c r="AQ528" i="651"/>
  <c r="AL528" i="651"/>
  <c r="F65" i="15"/>
  <c r="Y15" i="641"/>
  <c r="Y32" i="641"/>
  <c r="Y57" i="641"/>
  <c r="F83" i="15"/>
  <c r="F110" i="15"/>
  <c r="F164" i="15"/>
  <c r="AA59" i="641"/>
  <c r="T422" i="641"/>
  <c r="R833" i="3"/>
  <c r="S32" i="5" s="1"/>
  <c r="N244" i="651"/>
  <c r="Q236" i="651"/>
  <c r="N232" i="651"/>
  <c r="Q228" i="651"/>
  <c r="O228" i="651"/>
  <c r="R224" i="651"/>
  <c r="R220" i="651"/>
  <c r="H1226" i="6"/>
  <c r="H1258" i="6" s="1"/>
  <c r="H834" i="6"/>
  <c r="H806" i="6"/>
  <c r="H29" i="2" s="1"/>
  <c r="H17" i="2"/>
  <c r="H509" i="6"/>
  <c r="H355" i="6"/>
  <c r="H203" i="6"/>
  <c r="Q913" i="3"/>
  <c r="R37" i="5" s="1"/>
  <c r="L913" i="3"/>
  <c r="M37" i="5" s="1"/>
  <c r="M833" i="3"/>
  <c r="N32" i="5" s="1"/>
  <c r="F752" i="3"/>
  <c r="G30" i="5" s="1"/>
  <c r="Q509" i="3"/>
  <c r="N509" i="3"/>
  <c r="L509" i="3"/>
  <c r="O509" i="3"/>
  <c r="F509" i="3"/>
  <c r="AX354" i="3"/>
  <c r="M355" i="3"/>
  <c r="F232" i="3"/>
  <c r="M203" i="3"/>
  <c r="L18" i="12"/>
  <c r="AM756" i="651"/>
  <c r="AT567" i="651"/>
  <c r="AH568" i="651"/>
  <c r="AP568" i="651"/>
  <c r="AT572" i="651"/>
  <c r="AH631" i="651"/>
  <c r="AG636" i="651"/>
  <c r="AS750" i="651"/>
  <c r="AL748" i="651"/>
  <c r="AJ736" i="651"/>
  <c r="AL732" i="651"/>
  <c r="AS723" i="651"/>
  <c r="AS722" i="651"/>
  <c r="AQ720" i="651"/>
  <c r="AS697" i="651"/>
  <c r="AJ694" i="651"/>
  <c r="AS683" i="651"/>
  <c r="AS669" i="651"/>
  <c r="AS659" i="651"/>
  <c r="AS650" i="651"/>
  <c r="AN636" i="651"/>
  <c r="AP603" i="651"/>
  <c r="AJ598" i="651"/>
  <c r="AS591" i="651"/>
  <c r="AP583" i="651"/>
  <c r="AS572" i="651"/>
  <c r="AS561" i="651"/>
  <c r="AS552" i="651"/>
  <c r="AL553" i="651"/>
  <c r="AS546" i="651"/>
  <c r="AS532" i="651"/>
  <c r="AS531" i="651"/>
  <c r="O244" i="651"/>
  <c r="O212" i="651"/>
  <c r="N204" i="651"/>
  <c r="Q191" i="651"/>
  <c r="O191" i="651"/>
  <c r="R186" i="651"/>
  <c r="R181" i="651"/>
  <c r="P194" i="651"/>
  <c r="Q143" i="651"/>
  <c r="Q167" i="651"/>
  <c r="R133" i="651"/>
  <c r="O128" i="651"/>
  <c r="Q110" i="651"/>
  <c r="Q100" i="651"/>
  <c r="Q75" i="651"/>
  <c r="O75" i="651"/>
  <c r="N70" i="651"/>
  <c r="O65" i="651"/>
  <c r="R60" i="651"/>
  <c r="R55" i="651"/>
  <c r="R50" i="651"/>
  <c r="R40" i="651"/>
  <c r="N35" i="651"/>
  <c r="Q25" i="651"/>
  <c r="O25" i="651"/>
  <c r="Q13" i="651"/>
  <c r="P236" i="651"/>
  <c r="N228" i="651"/>
  <c r="Q224" i="651"/>
  <c r="R216" i="651"/>
  <c r="N212" i="651"/>
  <c r="Q186" i="651"/>
  <c r="Q195" i="651"/>
  <c r="Q158" i="651"/>
  <c r="R167" i="651"/>
  <c r="Q148" i="651"/>
  <c r="O148" i="651"/>
  <c r="R143" i="651"/>
  <c r="R138" i="651"/>
  <c r="N110" i="651"/>
  <c r="Q105" i="651"/>
  <c r="O105" i="651"/>
  <c r="R100" i="651"/>
  <c r="R75" i="651"/>
  <c r="Q60" i="651"/>
  <c r="Q55" i="651"/>
  <c r="O35" i="651"/>
  <c r="Q20" i="651"/>
  <c r="R13" i="651"/>
  <c r="I250" i="6"/>
  <c r="E250" i="6"/>
  <c r="N95" i="651"/>
  <c r="O45" i="651"/>
  <c r="O113" i="651"/>
  <c r="P1205" i="3"/>
  <c r="P1222" i="3"/>
  <c r="L752" i="3"/>
  <c r="M30" i="5" s="1"/>
  <c r="P752" i="3"/>
  <c r="Q30" i="5" s="1"/>
  <c r="N355" i="3"/>
  <c r="Q1205" i="3"/>
  <c r="I241" i="6"/>
  <c r="N241" i="6" s="1"/>
  <c r="J203" i="3"/>
  <c r="AK588" i="651"/>
  <c r="AQ694" i="651"/>
  <c r="AN699" i="651"/>
  <c r="AQ636" i="651"/>
  <c r="F196" i="6"/>
  <c r="N55" i="6"/>
  <c r="U55" i="6" s="1"/>
  <c r="M55" i="6"/>
  <c r="R55" i="6" s="1"/>
  <c r="J1205" i="3"/>
  <c r="N1222" i="3"/>
  <c r="O752" i="3"/>
  <c r="P30" i="5" s="1"/>
  <c r="Q752" i="3"/>
  <c r="R30" i="5" s="1"/>
  <c r="J752" i="3"/>
  <c r="K30" i="5" s="1"/>
  <c r="P509" i="3"/>
  <c r="H363" i="6"/>
  <c r="H361" i="6" s="1"/>
  <c r="F97" i="6"/>
  <c r="H753" i="6"/>
  <c r="P220" i="650"/>
  <c r="I259" i="6"/>
  <c r="N259" i="6" s="1"/>
  <c r="E259" i="6"/>
  <c r="P232" i="3"/>
  <c r="AX259" i="3"/>
  <c r="I345" i="6"/>
  <c r="E345" i="6"/>
  <c r="H327" i="6"/>
  <c r="M509" i="3"/>
  <c r="J509" i="3"/>
  <c r="O20" i="651"/>
  <c r="O114" i="651"/>
  <c r="AT582" i="651"/>
  <c r="AL583" i="651"/>
  <c r="AQ661" i="651"/>
  <c r="AK720" i="651"/>
  <c r="AT597" i="651"/>
  <c r="AO752" i="651"/>
  <c r="AB13" i="641"/>
  <c r="F17" i="15"/>
  <c r="F20" i="15" s="1"/>
  <c r="F29" i="15"/>
  <c r="F26" i="15"/>
  <c r="F27" i="6" s="1"/>
  <c r="F30" i="6" s="1"/>
  <c r="AN548" i="651"/>
  <c r="AK563" i="651"/>
  <c r="AH538" i="651"/>
  <c r="K1205" i="3"/>
  <c r="AM573" i="651"/>
  <c r="AI573" i="651"/>
  <c r="AJ603" i="651"/>
  <c r="K232" i="3"/>
  <c r="K509" i="3"/>
  <c r="AH593" i="651"/>
  <c r="AN533" i="651"/>
  <c r="AG748" i="651"/>
  <c r="Y27" i="641"/>
  <c r="T458" i="641"/>
  <c r="AB31" i="641"/>
  <c r="AD31" i="641" s="1"/>
  <c r="F146" i="15"/>
  <c r="AC33" i="641"/>
  <c r="AD33" i="641" s="1"/>
  <c r="F172" i="15"/>
  <c r="F173" i="6" s="1"/>
  <c r="Z30" i="641"/>
  <c r="F184" i="15"/>
  <c r="F185" i="6" s="1"/>
  <c r="F235" i="15"/>
  <c r="F233" i="15"/>
  <c r="F216" i="15"/>
  <c r="F217" i="6" s="1"/>
  <c r="AA41" i="641"/>
  <c r="F238" i="15"/>
  <c r="T484" i="641"/>
  <c r="Y53" i="641"/>
  <c r="Y54" i="641" s="1"/>
  <c r="F84" i="6"/>
  <c r="AK578" i="651"/>
  <c r="AL618" i="651"/>
  <c r="AT650" i="651"/>
  <c r="AP671" i="651"/>
  <c r="AG613" i="651"/>
  <c r="AJ263" i="650"/>
  <c r="AK260" i="4"/>
  <c r="AK261" i="4" s="1"/>
  <c r="T462" i="641"/>
  <c r="Y31" i="641"/>
  <c r="F223" i="15"/>
  <c r="F220" i="15"/>
  <c r="F221" i="6" s="1"/>
  <c r="F230" i="6" s="1"/>
  <c r="AA52" i="641"/>
  <c r="F283" i="15"/>
  <c r="AN521" i="651"/>
  <c r="AH553" i="651"/>
  <c r="AL702" i="651"/>
  <c r="AJ543" i="651"/>
  <c r="AG740" i="651"/>
  <c r="Q194" i="651"/>
  <c r="Q176" i="651"/>
  <c r="N114" i="651"/>
  <c r="AH578" i="651"/>
  <c r="AH646" i="651"/>
  <c r="AQ543" i="651"/>
  <c r="AJ593" i="651"/>
  <c r="AN598" i="651"/>
  <c r="AH761" i="651"/>
  <c r="AG760" i="651"/>
  <c r="AT552" i="651"/>
  <c r="AT532" i="651"/>
  <c r="F47" i="15"/>
  <c r="F46" i="15"/>
  <c r="AK747" i="651"/>
  <c r="AK748" i="651" s="1"/>
  <c r="AS747" i="651"/>
  <c r="AM743" i="651"/>
  <c r="AM744" i="651" s="1"/>
  <c r="AS743" i="651"/>
  <c r="AN742" i="651"/>
  <c r="AN744" i="651" s="1"/>
  <c r="AS742" i="651"/>
  <c r="AO739" i="651"/>
  <c r="AO761" i="651" s="1"/>
  <c r="AS739" i="651"/>
  <c r="AP738" i="651"/>
  <c r="AP740" i="651" s="1"/>
  <c r="AS738" i="651"/>
  <c r="AK731" i="651"/>
  <c r="AK732" i="651" s="1"/>
  <c r="AS731" i="651"/>
  <c r="AS727" i="651"/>
  <c r="AM727" i="651"/>
  <c r="AM728" i="651" s="1"/>
  <c r="AN726" i="651"/>
  <c r="AN728" i="651" s="1"/>
  <c r="AS726" i="651"/>
  <c r="AS719" i="651"/>
  <c r="AI719" i="651"/>
  <c r="AL714" i="651"/>
  <c r="AL716" i="651" s="1"/>
  <c r="AS711" i="651"/>
  <c r="AM711" i="651"/>
  <c r="AM712" i="651" s="1"/>
  <c r="AO698" i="651"/>
  <c r="AT698" i="651" s="1"/>
  <c r="AS698" i="651"/>
  <c r="AS693" i="651"/>
  <c r="AL639" i="651"/>
  <c r="AL641" i="651" s="1"/>
  <c r="AO630" i="651"/>
  <c r="AO631" i="651" s="1"/>
  <c r="AS630" i="651"/>
  <c r="AP629" i="651"/>
  <c r="AP631" i="651" s="1"/>
  <c r="AS629" i="651"/>
  <c r="AI617" i="651"/>
  <c r="AI618" i="651" s="1"/>
  <c r="AS617" i="651"/>
  <c r="AK612" i="651"/>
  <c r="AK613" i="651" s="1"/>
  <c r="AS612" i="651"/>
  <c r="AL613" i="651"/>
  <c r="AN606" i="651"/>
  <c r="AN608" i="651" s="1"/>
  <c r="AS606" i="651"/>
  <c r="AS597" i="651"/>
  <c r="AK592" i="651"/>
  <c r="AT592" i="651" s="1"/>
  <c r="AS592" i="651"/>
  <c r="AS586" i="651"/>
  <c r="AN586" i="651"/>
  <c r="AT586" i="651" s="1"/>
  <c r="AI577" i="651"/>
  <c r="AI578" i="651" s="1"/>
  <c r="AS577" i="651"/>
  <c r="AJ576" i="651"/>
  <c r="AJ578" i="651" s="1"/>
  <c r="AS576" i="651"/>
  <c r="AS571" i="651"/>
  <c r="AL571" i="651"/>
  <c r="AL573" i="651" s="1"/>
  <c r="AN568" i="651"/>
  <c r="AI557" i="651"/>
  <c r="AI558" i="651" s="1"/>
  <c r="AS557" i="651"/>
  <c r="AJ556" i="651"/>
  <c r="AJ558" i="651" s="1"/>
  <c r="AS556" i="651"/>
  <c r="AM547" i="651"/>
  <c r="AT547" i="651" s="1"/>
  <c r="AS547" i="651"/>
  <c r="AS542" i="651"/>
  <c r="AO542" i="651"/>
  <c r="AO543" i="651" s="1"/>
  <c r="AP541" i="651"/>
  <c r="AP543" i="651" s="1"/>
  <c r="AS541" i="651"/>
  <c r="AS518" i="651"/>
  <c r="AP518" i="651"/>
  <c r="AP521" i="651" s="1"/>
  <c r="N153" i="651"/>
  <c r="N166" i="651"/>
  <c r="Q133" i="651"/>
  <c r="Q166" i="651"/>
  <c r="AQ521" i="651"/>
  <c r="AN538" i="651"/>
  <c r="AH622" i="651"/>
  <c r="AQ538" i="651"/>
  <c r="AM636" i="651"/>
  <c r="AJ728" i="651"/>
  <c r="AH548" i="651"/>
  <c r="AN543" i="651"/>
  <c r="AM588" i="651"/>
  <c r="AN603" i="651"/>
  <c r="AQ618" i="651"/>
  <c r="AM613" i="651"/>
  <c r="AQ703" i="651"/>
  <c r="AF740" i="651"/>
  <c r="AK716" i="651"/>
  <c r="AF636" i="651"/>
  <c r="AF568" i="651"/>
  <c r="N50" i="651"/>
  <c r="AG563" i="651"/>
  <c r="AL622" i="651"/>
  <c r="AH543" i="651"/>
  <c r="AP553" i="651"/>
  <c r="AK573" i="651"/>
  <c r="AO583" i="651"/>
  <c r="AL598" i="651"/>
  <c r="AH618" i="651"/>
  <c r="AK703" i="651"/>
  <c r="AI699" i="651"/>
  <c r="AG646" i="651"/>
  <c r="AQ533" i="651"/>
  <c r="AJ622" i="651"/>
  <c r="AK548" i="651"/>
  <c r="AI608" i="651"/>
  <c r="AN578" i="651"/>
  <c r="AQ716" i="651"/>
  <c r="AQ736" i="651"/>
  <c r="AI752" i="651"/>
  <c r="AO724" i="651"/>
  <c r="AP720" i="651"/>
  <c r="AA13" i="641"/>
  <c r="AE13" i="670" s="1"/>
  <c r="N208" i="651"/>
  <c r="AQ622" i="651"/>
  <c r="AK553" i="651"/>
  <c r="AO563" i="651"/>
  <c r="AH533" i="651"/>
  <c r="AM558" i="651"/>
  <c r="AK568" i="651"/>
  <c r="AH603" i="651"/>
  <c r="AL588" i="651"/>
  <c r="AP618" i="651"/>
  <c r="AQ641" i="651"/>
  <c r="AI689" i="651"/>
  <c r="AO521" i="651"/>
  <c r="AQ608" i="651"/>
  <c r="AI593" i="651"/>
  <c r="AQ752" i="651"/>
  <c r="AF732" i="651"/>
  <c r="AG724" i="651"/>
  <c r="AT562" i="651"/>
  <c r="Y13" i="641"/>
  <c r="Y8" i="670" s="1"/>
  <c r="T444" i="641"/>
  <c r="AK533" i="651"/>
  <c r="AP533" i="651"/>
  <c r="AQ689" i="651"/>
  <c r="AH752" i="651"/>
  <c r="AQ573" i="651"/>
  <c r="AM568" i="651"/>
  <c r="AJ583" i="651"/>
  <c r="AQ593" i="651"/>
  <c r="AK641" i="651"/>
  <c r="AT670" i="651"/>
  <c r="AK699" i="651"/>
  <c r="AF736" i="651"/>
  <c r="T475" i="641"/>
  <c r="R203" i="3"/>
  <c r="AH558" i="651"/>
  <c r="AH521" i="651"/>
  <c r="AO558" i="651"/>
  <c r="AQ568" i="651"/>
  <c r="AN583" i="651"/>
  <c r="AQ598" i="651"/>
  <c r="AG641" i="651"/>
  <c r="AJ661" i="651"/>
  <c r="AK744" i="651"/>
  <c r="AM752" i="651"/>
  <c r="AO748" i="651"/>
  <c r="AO728" i="651"/>
  <c r="AO671" i="651"/>
  <c r="AF641" i="651"/>
  <c r="AF608" i="651"/>
  <c r="Y19" i="641"/>
  <c r="Y20" i="641" s="1"/>
  <c r="AA29" i="641"/>
  <c r="AD29" i="641" s="1"/>
  <c r="F155" i="15"/>
  <c r="F182" i="15"/>
  <c r="T428" i="641"/>
  <c r="T407" i="641"/>
  <c r="AV81" i="647"/>
  <c r="AU143" i="647"/>
  <c r="AV143" i="647" s="1"/>
  <c r="N224" i="651"/>
  <c r="N181" i="651"/>
  <c r="N167" i="651"/>
  <c r="R158" i="651"/>
  <c r="R166" i="651"/>
  <c r="N138" i="651"/>
  <c r="F128" i="15"/>
  <c r="AA27" i="641"/>
  <c r="F229" i="15"/>
  <c r="T397" i="641"/>
  <c r="N195" i="651"/>
  <c r="R194" i="651"/>
  <c r="O163" i="651"/>
  <c r="O167" i="651"/>
  <c r="N75" i="651"/>
  <c r="X44" i="641"/>
  <c r="X65" i="641"/>
  <c r="T417" i="641"/>
  <c r="T431" i="641" s="1"/>
  <c r="Q253" i="651"/>
  <c r="R244" i="651"/>
  <c r="Q232" i="651"/>
  <c r="R153" i="651"/>
  <c r="AK651" i="651"/>
  <c r="AM716" i="651"/>
  <c r="AI740" i="651"/>
  <c r="AM736" i="651"/>
  <c r="AH736" i="651"/>
  <c r="AL728" i="651"/>
  <c r="AH720" i="651"/>
  <c r="AF689" i="651"/>
  <c r="AT645" i="651"/>
  <c r="F191" i="15"/>
  <c r="T379" i="641"/>
  <c r="R212" i="651"/>
  <c r="Q30" i="651"/>
  <c r="R113" i="651"/>
  <c r="F279" i="15"/>
  <c r="F326" i="15" s="1"/>
  <c r="F230" i="15"/>
  <c r="F22" i="137"/>
  <c r="N253" i="651"/>
  <c r="R252" i="651"/>
  <c r="R248" i="651"/>
  <c r="Q220" i="651"/>
  <c r="Q181" i="651"/>
  <c r="R195" i="651"/>
  <c r="N176" i="651"/>
  <c r="N194" i="651"/>
  <c r="N158" i="651"/>
  <c r="Q138" i="651"/>
  <c r="N133" i="651"/>
  <c r="R95" i="651"/>
  <c r="N13" i="651"/>
  <c r="Z59" i="641"/>
  <c r="F74" i="15"/>
  <c r="F119" i="15"/>
  <c r="T490" i="641"/>
  <c r="Q252" i="651"/>
  <c r="Q204" i="651"/>
  <c r="Q95" i="651"/>
  <c r="N90" i="651"/>
  <c r="R35" i="651"/>
  <c r="Q113" i="651"/>
  <c r="N55" i="651"/>
  <c r="R114" i="651"/>
  <c r="N30" i="651"/>
  <c r="N113" i="651"/>
  <c r="X34" i="641"/>
  <c r="AD28" i="641"/>
  <c r="T483" i="641"/>
  <c r="F56" i="15"/>
  <c r="F137" i="15"/>
  <c r="R509" i="3"/>
  <c r="R253" i="651"/>
  <c r="N252" i="651"/>
  <c r="O194" i="651"/>
  <c r="X16" i="641"/>
  <c r="F38" i="15"/>
  <c r="F101" i="15"/>
  <c r="R913" i="3"/>
  <c r="S37" i="5" s="1"/>
  <c r="O253" i="651"/>
  <c r="O248" i="651"/>
  <c r="O252" i="651"/>
  <c r="P167" i="651"/>
  <c r="P114" i="651"/>
  <c r="AY38" i="4"/>
  <c r="F248" i="650"/>
  <c r="F228" i="650"/>
  <c r="I29" i="650"/>
  <c r="K258" i="650"/>
  <c r="F166" i="650"/>
  <c r="K72" i="650"/>
  <c r="AY239" i="4"/>
  <c r="F1067" i="6"/>
  <c r="H249" i="650"/>
  <c r="L61" i="650"/>
  <c r="P140" i="650"/>
  <c r="AY133" i="4"/>
  <c r="F1205" i="6"/>
  <c r="F1171" i="6"/>
  <c r="F56" i="650"/>
  <c r="J221" i="650"/>
  <c r="L250" i="650"/>
  <c r="AI116" i="4"/>
  <c r="AI239" i="4"/>
  <c r="F1191" i="6"/>
  <c r="I57" i="650"/>
  <c r="J101" i="650"/>
  <c r="I205" i="650"/>
  <c r="AI92" i="4"/>
  <c r="AG8" i="4"/>
  <c r="K100" i="650"/>
  <c r="AY246" i="4"/>
  <c r="O124" i="650"/>
  <c r="AY106" i="4"/>
  <c r="F1208" i="6"/>
  <c r="AL756" i="651"/>
  <c r="AG752" i="651"/>
  <c r="AQ702" i="651"/>
  <c r="AP666" i="651"/>
  <c r="AL666" i="651"/>
  <c r="AM528" i="651"/>
  <c r="AF563" i="651"/>
  <c r="AF543" i="651"/>
  <c r="AF533" i="651"/>
  <c r="AK756" i="651"/>
  <c r="AG699" i="651"/>
  <c r="AL684" i="651"/>
  <c r="AO702" i="651"/>
  <c r="AG651" i="651"/>
  <c r="AO621" i="651"/>
  <c r="AG528" i="651"/>
  <c r="AO684" i="651"/>
  <c r="AG720" i="651"/>
  <c r="AG761" i="651"/>
  <c r="AT722" i="651"/>
  <c r="AM684" i="651"/>
  <c r="AP702" i="651"/>
  <c r="AP748" i="651"/>
  <c r="AJ744" i="651"/>
  <c r="AG684" i="651"/>
  <c r="AF622" i="651"/>
  <c r="AB548" i="651"/>
  <c r="AJ752" i="651"/>
  <c r="AH760" i="651"/>
  <c r="AQ760" i="651"/>
  <c r="AH702" i="651"/>
  <c r="AH621" i="651"/>
  <c r="AG744" i="651"/>
  <c r="AM702" i="651"/>
  <c r="AH666" i="651"/>
  <c r="AM621" i="651"/>
  <c r="AK702" i="651"/>
  <c r="AT591" i="651"/>
  <c r="AJ528" i="651"/>
  <c r="AE631" i="651"/>
  <c r="AQ630" i="651"/>
  <c r="AE716" i="651"/>
  <c r="AA666" i="651"/>
  <c r="Z646" i="651"/>
  <c r="AE636" i="651"/>
  <c r="AA636" i="651"/>
  <c r="AD636" i="651"/>
  <c r="AB636" i="651"/>
  <c r="Z636" i="651"/>
  <c r="AI756" i="651"/>
  <c r="AP756" i="651"/>
  <c r="Z740" i="651"/>
  <c r="AA732" i="651"/>
  <c r="AC720" i="651"/>
  <c r="AD720" i="651"/>
  <c r="AB720" i="651"/>
  <c r="Z720" i="651"/>
  <c r="AB608" i="651"/>
  <c r="AD573" i="651"/>
  <c r="Z573" i="651"/>
  <c r="AE573" i="651"/>
  <c r="AC573" i="651"/>
  <c r="AA573" i="651"/>
  <c r="AT527" i="651"/>
  <c r="AG622" i="651"/>
  <c r="AH528" i="651"/>
  <c r="AN666" i="651"/>
  <c r="AJ684" i="651"/>
  <c r="AG618" i="651"/>
  <c r="AA752" i="651"/>
  <c r="AB744" i="651"/>
  <c r="Z699" i="651"/>
  <c r="Z684" i="651"/>
  <c r="AE671" i="651"/>
  <c r="AC618" i="651"/>
  <c r="AA618" i="651"/>
  <c r="AC558" i="651"/>
  <c r="AG732" i="651"/>
  <c r="AG702" i="651"/>
  <c r="AE736" i="651"/>
  <c r="AA736" i="651"/>
  <c r="AD699" i="651"/>
  <c r="AB651" i="651"/>
  <c r="AD646" i="651"/>
  <c r="AB646" i="651"/>
  <c r="AC646" i="651"/>
  <c r="Z631" i="651"/>
  <c r="AE598" i="651"/>
  <c r="AA593" i="651"/>
  <c r="AD588" i="651"/>
  <c r="AB588" i="651"/>
  <c r="Z588" i="651"/>
  <c r="AE588" i="651"/>
  <c r="AC588" i="651"/>
  <c r="AD583" i="651"/>
  <c r="AB583" i="651"/>
  <c r="AE583" i="651"/>
  <c r="AA583" i="651"/>
  <c r="AE563" i="651"/>
  <c r="AA563" i="651"/>
  <c r="AD563" i="651"/>
  <c r="AB563" i="651"/>
  <c r="AD533" i="651"/>
  <c r="Z533" i="651"/>
  <c r="AE761" i="651"/>
  <c r="AB760" i="651"/>
  <c r="Z760" i="651"/>
  <c r="AD752" i="651"/>
  <c r="AB761" i="651"/>
  <c r="Z752" i="651"/>
  <c r="AE752" i="651"/>
  <c r="AC752" i="651"/>
  <c r="AD728" i="651"/>
  <c r="AB728" i="651"/>
  <c r="AE728" i="651"/>
  <c r="AC728" i="651"/>
  <c r="AC661" i="651"/>
  <c r="AB631" i="651"/>
  <c r="AE603" i="651"/>
  <c r="AC603" i="651"/>
  <c r="AA603" i="651"/>
  <c r="AE578" i="651"/>
  <c r="AC578" i="651"/>
  <c r="AA578" i="651"/>
  <c r="AC568" i="651"/>
  <c r="AC553" i="651"/>
  <c r="AE548" i="651"/>
  <c r="AD543" i="651"/>
  <c r="Z543" i="651"/>
  <c r="AE543" i="651"/>
  <c r="AC543" i="651"/>
  <c r="AT611" i="651"/>
  <c r="AN756" i="651"/>
  <c r="AT746" i="651"/>
  <c r="F537" i="6"/>
  <c r="F973" i="6"/>
  <c r="AI219" i="4"/>
  <c r="B12" i="16"/>
  <c r="P89" i="650"/>
  <c r="O131" i="650"/>
  <c r="N135" i="650"/>
  <c r="M77" i="650"/>
  <c r="O169" i="650"/>
  <c r="O244" i="650"/>
  <c r="G237" i="650"/>
  <c r="K227" i="650"/>
  <c r="Z227" i="650" s="1"/>
  <c r="F221" i="650"/>
  <c r="Q167" i="650"/>
  <c r="K107" i="650"/>
  <c r="H89" i="650"/>
  <c r="R56" i="650"/>
  <c r="N8" i="650"/>
  <c r="R24" i="650"/>
  <c r="P257" i="650"/>
  <c r="I249" i="650"/>
  <c r="Q205" i="650"/>
  <c r="N166" i="650"/>
  <c r="N142" i="650"/>
  <c r="O117" i="650"/>
  <c r="F76" i="650"/>
  <c r="AT730" i="651"/>
  <c r="AT734" i="651"/>
  <c r="AT755" i="651"/>
  <c r="AT683" i="651"/>
  <c r="AT561" i="651"/>
  <c r="AG631" i="651"/>
  <c r="AP528" i="651"/>
  <c r="AN684" i="651"/>
  <c r="AO756" i="651"/>
  <c r="AE756" i="651"/>
  <c r="AD744" i="651"/>
  <c r="Z744" i="651"/>
  <c r="AE744" i="651"/>
  <c r="AC744" i="651"/>
  <c r="AC740" i="651"/>
  <c r="AB740" i="651"/>
  <c r="AB736" i="651"/>
  <c r="AC736" i="651"/>
  <c r="AC732" i="651"/>
  <c r="AB732" i="651"/>
  <c r="AD724" i="651"/>
  <c r="AB724" i="651"/>
  <c r="Z724" i="651"/>
  <c r="AB716" i="651"/>
  <c r="AC716" i="651"/>
  <c r="AA716" i="651"/>
  <c r="AA694" i="651"/>
  <c r="AB689" i="651"/>
  <c r="Z689" i="651"/>
  <c r="AC702" i="651"/>
  <c r="AB684" i="651"/>
  <c r="AA671" i="651"/>
  <c r="AE666" i="651"/>
  <c r="AD666" i="651"/>
  <c r="AD661" i="651"/>
  <c r="Z661" i="651"/>
  <c r="AE661" i="651"/>
  <c r="AA661" i="651"/>
  <c r="AE651" i="651"/>
  <c r="AA651" i="651"/>
  <c r="AD641" i="651"/>
  <c r="Z641" i="651"/>
  <c r="AE641" i="651"/>
  <c r="AC641" i="651"/>
  <c r="AA641" i="651"/>
  <c r="AA631" i="651"/>
  <c r="AD631" i="651"/>
  <c r="AD622" i="651"/>
  <c r="AB618" i="651"/>
  <c r="AE618" i="651"/>
  <c r="Z608" i="651"/>
  <c r="AD598" i="651"/>
  <c r="Z598" i="651"/>
  <c r="AC598" i="651"/>
  <c r="AA598" i="651"/>
  <c r="AD568" i="651"/>
  <c r="AB568" i="651"/>
  <c r="Z568" i="651"/>
  <c r="AA558" i="651"/>
  <c r="AD553" i="651"/>
  <c r="AB553" i="651"/>
  <c r="Z553" i="651"/>
  <c r="AD548" i="651"/>
  <c r="Z548" i="651"/>
  <c r="AC548" i="651"/>
  <c r="AA548" i="651"/>
  <c r="AB538" i="651"/>
  <c r="Z538" i="651"/>
  <c r="AE538" i="651"/>
  <c r="AB528" i="651"/>
  <c r="AE521" i="651"/>
  <c r="AA521" i="651"/>
  <c r="AB621" i="651"/>
  <c r="AT682" i="651"/>
  <c r="AF703" i="651"/>
  <c r="Z761" i="651"/>
  <c r="Z756" i="651"/>
  <c r="AD748" i="651"/>
  <c r="AB748" i="651"/>
  <c r="Z748" i="651"/>
  <c r="AE748" i="651"/>
  <c r="AC748" i="651"/>
  <c r="AA748" i="651"/>
  <c r="AE740" i="651"/>
  <c r="AA740" i="651"/>
  <c r="AD736" i="651"/>
  <c r="Z736" i="651"/>
  <c r="Z732" i="651"/>
  <c r="Z728" i="651"/>
  <c r="AB712" i="651"/>
  <c r="AB703" i="651"/>
  <c r="AE699" i="651"/>
  <c r="AA699" i="651"/>
  <c r="AB699" i="651"/>
  <c r="AD694" i="651"/>
  <c r="Z694" i="651"/>
  <c r="AE694" i="651"/>
  <c r="AC694" i="651"/>
  <c r="AC684" i="651"/>
  <c r="AT640" i="651"/>
  <c r="AD703" i="651"/>
  <c r="AE702" i="651"/>
  <c r="AA702" i="651"/>
  <c r="Z621" i="651"/>
  <c r="AC651" i="651"/>
  <c r="AD651" i="651"/>
  <c r="Z651" i="651"/>
  <c r="AE646" i="651"/>
  <c r="AA646" i="651"/>
  <c r="AC631" i="651"/>
  <c r="AD618" i="651"/>
  <c r="Z618" i="651"/>
  <c r="AD613" i="651"/>
  <c r="AB613" i="651"/>
  <c r="Z613" i="651"/>
  <c r="AE621" i="651"/>
  <c r="AC608" i="651"/>
  <c r="AD608" i="651"/>
  <c r="AD593" i="651"/>
  <c r="AB593" i="651"/>
  <c r="AE593" i="651"/>
  <c r="AB578" i="651"/>
  <c r="AE568" i="651"/>
  <c r="Z563" i="651"/>
  <c r="AD558" i="651"/>
  <c r="Z558" i="651"/>
  <c r="AE553" i="651"/>
  <c r="AA553" i="651"/>
  <c r="AA543" i="651"/>
  <c r="AC538" i="651"/>
  <c r="AE533" i="651"/>
  <c r="AA533" i="651"/>
  <c r="AC528" i="651"/>
  <c r="AB521" i="651"/>
  <c r="F915" i="6"/>
  <c r="F914" i="6"/>
  <c r="H213" i="650"/>
  <c r="D36" i="648"/>
  <c r="F1056" i="6"/>
  <c r="F1021" i="6"/>
  <c r="AN702" i="651"/>
  <c r="AJ666" i="651"/>
  <c r="AK602" i="651"/>
  <c r="AO602" i="651"/>
  <c r="AN612" i="651"/>
  <c r="AL688" i="651"/>
  <c r="AP688" i="651"/>
  <c r="AL743" i="651"/>
  <c r="AP743" i="651"/>
  <c r="AP744" i="651" s="1"/>
  <c r="AN747" i="651"/>
  <c r="AN748" i="651" s="1"/>
  <c r="AL751" i="651"/>
  <c r="AP751" i="651"/>
  <c r="AP752" i="651" s="1"/>
  <c r="AC756" i="651"/>
  <c r="AB752" i="651"/>
  <c r="AD732" i="651"/>
  <c r="AP731" i="651"/>
  <c r="AP732" i="651" s="1"/>
  <c r="AE720" i="651"/>
  <c r="AA720" i="651"/>
  <c r="AD716" i="651"/>
  <c r="Z716" i="651"/>
  <c r="AC699" i="651"/>
  <c r="AB694" i="651"/>
  <c r="AC703" i="651"/>
  <c r="AD702" i="651"/>
  <c r="Z702" i="651"/>
  <c r="AC671" i="651"/>
  <c r="Z666" i="651"/>
  <c r="AD621" i="651"/>
  <c r="AE622" i="651"/>
  <c r="AA756" i="651"/>
  <c r="AA761" i="651"/>
  <c r="AK607" i="651"/>
  <c r="AO607" i="651"/>
  <c r="AO608" i="651" s="1"/>
  <c r="AL693" i="651"/>
  <c r="AP693" i="651"/>
  <c r="AP694" i="651" s="1"/>
  <c r="AJ715" i="651"/>
  <c r="AN715" i="651"/>
  <c r="AN716" i="651" s="1"/>
  <c r="Y16" i="657"/>
  <c r="Y20" i="657"/>
  <c r="Y19" i="657"/>
  <c r="Y17" i="657"/>
  <c r="Y21" i="657"/>
  <c r="Y14" i="657"/>
  <c r="Y18" i="657"/>
  <c r="Y15" i="657"/>
  <c r="Y13" i="657"/>
  <c r="AB756" i="651"/>
  <c r="AD740" i="651"/>
  <c r="Z703" i="651"/>
  <c r="AD689" i="651"/>
  <c r="AD684" i="651"/>
  <c r="AE684" i="651"/>
  <c r="AE703" i="651"/>
  <c r="AA684" i="651"/>
  <c r="AA703" i="651"/>
  <c r="AB702" i="651"/>
  <c r="AB671" i="651"/>
  <c r="AB666" i="651"/>
  <c r="AC636" i="651"/>
  <c r="AA622" i="651"/>
  <c r="Z528" i="651"/>
  <c r="Z622" i="651"/>
  <c r="AA621" i="651"/>
  <c r="AN587" i="651"/>
  <c r="AO635" i="651"/>
  <c r="AT635" i="651" s="1"/>
  <c r="AD761" i="651"/>
  <c r="AD760" i="651"/>
  <c r="AC761" i="651"/>
  <c r="AB622" i="651"/>
  <c r="AC621" i="651"/>
  <c r="AD756" i="651"/>
  <c r="AA728" i="651"/>
  <c r="AC724" i="651"/>
  <c r="AE689" i="651"/>
  <c r="AA689" i="651"/>
  <c r="AD671" i="651"/>
  <c r="Z671" i="651"/>
  <c r="AB661" i="651"/>
  <c r="AC622" i="651"/>
  <c r="AE613" i="651"/>
  <c r="AA613" i="651"/>
  <c r="AB573" i="651"/>
  <c r="AE558" i="651"/>
  <c r="AB533" i="651"/>
  <c r="AC521" i="651"/>
  <c r="Z17" i="657"/>
  <c r="Z21" i="657"/>
  <c r="Z20" i="657"/>
  <c r="Z14" i="657"/>
  <c r="Z18" i="657"/>
  <c r="Z13" i="657"/>
  <c r="Z16" i="657"/>
  <c r="Z15" i="657"/>
  <c r="Z19" i="657"/>
  <c r="AA744" i="651"/>
  <c r="AE732" i="651"/>
  <c r="AE724" i="651"/>
  <c r="AA724" i="651"/>
  <c r="AC689" i="651"/>
  <c r="AC666" i="651"/>
  <c r="AB598" i="651"/>
  <c r="Z593" i="651"/>
  <c r="Z583" i="651"/>
  <c r="AD538" i="651"/>
  <c r="AD528" i="651"/>
  <c r="AB603" i="651"/>
  <c r="AC593" i="651"/>
  <c r="AA588" i="651"/>
  <c r="AC583" i="651"/>
  <c r="AB641" i="651"/>
  <c r="AC613" i="651"/>
  <c r="AE608" i="651"/>
  <c r="AA608" i="651"/>
  <c r="AD603" i="651"/>
  <c r="Z603" i="651"/>
  <c r="AD578" i="651"/>
  <c r="Z578" i="651"/>
  <c r="AA568" i="651"/>
  <c r="AC563" i="651"/>
  <c r="AB558" i="651"/>
  <c r="AB543" i="651"/>
  <c r="AA538" i="651"/>
  <c r="AC533" i="651"/>
  <c r="AE528" i="651"/>
  <c r="AA528" i="651"/>
  <c r="AD521" i="651"/>
  <c r="Z521" i="651"/>
  <c r="AI174" i="4"/>
  <c r="AI50" i="4"/>
  <c r="AY122" i="4"/>
  <c r="AY211" i="4"/>
  <c r="AI256" i="4"/>
  <c r="K61" i="650"/>
  <c r="Q255" i="650"/>
  <c r="O175" i="650"/>
  <c r="I118" i="650"/>
  <c r="F1090" i="6"/>
  <c r="G161" i="650"/>
  <c r="G209" i="650"/>
  <c r="V209" i="650" s="1"/>
  <c r="AL209" i="650" s="1"/>
  <c r="AL210" i="650" s="1"/>
  <c r="M125" i="650"/>
  <c r="AJ756" i="651"/>
  <c r="AQ761" i="651"/>
  <c r="AF694" i="651"/>
  <c r="Z11" i="657"/>
  <c r="Z12" i="657"/>
  <c r="Y12" i="657"/>
  <c r="Y11" i="657"/>
  <c r="AQ684" i="651"/>
  <c r="AN703" i="651"/>
  <c r="AT669" i="651"/>
  <c r="AF646" i="651"/>
  <c r="AF521" i="651"/>
  <c r="AT566" i="651"/>
  <c r="AG621" i="651"/>
  <c r="AQ621" i="651"/>
  <c r="AK528" i="651"/>
  <c r="I77" i="650"/>
  <c r="I17" i="650"/>
  <c r="Q57" i="650"/>
  <c r="J118" i="650"/>
  <c r="R241" i="650"/>
  <c r="U241" i="650" s="1"/>
  <c r="M232" i="650"/>
  <c r="P223" i="650"/>
  <c r="O220" i="650"/>
  <c r="P161" i="650"/>
  <c r="K124" i="650"/>
  <c r="L96" i="650"/>
  <c r="O82" i="650"/>
  <c r="O62" i="650"/>
  <c r="G36" i="650"/>
  <c r="F8" i="650"/>
  <c r="I119" i="650"/>
  <c r="H257" i="650"/>
  <c r="P175" i="650"/>
  <c r="M136" i="650"/>
  <c r="L89" i="650"/>
  <c r="D22" i="648"/>
  <c r="H48" i="650"/>
  <c r="F142" i="650"/>
  <c r="Q174" i="650"/>
  <c r="G169" i="650"/>
  <c r="N248" i="650"/>
  <c r="J241" i="650"/>
  <c r="N228" i="650"/>
  <c r="L223" i="650"/>
  <c r="G220" i="650"/>
  <c r="M174" i="650"/>
  <c r="R118" i="650"/>
  <c r="K90" i="650"/>
  <c r="G82" i="650"/>
  <c r="Q29" i="650"/>
  <c r="O36" i="650"/>
  <c r="F125" i="650"/>
  <c r="G251" i="650"/>
  <c r="G213" i="650"/>
  <c r="H175" i="650"/>
  <c r="L81" i="650"/>
  <c r="L18" i="650"/>
  <c r="F120" i="6"/>
  <c r="F16" i="6"/>
  <c r="F75" i="6"/>
  <c r="F231" i="6"/>
  <c r="F192" i="6"/>
  <c r="F39" i="6"/>
  <c r="F298" i="6"/>
  <c r="F142" i="6"/>
  <c r="K41" i="652"/>
  <c r="K238" i="650"/>
  <c r="AI65" i="4"/>
  <c r="AY65" i="4"/>
  <c r="I81" i="650"/>
  <c r="M89" i="650"/>
  <c r="I96" i="650"/>
  <c r="Q96" i="650"/>
  <c r="O101" i="650"/>
  <c r="H107" i="650"/>
  <c r="O118" i="650"/>
  <c r="F1068" i="6"/>
  <c r="AI117" i="4"/>
  <c r="Q130" i="650"/>
  <c r="F167" i="650"/>
  <c r="L169" i="650"/>
  <c r="F205" i="650"/>
  <c r="F206" i="650" s="1"/>
  <c r="F215" i="650"/>
  <c r="Q216" i="650"/>
  <c r="F232" i="650"/>
  <c r="Q233" i="650"/>
  <c r="M243" i="650"/>
  <c r="F249" i="650"/>
  <c r="N249" i="650"/>
  <c r="I250" i="650"/>
  <c r="Q250" i="650"/>
  <c r="L251" i="650"/>
  <c r="G255" i="650"/>
  <c r="O255" i="650"/>
  <c r="M257" i="650"/>
  <c r="O241" i="650"/>
  <c r="M48" i="650"/>
  <c r="O221" i="650"/>
  <c r="J256" i="650"/>
  <c r="M175" i="650"/>
  <c r="F95" i="650"/>
  <c r="K28" i="650"/>
  <c r="K56" i="650"/>
  <c r="J67" i="650"/>
  <c r="AI100" i="4"/>
  <c r="F1051" i="6"/>
  <c r="J160" i="650"/>
  <c r="M161" i="650"/>
  <c r="O173" i="650"/>
  <c r="N215" i="650"/>
  <c r="P227" i="650"/>
  <c r="AE227" i="650" s="1"/>
  <c r="H258" i="650"/>
  <c r="AY100" i="4"/>
  <c r="AI220" i="4"/>
  <c r="N112" i="650"/>
  <c r="F613" i="6"/>
  <c r="N17" i="650"/>
  <c r="G40" i="650"/>
  <c r="R41" i="650"/>
  <c r="AI39" i="4"/>
  <c r="AY39" i="4"/>
  <c r="Q81" i="650"/>
  <c r="N95" i="650"/>
  <c r="M106" i="650"/>
  <c r="AI158" i="4"/>
  <c r="AY158" i="4"/>
  <c r="R160" i="650"/>
  <c r="U160" i="650" s="1"/>
  <c r="V160" i="650" s="1"/>
  <c r="W160" i="650" s="1"/>
  <c r="X160" i="650" s="1"/>
  <c r="Y160" i="650" s="1"/>
  <c r="Z160" i="650" s="1"/>
  <c r="AA160" i="650" s="1"/>
  <c r="AB160" i="650" s="1"/>
  <c r="AC160" i="650" s="1"/>
  <c r="AD160" i="650" s="1"/>
  <c r="AE160" i="650" s="1"/>
  <c r="AF160" i="650" s="1"/>
  <c r="AG160" i="650" s="1"/>
  <c r="J174" i="650"/>
  <c r="H176" i="650"/>
  <c r="D20" i="16"/>
  <c r="N205" i="650"/>
  <c r="P213" i="650"/>
  <c r="M223" i="650"/>
  <c r="R242" i="650"/>
  <c r="U242" i="650" s="1"/>
  <c r="D51" i="648"/>
  <c r="F51" i="648" s="1"/>
  <c r="AY240" i="4"/>
  <c r="R256" i="650"/>
  <c r="U256" i="650" s="1"/>
  <c r="F1206" i="6"/>
  <c r="AY254" i="4"/>
  <c r="AI240" i="4"/>
  <c r="F990" i="6"/>
  <c r="G173" i="650"/>
  <c r="F940" i="6"/>
  <c r="B17" i="16"/>
  <c r="K8" i="650"/>
  <c r="L23" i="650"/>
  <c r="R25" i="650"/>
  <c r="F974" i="6"/>
  <c r="AY23" i="4"/>
  <c r="AI23" i="4"/>
  <c r="F29" i="650"/>
  <c r="Q35" i="650"/>
  <c r="H52" i="650"/>
  <c r="N57" i="650"/>
  <c r="M71" i="650"/>
  <c r="I113" i="650"/>
  <c r="AY134" i="4"/>
  <c r="R136" i="650"/>
  <c r="F1085" i="6"/>
  <c r="AY172" i="4"/>
  <c r="R174" i="650"/>
  <c r="U174" i="650" s="1"/>
  <c r="F1124" i="6"/>
  <c r="AI172" i="4"/>
  <c r="K214" i="650"/>
  <c r="R222" i="650"/>
  <c r="U222" i="650" s="1"/>
  <c r="AY220" i="4"/>
  <c r="D23" i="648"/>
  <c r="P244" i="650"/>
  <c r="P258" i="650"/>
  <c r="F1172" i="6"/>
  <c r="M209" i="650"/>
  <c r="AB209" i="650" s="1"/>
  <c r="K125" i="650"/>
  <c r="K160" i="650"/>
  <c r="G159" i="650"/>
  <c r="L237" i="650"/>
  <c r="AA237" i="650" s="1"/>
  <c r="AA238" i="650" s="1"/>
  <c r="F1016" i="6"/>
  <c r="D12" i="16"/>
  <c r="F1163" i="6"/>
  <c r="AI99" i="4"/>
  <c r="AI25" i="4"/>
  <c r="F1073" i="6"/>
  <c r="F1015" i="6"/>
  <c r="F989" i="6"/>
  <c r="D23" i="16"/>
  <c r="Q215" i="650"/>
  <c r="R66" i="650"/>
  <c r="J135" i="650"/>
  <c r="Q129" i="650"/>
  <c r="K18" i="650"/>
  <c r="K244" i="650"/>
  <c r="L233" i="650"/>
  <c r="L216" i="650"/>
  <c r="H161" i="650"/>
  <c r="K141" i="650"/>
  <c r="G117" i="650"/>
  <c r="H71" i="650"/>
  <c r="M25" i="650"/>
  <c r="M119" i="650"/>
  <c r="M256" i="650"/>
  <c r="K213" i="650"/>
  <c r="R173" i="650"/>
  <c r="U173" i="650" s="1"/>
  <c r="M160" i="650"/>
  <c r="M56" i="650"/>
  <c r="AY139" i="4"/>
  <c r="F1112" i="6"/>
  <c r="P205" i="650"/>
  <c r="P232" i="650"/>
  <c r="D22" i="16"/>
  <c r="N76" i="650"/>
  <c r="H17" i="650"/>
  <c r="R40" i="650"/>
  <c r="I66" i="650"/>
  <c r="H123" i="650"/>
  <c r="O257" i="650"/>
  <c r="F251" i="650"/>
  <c r="P243" i="650"/>
  <c r="Q232" i="650"/>
  <c r="H223" i="650"/>
  <c r="N214" i="650"/>
  <c r="Q173" i="650"/>
  <c r="H140" i="650"/>
  <c r="L113" i="650"/>
  <c r="Q95" i="650"/>
  <c r="N56" i="650"/>
  <c r="J24" i="650"/>
  <c r="F28" i="650"/>
  <c r="R255" i="650"/>
  <c r="U255" i="650" s="1"/>
  <c r="J173" i="650"/>
  <c r="L130" i="650"/>
  <c r="N94" i="650"/>
  <c r="K52" i="650"/>
  <c r="D50" i="648"/>
  <c r="F50" i="648" s="1"/>
  <c r="M248" i="650"/>
  <c r="AI139" i="4"/>
  <c r="AY171" i="4"/>
  <c r="AI64" i="4"/>
  <c r="AY64" i="4"/>
  <c r="F1177" i="6"/>
  <c r="F1084" i="6"/>
  <c r="F1050" i="6"/>
  <c r="B20" i="16"/>
  <c r="R135" i="650"/>
  <c r="Q112" i="650"/>
  <c r="Q249" i="650"/>
  <c r="L35" i="650"/>
  <c r="K250" i="650"/>
  <c r="M222" i="650"/>
  <c r="K176" i="650"/>
  <c r="M67" i="650"/>
  <c r="M41" i="650"/>
  <c r="O23" i="650"/>
  <c r="K27" i="650"/>
  <c r="J255" i="650"/>
  <c r="H243" i="650"/>
  <c r="P209" i="650"/>
  <c r="AE209" i="650" s="1"/>
  <c r="O155" i="650"/>
  <c r="O156" i="650" s="1"/>
  <c r="I129" i="650"/>
  <c r="AY242" i="4"/>
  <c r="K113" i="650"/>
  <c r="J258" i="650"/>
  <c r="AY253" i="4"/>
  <c r="AI160" i="4"/>
  <c r="AI105" i="4"/>
  <c r="AI70" i="4"/>
  <c r="AY99" i="4"/>
  <c r="F913" i="6"/>
  <c r="D15" i="16"/>
  <c r="R101" i="650"/>
  <c r="G106" i="650"/>
  <c r="I40" i="650"/>
  <c r="R27" i="650"/>
  <c r="H112" i="650"/>
  <c r="M242" i="650"/>
  <c r="I232" i="650"/>
  <c r="J213" i="650"/>
  <c r="I173" i="650"/>
  <c r="R159" i="650"/>
  <c r="U159" i="650" s="1"/>
  <c r="V159" i="650" s="1"/>
  <c r="W159" i="650" s="1"/>
  <c r="X159" i="650" s="1"/>
  <c r="Y159" i="650" s="1"/>
  <c r="Z159" i="650" s="1"/>
  <c r="AA159" i="650" s="1"/>
  <c r="AB159" i="650" s="1"/>
  <c r="AC159" i="650" s="1"/>
  <c r="AD159" i="650" s="1"/>
  <c r="AE159" i="650" s="1"/>
  <c r="AF159" i="650" s="1"/>
  <c r="AG159" i="650" s="1"/>
  <c r="G131" i="650"/>
  <c r="F108" i="650"/>
  <c r="I95" i="650"/>
  <c r="J66" i="650"/>
  <c r="Q40" i="650"/>
  <c r="G23" i="650"/>
  <c r="P26" i="650"/>
  <c r="I215" i="650"/>
  <c r="O251" i="650"/>
  <c r="I167" i="650"/>
  <c r="G155" i="650"/>
  <c r="G156" i="650" s="1"/>
  <c r="N125" i="650"/>
  <c r="Q210" i="650"/>
  <c r="AF210" i="650" s="1"/>
  <c r="H210" i="650"/>
  <c r="W210" i="650" s="1"/>
  <c r="AH613" i="651"/>
  <c r="AH636" i="651"/>
  <c r="AT634" i="651"/>
  <c r="AH661" i="651"/>
  <c r="AT659" i="651"/>
  <c r="AG521" i="651"/>
  <c r="AG661" i="651"/>
  <c r="AG689" i="651"/>
  <c r="AT687" i="651"/>
  <c r="AH699" i="651"/>
  <c r="AT697" i="651"/>
  <c r="AH732" i="651"/>
  <c r="AG548" i="651"/>
  <c r="AG558" i="651"/>
  <c r="AF761" i="651"/>
  <c r="AF756" i="651"/>
  <c r="AG756" i="651"/>
  <c r="AF752" i="651"/>
  <c r="AT750" i="651"/>
  <c r="AT754" i="651"/>
  <c r="AH756" i="651"/>
  <c r="AF748" i="651"/>
  <c r="AT616" i="651"/>
  <c r="AF613" i="651"/>
  <c r="AG608" i="651"/>
  <c r="AF603" i="651"/>
  <c r="AT601" i="651"/>
  <c r="AG598" i="651"/>
  <c r="AG588" i="651"/>
  <c r="AF583" i="651"/>
  <c r="AT581" i="651"/>
  <c r="AG578" i="651"/>
  <c r="AT551" i="651"/>
  <c r="AT531" i="651"/>
  <c r="AF558" i="651"/>
  <c r="AF548" i="651"/>
  <c r="AT546" i="651"/>
  <c r="AT526" i="651"/>
  <c r="AF621" i="651"/>
  <c r="AG694" i="651"/>
  <c r="AG573" i="651"/>
  <c r="AF702" i="651"/>
  <c r="AF631" i="651"/>
  <c r="AF666" i="651"/>
  <c r="AJ760" i="651"/>
  <c r="AI732" i="651"/>
  <c r="AE760" i="651"/>
  <c r="AM760" i="651"/>
  <c r="AP711" i="651"/>
  <c r="AP712" i="651" s="1"/>
  <c r="AN711" i="651"/>
  <c r="AN712" i="651" s="1"/>
  <c r="AL711" i="651"/>
  <c r="AJ711" i="651"/>
  <c r="AC760" i="651"/>
  <c r="AO710" i="651"/>
  <c r="AA760" i="651"/>
  <c r="AK710" i="651"/>
  <c r="AS710" i="651"/>
  <c r="AI712" i="651"/>
  <c r="AF712" i="651"/>
  <c r="AD712" i="651"/>
  <c r="Z712" i="651"/>
  <c r="AE712" i="651"/>
  <c r="AC712" i="651"/>
  <c r="AA712" i="651"/>
  <c r="J41" i="652"/>
  <c r="F737" i="6"/>
  <c r="F472" i="6"/>
  <c r="M162" i="650"/>
  <c r="F1166" i="6"/>
  <c r="F387" i="6"/>
  <c r="K25" i="650"/>
  <c r="Q135" i="650"/>
  <c r="P112" i="650"/>
  <c r="F36" i="650"/>
  <c r="O140" i="650"/>
  <c r="F112" i="650"/>
  <c r="K94" i="650"/>
  <c r="M76" i="650"/>
  <c r="L36" i="650"/>
  <c r="F57" i="650"/>
  <c r="L62" i="650"/>
  <c r="K76" i="650"/>
  <c r="F17" i="650"/>
  <c r="Q101" i="650"/>
  <c r="L100" i="650"/>
  <c r="J107" i="650"/>
  <c r="H141" i="650"/>
  <c r="F77" i="650"/>
  <c r="K166" i="650"/>
  <c r="O159" i="650"/>
  <c r="L155" i="650"/>
  <c r="L156" i="650" s="1"/>
  <c r="I135" i="650"/>
  <c r="N129" i="650"/>
  <c r="M123" i="650"/>
  <c r="N117" i="650"/>
  <c r="O66" i="650"/>
  <c r="G66" i="650"/>
  <c r="I61" i="650"/>
  <c r="N29" i="650"/>
  <c r="J25" i="650"/>
  <c r="G24" i="650"/>
  <c r="P162" i="650"/>
  <c r="O106" i="650"/>
  <c r="I168" i="650"/>
  <c r="K142" i="650"/>
  <c r="M140" i="650"/>
  <c r="O135" i="650"/>
  <c r="R119" i="650"/>
  <c r="R102" i="650"/>
  <c r="G101" i="650"/>
  <c r="H95" i="650"/>
  <c r="P90" i="650"/>
  <c r="R67" i="650"/>
  <c r="Q18" i="650"/>
  <c r="M26" i="650"/>
  <c r="H27" i="650"/>
  <c r="M28" i="650"/>
  <c r="O40" i="650"/>
  <c r="J41" i="650"/>
  <c r="P52" i="650"/>
  <c r="P57" i="650"/>
  <c r="G71" i="650"/>
  <c r="H72" i="650"/>
  <c r="P72" i="650"/>
  <c r="N77" i="650"/>
  <c r="L82" i="650"/>
  <c r="G89" i="650"/>
  <c r="F100" i="650"/>
  <c r="P107" i="650"/>
  <c r="K108" i="650"/>
  <c r="Q113" i="650"/>
  <c r="L117" i="650"/>
  <c r="G118" i="650"/>
  <c r="J119" i="650"/>
  <c r="L119" i="650"/>
  <c r="P124" i="650"/>
  <c r="F129" i="650"/>
  <c r="L131" i="650"/>
  <c r="N131" i="650"/>
  <c r="G135" i="650"/>
  <c r="J136" i="650"/>
  <c r="N167" i="650"/>
  <c r="Q168" i="650"/>
  <c r="P176" i="650"/>
  <c r="I216" i="650"/>
  <c r="L220" i="650"/>
  <c r="G221" i="650"/>
  <c r="J222" i="650"/>
  <c r="G223" i="650"/>
  <c r="H227" i="650"/>
  <c r="W227" i="650" s="1"/>
  <c r="K228" i="650"/>
  <c r="N232" i="650"/>
  <c r="I233" i="650"/>
  <c r="F237" i="650"/>
  <c r="F238" i="650" s="1"/>
  <c r="J242" i="650"/>
  <c r="H244" i="650"/>
  <c r="K248" i="650"/>
  <c r="R22" i="20"/>
  <c r="U846" i="6"/>
  <c r="R846" i="6"/>
  <c r="F1061" i="6"/>
  <c r="R112" i="650"/>
  <c r="AY207" i="4"/>
  <c r="F997" i="6"/>
  <c r="F256" i="650"/>
  <c r="J95" i="650"/>
  <c r="P117" i="650"/>
  <c r="J29" i="650"/>
  <c r="F1044" i="6"/>
  <c r="K17" i="650"/>
  <c r="I23" i="650"/>
  <c r="F1020" i="6"/>
  <c r="AI69" i="4"/>
  <c r="F81" i="650"/>
  <c r="F83" i="650" s="1"/>
  <c r="AY87" i="4"/>
  <c r="AI87" i="4"/>
  <c r="F1193" i="6"/>
  <c r="N61" i="650"/>
  <c r="AY104" i="4"/>
  <c r="D16" i="16"/>
  <c r="R17" i="650"/>
  <c r="N41" i="650"/>
  <c r="Q89" i="650"/>
  <c r="Q123" i="650"/>
  <c r="L162" i="650"/>
  <c r="F174" i="650"/>
  <c r="F222" i="650"/>
  <c r="R232" i="650"/>
  <c r="U232" i="650" s="1"/>
  <c r="F1182" i="6"/>
  <c r="AY230" i="4"/>
  <c r="P251" i="650"/>
  <c r="AY15" i="4"/>
  <c r="J167" i="650"/>
  <c r="K95" i="650"/>
  <c r="L101" i="650"/>
  <c r="J140" i="650"/>
  <c r="F1111" i="6"/>
  <c r="AI159" i="4"/>
  <c r="AY159" i="4"/>
  <c r="N168" i="650"/>
  <c r="F1173" i="6"/>
  <c r="AY221" i="4"/>
  <c r="AI221" i="4"/>
  <c r="P248" i="650"/>
  <c r="AI208" i="4"/>
  <c r="P23" i="650"/>
  <c r="N25" i="650"/>
  <c r="N67" i="650"/>
  <c r="O94" i="650"/>
  <c r="P100" i="650"/>
  <c r="K118" i="650"/>
  <c r="I123" i="650"/>
  <c r="R129" i="650"/>
  <c r="AY127" i="4"/>
  <c r="F160" i="650"/>
  <c r="H169" i="650"/>
  <c r="F1155" i="6"/>
  <c r="G1155" i="6" s="1"/>
  <c r="E1155" i="6" s="1"/>
  <c r="D24" i="16"/>
  <c r="R205" i="650"/>
  <c r="T205" i="650" s="1"/>
  <c r="AI203" i="4"/>
  <c r="AI204" i="4" s="1"/>
  <c r="J215" i="650"/>
  <c r="J249" i="650"/>
  <c r="O25" i="650"/>
  <c r="M72" i="650"/>
  <c r="AY121" i="4"/>
  <c r="AI121" i="4"/>
  <c r="N130" i="650"/>
  <c r="M176" i="650"/>
  <c r="Q48" i="650"/>
  <c r="O28" i="650"/>
  <c r="AY70" i="4"/>
  <c r="AY88" i="4"/>
  <c r="AY174" i="4"/>
  <c r="F1001" i="6"/>
  <c r="F976" i="6"/>
  <c r="R124" i="650"/>
  <c r="J72" i="650"/>
  <c r="L256" i="650"/>
  <c r="N251" i="650"/>
  <c r="R213" i="650"/>
  <c r="U213" i="650" s="1"/>
  <c r="L136" i="650"/>
  <c r="G48" i="650"/>
  <c r="R90" i="650"/>
  <c r="N237" i="650"/>
  <c r="AC237" i="650" s="1"/>
  <c r="AC238" i="650" s="1"/>
  <c r="O223" i="650"/>
  <c r="AY256" i="4"/>
  <c r="F1194" i="6"/>
  <c r="F1039" i="6"/>
  <c r="AI225" i="4"/>
  <c r="D14" i="16"/>
  <c r="H215" i="650"/>
  <c r="P95" i="650"/>
  <c r="F117" i="650"/>
  <c r="L41" i="650"/>
  <c r="P249" i="650"/>
  <c r="H205" i="650"/>
  <c r="G175" i="650"/>
  <c r="R162" i="650"/>
  <c r="U162" i="650" s="1"/>
  <c r="V162" i="650" s="1"/>
  <c r="W162" i="650" s="1"/>
  <c r="X162" i="650" s="1"/>
  <c r="Y162" i="650" s="1"/>
  <c r="Z162" i="650" s="1"/>
  <c r="AA162" i="650" s="1"/>
  <c r="AB162" i="650" s="1"/>
  <c r="AC162" i="650" s="1"/>
  <c r="AD162" i="650" s="1"/>
  <c r="AE162" i="650" s="1"/>
  <c r="AF162" i="650" s="1"/>
  <c r="AG162" i="650" s="1"/>
  <c r="K130" i="650"/>
  <c r="H77" i="650"/>
  <c r="H57" i="650"/>
  <c r="I24" i="650"/>
  <c r="P29" i="650"/>
  <c r="R244" i="650"/>
  <c r="U244" i="650" s="1"/>
  <c r="Q241" i="650"/>
  <c r="F220" i="650"/>
  <c r="Q66" i="650"/>
  <c r="AI211" i="4"/>
  <c r="AI122" i="4"/>
  <c r="AY50" i="4"/>
  <c r="AY25" i="4"/>
  <c r="F1126" i="6"/>
  <c r="P17" i="650"/>
  <c r="R52" i="650"/>
  <c r="N23" i="650"/>
  <c r="Q159" i="650"/>
  <c r="J141" i="650"/>
  <c r="I255" i="650"/>
  <c r="O209" i="650"/>
  <c r="AD209" i="650" s="1"/>
  <c r="O123" i="650"/>
  <c r="L160" i="650"/>
  <c r="L222" i="650"/>
  <c r="N169" i="650"/>
  <c r="N62" i="650"/>
  <c r="AI88" i="4"/>
  <c r="B19" i="16"/>
  <c r="G140" i="650"/>
  <c r="K96" i="650"/>
  <c r="G257" i="650"/>
  <c r="R176" i="650"/>
  <c r="U176" i="650" s="1"/>
  <c r="K35" i="650"/>
  <c r="G26" i="650"/>
  <c r="P215" i="650"/>
  <c r="J227" i="650"/>
  <c r="Y227" i="650" s="1"/>
  <c r="Q24" i="650"/>
  <c r="AG105" i="4"/>
  <c r="AG139" i="4"/>
  <c r="AJ139" i="4" s="1"/>
  <c r="P37" i="652"/>
  <c r="P41" i="652" s="1"/>
  <c r="L37" i="652"/>
  <c r="L41" i="652" s="1"/>
  <c r="X148" i="647"/>
  <c r="AG24" i="4"/>
  <c r="AJ24" i="4" s="1"/>
  <c r="AG129" i="4"/>
  <c r="AJ129" i="4" s="1"/>
  <c r="AG158" i="4"/>
  <c r="AG246" i="4"/>
  <c r="F452" i="6"/>
  <c r="AI227" i="4"/>
  <c r="J62" i="650"/>
  <c r="H67" i="650"/>
  <c r="AG65" i="4"/>
  <c r="AG69" i="4"/>
  <c r="K71" i="650"/>
  <c r="F90" i="650"/>
  <c r="AG88" i="4"/>
  <c r="G96" i="650"/>
  <c r="N162" i="650"/>
  <c r="G168" i="650"/>
  <c r="N213" i="650"/>
  <c r="AG218" i="4"/>
  <c r="F1170" i="6"/>
  <c r="Q125" i="650"/>
  <c r="K48" i="650"/>
  <c r="M135" i="650"/>
  <c r="F227" i="650"/>
  <c r="Q228" i="650"/>
  <c r="AG104" i="4"/>
  <c r="AG39" i="4"/>
  <c r="AJ39" i="4" s="1"/>
  <c r="O61" i="650"/>
  <c r="F1031" i="6"/>
  <c r="AG80" i="4"/>
  <c r="K161" i="650"/>
  <c r="K209" i="650"/>
  <c r="Z209" i="650" s="1"/>
  <c r="I214" i="650"/>
  <c r="H242" i="650"/>
  <c r="AG240" i="4"/>
  <c r="G250" i="650"/>
  <c r="F823" i="6"/>
  <c r="AG248" i="4"/>
  <c r="N27" i="650"/>
  <c r="P41" i="650"/>
  <c r="F1011" i="6"/>
  <c r="R62" i="650"/>
  <c r="R117" i="650"/>
  <c r="AY115" i="4"/>
  <c r="AG235" i="4"/>
  <c r="AY235" i="4"/>
  <c r="AY236" i="4" s="1"/>
  <c r="J251" i="650"/>
  <c r="K257" i="650"/>
  <c r="AG92" i="4"/>
  <c r="AG98" i="4"/>
  <c r="N141" i="650"/>
  <c r="J8" i="650"/>
  <c r="B16" i="16"/>
  <c r="H18" i="650"/>
  <c r="R28" i="650"/>
  <c r="F977" i="6"/>
  <c r="Q67" i="650"/>
  <c r="J94" i="650"/>
  <c r="L106" i="650"/>
  <c r="I136" i="650"/>
  <c r="AY140" i="4"/>
  <c r="AI140" i="4"/>
  <c r="O176" i="650"/>
  <c r="J214" i="650"/>
  <c r="H233" i="650"/>
  <c r="N241" i="650"/>
  <c r="J248" i="650"/>
  <c r="AG106" i="4"/>
  <c r="H168" i="650"/>
  <c r="I25" i="650"/>
  <c r="F445" i="6"/>
  <c r="F447" i="6" s="1"/>
  <c r="O52" i="650"/>
  <c r="I242" i="650"/>
  <c r="G227" i="650"/>
  <c r="V227" i="650" s="1"/>
  <c r="P168" i="650"/>
  <c r="G141" i="650"/>
  <c r="J125" i="650"/>
  <c r="N118" i="650"/>
  <c r="F101" i="650"/>
  <c r="F255" i="650"/>
  <c r="F916" i="6"/>
  <c r="N18" i="650"/>
  <c r="Q23" i="650"/>
  <c r="L24" i="650"/>
  <c r="AY24" i="4"/>
  <c r="AI24" i="4"/>
  <c r="H28" i="650"/>
  <c r="P28" i="650"/>
  <c r="Q36" i="650"/>
  <c r="R48" i="650"/>
  <c r="AI46" i="4"/>
  <c r="M52" i="650"/>
  <c r="AY69" i="4"/>
  <c r="H76" i="650"/>
  <c r="P76" i="650"/>
  <c r="F1038" i="6"/>
  <c r="R89" i="650"/>
  <c r="U89" i="650" s="1"/>
  <c r="Q100" i="650"/>
  <c r="R106" i="650"/>
  <c r="AI104" i="4"/>
  <c r="F1055" i="6"/>
  <c r="F1072" i="6"/>
  <c r="M124" i="650"/>
  <c r="H125" i="650"/>
  <c r="K129" i="650"/>
  <c r="L135" i="650"/>
  <c r="G136" i="650"/>
  <c r="O136" i="650"/>
  <c r="F1089" i="6"/>
  <c r="AI138" i="4"/>
  <c r="H166" i="650"/>
  <c r="K167" i="650"/>
  <c r="F168" i="650"/>
  <c r="Q169" i="650"/>
  <c r="E23" i="17"/>
  <c r="E30" i="17" s="1"/>
  <c r="O174" i="650"/>
  <c r="J175" i="650"/>
  <c r="F1125" i="6"/>
  <c r="AY173" i="4"/>
  <c r="R175" i="650"/>
  <c r="K205" i="650"/>
  <c r="F1159" i="6"/>
  <c r="F1160" i="6" s="1"/>
  <c r="F61" i="2" s="1"/>
  <c r="AI267" i="4"/>
  <c r="G242" i="650"/>
  <c r="R243" i="650"/>
  <c r="U243" i="650" s="1"/>
  <c r="AI241" i="4"/>
  <c r="AY241" i="4"/>
  <c r="M244" i="650"/>
  <c r="H248" i="650"/>
  <c r="AI255" i="4"/>
  <c r="AG255" i="4"/>
  <c r="AY255" i="4"/>
  <c r="R8" i="650"/>
  <c r="U8" i="650" s="1"/>
  <c r="V8" i="650" s="1"/>
  <c r="U5" i="647" s="1"/>
  <c r="U157" i="647" s="1"/>
  <c r="K23" i="650"/>
  <c r="F1005" i="6"/>
  <c r="J76" i="650"/>
  <c r="P130" i="650"/>
  <c r="M167" i="650"/>
  <c r="F173" i="650"/>
  <c r="R214" i="650"/>
  <c r="U214" i="650" s="1"/>
  <c r="AY212" i="4"/>
  <c r="K220" i="650"/>
  <c r="J228" i="650"/>
  <c r="G244" i="650"/>
  <c r="L257" i="650"/>
  <c r="AI26" i="4"/>
  <c r="P216" i="650"/>
  <c r="G90" i="650"/>
  <c r="F380" i="6"/>
  <c r="AI59" i="4"/>
  <c r="F1010" i="6"/>
  <c r="AG93" i="4"/>
  <c r="P118" i="650"/>
  <c r="F1118" i="6"/>
  <c r="AG166" i="4"/>
  <c r="D21" i="16"/>
  <c r="L228" i="650"/>
  <c r="J233" i="650"/>
  <c r="AG212" i="4"/>
  <c r="AG171" i="4"/>
  <c r="AI106" i="4"/>
  <c r="AI123" i="4"/>
  <c r="AY26" i="4"/>
  <c r="N40" i="650"/>
  <c r="G215" i="650"/>
  <c r="K36" i="650"/>
  <c r="L243" i="650"/>
  <c r="I222" i="650"/>
  <c r="N101" i="650"/>
  <c r="G52" i="650"/>
  <c r="G124" i="650"/>
  <c r="H113" i="650"/>
  <c r="H81" i="650"/>
  <c r="R125" i="650"/>
  <c r="F1074" i="6"/>
  <c r="N159" i="650"/>
  <c r="Q160" i="650"/>
  <c r="J166" i="650"/>
  <c r="AY164" i="4"/>
  <c r="AI164" i="4"/>
  <c r="K169" i="650"/>
  <c r="L209" i="650"/>
  <c r="AA209" i="650" s="1"/>
  <c r="Q222" i="650"/>
  <c r="AY226" i="4"/>
  <c r="AY227" i="4" s="1"/>
  <c r="R228" i="650"/>
  <c r="AG228" i="650" s="1"/>
  <c r="AG239" i="4"/>
  <c r="AG157" i="4"/>
  <c r="AI212" i="4"/>
  <c r="AI226" i="4"/>
  <c r="F118" i="650"/>
  <c r="O227" i="650"/>
  <c r="AD227" i="650" s="1"/>
  <c r="H216" i="650"/>
  <c r="N255" i="650"/>
  <c r="M215" i="650"/>
  <c r="L123" i="650"/>
  <c r="R108" i="650"/>
  <c r="F795" i="6"/>
  <c r="O27" i="650"/>
  <c r="H35" i="650"/>
  <c r="F40" i="650"/>
  <c r="L48" i="650"/>
  <c r="F66" i="650"/>
  <c r="L71" i="650"/>
  <c r="F1025" i="6"/>
  <c r="AI74" i="4"/>
  <c r="AY74" i="4"/>
  <c r="F1043" i="6"/>
  <c r="AY92" i="4"/>
  <c r="I102" i="650"/>
  <c r="H130" i="650"/>
  <c r="Q136" i="650"/>
  <c r="L161" i="650"/>
  <c r="N173" i="650"/>
  <c r="M205" i="650"/>
  <c r="F1198" i="6"/>
  <c r="R248" i="650"/>
  <c r="U248" i="650" s="1"/>
  <c r="H250" i="650"/>
  <c r="Q256" i="650"/>
  <c r="M249" i="650"/>
  <c r="R35" i="650"/>
  <c r="AY33" i="4"/>
  <c r="F1045" i="6"/>
  <c r="AI94" i="4"/>
  <c r="AG110" i="4"/>
  <c r="L125" i="650"/>
  <c r="I258" i="650"/>
  <c r="F1178" i="6"/>
  <c r="F1164" i="6"/>
  <c r="F1116" i="6"/>
  <c r="M57" i="650"/>
  <c r="Q242" i="650"/>
  <c r="M129" i="650"/>
  <c r="P250" i="650"/>
  <c r="P233" i="650"/>
  <c r="N221" i="650"/>
  <c r="F135" i="650"/>
  <c r="F497" i="6"/>
  <c r="O17" i="1"/>
  <c r="O18" i="1" s="1"/>
  <c r="O19" i="1" s="1"/>
  <c r="O20" i="1" s="1"/>
  <c r="O21" i="1" s="1"/>
  <c r="F881" i="6"/>
  <c r="P18" i="650"/>
  <c r="Q77" i="650"/>
  <c r="F94" i="650"/>
  <c r="G100" i="650"/>
  <c r="O107" i="650"/>
  <c r="M112" i="650"/>
  <c r="O162" i="650"/>
  <c r="R166" i="650"/>
  <c r="U166" i="650" s="1"/>
  <c r="K81" i="650"/>
  <c r="N82" i="650"/>
  <c r="J90" i="650"/>
  <c r="M94" i="650"/>
  <c r="Q118" i="650"/>
  <c r="I241" i="650"/>
  <c r="AG165" i="4"/>
  <c r="F437" i="6"/>
  <c r="R23" i="20"/>
  <c r="R26" i="20"/>
  <c r="F677" i="6"/>
  <c r="F402" i="6"/>
  <c r="F407" i="6"/>
  <c r="F427" i="6"/>
  <c r="F462" i="6"/>
  <c r="AG22" i="4"/>
  <c r="AJ22" i="4" s="1"/>
  <c r="F727" i="6"/>
  <c r="AG200" i="4"/>
  <c r="F442" i="6"/>
  <c r="F745" i="6"/>
  <c r="F869" i="6"/>
  <c r="F920" i="6"/>
  <c r="F936" i="6"/>
  <c r="L17" i="650"/>
  <c r="G18" i="650"/>
  <c r="O18" i="650"/>
  <c r="J23" i="650"/>
  <c r="F972" i="6"/>
  <c r="AY21" i="4"/>
  <c r="M24" i="650"/>
  <c r="H25" i="650"/>
  <c r="K26" i="650"/>
  <c r="Q28" i="650"/>
  <c r="L29" i="650"/>
  <c r="G35" i="650"/>
  <c r="O35" i="650"/>
  <c r="J36" i="650"/>
  <c r="R36" i="650"/>
  <c r="AI34" i="4"/>
  <c r="F52" i="650"/>
  <c r="N52" i="650"/>
  <c r="I56" i="650"/>
  <c r="G61" i="650"/>
  <c r="AY60" i="4"/>
  <c r="M66" i="650"/>
  <c r="P67" i="650"/>
  <c r="I76" i="650"/>
  <c r="Q76" i="650"/>
  <c r="G81" i="650"/>
  <c r="J82" i="650"/>
  <c r="R82" i="650"/>
  <c r="AI80" i="4"/>
  <c r="K89" i="650"/>
  <c r="AG87" i="4"/>
  <c r="N90" i="650"/>
  <c r="I94" i="650"/>
  <c r="L95" i="650"/>
  <c r="O96" i="650"/>
  <c r="J100" i="650"/>
  <c r="F1049" i="6"/>
  <c r="R100" i="650"/>
  <c r="AY98" i="4"/>
  <c r="M101" i="650"/>
  <c r="P102" i="650"/>
  <c r="K106" i="650"/>
  <c r="F107" i="650"/>
  <c r="I108" i="650"/>
  <c r="Q108" i="650"/>
  <c r="L112" i="650"/>
  <c r="G113" i="650"/>
  <c r="O113" i="650"/>
  <c r="J117" i="650"/>
  <c r="H119" i="650"/>
  <c r="P119" i="650"/>
  <c r="K123" i="650"/>
  <c r="AG121" i="4"/>
  <c r="AJ121" i="4" s="1"/>
  <c r="F124" i="650"/>
  <c r="N124" i="650"/>
  <c r="I125" i="650"/>
  <c r="L129" i="650"/>
  <c r="G130" i="650"/>
  <c r="J131" i="650"/>
  <c r="H136" i="650"/>
  <c r="P136" i="650"/>
  <c r="K140" i="650"/>
  <c r="F141" i="650"/>
  <c r="I142" i="650"/>
  <c r="AG140" i="4"/>
  <c r="AJ140" i="4" s="1"/>
  <c r="Q142" i="650"/>
  <c r="J155" i="650"/>
  <c r="J156" i="650" s="1"/>
  <c r="AI153" i="4"/>
  <c r="F1105" i="6"/>
  <c r="F1106" i="6" s="1"/>
  <c r="F51" i="2" s="1"/>
  <c r="AY153" i="4"/>
  <c r="AY154" i="4" s="1"/>
  <c r="M159" i="650"/>
  <c r="H160" i="650"/>
  <c r="P160" i="650"/>
  <c r="F162" i="650"/>
  <c r="I166" i="650"/>
  <c r="L167" i="650"/>
  <c r="O168" i="650"/>
  <c r="J169" i="650"/>
  <c r="AI167" i="4"/>
  <c r="R169" i="650"/>
  <c r="U169" i="650" s="1"/>
  <c r="F1119" i="6"/>
  <c r="H174" i="650"/>
  <c r="P174" i="650"/>
  <c r="F176" i="650"/>
  <c r="N176" i="650"/>
  <c r="D18" i="16"/>
  <c r="L205" i="650"/>
  <c r="L215" i="650"/>
  <c r="G216" i="650"/>
  <c r="O216" i="650"/>
  <c r="J220" i="650"/>
  <c r="AY218" i="4"/>
  <c r="AI222" i="4"/>
  <c r="M221" i="650"/>
  <c r="H222" i="650"/>
  <c r="AG220" i="4"/>
  <c r="P222" i="650"/>
  <c r="K223" i="650"/>
  <c r="N227" i="650"/>
  <c r="AC227" i="650" s="1"/>
  <c r="L232" i="650"/>
  <c r="O233" i="650"/>
  <c r="J237" i="650"/>
  <c r="Y237" i="650" s="1"/>
  <c r="Y238" i="650" s="1"/>
  <c r="R237" i="650"/>
  <c r="AG237" i="650" s="1"/>
  <c r="AG238" i="650" s="1"/>
  <c r="AI236" i="4"/>
  <c r="M241" i="650"/>
  <c r="P242" i="650"/>
  <c r="K243" i="650"/>
  <c r="F244" i="650"/>
  <c r="N244" i="650"/>
  <c r="I248" i="650"/>
  <c r="Q248" i="650"/>
  <c r="L249" i="650"/>
  <c r="O250" i="650"/>
  <c r="AG254" i="4"/>
  <c r="P256" i="650"/>
  <c r="F258" i="650"/>
  <c r="N258" i="650"/>
  <c r="AG16" i="4"/>
  <c r="AG241" i="4"/>
  <c r="AG164" i="4"/>
  <c r="AY16" i="4"/>
  <c r="AY214" i="4"/>
  <c r="AG214" i="4"/>
  <c r="F1201" i="6"/>
  <c r="F799" i="6"/>
  <c r="F711" i="6"/>
  <c r="AG33" i="4"/>
  <c r="AJ33" i="4" s="1"/>
  <c r="F72" i="650"/>
  <c r="P221" i="650"/>
  <c r="K175" i="650"/>
  <c r="O130" i="650"/>
  <c r="F123" i="650"/>
  <c r="I28" i="650"/>
  <c r="M173" i="650"/>
  <c r="M118" i="650"/>
  <c r="F687" i="6"/>
  <c r="F759" i="6"/>
  <c r="F466" i="6"/>
  <c r="L8" i="650"/>
  <c r="B18" i="16"/>
  <c r="J18" i="650"/>
  <c r="G29" i="650"/>
  <c r="J35" i="650"/>
  <c r="AI33" i="4"/>
  <c r="AG38" i="4"/>
  <c r="AG50" i="4"/>
  <c r="AG64" i="4"/>
  <c r="L76" i="650"/>
  <c r="F1030" i="6"/>
  <c r="I90" i="650"/>
  <c r="G112" i="650"/>
  <c r="F1062" i="6"/>
  <c r="AI111" i="4"/>
  <c r="H118" i="650"/>
  <c r="AG116" i="4"/>
  <c r="H135" i="650"/>
  <c r="I162" i="650"/>
  <c r="K174" i="650"/>
  <c r="I176" i="650"/>
  <c r="F209" i="650"/>
  <c r="I213" i="650"/>
  <c r="AG211" i="4"/>
  <c r="L214" i="650"/>
  <c r="J216" i="650"/>
  <c r="I227" i="650"/>
  <c r="X227" i="650" s="1"/>
  <c r="M237" i="650"/>
  <c r="AB237" i="650" s="1"/>
  <c r="AB238" i="650" s="1"/>
  <c r="R250" i="650"/>
  <c r="AI248" i="4"/>
  <c r="F1200" i="6"/>
  <c r="AG253" i="4"/>
  <c r="K256" i="650"/>
  <c r="N257" i="650"/>
  <c r="Q258" i="650"/>
  <c r="AG128" i="4"/>
  <c r="AJ128" i="4" s="1"/>
  <c r="AG133" i="4"/>
  <c r="AJ133" i="4" s="1"/>
  <c r="F1079" i="6"/>
  <c r="AG122" i="4"/>
  <c r="AJ122" i="4" s="1"/>
  <c r="AG23" i="4"/>
  <c r="AJ23" i="4" s="1"/>
  <c r="AI249" i="4"/>
  <c r="AI115" i="4"/>
  <c r="AY129" i="4"/>
  <c r="AY248" i="4"/>
  <c r="F1080" i="6"/>
  <c r="F967" i="6"/>
  <c r="F691" i="6"/>
  <c r="AI235" i="4"/>
  <c r="R81" i="650"/>
  <c r="M255" i="650"/>
  <c r="O81" i="650"/>
  <c r="M40" i="650"/>
  <c r="I141" i="650"/>
  <c r="R131" i="650"/>
  <c r="U131" i="650" s="1"/>
  <c r="AY59" i="4"/>
  <c r="AI61" i="4"/>
  <c r="AY61" i="4" s="1"/>
  <c r="I72" i="650"/>
  <c r="Q90" i="650"/>
  <c r="G95" i="650"/>
  <c r="AI166" i="4"/>
  <c r="N209" i="650"/>
  <c r="AC209" i="650" s="1"/>
  <c r="N223" i="650"/>
  <c r="G232" i="650"/>
  <c r="AG230" i="4"/>
  <c r="R233" i="650"/>
  <c r="U233" i="650" s="1"/>
  <c r="F1183" i="6"/>
  <c r="AY231" i="4"/>
  <c r="AG111" i="4"/>
  <c r="AG172" i="4"/>
  <c r="AY128" i="4"/>
  <c r="AG34" i="4"/>
  <c r="AJ34" i="4" s="1"/>
  <c r="AG100" i="4"/>
  <c r="AG174" i="4"/>
  <c r="AG94" i="4"/>
  <c r="AG59" i="4"/>
  <c r="AY249" i="4"/>
  <c r="AI79" i="4"/>
  <c r="F985" i="6"/>
  <c r="F986" i="6" s="1"/>
  <c r="F665" i="6"/>
  <c r="F486" i="6"/>
  <c r="AG153" i="4"/>
  <c r="R18" i="650"/>
  <c r="Q214" i="650"/>
  <c r="H102" i="650"/>
  <c r="O232" i="650"/>
  <c r="Q227" i="650"/>
  <c r="AF227" i="650" s="1"/>
  <c r="O215" i="650"/>
  <c r="F48" i="650"/>
  <c r="F671" i="6"/>
  <c r="F731" i="6"/>
  <c r="F779" i="6"/>
  <c r="F827" i="6"/>
  <c r="N48" i="650"/>
  <c r="M62" i="650"/>
  <c r="Q72" i="650"/>
  <c r="F89" i="650"/>
  <c r="M117" i="650"/>
  <c r="L166" i="650"/>
  <c r="Q176" i="650"/>
  <c r="Q213" i="650"/>
  <c r="AI214" i="4"/>
  <c r="H221" i="650"/>
  <c r="F223" i="650"/>
  <c r="H241" i="650"/>
  <c r="AG242" i="4"/>
  <c r="M251" i="650"/>
  <c r="F257" i="650"/>
  <c r="AG213" i="4"/>
  <c r="AG160" i="4"/>
  <c r="AG60" i="4"/>
  <c r="AI128" i="4"/>
  <c r="AG167" i="4"/>
  <c r="AI98" i="4"/>
  <c r="AI21" i="4"/>
  <c r="AI218" i="4"/>
  <c r="AY80" i="4"/>
  <c r="AI129" i="4"/>
  <c r="AY166" i="4"/>
  <c r="F1066" i="6"/>
  <c r="F855" i="6"/>
  <c r="F482" i="6"/>
  <c r="Q94" i="650"/>
  <c r="P25" i="650"/>
  <c r="L77" i="650"/>
  <c r="L248" i="650"/>
  <c r="I244" i="650"/>
  <c r="K242" i="650"/>
  <c r="K222" i="650"/>
  <c r="M220" i="650"/>
  <c r="F213" i="650"/>
  <c r="N107" i="650"/>
  <c r="P255" i="650"/>
  <c r="G233" i="650"/>
  <c r="I228" i="650"/>
  <c r="X228" i="650" s="1"/>
  <c r="AN228" i="650" s="1"/>
  <c r="R220" i="650"/>
  <c r="F775" i="6"/>
  <c r="F24" i="650"/>
  <c r="Q25" i="650"/>
  <c r="L26" i="650"/>
  <c r="P35" i="650"/>
  <c r="I41" i="650"/>
  <c r="Q41" i="650"/>
  <c r="J56" i="650"/>
  <c r="K62" i="650"/>
  <c r="I67" i="650"/>
  <c r="G72" i="650"/>
  <c r="K82" i="650"/>
  <c r="O90" i="650"/>
  <c r="M95" i="650"/>
  <c r="Q102" i="650"/>
  <c r="P113" i="650"/>
  <c r="Q119" i="650"/>
  <c r="K131" i="650"/>
  <c r="L140" i="650"/>
  <c r="O141" i="650"/>
  <c r="R142" i="650"/>
  <c r="K155" i="650"/>
  <c r="K156" i="650" s="1"/>
  <c r="G162" i="650"/>
  <c r="I174" i="650"/>
  <c r="L175" i="650"/>
  <c r="G176" i="650"/>
  <c r="K251" i="650"/>
  <c r="I256" i="650"/>
  <c r="G258" i="650"/>
  <c r="O258" i="650"/>
  <c r="C43" i="647"/>
  <c r="F23" i="650"/>
  <c r="L25" i="650"/>
  <c r="J27" i="650"/>
  <c r="O48" i="650"/>
  <c r="F62" i="650"/>
  <c r="L67" i="650"/>
  <c r="O71" i="650"/>
  <c r="P77" i="650"/>
  <c r="O89" i="650"/>
  <c r="I101" i="650"/>
  <c r="L102" i="650"/>
  <c r="R107" i="650"/>
  <c r="G123" i="650"/>
  <c r="J124" i="650"/>
  <c r="H129" i="650"/>
  <c r="P129" i="650"/>
  <c r="F131" i="650"/>
  <c r="R141" i="650"/>
  <c r="M142" i="650"/>
  <c r="F155" i="650"/>
  <c r="F156" i="650" s="1"/>
  <c r="N155" i="650"/>
  <c r="N156" i="650" s="1"/>
  <c r="I159" i="650"/>
  <c r="O161" i="650"/>
  <c r="J162" i="650"/>
  <c r="M166" i="650"/>
  <c r="H167" i="650"/>
  <c r="P167" i="650"/>
  <c r="K168" i="650"/>
  <c r="F169" i="650"/>
  <c r="L174" i="650"/>
  <c r="J176" i="650"/>
  <c r="D14" i="648"/>
  <c r="M214" i="650"/>
  <c r="K216" i="650"/>
  <c r="N220" i="650"/>
  <c r="I221" i="650"/>
  <c r="R227" i="650"/>
  <c r="AG227" i="650" s="1"/>
  <c r="M228" i="650"/>
  <c r="H232" i="650"/>
  <c r="K233" i="650"/>
  <c r="L242" i="650"/>
  <c r="G243" i="650"/>
  <c r="O243" i="650"/>
  <c r="J244" i="650"/>
  <c r="D53" i="648"/>
  <c r="F53" i="648" s="1"/>
  <c r="D38" i="648"/>
  <c r="F412" i="6"/>
  <c r="T324" i="6"/>
  <c r="F660" i="6"/>
  <c r="F768" i="6"/>
  <c r="F884" i="6"/>
  <c r="C45" i="647"/>
  <c r="B13" i="16"/>
  <c r="B21" i="16"/>
  <c r="J17" i="650"/>
  <c r="AG15" i="4"/>
  <c r="AJ15" i="4" s="1"/>
  <c r="F966" i="6"/>
  <c r="AI18" i="4"/>
  <c r="AY18" i="4" s="1"/>
  <c r="AJ21" i="4"/>
  <c r="H23" i="650"/>
  <c r="F25" i="650"/>
  <c r="AG25" i="4"/>
  <c r="AJ25" i="4" s="1"/>
  <c r="L27" i="650"/>
  <c r="AG26" i="4"/>
  <c r="AJ26" i="4" s="1"/>
  <c r="G28" i="650"/>
  <c r="AY27" i="4"/>
  <c r="F978" i="6"/>
  <c r="AI27" i="4"/>
  <c r="AG27" i="4"/>
  <c r="AJ27" i="4" s="1"/>
  <c r="M35" i="650"/>
  <c r="H36" i="650"/>
  <c r="P36" i="650"/>
  <c r="K40" i="650"/>
  <c r="F41" i="650"/>
  <c r="I48" i="650"/>
  <c r="L52" i="650"/>
  <c r="AG54" i="4"/>
  <c r="J57" i="650"/>
  <c r="R57" i="650"/>
  <c r="F1006" i="6"/>
  <c r="AG55" i="4"/>
  <c r="AI55" i="4"/>
  <c r="AY55" i="4"/>
  <c r="M61" i="650"/>
  <c r="H62" i="650"/>
  <c r="P62" i="650"/>
  <c r="F67" i="650"/>
  <c r="Q71" i="650"/>
  <c r="L72" i="650"/>
  <c r="AG70" i="4"/>
  <c r="G76" i="650"/>
  <c r="AG74" i="4"/>
  <c r="J77" i="650"/>
  <c r="F1026" i="6"/>
  <c r="AI75" i="4"/>
  <c r="AG75" i="4"/>
  <c r="R77" i="650"/>
  <c r="AG79" i="4"/>
  <c r="M81" i="650"/>
  <c r="H82" i="650"/>
  <c r="P82" i="650"/>
  <c r="I89" i="650"/>
  <c r="L90" i="650"/>
  <c r="G94" i="650"/>
  <c r="R95" i="650"/>
  <c r="AY93" i="4"/>
  <c r="F1046" i="6"/>
  <c r="AI93" i="4"/>
  <c r="M96" i="650"/>
  <c r="H100" i="650"/>
  <c r="K101" i="650"/>
  <c r="AG99" i="4"/>
  <c r="F102" i="650"/>
  <c r="N102" i="650"/>
  <c r="Q106" i="650"/>
  <c r="L107" i="650"/>
  <c r="G108" i="650"/>
  <c r="J112" i="650"/>
  <c r="AI110" i="4"/>
  <c r="AY110" i="4"/>
  <c r="M113" i="650"/>
  <c r="AG115" i="4"/>
  <c r="H117" i="650"/>
  <c r="F119" i="650"/>
  <c r="AG117" i="4"/>
  <c r="N119" i="650"/>
  <c r="L124" i="650"/>
  <c r="AG123" i="4"/>
  <c r="AJ123" i="4" s="1"/>
  <c r="G125" i="650"/>
  <c r="O125" i="650"/>
  <c r="J129" i="650"/>
  <c r="AG127" i="4"/>
  <c r="AJ127" i="4" s="1"/>
  <c r="F1078" i="6"/>
  <c r="M130" i="650"/>
  <c r="H131" i="650"/>
  <c r="P131" i="650"/>
  <c r="K135" i="650"/>
  <c r="AG134" i="4"/>
  <c r="AJ134" i="4" s="1"/>
  <c r="F136" i="650"/>
  <c r="AG138" i="4"/>
  <c r="Q140" i="650"/>
  <c r="L141" i="650"/>
  <c r="G142" i="650"/>
  <c r="O142" i="650"/>
  <c r="H155" i="650"/>
  <c r="H156" i="650" s="1"/>
  <c r="P155" i="650"/>
  <c r="P156" i="650" s="1"/>
  <c r="K159" i="650"/>
  <c r="N160" i="650"/>
  <c r="AG159" i="4"/>
  <c r="I161" i="650"/>
  <c r="Q161" i="650"/>
  <c r="G166" i="650"/>
  <c r="R167" i="650"/>
  <c r="F1117" i="6"/>
  <c r="AI165" i="4"/>
  <c r="M168" i="650"/>
  <c r="P169" i="650"/>
  <c r="K173" i="650"/>
  <c r="N174" i="650"/>
  <c r="I175" i="650"/>
  <c r="AG173" i="4"/>
  <c r="Q175" i="650"/>
  <c r="AY203" i="4"/>
  <c r="I209" i="650"/>
  <c r="X209" i="650" s="1"/>
  <c r="AN209" i="650" s="1"/>
  <c r="AN210" i="650" s="1"/>
  <c r="AG207" i="4"/>
  <c r="L213" i="650"/>
  <c r="G214" i="650"/>
  <c r="O214" i="650"/>
  <c r="D16" i="648"/>
  <c r="AI213" i="4"/>
  <c r="F1165" i="6"/>
  <c r="R215" i="650"/>
  <c r="U215" i="650" s="1"/>
  <c r="H220" i="650"/>
  <c r="AG219" i="4"/>
  <c r="K221" i="650"/>
  <c r="N222" i="650"/>
  <c r="AG221" i="4"/>
  <c r="Q223" i="650"/>
  <c r="AG225" i="4"/>
  <c r="G228" i="650"/>
  <c r="V228" i="650" s="1"/>
  <c r="AL228" i="650" s="1"/>
  <c r="AG226" i="4"/>
  <c r="J232" i="650"/>
  <c r="AI230" i="4"/>
  <c r="AG231" i="4"/>
  <c r="M233" i="650"/>
  <c r="P237" i="650"/>
  <c r="AE237" i="650" s="1"/>
  <c r="AE238" i="650" s="1"/>
  <c r="F242" i="650"/>
  <c r="N242" i="650"/>
  <c r="Q243" i="650"/>
  <c r="G248" i="650"/>
  <c r="D29" i="648"/>
  <c r="F1199" i="6"/>
  <c r="AG247" i="4"/>
  <c r="R249" i="650"/>
  <c r="U249" i="650" s="1"/>
  <c r="AY247" i="4"/>
  <c r="M250" i="650"/>
  <c r="H251" i="650"/>
  <c r="AG249" i="4"/>
  <c r="K255" i="650"/>
  <c r="N256" i="650"/>
  <c r="Q257" i="650"/>
  <c r="AG256" i="4"/>
  <c r="F891" i="6"/>
  <c r="L66" i="650"/>
  <c r="L159" i="650"/>
  <c r="I8" i="650"/>
  <c r="Q8" i="650"/>
  <c r="L57" i="650"/>
  <c r="D21" i="648"/>
  <c r="D31" i="648"/>
  <c r="M17" i="650"/>
  <c r="J28" i="650"/>
  <c r="H61" i="650"/>
  <c r="J108" i="650"/>
  <c r="K117" i="650"/>
  <c r="D15" i="648"/>
  <c r="D28" i="648"/>
  <c r="F851" i="6"/>
  <c r="F697" i="6"/>
  <c r="F657" i="6"/>
  <c r="F650" i="6"/>
  <c r="F896" i="6"/>
  <c r="F790" i="6"/>
  <c r="C46" i="647"/>
  <c r="H8" i="650"/>
  <c r="P8" i="650"/>
  <c r="G17" i="650"/>
  <c r="O17" i="650"/>
  <c r="F18" i="650"/>
  <c r="H24" i="650"/>
  <c r="P24" i="650"/>
  <c r="G25" i="650"/>
  <c r="F26" i="650"/>
  <c r="J26" i="650"/>
  <c r="N26" i="650"/>
  <c r="R26" i="650"/>
  <c r="I27" i="650"/>
  <c r="M27" i="650"/>
  <c r="Q27" i="650"/>
  <c r="L28" i="650"/>
  <c r="K29" i="650"/>
  <c r="O29" i="650"/>
  <c r="F35" i="650"/>
  <c r="N35" i="650"/>
  <c r="I36" i="650"/>
  <c r="M36" i="650"/>
  <c r="H40" i="650"/>
  <c r="L40" i="650"/>
  <c r="P40" i="650"/>
  <c r="G41" i="650"/>
  <c r="K41" i="650"/>
  <c r="O41" i="650"/>
  <c r="J48" i="650"/>
  <c r="I52" i="650"/>
  <c r="Q52" i="650"/>
  <c r="H56" i="650"/>
  <c r="G57" i="650"/>
  <c r="K57" i="650"/>
  <c r="O57" i="650"/>
  <c r="F61" i="650"/>
  <c r="J61" i="650"/>
  <c r="R61" i="650"/>
  <c r="I62" i="650"/>
  <c r="Q62" i="650"/>
  <c r="H66" i="650"/>
  <c r="P66" i="650"/>
  <c r="G67" i="650"/>
  <c r="K67" i="650"/>
  <c r="F71" i="650"/>
  <c r="J71" i="650"/>
  <c r="N71" i="650"/>
  <c r="R71" i="650"/>
  <c r="G77" i="650"/>
  <c r="K77" i="650"/>
  <c r="O77" i="650"/>
  <c r="J81" i="650"/>
  <c r="N81" i="650"/>
  <c r="I82" i="650"/>
  <c r="M82" i="650"/>
  <c r="Q82" i="650"/>
  <c r="J89" i="650"/>
  <c r="M90" i="650"/>
  <c r="H94" i="650"/>
  <c r="L94" i="650"/>
  <c r="P94" i="650"/>
  <c r="O95" i="650"/>
  <c r="F96" i="650"/>
  <c r="J96" i="650"/>
  <c r="N96" i="650"/>
  <c r="R96" i="650"/>
  <c r="I100" i="650"/>
  <c r="M100" i="650"/>
  <c r="H101" i="650"/>
  <c r="P101" i="650"/>
  <c r="G102" i="650"/>
  <c r="O102" i="650"/>
  <c r="F106" i="650"/>
  <c r="J106" i="650"/>
  <c r="N106" i="650"/>
  <c r="I107" i="650"/>
  <c r="M107" i="650"/>
  <c r="Q107" i="650"/>
  <c r="L108" i="650"/>
  <c r="K112" i="650"/>
  <c r="O112" i="650"/>
  <c r="F113" i="650"/>
  <c r="J113" i="650"/>
  <c r="N113" i="650"/>
  <c r="R113" i="650"/>
  <c r="Q117" i="650"/>
  <c r="L118" i="650"/>
  <c r="G119" i="650"/>
  <c r="K119" i="650"/>
  <c r="O119" i="650"/>
  <c r="N123" i="650"/>
  <c r="R123" i="650"/>
  <c r="I124" i="650"/>
  <c r="Q124" i="650"/>
  <c r="P125" i="650"/>
  <c r="G129" i="650"/>
  <c r="O129" i="650"/>
  <c r="F130" i="650"/>
  <c r="J130" i="650"/>
  <c r="I131" i="650"/>
  <c r="M131" i="650"/>
  <c r="Q131" i="650"/>
  <c r="K136" i="650"/>
  <c r="F140" i="650"/>
  <c r="N140" i="650"/>
  <c r="R140" i="650"/>
  <c r="M141" i="650"/>
  <c r="Q141" i="650"/>
  <c r="H142" i="650"/>
  <c r="L142" i="650"/>
  <c r="P142" i="650"/>
  <c r="I155" i="650"/>
  <c r="I156" i="650" s="1"/>
  <c r="M155" i="650"/>
  <c r="Q155" i="650"/>
  <c r="Q156" i="650" s="1"/>
  <c r="H159" i="650"/>
  <c r="P159" i="650"/>
  <c r="G160" i="650"/>
  <c r="O160" i="650"/>
  <c r="F161" i="650"/>
  <c r="N161" i="650"/>
  <c r="R161" i="650"/>
  <c r="U161" i="650" s="1"/>
  <c r="V161" i="650" s="1"/>
  <c r="W161" i="650" s="1"/>
  <c r="X161" i="650" s="1"/>
  <c r="Y161" i="650" s="1"/>
  <c r="Z161" i="650" s="1"/>
  <c r="AA161" i="650" s="1"/>
  <c r="AB161" i="650" s="1"/>
  <c r="AC161" i="650" s="1"/>
  <c r="AD161" i="650" s="1"/>
  <c r="AE161" i="650" s="1"/>
  <c r="AF161" i="650" s="1"/>
  <c r="AG161" i="650" s="1"/>
  <c r="G167" i="650"/>
  <c r="I169" i="650"/>
  <c r="P173" i="650"/>
  <c r="G174" i="650"/>
  <c r="D17" i="648"/>
  <c r="D24" i="648"/>
  <c r="D52" i="648"/>
  <c r="F52" i="648" s="1"/>
  <c r="G249" i="650"/>
  <c r="K249" i="650"/>
  <c r="O249" i="650"/>
  <c r="J250" i="650"/>
  <c r="D30" i="648"/>
  <c r="D37" i="648"/>
  <c r="R168" i="650"/>
  <c r="U168" i="650" s="1"/>
  <c r="J168" i="650"/>
  <c r="O167" i="650"/>
  <c r="M258" i="650"/>
  <c r="R257" i="650"/>
  <c r="U257" i="650" s="1"/>
  <c r="J257" i="650"/>
  <c r="O256" i="650"/>
  <c r="G256" i="650"/>
  <c r="L255" i="650"/>
  <c r="Q251" i="650"/>
  <c r="I251" i="650"/>
  <c r="J243" i="650"/>
  <c r="K215" i="650"/>
  <c r="M213" i="650"/>
  <c r="R209" i="650"/>
  <c r="AG209" i="650" s="1"/>
  <c r="J209" i="650"/>
  <c r="Y209" i="650" s="1"/>
  <c r="O205" i="650"/>
  <c r="G205" i="650"/>
  <c r="N175" i="650"/>
  <c r="F175" i="650"/>
  <c r="H173" i="650"/>
  <c r="C44" i="647"/>
  <c r="F250" i="650"/>
  <c r="O242" i="650"/>
  <c r="F243" i="650"/>
  <c r="L241" i="650"/>
  <c r="Q237" i="650"/>
  <c r="AF237" i="650" s="1"/>
  <c r="AF238" i="650" s="1"/>
  <c r="I237" i="650"/>
  <c r="N233" i="650"/>
  <c r="F233" i="650"/>
  <c r="K232" i="650"/>
  <c r="P228" i="650"/>
  <c r="H228" i="650"/>
  <c r="W228" i="650" s="1"/>
  <c r="AM228" i="650" s="1"/>
  <c r="M227" i="650"/>
  <c r="AB227" i="650" s="1"/>
  <c r="R223" i="650"/>
  <c r="U223" i="650" s="1"/>
  <c r="J223" i="650"/>
  <c r="O222" i="650"/>
  <c r="G222" i="650"/>
  <c r="L221" i="650"/>
  <c r="Q220" i="650"/>
  <c r="I220" i="650"/>
  <c r="N216" i="650"/>
  <c r="F216" i="650"/>
  <c r="P214" i="650"/>
  <c r="L173" i="650"/>
  <c r="M169" i="650"/>
  <c r="P166" i="650"/>
  <c r="Q162" i="650"/>
  <c r="U629" i="6"/>
  <c r="U632" i="6" s="1"/>
  <c r="T609" i="6"/>
  <c r="Q584" i="6"/>
  <c r="Q544" i="6"/>
  <c r="Q524" i="6"/>
  <c r="U387" i="6"/>
  <c r="T316" i="6"/>
  <c r="BA263" i="650"/>
  <c r="AI261" i="4"/>
  <c r="U94" i="650"/>
  <c r="U76" i="650"/>
  <c r="U130" i="650"/>
  <c r="U72" i="650"/>
  <c r="T298" i="6"/>
  <c r="T559" i="6"/>
  <c r="R353" i="6"/>
  <c r="U359" i="6"/>
  <c r="R780" i="6"/>
  <c r="R760" i="6"/>
  <c r="U747" i="6"/>
  <c r="U727" i="6"/>
  <c r="R702" i="6"/>
  <c r="R442" i="6"/>
  <c r="T330" i="6"/>
  <c r="R234" i="6"/>
  <c r="R156" i="650"/>
  <c r="I336" i="6"/>
  <c r="E336" i="6"/>
  <c r="G26" i="5"/>
  <c r="F339" i="6"/>
  <c r="G268" i="6"/>
  <c r="AX250" i="3"/>
  <c r="AX336" i="3"/>
  <c r="G313" i="6"/>
  <c r="E313" i="6" s="1"/>
  <c r="G304" i="6"/>
  <c r="AX345" i="3"/>
  <c r="K913" i="3"/>
  <c r="L37" i="5" s="1"/>
  <c r="R355" i="3"/>
  <c r="R359" i="6"/>
  <c r="R427" i="6"/>
  <c r="R1012" i="6"/>
  <c r="F876" i="6"/>
  <c r="F861" i="6"/>
  <c r="F846" i="6"/>
  <c r="F742" i="6"/>
  <c r="F722" i="6"/>
  <c r="F702" i="6"/>
  <c r="F682" i="6"/>
  <c r="Q574" i="6"/>
  <c r="Q534" i="6"/>
  <c r="U427" i="6"/>
  <c r="F417" i="6"/>
  <c r="F392" i="6"/>
  <c r="R891" i="6"/>
  <c r="U780" i="6"/>
  <c r="U760" i="6"/>
  <c r="R717" i="6"/>
  <c r="R697" i="6"/>
  <c r="R677" i="6"/>
  <c r="Q462" i="6"/>
  <c r="U432" i="6"/>
  <c r="R402" i="6"/>
  <c r="F457" i="6"/>
  <c r="F477" i="6"/>
  <c r="F574" i="6"/>
  <c r="F432" i="6"/>
  <c r="F831" i="6"/>
  <c r="F818" i="6"/>
  <c r="F492" i="6"/>
  <c r="F422" i="6"/>
  <c r="F397" i="6"/>
  <c r="F604" i="6"/>
  <c r="R1152" i="6"/>
  <c r="F594" i="6"/>
  <c r="F717" i="6"/>
  <c r="R896" i="6"/>
  <c r="U828" i="6"/>
  <c r="R823" i="6"/>
  <c r="U717" i="6"/>
  <c r="U667" i="6"/>
  <c r="F569" i="6"/>
  <c r="F934" i="6"/>
  <c r="F866" i="6"/>
  <c r="F841" i="6"/>
  <c r="F813" i="6"/>
  <c r="F785" i="6"/>
  <c r="F765" i="6"/>
  <c r="F707" i="6"/>
  <c r="T201" i="6"/>
  <c r="U205" i="6"/>
  <c r="R1032" i="6"/>
  <c r="U823" i="6"/>
  <c r="U818" i="6"/>
  <c r="T790" i="6"/>
  <c r="R785" i="6"/>
  <c r="U804" i="6"/>
  <c r="R722" i="6"/>
  <c r="U707" i="6"/>
  <c r="R682" i="6"/>
  <c r="R662" i="6"/>
  <c r="R650" i="6"/>
  <c r="R629" i="6"/>
  <c r="R632" i="6" s="1"/>
  <c r="Q619" i="6"/>
  <c r="Q589" i="6"/>
  <c r="T554" i="6"/>
  <c r="T534" i="6"/>
  <c r="Q492" i="6"/>
  <c r="T487" i="6"/>
  <c r="R432" i="6"/>
  <c r="U412" i="6"/>
  <c r="R397" i="6"/>
  <c r="R392" i="6"/>
  <c r="R330" i="6"/>
  <c r="R325" i="6"/>
  <c r="R365" i="6" s="1"/>
  <c r="T280" i="6"/>
  <c r="T326" i="6"/>
  <c r="Q231" i="6"/>
  <c r="Q230" i="6"/>
  <c r="Q202" i="6"/>
  <c r="R207" i="6"/>
  <c r="T505" i="6"/>
  <c r="U692" i="6"/>
  <c r="R1184" i="6"/>
  <c r="U1012" i="6"/>
  <c r="R934" i="6"/>
  <c r="F633" i="6"/>
  <c r="F599" i="6"/>
  <c r="R1022" i="6"/>
  <c r="R991" i="6"/>
  <c r="U896" i="6"/>
  <c r="U881" i="6"/>
  <c r="R871" i="6"/>
  <c r="U866" i="6"/>
  <c r="U856" i="6"/>
  <c r="U841" i="6"/>
  <c r="R831" i="6"/>
  <c r="R775" i="6"/>
  <c r="U742" i="6"/>
  <c r="R737" i="6"/>
  <c r="U722" i="6"/>
  <c r="U702" i="6"/>
  <c r="U682" i="6"/>
  <c r="U662" i="6"/>
  <c r="R657" i="6"/>
  <c r="U650" i="6"/>
  <c r="T614" i="6"/>
  <c r="Q609" i="6"/>
  <c r="T604" i="6"/>
  <c r="Q599" i="6"/>
  <c r="T594" i="6"/>
  <c r="T584" i="6"/>
  <c r="Q579" i="6"/>
  <c r="T574" i="6"/>
  <c r="T564" i="6"/>
  <c r="Q559" i="6"/>
  <c r="T544" i="6"/>
  <c r="R539" i="6"/>
  <c r="Q529" i="6"/>
  <c r="T524" i="6"/>
  <c r="R497" i="6"/>
  <c r="T492" i="6"/>
  <c r="Q472" i="6"/>
  <c r="U457" i="6"/>
  <c r="R452" i="6"/>
  <c r="R447" i="6"/>
  <c r="U442" i="6"/>
  <c r="R437" i="6"/>
  <c r="U422" i="6"/>
  <c r="U417" i="6"/>
  <c r="T307" i="6"/>
  <c r="T231" i="6"/>
  <c r="T230" i="6"/>
  <c r="U1017" i="6"/>
  <c r="U1007" i="6"/>
  <c r="U986" i="6"/>
  <c r="U891" i="6"/>
  <c r="R881" i="6"/>
  <c r="R866" i="6"/>
  <c r="R856" i="6"/>
  <c r="U851" i="6"/>
  <c r="R841" i="6"/>
  <c r="U813" i="6"/>
  <c r="T795" i="6"/>
  <c r="Q790" i="6"/>
  <c r="U765" i="6"/>
  <c r="R742" i="6"/>
  <c r="U687" i="6"/>
  <c r="U1022" i="6"/>
  <c r="R1002" i="6"/>
  <c r="U785" i="6"/>
  <c r="R712" i="6"/>
  <c r="T635" i="6"/>
  <c r="R506" i="6"/>
  <c r="U506" i="6"/>
  <c r="U452" i="6"/>
  <c r="R407" i="6"/>
  <c r="U402" i="6"/>
  <c r="U397" i="6"/>
  <c r="Q382" i="6"/>
  <c r="U353" i="6"/>
  <c r="Q326" i="6"/>
  <c r="U236" i="6"/>
  <c r="U206" i="6"/>
  <c r="U207" i="6"/>
  <c r="Q201" i="6"/>
  <c r="R200" i="6"/>
  <c r="U200" i="6"/>
  <c r="U234" i="6"/>
  <c r="R818" i="6"/>
  <c r="Q505" i="6"/>
  <c r="T501" i="6"/>
  <c r="U861" i="6"/>
  <c r="U770" i="6"/>
  <c r="R765" i="6"/>
  <c r="U732" i="6"/>
  <c r="T624" i="6"/>
  <c r="Q569" i="6"/>
  <c r="Q549" i="6"/>
  <c r="R1120" i="6"/>
  <c r="F579" i="6"/>
  <c r="F544" i="6"/>
  <c r="F589" i="6"/>
  <c r="F534" i="6"/>
  <c r="Q37" i="652"/>
  <c r="F624" i="6"/>
  <c r="F584" i="6"/>
  <c r="F549" i="6"/>
  <c r="F619" i="6"/>
  <c r="F559" i="6"/>
  <c r="F609" i="6"/>
  <c r="F564" i="6"/>
  <c r="F529" i="6"/>
  <c r="R1179" i="6"/>
  <c r="U1032" i="6"/>
  <c r="U991" i="6"/>
  <c r="R969" i="6"/>
  <c r="R886" i="6"/>
  <c r="R876" i="6"/>
  <c r="U871" i="6"/>
  <c r="R861" i="6"/>
  <c r="U831" i="6"/>
  <c r="R800" i="6"/>
  <c r="U775" i="6"/>
  <c r="R770" i="6"/>
  <c r="U737" i="6"/>
  <c r="R732" i="6"/>
  <c r="U697" i="6"/>
  <c r="R692" i="6"/>
  <c r="U677" i="6"/>
  <c r="Q624" i="6"/>
  <c r="T619" i="6"/>
  <c r="Q614" i="6"/>
  <c r="Q604" i="6"/>
  <c r="T599" i="6"/>
  <c r="Q594" i="6"/>
  <c r="T589" i="6"/>
  <c r="T579" i="6"/>
  <c r="T569" i="6"/>
  <c r="Q564" i="6"/>
  <c r="Q554" i="6"/>
  <c r="T549" i="6"/>
  <c r="T529" i="6"/>
  <c r="T472" i="6"/>
  <c r="T462" i="6"/>
  <c r="U447" i="6"/>
  <c r="U437" i="6"/>
  <c r="R412" i="6"/>
  <c r="U407" i="6"/>
  <c r="R387" i="6"/>
  <c r="T382" i="6"/>
  <c r="R229" i="6"/>
  <c r="U832" i="6"/>
  <c r="U900" i="6"/>
  <c r="R1209" i="6"/>
  <c r="R1202" i="6"/>
  <c r="R1219" i="6"/>
  <c r="R1174" i="6"/>
  <c r="R1167" i="6"/>
  <c r="R1218" i="6"/>
  <c r="R1217" i="6"/>
  <c r="R1017" i="6"/>
  <c r="U1002" i="6"/>
  <c r="U934" i="6"/>
  <c r="R924" i="6"/>
  <c r="R917" i="6"/>
  <c r="R900" i="6"/>
  <c r="U886" i="6"/>
  <c r="U800" i="6"/>
  <c r="Q795" i="6"/>
  <c r="R804" i="6"/>
  <c r="R747" i="6"/>
  <c r="R727" i="6"/>
  <c r="U712" i="6"/>
  <c r="R707" i="6"/>
  <c r="R687" i="6"/>
  <c r="R667" i="6"/>
  <c r="T633" i="6"/>
  <c r="U502" i="6"/>
  <c r="Q487" i="6"/>
  <c r="R502" i="6"/>
  <c r="R422" i="6"/>
  <c r="R417" i="6"/>
  <c r="U392" i="6"/>
  <c r="R236" i="6"/>
  <c r="U229" i="6"/>
  <c r="R206" i="6"/>
  <c r="R1127" i="6"/>
  <c r="U1113" i="6"/>
  <c r="R1113" i="6"/>
  <c r="R1195" i="6"/>
  <c r="U1219" i="6"/>
  <c r="T980" i="6"/>
  <c r="T1098" i="6" s="1"/>
  <c r="R980" i="6"/>
  <c r="R813" i="6"/>
  <c r="R832" i="6"/>
  <c r="U672" i="6"/>
  <c r="U751" i="6"/>
  <c r="R672" i="6"/>
  <c r="R750" i="6"/>
  <c r="U750" i="6"/>
  <c r="Q633" i="6"/>
  <c r="Q501" i="6"/>
  <c r="T325" i="6"/>
  <c r="T365" i="6" s="1"/>
  <c r="T289" i="6"/>
  <c r="R329" i="6"/>
  <c r="R331" i="6"/>
  <c r="R323" i="6"/>
  <c r="T202" i="6"/>
  <c r="R205" i="6"/>
  <c r="U1152" i="6"/>
  <c r="U1218" i="6"/>
  <c r="R899" i="6"/>
  <c r="U899" i="6"/>
  <c r="U657" i="6"/>
  <c r="R751" i="6"/>
  <c r="U1179" i="6"/>
  <c r="U1217" i="6"/>
  <c r="R1027" i="6"/>
  <c r="U497" i="6"/>
  <c r="R457" i="6"/>
  <c r="R1216" i="6"/>
  <c r="R1007" i="6"/>
  <c r="R986" i="6"/>
  <c r="U969" i="6"/>
  <c r="U876" i="6"/>
  <c r="R851" i="6"/>
  <c r="R828" i="6"/>
  <c r="U1027" i="6"/>
  <c r="G318" i="6"/>
  <c r="AX318" i="3" s="1"/>
  <c r="F524" i="6"/>
  <c r="H1228" i="6"/>
  <c r="H1102" i="6"/>
  <c r="H1144" i="6" s="1"/>
  <c r="AX295" i="3"/>
  <c r="E295" i="6"/>
  <c r="I295" i="6"/>
  <c r="L15" i="14"/>
  <c r="J16" i="14" s="1"/>
  <c r="F554" i="6"/>
  <c r="Y21" i="6"/>
  <c r="H67" i="2"/>
  <c r="G29" i="5"/>
  <c r="AL568" i="651"/>
  <c r="AJ702" i="651"/>
  <c r="AF760" i="651"/>
  <c r="AF553" i="651"/>
  <c r="H262" i="650"/>
  <c r="AM261" i="4"/>
  <c r="AC65" i="641"/>
  <c r="AD22" i="641"/>
  <c r="AD24" i="641" s="1"/>
  <c r="AA24" i="641"/>
  <c r="AB20" i="641"/>
  <c r="Z54" i="641"/>
  <c r="AC59" i="641"/>
  <c r="AC14" i="641"/>
  <c r="AC16" i="641" s="1"/>
  <c r="Y41" i="641"/>
  <c r="Y43" i="641"/>
  <c r="AD57" i="641"/>
  <c r="F173" i="15"/>
  <c r="Y28" i="641"/>
  <c r="AA30" i="641"/>
  <c r="AD30" i="641" s="1"/>
  <c r="AC32" i="641"/>
  <c r="AD32" i="641" s="1"/>
  <c r="Y58" i="641"/>
  <c r="R1205" i="3"/>
  <c r="E17" i="648" l="1"/>
  <c r="E16" i="648"/>
  <c r="E22" i="648"/>
  <c r="E31" i="648"/>
  <c r="Y7" i="670"/>
  <c r="Y6" i="670" s="1"/>
  <c r="Z7" i="670" s="1"/>
  <c r="AD27" i="641"/>
  <c r="AD34" i="641" s="1"/>
  <c r="AE27" i="670"/>
  <c r="F20" i="1"/>
  <c r="L20" i="12" s="1"/>
  <c r="L23" i="12" s="1"/>
  <c r="R33" i="20"/>
  <c r="D5" i="20" s="1"/>
  <c r="U107" i="650"/>
  <c r="U48" i="650"/>
  <c r="U67" i="650"/>
  <c r="U102" i="650"/>
  <c r="U119" i="650"/>
  <c r="U41" i="650"/>
  <c r="U96" i="650"/>
  <c r="U100" i="650"/>
  <c r="U108" i="650"/>
  <c r="AD229" i="650"/>
  <c r="U117" i="650"/>
  <c r="U112" i="650"/>
  <c r="Y228" i="650"/>
  <c r="Y229" i="650" s="1"/>
  <c r="G266" i="650"/>
  <c r="AI147" i="4"/>
  <c r="AI148" i="4"/>
  <c r="AE228" i="650"/>
  <c r="AU228" i="650" s="1"/>
  <c r="Z228" i="650"/>
  <c r="Z229" i="650" s="1"/>
  <c r="G238" i="650"/>
  <c r="V237" i="650"/>
  <c r="X229" i="650"/>
  <c r="AN227" i="650"/>
  <c r="AN229" i="650" s="1"/>
  <c r="W229" i="650"/>
  <c r="AM227" i="650"/>
  <c r="AM229" i="650" s="1"/>
  <c r="AA228" i="650"/>
  <c r="AA229" i="650" s="1"/>
  <c r="V229" i="650"/>
  <c r="AL227" i="650"/>
  <c r="AL229" i="650" s="1"/>
  <c r="AG229" i="650"/>
  <c r="AF228" i="650"/>
  <c r="AF229" i="650" s="1"/>
  <c r="H269" i="650"/>
  <c r="W238" i="650"/>
  <c r="AM237" i="650"/>
  <c r="AM238" i="650" s="1"/>
  <c r="AB228" i="650"/>
  <c r="AR228" i="650" s="1"/>
  <c r="I238" i="650"/>
  <c r="X237" i="650"/>
  <c r="AC228" i="650"/>
  <c r="AC229" i="650" s="1"/>
  <c r="F322" i="15"/>
  <c r="H8" i="647"/>
  <c r="J266" i="650"/>
  <c r="K266" i="650"/>
  <c r="AR209" i="650"/>
  <c r="AR210" i="650" s="1"/>
  <c r="N206" i="650"/>
  <c r="N266" i="650"/>
  <c r="AW209" i="650"/>
  <c r="AW210" i="650" s="1"/>
  <c r="H206" i="650"/>
  <c r="H266" i="650"/>
  <c r="AP209" i="650"/>
  <c r="AP210" i="650" s="1"/>
  <c r="M206" i="650"/>
  <c r="M266" i="650"/>
  <c r="AQ209" i="650"/>
  <c r="AQ210" i="650" s="1"/>
  <c r="R266" i="650"/>
  <c r="AU209" i="650"/>
  <c r="AU210" i="650" s="1"/>
  <c r="I206" i="650"/>
  <c r="I266" i="650"/>
  <c r="O266" i="650"/>
  <c r="AS209" i="650"/>
  <c r="AS210" i="650" s="1"/>
  <c r="L266" i="650"/>
  <c r="P206" i="650"/>
  <c r="P266" i="650"/>
  <c r="G210" i="650"/>
  <c r="V210" i="650" s="1"/>
  <c r="G269" i="650"/>
  <c r="AT209" i="650"/>
  <c r="AT210" i="650" s="1"/>
  <c r="AO209" i="650"/>
  <c r="AO210" i="650" s="1"/>
  <c r="Q206" i="650"/>
  <c r="Q266" i="650"/>
  <c r="N149" i="650"/>
  <c r="N189" i="650" s="1"/>
  <c r="I150" i="650"/>
  <c r="I190" i="650" s="1"/>
  <c r="O150" i="650"/>
  <c r="O190" i="650" s="1"/>
  <c r="M150" i="650"/>
  <c r="M190" i="650" s="1"/>
  <c r="K150" i="650"/>
  <c r="K190" i="650" s="1"/>
  <c r="G149" i="650"/>
  <c r="G189" i="650" s="1"/>
  <c r="M149" i="650"/>
  <c r="M189" i="650" s="1"/>
  <c r="R150" i="650"/>
  <c r="R190" i="650" s="1"/>
  <c r="N150" i="650"/>
  <c r="N190" i="650" s="1"/>
  <c r="P150" i="650"/>
  <c r="P190" i="650" s="1"/>
  <c r="H149" i="650"/>
  <c r="J149" i="650"/>
  <c r="R149" i="650"/>
  <c r="K149" i="650"/>
  <c r="K189" i="650" s="1"/>
  <c r="G150" i="650"/>
  <c r="G190" i="650" s="1"/>
  <c r="L149" i="650"/>
  <c r="L189" i="650" s="1"/>
  <c r="H150" i="650"/>
  <c r="H190" i="650" s="1"/>
  <c r="O149" i="650"/>
  <c r="O189" i="650" s="1"/>
  <c r="J150" i="650"/>
  <c r="J190" i="650" s="1"/>
  <c r="P149" i="650"/>
  <c r="P189" i="650" s="1"/>
  <c r="Q150" i="650"/>
  <c r="Q190" i="650" s="1"/>
  <c r="L150" i="650"/>
  <c r="L190" i="650" s="1"/>
  <c r="I149" i="650"/>
  <c r="I189" i="650" s="1"/>
  <c r="Q149" i="650"/>
  <c r="Q189" i="650" s="1"/>
  <c r="F150" i="650"/>
  <c r="F190" i="650" s="1"/>
  <c r="F149" i="650"/>
  <c r="F189" i="650" s="1"/>
  <c r="F1100" i="6"/>
  <c r="F1140" i="6" s="1"/>
  <c r="F1099" i="6"/>
  <c r="F1139" i="6" s="1"/>
  <c r="R1098" i="6"/>
  <c r="R1102" i="6" s="1"/>
  <c r="R1144" i="6" s="1"/>
  <c r="R1034" i="6"/>
  <c r="U1034" i="6"/>
  <c r="S171" i="647"/>
  <c r="F26" i="647"/>
  <c r="AJ231" i="4"/>
  <c r="AJ239" i="4"/>
  <c r="AJ174" i="4"/>
  <c r="AJ226" i="4"/>
  <c r="AJ160" i="4"/>
  <c r="AJ172" i="4"/>
  <c r="AJ165" i="4"/>
  <c r="AJ157" i="4"/>
  <c r="AJ240" i="4"/>
  <c r="AJ158" i="4"/>
  <c r="AJ213" i="4"/>
  <c r="AJ241" i="4"/>
  <c r="AJ171" i="4"/>
  <c r="AJ153" i="4"/>
  <c r="AJ219" i="4"/>
  <c r="AJ167" i="4"/>
  <c r="AJ253" i="4"/>
  <c r="AJ254" i="4"/>
  <c r="AJ159" i="4"/>
  <c r="AJ166" i="4"/>
  <c r="AJ247" i="4"/>
  <c r="AJ242" i="4"/>
  <c r="AJ220" i="4"/>
  <c r="AJ255" i="4"/>
  <c r="AJ164" i="4"/>
  <c r="AJ212" i="4"/>
  <c r="AJ256" i="4"/>
  <c r="AJ249" i="4"/>
  <c r="AJ221" i="4"/>
  <c r="AJ230" i="4"/>
  <c r="AJ214" i="4"/>
  <c r="AJ218" i="4"/>
  <c r="AJ75" i="4"/>
  <c r="AJ70" i="4"/>
  <c r="AJ93" i="4"/>
  <c r="AJ111" i="4"/>
  <c r="AJ110" i="4"/>
  <c r="AJ106" i="4"/>
  <c r="AJ98" i="4"/>
  <c r="AJ80" i="4"/>
  <c r="AJ59" i="4"/>
  <c r="AJ64" i="4"/>
  <c r="AJ88" i="4"/>
  <c r="AJ105" i="4"/>
  <c r="AJ74" i="4"/>
  <c r="AJ94" i="4"/>
  <c r="AJ116" i="4"/>
  <c r="AJ50" i="4"/>
  <c r="AJ55" i="4"/>
  <c r="AJ100" i="4"/>
  <c r="AJ69" i="4"/>
  <c r="AJ117" i="4"/>
  <c r="AJ87" i="4"/>
  <c r="AJ104" i="4"/>
  <c r="AJ99" i="4"/>
  <c r="AO227" i="650"/>
  <c r="AR227" i="650"/>
  <c r="P238" i="650"/>
  <c r="AV227" i="650"/>
  <c r="AR237" i="650"/>
  <c r="AR238" i="650" s="1"/>
  <c r="AP227" i="650"/>
  <c r="AO237" i="650"/>
  <c r="AO238" i="650" s="1"/>
  <c r="U228" i="650"/>
  <c r="AW228" i="650"/>
  <c r="O238" i="650"/>
  <c r="Q238" i="650"/>
  <c r="AW227" i="650"/>
  <c r="AW237" i="650"/>
  <c r="AW238" i="650" s="1"/>
  <c r="AS227" i="650"/>
  <c r="AT227" i="650"/>
  <c r="AT229" i="650" s="1"/>
  <c r="AS237" i="650"/>
  <c r="AS238" i="650" s="1"/>
  <c r="AQ237" i="650"/>
  <c r="AQ238" i="650" s="1"/>
  <c r="AU227" i="650"/>
  <c r="F502" i="6"/>
  <c r="Z65" i="641"/>
  <c r="I43" i="647"/>
  <c r="A64" i="5"/>
  <c r="A65" i="5" s="1"/>
  <c r="A66" i="5" s="1"/>
  <c r="A67" i="5" s="1"/>
  <c r="A68" i="5" s="1"/>
  <c r="A69" i="5" s="1"/>
  <c r="A70" i="5" s="1"/>
  <c r="A71" i="5" s="1"/>
  <c r="A74" i="5" s="1"/>
  <c r="I6" i="3"/>
  <c r="J4" i="5" s="1"/>
  <c r="I4" i="5"/>
  <c r="H43" i="647"/>
  <c r="U26" i="650"/>
  <c r="U25" i="650"/>
  <c r="D26" i="16"/>
  <c r="U27" i="650"/>
  <c r="U24" i="650"/>
  <c r="H14" i="2"/>
  <c r="H30" i="2"/>
  <c r="F248" i="6"/>
  <c r="F253" i="6" s="1"/>
  <c r="F19" i="1"/>
  <c r="F21" i="1"/>
  <c r="R1139" i="6"/>
  <c r="R1226" i="6" s="1"/>
  <c r="R1258" i="6" s="1"/>
  <c r="Q42" i="20"/>
  <c r="AJ261" i="4"/>
  <c r="R206" i="650"/>
  <c r="AI621" i="651"/>
  <c r="AT596" i="651"/>
  <c r="AT519" i="651"/>
  <c r="AT665" i="651"/>
  <c r="AK538" i="651"/>
  <c r="AK621" i="651"/>
  <c r="F54" i="648"/>
  <c r="F204" i="15"/>
  <c r="D43" i="50" s="1"/>
  <c r="F321" i="6"/>
  <c r="F354" i="15"/>
  <c r="F102" i="6"/>
  <c r="AG264" i="4"/>
  <c r="D66" i="12"/>
  <c r="F770" i="6"/>
  <c r="F924" i="6"/>
  <c r="F672" i="6"/>
  <c r="F747" i="6"/>
  <c r="F632" i="6"/>
  <c r="F662" i="6"/>
  <c r="F780" i="6"/>
  <c r="F760" i="6"/>
  <c r="F732" i="6"/>
  <c r="F36" i="2"/>
  <c r="F667" i="6"/>
  <c r="F886" i="6"/>
  <c r="F692" i="6"/>
  <c r="F329" i="15"/>
  <c r="F138" i="6"/>
  <c r="AJ173" i="4"/>
  <c r="U175" i="650"/>
  <c r="T8" i="650"/>
  <c r="W8" i="650"/>
  <c r="F316" i="6"/>
  <c r="H368" i="6"/>
  <c r="H512" i="6" s="1"/>
  <c r="F129" i="6"/>
  <c r="AD15" i="641"/>
  <c r="F323" i="15"/>
  <c r="AD48" i="641"/>
  <c r="AC54" i="641"/>
  <c r="AC68" i="641" s="1"/>
  <c r="F329" i="6"/>
  <c r="AD53" i="641"/>
  <c r="AT576" i="651"/>
  <c r="AD42" i="641"/>
  <c r="AT724" i="651"/>
  <c r="AJ705" i="651"/>
  <c r="AT692" i="651"/>
  <c r="F183" i="6"/>
  <c r="Y16" i="641"/>
  <c r="F359" i="6"/>
  <c r="H13" i="2"/>
  <c r="AP538" i="651"/>
  <c r="AP624" i="651" s="1"/>
  <c r="F257" i="6"/>
  <c r="F262" i="6" s="1"/>
  <c r="AI666" i="651"/>
  <c r="AT666" i="651" s="1"/>
  <c r="AD59" i="641"/>
  <c r="AP760" i="651"/>
  <c r="AT537" i="651"/>
  <c r="C13" i="12"/>
  <c r="F320" i="6"/>
  <c r="Z34" i="641"/>
  <c r="Z36" i="641" s="1"/>
  <c r="Z74" i="641" s="1"/>
  <c r="AI736" i="651"/>
  <c r="AT736" i="651" s="1"/>
  <c r="T447" i="641"/>
  <c r="T498" i="641" s="1"/>
  <c r="AA54" i="641"/>
  <c r="AA68" i="641" s="1"/>
  <c r="F174" i="6"/>
  <c r="AD19" i="641"/>
  <c r="AD20" i="641" s="1"/>
  <c r="AH705" i="651"/>
  <c r="AA48" i="641"/>
  <c r="F147" i="6"/>
  <c r="AN622" i="651"/>
  <c r="AI702" i="651"/>
  <c r="AT702" i="651" s="1"/>
  <c r="F280" i="6"/>
  <c r="F58" i="650"/>
  <c r="AT571" i="651"/>
  <c r="R116" i="651"/>
  <c r="U101" i="650"/>
  <c r="AE705" i="651"/>
  <c r="Z67" i="641"/>
  <c r="P116" i="651"/>
  <c r="F205" i="6"/>
  <c r="O169" i="651"/>
  <c r="B3" i="1"/>
  <c r="A4" i="667" s="1"/>
  <c r="AT644" i="651"/>
  <c r="AT533" i="651"/>
  <c r="AT718" i="651"/>
  <c r="AT542" i="651"/>
  <c r="AD13" i="641"/>
  <c r="H23" i="2"/>
  <c r="H24" i="2" s="1"/>
  <c r="H640" i="6"/>
  <c r="H1236" i="6" s="1"/>
  <c r="AB68" i="641"/>
  <c r="F355" i="6"/>
  <c r="F330" i="15"/>
  <c r="Y59" i="641"/>
  <c r="AA16" i="641"/>
  <c r="AT612" i="651"/>
  <c r="AI720" i="651"/>
  <c r="AT720" i="651" s="1"/>
  <c r="T465" i="641"/>
  <c r="T500" i="641" s="1"/>
  <c r="AT660" i="651"/>
  <c r="AT639" i="651"/>
  <c r="AK705" i="651"/>
  <c r="F328" i="15"/>
  <c r="X61" i="641"/>
  <c r="X75" i="641" s="1"/>
  <c r="AM761" i="651"/>
  <c r="O251" i="651"/>
  <c r="H15" i="2"/>
  <c r="R197" i="651"/>
  <c r="F61" i="6"/>
  <c r="F66" i="6" s="1"/>
  <c r="E19" i="657"/>
  <c r="E20" i="657" s="1"/>
  <c r="E14" i="657"/>
  <c r="AS641" i="651"/>
  <c r="AK761" i="651"/>
  <c r="P251" i="651"/>
  <c r="P197" i="651"/>
  <c r="AM705" i="651"/>
  <c r="F207" i="6"/>
  <c r="AB759" i="651"/>
  <c r="Q251" i="651"/>
  <c r="AT598" i="651"/>
  <c r="P169" i="651"/>
  <c r="O197" i="651"/>
  <c r="AT651" i="651"/>
  <c r="AS761" i="651"/>
  <c r="AT617" i="651"/>
  <c r="AD52" i="641"/>
  <c r="O22" i="1"/>
  <c r="O23" i="1" s="1"/>
  <c r="O24" i="1" s="1"/>
  <c r="O25" i="1" s="1"/>
  <c r="O26" i="1" s="1"/>
  <c r="O27" i="1" s="1"/>
  <c r="F326" i="6"/>
  <c r="AL621" i="651"/>
  <c r="AT646" i="651"/>
  <c r="AS646" i="651"/>
  <c r="AN705" i="651"/>
  <c r="Q116" i="651"/>
  <c r="AM548" i="651"/>
  <c r="AM624" i="651" s="1"/>
  <c r="F206" i="6"/>
  <c r="F371" i="6" s="1"/>
  <c r="F43" i="6"/>
  <c r="AA705" i="651"/>
  <c r="AT742" i="651"/>
  <c r="AJ624" i="651"/>
  <c r="N251" i="651"/>
  <c r="Y68" i="641"/>
  <c r="Y34" i="641"/>
  <c r="R169" i="651"/>
  <c r="AL760" i="651"/>
  <c r="F215" i="6"/>
  <c r="F302" i="6"/>
  <c r="F307" i="6" s="1"/>
  <c r="F160" i="6"/>
  <c r="F165" i="6" s="1"/>
  <c r="AL624" i="651"/>
  <c r="N250" i="6"/>
  <c r="AC67" i="641"/>
  <c r="X64" i="641"/>
  <c r="N336" i="6"/>
  <c r="F224" i="6"/>
  <c r="AS521" i="651"/>
  <c r="F325" i="15"/>
  <c r="F199" i="15"/>
  <c r="AF705" i="651"/>
  <c r="N116" i="651"/>
  <c r="AT641" i="651"/>
  <c r="U35" i="650"/>
  <c r="AC624" i="651"/>
  <c r="AT618" i="651"/>
  <c r="AT738" i="651"/>
  <c r="AM622" i="651"/>
  <c r="AT557" i="651"/>
  <c r="F206" i="15"/>
  <c r="AK593" i="651"/>
  <c r="AT593" i="651" s="1"/>
  <c r="C66" i="12"/>
  <c r="E13" i="12"/>
  <c r="D13" i="12"/>
  <c r="E66" i="12"/>
  <c r="AD14" i="641"/>
  <c r="M336" i="6"/>
  <c r="AT747" i="651"/>
  <c r="AG624" i="651"/>
  <c r="AE624" i="651"/>
  <c r="AS603" i="651"/>
  <c r="AS732" i="651"/>
  <c r="AB624" i="651"/>
  <c r="AS548" i="651"/>
  <c r="AB705" i="651"/>
  <c r="AS578" i="651"/>
  <c r="AS533" i="651"/>
  <c r="AS563" i="651"/>
  <c r="AQ631" i="651"/>
  <c r="AN621" i="651"/>
  <c r="AP621" i="651"/>
  <c r="X36" i="641"/>
  <c r="X74" i="641" s="1"/>
  <c r="R251" i="651"/>
  <c r="AT671" i="651"/>
  <c r="AI705" i="651"/>
  <c r="AQ759" i="651"/>
  <c r="AT543" i="651"/>
  <c r="AT563" i="651"/>
  <c r="AT728" i="651"/>
  <c r="AI622" i="651"/>
  <c r="AM759" i="651"/>
  <c r="AQ624" i="651"/>
  <c r="F205" i="15"/>
  <c r="K73" i="650"/>
  <c r="P210" i="650"/>
  <c r="AE210" i="650" s="1"/>
  <c r="H91" i="650"/>
  <c r="J6" i="2"/>
  <c r="F1086" i="6"/>
  <c r="L63" i="650"/>
  <c r="F9" i="12"/>
  <c r="AI624" i="651"/>
  <c r="M345" i="6"/>
  <c r="AT578" i="651"/>
  <c r="AN760" i="651"/>
  <c r="AC705" i="651"/>
  <c r="T496" i="641"/>
  <c r="Q58" i="650"/>
  <c r="AC759" i="651"/>
  <c r="AT583" i="651"/>
  <c r="AG759" i="651"/>
  <c r="AI761" i="651"/>
  <c r="AT727" i="651"/>
  <c r="AO740" i="651"/>
  <c r="AT740" i="651" s="1"/>
  <c r="AJ621" i="651"/>
  <c r="AA44" i="641"/>
  <c r="AD41" i="641"/>
  <c r="AA65" i="641"/>
  <c r="AO699" i="651"/>
  <c r="AO705" i="651" s="1"/>
  <c r="I313" i="6"/>
  <c r="N345" i="6"/>
  <c r="AS528" i="651"/>
  <c r="F231" i="15"/>
  <c r="F284" i="6"/>
  <c r="F324" i="15"/>
  <c r="F364" i="15" s="1"/>
  <c r="F236" i="6"/>
  <c r="F234" i="6"/>
  <c r="AB34" i="641"/>
  <c r="AB69" i="641" s="1"/>
  <c r="W18" i="6"/>
  <c r="AB18" i="6" s="1"/>
  <c r="M241" i="6"/>
  <c r="F229" i="650"/>
  <c r="AE759" i="651"/>
  <c r="AT573" i="651"/>
  <c r="AT629" i="651"/>
  <c r="AH624" i="651"/>
  <c r="AQ705" i="651"/>
  <c r="AT726" i="651"/>
  <c r="AS740" i="651"/>
  <c r="Z705" i="651"/>
  <c r="AT606" i="651"/>
  <c r="X67" i="641"/>
  <c r="N197" i="651"/>
  <c r="N169" i="651"/>
  <c r="T399" i="641"/>
  <c r="T437" i="641" s="1"/>
  <c r="T432" i="641"/>
  <c r="T430" i="641"/>
  <c r="F201" i="15"/>
  <c r="F47" i="6"/>
  <c r="F202" i="6" s="1"/>
  <c r="AO703" i="651"/>
  <c r="AT739" i="651"/>
  <c r="F202" i="15"/>
  <c r="AA759" i="651"/>
  <c r="F331" i="6"/>
  <c r="AT528" i="651"/>
  <c r="W20" i="6"/>
  <c r="AB20" i="6" s="1"/>
  <c r="M250" i="6"/>
  <c r="Z759" i="651"/>
  <c r="AT577" i="651"/>
  <c r="AA624" i="651"/>
  <c r="AS728" i="651"/>
  <c r="Q169" i="651"/>
  <c r="O116" i="651"/>
  <c r="H905" i="6"/>
  <c r="H1237" i="6" s="1"/>
  <c r="H28" i="2"/>
  <c r="F239" i="6"/>
  <c r="M259" i="6"/>
  <c r="AD759" i="651"/>
  <c r="AT518" i="651"/>
  <c r="AU109" i="647"/>
  <c r="AS543" i="651"/>
  <c r="AA13" i="657"/>
  <c r="AS538" i="651"/>
  <c r="AS568" i="651"/>
  <c r="AS748" i="651"/>
  <c r="Q197" i="651"/>
  <c r="F18" i="6"/>
  <c r="F201" i="6" s="1"/>
  <c r="F364" i="6" s="1"/>
  <c r="F14" i="2" s="1"/>
  <c r="F200" i="15"/>
  <c r="X69" i="641"/>
  <c r="U57" i="650"/>
  <c r="AT521" i="651"/>
  <c r="AT109" i="647"/>
  <c r="AS744" i="651"/>
  <c r="AT541" i="651"/>
  <c r="AT556" i="651"/>
  <c r="AT719" i="651"/>
  <c r="T427" i="641"/>
  <c r="T424" i="641"/>
  <c r="T438" i="641" s="1"/>
  <c r="T485" i="641"/>
  <c r="AB16" i="641"/>
  <c r="AB67" i="641" s="1"/>
  <c r="AB65" i="641"/>
  <c r="M210" i="650"/>
  <c r="AB210" i="650" s="1"/>
  <c r="I1155" i="6"/>
  <c r="F635" i="6"/>
  <c r="U40" i="650"/>
  <c r="F1017" i="6"/>
  <c r="G1156" i="6"/>
  <c r="G60" i="2" s="1"/>
  <c r="U118" i="650"/>
  <c r="F1156" i="6"/>
  <c r="F60" i="2" s="1"/>
  <c r="I114" i="650"/>
  <c r="J163" i="650"/>
  <c r="N63" i="650"/>
  <c r="F1209" i="6"/>
  <c r="U135" i="650"/>
  <c r="J68" i="650"/>
  <c r="I58" i="650"/>
  <c r="U66" i="650"/>
  <c r="AY204" i="4"/>
  <c r="AY264" i="4"/>
  <c r="AY208" i="4"/>
  <c r="AY267" i="4"/>
  <c r="I120" i="650"/>
  <c r="AI66" i="4"/>
  <c r="AY66" i="4" s="1"/>
  <c r="H109" i="650"/>
  <c r="M73" i="650"/>
  <c r="N137" i="650"/>
  <c r="P259" i="650"/>
  <c r="F1022" i="6"/>
  <c r="F78" i="650"/>
  <c r="F234" i="650"/>
  <c r="P234" i="650"/>
  <c r="L234" i="650"/>
  <c r="F539" i="6"/>
  <c r="I20" i="650"/>
  <c r="O163" i="650"/>
  <c r="Q170" i="650"/>
  <c r="AA12" i="657"/>
  <c r="AS608" i="651"/>
  <c r="AD624" i="651"/>
  <c r="Z624" i="651"/>
  <c r="AS558" i="651"/>
  <c r="AS613" i="651"/>
  <c r="AS689" i="651"/>
  <c r="AS588" i="651"/>
  <c r="AT630" i="651"/>
  <c r="AS618" i="651"/>
  <c r="AS724" i="651"/>
  <c r="AS573" i="651"/>
  <c r="AS661" i="651"/>
  <c r="AS636" i="651"/>
  <c r="AS702" i="651"/>
  <c r="AD705" i="651"/>
  <c r="AS694" i="651"/>
  <c r="AS699" i="651"/>
  <c r="AS716" i="651"/>
  <c r="AS720" i="651"/>
  <c r="AS752" i="651"/>
  <c r="AT751" i="651"/>
  <c r="AT602" i="651"/>
  <c r="AS712" i="651"/>
  <c r="AT710" i="651"/>
  <c r="AS756" i="651"/>
  <c r="AA18" i="657"/>
  <c r="AA19" i="657"/>
  <c r="AT148" i="647"/>
  <c r="U140" i="650"/>
  <c r="AU148" i="647"/>
  <c r="F991" i="6"/>
  <c r="F1113" i="6"/>
  <c r="F52" i="2" s="1"/>
  <c r="K103" i="650"/>
  <c r="AI35" i="4"/>
  <c r="AY35" i="4" s="1"/>
  <c r="Q252" i="650"/>
  <c r="F917" i="6"/>
  <c r="AA20" i="657"/>
  <c r="AA16" i="657"/>
  <c r="AA21" i="657"/>
  <c r="AA17" i="657"/>
  <c r="AP759" i="651"/>
  <c r="AL703" i="651"/>
  <c r="AO622" i="651"/>
  <c r="AS553" i="651"/>
  <c r="AS651" i="651"/>
  <c r="AS736" i="651"/>
  <c r="AP703" i="651"/>
  <c r="AS631" i="651"/>
  <c r="R78" i="650"/>
  <c r="S72" i="647" s="1"/>
  <c r="AI40" i="4"/>
  <c r="AY40" i="4" s="1"/>
  <c r="F614" i="6"/>
  <c r="AJ248" i="4"/>
  <c r="K53" i="650"/>
  <c r="M234" i="650"/>
  <c r="AY222" i="4"/>
  <c r="AI161" i="4"/>
  <c r="AY161" i="4"/>
  <c r="Q234" i="650"/>
  <c r="G7" i="647"/>
  <c r="G20" i="647" s="1"/>
  <c r="G26" i="647" s="1"/>
  <c r="F1054" i="6"/>
  <c r="I1054" i="6" s="1"/>
  <c r="F1058" i="6"/>
  <c r="J143" i="650"/>
  <c r="P73" i="650"/>
  <c r="AI107" i="4"/>
  <c r="AY107" i="4" s="1"/>
  <c r="K163" i="650"/>
  <c r="AY232" i="4"/>
  <c r="N252" i="650"/>
  <c r="AN759" i="651"/>
  <c r="AA14" i="657"/>
  <c r="AA15" i="657"/>
  <c r="AS593" i="651"/>
  <c r="AS598" i="651"/>
  <c r="AS684" i="651"/>
  <c r="V18" i="657"/>
  <c r="V19" i="657"/>
  <c r="AT715" i="651"/>
  <c r="AT607" i="651"/>
  <c r="AK608" i="651"/>
  <c r="AT608" i="651" s="1"/>
  <c r="AT743" i="651"/>
  <c r="AL661" i="651"/>
  <c r="AL752" i="651"/>
  <c r="AT752" i="651" s="1"/>
  <c r="AK603" i="651"/>
  <c r="AP689" i="651"/>
  <c r="AP705" i="651" s="1"/>
  <c r="AO636" i="651"/>
  <c r="AL689" i="651"/>
  <c r="AO603" i="651"/>
  <c r="AO624" i="651" s="1"/>
  <c r="AN588" i="651"/>
  <c r="AT587" i="651"/>
  <c r="V14" i="657"/>
  <c r="V20" i="657"/>
  <c r="AS621" i="651"/>
  <c r="AT731" i="651"/>
  <c r="AT748" i="651"/>
  <c r="AT684" i="651"/>
  <c r="AS583" i="651"/>
  <c r="AS666" i="651"/>
  <c r="U22" i="657"/>
  <c r="F19" i="657" s="1"/>
  <c r="V13" i="657"/>
  <c r="T22" i="657"/>
  <c r="R34" i="20" s="1"/>
  <c r="V21" i="657"/>
  <c r="V16" i="657"/>
  <c r="AT693" i="651"/>
  <c r="AS622" i="651"/>
  <c r="AT688" i="651"/>
  <c r="AL744" i="651"/>
  <c r="AT744" i="651" s="1"/>
  <c r="AL694" i="651"/>
  <c r="AT694" i="651" s="1"/>
  <c r="AT732" i="651"/>
  <c r="AS703" i="651"/>
  <c r="V15" i="657"/>
  <c r="V17" i="657"/>
  <c r="AS671" i="651"/>
  <c r="AP661" i="651"/>
  <c r="AN613" i="651"/>
  <c r="AT613" i="651" s="1"/>
  <c r="AK622" i="651"/>
  <c r="AJ716" i="651"/>
  <c r="Q114" i="650"/>
  <c r="H259" i="650"/>
  <c r="R103" i="650"/>
  <c r="S99" i="647" s="1"/>
  <c r="E12" i="17"/>
  <c r="E19" i="17" s="1"/>
  <c r="U124" i="650"/>
  <c r="AI71" i="4"/>
  <c r="AY71" i="4" s="1"/>
  <c r="AI56" i="4"/>
  <c r="AY56" i="4" s="1"/>
  <c r="P229" i="650"/>
  <c r="Q83" i="650"/>
  <c r="AY168" i="4"/>
  <c r="F1179" i="6"/>
  <c r="F64" i="2" s="1"/>
  <c r="AY243" i="4"/>
  <c r="AA11" i="657"/>
  <c r="Z22" i="657"/>
  <c r="G19" i="657" s="1"/>
  <c r="Y22" i="657"/>
  <c r="AA10" i="657"/>
  <c r="Q41" i="652"/>
  <c r="I8" i="647" s="1"/>
  <c r="U227" i="650"/>
  <c r="L238" i="650"/>
  <c r="F266" i="650"/>
  <c r="M238" i="650"/>
  <c r="J238" i="650"/>
  <c r="N229" i="650"/>
  <c r="O229" i="650"/>
  <c r="P20" i="650"/>
  <c r="N238" i="650"/>
  <c r="K229" i="650"/>
  <c r="O137" i="650"/>
  <c r="I234" i="650"/>
  <c r="N78" i="650"/>
  <c r="M163" i="650"/>
  <c r="R68" i="650"/>
  <c r="S63" i="647" s="1"/>
  <c r="R137" i="650"/>
  <c r="S133" i="647" s="1"/>
  <c r="M177" i="650"/>
  <c r="H217" i="650"/>
  <c r="U129" i="650"/>
  <c r="U136" i="650"/>
  <c r="Q68" i="650"/>
  <c r="N31" i="650"/>
  <c r="AI135" i="4"/>
  <c r="AY135" i="4" s="1"/>
  <c r="J259" i="650"/>
  <c r="R42" i="650"/>
  <c r="S37" i="647" s="1"/>
  <c r="N58" i="650"/>
  <c r="AI243" i="4"/>
  <c r="P245" i="650"/>
  <c r="R120" i="650"/>
  <c r="S117" i="647" s="1"/>
  <c r="K20" i="650"/>
  <c r="O210" i="650"/>
  <c r="AD210" i="650" s="1"/>
  <c r="H53" i="650"/>
  <c r="F252" i="650"/>
  <c r="I91" i="650"/>
  <c r="U205" i="650"/>
  <c r="G83" i="650"/>
  <c r="Q137" i="650"/>
  <c r="G224" i="650"/>
  <c r="F73" i="650"/>
  <c r="I97" i="650"/>
  <c r="J210" i="650"/>
  <c r="Y210" i="650" s="1"/>
  <c r="I210" i="650"/>
  <c r="X210" i="650" s="1"/>
  <c r="G109" i="650"/>
  <c r="L37" i="650"/>
  <c r="AJ246" i="4"/>
  <c r="K37" i="650"/>
  <c r="M58" i="650"/>
  <c r="F114" i="650"/>
  <c r="N210" i="650"/>
  <c r="AC210" i="650" s="1"/>
  <c r="F210" i="650"/>
  <c r="T209" i="650"/>
  <c r="L210" i="650"/>
  <c r="AA210" i="650" s="1"/>
  <c r="F1127" i="6"/>
  <c r="F54" i="2" s="1"/>
  <c r="AT558" i="651"/>
  <c r="AT756" i="651"/>
  <c r="AH759" i="651"/>
  <c r="AG705" i="651"/>
  <c r="AF759" i="651"/>
  <c r="AO712" i="651"/>
  <c r="AO760" i="651"/>
  <c r="AL761" i="651"/>
  <c r="AL712" i="651"/>
  <c r="AN761" i="651"/>
  <c r="AK712" i="651"/>
  <c r="AK759" i="651" s="1"/>
  <c r="AK760" i="651"/>
  <c r="AJ761" i="651"/>
  <c r="AJ712" i="651"/>
  <c r="AT711" i="651"/>
  <c r="AP761" i="651"/>
  <c r="AY257" i="4"/>
  <c r="T174" i="650"/>
  <c r="L252" i="650"/>
  <c r="F137" i="650"/>
  <c r="N20" i="650"/>
  <c r="F1167" i="6"/>
  <c r="F62" i="2" s="1"/>
  <c r="F68" i="650"/>
  <c r="P137" i="650"/>
  <c r="F1075" i="6"/>
  <c r="AG222" i="4"/>
  <c r="P91" i="650"/>
  <c r="M229" i="650"/>
  <c r="F20" i="650"/>
  <c r="H234" i="650"/>
  <c r="AI124" i="4"/>
  <c r="AY124" i="4" s="1"/>
  <c r="AG71" i="4"/>
  <c r="O68" i="650"/>
  <c r="H68" i="650"/>
  <c r="I68" i="650"/>
  <c r="AY175" i="4"/>
  <c r="P252" i="650"/>
  <c r="L224" i="650"/>
  <c r="AY215" i="4"/>
  <c r="F382" i="6"/>
  <c r="F503" i="6"/>
  <c r="M126" i="650"/>
  <c r="U62" i="650"/>
  <c r="R24" i="20"/>
  <c r="F1052" i="6"/>
  <c r="N68" i="650"/>
  <c r="U17" i="650"/>
  <c r="R114" i="650"/>
  <c r="S111" i="647" s="1"/>
  <c r="J137" i="650"/>
  <c r="L83" i="650"/>
  <c r="H73" i="650"/>
  <c r="P53" i="650"/>
  <c r="N132" i="650"/>
  <c r="K97" i="650"/>
  <c r="P58" i="650"/>
  <c r="R163" i="650"/>
  <c r="O58" i="650"/>
  <c r="M78" i="650"/>
  <c r="P109" i="650"/>
  <c r="H20" i="650"/>
  <c r="K42" i="650"/>
  <c r="N103" i="650"/>
  <c r="J42" i="650"/>
  <c r="U90" i="650"/>
  <c r="Q20" i="650"/>
  <c r="U142" i="650"/>
  <c r="F1216" i="6"/>
  <c r="I224" i="650"/>
  <c r="O224" i="650"/>
  <c r="H229" i="650"/>
  <c r="N234" i="650"/>
  <c r="M217" i="650"/>
  <c r="G259" i="650"/>
  <c r="D39" i="648"/>
  <c r="E35" i="648" s="1"/>
  <c r="K252" i="650"/>
  <c r="F97" i="650"/>
  <c r="F103" i="650"/>
  <c r="K170" i="650"/>
  <c r="F1184" i="6"/>
  <c r="F65" i="2" s="1"/>
  <c r="M245" i="650"/>
  <c r="N170" i="650"/>
  <c r="M91" i="650"/>
  <c r="R63" i="650"/>
  <c r="P143" i="650"/>
  <c r="J224" i="650"/>
  <c r="F132" i="650"/>
  <c r="I259" i="650"/>
  <c r="K245" i="650"/>
  <c r="L53" i="650"/>
  <c r="G245" i="650"/>
  <c r="AG250" i="4"/>
  <c r="J229" i="650"/>
  <c r="G31" i="650"/>
  <c r="G148" i="650" s="1"/>
  <c r="F224" i="650"/>
  <c r="F1195" i="6"/>
  <c r="F1002" i="6"/>
  <c r="Q177" i="650"/>
  <c r="H177" i="650"/>
  <c r="L42" i="650"/>
  <c r="J73" i="650"/>
  <c r="L137" i="650"/>
  <c r="AI101" i="4"/>
  <c r="AY101" i="4" s="1"/>
  <c r="AG112" i="4"/>
  <c r="R259" i="650"/>
  <c r="U52" i="650"/>
  <c r="AG56" i="4"/>
  <c r="F1092" i="6"/>
  <c r="F1012" i="6"/>
  <c r="R245" i="650"/>
  <c r="O42" i="650"/>
  <c r="P83" i="650"/>
  <c r="F1187" i="6"/>
  <c r="K78" i="650"/>
  <c r="R53" i="650"/>
  <c r="S44" i="647" s="1"/>
  <c r="R234" i="650"/>
  <c r="U61" i="650"/>
  <c r="G91" i="650"/>
  <c r="N217" i="650"/>
  <c r="L245" i="650"/>
  <c r="F1174" i="6"/>
  <c r="AI51" i="4"/>
  <c r="AY51" i="4" s="1"/>
  <c r="O120" i="650"/>
  <c r="F501" i="6"/>
  <c r="H114" i="650"/>
  <c r="Q37" i="650"/>
  <c r="O20" i="650"/>
  <c r="T243" i="650"/>
  <c r="F217" i="650"/>
  <c r="T223" i="650"/>
  <c r="AI95" i="4"/>
  <c r="AY95" i="4" s="1"/>
  <c r="P217" i="650"/>
  <c r="F1007" i="6"/>
  <c r="Q229" i="650"/>
  <c r="L163" i="650"/>
  <c r="F42" i="650"/>
  <c r="T89" i="650"/>
  <c r="H143" i="650"/>
  <c r="N42" i="650"/>
  <c r="H126" i="650"/>
  <c r="F1081" i="6"/>
  <c r="AI130" i="4"/>
  <c r="AY130" i="4" s="1"/>
  <c r="G63" i="650"/>
  <c r="G53" i="650"/>
  <c r="O177" i="650"/>
  <c r="G137" i="650"/>
  <c r="K210" i="650"/>
  <c r="Z210" i="650" s="1"/>
  <c r="AG89" i="4"/>
  <c r="U125" i="650"/>
  <c r="L229" i="650"/>
  <c r="P126" i="650"/>
  <c r="K114" i="650"/>
  <c r="O31" i="650"/>
  <c r="O148" i="650" s="1"/>
  <c r="O78" i="650"/>
  <c r="N73" i="650"/>
  <c r="I63" i="650"/>
  <c r="K206" i="650"/>
  <c r="AJ65" i="4"/>
  <c r="AG66" i="4"/>
  <c r="AJ38" i="4"/>
  <c r="AG40" i="4"/>
  <c r="AJ40" i="4" s="1"/>
  <c r="AZ40" i="4" s="1"/>
  <c r="U106" i="650"/>
  <c r="R109" i="650"/>
  <c r="S106" i="647" s="1"/>
  <c r="M53" i="650"/>
  <c r="G170" i="650"/>
  <c r="F1202" i="6"/>
  <c r="L109" i="650"/>
  <c r="AG35" i="4"/>
  <c r="AJ35" i="4" s="1"/>
  <c r="AZ35" i="4" s="1"/>
  <c r="AI141" i="4"/>
  <c r="Q224" i="650"/>
  <c r="O245" i="650"/>
  <c r="Q245" i="650"/>
  <c r="P132" i="650"/>
  <c r="K63" i="650"/>
  <c r="F91" i="650"/>
  <c r="F832" i="6"/>
  <c r="F828" i="6"/>
  <c r="O109" i="650"/>
  <c r="AI89" i="4"/>
  <c r="AY89" i="4" s="1"/>
  <c r="AI257" i="4"/>
  <c r="R91" i="650"/>
  <c r="AI175" i="4"/>
  <c r="H78" i="650"/>
  <c r="R217" i="650"/>
  <c r="B2" i="1"/>
  <c r="A3" i="667" s="1"/>
  <c r="F1040" i="6"/>
  <c r="AJ46" i="4"/>
  <c r="AG51" i="4"/>
  <c r="AJ51" i="4" s="1"/>
  <c r="AZ51" i="4" s="1"/>
  <c r="O63" i="650"/>
  <c r="T40" i="650"/>
  <c r="N109" i="650"/>
  <c r="F27" i="2"/>
  <c r="AG208" i="4"/>
  <c r="AJ235" i="4"/>
  <c r="AG236" i="4"/>
  <c r="M137" i="650"/>
  <c r="F467" i="6"/>
  <c r="F506" i="6"/>
  <c r="AJ16" i="4"/>
  <c r="AG18" i="4"/>
  <c r="AJ18" i="4" s="1"/>
  <c r="AZ18" i="4" s="1"/>
  <c r="BA18" i="4" s="1"/>
  <c r="AJ92" i="4"/>
  <c r="AG95" i="4"/>
  <c r="U28" i="650"/>
  <c r="R31" i="650"/>
  <c r="R148" i="650" s="1"/>
  <c r="Q109" i="650"/>
  <c r="R229" i="650"/>
  <c r="T112" i="650"/>
  <c r="T76" i="650"/>
  <c r="AG101" i="4"/>
  <c r="O126" i="650"/>
  <c r="I143" i="650"/>
  <c r="I137" i="650"/>
  <c r="N97" i="650"/>
  <c r="U71" i="650"/>
  <c r="R73" i="650"/>
  <c r="S68" i="647" s="1"/>
  <c r="R177" i="650"/>
  <c r="G234" i="650"/>
  <c r="J217" i="650"/>
  <c r="Q78" i="650"/>
  <c r="K31" i="650"/>
  <c r="K148" i="650" s="1"/>
  <c r="T18" i="650"/>
  <c r="O53" i="650"/>
  <c r="F177" i="650"/>
  <c r="F120" i="650"/>
  <c r="F969" i="6"/>
  <c r="H170" i="650"/>
  <c r="I217" i="650"/>
  <c r="Q126" i="650"/>
  <c r="Q53" i="650"/>
  <c r="L126" i="650"/>
  <c r="I252" i="650"/>
  <c r="J252" i="650"/>
  <c r="D18" i="648"/>
  <c r="E14" i="648" s="1"/>
  <c r="F143" i="650"/>
  <c r="F1027" i="6"/>
  <c r="G229" i="650"/>
  <c r="H224" i="650"/>
  <c r="AG154" i="4"/>
  <c r="AG267" i="4"/>
  <c r="T173" i="650"/>
  <c r="T248" i="650"/>
  <c r="T257" i="650"/>
  <c r="T241" i="650"/>
  <c r="Q259" i="650"/>
  <c r="T237" i="650"/>
  <c r="T215" i="650"/>
  <c r="L170" i="650"/>
  <c r="P163" i="650"/>
  <c r="T125" i="650"/>
  <c r="F126" i="650"/>
  <c r="T36" i="650"/>
  <c r="T29" i="650"/>
  <c r="T66" i="650"/>
  <c r="AI215" i="4"/>
  <c r="AI112" i="4"/>
  <c r="AY112" i="4" s="1"/>
  <c r="AJ79" i="4"/>
  <c r="AG81" i="4"/>
  <c r="L73" i="650"/>
  <c r="P114" i="650"/>
  <c r="I42" i="650"/>
  <c r="F856" i="6"/>
  <c r="F900" i="6"/>
  <c r="AG175" i="4"/>
  <c r="M42" i="650"/>
  <c r="AI250" i="4"/>
  <c r="T214" i="650"/>
  <c r="T90" i="650"/>
  <c r="F1069" i="6"/>
  <c r="AY149" i="4"/>
  <c r="AY189" i="4" s="1"/>
  <c r="T160" i="650"/>
  <c r="J120" i="650"/>
  <c r="L114" i="650"/>
  <c r="K109" i="650"/>
  <c r="N91" i="650"/>
  <c r="M68" i="650"/>
  <c r="T52" i="650"/>
  <c r="O37" i="650"/>
  <c r="Q91" i="650"/>
  <c r="K132" i="650"/>
  <c r="Q73" i="650"/>
  <c r="M83" i="650"/>
  <c r="T71" i="650"/>
  <c r="AG29" i="4"/>
  <c r="AJ29" i="4" s="1"/>
  <c r="AJ146" i="4" s="1"/>
  <c r="AG124" i="4"/>
  <c r="AJ124" i="4" s="1"/>
  <c r="AZ124" i="4" s="1"/>
  <c r="AG135" i="4"/>
  <c r="R58" i="650"/>
  <c r="H120" i="650"/>
  <c r="K120" i="650"/>
  <c r="O132" i="650"/>
  <c r="H163" i="650"/>
  <c r="T117" i="650"/>
  <c r="T118" i="650"/>
  <c r="F1032" i="6"/>
  <c r="AG257" i="4"/>
  <c r="F1063" i="6"/>
  <c r="G103" i="650"/>
  <c r="R132" i="650"/>
  <c r="AI118" i="4"/>
  <c r="AY118" i="4" s="1"/>
  <c r="L217" i="650"/>
  <c r="O91" i="650"/>
  <c r="K91" i="650"/>
  <c r="N83" i="650"/>
  <c r="L58" i="650"/>
  <c r="L132" i="650"/>
  <c r="N143" i="650"/>
  <c r="K58" i="650"/>
  <c r="I37" i="650"/>
  <c r="M31" i="650"/>
  <c r="M148" i="650" s="1"/>
  <c r="I31" i="650"/>
  <c r="I148" i="650" s="1"/>
  <c r="J177" i="650"/>
  <c r="L177" i="650"/>
  <c r="P170" i="650"/>
  <c r="K217" i="650"/>
  <c r="O170" i="650"/>
  <c r="D54" i="648"/>
  <c r="N27" i="648" s="1"/>
  <c r="D25" i="648"/>
  <c r="AY250" i="4"/>
  <c r="F980" i="6"/>
  <c r="F1098" i="6" s="1"/>
  <c r="F1138" i="6" s="1"/>
  <c r="I245" i="650"/>
  <c r="T176" i="650"/>
  <c r="T242" i="650"/>
  <c r="C47" i="647"/>
  <c r="T249" i="650"/>
  <c r="N114" i="650"/>
  <c r="H58" i="650"/>
  <c r="H42" i="650"/>
  <c r="G20" i="650"/>
  <c r="M63" i="650"/>
  <c r="I170" i="650"/>
  <c r="AG161" i="4"/>
  <c r="T155" i="650"/>
  <c r="T156" i="650" s="1"/>
  <c r="T100" i="650"/>
  <c r="U77" i="650"/>
  <c r="G177" i="650"/>
  <c r="O217" i="650"/>
  <c r="G163" i="650"/>
  <c r="F259" i="650"/>
  <c r="M259" i="650"/>
  <c r="P224" i="650"/>
  <c r="T258" i="650"/>
  <c r="O252" i="650"/>
  <c r="N245" i="650"/>
  <c r="O234" i="650"/>
  <c r="F803" i="6"/>
  <c r="O73" i="650"/>
  <c r="P37" i="650"/>
  <c r="N224" i="650"/>
  <c r="R97" i="650"/>
  <c r="S92" i="647" s="1"/>
  <c r="T17" i="650"/>
  <c r="T233" i="650"/>
  <c r="I163" i="650"/>
  <c r="O259" i="650"/>
  <c r="F750" i="6"/>
  <c r="AG227" i="4"/>
  <c r="I177" i="650"/>
  <c r="M37" i="650"/>
  <c r="L68" i="650"/>
  <c r="T67" i="650"/>
  <c r="Q103" i="650"/>
  <c r="I486" i="6"/>
  <c r="F505" i="6"/>
  <c r="F507" i="6"/>
  <c r="F487" i="6"/>
  <c r="AI168" i="4"/>
  <c r="AY147" i="4"/>
  <c r="AY187" i="4" s="1"/>
  <c r="T175" i="650"/>
  <c r="K177" i="650"/>
  <c r="L20" i="650"/>
  <c r="AG148" i="4"/>
  <c r="R126" i="650"/>
  <c r="S121" i="647" s="1"/>
  <c r="J170" i="650"/>
  <c r="Q163" i="650"/>
  <c r="T161" i="650"/>
  <c r="T221" i="650"/>
  <c r="K224" i="650"/>
  <c r="T222" i="650"/>
  <c r="AJ211" i="4"/>
  <c r="AG215" i="4"/>
  <c r="I109" i="650"/>
  <c r="G37" i="650"/>
  <c r="F1240" i="6"/>
  <c r="F37" i="2"/>
  <c r="O206" i="650"/>
  <c r="AJ225" i="4"/>
  <c r="F1120" i="6"/>
  <c r="AJ138" i="4"/>
  <c r="AG141" i="4"/>
  <c r="T25" i="650"/>
  <c r="G73" i="650"/>
  <c r="Q31" i="650"/>
  <c r="Q148" i="650" s="1"/>
  <c r="U266" i="650"/>
  <c r="AI232" i="4"/>
  <c r="I73" i="650"/>
  <c r="U81" i="650"/>
  <c r="R83" i="650"/>
  <c r="S78" i="647" s="1"/>
  <c r="J37" i="650"/>
  <c r="T216" i="650"/>
  <c r="G217" i="650"/>
  <c r="F163" i="650"/>
  <c r="T162" i="650"/>
  <c r="T140" i="650"/>
  <c r="K143" i="650"/>
  <c r="J132" i="650"/>
  <c r="G114" i="650"/>
  <c r="J83" i="650"/>
  <c r="P68" i="650"/>
  <c r="R37" i="650"/>
  <c r="S32" i="647" s="1"/>
  <c r="U36" i="650"/>
  <c r="T166" i="650"/>
  <c r="T113" i="650"/>
  <c r="K83" i="650"/>
  <c r="O97" i="650"/>
  <c r="T213" i="650"/>
  <c r="T82" i="650"/>
  <c r="T129" i="650"/>
  <c r="J63" i="650"/>
  <c r="T41" i="650"/>
  <c r="T26" i="650"/>
  <c r="L31" i="650"/>
  <c r="L148" i="650" s="1"/>
  <c r="T220" i="650"/>
  <c r="M224" i="650"/>
  <c r="Q217" i="650"/>
  <c r="U250" i="650"/>
  <c r="R252" i="650"/>
  <c r="K126" i="650"/>
  <c r="T123" i="650"/>
  <c r="AG130" i="4"/>
  <c r="AJ130" i="4" s="1"/>
  <c r="AZ130" i="4" s="1"/>
  <c r="T251" i="650"/>
  <c r="H252" i="650"/>
  <c r="T130" i="650"/>
  <c r="AJ115" i="4"/>
  <c r="AG118" i="4"/>
  <c r="T77" i="650"/>
  <c r="P78" i="650"/>
  <c r="N53" i="650"/>
  <c r="F800" i="6"/>
  <c r="F804" i="6"/>
  <c r="L206" i="650"/>
  <c r="T94" i="650"/>
  <c r="I78" i="650"/>
  <c r="L259" i="650"/>
  <c r="T255" i="650"/>
  <c r="J234" i="650"/>
  <c r="T232" i="650"/>
  <c r="T142" i="650"/>
  <c r="T102" i="650"/>
  <c r="T27" i="650"/>
  <c r="F31" i="650"/>
  <c r="T95" i="650"/>
  <c r="Q42" i="650"/>
  <c r="U220" i="650"/>
  <c r="R224" i="650"/>
  <c r="T48" i="650"/>
  <c r="O114" i="650"/>
  <c r="M97" i="650"/>
  <c r="L103" i="650"/>
  <c r="U156" i="650"/>
  <c r="V156" i="650" s="1"/>
  <c r="H103" i="650"/>
  <c r="T101" i="650"/>
  <c r="G58" i="650"/>
  <c r="T57" i="650"/>
  <c r="F712" i="6"/>
  <c r="F751" i="6"/>
  <c r="J103" i="650"/>
  <c r="AG168" i="4"/>
  <c r="T107" i="650"/>
  <c r="G206" i="650"/>
  <c r="T250" i="650"/>
  <c r="U95" i="650"/>
  <c r="J20" i="650"/>
  <c r="T244" i="650"/>
  <c r="J245" i="650"/>
  <c r="F170" i="650"/>
  <c r="T169" i="650"/>
  <c r="R143" i="650"/>
  <c r="U141" i="650"/>
  <c r="AG243" i="4"/>
  <c r="U18" i="650"/>
  <c r="R20" i="650"/>
  <c r="AG107" i="4"/>
  <c r="J31" i="650"/>
  <c r="J148" i="650" s="1"/>
  <c r="T23" i="650"/>
  <c r="G252" i="650"/>
  <c r="AI76" i="4"/>
  <c r="AY76" i="4" s="1"/>
  <c r="I103" i="650"/>
  <c r="F950" i="6"/>
  <c r="H245" i="650"/>
  <c r="H83" i="650"/>
  <c r="T141" i="650"/>
  <c r="M143" i="650"/>
  <c r="T106" i="650"/>
  <c r="F109" i="650"/>
  <c r="F37" i="650"/>
  <c r="T35" i="650"/>
  <c r="P31" i="650"/>
  <c r="P148" i="650" s="1"/>
  <c r="T24" i="650"/>
  <c r="AY148" i="4"/>
  <c r="AY188" i="4" s="1"/>
  <c r="AG232" i="4"/>
  <c r="O83" i="650"/>
  <c r="T81" i="650"/>
  <c r="T227" i="650"/>
  <c r="I229" i="650"/>
  <c r="L78" i="650"/>
  <c r="I126" i="650"/>
  <c r="F871" i="6"/>
  <c r="F899" i="6"/>
  <c r="T56" i="650"/>
  <c r="M170" i="650"/>
  <c r="J126" i="650"/>
  <c r="T124" i="650"/>
  <c r="T62" i="650"/>
  <c r="F63" i="650"/>
  <c r="AG61" i="4"/>
  <c r="AJ60" i="4"/>
  <c r="T256" i="650"/>
  <c r="K259" i="650"/>
  <c r="P120" i="650"/>
  <c r="U82" i="650"/>
  <c r="AG76" i="4"/>
  <c r="T168" i="650"/>
  <c r="AG147" i="4"/>
  <c r="M109" i="650"/>
  <c r="Q97" i="650"/>
  <c r="G42" i="650"/>
  <c r="T108" i="650"/>
  <c r="F1239" i="6"/>
  <c r="L143" i="650"/>
  <c r="R157" i="650"/>
  <c r="K234" i="650"/>
  <c r="M156" i="650"/>
  <c r="T119" i="650"/>
  <c r="P97" i="650"/>
  <c r="Q63" i="650"/>
  <c r="U167" i="650"/>
  <c r="R170" i="650"/>
  <c r="N120" i="650"/>
  <c r="G97" i="650"/>
  <c r="G78" i="650"/>
  <c r="G126" i="650"/>
  <c r="M120" i="650"/>
  <c r="H137" i="650"/>
  <c r="T72" i="650"/>
  <c r="F269" i="650"/>
  <c r="O103" i="650"/>
  <c r="M103" i="650"/>
  <c r="T61" i="650"/>
  <c r="J109" i="650"/>
  <c r="N259" i="650"/>
  <c r="M252" i="650"/>
  <c r="G143" i="650"/>
  <c r="H31" i="650"/>
  <c r="H148" i="650" s="1"/>
  <c r="P42" i="650"/>
  <c r="N126" i="650"/>
  <c r="L120" i="650"/>
  <c r="L97" i="650"/>
  <c r="J91" i="650"/>
  <c r="G68" i="650"/>
  <c r="Q132" i="650"/>
  <c r="J97" i="650"/>
  <c r="H37" i="650"/>
  <c r="K68" i="650"/>
  <c r="J53" i="650"/>
  <c r="T167" i="650"/>
  <c r="G120" i="650"/>
  <c r="P177" i="650"/>
  <c r="AI81" i="4"/>
  <c r="U237" i="650"/>
  <c r="R238" i="650"/>
  <c r="T159" i="650"/>
  <c r="T96" i="650"/>
  <c r="N177" i="650"/>
  <c r="T136" i="650"/>
  <c r="AI154" i="4"/>
  <c r="T228" i="650"/>
  <c r="T28" i="650"/>
  <c r="F53" i="650"/>
  <c r="F245" i="650"/>
  <c r="N163" i="650"/>
  <c r="D32" i="648"/>
  <c r="E28" i="648" s="1"/>
  <c r="L91" i="650"/>
  <c r="J58" i="650"/>
  <c r="M132" i="650"/>
  <c r="P63" i="650"/>
  <c r="AI264" i="4"/>
  <c r="O143" i="650"/>
  <c r="I132" i="650"/>
  <c r="Q120" i="650"/>
  <c r="P103" i="650"/>
  <c r="I53" i="650"/>
  <c r="I83" i="650"/>
  <c r="J78" i="650"/>
  <c r="H63" i="650"/>
  <c r="AI29" i="4"/>
  <c r="AI146" i="4" s="1"/>
  <c r="M20" i="650"/>
  <c r="T131" i="650"/>
  <c r="H132" i="650"/>
  <c r="T135" i="650"/>
  <c r="Q143" i="650"/>
  <c r="G132" i="650"/>
  <c r="M114" i="650"/>
  <c r="J114" i="650"/>
  <c r="AJ207" i="4"/>
  <c r="H97" i="650"/>
  <c r="N37" i="650"/>
  <c r="U209" i="650"/>
  <c r="R210" i="650"/>
  <c r="AG210" i="650" s="1"/>
  <c r="U113" i="650"/>
  <c r="K137" i="650"/>
  <c r="Q366" i="6"/>
  <c r="U834" i="6"/>
  <c r="R370" i="6"/>
  <c r="R371" i="6"/>
  <c r="T366" i="6"/>
  <c r="T637" i="6"/>
  <c r="I304" i="6"/>
  <c r="E304" i="6"/>
  <c r="AX304" i="3"/>
  <c r="AX313" i="3"/>
  <c r="I268" i="6"/>
  <c r="E268" i="6"/>
  <c r="AX268" i="3"/>
  <c r="Q364" i="6"/>
  <c r="T364" i="6"/>
  <c r="AJ203" i="4"/>
  <c r="AG204" i="4"/>
  <c r="U1226" i="6"/>
  <c r="U1258" i="6" s="1"/>
  <c r="R363" i="6"/>
  <c r="R1228" i="6"/>
  <c r="R1260" i="6" s="1"/>
  <c r="R902" i="6"/>
  <c r="U902" i="6"/>
  <c r="R753" i="6"/>
  <c r="R926" i="6"/>
  <c r="T636" i="6"/>
  <c r="R1227" i="6"/>
  <c r="R1259" i="6" s="1"/>
  <c r="U1227" i="6"/>
  <c r="U1259" i="6" s="1"/>
  <c r="U753" i="6"/>
  <c r="R372" i="6"/>
  <c r="R1222" i="6"/>
  <c r="Q636" i="6"/>
  <c r="U1228" i="6"/>
  <c r="U1260" i="6" s="1"/>
  <c r="R834" i="6"/>
  <c r="AA34" i="641"/>
  <c r="AC34" i="641"/>
  <c r="AC36" i="641" s="1"/>
  <c r="AC74" i="641" s="1"/>
  <c r="L16" i="14"/>
  <c r="J17" i="14" s="1"/>
  <c r="K16" i="14"/>
  <c r="AT568" i="651"/>
  <c r="N295" i="6"/>
  <c r="M295" i="6"/>
  <c r="H50" i="2"/>
  <c r="H56" i="2" s="1"/>
  <c r="H1231" i="6"/>
  <c r="Y44" i="641"/>
  <c r="Y65" i="641"/>
  <c r="Z68" i="641"/>
  <c r="Z61" i="641"/>
  <c r="H263" i="650"/>
  <c r="I262" i="650"/>
  <c r="I269" i="650" s="1"/>
  <c r="U269" i="650"/>
  <c r="AF624" i="651"/>
  <c r="AT553" i="651"/>
  <c r="E318" i="6"/>
  <c r="I318" i="6"/>
  <c r="Y22" i="6"/>
  <c r="Y23" i="6" s="1"/>
  <c r="M82" i="648" l="1"/>
  <c r="E61" i="648"/>
  <c r="F61" i="648" s="1"/>
  <c r="M72" i="648"/>
  <c r="M75" i="648"/>
  <c r="E64" i="648"/>
  <c r="F64" i="648" s="1"/>
  <c r="M85" i="648"/>
  <c r="E29" i="648"/>
  <c r="E30" i="648"/>
  <c r="G51" i="648"/>
  <c r="AH242" i="650" s="1"/>
  <c r="E38" i="648"/>
  <c r="E36" i="648"/>
  <c r="E37" i="648"/>
  <c r="H51" i="648"/>
  <c r="E15" i="648"/>
  <c r="G55" i="648"/>
  <c r="P27" i="648"/>
  <c r="H55" i="648" s="1"/>
  <c r="E21" i="648"/>
  <c r="E24" i="648"/>
  <c r="E23" i="648"/>
  <c r="S93" i="647"/>
  <c r="S94" i="647"/>
  <c r="S123" i="647"/>
  <c r="E12" i="12"/>
  <c r="C70" i="12"/>
  <c r="N27" i="12"/>
  <c r="N28" i="12"/>
  <c r="D70" i="12"/>
  <c r="F70" i="12" s="1"/>
  <c r="E70" i="12"/>
  <c r="C12" i="12"/>
  <c r="D12" i="12"/>
  <c r="F12" i="12" s="1"/>
  <c r="X8" i="650"/>
  <c r="V5" i="647"/>
  <c r="V157" i="647" s="1"/>
  <c r="S31" i="647"/>
  <c r="AP228" i="650"/>
  <c r="AP229" i="650" s="1"/>
  <c r="S98" i="647"/>
  <c r="S100" i="647"/>
  <c r="S134" i="647"/>
  <c r="AE229" i="650"/>
  <c r="S122" i="647"/>
  <c r="S77" i="647"/>
  <c r="C5" i="20"/>
  <c r="S33" i="20"/>
  <c r="E5" i="20" s="1"/>
  <c r="S48" i="647"/>
  <c r="S105" i="647"/>
  <c r="AS228" i="650"/>
  <c r="AS229" i="650" s="1"/>
  <c r="AO228" i="650"/>
  <c r="AO229" i="650" s="1"/>
  <c r="S115" i="647"/>
  <c r="S73" i="647"/>
  <c r="S62" i="647"/>
  <c r="S36" i="647"/>
  <c r="S110" i="647"/>
  <c r="S116" i="647"/>
  <c r="S67" i="647"/>
  <c r="AQ228" i="650"/>
  <c r="AQ229" i="650" s="1"/>
  <c r="S104" i="647"/>
  <c r="A2" i="649"/>
  <c r="A3" i="15"/>
  <c r="A2" i="3"/>
  <c r="A3" i="648"/>
  <c r="B3" i="139"/>
  <c r="I3" i="595"/>
  <c r="A3" i="3"/>
  <c r="A4" i="648"/>
  <c r="A4" i="15"/>
  <c r="B4" i="139"/>
  <c r="I4" i="595"/>
  <c r="A3" i="649"/>
  <c r="AU229" i="650"/>
  <c r="AR229" i="650"/>
  <c r="AB229" i="650"/>
  <c r="AJ148" i="4"/>
  <c r="W156" i="650"/>
  <c r="V155" i="650"/>
  <c r="X238" i="650"/>
  <c r="AN237" i="650"/>
  <c r="AN238" i="650" s="1"/>
  <c r="AJ147" i="4"/>
  <c r="AV228" i="650"/>
  <c r="AV229" i="650" s="1"/>
  <c r="V238" i="650"/>
  <c r="AL237" i="650"/>
  <c r="AL238" i="650" s="1"/>
  <c r="H13" i="647"/>
  <c r="U164" i="647" s="1"/>
  <c r="U159" i="647"/>
  <c r="V159" i="647" s="1"/>
  <c r="H14" i="647"/>
  <c r="H7" i="647"/>
  <c r="AG83" i="4"/>
  <c r="AY81" i="4"/>
  <c r="AI83" i="4"/>
  <c r="AY83" i="4" s="1"/>
  <c r="P85" i="650"/>
  <c r="AY141" i="4"/>
  <c r="AI143" i="4"/>
  <c r="AI149" i="4" s="1"/>
  <c r="AI150" i="4" s="1"/>
  <c r="G85" i="650"/>
  <c r="O85" i="650"/>
  <c r="J85" i="650"/>
  <c r="K85" i="650"/>
  <c r="N148" i="650"/>
  <c r="N188" i="650" s="1"/>
  <c r="N85" i="650"/>
  <c r="M85" i="650"/>
  <c r="Q85" i="650"/>
  <c r="O145" i="650"/>
  <c r="O151" i="650" s="1"/>
  <c r="O191" i="650" s="1"/>
  <c r="H85" i="650"/>
  <c r="I85" i="650"/>
  <c r="R85" i="650"/>
  <c r="U85" i="650" s="1"/>
  <c r="J189" i="650"/>
  <c r="L85" i="650"/>
  <c r="T150" i="650"/>
  <c r="T190" i="650" s="1"/>
  <c r="F85" i="650"/>
  <c r="AJ141" i="4"/>
  <c r="AZ141" i="4" s="1"/>
  <c r="AG143" i="4"/>
  <c r="T149" i="650"/>
  <c r="T189" i="650" s="1"/>
  <c r="F1094" i="6"/>
  <c r="F1101" i="6" s="1"/>
  <c r="F1141" i="6" s="1"/>
  <c r="R1138" i="6"/>
  <c r="R1225" i="6" s="1"/>
  <c r="R1257" i="6" s="1"/>
  <c r="F1034" i="6"/>
  <c r="R145" i="650"/>
  <c r="R151" i="650" s="1"/>
  <c r="R152" i="650" s="1"/>
  <c r="I145" i="650"/>
  <c r="I151" i="650" s="1"/>
  <c r="I152" i="650" s="1"/>
  <c r="F145" i="650"/>
  <c r="F151" i="650" s="1"/>
  <c r="F191" i="650" s="1"/>
  <c r="G145" i="650"/>
  <c r="H145" i="650"/>
  <c r="H151" i="650" s="1"/>
  <c r="H152" i="650" s="1"/>
  <c r="L145" i="650"/>
  <c r="L151" i="650" s="1"/>
  <c r="L152" i="650" s="1"/>
  <c r="P145" i="650"/>
  <c r="K145" i="650"/>
  <c r="J145" i="650"/>
  <c r="J151" i="650" s="1"/>
  <c r="J152" i="650" s="1"/>
  <c r="M145" i="650"/>
  <c r="M151" i="650" s="1"/>
  <c r="M191" i="650" s="1"/>
  <c r="N145" i="650"/>
  <c r="N151" i="650" s="1"/>
  <c r="N191" i="650" s="1"/>
  <c r="Q145" i="650"/>
  <c r="Q151" i="650" s="1"/>
  <c r="Q152" i="650" s="1"/>
  <c r="T171" i="647"/>
  <c r="U158" i="647" s="1"/>
  <c r="Z69" i="641"/>
  <c r="Z64" i="641"/>
  <c r="F323" i="6"/>
  <c r="AJ161" i="4"/>
  <c r="AJ232" i="4"/>
  <c r="AJ175" i="4"/>
  <c r="AJ243" i="4"/>
  <c r="AJ168" i="4"/>
  <c r="AJ257" i="4"/>
  <c r="AJ264" i="4"/>
  <c r="AJ236" i="4"/>
  <c r="AJ267" i="4"/>
  <c r="AJ215" i="4"/>
  <c r="AG188" i="4"/>
  <c r="AJ250" i="4"/>
  <c r="AJ154" i="4"/>
  <c r="AJ222" i="4"/>
  <c r="AJ71" i="4"/>
  <c r="AZ71" i="4" s="1"/>
  <c r="BA71" i="4" s="1"/>
  <c r="AJ95" i="4"/>
  <c r="AZ95" i="4" s="1"/>
  <c r="BA95" i="4" s="1"/>
  <c r="AJ101" i="4"/>
  <c r="AZ101" i="4" s="1"/>
  <c r="AJ56" i="4"/>
  <c r="AZ56" i="4" s="1"/>
  <c r="BA56" i="4" s="1"/>
  <c r="AJ118" i="4"/>
  <c r="AZ118" i="4" s="1"/>
  <c r="BA118" i="4" s="1"/>
  <c r="AJ66" i="4"/>
  <c r="AZ66" i="4" s="1"/>
  <c r="BA66" i="4" s="1"/>
  <c r="AJ112" i="4"/>
  <c r="AZ112" i="4" s="1"/>
  <c r="BA112" i="4" s="1"/>
  <c r="AJ76" i="4"/>
  <c r="AZ76" i="4" s="1"/>
  <c r="BA76" i="4" s="1"/>
  <c r="AJ61" i="4"/>
  <c r="AZ61" i="4" s="1"/>
  <c r="BA61" i="4" s="1"/>
  <c r="AJ107" i="4"/>
  <c r="AZ107" i="4" s="1"/>
  <c r="BA107" i="4" s="1"/>
  <c r="AJ89" i="4"/>
  <c r="AZ89" i="4" s="1"/>
  <c r="BA89" i="4" s="1"/>
  <c r="AW229" i="650"/>
  <c r="AT237" i="650"/>
  <c r="AT238" i="650" s="1"/>
  <c r="AU237" i="650"/>
  <c r="AU238" i="650" s="1"/>
  <c r="AV237" i="650"/>
  <c r="AV238" i="650" s="1"/>
  <c r="A2" i="725"/>
  <c r="A3" i="725"/>
  <c r="F363" i="15"/>
  <c r="D44" i="647"/>
  <c r="R39" i="650"/>
  <c r="K43" i="650"/>
  <c r="L43" i="650"/>
  <c r="P43" i="650"/>
  <c r="M43" i="650"/>
  <c r="J43" i="650"/>
  <c r="U206" i="650"/>
  <c r="V206" i="650" s="1"/>
  <c r="Q43" i="650"/>
  <c r="O43" i="650"/>
  <c r="I43" i="650"/>
  <c r="N43" i="650"/>
  <c r="R44" i="650"/>
  <c r="R43" i="650"/>
  <c r="AT538" i="651"/>
  <c r="AD54" i="641"/>
  <c r="AD68" i="641" s="1"/>
  <c r="AA61" i="641"/>
  <c r="AA75" i="641" s="1"/>
  <c r="I1231" i="3"/>
  <c r="E1234" i="708"/>
  <c r="E1237" i="708" s="1"/>
  <c r="E1234" i="698"/>
  <c r="E1237" i="698" s="1"/>
  <c r="E1234" i="689"/>
  <c r="E1237" i="689" s="1"/>
  <c r="G1237" i="689" s="1"/>
  <c r="G1244" i="689" s="1"/>
  <c r="E1234" i="688"/>
  <c r="E1237" i="688" s="1"/>
  <c r="G1237" i="688" s="1"/>
  <c r="G1244" i="688" s="1"/>
  <c r="E1234" i="685"/>
  <c r="E1237" i="685" s="1"/>
  <c r="G1237" i="685" s="1"/>
  <c r="G1244" i="685" s="1"/>
  <c r="E1234" i="710"/>
  <c r="E1237" i="710" s="1"/>
  <c r="G1237" i="710" s="1"/>
  <c r="G1244" i="710" s="1"/>
  <c r="E1234" i="704"/>
  <c r="E1237" i="704" s="1"/>
  <c r="E1234" i="690"/>
  <c r="E1237" i="690" s="1"/>
  <c r="E1234" i="702"/>
  <c r="E1237" i="702" s="1"/>
  <c r="E1234" i="701"/>
  <c r="E1237" i="701" s="1"/>
  <c r="E1234" i="694"/>
  <c r="E1237" i="694" s="1"/>
  <c r="E1234" i="693"/>
  <c r="E1237" i="693" s="1"/>
  <c r="E1234" i="692"/>
  <c r="E1237" i="692" s="1"/>
  <c r="E1234" i="691"/>
  <c r="E1237" i="691" s="1"/>
  <c r="E1234" i="711"/>
  <c r="E1237" i="711" s="1"/>
  <c r="E1234" i="705"/>
  <c r="E1237" i="705" s="1"/>
  <c r="E1234" i="703"/>
  <c r="E1237" i="703" s="1"/>
  <c r="E1234" i="695"/>
  <c r="E1237" i="695" s="1"/>
  <c r="E1234" i="707"/>
  <c r="E1237" i="707" s="1"/>
  <c r="E1234" i="709"/>
  <c r="E1237" i="709" s="1"/>
  <c r="E1234" i="696"/>
  <c r="E1237" i="696" s="1"/>
  <c r="E1272" i="671"/>
  <c r="E1275" i="671" s="1"/>
  <c r="E1234" i="686"/>
  <c r="E1237" i="686" s="1"/>
  <c r="G1237" i="686" s="1"/>
  <c r="G1244" i="686" s="1"/>
  <c r="E1234" i="706"/>
  <c r="E1237" i="706" s="1"/>
  <c r="G1237" i="706" s="1"/>
  <c r="G1244" i="706" s="1"/>
  <c r="E1234" i="697"/>
  <c r="E1237" i="697" s="1"/>
  <c r="E1234" i="712"/>
  <c r="E1237" i="712" s="1"/>
  <c r="E1234" i="687"/>
  <c r="E1237" i="687" s="1"/>
  <c r="G1237" i="687" s="1"/>
  <c r="G1244" i="687" s="1"/>
  <c r="H32" i="2"/>
  <c r="T238" i="650"/>
  <c r="C16" i="12"/>
  <c r="AW1231" i="3"/>
  <c r="G1234" i="703"/>
  <c r="L1231" i="3"/>
  <c r="V1231" i="3"/>
  <c r="G1234" i="707"/>
  <c r="F1231" i="3"/>
  <c r="P1231" i="3"/>
  <c r="G1250" i="6"/>
  <c r="E1250" i="6" s="1"/>
  <c r="F1250" i="6"/>
  <c r="AN1231" i="3"/>
  <c r="R1231" i="3"/>
  <c r="D16" i="12"/>
  <c r="G1231" i="3"/>
  <c r="K1231" i="3"/>
  <c r="AI1231" i="3"/>
  <c r="H1231" i="3"/>
  <c r="E1230" i="6" s="1"/>
  <c r="H1250" i="6"/>
  <c r="N1231" i="3"/>
  <c r="G1234" i="695"/>
  <c r="AR1231" i="3"/>
  <c r="M1250" i="6"/>
  <c r="O1231" i="3"/>
  <c r="AA1231" i="3"/>
  <c r="G1234" i="694"/>
  <c r="N1250" i="6"/>
  <c r="I1250" i="6"/>
  <c r="G1234" i="688"/>
  <c r="G1238" i="688" s="1"/>
  <c r="G1234" i="685"/>
  <c r="G1238" i="685" s="1"/>
  <c r="G1234" i="705"/>
  <c r="G1234" i="712"/>
  <c r="M1231" i="3"/>
  <c r="G1234" i="690"/>
  <c r="G1238" i="690" s="1"/>
  <c r="Z1231" i="3"/>
  <c r="J1231" i="3"/>
  <c r="S1231" i="3"/>
  <c r="G1234" i="692"/>
  <c r="AE1231" i="3"/>
  <c r="G1234" i="709"/>
  <c r="W1231" i="3"/>
  <c r="AF1231" i="3"/>
  <c r="AJ1231" i="3"/>
  <c r="G1234" i="697"/>
  <c r="AC1231" i="3"/>
  <c r="AM1231" i="3"/>
  <c r="G1234" i="710"/>
  <c r="G1238" i="710" s="1"/>
  <c r="AQ1231" i="3"/>
  <c r="E27" i="1"/>
  <c r="F27" i="1"/>
  <c r="B27" i="1" s="1"/>
  <c r="F18" i="657"/>
  <c r="F20" i="657" s="1"/>
  <c r="F369" i="15"/>
  <c r="E43" i="50"/>
  <c r="T1231" i="3"/>
  <c r="G1234" i="687"/>
  <c r="G1238" i="687" s="1"/>
  <c r="G1234" i="691"/>
  <c r="G1234" i="693"/>
  <c r="X1231" i="3"/>
  <c r="AD1231" i="3"/>
  <c r="AG1231" i="3"/>
  <c r="G1234" i="702"/>
  <c r="G1234" i="704"/>
  <c r="G1234" i="706"/>
  <c r="G1238" i="706" s="1"/>
  <c r="G1234" i="708"/>
  <c r="AU1231" i="3"/>
  <c r="AL1231" i="3"/>
  <c r="AP1231" i="3"/>
  <c r="G1234" i="711"/>
  <c r="G1238" i="711" s="1"/>
  <c r="AT1231" i="3"/>
  <c r="AC61" i="641"/>
  <c r="AC75" i="641" s="1"/>
  <c r="AC77" i="641" s="1"/>
  <c r="E16" i="12"/>
  <c r="Q1231" i="3"/>
  <c r="G18" i="657"/>
  <c r="G20" i="657" s="1"/>
  <c r="S34" i="20"/>
  <c r="G1272" i="671"/>
  <c r="U1231" i="3"/>
  <c r="G1234" i="686"/>
  <c r="G1238" i="686" s="1"/>
  <c r="G1234" i="689"/>
  <c r="G1238" i="689" s="1"/>
  <c r="G1234" i="696"/>
  <c r="G1234" i="698"/>
  <c r="Y1231" i="3"/>
  <c r="AB1231" i="3"/>
  <c r="G1234" i="701"/>
  <c r="AH1231" i="3"/>
  <c r="AK1231" i="3"/>
  <c r="AO1231" i="3"/>
  <c r="AS1231" i="3"/>
  <c r="T210" i="650"/>
  <c r="AG270" i="4"/>
  <c r="Z164" i="647"/>
  <c r="AM159" i="647"/>
  <c r="AO159" i="647"/>
  <c r="AP159" i="647"/>
  <c r="AN159" i="647"/>
  <c r="AH159" i="647"/>
  <c r="AI159" i="647"/>
  <c r="AQ159" i="647"/>
  <c r="AJ159" i="647"/>
  <c r="AR159" i="647"/>
  <c r="AK159" i="647"/>
  <c r="AG159" i="647"/>
  <c r="AL159" i="647"/>
  <c r="T158" i="647"/>
  <c r="F370" i="15"/>
  <c r="F806" i="6"/>
  <c r="F29" i="2" s="1"/>
  <c r="F834" i="6"/>
  <c r="F926" i="6"/>
  <c r="F753" i="6"/>
  <c r="Y36" i="641"/>
  <c r="Y74" i="641" s="1"/>
  <c r="U149" i="650"/>
  <c r="R189" i="650"/>
  <c r="AG187" i="4"/>
  <c r="U189" i="650"/>
  <c r="H189" i="650"/>
  <c r="U252" i="650"/>
  <c r="U68" i="650"/>
  <c r="U120" i="650"/>
  <c r="U126" i="650"/>
  <c r="F370" i="6"/>
  <c r="H18" i="2"/>
  <c r="G923" i="712"/>
  <c r="G923" i="710"/>
  <c r="G923" i="711"/>
  <c r="G923" i="704"/>
  <c r="G923" i="701"/>
  <c r="G923" i="706"/>
  <c r="G923" i="708"/>
  <c r="G923" i="703"/>
  <c r="G923" i="702"/>
  <c r="G923" i="709"/>
  <c r="G923" i="705"/>
  <c r="G923" i="697"/>
  <c r="G923" i="691"/>
  <c r="G923" i="696"/>
  <c r="G923" i="685"/>
  <c r="G923" i="687"/>
  <c r="G923" i="694"/>
  <c r="G923" i="692"/>
  <c r="G923" i="689"/>
  <c r="G923" i="693"/>
  <c r="G923" i="695"/>
  <c r="G923" i="688"/>
  <c r="G923" i="698"/>
  <c r="G923" i="690"/>
  <c r="G923" i="686"/>
  <c r="L6" i="2"/>
  <c r="A3" i="712"/>
  <c r="A2" i="712"/>
  <c r="A3" i="710"/>
  <c r="A3" i="711"/>
  <c r="A2" i="710"/>
  <c r="A2" i="711"/>
  <c r="A2" i="708"/>
  <c r="A2" i="709"/>
  <c r="A3" i="708"/>
  <c r="A3" i="709"/>
  <c r="A2" i="706"/>
  <c r="A2" i="707"/>
  <c r="A3" i="706"/>
  <c r="A3" i="707"/>
  <c r="A2" i="704"/>
  <c r="A2" i="705"/>
  <c r="A3" i="704"/>
  <c r="A3" i="705"/>
  <c r="A2" i="702"/>
  <c r="A2" i="703"/>
  <c r="A3" i="702"/>
  <c r="A3" i="703"/>
  <c r="A2" i="701"/>
  <c r="A3" i="701"/>
  <c r="F244" i="6"/>
  <c r="A2" i="698"/>
  <c r="A3" i="698"/>
  <c r="A2" i="696"/>
  <c r="A2" i="697"/>
  <c r="A3" i="696"/>
  <c r="A3" i="697"/>
  <c r="A2" i="694"/>
  <c r="A2" i="695"/>
  <c r="A3" i="694"/>
  <c r="A3" i="695"/>
  <c r="A2" i="692"/>
  <c r="A2" i="693"/>
  <c r="A3" i="692"/>
  <c r="A3" i="693"/>
  <c r="A2" i="690"/>
  <c r="A2" i="691"/>
  <c r="A3" i="690"/>
  <c r="A3" i="691"/>
  <c r="A2" i="688"/>
  <c r="A2" i="686"/>
  <c r="A2" i="685"/>
  <c r="A2" i="689"/>
  <c r="A2" i="687"/>
  <c r="A3" i="689"/>
  <c r="A3" i="687"/>
  <c r="A3" i="685"/>
  <c r="A3" i="686"/>
  <c r="A3" i="688"/>
  <c r="G961" i="671"/>
  <c r="A2" i="671"/>
  <c r="A3" i="671"/>
  <c r="AL759" i="651"/>
  <c r="T467" i="641"/>
  <c r="T505" i="641" s="1"/>
  <c r="Y67" i="641"/>
  <c r="AA64" i="641"/>
  <c r="F362" i="15"/>
  <c r="F371" i="15"/>
  <c r="O254" i="651"/>
  <c r="AT631" i="651"/>
  <c r="A3" i="2"/>
  <c r="AU5" i="4"/>
  <c r="A4" i="42"/>
  <c r="A4" i="33"/>
  <c r="A3" i="5"/>
  <c r="J3" i="20"/>
  <c r="A4" i="137"/>
  <c r="B3" i="20"/>
  <c r="A4" i="657"/>
  <c r="B4" i="4"/>
  <c r="A4" i="595"/>
  <c r="O4" i="595" s="1"/>
  <c r="B4" i="14"/>
  <c r="A3" i="6"/>
  <c r="B7" i="660"/>
  <c r="A4" i="16"/>
  <c r="B2" i="12"/>
  <c r="A4" i="50"/>
  <c r="A4" i="594"/>
  <c r="K4" i="594" s="1"/>
  <c r="A4" i="17"/>
  <c r="F3" i="2"/>
  <c r="P254" i="651"/>
  <c r="AD16" i="641"/>
  <c r="AD36" i="641" s="1"/>
  <c r="AD74" i="641" s="1"/>
  <c r="F366" i="6"/>
  <c r="F15" i="2" s="1"/>
  <c r="R254" i="651"/>
  <c r="Y69" i="641"/>
  <c r="B4" i="49"/>
  <c r="B18" i="49" s="1"/>
  <c r="I4" i="52"/>
  <c r="AO759" i="651"/>
  <c r="AB36" i="641"/>
  <c r="AB74" i="641" s="1"/>
  <c r="AB77" i="641" s="1"/>
  <c r="AB80" i="641" s="1"/>
  <c r="D4" i="2"/>
  <c r="E9" i="49"/>
  <c r="AT621" i="651"/>
  <c r="X77" i="641"/>
  <c r="X66" i="641" s="1"/>
  <c r="AB64" i="641"/>
  <c r="AT548" i="651"/>
  <c r="F636" i="6"/>
  <c r="F200" i="6"/>
  <c r="N313" i="6"/>
  <c r="AS624" i="651"/>
  <c r="F232" i="6"/>
  <c r="U206" i="641"/>
  <c r="AJ759" i="651"/>
  <c r="AA67" i="641"/>
  <c r="AT699" i="651"/>
  <c r="N254" i="651"/>
  <c r="H11" i="15"/>
  <c r="AK624" i="651"/>
  <c r="F365" i="15"/>
  <c r="AC69" i="641"/>
  <c r="Q254" i="651"/>
  <c r="AS705" i="651"/>
  <c r="AS706" i="651" s="1"/>
  <c r="L27" i="12"/>
  <c r="L28" i="12"/>
  <c r="L25" i="52"/>
  <c r="F372" i="6"/>
  <c r="F74" i="12"/>
  <c r="F24" i="12"/>
  <c r="F73" i="12"/>
  <c r="F66" i="12"/>
  <c r="F25" i="12"/>
  <c r="F13" i="12"/>
  <c r="U114" i="650"/>
  <c r="F68" i="2"/>
  <c r="M313" i="6"/>
  <c r="T499" i="641"/>
  <c r="T495" i="641"/>
  <c r="T492" i="641"/>
  <c r="T506" i="641" s="1"/>
  <c r="U163" i="650"/>
  <c r="V163" i="650" s="1"/>
  <c r="W163" i="650" s="1"/>
  <c r="X163" i="650" s="1"/>
  <c r="Y163" i="650" s="1"/>
  <c r="Z163" i="650" s="1"/>
  <c r="AA163" i="650" s="1"/>
  <c r="AB163" i="650" s="1"/>
  <c r="AC163" i="650" s="1"/>
  <c r="AD163" i="650" s="1"/>
  <c r="AE163" i="650" s="1"/>
  <c r="AF163" i="650" s="1"/>
  <c r="AG163" i="650" s="1"/>
  <c r="AV109" i="647"/>
  <c r="F289" i="6"/>
  <c r="F325" i="6"/>
  <c r="F365" i="6" s="1"/>
  <c r="F48" i="6"/>
  <c r="AD69" i="641"/>
  <c r="AD65" i="641"/>
  <c r="AD44" i="641"/>
  <c r="F21" i="6"/>
  <c r="T440" i="641"/>
  <c r="AC64" i="641"/>
  <c r="U63" i="650"/>
  <c r="F637" i="6"/>
  <c r="U103" i="650"/>
  <c r="N60" i="2"/>
  <c r="I1156" i="6"/>
  <c r="U58" i="650"/>
  <c r="BA35" i="4"/>
  <c r="B3" i="49"/>
  <c r="B17" i="49" s="1"/>
  <c r="F641" i="6"/>
  <c r="U78" i="650"/>
  <c r="AT622" i="651"/>
  <c r="AT703" i="651"/>
  <c r="U143" i="650"/>
  <c r="AV148" i="647"/>
  <c r="U137" i="650"/>
  <c r="BA40" i="4"/>
  <c r="BA51" i="4"/>
  <c r="AJ227" i="4"/>
  <c r="F67" i="2"/>
  <c r="U42" i="650"/>
  <c r="AT661" i="651"/>
  <c r="V22" i="657"/>
  <c r="AT603" i="651"/>
  <c r="AN624" i="651"/>
  <c r="AT689" i="651"/>
  <c r="AL705" i="651"/>
  <c r="AT705" i="651" s="1"/>
  <c r="AT636" i="651"/>
  <c r="AT588" i="651"/>
  <c r="U132" i="650"/>
  <c r="U234" i="650"/>
  <c r="V234" i="650" s="1"/>
  <c r="W234" i="650" s="1"/>
  <c r="X234" i="650" s="1"/>
  <c r="Y234" i="650" s="1"/>
  <c r="Z234" i="650" s="1"/>
  <c r="AA234" i="650" s="1"/>
  <c r="U217" i="650"/>
  <c r="T78" i="650"/>
  <c r="F1225" i="6"/>
  <c r="F1257" i="6" s="1"/>
  <c r="T20" i="650"/>
  <c r="AA22" i="657"/>
  <c r="Z264" i="651"/>
  <c r="AD264" i="651"/>
  <c r="AC265" i="651"/>
  <c r="AD272" i="651"/>
  <c r="AC273" i="651"/>
  <c r="AB277" i="651"/>
  <c r="AA278" i="651"/>
  <c r="AE278" i="651"/>
  <c r="AC282" i="651"/>
  <c r="AB283" i="651"/>
  <c r="AB287" i="651"/>
  <c r="AA288" i="651"/>
  <c r="AE288" i="651"/>
  <c r="AC292" i="651"/>
  <c r="AB293" i="651"/>
  <c r="AA297" i="651"/>
  <c r="AE297" i="651"/>
  <c r="AD298" i="651"/>
  <c r="AC302" i="651"/>
  <c r="AB303" i="651"/>
  <c r="AB307" i="651"/>
  <c r="AA308" i="651"/>
  <c r="AE308" i="651"/>
  <c r="AB312" i="651"/>
  <c r="AA313" i="651"/>
  <c r="AE313" i="651"/>
  <c r="AD317" i="651"/>
  <c r="AC318" i="651"/>
  <c r="AB322" i="651"/>
  <c r="AA323" i="651"/>
  <c r="AE323" i="651"/>
  <c r="AA327" i="651"/>
  <c r="AE327" i="651"/>
  <c r="AD328" i="651"/>
  <c r="AC332" i="651"/>
  <c r="AB333" i="651"/>
  <c r="AC337" i="651"/>
  <c r="AB338" i="651"/>
  <c r="AD342" i="651"/>
  <c r="AA264" i="651"/>
  <c r="AE264" i="651"/>
  <c r="Z265" i="651"/>
  <c r="AD265" i="651"/>
  <c r="AA272" i="651"/>
  <c r="AE272" i="651"/>
  <c r="AD273" i="651"/>
  <c r="AC277" i="651"/>
  <c r="AB278" i="651"/>
  <c r="AD282" i="651"/>
  <c r="AC283" i="651"/>
  <c r="AC287" i="651"/>
  <c r="AB288" i="651"/>
  <c r="AD292" i="651"/>
  <c r="AC293" i="651"/>
  <c r="AB297" i="651"/>
  <c r="AA298" i="651"/>
  <c r="AE298" i="651"/>
  <c r="AD302" i="651"/>
  <c r="AC303" i="651"/>
  <c r="AC307" i="651"/>
  <c r="AB308" i="651"/>
  <c r="AC312" i="651"/>
  <c r="AB313" i="651"/>
  <c r="AA317" i="651"/>
  <c r="AE317" i="651"/>
  <c r="AD318" i="651"/>
  <c r="AC322" i="651"/>
  <c r="AB323" i="651"/>
  <c r="AB327" i="651"/>
  <c r="AA328" i="651"/>
  <c r="AE328" i="651"/>
  <c r="AD332" i="651"/>
  <c r="AC333" i="651"/>
  <c r="AD337" i="651"/>
  <c r="AC338" i="651"/>
  <c r="AA342" i="651"/>
  <c r="AE342" i="651"/>
  <c r="AB264" i="651"/>
  <c r="AA265" i="651"/>
  <c r="AE265" i="651"/>
  <c r="AB272" i="651"/>
  <c r="AA273" i="651"/>
  <c r="AE273" i="651"/>
  <c r="AD277" i="651"/>
  <c r="AC278" i="651"/>
  <c r="AA282" i="651"/>
  <c r="AE282" i="651"/>
  <c r="AD283" i="651"/>
  <c r="AD287" i="651"/>
  <c r="AC288" i="651"/>
  <c r="AA292" i="651"/>
  <c r="AE292" i="651"/>
  <c r="AD293" i="651"/>
  <c r="AC297" i="651"/>
  <c r="AB298" i="651"/>
  <c r="AA302" i="651"/>
  <c r="AE302" i="651"/>
  <c r="AD303" i="651"/>
  <c r="AD307" i="651"/>
  <c r="AC308" i="651"/>
  <c r="AD312" i="651"/>
  <c r="AC313" i="651"/>
  <c r="AB317" i="651"/>
  <c r="AA318" i="651"/>
  <c r="AE318" i="651"/>
  <c r="AD322" i="651"/>
  <c r="AC323" i="651"/>
  <c r="AC327" i="651"/>
  <c r="AB328" i="651"/>
  <c r="AA332" i="651"/>
  <c r="AE332" i="651"/>
  <c r="AD333" i="651"/>
  <c r="AC264" i="651"/>
  <c r="AB265" i="651"/>
  <c r="AC272" i="651"/>
  <c r="AO272" i="651" s="1"/>
  <c r="AB273" i="651"/>
  <c r="AA277" i="651"/>
  <c r="AE277" i="651"/>
  <c r="AD278" i="651"/>
  <c r="AB282" i="651"/>
  <c r="AA283" i="651"/>
  <c r="AE283" i="651"/>
  <c r="AA287" i="651"/>
  <c r="AE287" i="651"/>
  <c r="AD288" i="651"/>
  <c r="AB292" i="651"/>
  <c r="AA293" i="651"/>
  <c r="AE293" i="651"/>
  <c r="AD297" i="651"/>
  <c r="AC298" i="651"/>
  <c r="AB302" i="651"/>
  <c r="AA303" i="651"/>
  <c r="AE303" i="651"/>
  <c r="AA307" i="651"/>
  <c r="AE307" i="651"/>
  <c r="AD308" i="651"/>
  <c r="AA312" i="651"/>
  <c r="AE312" i="651"/>
  <c r="AD313" i="651"/>
  <c r="AC317" i="651"/>
  <c r="AB318" i="651"/>
  <c r="AD323" i="651"/>
  <c r="AB332" i="651"/>
  <c r="AA337" i="651"/>
  <c r="AB342" i="651"/>
  <c r="AD343" i="651"/>
  <c r="AC347" i="651"/>
  <c r="AB348" i="651"/>
  <c r="AC352" i="651"/>
  <c r="AB353" i="651"/>
  <c r="AC357" i="651"/>
  <c r="AB358" i="651"/>
  <c r="AD362" i="651"/>
  <c r="AC363" i="651"/>
  <c r="AA375" i="651"/>
  <c r="AE375" i="651"/>
  <c r="AD376" i="651"/>
  <c r="AB380" i="651"/>
  <c r="AA381" i="651"/>
  <c r="AE381" i="651"/>
  <c r="AC385" i="651"/>
  <c r="AB386" i="651"/>
  <c r="AA390" i="651"/>
  <c r="AE390" i="651"/>
  <c r="AD391" i="651"/>
  <c r="AA395" i="651"/>
  <c r="AE395" i="651"/>
  <c r="AD396" i="651"/>
  <c r="AC400" i="651"/>
  <c r="AB401" i="651"/>
  <c r="AD405" i="651"/>
  <c r="AC406" i="651"/>
  <c r="AD410" i="651"/>
  <c r="AC411" i="651"/>
  <c r="AB415" i="651"/>
  <c r="AA416" i="651"/>
  <c r="AE416" i="651"/>
  <c r="AA428" i="651"/>
  <c r="AE428" i="651"/>
  <c r="AD429" i="651"/>
  <c r="AB433" i="651"/>
  <c r="AA434" i="651"/>
  <c r="AE434" i="651"/>
  <c r="AB438" i="651"/>
  <c r="AA439" i="651"/>
  <c r="AE439" i="651"/>
  <c r="AA322" i="651"/>
  <c r="AC328" i="651"/>
  <c r="AB337" i="651"/>
  <c r="AA338" i="651"/>
  <c r="AC342" i="651"/>
  <c r="AA343" i="651"/>
  <c r="AE343" i="651"/>
  <c r="AD347" i="651"/>
  <c r="AC348" i="651"/>
  <c r="AD352" i="651"/>
  <c r="AC353" i="651"/>
  <c r="AD357" i="651"/>
  <c r="AC358" i="651"/>
  <c r="AA362" i="651"/>
  <c r="AE362" i="651"/>
  <c r="AD363" i="651"/>
  <c r="AB375" i="651"/>
  <c r="AA376" i="651"/>
  <c r="AE376" i="651"/>
  <c r="AC380" i="651"/>
  <c r="AB381" i="651"/>
  <c r="AD385" i="651"/>
  <c r="AC386" i="651"/>
  <c r="AB390" i="651"/>
  <c r="AA391" i="651"/>
  <c r="AE391" i="651"/>
  <c r="AB395" i="651"/>
  <c r="AA396" i="651"/>
  <c r="AE396" i="651"/>
  <c r="AD400" i="651"/>
  <c r="AC401" i="651"/>
  <c r="AA405" i="651"/>
  <c r="AE405" i="651"/>
  <c r="AD406" i="651"/>
  <c r="AA410" i="651"/>
  <c r="AE410" i="651"/>
  <c r="AD411" i="651"/>
  <c r="AC415" i="651"/>
  <c r="AB416" i="651"/>
  <c r="AE322" i="651"/>
  <c r="AA333" i="651"/>
  <c r="AE337" i="651"/>
  <c r="AD338" i="651"/>
  <c r="AB343" i="651"/>
  <c r="AA347" i="651"/>
  <c r="AE347" i="651"/>
  <c r="AD348" i="651"/>
  <c r="AA352" i="651"/>
  <c r="AE352" i="651"/>
  <c r="AQ352" i="651" s="1"/>
  <c r="AD353" i="651"/>
  <c r="AA357" i="651"/>
  <c r="AE357" i="651"/>
  <c r="AD358" i="651"/>
  <c r="AB362" i="651"/>
  <c r="AA363" i="651"/>
  <c r="AE363" i="651"/>
  <c r="AC375" i="651"/>
  <c r="AB376" i="651"/>
  <c r="AD380" i="651"/>
  <c r="AC381" i="651"/>
  <c r="AA385" i="651"/>
  <c r="AE385" i="651"/>
  <c r="AD386" i="651"/>
  <c r="AC390" i="651"/>
  <c r="AB391" i="651"/>
  <c r="AC395" i="651"/>
  <c r="AB396" i="651"/>
  <c r="AA400" i="651"/>
  <c r="AE400" i="651"/>
  <c r="AD327" i="651"/>
  <c r="AE333" i="651"/>
  <c r="AE338" i="651"/>
  <c r="AC343" i="651"/>
  <c r="AB347" i="651"/>
  <c r="AA348" i="651"/>
  <c r="AE348" i="651"/>
  <c r="AB352" i="651"/>
  <c r="AA353" i="651"/>
  <c r="AE353" i="651"/>
  <c r="AB357" i="651"/>
  <c r="AA358" i="651"/>
  <c r="AE358" i="651"/>
  <c r="AC362" i="651"/>
  <c r="AB363" i="651"/>
  <c r="AD375" i="651"/>
  <c r="AC376" i="651"/>
  <c r="AA380" i="651"/>
  <c r="AE380" i="651"/>
  <c r="AD381" i="651"/>
  <c r="AB385" i="651"/>
  <c r="AA386" i="651"/>
  <c r="AE386" i="651"/>
  <c r="AD390" i="651"/>
  <c r="AC391" i="651"/>
  <c r="AD395" i="651"/>
  <c r="AC396" i="651"/>
  <c r="AB400" i="651"/>
  <c r="AA401" i="651"/>
  <c r="AE401" i="651"/>
  <c r="AC405" i="651"/>
  <c r="AB406" i="651"/>
  <c r="AB405" i="651"/>
  <c r="AE411" i="651"/>
  <c r="AD415" i="651"/>
  <c r="AC416" i="651"/>
  <c r="AD428" i="651"/>
  <c r="AA429" i="651"/>
  <c r="AC433" i="651"/>
  <c r="AD434" i="651"/>
  <c r="AD438" i="651"/>
  <c r="AB443" i="651"/>
  <c r="AC444" i="651"/>
  <c r="AA456" i="651"/>
  <c r="AE456" i="651"/>
  <c r="AD457" i="651"/>
  <c r="AC460" i="651"/>
  <c r="AB461" i="651"/>
  <c r="AA464" i="651"/>
  <c r="AE464" i="651"/>
  <c r="AD465" i="651"/>
  <c r="AA468" i="651"/>
  <c r="AE468" i="651"/>
  <c r="AD469" i="651"/>
  <c r="AB472" i="651"/>
  <c r="AA473" i="651"/>
  <c r="AE473" i="651"/>
  <c r="AA476" i="651"/>
  <c r="AE476" i="651"/>
  <c r="AD477" i="651"/>
  <c r="AB480" i="651"/>
  <c r="AA481" i="651"/>
  <c r="AE481" i="651"/>
  <c r="AC484" i="651"/>
  <c r="AB485" i="651"/>
  <c r="AD488" i="651"/>
  <c r="AC489" i="651"/>
  <c r="AB492" i="651"/>
  <c r="AA493" i="651"/>
  <c r="AE493" i="651"/>
  <c r="AC496" i="651"/>
  <c r="AB497" i="651"/>
  <c r="AB500" i="651"/>
  <c r="AA501" i="651"/>
  <c r="AE501" i="651"/>
  <c r="AD401" i="651"/>
  <c r="AE415" i="651"/>
  <c r="AD416" i="651"/>
  <c r="AB429" i="651"/>
  <c r="AD433" i="651"/>
  <c r="AE438" i="651"/>
  <c r="AB439" i="651"/>
  <c r="AC443" i="651"/>
  <c r="AA444" i="651"/>
  <c r="AB456" i="651"/>
  <c r="AA457" i="651"/>
  <c r="AE457" i="651"/>
  <c r="AD460" i="651"/>
  <c r="AC461" i="651"/>
  <c r="AB464" i="651"/>
  <c r="AA465" i="651"/>
  <c r="AE465" i="651"/>
  <c r="AB468" i="651"/>
  <c r="AA469" i="651"/>
  <c r="AE469" i="651"/>
  <c r="AC472" i="651"/>
  <c r="AB473" i="651"/>
  <c r="AB476" i="651"/>
  <c r="AA477" i="651"/>
  <c r="AE477" i="651"/>
  <c r="AC480" i="651"/>
  <c r="AB481" i="651"/>
  <c r="AD484" i="651"/>
  <c r="AC485" i="651"/>
  <c r="AA488" i="651"/>
  <c r="AE488" i="651"/>
  <c r="AD489" i="651"/>
  <c r="AC492" i="651"/>
  <c r="AB493" i="651"/>
  <c r="AD496" i="651"/>
  <c r="AC497" i="651"/>
  <c r="AC500" i="651"/>
  <c r="AB501" i="651"/>
  <c r="AA406" i="651"/>
  <c r="AB410" i="651"/>
  <c r="AA411" i="651"/>
  <c r="AB428" i="651"/>
  <c r="AC429" i="651"/>
  <c r="AE433" i="651"/>
  <c r="AB434" i="651"/>
  <c r="AA438" i="651"/>
  <c r="AC439" i="651"/>
  <c r="AD443" i="651"/>
  <c r="AD444" i="651"/>
  <c r="AC456" i="651"/>
  <c r="AB457" i="651"/>
  <c r="AA460" i="651"/>
  <c r="AE460" i="651"/>
  <c r="AD461" i="651"/>
  <c r="AC464" i="651"/>
  <c r="AB465" i="651"/>
  <c r="AC468" i="651"/>
  <c r="AB469" i="651"/>
  <c r="AD472" i="651"/>
  <c r="AC473" i="651"/>
  <c r="AC476" i="651"/>
  <c r="AB477" i="651"/>
  <c r="AD480" i="651"/>
  <c r="AC481" i="651"/>
  <c r="AA484" i="651"/>
  <c r="AE484" i="651"/>
  <c r="AD485" i="651"/>
  <c r="AE406" i="651"/>
  <c r="AC410" i="651"/>
  <c r="AB411" i="651"/>
  <c r="AA415" i="651"/>
  <c r="AC428" i="651"/>
  <c r="AE429" i="651"/>
  <c r="AA433" i="651"/>
  <c r="AC434" i="651"/>
  <c r="AC438" i="651"/>
  <c r="AD439" i="651"/>
  <c r="AA443" i="651"/>
  <c r="AE443" i="651"/>
  <c r="AB444" i="651"/>
  <c r="AE444" i="651"/>
  <c r="AD456" i="651"/>
  <c r="AC457" i="651"/>
  <c r="AB460" i="651"/>
  <c r="AA461" i="651"/>
  <c r="AE461" i="651"/>
  <c r="AD464" i="651"/>
  <c r="AC465" i="651"/>
  <c r="AD468" i="651"/>
  <c r="AC469" i="651"/>
  <c r="AA472" i="651"/>
  <c r="AE472" i="651"/>
  <c r="AD473" i="651"/>
  <c r="AD476" i="651"/>
  <c r="AC477" i="651"/>
  <c r="AA480" i="651"/>
  <c r="AE480" i="651"/>
  <c r="AD481" i="651"/>
  <c r="AB484" i="651"/>
  <c r="AA485" i="651"/>
  <c r="AE485" i="651"/>
  <c r="AC488" i="651"/>
  <c r="AB489" i="651"/>
  <c r="AA492" i="651"/>
  <c r="AE492" i="651"/>
  <c r="AD493" i="651"/>
  <c r="AB496" i="651"/>
  <c r="AA497" i="651"/>
  <c r="AE497" i="651"/>
  <c r="AE489" i="651"/>
  <c r="AA496" i="651"/>
  <c r="AE500" i="651"/>
  <c r="AD501" i="651"/>
  <c r="AB488" i="651"/>
  <c r="AC493" i="651"/>
  <c r="AE496" i="651"/>
  <c r="AA500" i="651"/>
  <c r="AA489" i="651"/>
  <c r="AD492" i="651"/>
  <c r="AD497" i="651"/>
  <c r="AD500" i="651"/>
  <c r="AC501" i="651"/>
  <c r="T114" i="650"/>
  <c r="BA124" i="4"/>
  <c r="T58" i="650"/>
  <c r="BA130" i="4"/>
  <c r="AT761" i="651"/>
  <c r="AT712" i="651"/>
  <c r="T163" i="650"/>
  <c r="T234" i="650"/>
  <c r="AY276" i="4"/>
  <c r="T252" i="650"/>
  <c r="R27" i="20"/>
  <c r="R29" i="20" s="1"/>
  <c r="R31" i="20" s="1"/>
  <c r="T97" i="650"/>
  <c r="F1188" i="6"/>
  <c r="F1219" i="6"/>
  <c r="T37" i="650"/>
  <c r="AJ135" i="4"/>
  <c r="AZ135" i="4" s="1"/>
  <c r="BA135" i="4" s="1"/>
  <c r="T91" i="650"/>
  <c r="U245" i="650"/>
  <c r="U53" i="650"/>
  <c r="AJ81" i="4"/>
  <c r="AJ208" i="4"/>
  <c r="F63" i="2"/>
  <c r="U259" i="650"/>
  <c r="U229" i="650"/>
  <c r="A3" i="594"/>
  <c r="K3" i="594" s="1"/>
  <c r="AA3" i="594" s="1"/>
  <c r="T3" i="594" s="1"/>
  <c r="U109" i="650"/>
  <c r="A3" i="50"/>
  <c r="A2" i="2"/>
  <c r="T259" i="650"/>
  <c r="T68" i="650"/>
  <c r="U224" i="650"/>
  <c r="U31" i="650"/>
  <c r="R188" i="650"/>
  <c r="B2" i="20"/>
  <c r="B6" i="660"/>
  <c r="A2" i="5"/>
  <c r="A3" i="595"/>
  <c r="O3" i="595" s="1"/>
  <c r="T229" i="650"/>
  <c r="U73" i="650"/>
  <c r="B1" i="12"/>
  <c r="T42" i="650"/>
  <c r="A3" i="42"/>
  <c r="A3" i="657"/>
  <c r="AI189" i="4"/>
  <c r="AI276" i="4" s="1"/>
  <c r="AZ29" i="4"/>
  <c r="A3" i="17"/>
  <c r="B3" i="4"/>
  <c r="B3" i="14"/>
  <c r="A3" i="137"/>
  <c r="A3" i="33"/>
  <c r="J2" i="20"/>
  <c r="I3" i="52"/>
  <c r="A2" i="6"/>
  <c r="A3" i="16"/>
  <c r="AU4" i="4"/>
  <c r="T137" i="650"/>
  <c r="U177" i="650"/>
  <c r="V177" i="650" s="1"/>
  <c r="V176" i="650" s="1"/>
  <c r="F509" i="6"/>
  <c r="U91" i="650"/>
  <c r="T245" i="650"/>
  <c r="D510" i="6"/>
  <c r="F17" i="2"/>
  <c r="T53" i="650"/>
  <c r="T103" i="650"/>
  <c r="AX99" i="647" s="1"/>
  <c r="AX100" i="647" s="1"/>
  <c r="AG149" i="4"/>
  <c r="F148" i="650"/>
  <c r="U97" i="650"/>
  <c r="D46" i="647"/>
  <c r="D43" i="647"/>
  <c r="D45" i="647"/>
  <c r="T120" i="650"/>
  <c r="T73" i="650"/>
  <c r="T126" i="650"/>
  <c r="T177" i="650"/>
  <c r="F902" i="6"/>
  <c r="T224" i="650"/>
  <c r="T132" i="650"/>
  <c r="U238" i="650"/>
  <c r="T206" i="650"/>
  <c r="T266" i="650"/>
  <c r="AI187" i="4"/>
  <c r="U20" i="650"/>
  <c r="F53" i="2"/>
  <c r="U83" i="650"/>
  <c r="T31" i="650"/>
  <c r="U150" i="650"/>
  <c r="M486" i="6"/>
  <c r="N486" i="6"/>
  <c r="T217" i="650"/>
  <c r="U190" i="650"/>
  <c r="T83" i="650"/>
  <c r="T143" i="650"/>
  <c r="R144" i="650"/>
  <c r="U144" i="650" s="1"/>
  <c r="U170" i="650"/>
  <c r="F16" i="2"/>
  <c r="D42" i="648"/>
  <c r="T109" i="650"/>
  <c r="T170" i="650"/>
  <c r="H188" i="650"/>
  <c r="T63" i="650"/>
  <c r="AI188" i="4"/>
  <c r="U37" i="650"/>
  <c r="AG146" i="4"/>
  <c r="AY146" i="4"/>
  <c r="AY186" i="4" s="1"/>
  <c r="D41" i="648"/>
  <c r="AY29" i="4"/>
  <c r="U210" i="650"/>
  <c r="N304" i="6"/>
  <c r="M304" i="6"/>
  <c r="M268" i="6"/>
  <c r="N268" i="6"/>
  <c r="R1231" i="6"/>
  <c r="R1263" i="6" s="1"/>
  <c r="AJ204" i="4"/>
  <c r="U330" i="641"/>
  <c r="Z75" i="641"/>
  <c r="Z77" i="641" s="1"/>
  <c r="L17" i="14"/>
  <c r="J18" i="14" s="1"/>
  <c r="AA36" i="641"/>
  <c r="AA74" i="641" s="1"/>
  <c r="AA69" i="641"/>
  <c r="Y61" i="641"/>
  <c r="Y75" i="641" s="1"/>
  <c r="Y24" i="6"/>
  <c r="Y25" i="6" s="1"/>
  <c r="M23" i="652"/>
  <c r="M31" i="652"/>
  <c r="M7" i="652"/>
  <c r="M26" i="652"/>
  <c r="M34" i="652"/>
  <c r="M25" i="652"/>
  <c r="M8" i="652"/>
  <c r="M24" i="652"/>
  <c r="M9" i="652"/>
  <c r="M12" i="652"/>
  <c r="M17" i="652"/>
  <c r="M6" i="652"/>
  <c r="M20" i="652"/>
  <c r="M27" i="652"/>
  <c r="M11" i="652"/>
  <c r="M30" i="652"/>
  <c r="M33" i="652"/>
  <c r="M13" i="652"/>
  <c r="M32" i="652"/>
  <c r="M10" i="652"/>
  <c r="M19" i="652"/>
  <c r="M35" i="652"/>
  <c r="M22" i="652"/>
  <c r="M21" i="652"/>
  <c r="M14" i="652"/>
  <c r="M318" i="6"/>
  <c r="Q318" i="6" s="1"/>
  <c r="N318" i="6"/>
  <c r="U318" i="6" s="1"/>
  <c r="O28" i="1"/>
  <c r="Y64" i="641"/>
  <c r="J262" i="650"/>
  <c r="J269" i="650" s="1"/>
  <c r="I263" i="650"/>
  <c r="M73" i="648" l="1"/>
  <c r="E62" i="648"/>
  <c r="F62" i="648" s="1"/>
  <c r="M83" i="648"/>
  <c r="M86" i="648" s="1"/>
  <c r="H28" i="647"/>
  <c r="I13" i="647" s="1"/>
  <c r="I28" i="647" s="1"/>
  <c r="H50" i="648"/>
  <c r="H53" i="648"/>
  <c r="H52" i="648"/>
  <c r="M92" i="648"/>
  <c r="M76" i="648"/>
  <c r="N72" i="648"/>
  <c r="G64" i="648"/>
  <c r="H64" i="648" s="1"/>
  <c r="M74" i="648"/>
  <c r="E63" i="648"/>
  <c r="F63" i="648" s="1"/>
  <c r="M84" i="648"/>
  <c r="G50" i="648"/>
  <c r="AH241" i="650" s="1"/>
  <c r="G52" i="648"/>
  <c r="AH243" i="650" s="1"/>
  <c r="G53" i="648"/>
  <c r="G61" i="648"/>
  <c r="N75" i="648"/>
  <c r="M95" i="648"/>
  <c r="R85" i="648"/>
  <c r="S85" i="648" s="1"/>
  <c r="H24" i="648" s="1"/>
  <c r="N85" i="648"/>
  <c r="R82" i="648"/>
  <c r="N82" i="648"/>
  <c r="AB164" i="647"/>
  <c r="AC164" i="647"/>
  <c r="Y164" i="647"/>
  <c r="Y8" i="650"/>
  <c r="W5" i="647"/>
  <c r="W157" i="647" s="1"/>
  <c r="AA164" i="647"/>
  <c r="AE164" i="647"/>
  <c r="Z165" i="647"/>
  <c r="U165" i="647"/>
  <c r="AD164" i="647"/>
  <c r="AF164" i="647"/>
  <c r="O152" i="650"/>
  <c r="O4" i="42"/>
  <c r="U4" i="42"/>
  <c r="U3" i="42"/>
  <c r="O3" i="42"/>
  <c r="F16" i="12"/>
  <c r="V205" i="650"/>
  <c r="W206" i="650"/>
  <c r="V173" i="650"/>
  <c r="V174" i="650"/>
  <c r="W155" i="650"/>
  <c r="X156" i="650"/>
  <c r="H191" i="650"/>
  <c r="V232" i="650"/>
  <c r="W232" i="650" s="1"/>
  <c r="X232" i="650" s="1"/>
  <c r="Y232" i="650" s="1"/>
  <c r="Z232" i="650" s="1"/>
  <c r="AA232" i="650" s="1"/>
  <c r="V233" i="650"/>
  <c r="W233" i="650" s="1"/>
  <c r="X233" i="650" s="1"/>
  <c r="Y233" i="650" s="1"/>
  <c r="Z233" i="650" s="1"/>
  <c r="AA233" i="650" s="1"/>
  <c r="W177" i="650"/>
  <c r="X177" i="650" s="1"/>
  <c r="Y177" i="650" s="1"/>
  <c r="Z177" i="650" s="1"/>
  <c r="AA177" i="650" s="1"/>
  <c r="V175" i="650"/>
  <c r="Y165" i="647"/>
  <c r="H29" i="647"/>
  <c r="I14" i="647" s="1"/>
  <c r="AE165" i="647"/>
  <c r="AA165" i="647"/>
  <c r="V165" i="647"/>
  <c r="AF165" i="647"/>
  <c r="AD165" i="647"/>
  <c r="W159" i="647"/>
  <c r="X159" i="647" s="1"/>
  <c r="AC165" i="647"/>
  <c r="V164" i="647"/>
  <c r="AB165" i="647"/>
  <c r="L191" i="650"/>
  <c r="BA141" i="4"/>
  <c r="AZ81" i="4"/>
  <c r="BA81" i="4" s="1"/>
  <c r="AJ83" i="4"/>
  <c r="AZ83" i="4" s="1"/>
  <c r="BA83" i="4" s="1"/>
  <c r="Q191" i="650"/>
  <c r="I191" i="650"/>
  <c r="I278" i="650" s="1"/>
  <c r="K151" i="650"/>
  <c r="K152" i="650" s="1"/>
  <c r="N152" i="650"/>
  <c r="P151" i="650"/>
  <c r="P152" i="650" s="1"/>
  <c r="J191" i="650"/>
  <c r="J278" i="650" s="1"/>
  <c r="M152" i="650"/>
  <c r="G151" i="650"/>
  <c r="G152" i="650" s="1"/>
  <c r="T85" i="650"/>
  <c r="AJ143" i="4"/>
  <c r="AJ149" i="4" s="1"/>
  <c r="AJ150" i="4" s="1"/>
  <c r="T148" i="650"/>
  <c r="T145" i="650"/>
  <c r="T151" i="650" s="1"/>
  <c r="U145" i="650"/>
  <c r="AG186" i="4"/>
  <c r="AG273" i="4" s="1"/>
  <c r="AJ188" i="4"/>
  <c r="AJ187" i="4"/>
  <c r="AA77" i="641"/>
  <c r="AA80" i="641" s="1"/>
  <c r="F11" i="15"/>
  <c r="N30" i="652"/>
  <c r="AH126" i="650" s="1"/>
  <c r="V126" i="650" s="1"/>
  <c r="E1244" i="708"/>
  <c r="E1247" i="708"/>
  <c r="E1244" i="690"/>
  <c r="E1247" i="690"/>
  <c r="G1247" i="690" s="1"/>
  <c r="G1237" i="690"/>
  <c r="G1244" i="690" s="1"/>
  <c r="E1244" i="709"/>
  <c r="E1247" i="709"/>
  <c r="E1244" i="704"/>
  <c r="E1247" i="704"/>
  <c r="E1244" i="687"/>
  <c r="E1247" i="687"/>
  <c r="G1247" i="687" s="1"/>
  <c r="E1244" i="692"/>
  <c r="E1247" i="692"/>
  <c r="E1244" i="710"/>
  <c r="E1247" i="710"/>
  <c r="G1247" i="710" s="1"/>
  <c r="E1244" i="711"/>
  <c r="E1247" i="711"/>
  <c r="G1247" i="711" s="1"/>
  <c r="E1244" i="691"/>
  <c r="E1247" i="691"/>
  <c r="E1244" i="712"/>
  <c r="E1247" i="712"/>
  <c r="E1244" i="707"/>
  <c r="E1247" i="707"/>
  <c r="E1244" i="693"/>
  <c r="E1247" i="693"/>
  <c r="E1244" i="685"/>
  <c r="E1247" i="685"/>
  <c r="G1247" i="685" s="1"/>
  <c r="E1282" i="671"/>
  <c r="E1285" i="671"/>
  <c r="E1244" i="695"/>
  <c r="E1247" i="695"/>
  <c r="E1244" i="706"/>
  <c r="E1247" i="706"/>
  <c r="G1247" i="706" s="1"/>
  <c r="E1244" i="703"/>
  <c r="E1247" i="703"/>
  <c r="E1244" i="701"/>
  <c r="E1247" i="701"/>
  <c r="E1244" i="689"/>
  <c r="E1247" i="689"/>
  <c r="G1247" i="689" s="1"/>
  <c r="E1244" i="696"/>
  <c r="E1247" i="696"/>
  <c r="E1244" i="697"/>
  <c r="E1247" i="697"/>
  <c r="E1244" i="694"/>
  <c r="E1247" i="694"/>
  <c r="E1244" i="688"/>
  <c r="E1247" i="688"/>
  <c r="G1247" i="688" s="1"/>
  <c r="E1244" i="686"/>
  <c r="E1247" i="686"/>
  <c r="G1247" i="686" s="1"/>
  <c r="E1244" i="705"/>
  <c r="E1247" i="705"/>
  <c r="E1244" i="702"/>
  <c r="E1247" i="702"/>
  <c r="E1244" i="698"/>
  <c r="E1247" i="698"/>
  <c r="G1237" i="711"/>
  <c r="G1244" i="711" s="1"/>
  <c r="AX1231" i="3"/>
  <c r="S36" i="20"/>
  <c r="S38" i="20" s="1"/>
  <c r="R36" i="20"/>
  <c r="R38" i="20" s="1"/>
  <c r="O29" i="1"/>
  <c r="E28" i="1"/>
  <c r="G8" i="3" s="1"/>
  <c r="H5" i="5" s="1"/>
  <c r="F28" i="1"/>
  <c r="B28" i="1" s="1"/>
  <c r="Y77" i="641"/>
  <c r="Y66" i="641" s="1"/>
  <c r="T508" i="641"/>
  <c r="T497" i="641" s="1"/>
  <c r="H11" i="651"/>
  <c r="H10" i="651"/>
  <c r="AX242" i="650"/>
  <c r="AH244" i="650"/>
  <c r="F327" i="6"/>
  <c r="F953" i="6"/>
  <c r="F35" i="2"/>
  <c r="F28" i="2"/>
  <c r="F22" i="2"/>
  <c r="F30" i="2"/>
  <c r="F905" i="6"/>
  <c r="K188" i="650"/>
  <c r="K275" i="650" s="1"/>
  <c r="L188" i="650"/>
  <c r="L275" i="650" s="1"/>
  <c r="O188" i="650"/>
  <c r="O275" i="650" s="1"/>
  <c r="F188" i="650"/>
  <c r="F275" i="650" s="1"/>
  <c r="I188" i="650"/>
  <c r="I275" i="650" s="1"/>
  <c r="M188" i="650"/>
  <c r="M275" i="650" s="1"/>
  <c r="G188" i="650"/>
  <c r="G275" i="650" s="1"/>
  <c r="Q188" i="650"/>
  <c r="J188" i="650"/>
  <c r="J275" i="650" s="1"/>
  <c r="P188" i="650"/>
  <c r="P275" i="650" s="1"/>
  <c r="AG189" i="4"/>
  <c r="G1226" i="706"/>
  <c r="G933" i="710"/>
  <c r="G1226" i="711"/>
  <c r="G887" i="707"/>
  <c r="G844" i="707"/>
  <c r="G842" i="707"/>
  <c r="L78" i="2"/>
  <c r="F363" i="6"/>
  <c r="F13" i="2" s="1"/>
  <c r="F18" i="2" s="1"/>
  <c r="AD67" i="641"/>
  <c r="AB66" i="641"/>
  <c r="F367" i="15"/>
  <c r="E50" i="12"/>
  <c r="C50" i="12"/>
  <c r="D50" i="12"/>
  <c r="F50" i="12" s="1"/>
  <c r="I60" i="2"/>
  <c r="F640" i="6"/>
  <c r="T429" i="641"/>
  <c r="X80" i="641"/>
  <c r="AD64" i="641"/>
  <c r="AD61" i="641"/>
  <c r="AD75" i="641" s="1"/>
  <c r="AD77" i="641" s="1"/>
  <c r="AD66" i="641" s="1"/>
  <c r="AT624" i="651"/>
  <c r="F203" i="6"/>
  <c r="F23" i="2"/>
  <c r="E39" i="648"/>
  <c r="AD243" i="651"/>
  <c r="AC239" i="651"/>
  <c r="AA498" i="651"/>
  <c r="AA242" i="651"/>
  <c r="AE243" i="651"/>
  <c r="AA494" i="651"/>
  <c r="AA238" i="651"/>
  <c r="AC234" i="651"/>
  <c r="AC490" i="651"/>
  <c r="AC223" i="651"/>
  <c r="AD219" i="651"/>
  <c r="AB462" i="651"/>
  <c r="AB206" i="651"/>
  <c r="AD458" i="651"/>
  <c r="AD202" i="651"/>
  <c r="AD185" i="651"/>
  <c r="AC180" i="651"/>
  <c r="AB412" i="651"/>
  <c r="AB157" i="651"/>
  <c r="AA486" i="651"/>
  <c r="AA230" i="651"/>
  <c r="AD482" i="651"/>
  <c r="AD226" i="651"/>
  <c r="AC478" i="651"/>
  <c r="AC222" i="651"/>
  <c r="AD474" i="651"/>
  <c r="AD218" i="651"/>
  <c r="AC470" i="651"/>
  <c r="AC214" i="651"/>
  <c r="AC466" i="651"/>
  <c r="AC210" i="651"/>
  <c r="AE462" i="651"/>
  <c r="AE206" i="651"/>
  <c r="AA152" i="651"/>
  <c r="AA490" i="651"/>
  <c r="AA234" i="651"/>
  <c r="AD486" i="651"/>
  <c r="AD230" i="651"/>
  <c r="AC482" i="651"/>
  <c r="AC226" i="651"/>
  <c r="AA215" i="651"/>
  <c r="AE211" i="651"/>
  <c r="AB458" i="651"/>
  <c r="AB202" i="651"/>
  <c r="AC445" i="651"/>
  <c r="AC189" i="651"/>
  <c r="AB175" i="651"/>
  <c r="AB449" i="651"/>
  <c r="AE161" i="651"/>
  <c r="AE417" i="651"/>
  <c r="AE420" i="651"/>
  <c r="AA239" i="651"/>
  <c r="AC235" i="651"/>
  <c r="AB231" i="651"/>
  <c r="AE227" i="651"/>
  <c r="AA478" i="651"/>
  <c r="AA222" i="651"/>
  <c r="AD211" i="651"/>
  <c r="AA458" i="651"/>
  <c r="AA202" i="651"/>
  <c r="AB189" i="651"/>
  <c r="AB445" i="651"/>
  <c r="AC162" i="651"/>
  <c r="AC421" i="651"/>
  <c r="AC407" i="651"/>
  <c r="AC151" i="651"/>
  <c r="AA132" i="651"/>
  <c r="AD127" i="651"/>
  <c r="AB359" i="651"/>
  <c r="AB103" i="651"/>
  <c r="AA94" i="651"/>
  <c r="AC89" i="651"/>
  <c r="AD329" i="651"/>
  <c r="AD73" i="651"/>
  <c r="AA402" i="651"/>
  <c r="AC397" i="651"/>
  <c r="AC141" i="651"/>
  <c r="AC392" i="651"/>
  <c r="AC136" i="651"/>
  <c r="AE131" i="651"/>
  <c r="AE387" i="651"/>
  <c r="AA109" i="651"/>
  <c r="AD104" i="651"/>
  <c r="AA354" i="651"/>
  <c r="AA98" i="651"/>
  <c r="AE349" i="651"/>
  <c r="AE93" i="651"/>
  <c r="AA156" i="651"/>
  <c r="AA412" i="651"/>
  <c r="AE151" i="651"/>
  <c r="AE407" i="651"/>
  <c r="AA142" i="651"/>
  <c r="AE137" i="651"/>
  <c r="AB377" i="651"/>
  <c r="AB121" i="651"/>
  <c r="AE364" i="651"/>
  <c r="AE108" i="651"/>
  <c r="AA89" i="651"/>
  <c r="AA185" i="651"/>
  <c r="AE180" i="651"/>
  <c r="AA430" i="651"/>
  <c r="AA174" i="651"/>
  <c r="AA448" i="651"/>
  <c r="AD137" i="651"/>
  <c r="AB382" i="651"/>
  <c r="AB126" i="651"/>
  <c r="AE377" i="651"/>
  <c r="AE121" i="651"/>
  <c r="AB334" i="651"/>
  <c r="AB78" i="651"/>
  <c r="AB64" i="651"/>
  <c r="AD59" i="651"/>
  <c r="AA309" i="651"/>
  <c r="AA53" i="651"/>
  <c r="AA39" i="651"/>
  <c r="AD34" i="651"/>
  <c r="AB284" i="651"/>
  <c r="AB28" i="651"/>
  <c r="AE23" i="651"/>
  <c r="AE279" i="651"/>
  <c r="AB74" i="651"/>
  <c r="AC69" i="651"/>
  <c r="AE64" i="651"/>
  <c r="AA48" i="651"/>
  <c r="AC299" i="651"/>
  <c r="AC43" i="651"/>
  <c r="AE294" i="651"/>
  <c r="AE38" i="651"/>
  <c r="AC279" i="651"/>
  <c r="AC24" i="651"/>
  <c r="AE19" i="651"/>
  <c r="AE368" i="651"/>
  <c r="AB10" i="651"/>
  <c r="AB267" i="651"/>
  <c r="AB329" i="651"/>
  <c r="AB73" i="651"/>
  <c r="AC324" i="651"/>
  <c r="AC68" i="651"/>
  <c r="AE319" i="651"/>
  <c r="AE63" i="651"/>
  <c r="AA44" i="651"/>
  <c r="AC39" i="651"/>
  <c r="AB34" i="651"/>
  <c r="AB24" i="651"/>
  <c r="AD19" i="651"/>
  <c r="AD368" i="651"/>
  <c r="AA10" i="651"/>
  <c r="AA267" i="651"/>
  <c r="AA329" i="651"/>
  <c r="AA73" i="651"/>
  <c r="AA59" i="651"/>
  <c r="AE54" i="651"/>
  <c r="AA299" i="651"/>
  <c r="AA43" i="651"/>
  <c r="AC38" i="651"/>
  <c r="AC294" i="651"/>
  <c r="AA24" i="651"/>
  <c r="AC19" i="651"/>
  <c r="AC368" i="651"/>
  <c r="AC11" i="651"/>
  <c r="AA246" i="651"/>
  <c r="AA506" i="651"/>
  <c r="AA502" i="651"/>
  <c r="AB234" i="651"/>
  <c r="AB490" i="651"/>
  <c r="AA243" i="651"/>
  <c r="AD239" i="651"/>
  <c r="AB486" i="651"/>
  <c r="AB230" i="651"/>
  <c r="AE482" i="651"/>
  <c r="AE226" i="651"/>
  <c r="AC215" i="651"/>
  <c r="AC211" i="651"/>
  <c r="AE207" i="651"/>
  <c r="AE445" i="651"/>
  <c r="AE189" i="651"/>
  <c r="AC174" i="651"/>
  <c r="AC430" i="651"/>
  <c r="AC448" i="651"/>
  <c r="AC412" i="651"/>
  <c r="AC156" i="651"/>
  <c r="AD231" i="651"/>
  <c r="AA462" i="651"/>
  <c r="AA206" i="651"/>
  <c r="AC458" i="651"/>
  <c r="AC202" i="651"/>
  <c r="AD189" i="651"/>
  <c r="AD445" i="651"/>
  <c r="AA440" i="651"/>
  <c r="AA184" i="651"/>
  <c r="AC449" i="651"/>
  <c r="AC175" i="651"/>
  <c r="AB247" i="651"/>
  <c r="AB507" i="651"/>
  <c r="AC243" i="651"/>
  <c r="AB239" i="651"/>
  <c r="AD235" i="651"/>
  <c r="AB478" i="651"/>
  <c r="AB222" i="651"/>
  <c r="AC474" i="651"/>
  <c r="AC218" i="651"/>
  <c r="AA211" i="651"/>
  <c r="AC207" i="651"/>
  <c r="AE203" i="651"/>
  <c r="AB246" i="651"/>
  <c r="AB506" i="651"/>
  <c r="AB502" i="651"/>
  <c r="AC498" i="651"/>
  <c r="AC242" i="651"/>
  <c r="AA227" i="651"/>
  <c r="AD223" i="651"/>
  <c r="AB218" i="651"/>
  <c r="AB474" i="651"/>
  <c r="AE214" i="651"/>
  <c r="AE470" i="651"/>
  <c r="AB207" i="651"/>
  <c r="AD203" i="651"/>
  <c r="AD180" i="651"/>
  <c r="AA449" i="651"/>
  <c r="AA175" i="651"/>
  <c r="AD161" i="651"/>
  <c r="AD417" i="651"/>
  <c r="AD420" i="651"/>
  <c r="AB151" i="651"/>
  <c r="AB407" i="651"/>
  <c r="AB402" i="651"/>
  <c r="AD141" i="651"/>
  <c r="AD397" i="651"/>
  <c r="AD392" i="651"/>
  <c r="AD136" i="651"/>
  <c r="AC122" i="651"/>
  <c r="AB109" i="651"/>
  <c r="AE104" i="651"/>
  <c r="AB354" i="651"/>
  <c r="AB98" i="651"/>
  <c r="AA387" i="651"/>
  <c r="AA131" i="651"/>
  <c r="AD382" i="651"/>
  <c r="AD126" i="651"/>
  <c r="AC121" i="651"/>
  <c r="AC377" i="651"/>
  <c r="AD99" i="651"/>
  <c r="AA349" i="651"/>
  <c r="AA93" i="651"/>
  <c r="AA79" i="651"/>
  <c r="AB421" i="651"/>
  <c r="AB162" i="651"/>
  <c r="AD157" i="651"/>
  <c r="AA151" i="651"/>
  <c r="AA407" i="651"/>
  <c r="AD402" i="651"/>
  <c r="AA137" i="651"/>
  <c r="AC132" i="651"/>
  <c r="AB127" i="651"/>
  <c r="AE122" i="651"/>
  <c r="AA108" i="651"/>
  <c r="AA364" i="651"/>
  <c r="AD359" i="651"/>
  <c r="AD103" i="651"/>
  <c r="AD98" i="651"/>
  <c r="AD354" i="651"/>
  <c r="AD349" i="651"/>
  <c r="AD93" i="651"/>
  <c r="AC344" i="651"/>
  <c r="AC88" i="651"/>
  <c r="AC74" i="651"/>
  <c r="AA180" i="651"/>
  <c r="AD175" i="651"/>
  <c r="AD449" i="651"/>
  <c r="AB417" i="651"/>
  <c r="AB161" i="651"/>
  <c r="AB420" i="651"/>
  <c r="AD412" i="651"/>
  <c r="AD156" i="651"/>
  <c r="AD407" i="651"/>
  <c r="AD151" i="651"/>
  <c r="AC402" i="651"/>
  <c r="AE397" i="651"/>
  <c r="AE141" i="651"/>
  <c r="AB132" i="651"/>
  <c r="AE127" i="651"/>
  <c r="AA377" i="651"/>
  <c r="AA121" i="651"/>
  <c r="AD364" i="651"/>
  <c r="AD108" i="651"/>
  <c r="AC359" i="651"/>
  <c r="AC103" i="651"/>
  <c r="AC354" i="651"/>
  <c r="AC98" i="651"/>
  <c r="AC93" i="651"/>
  <c r="AC349" i="651"/>
  <c r="AB88" i="651"/>
  <c r="AB344" i="651"/>
  <c r="AD54" i="651"/>
  <c r="AB48" i="651"/>
  <c r="AB304" i="651"/>
  <c r="AD299" i="651"/>
  <c r="AD43" i="651"/>
  <c r="AE29" i="651"/>
  <c r="AA23" i="651"/>
  <c r="AA279" i="651"/>
  <c r="AC18" i="651"/>
  <c r="AC274" i="651"/>
  <c r="AC367" i="651"/>
  <c r="AC267" i="651"/>
  <c r="AC10" i="651"/>
  <c r="AE334" i="651"/>
  <c r="AE78" i="651"/>
  <c r="AA64" i="651"/>
  <c r="AC59" i="651"/>
  <c r="AC54" i="651"/>
  <c r="AD49" i="651"/>
  <c r="AA294" i="651"/>
  <c r="AA38" i="651"/>
  <c r="AD289" i="651"/>
  <c r="AD33" i="651"/>
  <c r="AE28" i="651"/>
  <c r="AE284" i="651"/>
  <c r="AA19" i="651"/>
  <c r="AA368" i="651"/>
  <c r="AE11" i="651"/>
  <c r="AC84" i="651"/>
  <c r="AC79" i="651"/>
  <c r="AE74" i="651"/>
  <c r="AA63" i="651"/>
  <c r="AA319" i="651"/>
  <c r="AC314" i="651"/>
  <c r="AC58" i="651"/>
  <c r="AC309" i="651"/>
  <c r="AC53" i="651"/>
  <c r="AD48" i="651"/>
  <c r="AD304" i="651"/>
  <c r="AD11" i="651"/>
  <c r="AB84" i="651"/>
  <c r="AB79" i="651"/>
  <c r="AD74" i="651"/>
  <c r="AB324" i="651"/>
  <c r="AB68" i="651"/>
  <c r="AD63" i="651"/>
  <c r="AD319" i="651"/>
  <c r="AA54" i="651"/>
  <c r="AB49" i="651"/>
  <c r="AD44" i="651"/>
  <c r="AB33" i="651"/>
  <c r="AB289" i="651"/>
  <c r="AC284" i="651"/>
  <c r="AC28" i="651"/>
  <c r="AC247" i="651"/>
  <c r="AC507" i="651"/>
  <c r="AD238" i="651"/>
  <c r="AD494" i="651"/>
  <c r="AD507" i="651"/>
  <c r="AD247" i="651"/>
  <c r="AE235" i="651"/>
  <c r="AB235" i="651"/>
  <c r="AE231" i="651"/>
  <c r="AA226" i="651"/>
  <c r="AA482" i="651"/>
  <c r="AD478" i="651"/>
  <c r="AD222" i="651"/>
  <c r="AE474" i="651"/>
  <c r="AE218" i="651"/>
  <c r="AA207" i="651"/>
  <c r="AC203" i="651"/>
  <c r="AE449" i="651"/>
  <c r="AE190" i="651"/>
  <c r="AA189" i="651"/>
  <c r="AA445" i="651"/>
  <c r="AC184" i="651"/>
  <c r="AC440" i="651"/>
  <c r="AA435" i="651"/>
  <c r="AA179" i="651"/>
  <c r="AE152" i="651"/>
  <c r="AC227" i="651"/>
  <c r="AB223" i="651"/>
  <c r="AC219" i="651"/>
  <c r="AB215" i="651"/>
  <c r="AB211" i="651"/>
  <c r="AD207" i="651"/>
  <c r="AB180" i="651"/>
  <c r="AA157" i="651"/>
  <c r="AC231" i="651"/>
  <c r="AB227" i="651"/>
  <c r="AE223" i="651"/>
  <c r="AB214" i="651"/>
  <c r="AB470" i="651"/>
  <c r="AA203" i="651"/>
  <c r="AA190" i="651"/>
  <c r="AB185" i="651"/>
  <c r="AD179" i="651"/>
  <c r="AD435" i="651"/>
  <c r="AE507" i="651"/>
  <c r="AE247" i="651"/>
  <c r="AB494" i="651"/>
  <c r="AB238" i="651"/>
  <c r="AD490" i="651"/>
  <c r="AD234" i="651"/>
  <c r="AC486" i="651"/>
  <c r="AC230" i="651"/>
  <c r="AE219" i="651"/>
  <c r="AA470" i="651"/>
  <c r="AA214" i="651"/>
  <c r="AE210" i="651"/>
  <c r="AE466" i="651"/>
  <c r="AC190" i="651"/>
  <c r="AD430" i="651"/>
  <c r="AD174" i="651"/>
  <c r="AD448" i="651"/>
  <c r="AE412" i="651"/>
  <c r="AE157" i="651"/>
  <c r="AB152" i="651"/>
  <c r="AB387" i="651"/>
  <c r="AB131" i="651"/>
  <c r="AE126" i="651"/>
  <c r="AE382" i="651"/>
  <c r="AA104" i="651"/>
  <c r="AE99" i="651"/>
  <c r="AB93" i="651"/>
  <c r="AB349" i="651"/>
  <c r="AE79" i="651"/>
  <c r="AB142" i="651"/>
  <c r="AB137" i="651"/>
  <c r="AD387" i="651"/>
  <c r="AD132" i="651"/>
  <c r="AB108" i="651"/>
  <c r="AB364" i="651"/>
  <c r="AE359" i="651"/>
  <c r="AE103" i="651"/>
  <c r="AD94" i="651"/>
  <c r="AD84" i="651"/>
  <c r="AD152" i="651"/>
  <c r="AB397" i="651"/>
  <c r="AB141" i="651"/>
  <c r="AA122" i="651"/>
  <c r="AD109" i="651"/>
  <c r="AA84" i="651"/>
  <c r="AA68" i="651"/>
  <c r="AA324" i="651"/>
  <c r="AB440" i="651"/>
  <c r="AB184" i="651"/>
  <c r="AE162" i="651"/>
  <c r="AE421" i="651"/>
  <c r="AA397" i="651"/>
  <c r="AA141" i="651"/>
  <c r="AE392" i="651"/>
  <c r="AE136" i="651"/>
  <c r="AA127" i="651"/>
  <c r="AD122" i="651"/>
  <c r="AD69" i="651"/>
  <c r="AC63" i="651"/>
  <c r="AE58" i="651"/>
  <c r="AE314" i="651"/>
  <c r="AE49" i="651"/>
  <c r="AB38" i="651"/>
  <c r="AB294" i="651"/>
  <c r="AE289" i="651"/>
  <c r="AE33" i="651"/>
  <c r="AD24" i="651"/>
  <c r="AA334" i="651"/>
  <c r="AA78" i="651"/>
  <c r="AC329" i="651"/>
  <c r="AC73" i="651"/>
  <c r="AD324" i="651"/>
  <c r="AD68" i="651"/>
  <c r="AB44" i="651"/>
  <c r="AD39" i="651"/>
  <c r="AA28" i="651"/>
  <c r="AA284" i="651"/>
  <c r="AD23" i="651"/>
  <c r="AD279" i="651"/>
  <c r="AA11" i="651"/>
  <c r="AE344" i="651"/>
  <c r="AE88" i="651"/>
  <c r="AA74" i="651"/>
  <c r="AB69" i="651"/>
  <c r="AD64" i="651"/>
  <c r="AB299" i="651"/>
  <c r="AB43" i="651"/>
  <c r="AD294" i="651"/>
  <c r="AD38" i="651"/>
  <c r="AC33" i="651"/>
  <c r="AC289" i="651"/>
  <c r="AD284" i="651"/>
  <c r="AD28" i="651"/>
  <c r="AC23" i="651"/>
  <c r="AE274" i="651"/>
  <c r="AE18" i="651"/>
  <c r="AE367" i="651"/>
  <c r="Z11" i="651"/>
  <c r="AE69" i="651"/>
  <c r="AB314" i="651"/>
  <c r="AB58" i="651"/>
  <c r="AB39" i="651"/>
  <c r="AE34" i="651"/>
  <c r="AB23" i="651"/>
  <c r="AB279" i="651"/>
  <c r="AD18" i="651"/>
  <c r="AD367" i="651"/>
  <c r="AD274" i="651"/>
  <c r="AD267" i="651"/>
  <c r="AD10" i="651"/>
  <c r="AD246" i="651"/>
  <c r="AD502" i="651"/>
  <c r="AD506" i="651"/>
  <c r="AA235" i="651"/>
  <c r="AE242" i="651"/>
  <c r="AE498" i="651"/>
  <c r="AE246" i="651"/>
  <c r="AE502" i="651"/>
  <c r="AE506" i="651"/>
  <c r="AB498" i="651"/>
  <c r="AB242" i="651"/>
  <c r="AE494" i="651"/>
  <c r="AE238" i="651"/>
  <c r="AA231" i="651"/>
  <c r="AD227" i="651"/>
  <c r="AA218" i="651"/>
  <c r="AA474" i="651"/>
  <c r="AD470" i="651"/>
  <c r="AD214" i="651"/>
  <c r="AD210" i="651"/>
  <c r="AD466" i="651"/>
  <c r="AB190" i="651"/>
  <c r="AE175" i="651"/>
  <c r="AA417" i="651"/>
  <c r="AA161" i="651"/>
  <c r="AA420" i="651"/>
  <c r="AE486" i="651"/>
  <c r="AE230" i="651"/>
  <c r="AB203" i="651"/>
  <c r="AD190" i="651"/>
  <c r="AC185" i="651"/>
  <c r="AE179" i="651"/>
  <c r="AE435" i="651"/>
  <c r="AB174" i="651"/>
  <c r="AB430" i="651"/>
  <c r="AB448" i="651"/>
  <c r="AB156" i="651"/>
  <c r="AC502" i="651"/>
  <c r="AC246" i="651"/>
  <c r="AC506" i="651"/>
  <c r="AD498" i="651"/>
  <c r="AD242" i="651"/>
  <c r="AC238" i="651"/>
  <c r="AC494" i="651"/>
  <c r="AE490" i="651"/>
  <c r="AE234" i="651"/>
  <c r="AA223" i="651"/>
  <c r="AB219" i="651"/>
  <c r="AE215" i="651"/>
  <c r="AB466" i="651"/>
  <c r="AB210" i="651"/>
  <c r="AD462" i="651"/>
  <c r="AD206" i="651"/>
  <c r="AE440" i="651"/>
  <c r="AE184" i="651"/>
  <c r="AD162" i="651"/>
  <c r="AD421" i="651"/>
  <c r="AA247" i="651"/>
  <c r="AA507" i="651"/>
  <c r="AB243" i="651"/>
  <c r="AE239" i="651"/>
  <c r="AB482" i="651"/>
  <c r="AB226" i="651"/>
  <c r="AE478" i="651"/>
  <c r="AE222" i="651"/>
  <c r="AA219" i="651"/>
  <c r="AD215" i="651"/>
  <c r="AA210" i="651"/>
  <c r="AA466" i="651"/>
  <c r="AC206" i="651"/>
  <c r="AC462" i="651"/>
  <c r="AE202" i="651"/>
  <c r="AE458" i="651"/>
  <c r="AD184" i="651"/>
  <c r="AD440" i="651"/>
  <c r="AC179" i="651"/>
  <c r="AC435" i="651"/>
  <c r="AC142" i="651"/>
  <c r="AC137" i="651"/>
  <c r="AE132" i="651"/>
  <c r="AA382" i="651"/>
  <c r="AA126" i="651"/>
  <c r="AD377" i="651"/>
  <c r="AD121" i="651"/>
  <c r="AC364" i="651"/>
  <c r="AC108" i="651"/>
  <c r="AA99" i="651"/>
  <c r="AE94" i="651"/>
  <c r="AE84" i="651"/>
  <c r="AE402" i="651"/>
  <c r="AC127" i="651"/>
  <c r="AB122" i="651"/>
  <c r="AE109" i="651"/>
  <c r="AA103" i="651"/>
  <c r="AA359" i="651"/>
  <c r="AE354" i="651"/>
  <c r="AE98" i="651"/>
  <c r="AB89" i="651"/>
  <c r="AE83" i="651"/>
  <c r="AE339" i="651"/>
  <c r="AE68" i="651"/>
  <c r="AE324" i="651"/>
  <c r="AC161" i="651"/>
  <c r="AC420" i="651"/>
  <c r="AC417" i="651"/>
  <c r="AE156" i="651"/>
  <c r="AE142" i="651"/>
  <c r="AB136" i="651"/>
  <c r="AB392" i="651"/>
  <c r="AD131" i="651"/>
  <c r="AC382" i="651"/>
  <c r="AC126" i="651"/>
  <c r="AC104" i="651"/>
  <c r="AC99" i="651"/>
  <c r="AC94" i="651"/>
  <c r="AE89" i="651"/>
  <c r="AB339" i="651"/>
  <c r="AB83" i="651"/>
  <c r="AE185" i="651"/>
  <c r="AB435" i="651"/>
  <c r="AB179" i="651"/>
  <c r="AE430" i="651"/>
  <c r="AE174" i="651"/>
  <c r="AE448" i="651"/>
  <c r="AA162" i="651"/>
  <c r="AA421" i="651"/>
  <c r="AC157" i="651"/>
  <c r="AC152" i="651"/>
  <c r="AD142" i="651"/>
  <c r="AA392" i="651"/>
  <c r="AA136" i="651"/>
  <c r="AC387" i="651"/>
  <c r="AC131" i="651"/>
  <c r="AC109" i="651"/>
  <c r="AB104" i="651"/>
  <c r="AB99" i="651"/>
  <c r="AB94" i="651"/>
  <c r="AD89" i="651"/>
  <c r="AA83" i="651"/>
  <c r="AA339" i="651"/>
  <c r="AA314" i="651"/>
  <c r="AA58" i="651"/>
  <c r="AE309" i="651"/>
  <c r="AE53" i="651"/>
  <c r="AA304" i="651"/>
  <c r="AA49" i="651"/>
  <c r="AC44" i="651"/>
  <c r="AE39" i="651"/>
  <c r="AA289" i="651"/>
  <c r="AA33" i="651"/>
  <c r="AB19" i="651"/>
  <c r="AB368" i="651"/>
  <c r="AB11" i="651"/>
  <c r="AD79" i="651"/>
  <c r="AB319" i="651"/>
  <c r="AB63" i="651"/>
  <c r="AD58" i="651"/>
  <c r="AD314" i="651"/>
  <c r="AD309" i="651"/>
  <c r="AD53" i="651"/>
  <c r="AE304" i="651"/>
  <c r="AE48" i="651"/>
  <c r="AC34" i="651"/>
  <c r="AD29" i="651"/>
  <c r="AB274" i="651"/>
  <c r="AB18" i="651"/>
  <c r="AB367" i="651"/>
  <c r="AA88" i="651"/>
  <c r="AA344" i="651"/>
  <c r="AD339" i="651"/>
  <c r="AD83" i="651"/>
  <c r="AD334" i="651"/>
  <c r="AD78" i="651"/>
  <c r="AB59" i="651"/>
  <c r="AB54" i="651"/>
  <c r="AC49" i="651"/>
  <c r="AE44" i="651"/>
  <c r="AA274" i="651"/>
  <c r="AA18" i="651"/>
  <c r="AA367" i="651"/>
  <c r="AE267" i="651"/>
  <c r="AE10" i="651"/>
  <c r="AD344" i="651"/>
  <c r="AD88" i="651"/>
  <c r="AC339" i="651"/>
  <c r="AC83" i="651"/>
  <c r="AC334" i="651"/>
  <c r="AC78" i="651"/>
  <c r="AE73" i="651"/>
  <c r="AE329" i="651"/>
  <c r="AA69" i="651"/>
  <c r="AC319" i="651"/>
  <c r="AC64" i="651"/>
  <c r="AE59" i="651"/>
  <c r="AB53" i="651"/>
  <c r="AB309" i="651"/>
  <c r="AC304" i="651"/>
  <c r="AC48" i="651"/>
  <c r="AE43" i="651"/>
  <c r="AE299" i="651"/>
  <c r="AA34" i="651"/>
  <c r="AE24" i="651"/>
  <c r="Z267" i="651"/>
  <c r="Z10" i="651"/>
  <c r="F31" i="2"/>
  <c r="E18" i="648"/>
  <c r="D47" i="647"/>
  <c r="C17" i="20"/>
  <c r="D17" i="20"/>
  <c r="E17" i="20"/>
  <c r="F1228" i="6"/>
  <c r="M15" i="652"/>
  <c r="M18" i="652"/>
  <c r="N18" i="652" s="1"/>
  <c r="F66" i="2"/>
  <c r="E25" i="648"/>
  <c r="BA29" i="4"/>
  <c r="F1102" i="6"/>
  <c r="R191" i="650"/>
  <c r="AY143" i="4"/>
  <c r="R275" i="650"/>
  <c r="U148" i="650"/>
  <c r="E32" i="648"/>
  <c r="F152" i="650"/>
  <c r="AG150" i="4"/>
  <c r="U486" i="6"/>
  <c r="R486" i="6"/>
  <c r="U188" i="650"/>
  <c r="AY150" i="4"/>
  <c r="AI186" i="4"/>
  <c r="AI273" i="4" s="1"/>
  <c r="U191" i="650"/>
  <c r="J263" i="650"/>
  <c r="K262" i="650"/>
  <c r="K269" i="650" s="1"/>
  <c r="R29" i="652"/>
  <c r="N29" i="652"/>
  <c r="AH120" i="650" s="1"/>
  <c r="V120" i="650" s="1"/>
  <c r="R34" i="652"/>
  <c r="N34" i="652"/>
  <c r="Y26" i="6"/>
  <c r="Y27" i="6" s="1"/>
  <c r="AP8" i="4"/>
  <c r="AZ9" i="4"/>
  <c r="F9" i="3"/>
  <c r="J6" i="3"/>
  <c r="R22" i="652"/>
  <c r="N22" i="652"/>
  <c r="AH83" i="650" s="1"/>
  <c r="V83" i="650" s="1"/>
  <c r="N10" i="652"/>
  <c r="R10" i="652"/>
  <c r="R30" i="652"/>
  <c r="R20" i="652"/>
  <c r="N20" i="652"/>
  <c r="AH73" i="650" s="1"/>
  <c r="V73" i="650" s="1"/>
  <c r="N12" i="652"/>
  <c r="R12" i="652"/>
  <c r="R24" i="652"/>
  <c r="N24" i="652"/>
  <c r="AH91" i="650" s="1"/>
  <c r="V91" i="650" s="1"/>
  <c r="R26" i="652"/>
  <c r="N26" i="652"/>
  <c r="AH103" i="650" s="1"/>
  <c r="V103" i="650" s="1"/>
  <c r="R23" i="652"/>
  <c r="N23" i="652"/>
  <c r="K17" i="14"/>
  <c r="AC80" i="641"/>
  <c r="AC66" i="641"/>
  <c r="R16" i="652"/>
  <c r="N16" i="652"/>
  <c r="AH53" i="650" s="1"/>
  <c r="V53" i="650" s="1"/>
  <c r="L18" i="14"/>
  <c r="J19" i="14" s="1"/>
  <c r="K18" i="14"/>
  <c r="R35" i="652"/>
  <c r="N35" i="652"/>
  <c r="R32" i="652"/>
  <c r="N32" i="652"/>
  <c r="AH137" i="650" s="1"/>
  <c r="V137" i="650" s="1"/>
  <c r="R11" i="652"/>
  <c r="N11" i="652"/>
  <c r="R6" i="652"/>
  <c r="N6" i="652"/>
  <c r="AH20" i="650" s="1"/>
  <c r="V20" i="650" s="1"/>
  <c r="V17" i="650" s="1"/>
  <c r="R9" i="652"/>
  <c r="N9" i="652"/>
  <c r="R8" i="652"/>
  <c r="N8" i="652"/>
  <c r="N21" i="652"/>
  <c r="AH78" i="650" s="1"/>
  <c r="V78" i="650" s="1"/>
  <c r="R21" i="652"/>
  <c r="R33" i="652"/>
  <c r="N33" i="652"/>
  <c r="AH143" i="650" s="1"/>
  <c r="V143" i="650" s="1"/>
  <c r="R28" i="652"/>
  <c r="N28" i="652"/>
  <c r="AH114" i="650" s="1"/>
  <c r="V114" i="650" s="1"/>
  <c r="R31" i="652"/>
  <c r="N31" i="652"/>
  <c r="AH132" i="650" s="1"/>
  <c r="V132" i="650" s="1"/>
  <c r="N275" i="650"/>
  <c r="N194" i="650"/>
  <c r="R14" i="652"/>
  <c r="N14" i="652"/>
  <c r="AH37" i="650" s="1"/>
  <c r="V37" i="650" s="1"/>
  <c r="R19" i="652"/>
  <c r="N19" i="652"/>
  <c r="AH68" i="650" s="1"/>
  <c r="V68" i="650" s="1"/>
  <c r="R13" i="652"/>
  <c r="N13" i="652"/>
  <c r="N27" i="652"/>
  <c r="AH109" i="650" s="1"/>
  <c r="V109" i="650" s="1"/>
  <c r="R27" i="652"/>
  <c r="N17" i="652"/>
  <c r="AH58" i="650" s="1"/>
  <c r="V58" i="650" s="1"/>
  <c r="R17" i="652"/>
  <c r="R25" i="652"/>
  <c r="N25" i="652"/>
  <c r="AH97" i="650" s="1"/>
  <c r="V97" i="650" s="1"/>
  <c r="R7" i="652"/>
  <c r="N7" i="652"/>
  <c r="Z80" i="641"/>
  <c r="Z66" i="641"/>
  <c r="H54" i="648" l="1"/>
  <c r="G24" i="648"/>
  <c r="R84" i="648"/>
  <c r="S84" i="648" s="1"/>
  <c r="N84" i="648"/>
  <c r="N86" i="648"/>
  <c r="H17" i="648"/>
  <c r="G17" i="648"/>
  <c r="G63" i="648"/>
  <c r="H63" i="648" s="1"/>
  <c r="M93" i="648"/>
  <c r="N73" i="648"/>
  <c r="H14" i="648"/>
  <c r="G14" i="648"/>
  <c r="M94" i="648"/>
  <c r="M96" i="648" s="1"/>
  <c r="N74" i="648"/>
  <c r="H61" i="648"/>
  <c r="G54" i="648"/>
  <c r="N83" i="648"/>
  <c r="R83" i="648"/>
  <c r="S83" i="648" s="1"/>
  <c r="G62" i="648"/>
  <c r="H62" i="648" s="1"/>
  <c r="S82" i="648"/>
  <c r="R86" i="648"/>
  <c r="Z8" i="650"/>
  <c r="X5" i="647"/>
  <c r="X157" i="647" s="1"/>
  <c r="W175" i="650"/>
  <c r="X175" i="650" s="1"/>
  <c r="Y175" i="650" s="1"/>
  <c r="Z175" i="650" s="1"/>
  <c r="AA175" i="650" s="1"/>
  <c r="X155" i="650"/>
  <c r="Y156" i="650"/>
  <c r="W174" i="650"/>
  <c r="X174" i="650" s="1"/>
  <c r="Y174" i="650" s="1"/>
  <c r="Z174" i="650" s="1"/>
  <c r="AA174" i="650" s="1"/>
  <c r="AA66" i="641"/>
  <c r="W176" i="650"/>
  <c r="X176" i="650" s="1"/>
  <c r="Y176" i="650" s="1"/>
  <c r="Z176" i="650" s="1"/>
  <c r="AA176" i="650" s="1"/>
  <c r="W173" i="650"/>
  <c r="X173" i="650" s="1"/>
  <c r="Y173" i="650" s="1"/>
  <c r="Z173" i="650" s="1"/>
  <c r="AA173" i="650" s="1"/>
  <c r="W205" i="650"/>
  <c r="X206" i="650"/>
  <c r="V18" i="650"/>
  <c r="W20" i="650"/>
  <c r="X20" i="650" s="1"/>
  <c r="Y20" i="650" s="1"/>
  <c r="Z20" i="650" s="1"/>
  <c r="AA20" i="650" s="1"/>
  <c r="AH31" i="650"/>
  <c r="V31" i="650" s="1"/>
  <c r="V36" i="650"/>
  <c r="U32" i="647" s="1"/>
  <c r="W37" i="650"/>
  <c r="X37" i="650" s="1"/>
  <c r="Y37" i="650" s="1"/>
  <c r="Z37" i="650" s="1"/>
  <c r="AA37" i="650" s="1"/>
  <c r="V35" i="650"/>
  <c r="U31" i="647" s="1"/>
  <c r="W126" i="650"/>
  <c r="X126" i="650" s="1"/>
  <c r="Y126" i="650" s="1"/>
  <c r="Z126" i="650" s="1"/>
  <c r="AA126" i="650" s="1"/>
  <c r="V125" i="650"/>
  <c r="V124" i="650"/>
  <c r="V123" i="650"/>
  <c r="V129" i="650"/>
  <c r="U127" i="647" s="1"/>
  <c r="V131" i="650"/>
  <c r="U129" i="647" s="1"/>
  <c r="W132" i="650"/>
  <c r="X132" i="650" s="1"/>
  <c r="Y132" i="650" s="1"/>
  <c r="Z132" i="650" s="1"/>
  <c r="AA132" i="650" s="1"/>
  <c r="V130" i="650"/>
  <c r="U128" i="647" s="1"/>
  <c r="V113" i="650"/>
  <c r="U111" i="647" s="1"/>
  <c r="W114" i="650"/>
  <c r="X114" i="650" s="1"/>
  <c r="Y114" i="650" s="1"/>
  <c r="Z114" i="650" s="1"/>
  <c r="AA114" i="650" s="1"/>
  <c r="V112" i="650"/>
  <c r="U110" i="647" s="1"/>
  <c r="W143" i="650"/>
  <c r="X143" i="650" s="1"/>
  <c r="Y143" i="650" s="1"/>
  <c r="Z143" i="650" s="1"/>
  <c r="AA143" i="650" s="1"/>
  <c r="V141" i="650"/>
  <c r="U139" i="647" s="1"/>
  <c r="V142" i="650"/>
  <c r="U140" i="647" s="1"/>
  <c r="V140" i="650"/>
  <c r="U138" i="647" s="1"/>
  <c r="V117" i="650"/>
  <c r="U115" i="647" s="1"/>
  <c r="V119" i="650"/>
  <c r="U117" i="647" s="1"/>
  <c r="W120" i="650"/>
  <c r="X120" i="650" s="1"/>
  <c r="Y120" i="650" s="1"/>
  <c r="Z120" i="650" s="1"/>
  <c r="AA120" i="650" s="1"/>
  <c r="V118" i="650"/>
  <c r="U116" i="647" s="1"/>
  <c r="V108" i="650"/>
  <c r="U106" i="647" s="1"/>
  <c r="V107" i="650"/>
  <c r="U105" i="647" s="1"/>
  <c r="V106" i="650"/>
  <c r="U104" i="647" s="1"/>
  <c r="W109" i="650"/>
  <c r="X109" i="650" s="1"/>
  <c r="Y109" i="650" s="1"/>
  <c r="Z109" i="650" s="1"/>
  <c r="AA109" i="650" s="1"/>
  <c r="V76" i="650"/>
  <c r="U72" i="647" s="1"/>
  <c r="W78" i="650"/>
  <c r="X78" i="650" s="1"/>
  <c r="Y78" i="650" s="1"/>
  <c r="Z78" i="650" s="1"/>
  <c r="AA78" i="650" s="1"/>
  <c r="V77" i="650"/>
  <c r="U73" i="647" s="1"/>
  <c r="V101" i="650"/>
  <c r="U99" i="647" s="1"/>
  <c r="W103" i="650"/>
  <c r="X103" i="650" s="1"/>
  <c r="Y103" i="650" s="1"/>
  <c r="Z103" i="650" s="1"/>
  <c r="AA103" i="650" s="1"/>
  <c r="V102" i="650"/>
  <c r="U100" i="647" s="1"/>
  <c r="V100" i="650"/>
  <c r="U98" i="647" s="1"/>
  <c r="V52" i="650"/>
  <c r="U48" i="647" s="1"/>
  <c r="V48" i="650"/>
  <c r="U44" i="647" s="1"/>
  <c r="W53" i="650"/>
  <c r="V57" i="650"/>
  <c r="U53" i="647" s="1"/>
  <c r="W58" i="650"/>
  <c r="X58" i="650" s="1"/>
  <c r="Y58" i="650" s="1"/>
  <c r="Z58" i="650" s="1"/>
  <c r="AA58" i="650" s="1"/>
  <c r="V56" i="650"/>
  <c r="U52" i="647" s="1"/>
  <c r="V71" i="650"/>
  <c r="U67" i="647" s="1"/>
  <c r="W73" i="650"/>
  <c r="X73" i="650" s="1"/>
  <c r="Y73" i="650" s="1"/>
  <c r="Z73" i="650" s="1"/>
  <c r="AA73" i="650" s="1"/>
  <c r="V72" i="650"/>
  <c r="U68" i="647" s="1"/>
  <c r="V89" i="650"/>
  <c r="V90" i="650"/>
  <c r="W91" i="650"/>
  <c r="X91" i="650" s="1"/>
  <c r="Y91" i="650" s="1"/>
  <c r="Z91" i="650" s="1"/>
  <c r="AA91" i="650" s="1"/>
  <c r="V94" i="650"/>
  <c r="U92" i="647" s="1"/>
  <c r="W97" i="650"/>
  <c r="X97" i="650" s="1"/>
  <c r="Y97" i="650" s="1"/>
  <c r="Z97" i="650" s="1"/>
  <c r="AA97" i="650" s="1"/>
  <c r="V96" i="650"/>
  <c r="U94" i="647" s="1"/>
  <c r="V95" i="650"/>
  <c r="U93" i="647" s="1"/>
  <c r="W68" i="650"/>
  <c r="X68" i="650" s="1"/>
  <c r="Y68" i="650" s="1"/>
  <c r="Z68" i="650" s="1"/>
  <c r="AA68" i="650" s="1"/>
  <c r="V66" i="650"/>
  <c r="U62" i="647" s="1"/>
  <c r="V67" i="650"/>
  <c r="U63" i="647" s="1"/>
  <c r="V135" i="650"/>
  <c r="U133" i="647" s="1"/>
  <c r="V136" i="650"/>
  <c r="U134" i="647" s="1"/>
  <c r="V145" i="650"/>
  <c r="V151" i="650" s="1"/>
  <c r="W137" i="650"/>
  <c r="V81" i="650"/>
  <c r="U77" i="647" s="1"/>
  <c r="W83" i="650"/>
  <c r="X83" i="650" s="1"/>
  <c r="Y83" i="650" s="1"/>
  <c r="Z83" i="650" s="1"/>
  <c r="AA83" i="650" s="1"/>
  <c r="V82" i="650"/>
  <c r="U78" i="647" s="1"/>
  <c r="W165" i="647"/>
  <c r="X165" i="647" s="1"/>
  <c r="Y159" i="647"/>
  <c r="Z159" i="647" s="1"/>
  <c r="W164" i="647"/>
  <c r="Q194" i="650"/>
  <c r="AJ186" i="4"/>
  <c r="AJ273" i="4" s="1"/>
  <c r="G191" i="650"/>
  <c r="G194" i="650" s="1"/>
  <c r="P191" i="650"/>
  <c r="P194" i="650" s="1"/>
  <c r="K191" i="650"/>
  <c r="K194" i="650" s="1"/>
  <c r="T152" i="650"/>
  <c r="T188" i="650"/>
  <c r="T275" i="650" s="1"/>
  <c r="AJ189" i="4"/>
  <c r="AJ276" i="4" s="1"/>
  <c r="K6" i="3"/>
  <c r="L4" i="5" s="1"/>
  <c r="K4" i="5"/>
  <c r="F38" i="2"/>
  <c r="E60" i="2"/>
  <c r="AH63" i="650"/>
  <c r="V63" i="650" s="1"/>
  <c r="N15" i="652"/>
  <c r="AH42" i="650" s="1"/>
  <c r="V42" i="650" s="1"/>
  <c r="AM165" i="647"/>
  <c r="G6" i="5"/>
  <c r="H13" i="651"/>
  <c r="R37" i="20"/>
  <c r="Y80" i="641"/>
  <c r="S37" i="20"/>
  <c r="AX241" i="650"/>
  <c r="Z675" i="651"/>
  <c r="AO675" i="651"/>
  <c r="AK675" i="651"/>
  <c r="AG675" i="651"/>
  <c r="AN675" i="651"/>
  <c r="AJ675" i="651"/>
  <c r="AQ675" i="651"/>
  <c r="AM675" i="651"/>
  <c r="AI675" i="651"/>
  <c r="AP675" i="651"/>
  <c r="AL675" i="651"/>
  <c r="AH675" i="651"/>
  <c r="F29" i="1"/>
  <c r="B29" i="1" s="1"/>
  <c r="E29" i="1"/>
  <c r="AH165" i="647"/>
  <c r="AI164" i="647"/>
  <c r="AE100" i="651"/>
  <c r="AP164" i="647"/>
  <c r="AL165" i="647"/>
  <c r="AJ165" i="647"/>
  <c r="AH164" i="647"/>
  <c r="AL164" i="647"/>
  <c r="AM164" i="647"/>
  <c r="AR165" i="647"/>
  <c r="AQ164" i="647"/>
  <c r="AN165" i="647"/>
  <c r="AG164" i="647"/>
  <c r="AJ164" i="647"/>
  <c r="AO164" i="647"/>
  <c r="AR164" i="647"/>
  <c r="AK164" i="647"/>
  <c r="AP165" i="647"/>
  <c r="AN164" i="647"/>
  <c r="AG165" i="647"/>
  <c r="AO165" i="647"/>
  <c r="AQ165" i="647"/>
  <c r="AK165" i="647"/>
  <c r="I29" i="647"/>
  <c r="AI165" i="647"/>
  <c r="I230" i="651"/>
  <c r="I506" i="651"/>
  <c r="I210" i="651"/>
  <c r="AD186" i="651"/>
  <c r="I98" i="651"/>
  <c r="AB191" i="651"/>
  <c r="AE244" i="651"/>
  <c r="I33" i="651"/>
  <c r="I34" i="651"/>
  <c r="I146" i="651"/>
  <c r="I147" i="651"/>
  <c r="I175" i="651"/>
  <c r="I184" i="651"/>
  <c r="I48" i="651"/>
  <c r="I49" i="651"/>
  <c r="I231" i="651"/>
  <c r="I126" i="651"/>
  <c r="I127" i="651"/>
  <c r="I247" i="651"/>
  <c r="AB25" i="651"/>
  <c r="I93" i="651"/>
  <c r="I94" i="651"/>
  <c r="AD13" i="651"/>
  <c r="AX243" i="650"/>
  <c r="AH245" i="650"/>
  <c r="V245" i="650" s="1"/>
  <c r="F368" i="6"/>
  <c r="F512" i="6" s="1"/>
  <c r="F8" i="3"/>
  <c r="J194" i="650"/>
  <c r="AG192" i="4"/>
  <c r="F32" i="2"/>
  <c r="F24" i="2"/>
  <c r="F1236" i="6"/>
  <c r="F1237" i="6"/>
  <c r="O194" i="650"/>
  <c r="AG276" i="4"/>
  <c r="L194" i="650"/>
  <c r="M194" i="650"/>
  <c r="F50" i="2"/>
  <c r="F1144" i="6"/>
  <c r="Q275" i="650"/>
  <c r="F361" i="6"/>
  <c r="T191" i="650"/>
  <c r="AP185" i="4"/>
  <c r="G933" i="711"/>
  <c r="G1226" i="709"/>
  <c r="G936" i="710"/>
  <c r="G939" i="710"/>
  <c r="G933" i="703"/>
  <c r="G933" i="697"/>
  <c r="G1226" i="693"/>
  <c r="G933" i="702"/>
  <c r="G933" i="691"/>
  <c r="G933" i="696"/>
  <c r="G933" i="709"/>
  <c r="G1226" i="703"/>
  <c r="G1226" i="697"/>
  <c r="G933" i="693"/>
  <c r="G1226" i="702"/>
  <c r="G1226" i="691"/>
  <c r="G1226" i="696"/>
  <c r="G1226" i="704"/>
  <c r="G933" i="694"/>
  <c r="G933" i="701"/>
  <c r="G933" i="692"/>
  <c r="G933" i="712"/>
  <c r="G1226" i="708"/>
  <c r="G933" i="698"/>
  <c r="G933" i="705"/>
  <c r="G933" i="695"/>
  <c r="G933" i="704"/>
  <c r="G1226" i="694"/>
  <c r="G1226" i="701"/>
  <c r="G933" i="706"/>
  <c r="G1226" i="692"/>
  <c r="G1226" i="712"/>
  <c r="G933" i="708"/>
  <c r="G1226" i="698"/>
  <c r="G1226" i="705"/>
  <c r="G1226" i="695"/>
  <c r="G886" i="707"/>
  <c r="AA138" i="651"/>
  <c r="G971" i="671"/>
  <c r="G1264" i="671"/>
  <c r="AD105" i="651"/>
  <c r="AC181" i="651"/>
  <c r="AA212" i="651"/>
  <c r="AC80" i="651"/>
  <c r="AB90" i="651"/>
  <c r="AE181" i="651"/>
  <c r="AD35" i="651"/>
  <c r="AE50" i="651"/>
  <c r="AA186" i="651"/>
  <c r="AE228" i="651"/>
  <c r="R15" i="652"/>
  <c r="AD220" i="651"/>
  <c r="AD248" i="651"/>
  <c r="AB138" i="651"/>
  <c r="AD244" i="651"/>
  <c r="AE138" i="651"/>
  <c r="AE105" i="651"/>
  <c r="AC60" i="651"/>
  <c r="AE13" i="651"/>
  <c r="AE55" i="651"/>
  <c r="AA95" i="651"/>
  <c r="AC236" i="651"/>
  <c r="M60" i="2"/>
  <c r="G32" i="650"/>
  <c r="AZ143" i="4"/>
  <c r="BA143" i="4" s="1"/>
  <c r="F956" i="6"/>
  <c r="AB212" i="651"/>
  <c r="AD80" i="641"/>
  <c r="AC133" i="651"/>
  <c r="AD133" i="651"/>
  <c r="AE158" i="651"/>
  <c r="AE236" i="651"/>
  <c r="AA216" i="651"/>
  <c r="AA60" i="651"/>
  <c r="AD55" i="651"/>
  <c r="AB158" i="651"/>
  <c r="AD236" i="651"/>
  <c r="AC50" i="651"/>
  <c r="AC70" i="651"/>
  <c r="AA50" i="651"/>
  <c r="AC240" i="651"/>
  <c r="AA30" i="651"/>
  <c r="AB240" i="651"/>
  <c r="AB65" i="651"/>
  <c r="AB186" i="651"/>
  <c r="AE30" i="651"/>
  <c r="AC40" i="651"/>
  <c r="AE45" i="651"/>
  <c r="AB181" i="651"/>
  <c r="AB85" i="651"/>
  <c r="AC100" i="651"/>
  <c r="AA40" i="651"/>
  <c r="AC208" i="651"/>
  <c r="AA80" i="651"/>
  <c r="AA143" i="651"/>
  <c r="Z13" i="651"/>
  <c r="AB228" i="651"/>
  <c r="AC248" i="651"/>
  <c r="AE232" i="651"/>
  <c r="AC25" i="651"/>
  <c r="AE128" i="651"/>
  <c r="AA228" i="651"/>
  <c r="AC13" i="651"/>
  <c r="AA25" i="651"/>
  <c r="AA133" i="651"/>
  <c r="AB232" i="651"/>
  <c r="AD85" i="651"/>
  <c r="AB423" i="651"/>
  <c r="AD423" i="651"/>
  <c r="AD212" i="651"/>
  <c r="AE212" i="651"/>
  <c r="AC90" i="651"/>
  <c r="AC85" i="651"/>
  <c r="AB133" i="651"/>
  <c r="AD224" i="651"/>
  <c r="AB110" i="651"/>
  <c r="AD128" i="651"/>
  <c r="AC224" i="651"/>
  <c r="AA85" i="651"/>
  <c r="AD123" i="651"/>
  <c r="AB75" i="651"/>
  <c r="AE224" i="651"/>
  <c r="AD138" i="651"/>
  <c r="AA105" i="651"/>
  <c r="AD208" i="651"/>
  <c r="AD181" i="651"/>
  <c r="AC30" i="651"/>
  <c r="AE65" i="651"/>
  <c r="AC55" i="651"/>
  <c r="AA65" i="651"/>
  <c r="AD158" i="651"/>
  <c r="AC123" i="651"/>
  <c r="AA128" i="651"/>
  <c r="AA45" i="651"/>
  <c r="AE505" i="651"/>
  <c r="AC75" i="651"/>
  <c r="AE70" i="651"/>
  <c r="AB50" i="651"/>
  <c r="AD45" i="651"/>
  <c r="AD100" i="651"/>
  <c r="AE186" i="651"/>
  <c r="AE114" i="651"/>
  <c r="AA35" i="651"/>
  <c r="AB253" i="651"/>
  <c r="AB143" i="651"/>
  <c r="AC232" i="651"/>
  <c r="AC505" i="651"/>
  <c r="AC128" i="651"/>
  <c r="AD505" i="651"/>
  <c r="AD25" i="651"/>
  <c r="AA181" i="651"/>
  <c r="AD90" i="651"/>
  <c r="AD80" i="651"/>
  <c r="AA220" i="651"/>
  <c r="AD163" i="651"/>
  <c r="AB451" i="651"/>
  <c r="AB244" i="651"/>
  <c r="AD40" i="651"/>
  <c r="AD70" i="651"/>
  <c r="AD114" i="651"/>
  <c r="AE35" i="651"/>
  <c r="AB40" i="651"/>
  <c r="AA70" i="651"/>
  <c r="AD451" i="651"/>
  <c r="AB216" i="651"/>
  <c r="AC186" i="651"/>
  <c r="AE220" i="651"/>
  <c r="AC253" i="651"/>
  <c r="AD65" i="651"/>
  <c r="AA370" i="651"/>
  <c r="AC95" i="651"/>
  <c r="AC105" i="651"/>
  <c r="AA423" i="651"/>
  <c r="AD153" i="651"/>
  <c r="AD195" i="651"/>
  <c r="AD95" i="651"/>
  <c r="AB153" i="651"/>
  <c r="AC252" i="651"/>
  <c r="AC204" i="651"/>
  <c r="AA75" i="651"/>
  <c r="AB13" i="651"/>
  <c r="AB30" i="651"/>
  <c r="AA55" i="651"/>
  <c r="AE123" i="651"/>
  <c r="AA176" i="651"/>
  <c r="AA194" i="651"/>
  <c r="AA90" i="651"/>
  <c r="AE110" i="651"/>
  <c r="AD75" i="651"/>
  <c r="AA204" i="651"/>
  <c r="AA224" i="651"/>
  <c r="AB195" i="651"/>
  <c r="AB204" i="651"/>
  <c r="AE208" i="651"/>
  <c r="AB208" i="651"/>
  <c r="AB113" i="651"/>
  <c r="AB20" i="651"/>
  <c r="AB194" i="651"/>
  <c r="AB176" i="651"/>
  <c r="AE240" i="651"/>
  <c r="AE20" i="651"/>
  <c r="AE113" i="651"/>
  <c r="AE90" i="651"/>
  <c r="AB95" i="651"/>
  <c r="AD252" i="651"/>
  <c r="AD240" i="651"/>
  <c r="AC370" i="651"/>
  <c r="AB220" i="651"/>
  <c r="AA253" i="651"/>
  <c r="AE204" i="651"/>
  <c r="AB224" i="651"/>
  <c r="AD191" i="651"/>
  <c r="AA248" i="651"/>
  <c r="AA252" i="651"/>
  <c r="AA13" i="651"/>
  <c r="AA158" i="651"/>
  <c r="AA100" i="651"/>
  <c r="AB105" i="651"/>
  <c r="AC153" i="651"/>
  <c r="AC191" i="651"/>
  <c r="AA236" i="651"/>
  <c r="AD204" i="651"/>
  <c r="AB114" i="651"/>
  <c r="AS29" i="651"/>
  <c r="H157" i="139" s="1"/>
  <c r="AE85" i="651"/>
  <c r="AC110" i="651"/>
  <c r="AE195" i="651"/>
  <c r="AD216" i="651"/>
  <c r="AD20" i="651"/>
  <c r="AD113" i="651"/>
  <c r="AD30" i="651"/>
  <c r="AC35" i="651"/>
  <c r="AE60" i="651"/>
  <c r="AD194" i="651"/>
  <c r="AD176" i="651"/>
  <c r="AA451" i="651"/>
  <c r="AB70" i="651"/>
  <c r="AA114" i="651"/>
  <c r="AE80" i="651"/>
  <c r="AC20" i="651"/>
  <c r="AC113" i="651"/>
  <c r="AA123" i="651"/>
  <c r="AE143" i="651"/>
  <c r="AC423" i="651"/>
  <c r="AB100" i="651"/>
  <c r="AA195" i="651"/>
  <c r="AE216" i="651"/>
  <c r="AC220" i="651"/>
  <c r="AC244" i="651"/>
  <c r="AC195" i="651"/>
  <c r="AC158" i="651"/>
  <c r="AC451" i="651"/>
  <c r="AE191" i="651"/>
  <c r="AB236" i="651"/>
  <c r="AC114" i="651"/>
  <c r="AC45" i="651"/>
  <c r="AE423" i="651"/>
  <c r="AE153" i="651"/>
  <c r="AE95" i="651"/>
  <c r="AE133" i="651"/>
  <c r="AC143" i="651"/>
  <c r="AE163" i="651"/>
  <c r="AE253" i="651"/>
  <c r="AD232" i="651"/>
  <c r="AA153" i="651"/>
  <c r="AC216" i="651"/>
  <c r="AA232" i="651"/>
  <c r="AA240" i="651"/>
  <c r="AA244" i="651"/>
  <c r="AB55" i="651"/>
  <c r="AA20" i="651"/>
  <c r="AA113" i="651"/>
  <c r="AE194" i="651"/>
  <c r="AE176" i="651"/>
  <c r="AC163" i="651"/>
  <c r="AA505" i="651"/>
  <c r="AE451" i="651"/>
  <c r="AA163" i="651"/>
  <c r="AE252" i="651"/>
  <c r="AE248" i="651"/>
  <c r="AD370" i="651"/>
  <c r="AB370" i="651"/>
  <c r="AB60" i="651"/>
  <c r="AE370" i="651"/>
  <c r="AB45" i="651"/>
  <c r="AC65" i="651"/>
  <c r="AB505" i="651"/>
  <c r="AA191" i="651"/>
  <c r="AD253" i="651"/>
  <c r="AE75" i="651"/>
  <c r="AD50" i="651"/>
  <c r="AD110" i="651"/>
  <c r="AB163" i="651"/>
  <c r="AD143" i="651"/>
  <c r="AB248" i="651"/>
  <c r="AB252" i="651"/>
  <c r="AA208" i="651"/>
  <c r="AC176" i="651"/>
  <c r="AC194" i="651"/>
  <c r="AB35" i="651"/>
  <c r="AE40" i="651"/>
  <c r="AE25" i="651"/>
  <c r="AD60" i="651"/>
  <c r="AB80" i="651"/>
  <c r="AB128" i="651"/>
  <c r="AB123" i="651"/>
  <c r="AA110" i="651"/>
  <c r="AC138" i="651"/>
  <c r="AC228" i="651"/>
  <c r="AC212" i="651"/>
  <c r="AD228" i="651"/>
  <c r="R18" i="652"/>
  <c r="M37" i="652"/>
  <c r="M41" i="652" s="1"/>
  <c r="AX244" i="650"/>
  <c r="U151" i="650"/>
  <c r="R194" i="650"/>
  <c r="F278" i="650"/>
  <c r="F194" i="650"/>
  <c r="H275" i="650"/>
  <c r="U275" i="650"/>
  <c r="AY273" i="4"/>
  <c r="AY192" i="4"/>
  <c r="I194" i="650"/>
  <c r="AI192" i="4"/>
  <c r="H194" i="650"/>
  <c r="H278" i="650"/>
  <c r="U278" i="650"/>
  <c r="U194" i="650"/>
  <c r="K6" i="139"/>
  <c r="G9" i="3"/>
  <c r="K19" i="14"/>
  <c r="L19" i="14"/>
  <c r="J20" i="14" s="1"/>
  <c r="G1" i="3"/>
  <c r="Y28" i="6"/>
  <c r="Y29" i="6" s="1"/>
  <c r="W27" i="6"/>
  <c r="AB27" i="6" s="1"/>
  <c r="K263" i="650"/>
  <c r="L262" i="650"/>
  <c r="L269" i="650" s="1"/>
  <c r="AP48" i="4"/>
  <c r="AP268" i="4"/>
  <c r="AP269" i="4"/>
  <c r="AP47" i="4"/>
  <c r="AP49" i="4"/>
  <c r="AP43" i="4"/>
  <c r="AP45" i="4"/>
  <c r="AP44" i="4"/>
  <c r="H16" i="648" l="1"/>
  <c r="G16" i="648"/>
  <c r="H56" i="648"/>
  <c r="G56" i="648"/>
  <c r="N76" i="648"/>
  <c r="G23" i="648"/>
  <c r="H23" i="648"/>
  <c r="S86" i="648"/>
  <c r="H21" i="648"/>
  <c r="G21" i="648"/>
  <c r="H22" i="648"/>
  <c r="G22" i="648"/>
  <c r="H65" i="648"/>
  <c r="J65" i="648" s="1"/>
  <c r="G15" i="648"/>
  <c r="G18" i="648" s="1"/>
  <c r="H15" i="648"/>
  <c r="G65" i="648"/>
  <c r="I65" i="648" s="1"/>
  <c r="H18" i="648"/>
  <c r="AA8" i="650"/>
  <c r="Y5" i="647"/>
  <c r="Y157" i="647" s="1"/>
  <c r="K278" i="650"/>
  <c r="G278" i="650"/>
  <c r="W123" i="650"/>
  <c r="X123" i="650" s="1"/>
  <c r="Y123" i="650" s="1"/>
  <c r="Z123" i="650" s="1"/>
  <c r="AA123" i="650" s="1"/>
  <c r="W17" i="650"/>
  <c r="X17" i="650" s="1"/>
  <c r="Y17" i="650" s="1"/>
  <c r="Z17" i="650" s="1"/>
  <c r="AA17" i="650" s="1"/>
  <c r="W18" i="650"/>
  <c r="X18" i="650" s="1"/>
  <c r="Y18" i="650" s="1"/>
  <c r="Z18" i="650" s="1"/>
  <c r="AA18" i="650" s="1"/>
  <c r="V242" i="650"/>
  <c r="W245" i="650"/>
  <c r="X245" i="650" s="1"/>
  <c r="Y245" i="650" s="1"/>
  <c r="Z245" i="650" s="1"/>
  <c r="AA245" i="650" s="1"/>
  <c r="V244" i="650"/>
  <c r="V241" i="650"/>
  <c r="V243" i="650"/>
  <c r="X205" i="650"/>
  <c r="Y206" i="650"/>
  <c r="W130" i="650"/>
  <c r="W35" i="650"/>
  <c r="W131" i="650"/>
  <c r="W129" i="650"/>
  <c r="W112" i="650"/>
  <c r="W124" i="650"/>
  <c r="X124" i="650" s="1"/>
  <c r="Y124" i="650" s="1"/>
  <c r="Z124" i="650" s="1"/>
  <c r="AA124" i="650" s="1"/>
  <c r="Y155" i="650"/>
  <c r="Z156" i="650"/>
  <c r="W125" i="650"/>
  <c r="X125" i="650" s="1"/>
  <c r="Y125" i="650" s="1"/>
  <c r="Z125" i="650" s="1"/>
  <c r="AA125" i="650" s="1"/>
  <c r="W118" i="650"/>
  <c r="W42" i="650"/>
  <c r="X42" i="650" s="1"/>
  <c r="Y42" i="650" s="1"/>
  <c r="Z42" i="650" s="1"/>
  <c r="AA42" i="650" s="1"/>
  <c r="V40" i="650"/>
  <c r="V41" i="650"/>
  <c r="W36" i="650"/>
  <c r="V85" i="650"/>
  <c r="V26" i="650"/>
  <c r="V25" i="650"/>
  <c r="V27" i="650"/>
  <c r="V148" i="650"/>
  <c r="V28" i="650"/>
  <c r="V29" i="650"/>
  <c r="V23" i="650"/>
  <c r="W31" i="650"/>
  <c r="V24" i="650"/>
  <c r="W141" i="650"/>
  <c r="W113" i="650"/>
  <c r="W102" i="650"/>
  <c r="W140" i="650"/>
  <c r="W142" i="650"/>
  <c r="W107" i="650"/>
  <c r="W56" i="650"/>
  <c r="W108" i="650"/>
  <c r="W81" i="650"/>
  <c r="W135" i="650"/>
  <c r="V133" i="647" s="1"/>
  <c r="W136" i="650"/>
  <c r="V134" i="647" s="1"/>
  <c r="W67" i="650"/>
  <c r="W119" i="650"/>
  <c r="W82" i="650"/>
  <c r="W66" i="650"/>
  <c r="W89" i="650"/>
  <c r="X89" i="650" s="1"/>
  <c r="Y89" i="650" s="1"/>
  <c r="Z89" i="650" s="1"/>
  <c r="AA89" i="650" s="1"/>
  <c r="W95" i="650"/>
  <c r="W52" i="650"/>
  <c r="V48" i="647" s="1"/>
  <c r="W145" i="650"/>
  <c r="W151" i="650" s="1"/>
  <c r="X137" i="650"/>
  <c r="W96" i="650"/>
  <c r="W71" i="650"/>
  <c r="W100" i="650"/>
  <c r="W106" i="650"/>
  <c r="W94" i="650"/>
  <c r="W57" i="650"/>
  <c r="W101" i="650"/>
  <c r="W90" i="650"/>
  <c r="X90" i="650" s="1"/>
  <c r="Y90" i="650" s="1"/>
  <c r="Z90" i="650" s="1"/>
  <c r="AA90" i="650" s="1"/>
  <c r="W77" i="650"/>
  <c r="W63" i="650"/>
  <c r="X63" i="650" s="1"/>
  <c r="Y63" i="650" s="1"/>
  <c r="Z63" i="650" s="1"/>
  <c r="AA63" i="650" s="1"/>
  <c r="V62" i="650"/>
  <c r="U58" i="647" s="1"/>
  <c r="V61" i="650"/>
  <c r="U57" i="647" s="1"/>
  <c r="X53" i="650"/>
  <c r="W72" i="650"/>
  <c r="W48" i="650"/>
  <c r="V44" i="647" s="1"/>
  <c r="W76" i="650"/>
  <c r="W117" i="650"/>
  <c r="X164" i="647"/>
  <c r="AA159" i="647"/>
  <c r="AB159" i="647" s="1"/>
  <c r="T194" i="650"/>
  <c r="G1081" i="3"/>
  <c r="G1078" i="3"/>
  <c r="G1084" i="3" s="1"/>
  <c r="G1082" i="3"/>
  <c r="G1083" i="3"/>
  <c r="AG279" i="4"/>
  <c r="F56" i="2"/>
  <c r="T15" i="652"/>
  <c r="AX42" i="650" s="1"/>
  <c r="N37" i="652"/>
  <c r="N41" i="652" s="1"/>
  <c r="H6" i="5"/>
  <c r="AO656" i="651"/>
  <c r="AO677" i="651" s="1"/>
  <c r="AO762" i="651" s="1"/>
  <c r="AO674" i="651"/>
  <c r="AN674" i="651"/>
  <c r="AN656" i="651"/>
  <c r="AN677" i="651" s="1"/>
  <c r="AN762" i="651" s="1"/>
  <c r="AI656" i="651"/>
  <c r="AI677" i="651" s="1"/>
  <c r="AI674" i="651"/>
  <c r="AE675" i="651"/>
  <c r="AE147" i="651"/>
  <c r="AE167" i="651" s="1"/>
  <c r="AA677" i="651"/>
  <c r="AA762" i="651" s="1"/>
  <c r="AA674" i="651"/>
  <c r="AA146" i="651"/>
  <c r="AB677" i="651"/>
  <c r="AB762" i="651" s="1"/>
  <c r="AB674" i="651"/>
  <c r="AB146" i="651"/>
  <c r="AP656" i="651"/>
  <c r="AP677" i="651" s="1"/>
  <c r="AP762" i="651" s="1"/>
  <c r="AP674" i="651"/>
  <c r="AK656" i="651"/>
  <c r="AK677" i="651" s="1"/>
  <c r="AK762" i="651" s="1"/>
  <c r="AK674" i="651"/>
  <c r="AJ656" i="651"/>
  <c r="AJ677" i="651" s="1"/>
  <c r="AJ762" i="651" s="1"/>
  <c r="AJ674" i="651"/>
  <c r="AC675" i="651"/>
  <c r="AC147" i="651"/>
  <c r="AC167" i="651" s="1"/>
  <c r="AS655" i="651"/>
  <c r="R41" i="20" s="1"/>
  <c r="R45" i="20" s="1"/>
  <c r="AA675" i="651"/>
  <c r="AA147" i="651"/>
  <c r="AA167" i="651" s="1"/>
  <c r="AE677" i="651"/>
  <c r="AE762" i="651" s="1"/>
  <c r="AE674" i="651"/>
  <c r="AE146" i="651"/>
  <c r="AF675" i="651"/>
  <c r="AT675" i="651" s="1"/>
  <c r="AT655" i="651"/>
  <c r="S41" i="20" s="1"/>
  <c r="S45" i="20" s="1"/>
  <c r="AL656" i="651"/>
  <c r="AL677" i="651" s="1"/>
  <c r="AL762" i="651" s="1"/>
  <c r="AL674" i="651"/>
  <c r="AG656" i="651"/>
  <c r="AG677" i="651" s="1"/>
  <c r="AG762" i="651" s="1"/>
  <c r="AG674" i="651"/>
  <c r="AQ674" i="651"/>
  <c r="AQ656" i="651"/>
  <c r="AQ677" i="651" s="1"/>
  <c r="AQ762" i="651" s="1"/>
  <c r="AD675" i="651"/>
  <c r="AD147" i="651"/>
  <c r="AD167" i="651" s="1"/>
  <c r="AB675" i="651"/>
  <c r="AB147" i="651"/>
  <c r="AB167" i="651" s="1"/>
  <c r="AC677" i="651"/>
  <c r="AC762" i="651" s="1"/>
  <c r="AC674" i="651"/>
  <c r="AC146" i="651"/>
  <c r="AD674" i="651"/>
  <c r="AD677" i="651"/>
  <c r="AD762" i="651" s="1"/>
  <c r="AD146" i="651"/>
  <c r="AH656" i="651"/>
  <c r="AH677" i="651" s="1"/>
  <c r="AH762" i="651" s="1"/>
  <c r="AH674" i="651"/>
  <c r="AF674" i="651"/>
  <c r="AF656" i="651"/>
  <c r="AF677" i="651" s="1"/>
  <c r="AT654" i="651"/>
  <c r="S40" i="20" s="1"/>
  <c r="AM674" i="651"/>
  <c r="AM656" i="651"/>
  <c r="Z677" i="651"/>
  <c r="Z762" i="651" s="1"/>
  <c r="Z674" i="651"/>
  <c r="AS654" i="651"/>
  <c r="R40" i="20" s="1"/>
  <c r="AJ192" i="4"/>
  <c r="AX245" i="650"/>
  <c r="I232" i="651"/>
  <c r="I99" i="651"/>
  <c r="I100" i="651" s="1"/>
  <c r="I211" i="651"/>
  <c r="I212" i="651" s="1"/>
  <c r="I185" i="651"/>
  <c r="I186" i="651" s="1"/>
  <c r="I507" i="651"/>
  <c r="I505" i="651"/>
  <c r="I508" i="651" s="1"/>
  <c r="I148" i="651"/>
  <c r="I50" i="651"/>
  <c r="I238" i="651"/>
  <c r="I239" i="651"/>
  <c r="I68" i="651"/>
  <c r="I69" i="651"/>
  <c r="I38" i="651"/>
  <c r="I39" i="651"/>
  <c r="I162" i="651"/>
  <c r="I141" i="651"/>
  <c r="I142" i="651"/>
  <c r="I234" i="651"/>
  <c r="I235" i="651"/>
  <c r="I246" i="651"/>
  <c r="I156" i="651"/>
  <c r="I157" i="651"/>
  <c r="I206" i="651"/>
  <c r="I207" i="651"/>
  <c r="I242" i="651"/>
  <c r="I243" i="651"/>
  <c r="I203" i="651"/>
  <c r="I128" i="651"/>
  <c r="I103" i="651"/>
  <c r="I104" i="651"/>
  <c r="I35" i="651"/>
  <c r="I108" i="651"/>
  <c r="I109" i="651"/>
  <c r="I19" i="651"/>
  <c r="I83" i="651"/>
  <c r="I84" i="651"/>
  <c r="I23" i="651"/>
  <c r="I24" i="651"/>
  <c r="I78" i="651"/>
  <c r="I79" i="651"/>
  <c r="I121" i="651"/>
  <c r="I122" i="651"/>
  <c r="I151" i="651"/>
  <c r="I152" i="651"/>
  <c r="I179" i="651"/>
  <c r="I180" i="651"/>
  <c r="I136" i="651"/>
  <c r="I137" i="651"/>
  <c r="I218" i="651"/>
  <c r="I219" i="651"/>
  <c r="I131" i="651"/>
  <c r="I132" i="651"/>
  <c r="I189" i="651"/>
  <c r="I190" i="651"/>
  <c r="I174" i="651"/>
  <c r="I28" i="651"/>
  <c r="I29" i="651"/>
  <c r="I53" i="651"/>
  <c r="I54" i="651"/>
  <c r="I88" i="651"/>
  <c r="I89" i="651"/>
  <c r="I58" i="651"/>
  <c r="I59" i="651"/>
  <c r="I73" i="651"/>
  <c r="I74" i="651"/>
  <c r="I63" i="651"/>
  <c r="I64" i="651"/>
  <c r="I214" i="651"/>
  <c r="I215" i="651"/>
  <c r="I95" i="651"/>
  <c r="I43" i="651"/>
  <c r="I44" i="651"/>
  <c r="G5" i="5"/>
  <c r="F1" i="3"/>
  <c r="F41" i="2"/>
  <c r="F1246" i="6"/>
  <c r="G1230" i="705"/>
  <c r="G1230" i="692"/>
  <c r="G1230" i="701"/>
  <c r="G936" i="704"/>
  <c r="G939" i="704"/>
  <c r="G939" i="705"/>
  <c r="G936" i="705"/>
  <c r="G1230" i="708"/>
  <c r="G936" i="692"/>
  <c r="G939" i="692"/>
  <c r="G936" i="694"/>
  <c r="G939" i="694"/>
  <c r="G1230" i="696"/>
  <c r="G1230" i="691"/>
  <c r="G939" i="693"/>
  <c r="G936" i="693"/>
  <c r="G1230" i="703"/>
  <c r="G939" i="696"/>
  <c r="G936" i="696"/>
  <c r="G936" i="691"/>
  <c r="G939" i="691"/>
  <c r="G936" i="703"/>
  <c r="G939" i="703"/>
  <c r="G1230" i="709"/>
  <c r="G936" i="708"/>
  <c r="G939" i="708"/>
  <c r="G1230" i="693"/>
  <c r="G1230" i="695"/>
  <c r="G1230" i="698"/>
  <c r="G1230" i="712"/>
  <c r="G939" i="706"/>
  <c r="G936" i="706"/>
  <c r="G1230" i="694"/>
  <c r="G936" i="695"/>
  <c r="G939" i="695"/>
  <c r="G936" i="698"/>
  <c r="G939" i="698"/>
  <c r="G936" i="712"/>
  <c r="G939" i="712"/>
  <c r="G936" i="701"/>
  <c r="G939" i="701"/>
  <c r="G1230" i="704"/>
  <c r="G1230" i="702"/>
  <c r="G1230" i="697"/>
  <c r="G936" i="709"/>
  <c r="G939" i="709"/>
  <c r="G936" i="702"/>
  <c r="G939" i="702"/>
  <c r="G936" i="697"/>
  <c r="G939" i="697"/>
  <c r="G936" i="711"/>
  <c r="G939" i="711"/>
  <c r="G889" i="707"/>
  <c r="G1268" i="671"/>
  <c r="G977" i="671"/>
  <c r="G974" i="671"/>
  <c r="R37" i="652"/>
  <c r="R41" i="652" s="1"/>
  <c r="AB197" i="651"/>
  <c r="AD508" i="651"/>
  <c r="AD197" i="651"/>
  <c r="AE508" i="651"/>
  <c r="AB508" i="651"/>
  <c r="AB251" i="651"/>
  <c r="AE197" i="651"/>
  <c r="AC508" i="651"/>
  <c r="AE251" i="651"/>
  <c r="AD116" i="651"/>
  <c r="AA116" i="651"/>
  <c r="AC116" i="651"/>
  <c r="AE116" i="651"/>
  <c r="AB116" i="651"/>
  <c r="AC197" i="651"/>
  <c r="AA251" i="651"/>
  <c r="AA197" i="651"/>
  <c r="AC251" i="651"/>
  <c r="AA508" i="651"/>
  <c r="AD251" i="651"/>
  <c r="S24" i="652"/>
  <c r="S16" i="652"/>
  <c r="S32" i="652"/>
  <c r="S28" i="652"/>
  <c r="S13" i="652"/>
  <c r="S10" i="652"/>
  <c r="S27" i="652"/>
  <c r="S34" i="652"/>
  <c r="S20" i="652"/>
  <c r="S8" i="652"/>
  <c r="S23" i="652"/>
  <c r="S6" i="652"/>
  <c r="S30" i="652"/>
  <c r="S22" i="652"/>
  <c r="S12" i="652"/>
  <c r="S26" i="652"/>
  <c r="S35" i="652"/>
  <c r="T35" i="652" s="1"/>
  <c r="S7" i="652"/>
  <c r="S18" i="652"/>
  <c r="S17" i="652"/>
  <c r="S33" i="652"/>
  <c r="S14" i="652"/>
  <c r="S11" i="652"/>
  <c r="S29" i="652"/>
  <c r="S19" i="652"/>
  <c r="S31" i="652"/>
  <c r="S25" i="652"/>
  <c r="S9" i="652"/>
  <c r="S21" i="652"/>
  <c r="U152" i="650"/>
  <c r="O30" i="1"/>
  <c r="K20" i="14"/>
  <c r="L20" i="14"/>
  <c r="J21" i="14" s="1"/>
  <c r="L263" i="650"/>
  <c r="M262" i="650"/>
  <c r="M269" i="650" s="1"/>
  <c r="L278" i="650"/>
  <c r="G1219" i="3"/>
  <c r="G1178" i="3"/>
  <c r="G1150" i="3"/>
  <c r="G1162" i="3"/>
  <c r="G1171" i="3"/>
  <c r="G1135" i="3"/>
  <c r="G1110" i="3"/>
  <c r="G1192" i="3"/>
  <c r="G1143" i="3"/>
  <c r="G1157" i="3"/>
  <c r="G797" i="3"/>
  <c r="G1103" i="3"/>
  <c r="G1196" i="3"/>
  <c r="G1139" i="3"/>
  <c r="G1185" i="3"/>
  <c r="Y30" i="6"/>
  <c r="W29" i="6"/>
  <c r="AB29" i="6" s="1"/>
  <c r="AH217" i="650" l="1"/>
  <c r="V217" i="650" s="1"/>
  <c r="W217" i="650" s="1"/>
  <c r="X217" i="650" s="1"/>
  <c r="Y217" i="650" s="1"/>
  <c r="Z217" i="650" s="1"/>
  <c r="AA217" i="650" s="1"/>
  <c r="AX217" i="650"/>
  <c r="G25" i="648"/>
  <c r="AH224" i="650" s="1"/>
  <c r="V224" i="650" s="1"/>
  <c r="W224" i="650" s="1"/>
  <c r="X224" i="650" s="1"/>
  <c r="Y224" i="650" s="1"/>
  <c r="Z224" i="650" s="1"/>
  <c r="AA224" i="650" s="1"/>
  <c r="H25" i="648"/>
  <c r="AX224" i="650" s="1"/>
  <c r="W244" i="650"/>
  <c r="X244" i="650" s="1"/>
  <c r="Y244" i="650" s="1"/>
  <c r="Z244" i="650" s="1"/>
  <c r="AA244" i="650" s="1"/>
  <c r="AB8" i="650"/>
  <c r="Z5" i="647"/>
  <c r="Z157" i="647" s="1"/>
  <c r="W242" i="650"/>
  <c r="X242" i="650" s="1"/>
  <c r="Y242" i="650" s="1"/>
  <c r="Z242" i="650" s="1"/>
  <c r="AA242" i="650" s="1"/>
  <c r="W243" i="650"/>
  <c r="X243" i="650" s="1"/>
  <c r="Y243" i="650" s="1"/>
  <c r="Z243" i="650" s="1"/>
  <c r="AA243" i="650" s="1"/>
  <c r="W241" i="650"/>
  <c r="X241" i="650" s="1"/>
  <c r="Y241" i="650" s="1"/>
  <c r="Z241" i="650" s="1"/>
  <c r="AA241" i="650" s="1"/>
  <c r="X72" i="650"/>
  <c r="V68" i="647"/>
  <c r="X71" i="650"/>
  <c r="V67" i="647"/>
  <c r="X82" i="650"/>
  <c r="V78" i="647"/>
  <c r="X107" i="650"/>
  <c r="V105" i="647"/>
  <c r="X113" i="650"/>
  <c r="V111" i="647"/>
  <c r="X36" i="650"/>
  <c r="V32" i="647"/>
  <c r="X35" i="650"/>
  <c r="V31" i="647"/>
  <c r="X77" i="650"/>
  <c r="V73" i="647"/>
  <c r="X81" i="650"/>
  <c r="V77" i="647"/>
  <c r="X142" i="650"/>
  <c r="V140" i="647"/>
  <c r="X141" i="650"/>
  <c r="V139" i="647"/>
  <c r="W41" i="650"/>
  <c r="U37" i="647"/>
  <c r="X112" i="650"/>
  <c r="V110" i="647"/>
  <c r="X130" i="650"/>
  <c r="V128" i="647"/>
  <c r="X76" i="650"/>
  <c r="V72" i="647"/>
  <c r="X106" i="650"/>
  <c r="V104" i="647"/>
  <c r="X108" i="650"/>
  <c r="V106" i="647"/>
  <c r="X140" i="650"/>
  <c r="V138" i="647"/>
  <c r="W40" i="650"/>
  <c r="U36" i="647"/>
  <c r="X129" i="650"/>
  <c r="V127" i="647"/>
  <c r="X131" i="650"/>
  <c r="V129" i="647"/>
  <c r="X117" i="650"/>
  <c r="V115" i="647"/>
  <c r="X96" i="650"/>
  <c r="V94" i="647"/>
  <c r="X119" i="650"/>
  <c r="V117" i="647"/>
  <c r="X67" i="650"/>
  <c r="V63" i="647"/>
  <c r="X95" i="650"/>
  <c r="V93" i="647"/>
  <c r="X100" i="650"/>
  <c r="V98" i="647"/>
  <c r="X56" i="650"/>
  <c r="V52" i="647"/>
  <c r="X101" i="650"/>
  <c r="V99" i="647"/>
  <c r="X102" i="650"/>
  <c r="V100" i="647"/>
  <c r="X94" i="650"/>
  <c r="V92" i="647"/>
  <c r="X66" i="650"/>
  <c r="V62" i="647"/>
  <c r="X57" i="650"/>
  <c r="V53" i="647"/>
  <c r="X118" i="650"/>
  <c r="V116" i="647"/>
  <c r="W25" i="650"/>
  <c r="W24" i="650"/>
  <c r="W26" i="650"/>
  <c r="Z155" i="650"/>
  <c r="AA156" i="650"/>
  <c r="Y205" i="650"/>
  <c r="Z206" i="650"/>
  <c r="W27" i="650"/>
  <c r="W29" i="650"/>
  <c r="W148" i="650"/>
  <c r="X31" i="650"/>
  <c r="W23" i="650"/>
  <c r="W28" i="650"/>
  <c r="W62" i="650"/>
  <c r="W85" i="650"/>
  <c r="V150" i="650"/>
  <c r="W61" i="650"/>
  <c r="V149" i="650"/>
  <c r="X48" i="650"/>
  <c r="W44" i="647" s="1"/>
  <c r="Y137" i="650"/>
  <c r="X145" i="650"/>
  <c r="X151" i="650" s="1"/>
  <c r="Y53" i="650"/>
  <c r="X85" i="650"/>
  <c r="X135" i="650"/>
  <c r="W133" i="647" s="1"/>
  <c r="X136" i="650"/>
  <c r="W134" i="647" s="1"/>
  <c r="X52" i="650"/>
  <c r="W48" i="647" s="1"/>
  <c r="AC159" i="647"/>
  <c r="AD159" i="647" s="1"/>
  <c r="G1085" i="3"/>
  <c r="T21" i="652"/>
  <c r="T19" i="652"/>
  <c r="AX68" i="650" s="1"/>
  <c r="T20" i="652"/>
  <c r="AX73" i="650" s="1"/>
  <c r="T24" i="652"/>
  <c r="AX92" i="650" s="1"/>
  <c r="T29" i="652"/>
  <c r="T26" i="652"/>
  <c r="T34" i="652"/>
  <c r="T11" i="652"/>
  <c r="T12" i="652"/>
  <c r="T27" i="652"/>
  <c r="AX109" i="650" s="1"/>
  <c r="T22" i="652"/>
  <c r="AX83" i="650" s="1"/>
  <c r="T9" i="652"/>
  <c r="T33" i="652"/>
  <c r="T30" i="652"/>
  <c r="T13" i="652"/>
  <c r="T17" i="652"/>
  <c r="AX58" i="650" s="1"/>
  <c r="T31" i="652"/>
  <c r="T18" i="652"/>
  <c r="AX63" i="650" s="1"/>
  <c r="T23" i="652"/>
  <c r="T32" i="652"/>
  <c r="T10" i="652"/>
  <c r="T28" i="652"/>
  <c r="T7" i="652"/>
  <c r="T8" i="652"/>
  <c r="T16" i="652"/>
  <c r="AX53" i="650" s="1"/>
  <c r="F44" i="2"/>
  <c r="H56" i="5"/>
  <c r="H55" i="5"/>
  <c r="H67" i="5"/>
  <c r="H65" i="5"/>
  <c r="H69" i="5"/>
  <c r="H64" i="5"/>
  <c r="H68" i="5"/>
  <c r="H61" i="5"/>
  <c r="H63" i="5"/>
  <c r="H62" i="5"/>
  <c r="I138" i="651"/>
  <c r="AT674" i="651"/>
  <c r="T25" i="652"/>
  <c r="S44" i="20"/>
  <c r="S42" i="20"/>
  <c r="AS675" i="651"/>
  <c r="AS674" i="651"/>
  <c r="AF762" i="651"/>
  <c r="AD166" i="651"/>
  <c r="AD148" i="651"/>
  <c r="AD169" i="651" s="1"/>
  <c r="AD254" i="651" s="1"/>
  <c r="AB166" i="651"/>
  <c r="AB148" i="651"/>
  <c r="AB169" i="651" s="1"/>
  <c r="AB254" i="651" s="1"/>
  <c r="E30" i="1"/>
  <c r="F30" i="1"/>
  <c r="B30" i="1" s="1"/>
  <c r="AS656" i="651"/>
  <c r="AT656" i="651"/>
  <c r="AM677" i="651"/>
  <c r="AM762" i="651" s="1"/>
  <c r="AC148" i="651"/>
  <c r="AC169" i="651" s="1"/>
  <c r="AC254" i="651" s="1"/>
  <c r="AC166" i="651"/>
  <c r="D13" i="20"/>
  <c r="O13" i="20"/>
  <c r="R42" i="20"/>
  <c r="R44" i="20"/>
  <c r="P13" i="20"/>
  <c r="E13" i="20"/>
  <c r="AE148" i="651"/>
  <c r="AE169" i="651" s="1"/>
  <c r="AE254" i="651" s="1"/>
  <c r="AE166" i="651"/>
  <c r="AA148" i="651"/>
  <c r="AA169" i="651" s="1"/>
  <c r="AA254" i="651" s="1"/>
  <c r="AA166" i="651"/>
  <c r="T14" i="652"/>
  <c r="I224" i="651"/>
  <c r="I195" i="651"/>
  <c r="I45" i="651"/>
  <c r="I253" i="651"/>
  <c r="I55" i="651"/>
  <c r="I181" i="651"/>
  <c r="I25" i="651"/>
  <c r="I65" i="651"/>
  <c r="I220" i="651"/>
  <c r="I114" i="651"/>
  <c r="I240" i="651"/>
  <c r="I208" i="651"/>
  <c r="I153" i="651"/>
  <c r="I30" i="651"/>
  <c r="I143" i="651"/>
  <c r="I133" i="651"/>
  <c r="I60" i="651"/>
  <c r="I216" i="651"/>
  <c r="I158" i="651"/>
  <c r="I75" i="651"/>
  <c r="I85" i="651"/>
  <c r="I228" i="651"/>
  <c r="I161" i="651"/>
  <c r="I123" i="651"/>
  <c r="I80" i="651"/>
  <c r="I191" i="651"/>
  <c r="I110" i="651"/>
  <c r="I202" i="651"/>
  <c r="I252" i="651" s="1"/>
  <c r="I70" i="651"/>
  <c r="I176" i="651"/>
  <c r="I194" i="651"/>
  <c r="I18" i="651"/>
  <c r="I90" i="651"/>
  <c r="I248" i="651"/>
  <c r="I105" i="651"/>
  <c r="I40" i="651"/>
  <c r="I236" i="651"/>
  <c r="I244" i="651"/>
  <c r="I167" i="651"/>
  <c r="F982" i="3"/>
  <c r="F325" i="3"/>
  <c r="F365" i="3" s="1"/>
  <c r="F978" i="3"/>
  <c r="F331" i="3"/>
  <c r="F330" i="3"/>
  <c r="F207" i="3"/>
  <c r="F980" i="3"/>
  <c r="F329" i="3"/>
  <c r="F989" i="3"/>
  <c r="F324" i="3"/>
  <c r="F327" i="3"/>
  <c r="F368" i="3" s="1"/>
  <c r="F512" i="3" s="1"/>
  <c r="F201" i="3"/>
  <c r="F323" i="3"/>
  <c r="F363" i="3" s="1"/>
  <c r="F979" i="3"/>
  <c r="F206" i="3"/>
  <c r="F983" i="3"/>
  <c r="F326" i="3"/>
  <c r="F205" i="3"/>
  <c r="F984" i="3"/>
  <c r="F202" i="3"/>
  <c r="F1248" i="6"/>
  <c r="G1121" i="3"/>
  <c r="G1208" i="3" s="1"/>
  <c r="G1238" i="3" s="1"/>
  <c r="G1123" i="3"/>
  <c r="G1210" i="3" s="1"/>
  <c r="G1240" i="3" s="1"/>
  <c r="G1124" i="3"/>
  <c r="G1211" i="3" s="1"/>
  <c r="G1122" i="3"/>
  <c r="G1209" i="3" s="1"/>
  <c r="G1239" i="3" s="1"/>
  <c r="G1232" i="702"/>
  <c r="G1238" i="702" s="1"/>
  <c r="G1232" i="704"/>
  <c r="G1238" i="704" s="1"/>
  <c r="G1232" i="692"/>
  <c r="G1238" i="692" s="1"/>
  <c r="G1232" i="698"/>
  <c r="G1238" i="698" s="1"/>
  <c r="G1232" i="693"/>
  <c r="G1238" i="693" s="1"/>
  <c r="G1232" i="709"/>
  <c r="G1238" i="709" s="1"/>
  <c r="G1232" i="703"/>
  <c r="G1238" i="703" s="1"/>
  <c r="G1232" i="691"/>
  <c r="G1238" i="691" s="1"/>
  <c r="G1232" i="708"/>
  <c r="G1238" i="708" s="1"/>
  <c r="G1232" i="701"/>
  <c r="G1238" i="701" s="1"/>
  <c r="G1232" i="697"/>
  <c r="G1238" i="697" s="1"/>
  <c r="G1232" i="694"/>
  <c r="G1238" i="694" s="1"/>
  <c r="G1232" i="712"/>
  <c r="G1238" i="712" s="1"/>
  <c r="G1232" i="695"/>
  <c r="G1238" i="695" s="1"/>
  <c r="G1232" i="696"/>
  <c r="G1238" i="696" s="1"/>
  <c r="G1232" i="705"/>
  <c r="G1238" i="705" s="1"/>
  <c r="G892" i="707"/>
  <c r="G923" i="707" s="1"/>
  <c r="G1270" i="671"/>
  <c r="G1276" i="671" s="1"/>
  <c r="S37" i="652"/>
  <c r="S41" i="652" s="1"/>
  <c r="T6" i="652"/>
  <c r="G1205" i="3"/>
  <c r="L6" i="3"/>
  <c r="M4" i="5" s="1"/>
  <c r="O31" i="1"/>
  <c r="Y31" i="6"/>
  <c r="Y32" i="6" s="1"/>
  <c r="N262" i="650"/>
  <c r="N269" i="650" s="1"/>
  <c r="M263" i="650"/>
  <c r="M278" i="650"/>
  <c r="K21" i="14"/>
  <c r="L21" i="14"/>
  <c r="J22" i="14" s="1"/>
  <c r="I8" i="15"/>
  <c r="I22" i="15" l="1"/>
  <c r="I21" i="15"/>
  <c r="AC8" i="650"/>
  <c r="AA5" i="647"/>
  <c r="AA157" i="647" s="1"/>
  <c r="U38" i="647"/>
  <c r="V33" i="647"/>
  <c r="X23" i="650"/>
  <c r="Y129" i="650"/>
  <c r="W127" i="647"/>
  <c r="Y140" i="650"/>
  <c r="W138" i="647"/>
  <c r="Y106" i="650"/>
  <c r="W104" i="647"/>
  <c r="Y130" i="650"/>
  <c r="W128" i="647"/>
  <c r="X41" i="650"/>
  <c r="V37" i="647"/>
  <c r="Y142" i="650"/>
  <c r="W140" i="647"/>
  <c r="Y77" i="650"/>
  <c r="W73" i="647"/>
  <c r="Y36" i="650"/>
  <c r="W32" i="647"/>
  <c r="Y107" i="650"/>
  <c r="W105" i="647"/>
  <c r="Y71" i="650"/>
  <c r="W67" i="647"/>
  <c r="X28" i="650"/>
  <c r="Y131" i="650"/>
  <c r="W129" i="647"/>
  <c r="X40" i="650"/>
  <c r="V36" i="647"/>
  <c r="Y108" i="650"/>
  <c r="W106" i="647"/>
  <c r="Y76" i="650"/>
  <c r="W72" i="647"/>
  <c r="Y112" i="650"/>
  <c r="W110" i="647"/>
  <c r="Y141" i="650"/>
  <c r="W139" i="647"/>
  <c r="Y81" i="650"/>
  <c r="W77" i="647"/>
  <c r="Y35" i="650"/>
  <c r="W31" i="647"/>
  <c r="Y113" i="650"/>
  <c r="W111" i="647"/>
  <c r="Y82" i="650"/>
  <c r="W78" i="647"/>
  <c r="Y72" i="650"/>
  <c r="W68" i="647"/>
  <c r="Y66" i="650"/>
  <c r="W62" i="647"/>
  <c r="Y56" i="650"/>
  <c r="W52" i="647"/>
  <c r="Y119" i="650"/>
  <c r="W117" i="647"/>
  <c r="X61" i="650"/>
  <c r="V57" i="647"/>
  <c r="Y101" i="650"/>
  <c r="W99" i="647"/>
  <c r="Y94" i="650"/>
  <c r="W92" i="647"/>
  <c r="Y96" i="650"/>
  <c r="W94" i="647"/>
  <c r="Y57" i="650"/>
  <c r="W53" i="647"/>
  <c r="Y67" i="650"/>
  <c r="W63" i="647"/>
  <c r="Y100" i="650"/>
  <c r="W98" i="647"/>
  <c r="X62" i="650"/>
  <c r="V58" i="647"/>
  <c r="Y118" i="650"/>
  <c r="W116" i="647"/>
  <c r="Y102" i="650"/>
  <c r="W100" i="647"/>
  <c r="Y95" i="650"/>
  <c r="W93" i="647"/>
  <c r="Y117" i="650"/>
  <c r="W115" i="647"/>
  <c r="Z205" i="650"/>
  <c r="AA206" i="650"/>
  <c r="AA205" i="650" s="1"/>
  <c r="AA155" i="650"/>
  <c r="AB156" i="650"/>
  <c r="W150" i="650"/>
  <c r="Y31" i="650"/>
  <c r="X148" i="650"/>
  <c r="X26" i="650"/>
  <c r="X29" i="650"/>
  <c r="X25" i="650"/>
  <c r="X24" i="650"/>
  <c r="X27" i="650"/>
  <c r="V152" i="650"/>
  <c r="W149" i="650"/>
  <c r="Y135" i="650"/>
  <c r="X133" i="647" s="1"/>
  <c r="Z53" i="650"/>
  <c r="Y85" i="650"/>
  <c r="Z137" i="650"/>
  <c r="Y145" i="650"/>
  <c r="Y151" i="650" s="1"/>
  <c r="Y52" i="650"/>
  <c r="X48" i="647" s="1"/>
  <c r="Y48" i="650"/>
  <c r="X44" i="647" s="1"/>
  <c r="Y136" i="650"/>
  <c r="X134" i="647" s="1"/>
  <c r="AE159" i="647"/>
  <c r="AF159" i="647" s="1"/>
  <c r="AX37" i="650"/>
  <c r="AX114" i="650"/>
  <c r="AX103" i="650"/>
  <c r="AX132" i="650"/>
  <c r="AX143" i="650"/>
  <c r="AX120" i="650"/>
  <c r="AX126" i="650"/>
  <c r="AX137" i="650"/>
  <c r="AX97" i="650"/>
  <c r="G1127" i="3"/>
  <c r="G1214" i="3" s="1"/>
  <c r="H52" i="5"/>
  <c r="H58" i="5" s="1"/>
  <c r="O12" i="20"/>
  <c r="D12" i="20"/>
  <c r="R46" i="20"/>
  <c r="AT677" i="651"/>
  <c r="AS677" i="651"/>
  <c r="AS678" i="651" s="1"/>
  <c r="O32" i="1"/>
  <c r="F31" i="1"/>
  <c r="B31" i="1" s="1"/>
  <c r="E31" i="1"/>
  <c r="S46" i="20"/>
  <c r="P12" i="20"/>
  <c r="P14" i="20" s="1"/>
  <c r="E12" i="20"/>
  <c r="T37" i="652"/>
  <c r="T41" i="652" s="1"/>
  <c r="I197" i="651"/>
  <c r="I166" i="651"/>
  <c r="I163" i="651"/>
  <c r="I169" i="651" s="1"/>
  <c r="I204" i="651"/>
  <c r="I113" i="651"/>
  <c r="I20" i="651"/>
  <c r="I116" i="651" s="1"/>
  <c r="G11" i="5"/>
  <c r="F371" i="3"/>
  <c r="F372" i="3"/>
  <c r="F366" i="3"/>
  <c r="F635" i="3"/>
  <c r="F364" i="3"/>
  <c r="F370" i="3"/>
  <c r="F636" i="3"/>
  <c r="H9" i="3"/>
  <c r="I9" i="3"/>
  <c r="H8" i="3"/>
  <c r="I8" i="3"/>
  <c r="F1253" i="6"/>
  <c r="G1237" i="696"/>
  <c r="G1244" i="696" s="1"/>
  <c r="G1247" i="696"/>
  <c r="G1237" i="712"/>
  <c r="G1244" i="712" s="1"/>
  <c r="G1247" i="712"/>
  <c r="G1247" i="701"/>
  <c r="G1237" i="701"/>
  <c r="G1244" i="701" s="1"/>
  <c r="G1237" i="691"/>
  <c r="G1244" i="691" s="1"/>
  <c r="G1247" i="691"/>
  <c r="G1237" i="709"/>
  <c r="G1244" i="709" s="1"/>
  <c r="G1247" i="709"/>
  <c r="G1247" i="698"/>
  <c r="G1237" i="698"/>
  <c r="G1244" i="698" s="1"/>
  <c r="G1237" i="704"/>
  <c r="G1244" i="704" s="1"/>
  <c r="G1247" i="704"/>
  <c r="G1247" i="705"/>
  <c r="G1237" i="705"/>
  <c r="G1244" i="705" s="1"/>
  <c r="G1247" i="695"/>
  <c r="G1237" i="695"/>
  <c r="G1244" i="695" s="1"/>
  <c r="G1247" i="694"/>
  <c r="G1237" i="694"/>
  <c r="G1244" i="694" s="1"/>
  <c r="G1237" i="697"/>
  <c r="G1244" i="697" s="1"/>
  <c r="G1247" i="697"/>
  <c r="G1237" i="708"/>
  <c r="G1244" i="708" s="1"/>
  <c r="G1247" i="708"/>
  <c r="G1237" i="703"/>
  <c r="G1244" i="703" s="1"/>
  <c r="G1247" i="703"/>
  <c r="G1247" i="693"/>
  <c r="G1237" i="693"/>
  <c r="G1244" i="693" s="1"/>
  <c r="G1237" i="692"/>
  <c r="G1244" i="692" s="1"/>
  <c r="G1247" i="692"/>
  <c r="G1237" i="702"/>
  <c r="G1244" i="702" s="1"/>
  <c r="G1247" i="702"/>
  <c r="G1226" i="707"/>
  <c r="G1223" i="707"/>
  <c r="G1285" i="671"/>
  <c r="G1275" i="671"/>
  <c r="G1282" i="671" s="1"/>
  <c r="Y33" i="6"/>
  <c r="Y34" i="6" s="1"/>
  <c r="M6" i="3"/>
  <c r="L22" i="14"/>
  <c r="J23" i="14" s="1"/>
  <c r="N263" i="650"/>
  <c r="O262" i="650"/>
  <c r="O269" i="650" s="1"/>
  <c r="N278" i="650"/>
  <c r="I211" i="15"/>
  <c r="K211" i="15" s="1"/>
  <c r="I15" i="15"/>
  <c r="K15" i="15" s="1"/>
  <c r="I317" i="15"/>
  <c r="K317" i="15" s="1"/>
  <c r="I17" i="15"/>
  <c r="K17" i="15" s="1"/>
  <c r="I24" i="15"/>
  <c r="K24" i="15" s="1"/>
  <c r="I172" i="15"/>
  <c r="K172" i="15" s="1"/>
  <c r="I330" i="15"/>
  <c r="K330" i="15" s="1"/>
  <c r="I141" i="15"/>
  <c r="I325" i="15"/>
  <c r="K325" i="15" s="1"/>
  <c r="I186" i="15"/>
  <c r="K186" i="15" s="1"/>
  <c r="I200" i="15"/>
  <c r="K200" i="15" s="1"/>
  <c r="I56" i="15"/>
  <c r="K56" i="15" s="1"/>
  <c r="I281" i="15"/>
  <c r="K281" i="15" s="1"/>
  <c r="I363" i="15"/>
  <c r="K363" i="15" s="1"/>
  <c r="I196" i="15"/>
  <c r="I69" i="15"/>
  <c r="K69" i="15" s="1"/>
  <c r="I177" i="15"/>
  <c r="I371" i="15"/>
  <c r="K371" i="15" s="1"/>
  <c r="I322" i="15"/>
  <c r="K322" i="15" s="1"/>
  <c r="I315" i="15"/>
  <c r="K315" i="15" s="1"/>
  <c r="I42" i="15"/>
  <c r="I357" i="15"/>
  <c r="K357" i="15" s="1"/>
  <c r="I223" i="15"/>
  <c r="K223" i="15" s="1"/>
  <c r="I44" i="15"/>
  <c r="K44" i="15" s="1"/>
  <c r="I328" i="15"/>
  <c r="K328" i="15" s="1"/>
  <c r="I105" i="15"/>
  <c r="K105" i="15" s="1"/>
  <c r="I19" i="15"/>
  <c r="K19" i="15" s="1"/>
  <c r="I370" i="15"/>
  <c r="K370" i="15" s="1"/>
  <c r="I314" i="15"/>
  <c r="K314" i="15" s="1"/>
  <c r="I279" i="15"/>
  <c r="K279" i="15" s="1"/>
  <c r="I159" i="15"/>
  <c r="I283" i="15"/>
  <c r="I154" i="15"/>
  <c r="K154" i="15" s="1"/>
  <c r="I297" i="15"/>
  <c r="K297" i="15" s="1"/>
  <c r="I181" i="15"/>
  <c r="K181" i="15" s="1"/>
  <c r="I301" i="15"/>
  <c r="I320" i="15"/>
  <c r="I100" i="15"/>
  <c r="K100" i="15" s="1"/>
  <c r="I252" i="15"/>
  <c r="K252" i="15" s="1"/>
  <c r="I47" i="15"/>
  <c r="K47" i="15" s="1"/>
  <c r="I228" i="15"/>
  <c r="K228" i="15" s="1"/>
  <c r="I333" i="15"/>
  <c r="K333" i="15" s="1"/>
  <c r="I46" i="15"/>
  <c r="K46" i="15" s="1"/>
  <c r="I254" i="15"/>
  <c r="K254" i="15" s="1"/>
  <c r="I179" i="15"/>
  <c r="K179" i="15" s="1"/>
  <c r="I287" i="15"/>
  <c r="K287" i="15" s="1"/>
  <c r="I168" i="15"/>
  <c r="I278" i="15"/>
  <c r="K278" i="15" s="1"/>
  <c r="I152" i="15"/>
  <c r="K152" i="15" s="1"/>
  <c r="I214" i="15"/>
  <c r="K214" i="15" s="1"/>
  <c r="I191" i="15"/>
  <c r="K191" i="15" s="1"/>
  <c r="I148" i="15"/>
  <c r="K148" i="15" s="1"/>
  <c r="I230" i="15"/>
  <c r="K230" i="15" s="1"/>
  <c r="I326" i="15"/>
  <c r="K326" i="15" s="1"/>
  <c r="I29" i="15"/>
  <c r="K29" i="15" s="1"/>
  <c r="I242" i="15"/>
  <c r="K242" i="15" s="1"/>
  <c r="I188" i="15"/>
  <c r="K188" i="15" s="1"/>
  <c r="I114" i="15"/>
  <c r="K114" i="15" s="1"/>
  <c r="I150" i="15"/>
  <c r="I184" i="15"/>
  <c r="K184" i="15" s="1"/>
  <c r="I157" i="15"/>
  <c r="K157" i="15" s="1"/>
  <c r="I338" i="15"/>
  <c r="K338" i="15" s="1"/>
  <c r="I173" i="15"/>
  <c r="K173" i="15" s="1"/>
  <c r="I146" i="15"/>
  <c r="K146" i="15" s="1"/>
  <c r="I78" i="15"/>
  <c r="K78" i="15" s="1"/>
  <c r="I367" i="15"/>
  <c r="K367" i="15" s="1"/>
  <c r="I85" i="15"/>
  <c r="K85" i="15" s="1"/>
  <c r="I245" i="15"/>
  <c r="K245" i="15" s="1"/>
  <c r="I74" i="15"/>
  <c r="K74" i="15" s="1"/>
  <c r="I220" i="15"/>
  <c r="K220" i="15" s="1"/>
  <c r="I112" i="15"/>
  <c r="K112" i="15" s="1"/>
  <c r="I110" i="15"/>
  <c r="K110" i="15" s="1"/>
  <c r="I82" i="15"/>
  <c r="K82" i="15" s="1"/>
  <c r="I349" i="15"/>
  <c r="K349" i="15" s="1"/>
  <c r="I319" i="15"/>
  <c r="I166" i="15"/>
  <c r="K166" i="15" s="1"/>
  <c r="I31" i="15"/>
  <c r="K31" i="15" s="1"/>
  <c r="I182" i="15"/>
  <c r="K182" i="15" s="1"/>
  <c r="I20" i="15"/>
  <c r="K20" i="15" s="1"/>
  <c r="I260" i="15"/>
  <c r="K260" i="15" s="1"/>
  <c r="I288" i="15"/>
  <c r="K288" i="15" s="1"/>
  <c r="I235" i="15"/>
  <c r="K235" i="15" s="1"/>
  <c r="I163" i="15"/>
  <c r="K163" i="15" s="1"/>
  <c r="I356" i="15"/>
  <c r="K356" i="15" s="1"/>
  <c r="I354" i="15"/>
  <c r="K354" i="15" s="1"/>
  <c r="I65" i="15"/>
  <c r="K65" i="15" s="1"/>
  <c r="I324" i="15"/>
  <c r="K324" i="15" s="1"/>
  <c r="I89" i="15"/>
  <c r="K89" i="15" s="1"/>
  <c r="I40" i="15"/>
  <c r="K40" i="15" s="1"/>
  <c r="I123" i="15"/>
  <c r="I26" i="15"/>
  <c r="K26" i="15" s="1"/>
  <c r="I67" i="15"/>
  <c r="I202" i="15"/>
  <c r="K202" i="15" s="1"/>
  <c r="I143" i="15"/>
  <c r="K143" i="15" s="1"/>
  <c r="I310" i="15"/>
  <c r="I256" i="15"/>
  <c r="I11" i="15"/>
  <c r="I76" i="15"/>
  <c r="K76" i="15" s="1"/>
  <c r="I127" i="15"/>
  <c r="K127" i="15" s="1"/>
  <c r="I269" i="15"/>
  <c r="K269" i="15" s="1"/>
  <c r="I274" i="15"/>
  <c r="I128" i="15"/>
  <c r="K128" i="15" s="1"/>
  <c r="I91" i="15"/>
  <c r="K91" i="15" s="1"/>
  <c r="I80" i="15"/>
  <c r="K80" i="15" s="1"/>
  <c r="I323" i="15"/>
  <c r="K323" i="15" s="1"/>
  <c r="I35" i="15"/>
  <c r="K35" i="15" s="1"/>
  <c r="I347" i="15"/>
  <c r="K347" i="15" s="1"/>
  <c r="I119" i="15"/>
  <c r="K119" i="15" s="1"/>
  <c r="I285" i="15"/>
  <c r="K285" i="15" s="1"/>
  <c r="I170" i="15"/>
  <c r="K170" i="15" s="1"/>
  <c r="I270" i="15"/>
  <c r="K270" i="15" s="1"/>
  <c r="I358" i="15"/>
  <c r="K358" i="15" s="1"/>
  <c r="I222" i="15"/>
  <c r="K222" i="15" s="1"/>
  <c r="I94" i="15"/>
  <c r="K94" i="15" s="1"/>
  <c r="I206" i="15"/>
  <c r="K206" i="15" s="1"/>
  <c r="I121" i="15"/>
  <c r="K121" i="15" s="1"/>
  <c r="I139" i="15"/>
  <c r="K139" i="15" s="1"/>
  <c r="I96" i="15"/>
  <c r="I204" i="15"/>
  <c r="K204" i="15" s="1"/>
  <c r="I49" i="15"/>
  <c r="I201" i="15"/>
  <c r="K201" i="15" s="1"/>
  <c r="I130" i="15"/>
  <c r="I272" i="15"/>
  <c r="K272" i="15" s="1"/>
  <c r="I233" i="15"/>
  <c r="K233" i="15" s="1"/>
  <c r="I243" i="15"/>
  <c r="K243" i="15" s="1"/>
  <c r="I299" i="15"/>
  <c r="K299" i="15" s="1"/>
  <c r="I362" i="15"/>
  <c r="K362" i="15" s="1"/>
  <c r="I98" i="15"/>
  <c r="K98" i="15" s="1"/>
  <c r="I229" i="15"/>
  <c r="K229" i="15" s="1"/>
  <c r="I353" i="15"/>
  <c r="K353" i="15" s="1"/>
  <c r="I132" i="15"/>
  <c r="I261" i="15"/>
  <c r="K261" i="15" s="1"/>
  <c r="I64" i="15"/>
  <c r="K64" i="15" s="1"/>
  <c r="I346" i="15"/>
  <c r="K346" i="15" s="1"/>
  <c r="I308" i="15"/>
  <c r="K308" i="15" s="1"/>
  <c r="I216" i="15"/>
  <c r="K216" i="15" s="1"/>
  <c r="I58" i="15"/>
  <c r="K58" i="15" s="1"/>
  <c r="I145" i="15"/>
  <c r="K145" i="15" s="1"/>
  <c r="I60" i="15"/>
  <c r="I53" i="15"/>
  <c r="K53" i="15" s="1"/>
  <c r="I231" i="15"/>
  <c r="K231" i="15" s="1"/>
  <c r="I116" i="15"/>
  <c r="K116" i="15" s="1"/>
  <c r="I71" i="15"/>
  <c r="K71" i="15" s="1"/>
  <c r="I251" i="15"/>
  <c r="K251" i="15" s="1"/>
  <c r="I28" i="15"/>
  <c r="K28" i="15" s="1"/>
  <c r="I296" i="15"/>
  <c r="K296" i="15" s="1"/>
  <c r="I109" i="15"/>
  <c r="K109" i="15" s="1"/>
  <c r="I247" i="15"/>
  <c r="I73" i="15"/>
  <c r="K73" i="15" s="1"/>
  <c r="I234" i="15"/>
  <c r="K234" i="15" s="1"/>
  <c r="I369" i="15"/>
  <c r="K369" i="15" s="1"/>
  <c r="I190" i="15"/>
  <c r="K190" i="15" s="1"/>
  <c r="I340" i="15"/>
  <c r="K340" i="15" s="1"/>
  <c r="I205" i="15"/>
  <c r="K205" i="15" s="1"/>
  <c r="I352" i="15"/>
  <c r="K352" i="15" s="1"/>
  <c r="I276" i="15"/>
  <c r="K276" i="15" s="1"/>
  <c r="I292" i="15"/>
  <c r="K292" i="15" s="1"/>
  <c r="I37" i="15"/>
  <c r="K37" i="15" s="1"/>
  <c r="I136" i="15"/>
  <c r="K136" i="15" s="1"/>
  <c r="I337" i="15"/>
  <c r="K337" i="15" s="1"/>
  <c r="I33" i="15"/>
  <c r="K33" i="15" s="1"/>
  <c r="I83" i="15"/>
  <c r="K83" i="15" s="1"/>
  <c r="I238" i="15"/>
  <c r="I134" i="15"/>
  <c r="K134" i="15" s="1"/>
  <c r="I342" i="15"/>
  <c r="K342" i="15" s="1"/>
  <c r="I103" i="15"/>
  <c r="I265" i="15"/>
  <c r="K265" i="15" s="1"/>
  <c r="I364" i="15"/>
  <c r="K364" i="15" s="1"/>
  <c r="I365" i="15"/>
  <c r="K365" i="15" s="1"/>
  <c r="I213" i="15"/>
  <c r="K213" i="15" s="1"/>
  <c r="I92" i="15"/>
  <c r="K92" i="15" s="1"/>
  <c r="I62" i="15"/>
  <c r="K62" i="15" s="1"/>
  <c r="I199" i="15"/>
  <c r="K199" i="15" s="1"/>
  <c r="I329" i="15"/>
  <c r="K329" i="15" s="1"/>
  <c r="I193" i="15"/>
  <c r="K193" i="15" s="1"/>
  <c r="I195" i="15"/>
  <c r="I55" i="15"/>
  <c r="K55" i="15" s="1"/>
  <c r="I175" i="15"/>
  <c r="K175" i="15" s="1"/>
  <c r="I107" i="15"/>
  <c r="K107" i="15" s="1"/>
  <c r="I51" i="15"/>
  <c r="K51" i="15" s="1"/>
  <c r="I125" i="15"/>
  <c r="K125" i="15" s="1"/>
  <c r="I38" i="15"/>
  <c r="K38" i="15" s="1"/>
  <c r="I209" i="15"/>
  <c r="K209" i="15" s="1"/>
  <c r="I101" i="15"/>
  <c r="K101" i="15" s="1"/>
  <c r="I137" i="15"/>
  <c r="K137" i="15" s="1"/>
  <c r="I263" i="15"/>
  <c r="K263" i="15" s="1"/>
  <c r="I218" i="15"/>
  <c r="K218" i="15" s="1"/>
  <c r="I155" i="15"/>
  <c r="K155" i="15" s="1"/>
  <c r="I164" i="15"/>
  <c r="K164" i="15" s="1"/>
  <c r="I87" i="15"/>
  <c r="I118" i="15"/>
  <c r="K118" i="15" s="1"/>
  <c r="I305" i="15"/>
  <c r="K305" i="15" s="1"/>
  <c r="I161" i="15"/>
  <c r="K161" i="15" s="1"/>
  <c r="I290" i="15"/>
  <c r="K290" i="15" s="1"/>
  <c r="I306" i="15"/>
  <c r="K306" i="15" s="1"/>
  <c r="I225" i="15"/>
  <c r="K225" i="15" s="1"/>
  <c r="AD8" i="650" l="1"/>
  <c r="AB5" i="647"/>
  <c r="AB157" i="647" s="1"/>
  <c r="Y28" i="650"/>
  <c r="Z82" i="650"/>
  <c r="X78" i="647"/>
  <c r="Z35" i="650"/>
  <c r="X31" i="647"/>
  <c r="Z141" i="650"/>
  <c r="X139" i="647"/>
  <c r="Z76" i="650"/>
  <c r="X72" i="647"/>
  <c r="Y40" i="650"/>
  <c r="W36" i="647"/>
  <c r="Z71" i="650"/>
  <c r="X67" i="647"/>
  <c r="Z36" i="650"/>
  <c r="X32" i="647"/>
  <c r="Z142" i="650"/>
  <c r="X140" i="647"/>
  <c r="Z130" i="650"/>
  <c r="X128" i="647"/>
  <c r="Z140" i="650"/>
  <c r="X138" i="647"/>
  <c r="Z72" i="650"/>
  <c r="X68" i="647"/>
  <c r="Z113" i="650"/>
  <c r="X111" i="647"/>
  <c r="Z81" i="650"/>
  <c r="X77" i="647"/>
  <c r="Z112" i="650"/>
  <c r="X110" i="647"/>
  <c r="Z108" i="650"/>
  <c r="X106" i="647"/>
  <c r="Z131" i="650"/>
  <c r="X129" i="647"/>
  <c r="Y27" i="650"/>
  <c r="W33" i="647"/>
  <c r="V38" i="647"/>
  <c r="Z107" i="650"/>
  <c r="X105" i="647"/>
  <c r="Z77" i="650"/>
  <c r="X73" i="647"/>
  <c r="Y41" i="650"/>
  <c r="W37" i="647"/>
  <c r="Z106" i="650"/>
  <c r="X104" i="647"/>
  <c r="Z129" i="650"/>
  <c r="X127" i="647"/>
  <c r="Y61" i="650"/>
  <c r="W57" i="647"/>
  <c r="Z117" i="650"/>
  <c r="X115" i="647"/>
  <c r="X149" i="650"/>
  <c r="Y62" i="650"/>
  <c r="W58" i="647"/>
  <c r="X150" i="650"/>
  <c r="Z95" i="650"/>
  <c r="X93" i="647"/>
  <c r="Z100" i="650"/>
  <c r="X98" i="647"/>
  <c r="Z94" i="650"/>
  <c r="X92" i="647"/>
  <c r="Z56" i="650"/>
  <c r="X52" i="647"/>
  <c r="Z118" i="650"/>
  <c r="X116" i="647"/>
  <c r="Z119" i="650"/>
  <c r="X117" i="647"/>
  <c r="Z57" i="650"/>
  <c r="X53" i="647"/>
  <c r="Z96" i="650"/>
  <c r="X94" i="647"/>
  <c r="Z102" i="650"/>
  <c r="X100" i="647"/>
  <c r="Z67" i="650"/>
  <c r="X63" i="647"/>
  <c r="Z101" i="650"/>
  <c r="X99" i="647"/>
  <c r="Z66" i="650"/>
  <c r="X62" i="647"/>
  <c r="W152" i="650"/>
  <c r="AB155" i="650"/>
  <c r="AC156" i="650"/>
  <c r="Y23" i="650"/>
  <c r="Y25" i="650"/>
  <c r="Y24" i="650"/>
  <c r="Y29" i="650"/>
  <c r="Y26" i="650"/>
  <c r="Z31" i="650"/>
  <c r="Y148" i="650"/>
  <c r="Z52" i="650"/>
  <c r="Y48" i="647" s="1"/>
  <c r="Z145" i="650"/>
  <c r="Z151" i="650" s="1"/>
  <c r="AA137" i="650"/>
  <c r="AA145" i="650" s="1"/>
  <c r="AA151" i="650" s="1"/>
  <c r="Z136" i="650"/>
  <c r="Y134" i="647" s="1"/>
  <c r="Z135" i="650"/>
  <c r="Y133" i="647" s="1"/>
  <c r="Z48" i="650"/>
  <c r="Y44" i="647" s="1"/>
  <c r="AA53" i="650"/>
  <c r="AA85" i="650" s="1"/>
  <c r="Z85" i="650"/>
  <c r="I251" i="651"/>
  <c r="I254" i="651" s="1"/>
  <c r="AX145" i="650"/>
  <c r="N6" i="3"/>
  <c r="O4" i="5" s="1"/>
  <c r="N4" i="5"/>
  <c r="G12" i="5"/>
  <c r="G21" i="5"/>
  <c r="I1" i="3"/>
  <c r="J5" i="5"/>
  <c r="G13" i="5"/>
  <c r="H1" i="3"/>
  <c r="H16" i="3" s="1"/>
  <c r="I5" i="5"/>
  <c r="I6" i="5"/>
  <c r="J6" i="5"/>
  <c r="K49" i="15"/>
  <c r="K67" i="15"/>
  <c r="K22" i="15"/>
  <c r="K103" i="15"/>
  <c r="K130" i="15"/>
  <c r="E32" i="1"/>
  <c r="F32" i="1"/>
  <c r="B32" i="1" s="1"/>
  <c r="K11" i="15"/>
  <c r="F639" i="3"/>
  <c r="F1219" i="3" s="1"/>
  <c r="G20" i="5"/>
  <c r="F1260" i="6"/>
  <c r="F69" i="2"/>
  <c r="G933" i="707"/>
  <c r="K96" i="15"/>
  <c r="K123" i="15"/>
  <c r="K159" i="15"/>
  <c r="K196" i="15"/>
  <c r="O263" i="650"/>
  <c r="P262" i="650"/>
  <c r="P269" i="650" s="1"/>
  <c r="O278" i="650"/>
  <c r="K195" i="15"/>
  <c r="K274" i="15"/>
  <c r="Y35" i="6"/>
  <c r="Y36" i="6" s="1"/>
  <c r="K247" i="15"/>
  <c r="K256" i="15"/>
  <c r="K320" i="15"/>
  <c r="K42" i="15"/>
  <c r="K177" i="15"/>
  <c r="K23" i="14"/>
  <c r="L23" i="14"/>
  <c r="J24" i="14" s="1"/>
  <c r="J9" i="3"/>
  <c r="K87" i="15"/>
  <c r="K238" i="15"/>
  <c r="K60" i="15"/>
  <c r="K132" i="15"/>
  <c r="K310" i="15"/>
  <c r="K319" i="15"/>
  <c r="K150" i="15"/>
  <c r="K168" i="15"/>
  <c r="K301" i="15"/>
  <c r="K283" i="15"/>
  <c r="K141" i="15"/>
  <c r="K22" i="14"/>
  <c r="AE8" i="650" l="1"/>
  <c r="AC5" i="647"/>
  <c r="AC157" i="647" s="1"/>
  <c r="Y149" i="650"/>
  <c r="Z28" i="650"/>
  <c r="W38" i="647"/>
  <c r="AA129" i="650"/>
  <c r="Z127" i="647" s="1"/>
  <c r="Y127" i="647"/>
  <c r="Z41" i="650"/>
  <c r="X37" i="647"/>
  <c r="AA107" i="650"/>
  <c r="Z105" i="647" s="1"/>
  <c r="Y105" i="647"/>
  <c r="X33" i="647"/>
  <c r="Y150" i="650"/>
  <c r="AA131" i="650"/>
  <c r="Z129" i="647" s="1"/>
  <c r="Y129" i="647"/>
  <c r="AA112" i="650"/>
  <c r="Z110" i="647" s="1"/>
  <c r="Y110" i="647"/>
  <c r="AA113" i="650"/>
  <c r="Z111" i="647" s="1"/>
  <c r="Y111" i="647"/>
  <c r="AA140" i="650"/>
  <c r="Z138" i="647" s="1"/>
  <c r="Y138" i="647"/>
  <c r="AA142" i="650"/>
  <c r="Z140" i="647" s="1"/>
  <c r="Y140" i="647"/>
  <c r="AA71" i="650"/>
  <c r="Z67" i="647" s="1"/>
  <c r="Y67" i="647"/>
  <c r="AA76" i="650"/>
  <c r="Z72" i="647" s="1"/>
  <c r="Y72" i="647"/>
  <c r="AA35" i="650"/>
  <c r="Z31" i="647" s="1"/>
  <c r="Y31" i="647"/>
  <c r="AA106" i="650"/>
  <c r="Z104" i="647" s="1"/>
  <c r="Y104" i="647"/>
  <c r="AA77" i="650"/>
  <c r="Z73" i="647" s="1"/>
  <c r="Y73" i="647"/>
  <c r="AA108" i="650"/>
  <c r="Z106" i="647" s="1"/>
  <c r="Y106" i="647"/>
  <c r="AA81" i="650"/>
  <c r="Z77" i="647" s="1"/>
  <c r="Y77" i="647"/>
  <c r="AA72" i="650"/>
  <c r="Z68" i="647" s="1"/>
  <c r="Y68" i="647"/>
  <c r="AA130" i="650"/>
  <c r="Z128" i="647" s="1"/>
  <c r="Y128" i="647"/>
  <c r="AA36" i="650"/>
  <c r="Z32" i="647" s="1"/>
  <c r="Y32" i="647"/>
  <c r="X36" i="647"/>
  <c r="Z40" i="650"/>
  <c r="AA141" i="650"/>
  <c r="Z139" i="647" s="1"/>
  <c r="Y139" i="647"/>
  <c r="AA82" i="650"/>
  <c r="Z78" i="647" s="1"/>
  <c r="Y78" i="647"/>
  <c r="X152" i="650"/>
  <c r="AA101" i="650"/>
  <c r="Z99" i="647" s="1"/>
  <c r="Y99" i="647"/>
  <c r="AA57" i="650"/>
  <c r="Z53" i="647" s="1"/>
  <c r="Y53" i="647"/>
  <c r="AA67" i="650"/>
  <c r="Z63" i="647" s="1"/>
  <c r="Y63" i="647"/>
  <c r="AA119" i="650"/>
  <c r="Z117" i="647" s="1"/>
  <c r="Y117" i="647"/>
  <c r="AA100" i="650"/>
  <c r="Z98" i="647" s="1"/>
  <c r="Y98" i="647"/>
  <c r="AA117" i="650"/>
  <c r="Z115" i="647" s="1"/>
  <c r="Y115" i="647"/>
  <c r="AA96" i="650"/>
  <c r="Z94" i="647" s="1"/>
  <c r="Y94" i="647"/>
  <c r="AA94" i="650"/>
  <c r="Z92" i="647" s="1"/>
  <c r="Y92" i="647"/>
  <c r="AA66" i="650"/>
  <c r="Z62" i="647" s="1"/>
  <c r="Y62" i="647"/>
  <c r="AA56" i="650"/>
  <c r="Z52" i="647" s="1"/>
  <c r="Y52" i="647"/>
  <c r="Z62" i="650"/>
  <c r="X58" i="647"/>
  <c r="AA102" i="650"/>
  <c r="Z100" i="647" s="1"/>
  <c r="Y100" i="647"/>
  <c r="AA118" i="650"/>
  <c r="Z116" i="647" s="1"/>
  <c r="Y116" i="647"/>
  <c r="AA95" i="650"/>
  <c r="Z93" i="647" s="1"/>
  <c r="Y93" i="647"/>
  <c r="Z61" i="650"/>
  <c r="X57" i="647"/>
  <c r="AC155" i="650"/>
  <c r="AD156" i="650"/>
  <c r="Z26" i="650"/>
  <c r="Z23" i="650"/>
  <c r="AA31" i="650"/>
  <c r="AA148" i="650" s="1"/>
  <c r="Z148" i="650"/>
  <c r="Z27" i="650"/>
  <c r="Z29" i="650"/>
  <c r="Z25" i="650"/>
  <c r="Z24" i="650"/>
  <c r="AA135" i="650"/>
  <c r="Z133" i="647" s="1"/>
  <c r="AA136" i="650"/>
  <c r="Z134" i="647" s="1"/>
  <c r="AA48" i="650"/>
  <c r="AA52" i="650"/>
  <c r="I201" i="3"/>
  <c r="I1083" i="3"/>
  <c r="I1123" i="3" s="1"/>
  <c r="I1210" i="3" s="1"/>
  <c r="I1240" i="3" s="1"/>
  <c r="I1081" i="3"/>
  <c r="I1121" i="3" s="1"/>
  <c r="I1078" i="3"/>
  <c r="I1084" i="3" s="1"/>
  <c r="I1124" i="3" s="1"/>
  <c r="I1211" i="3" s="1"/>
  <c r="I1082" i="3"/>
  <c r="I1122" i="3" s="1"/>
  <c r="I1209" i="3" s="1"/>
  <c r="I1239" i="3" s="1"/>
  <c r="H503" i="3"/>
  <c r="H1082" i="3"/>
  <c r="H1122" i="3" s="1"/>
  <c r="E1114" i="6" s="1"/>
  <c r="H1078" i="3"/>
  <c r="H1084" i="3" s="1"/>
  <c r="H1083" i="3"/>
  <c r="H1123" i="3" s="1"/>
  <c r="H1210" i="3" s="1"/>
  <c r="H1240" i="3" s="1"/>
  <c r="H1081" i="3"/>
  <c r="H1121" i="3" s="1"/>
  <c r="H1208" i="3" s="1"/>
  <c r="H1238" i="3" s="1"/>
  <c r="I202" i="3"/>
  <c r="I329" i="3"/>
  <c r="H110" i="3"/>
  <c r="H523" i="3"/>
  <c r="H548" i="3"/>
  <c r="H54" i="3"/>
  <c r="H210" i="3"/>
  <c r="H876" i="3"/>
  <c r="H1103" i="3"/>
  <c r="I55" i="5" s="1"/>
  <c r="H477" i="3"/>
  <c r="H784" i="3"/>
  <c r="H140" i="3"/>
  <c r="AU140" i="3" s="1"/>
  <c r="AW140" i="3" s="1"/>
  <c r="G140" i="6" s="1"/>
  <c r="AX140" i="3" s="1"/>
  <c r="H68" i="3"/>
  <c r="AU68" i="3" s="1"/>
  <c r="AW68" i="3" s="1"/>
  <c r="G68" i="6" s="1"/>
  <c r="AX68" i="3" s="1"/>
  <c r="H593" i="3"/>
  <c r="H462" i="3"/>
  <c r="H1150" i="3"/>
  <c r="H106" i="3"/>
  <c r="H1139" i="3"/>
  <c r="I62" i="5" s="1"/>
  <c r="H221" i="3"/>
  <c r="H146" i="3"/>
  <c r="H397" i="3"/>
  <c r="H226" i="3"/>
  <c r="AU226" i="3" s="1"/>
  <c r="AW226" i="3" s="1"/>
  <c r="G226" i="6" s="1"/>
  <c r="AX226" i="3" s="1"/>
  <c r="I323" i="3"/>
  <c r="I363" i="3" s="1"/>
  <c r="H243" i="3"/>
  <c r="I205" i="3"/>
  <c r="H239" i="3"/>
  <c r="H43" i="3"/>
  <c r="H392" i="3"/>
  <c r="H467" i="3"/>
  <c r="H507" i="3"/>
  <c r="H144" i="3"/>
  <c r="H721" i="3"/>
  <c r="H437" i="3"/>
  <c r="H162" i="3"/>
  <c r="H543" i="3"/>
  <c r="H676" i="3"/>
  <c r="H457" i="3"/>
  <c r="H79" i="3"/>
  <c r="H315" i="3"/>
  <c r="H108" i="3"/>
  <c r="H90" i="3"/>
  <c r="H701" i="3"/>
  <c r="H293" i="3"/>
  <c r="H442" i="3"/>
  <c r="H1196" i="3"/>
  <c r="H769" i="3"/>
  <c r="H182" i="3"/>
  <c r="H18" i="3"/>
  <c r="H848" i="3"/>
  <c r="E848" i="6" s="1"/>
  <c r="H822" i="3"/>
  <c r="H83" i="3"/>
  <c r="H347" i="3"/>
  <c r="AU347" i="3" s="1"/>
  <c r="AW347" i="3" s="1"/>
  <c r="G347" i="6" s="1"/>
  <c r="AX347" i="3" s="1"/>
  <c r="H219" i="3"/>
  <c r="H573" i="3"/>
  <c r="H115" i="3"/>
  <c r="H563" i="3"/>
  <c r="H538" i="3"/>
  <c r="H447" i="3"/>
  <c r="H117" i="3"/>
  <c r="H185" i="3"/>
  <c r="AU185" i="3" s="1"/>
  <c r="AW185" i="3" s="1"/>
  <c r="G185" i="6" s="1"/>
  <c r="AX185" i="3" s="1"/>
  <c r="H217" i="3"/>
  <c r="AU217" i="3" s="1"/>
  <c r="H173" i="3"/>
  <c r="H731" i="3"/>
  <c r="H197" i="3"/>
  <c r="I326" i="3"/>
  <c r="H1135" i="3"/>
  <c r="H613" i="3"/>
  <c r="H350" i="3"/>
  <c r="AU350" i="3" s="1"/>
  <c r="AU358" i="3" s="1"/>
  <c r="H598" i="3"/>
  <c r="H799" i="3"/>
  <c r="H736" i="3"/>
  <c r="H686" i="3"/>
  <c r="H38" i="3"/>
  <c r="H852" i="3"/>
  <c r="E852" i="6" s="1"/>
  <c r="H246" i="3"/>
  <c r="AU246" i="3" s="1"/>
  <c r="AW246" i="3" s="1"/>
  <c r="H252" i="3"/>
  <c r="H29" i="3"/>
  <c r="H101" i="3"/>
  <c r="H151" i="3"/>
  <c r="H178" i="3"/>
  <c r="H248" i="3"/>
  <c r="H872" i="3"/>
  <c r="E872" i="6" s="1"/>
  <c r="H75" i="3"/>
  <c r="H886" i="3"/>
  <c r="H568" i="3"/>
  <c r="H36" i="3"/>
  <c r="H482" i="3"/>
  <c r="H27" i="3"/>
  <c r="H716" i="3"/>
  <c r="H309" i="3"/>
  <c r="AU309" i="3" s="1"/>
  <c r="AW309" i="3" s="1"/>
  <c r="H452" i="3"/>
  <c r="H558" i="3"/>
  <c r="H533" i="3"/>
  <c r="H603" i="3"/>
  <c r="H706" i="3"/>
  <c r="H167" i="3"/>
  <c r="AU167" i="3" s="1"/>
  <c r="AW167" i="3" s="1"/>
  <c r="G167" i="6" s="1"/>
  <c r="E167" i="6" s="1"/>
  <c r="H212" i="3"/>
  <c r="H338" i="3"/>
  <c r="AU338" i="3" s="1"/>
  <c r="AW338" i="3" s="1"/>
  <c r="G338" i="6" s="1"/>
  <c r="AX338" i="3" s="1"/>
  <c r="H341" i="3"/>
  <c r="AU341" i="3" s="1"/>
  <c r="AW341" i="3" s="1"/>
  <c r="H158" i="3"/>
  <c r="AU158" i="3" s="1"/>
  <c r="AW158" i="3" s="1"/>
  <c r="H23" i="3"/>
  <c r="AU23" i="3" s="1"/>
  <c r="AW23" i="3" s="1"/>
  <c r="H382" i="3"/>
  <c r="H661" i="3"/>
  <c r="H297" i="3"/>
  <c r="H214" i="3"/>
  <c r="H578" i="3"/>
  <c r="H681" i="3"/>
  <c r="H656" i="3"/>
  <c r="H153" i="3"/>
  <c r="H779" i="3"/>
  <c r="H25" i="3"/>
  <c r="H277" i="3"/>
  <c r="H261" i="3"/>
  <c r="H119" i="3"/>
  <c r="H812" i="3"/>
  <c r="H65" i="3"/>
  <c r="H868" i="3"/>
  <c r="E868" i="6" s="1"/>
  <c r="H311" i="3"/>
  <c r="H321" i="3"/>
  <c r="H354" i="3"/>
  <c r="E354" i="6" s="1"/>
  <c r="H20" i="3"/>
  <c r="H176" i="3"/>
  <c r="AU176" i="3" s="1"/>
  <c r="AW176" i="3" s="1"/>
  <c r="G176" i="6" s="1"/>
  <c r="AX176" i="3" s="1"/>
  <c r="H497" i="3"/>
  <c r="H300" i="3"/>
  <c r="AU300" i="3" s="1"/>
  <c r="AW300" i="3" s="1"/>
  <c r="G300" i="6" s="1"/>
  <c r="AX300" i="3" s="1"/>
  <c r="H387" i="3"/>
  <c r="H1171" i="3"/>
  <c r="H726" i="3"/>
  <c r="H1178" i="3"/>
  <c r="H264" i="3"/>
  <c r="AU264" i="3" s="1"/>
  <c r="AW264" i="3" s="1"/>
  <c r="G264" i="6" s="1"/>
  <c r="AX264" i="3" s="1"/>
  <c r="H764" i="3"/>
  <c r="H255" i="3"/>
  <c r="AU255" i="3" s="1"/>
  <c r="AW255" i="3" s="1"/>
  <c r="G255" i="6" s="1"/>
  <c r="AX255" i="3" s="1"/>
  <c r="H81" i="3"/>
  <c r="H844" i="3"/>
  <c r="H492" i="3"/>
  <c r="H343" i="3"/>
  <c r="AU343" i="3" s="1"/>
  <c r="AW343" i="3" s="1"/>
  <c r="H131" i="3"/>
  <c r="AU131" i="3" s="1"/>
  <c r="AW131" i="3" s="1"/>
  <c r="H257" i="3"/>
  <c r="H553" i="3"/>
  <c r="H741" i="3"/>
  <c r="H47" i="3"/>
  <c r="H113" i="3"/>
  <c r="AU113" i="3" s="1"/>
  <c r="AW113" i="3" s="1"/>
  <c r="G113" i="6" s="1"/>
  <c r="AX113" i="3" s="1"/>
  <c r="H412" i="3"/>
  <c r="H774" i="3"/>
  <c r="H472" i="3"/>
  <c r="H666" i="3"/>
  <c r="H59" i="3"/>
  <c r="AU59" i="3" s="1"/>
  <c r="AW59" i="3" s="1"/>
  <c r="G59" i="6" s="1"/>
  <c r="AX59" i="3" s="1"/>
  <c r="H169" i="3"/>
  <c r="H133" i="3"/>
  <c r="H528" i="3"/>
  <c r="H1143" i="3"/>
  <c r="H86" i="3"/>
  <c r="AU86" i="3" s="1"/>
  <c r="AW86" i="3" s="1"/>
  <c r="G86" i="6" s="1"/>
  <c r="AX86" i="3" s="1"/>
  <c r="H92" i="3"/>
  <c r="H432" i="3"/>
  <c r="H1192" i="3"/>
  <c r="H142" i="3"/>
  <c r="H61" i="3"/>
  <c r="H160" i="3"/>
  <c r="I327" i="3"/>
  <c r="I368" i="3" s="1"/>
  <c r="I512" i="3" s="1"/>
  <c r="H749" i="3"/>
  <c r="E749" i="6" s="1"/>
  <c r="H884" i="3"/>
  <c r="H583" i="3"/>
  <c r="H887" i="3"/>
  <c r="E887" i="6" s="1"/>
  <c r="H95" i="3"/>
  <c r="AU95" i="3" s="1"/>
  <c r="AW95" i="3" s="1"/>
  <c r="G95" i="6" s="1"/>
  <c r="AX95" i="3" s="1"/>
  <c r="H608" i="3"/>
  <c r="H128" i="3"/>
  <c r="H137" i="3"/>
  <c r="H671" i="3"/>
  <c r="H187" i="3"/>
  <c r="H711" i="3"/>
  <c r="H417" i="3"/>
  <c r="H270" i="3"/>
  <c r="H155" i="3"/>
  <c r="H194" i="3"/>
  <c r="AU194" i="3" s="1"/>
  <c r="AW194" i="3" s="1"/>
  <c r="G194" i="6" s="1"/>
  <c r="I194" i="6" s="1"/>
  <c r="H34" i="3"/>
  <c r="H32" i="3"/>
  <c r="AU32" i="3" s="1"/>
  <c r="AW32" i="3" s="1"/>
  <c r="G32" i="6" s="1"/>
  <c r="AX32" i="3" s="1"/>
  <c r="H487" i="3"/>
  <c r="I206" i="3"/>
  <c r="I1138" i="3"/>
  <c r="I1139" i="3" s="1"/>
  <c r="I325" i="3"/>
  <c r="I365" i="3" s="1"/>
  <c r="I207" i="3"/>
  <c r="I833" i="3"/>
  <c r="I324" i="3"/>
  <c r="I331" i="3"/>
  <c r="I330" i="3"/>
  <c r="G16" i="5"/>
  <c r="H284" i="3"/>
  <c r="H320" i="3"/>
  <c r="H275" i="3"/>
  <c r="H124" i="3"/>
  <c r="H422" i="3"/>
  <c r="H407" i="3"/>
  <c r="H696" i="3"/>
  <c r="H1157" i="3"/>
  <c r="E1156" i="6" s="1"/>
  <c r="H502" i="3"/>
  <c r="H334" i="3"/>
  <c r="AU334" i="3" s="1"/>
  <c r="H56" i="3"/>
  <c r="H427" i="3"/>
  <c r="H164" i="3"/>
  <c r="H291" i="3"/>
  <c r="AU291" i="3" s="1"/>
  <c r="AW291" i="3" s="1"/>
  <c r="G291" i="6" s="1"/>
  <c r="AX291" i="3" s="1"/>
  <c r="H1162" i="3"/>
  <c r="H266" i="3"/>
  <c r="H1185" i="3"/>
  <c r="H904" i="3"/>
  <c r="E904" i="6" s="1"/>
  <c r="H189" i="3"/>
  <c r="H288" i="3"/>
  <c r="H126" i="3"/>
  <c r="H921" i="3"/>
  <c r="H282" i="3"/>
  <c r="AU282" i="3" s="1"/>
  <c r="AW282" i="3" s="1"/>
  <c r="G282" i="6" s="1"/>
  <c r="AX282" i="3" s="1"/>
  <c r="H122" i="3"/>
  <c r="AU122" i="3" s="1"/>
  <c r="AW122" i="3" s="1"/>
  <c r="G122" i="6" s="1"/>
  <c r="H840" i="3"/>
  <c r="H99" i="3"/>
  <c r="H750" i="3"/>
  <c r="H306" i="3"/>
  <c r="H180" i="3"/>
  <c r="H63" i="3"/>
  <c r="H52" i="3"/>
  <c r="H50" i="3"/>
  <c r="AU50" i="3" s="1"/>
  <c r="AW50" i="3" s="1"/>
  <c r="G50" i="6" s="1"/>
  <c r="E50" i="6" s="1"/>
  <c r="K6" i="5"/>
  <c r="G22" i="5"/>
  <c r="H302" i="3"/>
  <c r="H88" i="3"/>
  <c r="H196" i="3"/>
  <c r="H97" i="3"/>
  <c r="H864" i="3"/>
  <c r="H746" i="3"/>
  <c r="H827" i="3"/>
  <c r="H759" i="3"/>
  <c r="H649" i="3"/>
  <c r="H77" i="3"/>
  <c r="AU77" i="3" s="1"/>
  <c r="AW77" i="3" s="1"/>
  <c r="G77" i="6" s="1"/>
  <c r="AX77" i="3" s="1"/>
  <c r="H880" i="3"/>
  <c r="H860" i="3"/>
  <c r="H273" i="3"/>
  <c r="AU273" i="3" s="1"/>
  <c r="AW273" i="3" s="1"/>
  <c r="G273" i="6" s="1"/>
  <c r="AX273" i="3" s="1"/>
  <c r="H691" i="3"/>
  <c r="H45" i="3"/>
  <c r="H501" i="3"/>
  <c r="H402" i="3"/>
  <c r="H803" i="3"/>
  <c r="H41" i="3"/>
  <c r="AU41" i="3" s="1"/>
  <c r="AW41" i="3" s="1"/>
  <c r="G41" i="6" s="1"/>
  <c r="E41" i="6" s="1"/>
  <c r="H171" i="3"/>
  <c r="H588" i="3"/>
  <c r="H856" i="3"/>
  <c r="H149" i="3"/>
  <c r="AU149" i="3" s="1"/>
  <c r="AW149" i="3" s="1"/>
  <c r="G149" i="6" s="1"/>
  <c r="AX149" i="3" s="1"/>
  <c r="H135" i="3"/>
  <c r="H279" i="3"/>
  <c r="H191" i="3"/>
  <c r="H223" i="3"/>
  <c r="H1110" i="3"/>
  <c r="H286" i="3"/>
  <c r="H104" i="3"/>
  <c r="AU104" i="3" s="1"/>
  <c r="AW104" i="3" s="1"/>
  <c r="G104" i="6" s="1"/>
  <c r="AX104" i="3" s="1"/>
  <c r="J8" i="3"/>
  <c r="K5" i="5" s="1"/>
  <c r="G1230" i="707"/>
  <c r="G936" i="707"/>
  <c r="G939" i="707"/>
  <c r="G1232" i="707"/>
  <c r="G1238" i="707" s="1"/>
  <c r="Y37" i="6"/>
  <c r="Y38" i="6" s="1"/>
  <c r="W36" i="6"/>
  <c r="AB36" i="6" s="1"/>
  <c r="Q262" i="650"/>
  <c r="Q269" i="650" s="1"/>
  <c r="P263" i="650"/>
  <c r="P278" i="650"/>
  <c r="K24" i="14"/>
  <c r="L24" i="14"/>
  <c r="J25" i="14" s="1"/>
  <c r="O33" i="1"/>
  <c r="AF8" i="650" l="1"/>
  <c r="AD5" i="647"/>
  <c r="AD157" i="647" s="1"/>
  <c r="Y152" i="650"/>
  <c r="Z149" i="650"/>
  <c r="Z150" i="650"/>
  <c r="Y33" i="647"/>
  <c r="AA40" i="650"/>
  <c r="Z36" i="647" s="1"/>
  <c r="Y36" i="647"/>
  <c r="AA29" i="650"/>
  <c r="X38" i="647"/>
  <c r="Z33" i="647"/>
  <c r="AA41" i="650"/>
  <c r="Z37" i="647" s="1"/>
  <c r="Y37" i="647"/>
  <c r="AA61" i="650"/>
  <c r="Z57" i="647" s="1"/>
  <c r="Y57" i="647"/>
  <c r="AA62" i="650"/>
  <c r="Z58" i="647" s="1"/>
  <c r="Y58" i="647"/>
  <c r="Z44" i="647"/>
  <c r="Z48" i="647"/>
  <c r="I122" i="6"/>
  <c r="M122" i="6" s="1"/>
  <c r="Q122" i="6" s="1"/>
  <c r="G158" i="6"/>
  <c r="AX158" i="3" s="1"/>
  <c r="AD155" i="650"/>
  <c r="AE156" i="650"/>
  <c r="AA25" i="650"/>
  <c r="AA27" i="650"/>
  <c r="AA26" i="650"/>
  <c r="AA23" i="650"/>
  <c r="AA24" i="650"/>
  <c r="AA28" i="650"/>
  <c r="I364" i="3"/>
  <c r="J12" i="5" s="1"/>
  <c r="I366" i="3"/>
  <c r="J13" i="5" s="1"/>
  <c r="I635" i="3"/>
  <c r="J20" i="5" s="1"/>
  <c r="I1085" i="3"/>
  <c r="H1085" i="3"/>
  <c r="E1083" i="6"/>
  <c r="H230" i="3"/>
  <c r="J32" i="5"/>
  <c r="I68" i="5"/>
  <c r="I67" i="5"/>
  <c r="E1149" i="6"/>
  <c r="E86" i="6"/>
  <c r="I68" i="6"/>
  <c r="I370" i="3"/>
  <c r="AX194" i="3"/>
  <c r="E68" i="6"/>
  <c r="H271" i="3"/>
  <c r="AU236" i="3"/>
  <c r="I264" i="6"/>
  <c r="M264" i="6" s="1"/>
  <c r="Q264" i="6" s="1"/>
  <c r="E338" i="6"/>
  <c r="AW350" i="3"/>
  <c r="G350" i="6" s="1"/>
  <c r="AX350" i="3" s="1"/>
  <c r="I140" i="6"/>
  <c r="H358" i="3"/>
  <c r="H316" i="3"/>
  <c r="H111" i="3"/>
  <c r="E194" i="6"/>
  <c r="H348" i="3"/>
  <c r="H147" i="3"/>
  <c r="E176" i="6"/>
  <c r="E140" i="6"/>
  <c r="I86" i="6"/>
  <c r="H262" i="3"/>
  <c r="H229" i="3"/>
  <c r="E1115" i="6"/>
  <c r="E226" i="6"/>
  <c r="AX41" i="3"/>
  <c r="H57" i="3"/>
  <c r="E95" i="6"/>
  <c r="AU234" i="3"/>
  <c r="I372" i="3"/>
  <c r="I255" i="6"/>
  <c r="H156" i="3"/>
  <c r="H244" i="3"/>
  <c r="I226" i="6"/>
  <c r="N226" i="6" s="1"/>
  <c r="T226" i="6" s="1"/>
  <c r="J11" i="5"/>
  <c r="H21" i="3"/>
  <c r="H289" i="3"/>
  <c r="H359" i="3"/>
  <c r="E59" i="6"/>
  <c r="H353" i="3"/>
  <c r="H215" i="3"/>
  <c r="H298" i="3"/>
  <c r="H48" i="3"/>
  <c r="I63" i="5"/>
  <c r="I338" i="6"/>
  <c r="E347" i="6"/>
  <c r="AX50" i="3"/>
  <c r="I185" i="6"/>
  <c r="M185" i="6" s="1"/>
  <c r="Q185" i="6" s="1"/>
  <c r="H93" i="3"/>
  <c r="AU357" i="3"/>
  <c r="AU359" i="3"/>
  <c r="H253" i="3"/>
  <c r="I347" i="6"/>
  <c r="I176" i="6"/>
  <c r="E185" i="6"/>
  <c r="H280" i="3"/>
  <c r="H889" i="3"/>
  <c r="AX122" i="3"/>
  <c r="H833" i="3"/>
  <c r="E264" i="6"/>
  <c r="H1209" i="3"/>
  <c r="H1239" i="3" s="1"/>
  <c r="E1238" i="6" s="1"/>
  <c r="H805" i="3"/>
  <c r="I64" i="5"/>
  <c r="AU330" i="3"/>
  <c r="E77" i="6"/>
  <c r="I167" i="6"/>
  <c r="N167" i="6" s="1"/>
  <c r="T167" i="6" s="1"/>
  <c r="AW217" i="3"/>
  <c r="AW236" i="3" s="1"/>
  <c r="E1142" i="6"/>
  <c r="H236" i="3"/>
  <c r="H324" i="3"/>
  <c r="H30" i="3"/>
  <c r="H202" i="3"/>
  <c r="I59" i="6"/>
  <c r="M59" i="6" s="1"/>
  <c r="Q59" i="6" s="1"/>
  <c r="AU348" i="3"/>
  <c r="AX167" i="3"/>
  <c r="H1124" i="3"/>
  <c r="H1211" i="3" s="1"/>
  <c r="E1210" i="6" s="1"/>
  <c r="H357" i="3"/>
  <c r="I61" i="5"/>
  <c r="H138" i="3"/>
  <c r="H39" i="3"/>
  <c r="E149" i="6"/>
  <c r="E255" i="6"/>
  <c r="H231" i="3"/>
  <c r="AU353" i="3"/>
  <c r="I371" i="3"/>
  <c r="H84" i="3"/>
  <c r="H120" i="3"/>
  <c r="I636" i="3"/>
  <c r="E113" i="6"/>
  <c r="H913" i="3"/>
  <c r="H752" i="3"/>
  <c r="E122" i="6"/>
  <c r="I300" i="6"/>
  <c r="M300" i="6" s="1"/>
  <c r="Q300" i="6" s="1"/>
  <c r="AU206" i="3"/>
  <c r="H325" i="3"/>
  <c r="H365" i="3" s="1"/>
  <c r="I291" i="6"/>
  <c r="M291" i="6" s="1"/>
  <c r="Q291" i="6" s="1"/>
  <c r="I32" i="6"/>
  <c r="I1199" i="3"/>
  <c r="I1208" i="3" s="1"/>
  <c r="I1238" i="3" s="1"/>
  <c r="H174" i="3"/>
  <c r="H183" i="3"/>
  <c r="H165" i="3"/>
  <c r="H339" i="3"/>
  <c r="I113" i="6"/>
  <c r="M113" i="6" s="1"/>
  <c r="Q113" i="6" s="1"/>
  <c r="AU339" i="3"/>
  <c r="H323" i="3"/>
  <c r="E1088" i="6"/>
  <c r="H66" i="3"/>
  <c r="E300" i="6"/>
  <c r="I50" i="6"/>
  <c r="M50" i="6" s="1"/>
  <c r="Q50" i="6" s="1"/>
  <c r="E273" i="6"/>
  <c r="E32" i="6"/>
  <c r="H206" i="3"/>
  <c r="H330" i="3"/>
  <c r="H234" i="3"/>
  <c r="H307" i="3"/>
  <c r="AW334" i="3"/>
  <c r="G334" i="6" s="1"/>
  <c r="I149" i="6"/>
  <c r="I95" i="6"/>
  <c r="E1087" i="6"/>
  <c r="H192" i="3"/>
  <c r="H102" i="3"/>
  <c r="H200" i="3"/>
  <c r="I104" i="6"/>
  <c r="H205" i="3"/>
  <c r="H326" i="3"/>
  <c r="H509" i="3"/>
  <c r="E104" i="6"/>
  <c r="I273" i="6"/>
  <c r="N273" i="6" s="1"/>
  <c r="T273" i="6" s="1"/>
  <c r="H129" i="3"/>
  <c r="E282" i="6"/>
  <c r="I56" i="5"/>
  <c r="H224" i="3"/>
  <c r="I41" i="6"/>
  <c r="N41" i="6" s="1"/>
  <c r="T41" i="6" s="1"/>
  <c r="I282" i="6"/>
  <c r="N282" i="6" s="1"/>
  <c r="U282" i="6" s="1"/>
  <c r="I77" i="6"/>
  <c r="E291" i="6"/>
  <c r="AU331" i="3"/>
  <c r="E1161" i="6"/>
  <c r="I65" i="5"/>
  <c r="H201" i="3"/>
  <c r="I29" i="5"/>
  <c r="I14" i="5"/>
  <c r="H1222" i="3"/>
  <c r="E1221" i="6" s="1"/>
  <c r="I38" i="5"/>
  <c r="AU205" i="3"/>
  <c r="AU329" i="3"/>
  <c r="H331" i="3"/>
  <c r="H207" i="3"/>
  <c r="AU207" i="3"/>
  <c r="I1205" i="3"/>
  <c r="J62" i="5"/>
  <c r="H1205" i="3"/>
  <c r="E1204" i="6" s="1"/>
  <c r="E649" i="6"/>
  <c r="H329" i="3"/>
  <c r="I69" i="5"/>
  <c r="I15" i="5"/>
  <c r="F33" i="1"/>
  <c r="B33" i="1" s="1"/>
  <c r="E33" i="1"/>
  <c r="J1" i="3"/>
  <c r="G1247" i="707"/>
  <c r="G1237" i="707"/>
  <c r="G1244" i="707" s="1"/>
  <c r="AL213" i="4"/>
  <c r="AK215" i="650"/>
  <c r="AW348" i="3"/>
  <c r="G343" i="6"/>
  <c r="AX343" i="3" s="1"/>
  <c r="H7" i="657"/>
  <c r="H18" i="657" s="1"/>
  <c r="K9" i="3"/>
  <c r="G131" i="6"/>
  <c r="AW206" i="3"/>
  <c r="AW205" i="3"/>
  <c r="G23" i="6"/>
  <c r="AW207" i="3"/>
  <c r="K25" i="14"/>
  <c r="L25" i="14"/>
  <c r="J26" i="14" s="1"/>
  <c r="O6" i="3"/>
  <c r="P4" i="5" s="1"/>
  <c r="AJ215" i="650"/>
  <c r="AK213" i="4" s="1"/>
  <c r="O34" i="1"/>
  <c r="Q263" i="650"/>
  <c r="R262" i="650"/>
  <c r="R269" i="650" s="1"/>
  <c r="Q278" i="650"/>
  <c r="Y39" i="6"/>
  <c r="W38" i="6"/>
  <c r="AB38" i="6" s="1"/>
  <c r="AW330" i="3"/>
  <c r="G309" i="6"/>
  <c r="AX309" i="3" s="1"/>
  <c r="G341" i="6"/>
  <c r="AW357" i="3"/>
  <c r="N194" i="6"/>
  <c r="T194" i="6" s="1"/>
  <c r="M194" i="6"/>
  <c r="Q194" i="6" s="1"/>
  <c r="AW331" i="3"/>
  <c r="G246" i="6"/>
  <c r="AW329" i="3"/>
  <c r="AG8" i="650" l="1"/>
  <c r="AE5" i="647"/>
  <c r="AE157" i="647" s="1"/>
  <c r="Z152" i="650"/>
  <c r="AA149" i="650"/>
  <c r="Y38" i="647"/>
  <c r="Z38" i="647"/>
  <c r="N122" i="6"/>
  <c r="T122" i="6" s="1"/>
  <c r="AA150" i="650"/>
  <c r="AX131" i="3"/>
  <c r="G206" i="6"/>
  <c r="AX23" i="3"/>
  <c r="G205" i="6"/>
  <c r="AX205" i="3" s="1"/>
  <c r="AE155" i="650"/>
  <c r="AF156" i="650"/>
  <c r="J1078" i="3"/>
  <c r="J1084" i="3" s="1"/>
  <c r="J1124" i="3" s="1"/>
  <c r="J1211" i="3" s="1"/>
  <c r="J1083" i="3"/>
  <c r="J1123" i="3" s="1"/>
  <c r="J1210" i="3" s="1"/>
  <c r="J1240" i="3" s="1"/>
  <c r="J1082" i="3"/>
  <c r="J1122" i="3" s="1"/>
  <c r="J1209" i="3" s="1"/>
  <c r="J1239" i="3" s="1"/>
  <c r="M140" i="6"/>
  <c r="Q140" i="6" s="1"/>
  <c r="I1127" i="3"/>
  <c r="I1214" i="3" s="1"/>
  <c r="E752" i="6"/>
  <c r="I32" i="5"/>
  <c r="I33" i="5"/>
  <c r="I31" i="5"/>
  <c r="N68" i="6"/>
  <c r="T68" i="6" s="1"/>
  <c r="AW359" i="3"/>
  <c r="AW372" i="3" s="1"/>
  <c r="M68" i="6"/>
  <c r="Q68" i="6" s="1"/>
  <c r="N264" i="6"/>
  <c r="T264" i="6" s="1"/>
  <c r="M86" i="6"/>
  <c r="Q86" i="6" s="1"/>
  <c r="N113" i="6"/>
  <c r="T113" i="6" s="1"/>
  <c r="N86" i="6"/>
  <c r="T86" i="6" s="1"/>
  <c r="AW358" i="3"/>
  <c r="AW371" i="3" s="1"/>
  <c r="H355" i="3"/>
  <c r="M255" i="6"/>
  <c r="Q255" i="6" s="1"/>
  <c r="N140" i="6"/>
  <c r="T140" i="6" s="1"/>
  <c r="AU355" i="3"/>
  <c r="N255" i="6"/>
  <c r="T255" i="6" s="1"/>
  <c r="M95" i="6"/>
  <c r="Q95" i="6" s="1"/>
  <c r="N95" i="6"/>
  <c r="T95" i="6" s="1"/>
  <c r="N185" i="6"/>
  <c r="T185" i="6" s="1"/>
  <c r="N149" i="6"/>
  <c r="T149" i="6" s="1"/>
  <c r="N176" i="6"/>
  <c r="T176" i="6" s="1"/>
  <c r="J52" i="5"/>
  <c r="J58" i="5" s="1"/>
  <c r="M176" i="6"/>
  <c r="Q176" i="6" s="1"/>
  <c r="M226" i="6"/>
  <c r="Q226" i="6" s="1"/>
  <c r="AW353" i="3"/>
  <c r="E833" i="6"/>
  <c r="M41" i="6"/>
  <c r="Q41" i="6" s="1"/>
  <c r="AU371" i="3"/>
  <c r="N59" i="6"/>
  <c r="T59" i="6" s="1"/>
  <c r="I30" i="5"/>
  <c r="G217" i="6"/>
  <c r="AX217" i="3" s="1"/>
  <c r="N347" i="6"/>
  <c r="U347" i="6" s="1"/>
  <c r="U348" i="6" s="1"/>
  <c r="AW339" i="3"/>
  <c r="AW355" i="3" s="1"/>
  <c r="N300" i="6"/>
  <c r="U300" i="6" s="1"/>
  <c r="N32" i="6"/>
  <c r="T32" i="6" s="1"/>
  <c r="I639" i="3"/>
  <c r="I1219" i="3" s="1"/>
  <c r="AW234" i="3"/>
  <c r="AW370" i="3" s="1"/>
  <c r="M32" i="6"/>
  <c r="Q32" i="6" s="1"/>
  <c r="M167" i="6"/>
  <c r="Q167" i="6" s="1"/>
  <c r="H327" i="3"/>
  <c r="N338" i="6"/>
  <c r="U338" i="6" s="1"/>
  <c r="U339" i="6" s="1"/>
  <c r="N291" i="6"/>
  <c r="U291" i="6" s="1"/>
  <c r="U329" i="6" s="1"/>
  <c r="U370" i="6" s="1"/>
  <c r="J21" i="5"/>
  <c r="J22" i="5" s="1"/>
  <c r="H363" i="3"/>
  <c r="I11" i="5" s="1"/>
  <c r="M347" i="6"/>
  <c r="R347" i="6" s="1"/>
  <c r="R348" i="6" s="1"/>
  <c r="M338" i="6"/>
  <c r="R338" i="6" s="1"/>
  <c r="R339" i="6" s="1"/>
  <c r="H203" i="3"/>
  <c r="H232" i="3"/>
  <c r="H371" i="3"/>
  <c r="I158" i="6"/>
  <c r="N158" i="6" s="1"/>
  <c r="T158" i="6" s="1"/>
  <c r="E805" i="6"/>
  <c r="I37" i="5"/>
  <c r="M104" i="6"/>
  <c r="Q104" i="6" s="1"/>
  <c r="E158" i="6"/>
  <c r="H635" i="3"/>
  <c r="H636" i="3"/>
  <c r="N104" i="6"/>
  <c r="T104" i="6" s="1"/>
  <c r="J16" i="5"/>
  <c r="M149" i="6"/>
  <c r="Q149" i="6" s="1"/>
  <c r="N50" i="6"/>
  <c r="T50" i="6" s="1"/>
  <c r="AU372" i="3"/>
  <c r="H892" i="3"/>
  <c r="E892" i="6" s="1"/>
  <c r="H370" i="3"/>
  <c r="H372" i="3"/>
  <c r="H366" i="3"/>
  <c r="AU370" i="3"/>
  <c r="M273" i="6"/>
  <c r="Q273" i="6" s="1"/>
  <c r="H364" i="3"/>
  <c r="M77" i="6"/>
  <c r="Q77" i="6" s="1"/>
  <c r="N77" i="6"/>
  <c r="T77" i="6" s="1"/>
  <c r="M282" i="6"/>
  <c r="Q282" i="6" s="1"/>
  <c r="L6" i="5"/>
  <c r="O35" i="1"/>
  <c r="F34" i="1"/>
  <c r="B34" i="1" s="1"/>
  <c r="E34" i="1"/>
  <c r="K8" i="3"/>
  <c r="L5" i="5" s="1"/>
  <c r="J324" i="3"/>
  <c r="J201" i="3"/>
  <c r="J327" i="3"/>
  <c r="J368" i="3" s="1"/>
  <c r="J512" i="3" s="1"/>
  <c r="J331" i="3"/>
  <c r="J205" i="3"/>
  <c r="J326" i="3"/>
  <c r="J833" i="3"/>
  <c r="J329" i="3"/>
  <c r="J323" i="3"/>
  <c r="J363" i="3" s="1"/>
  <c r="J325" i="3"/>
  <c r="J365" i="3" s="1"/>
  <c r="J207" i="3"/>
  <c r="J330" i="3"/>
  <c r="J206" i="3"/>
  <c r="J202" i="3"/>
  <c r="H12" i="657"/>
  <c r="H19" i="657"/>
  <c r="H13" i="657"/>
  <c r="I246" i="6"/>
  <c r="G329" i="6"/>
  <c r="E329" i="6" s="1"/>
  <c r="E246" i="6"/>
  <c r="G331" i="6"/>
  <c r="E331" i="6" s="1"/>
  <c r="AX246" i="3"/>
  <c r="Y40" i="6"/>
  <c r="Y41" i="6" s="1"/>
  <c r="G207" i="6"/>
  <c r="AX207" i="3" s="1"/>
  <c r="E23" i="6"/>
  <c r="I23" i="6"/>
  <c r="G348" i="6"/>
  <c r="E348" i="6" s="1"/>
  <c r="E343" i="6"/>
  <c r="I343" i="6"/>
  <c r="E341" i="6"/>
  <c r="G359" i="6"/>
  <c r="E359" i="6" s="1"/>
  <c r="I341" i="6"/>
  <c r="G357" i="6"/>
  <c r="E357" i="6" s="1"/>
  <c r="R263" i="650"/>
  <c r="T262" i="650"/>
  <c r="R278" i="650"/>
  <c r="P6" i="3"/>
  <c r="Q4" i="5" s="1"/>
  <c r="G353" i="6"/>
  <c r="E353" i="6" s="1"/>
  <c r="I334" i="6"/>
  <c r="E334" i="6"/>
  <c r="G339" i="6"/>
  <c r="L26" i="14"/>
  <c r="J27" i="14" s="1"/>
  <c r="K26" i="14"/>
  <c r="E131" i="6"/>
  <c r="I131" i="6"/>
  <c r="AX341" i="3"/>
  <c r="E309" i="6"/>
  <c r="G330" i="6"/>
  <c r="E330" i="6" s="1"/>
  <c r="I309" i="6"/>
  <c r="AX334" i="3"/>
  <c r="G5" i="20"/>
  <c r="E350" i="6"/>
  <c r="I350" i="6"/>
  <c r="G358" i="6"/>
  <c r="E358" i="6" s="1"/>
  <c r="AF5" i="647" l="1"/>
  <c r="AF157" i="647" s="1"/>
  <c r="AJ8" i="650"/>
  <c r="AH8" i="650"/>
  <c r="AK8" i="650"/>
  <c r="AL8" i="650" s="1"/>
  <c r="AA152" i="650"/>
  <c r="W32" i="6"/>
  <c r="AB32" i="6" s="1"/>
  <c r="AF155" i="650"/>
  <c r="AG156" i="650"/>
  <c r="AG155" i="650" s="1"/>
  <c r="V263" i="650"/>
  <c r="W263" i="650" s="1"/>
  <c r="X263" i="650" s="1"/>
  <c r="Y263" i="650" s="1"/>
  <c r="Z263" i="650" s="1"/>
  <c r="AA263" i="650" s="1"/>
  <c r="AB263" i="650" s="1"/>
  <c r="AC263" i="650" s="1"/>
  <c r="AD263" i="650" s="1"/>
  <c r="AE263" i="650" s="1"/>
  <c r="AF263" i="650" s="1"/>
  <c r="AG263" i="650" s="1"/>
  <c r="AK263" i="650" s="1"/>
  <c r="AL263" i="650" s="1"/>
  <c r="AM263" i="650" s="1"/>
  <c r="AN263" i="650" s="1"/>
  <c r="AO263" i="650" s="1"/>
  <c r="AP263" i="650" s="1"/>
  <c r="AQ263" i="650" s="1"/>
  <c r="AR263" i="650" s="1"/>
  <c r="AS263" i="650" s="1"/>
  <c r="AT263" i="650" s="1"/>
  <c r="AU263" i="650" s="1"/>
  <c r="AV263" i="650" s="1"/>
  <c r="AW263" i="650" s="1"/>
  <c r="I13" i="5"/>
  <c r="H1127" i="3"/>
  <c r="H1214" i="3" s="1"/>
  <c r="I34" i="5"/>
  <c r="I12" i="5"/>
  <c r="AX339" i="3"/>
  <c r="I52" i="5"/>
  <c r="I58" i="5" s="1"/>
  <c r="E217" i="6"/>
  <c r="I217" i="6"/>
  <c r="M217" i="6" s="1"/>
  <c r="R355" i="6"/>
  <c r="G236" i="6"/>
  <c r="E236" i="6" s="1"/>
  <c r="H368" i="3"/>
  <c r="H512" i="3" s="1"/>
  <c r="U355" i="6"/>
  <c r="G234" i="6"/>
  <c r="E234" i="6" s="1"/>
  <c r="M158" i="6"/>
  <c r="Q158" i="6" s="1"/>
  <c r="I20" i="5"/>
  <c r="H639" i="3"/>
  <c r="H1219" i="3" s="1"/>
  <c r="I21" i="5"/>
  <c r="H1220" i="3"/>
  <c r="K32" i="5"/>
  <c r="K11" i="5"/>
  <c r="F35" i="1"/>
  <c r="E35" i="1"/>
  <c r="J372" i="3"/>
  <c r="J370" i="3"/>
  <c r="J364" i="3"/>
  <c r="J635" i="3"/>
  <c r="J636" i="3"/>
  <c r="K1" i="3"/>
  <c r="J366" i="3"/>
  <c r="J371" i="3"/>
  <c r="L8" i="3"/>
  <c r="M5" i="5" s="1"/>
  <c r="AL226" i="4"/>
  <c r="AK228" i="650"/>
  <c r="AX359" i="3"/>
  <c r="AX331" i="3"/>
  <c r="AX330" i="3"/>
  <c r="AX348" i="3"/>
  <c r="E830" i="6"/>
  <c r="M309" i="6"/>
  <c r="N309" i="6"/>
  <c r="I330" i="6"/>
  <c r="G355" i="6"/>
  <c r="E355" i="6" s="1"/>
  <c r="E339" i="6"/>
  <c r="E207" i="6"/>
  <c r="I206" i="6"/>
  <c r="M131" i="6"/>
  <c r="N131" i="6"/>
  <c r="Q6" i="3"/>
  <c r="R4" i="5" s="1"/>
  <c r="E205" i="6"/>
  <c r="Y42" i="6"/>
  <c r="Y43" i="6" s="1"/>
  <c r="W41" i="6"/>
  <c r="AB41" i="6" s="1"/>
  <c r="AJ228" i="650"/>
  <c r="AK226" i="4" s="1"/>
  <c r="G17" i="20"/>
  <c r="G371" i="6"/>
  <c r="E371" i="6" s="1"/>
  <c r="E206" i="6"/>
  <c r="L27" i="14"/>
  <c r="J28" i="14" s="1"/>
  <c r="I339" i="6"/>
  <c r="I353" i="6"/>
  <c r="I359" i="6"/>
  <c r="N341" i="6"/>
  <c r="I357" i="6"/>
  <c r="M341" i="6"/>
  <c r="AX206" i="3"/>
  <c r="M23" i="6"/>
  <c r="I207" i="6"/>
  <c r="I205" i="6"/>
  <c r="N23" i="6"/>
  <c r="AX353" i="3"/>
  <c r="AX357" i="3"/>
  <c r="N246" i="6"/>
  <c r="I331" i="6"/>
  <c r="I329" i="6"/>
  <c r="M246" i="6"/>
  <c r="AX329" i="3"/>
  <c r="M350" i="6"/>
  <c r="N350" i="6"/>
  <c r="I358" i="6"/>
  <c r="AX358" i="3"/>
  <c r="T263" i="650"/>
  <c r="T269" i="650"/>
  <c r="T278" i="650" s="1"/>
  <c r="I348" i="6"/>
  <c r="AM8" i="650" l="1"/>
  <c r="AG5" i="647"/>
  <c r="AG157" i="647" s="1"/>
  <c r="B35" i="1"/>
  <c r="G7" i="595"/>
  <c r="K197" i="3"/>
  <c r="K200" i="3" s="1"/>
  <c r="K1078" i="3"/>
  <c r="K1084" i="3" s="1"/>
  <c r="K1124" i="3" s="1"/>
  <c r="K1211" i="3" s="1"/>
  <c r="K1081" i="3"/>
  <c r="K1082" i="3"/>
  <c r="K1122" i="3" s="1"/>
  <c r="K1209" i="3" s="1"/>
  <c r="K1239" i="3" s="1"/>
  <c r="K1083" i="3"/>
  <c r="K1123" i="3" s="1"/>
  <c r="K1210" i="3" s="1"/>
  <c r="K1240" i="3" s="1"/>
  <c r="H22" i="1"/>
  <c r="I236" i="6"/>
  <c r="I16" i="5"/>
  <c r="G370" i="6"/>
  <c r="E370" i="6" s="1"/>
  <c r="I234" i="6"/>
  <c r="N217" i="6"/>
  <c r="N236" i="6" s="1"/>
  <c r="G372" i="6"/>
  <c r="E372" i="6" s="1"/>
  <c r="AX236" i="3"/>
  <c r="AX234" i="3"/>
  <c r="I22" i="5"/>
  <c r="H923" i="3"/>
  <c r="K13" i="5"/>
  <c r="K21" i="5"/>
  <c r="K20" i="5"/>
  <c r="K12" i="5"/>
  <c r="L22" i="1"/>
  <c r="AJ227" i="650"/>
  <c r="K816" i="3"/>
  <c r="K831" i="3" s="1"/>
  <c r="J639" i="3"/>
  <c r="J1219" i="3" s="1"/>
  <c r="K330" i="3"/>
  <c r="K324" i="3"/>
  <c r="K201" i="3"/>
  <c r="K815" i="3"/>
  <c r="K325" i="3"/>
  <c r="K365" i="3" s="1"/>
  <c r="K331" i="3"/>
  <c r="K205" i="3"/>
  <c r="K206" i="3"/>
  <c r="K207" i="3"/>
  <c r="K326" i="3"/>
  <c r="K329" i="3"/>
  <c r="K202" i="3"/>
  <c r="K321" i="3"/>
  <c r="K327" i="3" s="1"/>
  <c r="L9" i="3"/>
  <c r="L1" i="3"/>
  <c r="M8" i="3"/>
  <c r="N5" i="5" s="1"/>
  <c r="I209" i="6"/>
  <c r="AX371" i="3"/>
  <c r="AL221" i="4"/>
  <c r="AK223" i="650"/>
  <c r="AX355" i="3"/>
  <c r="Q350" i="6"/>
  <c r="Q358" i="6" s="1"/>
  <c r="M358" i="6"/>
  <c r="O36" i="1"/>
  <c r="M359" i="6"/>
  <c r="M357" i="6"/>
  <c r="Q341" i="6"/>
  <c r="K27" i="14"/>
  <c r="I371" i="6"/>
  <c r="N330" i="6"/>
  <c r="U309" i="6"/>
  <c r="I355" i="6"/>
  <c r="AJ223" i="650"/>
  <c r="AK221" i="4" s="1"/>
  <c r="J22" i="1"/>
  <c r="Y44" i="6"/>
  <c r="Y45" i="6" s="1"/>
  <c r="R6" i="3"/>
  <c r="S6" i="3" s="1"/>
  <c r="Q309" i="6"/>
  <c r="Q330" i="6" s="1"/>
  <c r="M330" i="6"/>
  <c r="M9" i="3"/>
  <c r="N359" i="6"/>
  <c r="T341" i="6"/>
  <c r="N357" i="6"/>
  <c r="T131" i="6"/>
  <c r="T206" i="6" s="1"/>
  <c r="N206" i="6"/>
  <c r="M236" i="6"/>
  <c r="M234" i="6"/>
  <c r="Q217" i="6"/>
  <c r="N358" i="6"/>
  <c r="T350" i="6"/>
  <c r="T358" i="6" s="1"/>
  <c r="M329" i="6"/>
  <c r="M331" i="6"/>
  <c r="Q246" i="6"/>
  <c r="N329" i="6"/>
  <c r="N331" i="6"/>
  <c r="T246" i="6"/>
  <c r="T23" i="6"/>
  <c r="N205" i="6"/>
  <c r="N207" i="6"/>
  <c r="Q23" i="6"/>
  <c r="M205" i="6"/>
  <c r="M207" i="6"/>
  <c r="K28" i="14"/>
  <c r="L28" i="14"/>
  <c r="J29" i="14" s="1"/>
  <c r="Q131" i="6"/>
  <c r="Q206" i="6" s="1"/>
  <c r="M206" i="6"/>
  <c r="AN8" i="650" l="1"/>
  <c r="AH5" i="647"/>
  <c r="AH157" i="647" s="1"/>
  <c r="K203" i="3"/>
  <c r="K368" i="3" s="1"/>
  <c r="K512" i="3" s="1"/>
  <c r="K1085" i="3"/>
  <c r="L1083" i="3"/>
  <c r="L1123" i="3" s="1"/>
  <c r="L1210" i="3" s="1"/>
  <c r="L1240" i="3" s="1"/>
  <c r="L1081" i="3"/>
  <c r="L1082" i="3"/>
  <c r="L1122" i="3" s="1"/>
  <c r="L1209" i="3" s="1"/>
  <c r="L1239" i="3" s="1"/>
  <c r="L1078" i="3"/>
  <c r="L1084" i="3" s="1"/>
  <c r="L1124" i="3" s="1"/>
  <c r="L1211" i="3" s="1"/>
  <c r="S4" i="5"/>
  <c r="I372" i="6"/>
  <c r="N234" i="6"/>
  <c r="N370" i="6" s="1"/>
  <c r="I39" i="5"/>
  <c r="I40" i="5" s="1"/>
  <c r="I43" i="5" s="1"/>
  <c r="I46" i="5" s="1"/>
  <c r="T217" i="6"/>
  <c r="T236" i="6" s="1"/>
  <c r="AX370" i="3"/>
  <c r="I370" i="6"/>
  <c r="AX372" i="3"/>
  <c r="H933" i="3"/>
  <c r="H936" i="3" s="1"/>
  <c r="H939" i="3" s="1"/>
  <c r="E939" i="6" s="1"/>
  <c r="H1223" i="3"/>
  <c r="H1227" i="3" s="1"/>
  <c r="H1229" i="3" s="1"/>
  <c r="H1234" i="3" s="1"/>
  <c r="K16" i="5"/>
  <c r="M6" i="5"/>
  <c r="K22" i="5"/>
  <c r="N6" i="5"/>
  <c r="F22" i="1"/>
  <c r="L29" i="12" s="1"/>
  <c r="L30" i="12" s="1"/>
  <c r="E36" i="1"/>
  <c r="F36" i="1"/>
  <c r="B36" i="1" s="1"/>
  <c r="K370" i="3"/>
  <c r="K366" i="3"/>
  <c r="K371" i="3"/>
  <c r="K323" i="3"/>
  <c r="K363" i="3" s="1"/>
  <c r="K372" i="3"/>
  <c r="M1" i="3"/>
  <c r="K635" i="3"/>
  <c r="K364" i="3"/>
  <c r="L326" i="3"/>
  <c r="L206" i="3"/>
  <c r="L207" i="3"/>
  <c r="L205" i="3"/>
  <c r="L325" i="3"/>
  <c r="L365" i="3" s="1"/>
  <c r="L330" i="3"/>
  <c r="L327" i="3"/>
  <c r="L368" i="3" s="1"/>
  <c r="L512" i="3" s="1"/>
  <c r="L331" i="3"/>
  <c r="L201" i="3"/>
  <c r="L202" i="3"/>
  <c r="L324" i="3"/>
  <c r="L323" i="3"/>
  <c r="L363" i="3" s="1"/>
  <c r="L329" i="3"/>
  <c r="K830" i="3"/>
  <c r="E815" i="6"/>
  <c r="K817" i="3"/>
  <c r="K833" i="3" s="1"/>
  <c r="K636" i="3"/>
  <c r="K1121" i="3"/>
  <c r="K1208" i="3" s="1"/>
  <c r="K1238" i="3" s="1"/>
  <c r="AK227" i="650"/>
  <c r="AL225" i="4"/>
  <c r="AJ237" i="650"/>
  <c r="M371" i="6"/>
  <c r="AL212" i="4"/>
  <c r="AK214" i="650"/>
  <c r="AL153" i="4"/>
  <c r="AK155" i="650"/>
  <c r="Q371" i="6"/>
  <c r="N372" i="6"/>
  <c r="M370" i="6"/>
  <c r="T205" i="6"/>
  <c r="T207" i="6"/>
  <c r="N371" i="6"/>
  <c r="T359" i="6"/>
  <c r="T357" i="6"/>
  <c r="U330" i="6"/>
  <c r="U371" i="6" s="1"/>
  <c r="U331" i="6"/>
  <c r="U372" i="6" s="1"/>
  <c r="F43" i="50"/>
  <c r="D46" i="50" s="1"/>
  <c r="M4" i="6" s="1"/>
  <c r="Q207" i="6"/>
  <c r="Q205" i="6"/>
  <c r="W23" i="6"/>
  <c r="AB23" i="6" s="1"/>
  <c r="Q329" i="6"/>
  <c r="Q331" i="6"/>
  <c r="T371" i="6"/>
  <c r="Y46" i="6"/>
  <c r="Y47" i="6" s="1"/>
  <c r="W45" i="6"/>
  <c r="AB45" i="6" s="1"/>
  <c r="AK156" i="650"/>
  <c r="AL156" i="650" s="1"/>
  <c r="AJ155" i="650"/>
  <c r="O37" i="1"/>
  <c r="T329" i="6"/>
  <c r="T331" i="6"/>
  <c r="Q234" i="6"/>
  <c r="Q236" i="6"/>
  <c r="Q357" i="6"/>
  <c r="Q359" i="6"/>
  <c r="L29" i="14"/>
  <c r="J30" i="14" s="1"/>
  <c r="K29" i="14"/>
  <c r="M372" i="6"/>
  <c r="AJ214" i="650"/>
  <c r="AK212" i="4" s="1"/>
  <c r="AO8" i="650" l="1"/>
  <c r="AI5" i="647"/>
  <c r="AI157" i="647" s="1"/>
  <c r="L1085" i="3"/>
  <c r="M1078" i="3"/>
  <c r="M1084" i="3" s="1"/>
  <c r="M1124" i="3" s="1"/>
  <c r="M1211" i="3" s="1"/>
  <c r="M1081" i="3"/>
  <c r="M1082" i="3"/>
  <c r="M1122" i="3" s="1"/>
  <c r="M1209" i="3" s="1"/>
  <c r="M1239" i="3" s="1"/>
  <c r="M1083" i="3"/>
  <c r="M1123" i="3" s="1"/>
  <c r="M1210" i="3" s="1"/>
  <c r="M1240" i="3" s="1"/>
  <c r="T234" i="6"/>
  <c r="T370" i="6" s="1"/>
  <c r="I70" i="5"/>
  <c r="I71" i="5" s="1"/>
  <c r="I74" i="5" s="1"/>
  <c r="E1233" i="6"/>
  <c r="H1244" i="3"/>
  <c r="E1243" i="6" s="1"/>
  <c r="H1241" i="3"/>
  <c r="L21" i="5"/>
  <c r="L13" i="5"/>
  <c r="L32" i="5"/>
  <c r="L34" i="5" s="1"/>
  <c r="L11" i="5"/>
  <c r="L12" i="5"/>
  <c r="L52" i="5"/>
  <c r="L58" i="5" s="1"/>
  <c r="M11" i="5"/>
  <c r="L20" i="5"/>
  <c r="F37" i="1"/>
  <c r="B37" i="1" s="1"/>
  <c r="E37" i="1"/>
  <c r="L371" i="3"/>
  <c r="L366" i="3"/>
  <c r="L370" i="3"/>
  <c r="L372" i="3"/>
  <c r="L636" i="3"/>
  <c r="K892" i="3"/>
  <c r="K1220" i="3" s="1"/>
  <c r="L1121" i="3"/>
  <c r="L1208" i="3" s="1"/>
  <c r="L1238" i="3" s="1"/>
  <c r="K639" i="3"/>
  <c r="M206" i="3"/>
  <c r="M207" i="3"/>
  <c r="M330" i="3"/>
  <c r="M201" i="3"/>
  <c r="M329" i="3"/>
  <c r="M325" i="3"/>
  <c r="M365" i="3" s="1"/>
  <c r="M327" i="3"/>
  <c r="M368" i="3" s="1"/>
  <c r="M512" i="3" s="1"/>
  <c r="M323" i="3"/>
  <c r="M363" i="3" s="1"/>
  <c r="M331" i="3"/>
  <c r="M205" i="3"/>
  <c r="M326" i="3"/>
  <c r="M324" i="3"/>
  <c r="M202" i="3"/>
  <c r="N8" i="3"/>
  <c r="O5" i="5" s="1"/>
  <c r="L635" i="3"/>
  <c r="L364" i="3"/>
  <c r="K1127" i="3"/>
  <c r="K1214" i="3" s="1"/>
  <c r="AL155" i="650"/>
  <c r="AM156" i="650"/>
  <c r="AK160" i="650"/>
  <c r="AL160" i="650" s="1"/>
  <c r="AM160" i="650" s="1"/>
  <c r="AN160" i="650" s="1"/>
  <c r="AO160" i="650" s="1"/>
  <c r="AP160" i="650" s="1"/>
  <c r="AQ160" i="650" s="1"/>
  <c r="AR160" i="650" s="1"/>
  <c r="AS160" i="650" s="1"/>
  <c r="AT160" i="650" s="1"/>
  <c r="AU160" i="650" s="1"/>
  <c r="AV160" i="650" s="1"/>
  <c r="AW160" i="650" s="1"/>
  <c r="AJ160" i="650"/>
  <c r="AK158" i="4" s="1"/>
  <c r="AL158" i="4"/>
  <c r="AJ238" i="650"/>
  <c r="AK235" i="4"/>
  <c r="AL235" i="4"/>
  <c r="AK237" i="650"/>
  <c r="AK229" i="650"/>
  <c r="AJ229" i="650"/>
  <c r="AK225" i="4"/>
  <c r="N29" i="12"/>
  <c r="N30" i="12" s="1"/>
  <c r="AK209" i="650"/>
  <c r="AL207" i="4"/>
  <c r="AJ209" i="650"/>
  <c r="E46" i="50"/>
  <c r="N4" i="6" s="1"/>
  <c r="AJ156" i="650"/>
  <c r="AK153" i="4"/>
  <c r="O38" i="1"/>
  <c r="Y48" i="6"/>
  <c r="W47" i="6"/>
  <c r="AB47" i="6" s="1"/>
  <c r="Q372" i="6"/>
  <c r="G10" i="594"/>
  <c r="K30" i="14"/>
  <c r="L30" i="14"/>
  <c r="J31" i="14" s="1"/>
  <c r="Q370" i="6"/>
  <c r="T372" i="6"/>
  <c r="AP8" i="650" l="1"/>
  <c r="AJ5" i="647"/>
  <c r="AJ157" i="647" s="1"/>
  <c r="G31" i="594"/>
  <c r="G15" i="594"/>
  <c r="G14" i="594"/>
  <c r="G18" i="594"/>
  <c r="G16" i="594"/>
  <c r="M1085" i="3"/>
  <c r="L22" i="5"/>
  <c r="L16" i="5"/>
  <c r="M13" i="5"/>
  <c r="M52" i="5"/>
  <c r="M58" i="5" s="1"/>
  <c r="N11" i="5"/>
  <c r="M12" i="5"/>
  <c r="M21" i="5"/>
  <c r="M20" i="5"/>
  <c r="F38" i="1"/>
  <c r="B38" i="1" s="1"/>
  <c r="E38" i="1"/>
  <c r="I793" i="3"/>
  <c r="I788" i="3"/>
  <c r="I783" i="3"/>
  <c r="I803" i="3" s="1"/>
  <c r="I792" i="3"/>
  <c r="I782" i="3"/>
  <c r="I787" i="3"/>
  <c r="M636" i="3"/>
  <c r="M370" i="3"/>
  <c r="M371" i="3"/>
  <c r="M366" i="3"/>
  <c r="L1127" i="3"/>
  <c r="L1214" i="3" s="1"/>
  <c r="N1" i="3"/>
  <c r="K923" i="3"/>
  <c r="K1219" i="3"/>
  <c r="L639" i="3"/>
  <c r="L1219" i="3" s="1"/>
  <c r="M635" i="3"/>
  <c r="N9" i="3"/>
  <c r="M1121" i="3"/>
  <c r="M1208" i="3" s="1"/>
  <c r="M1238" i="3" s="1"/>
  <c r="M364" i="3"/>
  <c r="O8" i="3"/>
  <c r="P5" i="5" s="1"/>
  <c r="M372" i="3"/>
  <c r="AN156" i="650"/>
  <c r="AM155" i="650"/>
  <c r="M783" i="3"/>
  <c r="M803" i="3" s="1"/>
  <c r="AK162" i="650"/>
  <c r="AL162" i="650" s="1"/>
  <c r="AM162" i="650" s="1"/>
  <c r="AN162" i="650" s="1"/>
  <c r="AO162" i="650" s="1"/>
  <c r="AP162" i="650" s="1"/>
  <c r="AQ162" i="650" s="1"/>
  <c r="AR162" i="650" s="1"/>
  <c r="AS162" i="650" s="1"/>
  <c r="AT162" i="650" s="1"/>
  <c r="AU162" i="650" s="1"/>
  <c r="AV162" i="650" s="1"/>
  <c r="AW162" i="650" s="1"/>
  <c r="AJ162" i="650"/>
  <c r="AK160" i="4" s="1"/>
  <c r="AL160" i="4"/>
  <c r="AL159" i="4"/>
  <c r="AK161" i="650"/>
  <c r="AL161" i="650" s="1"/>
  <c r="AM161" i="650" s="1"/>
  <c r="AN161" i="650" s="1"/>
  <c r="AO161" i="650" s="1"/>
  <c r="AP161" i="650" s="1"/>
  <c r="AQ161" i="650" s="1"/>
  <c r="AR161" i="650" s="1"/>
  <c r="AS161" i="650" s="1"/>
  <c r="AT161" i="650" s="1"/>
  <c r="AU161" i="650" s="1"/>
  <c r="AV161" i="650" s="1"/>
  <c r="AW161" i="650" s="1"/>
  <c r="AJ161" i="650"/>
  <c r="AK159" i="4" s="1"/>
  <c r="E783" i="3"/>
  <c r="E793" i="3"/>
  <c r="AK238" i="650"/>
  <c r="AI238" i="650"/>
  <c r="N334" i="6"/>
  <c r="T334" i="6" s="1"/>
  <c r="M788" i="3"/>
  <c r="F783" i="3"/>
  <c r="F788" i="3"/>
  <c r="E788" i="3"/>
  <c r="N343" i="6"/>
  <c r="N348" i="6" s="1"/>
  <c r="J793" i="3"/>
  <c r="N1155" i="6"/>
  <c r="N1156" i="6" s="1"/>
  <c r="J788" i="3"/>
  <c r="J783" i="3"/>
  <c r="J803" i="3" s="1"/>
  <c r="M793" i="3"/>
  <c r="F46" i="50"/>
  <c r="F793" i="3"/>
  <c r="AK207" i="4"/>
  <c r="AJ210" i="650"/>
  <c r="AK210" i="650"/>
  <c r="AL220" i="4"/>
  <c r="AK222" i="650"/>
  <c r="AL219" i="4"/>
  <c r="AK221" i="650"/>
  <c r="AJ221" i="650"/>
  <c r="AK219" i="4" s="1"/>
  <c r="AJ222" i="650"/>
  <c r="AK220" i="4" s="1"/>
  <c r="K31" i="14"/>
  <c r="L31" i="14"/>
  <c r="J32" i="14" s="1"/>
  <c r="O39" i="1"/>
  <c r="O40" i="1" s="1"/>
  <c r="M792" i="3"/>
  <c r="J792" i="3"/>
  <c r="J782" i="3"/>
  <c r="E787" i="3"/>
  <c r="M782" i="3"/>
  <c r="E782" i="3"/>
  <c r="F782" i="3"/>
  <c r="E792" i="3"/>
  <c r="F792" i="3"/>
  <c r="M1155" i="6"/>
  <c r="F787" i="3"/>
  <c r="J787" i="3"/>
  <c r="M343" i="6"/>
  <c r="M334" i="6"/>
  <c r="M787" i="3"/>
  <c r="Y49" i="6"/>
  <c r="Y50" i="6" s="1"/>
  <c r="L6" i="42"/>
  <c r="P9" i="3"/>
  <c r="AQ8" i="650" l="1"/>
  <c r="AK5" i="647"/>
  <c r="AK157" i="647" s="1"/>
  <c r="N792" i="3"/>
  <c r="N1078" i="3"/>
  <c r="N1084" i="3" s="1"/>
  <c r="N1124" i="3" s="1"/>
  <c r="N1211" i="3" s="1"/>
  <c r="N1081" i="3"/>
  <c r="N1083" i="3"/>
  <c r="N1123" i="3" s="1"/>
  <c r="N1210" i="3" s="1"/>
  <c r="N1240" i="3" s="1"/>
  <c r="N1082" i="3"/>
  <c r="N1122" i="3" s="1"/>
  <c r="N1209" i="3" s="1"/>
  <c r="N1239" i="3" s="1"/>
  <c r="M22" i="5"/>
  <c r="Q6" i="5"/>
  <c r="N12" i="5"/>
  <c r="N21" i="5"/>
  <c r="L39" i="5"/>
  <c r="L40" i="5" s="1"/>
  <c r="L43" i="5" s="1"/>
  <c r="L46" i="5" s="1"/>
  <c r="N52" i="5"/>
  <c r="N58" i="5" s="1"/>
  <c r="O6" i="5"/>
  <c r="M16" i="5"/>
  <c r="N13" i="5"/>
  <c r="N20" i="5"/>
  <c r="F39" i="1"/>
  <c r="I5" i="667" s="1"/>
  <c r="E39" i="1"/>
  <c r="I789" i="3"/>
  <c r="I802" i="3"/>
  <c r="I784" i="3"/>
  <c r="I794" i="3"/>
  <c r="N782" i="3"/>
  <c r="O9" i="3"/>
  <c r="M639" i="3"/>
  <c r="M1219" i="3" s="1"/>
  <c r="M1127" i="3"/>
  <c r="M1214" i="3" s="1"/>
  <c r="O1" i="3"/>
  <c r="K1223" i="3"/>
  <c r="K1227" i="3" s="1"/>
  <c r="K1229" i="3" s="1"/>
  <c r="K1234" i="3" s="1"/>
  <c r="K933" i="3"/>
  <c r="K936" i="3" s="1"/>
  <c r="K939" i="3" s="1"/>
  <c r="N330" i="3"/>
  <c r="N323" i="3"/>
  <c r="N783" i="3" s="1"/>
  <c r="N803" i="3" s="1"/>
  <c r="N331" i="3"/>
  <c r="N205" i="3"/>
  <c r="N327" i="3"/>
  <c r="N368" i="3" s="1"/>
  <c r="N512" i="3" s="1"/>
  <c r="N329" i="3"/>
  <c r="N202" i="3"/>
  <c r="N326" i="3"/>
  <c r="N324" i="3"/>
  <c r="N206" i="3"/>
  <c r="N207" i="3"/>
  <c r="N325" i="3"/>
  <c r="N365" i="3" s="1"/>
  <c r="N201" i="3"/>
  <c r="N793" i="3"/>
  <c r="N788" i="3"/>
  <c r="P8" i="3"/>
  <c r="Q5" i="5" s="1"/>
  <c r="AO156" i="650"/>
  <c r="AN155" i="650"/>
  <c r="F803" i="3"/>
  <c r="AK246" i="650"/>
  <c r="M794" i="3"/>
  <c r="N339" i="6"/>
  <c r="N355" i="6" s="1"/>
  <c r="E784" i="3"/>
  <c r="E794" i="3"/>
  <c r="T343" i="6"/>
  <c r="T348" i="6" s="1"/>
  <c r="M789" i="3"/>
  <c r="T1155" i="6"/>
  <c r="T1216" i="6" s="1"/>
  <c r="E789" i="3"/>
  <c r="J789" i="3"/>
  <c r="N353" i="6"/>
  <c r="J794" i="3"/>
  <c r="L12" i="42"/>
  <c r="M339" i="6"/>
  <c r="Q334" i="6"/>
  <c r="M353" i="6"/>
  <c r="M802" i="3"/>
  <c r="M784" i="3"/>
  <c r="H6" i="137"/>
  <c r="H16" i="137" s="1"/>
  <c r="L32" i="14"/>
  <c r="J33" i="14" s="1"/>
  <c r="Q343" i="6"/>
  <c r="Q348" i="6" s="1"/>
  <c r="M348" i="6"/>
  <c r="F789" i="3"/>
  <c r="F794" i="3"/>
  <c r="J784" i="3"/>
  <c r="J802" i="3"/>
  <c r="T339" i="6"/>
  <c r="Y51" i="6"/>
  <c r="Y52" i="6" s="1"/>
  <c r="W50" i="6"/>
  <c r="AB50" i="6" s="1"/>
  <c r="M1156" i="6"/>
  <c r="Q1155" i="6"/>
  <c r="F802" i="3"/>
  <c r="F784" i="3"/>
  <c r="Q9" i="3"/>
  <c r="I27" i="667" l="1"/>
  <c r="I30" i="667"/>
  <c r="I6" i="667"/>
  <c r="I7" i="667"/>
  <c r="I8" i="667"/>
  <c r="I19" i="667"/>
  <c r="I12" i="667"/>
  <c r="I20" i="667"/>
  <c r="I13" i="667"/>
  <c r="I28" i="667"/>
  <c r="I17" i="667"/>
  <c r="I18" i="667"/>
  <c r="I9" i="667"/>
  <c r="I22" i="667"/>
  <c r="I16" i="667"/>
  <c r="B39" i="1"/>
  <c r="R9" i="3" s="1"/>
  <c r="AR8" i="650"/>
  <c r="AL5" i="647"/>
  <c r="AL157" i="647" s="1"/>
  <c r="N794" i="3"/>
  <c r="N1085" i="3"/>
  <c r="O1081" i="3"/>
  <c r="O1082" i="3"/>
  <c r="O1122" i="3" s="1"/>
  <c r="O1209" i="3" s="1"/>
  <c r="O1239" i="3" s="1"/>
  <c r="O1078" i="3"/>
  <c r="O1084" i="3" s="1"/>
  <c r="O1124" i="3" s="1"/>
  <c r="O1211" i="3" s="1"/>
  <c r="O1083" i="3"/>
  <c r="O1123" i="3" s="1"/>
  <c r="O1210" i="3" s="1"/>
  <c r="O1240" i="3" s="1"/>
  <c r="N16" i="5"/>
  <c r="N22" i="5"/>
  <c r="R6" i="5"/>
  <c r="P6" i="5"/>
  <c r="L70" i="5"/>
  <c r="L71" i="5" s="1"/>
  <c r="L74" i="5" s="1"/>
  <c r="I805" i="3"/>
  <c r="N372" i="3"/>
  <c r="N366" i="3"/>
  <c r="N371" i="3"/>
  <c r="N784" i="3"/>
  <c r="N787" i="3"/>
  <c r="N370" i="3"/>
  <c r="N636" i="3"/>
  <c r="O202" i="3"/>
  <c r="O792" i="3"/>
  <c r="O324" i="3"/>
  <c r="O788" i="3"/>
  <c r="O329" i="3"/>
  <c r="O205" i="3"/>
  <c r="O206" i="3"/>
  <c r="O325" i="3"/>
  <c r="O365" i="3" s="1"/>
  <c r="O782" i="3"/>
  <c r="O331" i="3"/>
  <c r="O207" i="3"/>
  <c r="O326" i="3"/>
  <c r="O327" i="3"/>
  <c r="O368" i="3" s="1"/>
  <c r="O512" i="3" s="1"/>
  <c r="O793" i="3"/>
  <c r="O330" i="3"/>
  <c r="O201" i="3"/>
  <c r="O323" i="3"/>
  <c r="N364" i="3"/>
  <c r="N635" i="3"/>
  <c r="Q8" i="3"/>
  <c r="R5" i="5" s="1"/>
  <c r="P1" i="3"/>
  <c r="K1241" i="3"/>
  <c r="K1244" i="3"/>
  <c r="N1121" i="3"/>
  <c r="N1208" i="3" s="1"/>
  <c r="N1238" i="3" s="1"/>
  <c r="N363" i="3"/>
  <c r="AP156" i="650"/>
  <c r="AO155" i="650"/>
  <c r="T6" i="3"/>
  <c r="AL157" i="4"/>
  <c r="AK159" i="650"/>
  <c r="AL159" i="650" s="1"/>
  <c r="AM159" i="650" s="1"/>
  <c r="AN159" i="650" s="1"/>
  <c r="AO159" i="650" s="1"/>
  <c r="AP159" i="650" s="1"/>
  <c r="AQ159" i="650" s="1"/>
  <c r="AR159" i="650" s="1"/>
  <c r="AS159" i="650" s="1"/>
  <c r="AT159" i="650" s="1"/>
  <c r="AU159" i="650" s="1"/>
  <c r="AV159" i="650" s="1"/>
  <c r="AW159" i="650" s="1"/>
  <c r="AJ159" i="650"/>
  <c r="AK127" i="650"/>
  <c r="AK69" i="650"/>
  <c r="AK98" i="650"/>
  <c r="T355" i="6"/>
  <c r="T353" i="6"/>
  <c r="T1156" i="6"/>
  <c r="M805" i="3"/>
  <c r="J805" i="3"/>
  <c r="AL211" i="4"/>
  <c r="AK213" i="650"/>
  <c r="AJ213" i="650"/>
  <c r="AK220" i="650"/>
  <c r="AJ220" i="650"/>
  <c r="AL218" i="4"/>
  <c r="AL214" i="4"/>
  <c r="AJ216" i="650"/>
  <c r="AK216" i="650"/>
  <c r="Y53" i="6"/>
  <c r="K32" i="14"/>
  <c r="F805" i="3"/>
  <c r="H17" i="137"/>
  <c r="H20" i="137"/>
  <c r="H12" i="137"/>
  <c r="H14" i="137"/>
  <c r="H13" i="137"/>
  <c r="H22" i="137"/>
  <c r="H11" i="137"/>
  <c r="H15" i="137"/>
  <c r="Q339" i="6"/>
  <c r="Q355" i="6" s="1"/>
  <c r="Q353" i="6"/>
  <c r="Q1156" i="6"/>
  <c r="K33" i="14"/>
  <c r="L33" i="14"/>
  <c r="J34" i="14" s="1"/>
  <c r="M355" i="6"/>
  <c r="AS8" i="650" l="1"/>
  <c r="AM5" i="647"/>
  <c r="AM157" i="647" s="1"/>
  <c r="P1082" i="3"/>
  <c r="P1122" i="3" s="1"/>
  <c r="P1209" i="3" s="1"/>
  <c r="P1239" i="3" s="1"/>
  <c r="P1083" i="3"/>
  <c r="P1123" i="3" s="1"/>
  <c r="P1210" i="3" s="1"/>
  <c r="P1240" i="3" s="1"/>
  <c r="P1078" i="3"/>
  <c r="P1084" i="3" s="1"/>
  <c r="P1124" i="3" s="1"/>
  <c r="P1211" i="3" s="1"/>
  <c r="P1081" i="3"/>
  <c r="O1085" i="3"/>
  <c r="S6" i="5"/>
  <c r="O21" i="5"/>
  <c r="N31" i="5"/>
  <c r="O20" i="5"/>
  <c r="O11" i="5"/>
  <c r="O13" i="5"/>
  <c r="O12" i="5"/>
  <c r="O52" i="5"/>
  <c r="O58" i="5" s="1"/>
  <c r="K31" i="5"/>
  <c r="K34" i="5" s="1"/>
  <c r="I892" i="3"/>
  <c r="I1220" i="3" s="1"/>
  <c r="J31" i="5"/>
  <c r="J34" i="5" s="1"/>
  <c r="O366" i="3"/>
  <c r="O794" i="3"/>
  <c r="O636" i="3"/>
  <c r="Q1" i="3"/>
  <c r="P326" i="3"/>
  <c r="P331" i="3"/>
  <c r="P327" i="3"/>
  <c r="P368" i="3" s="1"/>
  <c r="P512" i="3" s="1"/>
  <c r="P792" i="3"/>
  <c r="P329" i="3"/>
  <c r="P201" i="3"/>
  <c r="P323" i="3"/>
  <c r="P783" i="3" s="1"/>
  <c r="P803" i="3" s="1"/>
  <c r="P206" i="3"/>
  <c r="P205" i="3"/>
  <c r="P330" i="3"/>
  <c r="P202" i="3"/>
  <c r="P324" i="3"/>
  <c r="P325" i="3"/>
  <c r="P365" i="3" s="1"/>
  <c r="P782" i="3"/>
  <c r="P788" i="3"/>
  <c r="P207" i="3"/>
  <c r="P793" i="3"/>
  <c r="O1121" i="3"/>
  <c r="O1208" i="3" s="1"/>
  <c r="O1238" i="3" s="1"/>
  <c r="O364" i="3"/>
  <c r="O635" i="3"/>
  <c r="N1127" i="3"/>
  <c r="N1214" i="3" s="1"/>
  <c r="O371" i="3"/>
  <c r="O787" i="3"/>
  <c r="O789" i="3" s="1"/>
  <c r="O370" i="3"/>
  <c r="N639" i="3"/>
  <c r="N1219" i="3" s="1"/>
  <c r="R8" i="3"/>
  <c r="S5" i="5" s="1"/>
  <c r="O783" i="3"/>
  <c r="O803" i="3" s="1"/>
  <c r="O363" i="3"/>
  <c r="O372" i="3"/>
  <c r="N789" i="3"/>
  <c r="N805" i="3" s="1"/>
  <c r="N802" i="3"/>
  <c r="AQ156" i="650"/>
  <c r="AP155" i="650"/>
  <c r="U6" i="3"/>
  <c r="AK163" i="650"/>
  <c r="AI163" i="650"/>
  <c r="AK164" i="650" s="1"/>
  <c r="AK157" i="4"/>
  <c r="AJ163" i="650"/>
  <c r="J892" i="3"/>
  <c r="J923" i="3" s="1"/>
  <c r="AK214" i="4"/>
  <c r="AK218" i="4"/>
  <c r="AJ224" i="650"/>
  <c r="AK211" i="4"/>
  <c r="AJ217" i="650"/>
  <c r="F892" i="3"/>
  <c r="G31" i="5"/>
  <c r="Y54" i="6"/>
  <c r="W53" i="6"/>
  <c r="AB53" i="6" s="1"/>
  <c r="L34" i="14"/>
  <c r="J35" i="14" s="1"/>
  <c r="K34" i="14"/>
  <c r="AT8" i="650" l="1"/>
  <c r="AN5" i="647"/>
  <c r="AN157" i="647" s="1"/>
  <c r="P1085" i="3"/>
  <c r="Q1083" i="3"/>
  <c r="Q1123" i="3" s="1"/>
  <c r="Q1210" i="3" s="1"/>
  <c r="Q1240" i="3" s="1"/>
  <c r="Q1078" i="3"/>
  <c r="Q1084" i="3" s="1"/>
  <c r="Q1124" i="3" s="1"/>
  <c r="Q1211" i="3" s="1"/>
  <c r="Q1081" i="3"/>
  <c r="Q1082" i="3"/>
  <c r="O22" i="5"/>
  <c r="O16" i="5"/>
  <c r="P11" i="5"/>
  <c r="P21" i="5"/>
  <c r="P13" i="5"/>
  <c r="K39" i="5"/>
  <c r="K40" i="5" s="1"/>
  <c r="K43" i="5" s="1"/>
  <c r="K46" i="5" s="1"/>
  <c r="I923" i="3"/>
  <c r="P52" i="5"/>
  <c r="P58" i="5" s="1"/>
  <c r="O31" i="5"/>
  <c r="P20" i="5"/>
  <c r="P12" i="5"/>
  <c r="P363" i="3"/>
  <c r="P636" i="3"/>
  <c r="P372" i="3"/>
  <c r="P366" i="3"/>
  <c r="O802" i="3"/>
  <c r="O784" i="3"/>
  <c r="O805" i="3" s="1"/>
  <c r="P794" i="3"/>
  <c r="P635" i="3"/>
  <c r="R1" i="3"/>
  <c r="P364" i="3"/>
  <c r="O639" i="3"/>
  <c r="O1219" i="3" s="1"/>
  <c r="P371" i="3"/>
  <c r="Q325" i="3"/>
  <c r="Q365" i="3" s="1"/>
  <c r="Q788" i="3"/>
  <c r="Q782" i="3"/>
  <c r="Q202" i="3"/>
  <c r="Q327" i="3"/>
  <c r="Q368" i="3" s="1"/>
  <c r="Q512" i="3" s="1"/>
  <c r="Q207" i="3"/>
  <c r="Q330" i="3"/>
  <c r="Q792" i="3"/>
  <c r="Q329" i="3"/>
  <c r="Q201" i="3"/>
  <c r="Q324" i="3"/>
  <c r="Q206" i="3"/>
  <c r="Q323" i="3"/>
  <c r="Q326" i="3"/>
  <c r="Q205" i="3"/>
  <c r="Q331" i="3"/>
  <c r="Q793" i="3"/>
  <c r="P1121" i="3"/>
  <c r="P1208" i="3" s="1"/>
  <c r="P1238" i="3" s="1"/>
  <c r="P787" i="3"/>
  <c r="P789" i="3" s="1"/>
  <c r="P370" i="3"/>
  <c r="O1127" i="3"/>
  <c r="O1214" i="3" s="1"/>
  <c r="P784" i="3"/>
  <c r="AR156" i="650"/>
  <c r="AQ155" i="650"/>
  <c r="V6" i="3"/>
  <c r="J1220" i="3"/>
  <c r="G34" i="5"/>
  <c r="E15" i="33"/>
  <c r="F15" i="33" s="1"/>
  <c r="L35" i="14"/>
  <c r="J36" i="14" s="1"/>
  <c r="K35" i="14"/>
  <c r="F1220" i="3"/>
  <c r="F923" i="3"/>
  <c r="J1223" i="3"/>
  <c r="J933" i="3"/>
  <c r="J936" i="3" s="1"/>
  <c r="J939" i="3" s="1"/>
  <c r="W54" i="6"/>
  <c r="AB54" i="6" s="1"/>
  <c r="Y55" i="6"/>
  <c r="AU8" i="650" l="1"/>
  <c r="AO5" i="647"/>
  <c r="AO157" i="647" s="1"/>
  <c r="Q1085" i="3"/>
  <c r="Q1122" i="3"/>
  <c r="Q1209" i="3" s="1"/>
  <c r="Q1239" i="3" s="1"/>
  <c r="R1081" i="3"/>
  <c r="R1082" i="3"/>
  <c r="R1122" i="3" s="1"/>
  <c r="R1209" i="3" s="1"/>
  <c r="R1239" i="3" s="1"/>
  <c r="R1078" i="3"/>
  <c r="R1084" i="3" s="1"/>
  <c r="R1124" i="3" s="1"/>
  <c r="R1211" i="3" s="1"/>
  <c r="R1083" i="3"/>
  <c r="R1123" i="3" s="1"/>
  <c r="R1210" i="3" s="1"/>
  <c r="R1240" i="3" s="1"/>
  <c r="I1223" i="3"/>
  <c r="I1227" i="3" s="1"/>
  <c r="I1229" i="3" s="1"/>
  <c r="I1234" i="3" s="1"/>
  <c r="P22" i="5"/>
  <c r="Q13" i="5"/>
  <c r="Q52" i="5"/>
  <c r="Q58" i="5" s="1"/>
  <c r="I933" i="3"/>
  <c r="I936" i="3" s="1"/>
  <c r="I939" i="3" s="1"/>
  <c r="J39" i="5"/>
  <c r="J40" i="5" s="1"/>
  <c r="J43" i="5" s="1"/>
  <c r="J46" i="5" s="1"/>
  <c r="Q20" i="5"/>
  <c r="P31" i="5"/>
  <c r="Q12" i="5"/>
  <c r="Q21" i="5"/>
  <c r="Q11" i="5"/>
  <c r="P16" i="5"/>
  <c r="O41" i="1"/>
  <c r="F40" i="1"/>
  <c r="E40" i="1"/>
  <c r="S8" i="3" s="1"/>
  <c r="P805" i="3"/>
  <c r="P802" i="3"/>
  <c r="Q794" i="3"/>
  <c r="Q636" i="3"/>
  <c r="Q366" i="3"/>
  <c r="Q635" i="3"/>
  <c r="Q364" i="3"/>
  <c r="Q1121" i="3"/>
  <c r="Q1208" i="3" s="1"/>
  <c r="Q1238" i="3" s="1"/>
  <c r="P639" i="3"/>
  <c r="P1219" i="3" s="1"/>
  <c r="Q783" i="3"/>
  <c r="Q803" i="3" s="1"/>
  <c r="Q363" i="3"/>
  <c r="Q372" i="3"/>
  <c r="R201" i="3"/>
  <c r="R206" i="3"/>
  <c r="R782" i="3"/>
  <c r="R330" i="3"/>
  <c r="R323" i="3"/>
  <c r="R783" i="3" s="1"/>
  <c r="R803" i="3" s="1"/>
  <c r="R325" i="3"/>
  <c r="R365" i="3" s="1"/>
  <c r="R327" i="3"/>
  <c r="R368" i="3" s="1"/>
  <c r="R512" i="3" s="1"/>
  <c r="R331" i="3"/>
  <c r="R324" i="3"/>
  <c r="R202" i="3"/>
  <c r="R205" i="3"/>
  <c r="R788" i="3"/>
  <c r="R326" i="3"/>
  <c r="R207" i="3"/>
  <c r="R793" i="3"/>
  <c r="R329" i="3"/>
  <c r="R792" i="3"/>
  <c r="Q787" i="3"/>
  <c r="Q789" i="3" s="1"/>
  <c r="Q370" i="3"/>
  <c r="P1127" i="3"/>
  <c r="P1214" i="3" s="1"/>
  <c r="Q371" i="3"/>
  <c r="AS156" i="650"/>
  <c r="AR155" i="650"/>
  <c r="W6" i="3"/>
  <c r="J1227" i="3"/>
  <c r="J1229" i="3" s="1"/>
  <c r="J1234" i="3" s="1"/>
  <c r="Y56" i="6"/>
  <c r="W55" i="6"/>
  <c r="AB55" i="6" s="1"/>
  <c r="F933" i="3"/>
  <c r="F1223" i="3"/>
  <c r="G39" i="5"/>
  <c r="K36" i="14"/>
  <c r="L36" i="14"/>
  <c r="J37" i="14" s="1"/>
  <c r="S1" i="3" l="1"/>
  <c r="T5" i="5"/>
  <c r="B40" i="1"/>
  <c r="S9" i="3" s="1"/>
  <c r="T6" i="5" s="1"/>
  <c r="K11" i="671"/>
  <c r="K16" i="671" s="1"/>
  <c r="AV8" i="650"/>
  <c r="AP5" i="647"/>
  <c r="AP157" i="647" s="1"/>
  <c r="R1085" i="3"/>
  <c r="I1241" i="3"/>
  <c r="I1244" i="3"/>
  <c r="J70" i="5"/>
  <c r="J71" i="5" s="1"/>
  <c r="J74" i="5" s="1"/>
  <c r="Q22" i="5"/>
  <c r="J1241" i="3"/>
  <c r="K70" i="5"/>
  <c r="K71" i="5" s="1"/>
  <c r="R12" i="5"/>
  <c r="R52" i="5"/>
  <c r="R58" i="5" s="1"/>
  <c r="Q31" i="5"/>
  <c r="Q16" i="5"/>
  <c r="R20" i="5"/>
  <c r="R13" i="5"/>
  <c r="R11" i="5"/>
  <c r="R21" i="5"/>
  <c r="O42" i="1"/>
  <c r="E41" i="1"/>
  <c r="F41" i="1"/>
  <c r="B41" i="1" s="1"/>
  <c r="R794" i="3"/>
  <c r="R371" i="3"/>
  <c r="R366" i="3"/>
  <c r="R372" i="3"/>
  <c r="R635" i="3"/>
  <c r="R364" i="3"/>
  <c r="Q784" i="3"/>
  <c r="Q805" i="3" s="1"/>
  <c r="R1121" i="3"/>
  <c r="R1208" i="3" s="1"/>
  <c r="R1238" i="3" s="1"/>
  <c r="Q639" i="3"/>
  <c r="Q1219" i="3" s="1"/>
  <c r="Q1127" i="3"/>
  <c r="Q1214" i="3" s="1"/>
  <c r="R636" i="3"/>
  <c r="R784" i="3"/>
  <c r="Q802" i="3"/>
  <c r="R787" i="3"/>
  <c r="R789" i="3" s="1"/>
  <c r="R370" i="3"/>
  <c r="R363" i="3"/>
  <c r="AT156" i="650"/>
  <c r="AS155" i="650"/>
  <c r="X6" i="3"/>
  <c r="G40" i="5"/>
  <c r="G43" i="5" s="1"/>
  <c r="G46" i="5" s="1"/>
  <c r="Y57" i="6"/>
  <c r="W56" i="6"/>
  <c r="AB56" i="6" s="1"/>
  <c r="L37" i="14"/>
  <c r="J38" i="14" s="1"/>
  <c r="F1227" i="3"/>
  <c r="F936" i="3"/>
  <c r="K19" i="671" l="1"/>
  <c r="K24" i="671"/>
  <c r="S875" i="3" s="1"/>
  <c r="K23" i="671"/>
  <c r="S874" i="3" s="1"/>
  <c r="K18" i="671"/>
  <c r="AW8" i="650"/>
  <c r="AQ5" i="647"/>
  <c r="AQ157" i="647" s="1"/>
  <c r="S12" i="5"/>
  <c r="S11" i="5"/>
  <c r="S20" i="5"/>
  <c r="S52" i="5"/>
  <c r="S58" i="5" s="1"/>
  <c r="S13" i="5"/>
  <c r="S21" i="5"/>
  <c r="R22" i="5"/>
  <c r="R31" i="5"/>
  <c r="R16" i="5"/>
  <c r="O43" i="1"/>
  <c r="F42" i="1"/>
  <c r="B42" i="1" s="1"/>
  <c r="T9" i="3" s="1"/>
  <c r="U6" i="5" s="1"/>
  <c r="E42" i="1"/>
  <c r="R639" i="3"/>
  <c r="R1219" i="3" s="1"/>
  <c r="R802" i="3"/>
  <c r="R805" i="3"/>
  <c r="R1127" i="3"/>
  <c r="R1214" i="3" s="1"/>
  <c r="AU156" i="650"/>
  <c r="AT155" i="650"/>
  <c r="Y6" i="3"/>
  <c r="F939" i="3"/>
  <c r="AN226" i="4"/>
  <c r="L38" i="14"/>
  <c r="J39" i="14" s="1"/>
  <c r="K38" i="14"/>
  <c r="F1229" i="3"/>
  <c r="K37" i="14"/>
  <c r="Y58" i="6"/>
  <c r="Y59" i="6" s="1"/>
  <c r="K25" i="671" l="1"/>
  <c r="K20" i="671"/>
  <c r="AR5" i="647"/>
  <c r="AR157" i="647" s="1"/>
  <c r="AX8" i="650"/>
  <c r="BA8" i="650"/>
  <c r="T8" i="3"/>
  <c r="U5" i="5" s="1"/>
  <c r="S22" i="5"/>
  <c r="S16" i="5"/>
  <c r="S31" i="5"/>
  <c r="S827" i="3"/>
  <c r="S931" i="3"/>
  <c r="S929" i="3"/>
  <c r="S927" i="3"/>
  <c r="S925" i="3"/>
  <c r="O44" i="1"/>
  <c r="E43" i="1"/>
  <c r="U8" i="3" s="1"/>
  <c r="V5" i="5" s="1"/>
  <c r="F43" i="1"/>
  <c r="B43" i="1" s="1"/>
  <c r="U9" i="3" s="1"/>
  <c r="V6" i="5" s="1"/>
  <c r="AV156" i="650"/>
  <c r="AU155" i="650"/>
  <c r="Z6" i="3"/>
  <c r="BA228" i="650"/>
  <c r="AM226" i="4" s="1"/>
  <c r="L39" i="14"/>
  <c r="J40" i="14" s="1"/>
  <c r="K39" i="14"/>
  <c r="AL236" i="4"/>
  <c r="W59" i="6"/>
  <c r="AB59" i="6" s="1"/>
  <c r="Y60" i="6"/>
  <c r="F1234" i="3"/>
  <c r="U1" i="3" l="1"/>
  <c r="U811" i="3" s="1"/>
  <c r="T1" i="3"/>
  <c r="S864" i="3"/>
  <c r="S884" i="3"/>
  <c r="S880" i="3"/>
  <c r="S844" i="3"/>
  <c r="S876" i="3"/>
  <c r="S848" i="3"/>
  <c r="S822" i="3"/>
  <c r="S840" i="3"/>
  <c r="S817" i="3"/>
  <c r="S872" i="3"/>
  <c r="S860" i="3"/>
  <c r="S856" i="3"/>
  <c r="S812" i="3"/>
  <c r="S852" i="3"/>
  <c r="S1222" i="3"/>
  <c r="S830" i="3"/>
  <c r="S868" i="3"/>
  <c r="S799" i="3"/>
  <c r="S887" i="3"/>
  <c r="S831" i="3"/>
  <c r="S803" i="3"/>
  <c r="S886" i="3"/>
  <c r="O45" i="1"/>
  <c r="E44" i="1"/>
  <c r="F44" i="1"/>
  <c r="B44" i="1" s="1"/>
  <c r="V9" i="3" s="1"/>
  <c r="W6" i="5" s="1"/>
  <c r="AW156" i="650"/>
  <c r="AW155" i="650" s="1"/>
  <c r="AV155" i="650"/>
  <c r="AA6" i="3"/>
  <c r="G70" i="5"/>
  <c r="K40" i="14"/>
  <c r="L40" i="14"/>
  <c r="J41" i="14" s="1"/>
  <c r="Y61" i="6"/>
  <c r="W60" i="6"/>
  <c r="AB60" i="6" s="1"/>
  <c r="S1238" i="3" l="1"/>
  <c r="U128" i="3"/>
  <c r="U396" i="3"/>
  <c r="U982" i="3"/>
  <c r="U596" i="3"/>
  <c r="U561" i="3"/>
  <c r="U552" i="3"/>
  <c r="U724" i="3"/>
  <c r="U56" i="3"/>
  <c r="U1155" i="3"/>
  <c r="U601" i="3"/>
  <c r="U1109" i="3"/>
  <c r="U797" i="3"/>
  <c r="U1040" i="3"/>
  <c r="U690" i="3"/>
  <c r="U586" i="3"/>
  <c r="U647" i="3"/>
  <c r="U1009" i="3"/>
  <c r="U1041" i="3"/>
  <c r="U55" i="3"/>
  <c r="U537" i="3"/>
  <c r="U74" i="3"/>
  <c r="U182" i="3"/>
  <c r="U767" i="3"/>
  <c r="U699" i="3"/>
  <c r="U197" i="3"/>
  <c r="U1107" i="3"/>
  <c r="U990" i="3"/>
  <c r="U592" i="3"/>
  <c r="U522" i="3"/>
  <c r="U843" i="3"/>
  <c r="U960" i="3"/>
  <c r="U526" i="3"/>
  <c r="U171" i="3"/>
  <c r="U581" i="3"/>
  <c r="U311" i="3"/>
  <c r="U571" i="3"/>
  <c r="U956" i="3"/>
  <c r="U137" i="3"/>
  <c r="U969" i="3"/>
  <c r="U1093" i="3"/>
  <c r="U744" i="3"/>
  <c r="U1058" i="3"/>
  <c r="U425" i="3"/>
  <c r="U1056" i="3"/>
  <c r="U1160" i="3"/>
  <c r="U622" i="3"/>
  <c r="U646" i="3"/>
  <c r="U331" i="3"/>
  <c r="U1148" i="3"/>
  <c r="U108" i="3"/>
  <c r="U577" i="3"/>
  <c r="U63" i="3"/>
  <c r="U1165" i="3"/>
  <c r="U45" i="3"/>
  <c r="U1138" i="3"/>
  <c r="U1139" i="3" s="1"/>
  <c r="V62" i="5" s="1"/>
  <c r="U1189" i="3"/>
  <c r="U611" i="3"/>
  <c r="U451" i="3"/>
  <c r="U562" i="3"/>
  <c r="U617" i="3"/>
  <c r="U261" i="3"/>
  <c r="U153" i="3"/>
  <c r="U700" i="3"/>
  <c r="U70" i="3"/>
  <c r="U191" i="3"/>
  <c r="U160" i="3"/>
  <c r="U867" i="3"/>
  <c r="U675" i="3"/>
  <c r="U1000" i="3"/>
  <c r="U400" i="3"/>
  <c r="U597" i="3"/>
  <c r="U551" i="3"/>
  <c r="U962" i="3"/>
  <c r="U284" i="3"/>
  <c r="U1005" i="3"/>
  <c r="U81" i="3"/>
  <c r="U221" i="3"/>
  <c r="U320" i="3"/>
  <c r="U481" i="3"/>
  <c r="U202" i="3"/>
  <c r="U973" i="3"/>
  <c r="U684" i="3"/>
  <c r="U1092" i="3"/>
  <c r="U846" i="3"/>
  <c r="U714" i="3"/>
  <c r="U119" i="3"/>
  <c r="U460" i="3"/>
  <c r="U1099" i="3"/>
  <c r="U773" i="3"/>
  <c r="U430" i="3"/>
  <c r="U772" i="3"/>
  <c r="U1190" i="3"/>
  <c r="U980" i="3"/>
  <c r="U173" i="3"/>
  <c r="U709" i="3"/>
  <c r="U27" i="3"/>
  <c r="U146" i="3"/>
  <c r="U607" i="3"/>
  <c r="U674" i="3"/>
  <c r="U957" i="3"/>
  <c r="U859" i="3"/>
  <c r="U239" i="3"/>
  <c r="U79" i="3"/>
  <c r="U660" i="3"/>
  <c r="U214" i="3"/>
  <c r="U490" i="3"/>
  <c r="U994" i="3"/>
  <c r="U1191" i="3"/>
  <c r="U257" i="3"/>
  <c r="U1004" i="3"/>
  <c r="U547" i="3"/>
  <c r="U878" i="3"/>
  <c r="U426" i="3"/>
  <c r="U903" i="3"/>
  <c r="U669" i="3"/>
  <c r="U151" i="3"/>
  <c r="U531" i="3"/>
  <c r="U870" i="3"/>
  <c r="U315" i="3"/>
  <c r="U421" i="3"/>
  <c r="U900" i="3"/>
  <c r="U695" i="3"/>
  <c r="U984" i="3"/>
  <c r="U875" i="3"/>
  <c r="U838" i="3"/>
  <c r="U850" i="3"/>
  <c r="U461" i="3"/>
  <c r="U839" i="3"/>
  <c r="U207" i="3"/>
  <c r="U1057" i="3"/>
  <c r="U47" i="3"/>
  <c r="U665" i="3"/>
  <c r="U200" i="3"/>
  <c r="U863" i="3"/>
  <c r="U929" i="3"/>
  <c r="U243" i="3"/>
  <c r="U43" i="3"/>
  <c r="U1062" i="3"/>
  <c r="U576" i="3"/>
  <c r="U1030" i="3"/>
  <c r="U1022" i="3"/>
  <c r="U763" i="3"/>
  <c r="U1095" i="3"/>
  <c r="U446" i="3"/>
  <c r="U826" i="3"/>
  <c r="U431" i="3"/>
  <c r="U38" i="3"/>
  <c r="U925" i="3"/>
  <c r="U450" i="3"/>
  <c r="U101" i="3"/>
  <c r="U874" i="3"/>
  <c r="U223" i="3"/>
  <c r="U710" i="3"/>
  <c r="U908" i="3"/>
  <c r="U810" i="3"/>
  <c r="U812" i="3" s="1"/>
  <c r="U1182" i="3"/>
  <c r="U1033" i="3"/>
  <c r="U18" i="3"/>
  <c r="U527" i="3"/>
  <c r="U1188" i="3"/>
  <c r="U275" i="3"/>
  <c r="U931" i="3"/>
  <c r="U72" i="3"/>
  <c r="U436" i="3"/>
  <c r="U1051" i="3"/>
  <c r="U757" i="3"/>
  <c r="U297" i="3"/>
  <c r="U405" i="3"/>
  <c r="U734" i="3"/>
  <c r="U416" i="3"/>
  <c r="U52" i="3"/>
  <c r="U816" i="3"/>
  <c r="U855" i="3"/>
  <c r="U995" i="3"/>
  <c r="U1042" i="3"/>
  <c r="U907" i="3"/>
  <c r="U1039" i="3"/>
  <c r="U566" i="3"/>
  <c r="U1034" i="3"/>
  <c r="U1047" i="3"/>
  <c r="U441" i="3"/>
  <c r="U485" i="3"/>
  <c r="U487" i="3" s="1"/>
  <c r="U248" i="3"/>
  <c r="U521" i="3"/>
  <c r="U135" i="3"/>
  <c r="U1069" i="3"/>
  <c r="U386" i="3"/>
  <c r="U29" i="3"/>
  <c r="U689" i="3"/>
  <c r="U495" i="3"/>
  <c r="U90" i="3"/>
  <c r="U1088" i="3"/>
  <c r="U1089" i="3" s="1"/>
  <c r="V53" i="5" s="1"/>
  <c r="U330" i="3"/>
  <c r="U979" i="3"/>
  <c r="U1076" i="3"/>
  <c r="U820" i="3"/>
  <c r="U918" i="3"/>
  <c r="U1176" i="3"/>
  <c r="U871" i="3"/>
  <c r="U391" i="3"/>
  <c r="U974" i="3"/>
  <c r="U927" i="3"/>
  <c r="U25" i="3"/>
  <c r="U455" i="3"/>
  <c r="U306" i="3"/>
  <c r="U1074" i="3"/>
  <c r="U919" i="3"/>
  <c r="U88" i="3"/>
  <c r="U1102" i="3"/>
  <c r="U1036" i="3"/>
  <c r="U155" i="3"/>
  <c r="U1166" i="3"/>
  <c r="U685" i="3"/>
  <c r="U582" i="3"/>
  <c r="U655" i="3"/>
  <c r="U476" i="3"/>
  <c r="U1027" i="3"/>
  <c r="U1184" i="3"/>
  <c r="U1175" i="3"/>
  <c r="U321" i="3"/>
  <c r="U730" i="3"/>
  <c r="U252" i="3"/>
  <c r="U1153" i="3"/>
  <c r="U542" i="3"/>
  <c r="U406" i="3"/>
  <c r="U1070" i="3"/>
  <c r="U1170" i="3"/>
  <c r="U1171" i="3" s="1"/>
  <c r="V67" i="5" s="1"/>
  <c r="U1174" i="3"/>
  <c r="U961" i="3"/>
  <c r="U117" i="3"/>
  <c r="U380" i="3"/>
  <c r="U556" i="3"/>
  <c r="U470" i="3"/>
  <c r="U1064" i="3"/>
  <c r="U567" i="3"/>
  <c r="U959" i="3"/>
  <c r="U968" i="3"/>
  <c r="U862" i="3"/>
  <c r="U1010" i="3"/>
  <c r="U1015" i="3"/>
  <c r="U739" i="3"/>
  <c r="U1075" i="3"/>
  <c r="U126" i="3"/>
  <c r="U124" i="3"/>
  <c r="U882" i="3"/>
  <c r="U266" i="3"/>
  <c r="U1023" i="3"/>
  <c r="U142" i="3"/>
  <c r="U705" i="3"/>
  <c r="U1029" i="3"/>
  <c r="U1068" i="3"/>
  <c r="U958" i="3"/>
  <c r="U1063" i="3"/>
  <c r="U201" i="3"/>
  <c r="U1161" i="3"/>
  <c r="U1052" i="3"/>
  <c r="U720" i="3"/>
  <c r="U815" i="3"/>
  <c r="U1059" i="3"/>
  <c r="U798" i="3"/>
  <c r="U762" i="3"/>
  <c r="U435" i="3"/>
  <c r="U536" i="3"/>
  <c r="U715" i="3"/>
  <c r="U115" i="3"/>
  <c r="U189" i="3"/>
  <c r="U740" i="3"/>
  <c r="U1146" i="3"/>
  <c r="U606" i="3"/>
  <c r="U986" i="3"/>
  <c r="U302" i="3"/>
  <c r="U92" i="3"/>
  <c r="U133" i="3"/>
  <c r="U902" i="3"/>
  <c r="U219" i="3"/>
  <c r="U557" i="3"/>
  <c r="U164" i="3"/>
  <c r="U777" i="3"/>
  <c r="U381" i="3"/>
  <c r="U279" i="3"/>
  <c r="U978" i="3"/>
  <c r="U612" i="3"/>
  <c r="U286" i="3"/>
  <c r="U390" i="3"/>
  <c r="U680" i="3"/>
  <c r="U735" i="3"/>
  <c r="U471" i="3"/>
  <c r="U920" i="3"/>
  <c r="U61" i="3"/>
  <c r="U20" i="3"/>
  <c r="U496" i="3"/>
  <c r="U53" i="3"/>
  <c r="U395" i="3"/>
  <c r="U410" i="3"/>
  <c r="U879" i="3"/>
  <c r="U480" i="3"/>
  <c r="U491" i="3"/>
  <c r="U505" i="3" s="1"/>
  <c r="U1046" i="3"/>
  <c r="U1133" i="3"/>
  <c r="U1134" i="3"/>
  <c r="U1154" i="3"/>
  <c r="U626" i="3"/>
  <c r="U758" i="3"/>
  <c r="U466" i="3"/>
  <c r="U854" i="3"/>
  <c r="U162" i="3"/>
  <c r="U1156" i="3"/>
  <c r="U909" i="3"/>
  <c r="U951" i="3"/>
  <c r="U1065" i="3"/>
  <c r="U110" i="3"/>
  <c r="U591" i="3"/>
  <c r="U411" i="3"/>
  <c r="U178" i="3"/>
  <c r="U97" i="3"/>
  <c r="U670" i="3"/>
  <c r="U1101" i="3"/>
  <c r="U144" i="3"/>
  <c r="U950" i="3"/>
  <c r="U541" i="3"/>
  <c r="U16" i="3"/>
  <c r="U989" i="3"/>
  <c r="U917" i="3"/>
  <c r="U745" i="3"/>
  <c r="U572" i="3"/>
  <c r="U1053" i="3"/>
  <c r="U1100" i="3"/>
  <c r="U985" i="3"/>
  <c r="U1094" i="3"/>
  <c r="U532" i="3"/>
  <c r="U664" i="3"/>
  <c r="U277" i="3"/>
  <c r="U983" i="3"/>
  <c r="U1045" i="3"/>
  <c r="U1177" i="3"/>
  <c r="U34" i="3"/>
  <c r="U65" i="3"/>
  <c r="U768" i="3"/>
  <c r="U1147" i="3"/>
  <c r="U36" i="3"/>
  <c r="U694" i="3"/>
  <c r="U627" i="3"/>
  <c r="U1181" i="3"/>
  <c r="U659" i="3"/>
  <c r="U778" i="3"/>
  <c r="U866" i="3"/>
  <c r="U999" i="3"/>
  <c r="U1183" i="3"/>
  <c r="U842" i="3"/>
  <c r="U1142" i="3"/>
  <c r="U1143" i="3" s="1"/>
  <c r="V63" i="5" s="1"/>
  <c r="U1035" i="3"/>
  <c r="U99" i="3"/>
  <c r="U293" i="3"/>
  <c r="U415" i="3"/>
  <c r="U329" i="3"/>
  <c r="U851" i="3"/>
  <c r="U821" i="3"/>
  <c r="U1050" i="3"/>
  <c r="U1073" i="3"/>
  <c r="U654" i="3"/>
  <c r="U169" i="3"/>
  <c r="U788" i="3"/>
  <c r="U847" i="3"/>
  <c r="U440" i="3"/>
  <c r="U210" i="3"/>
  <c r="U729" i="3"/>
  <c r="U270" i="3"/>
  <c r="U602" i="3"/>
  <c r="U1028" i="3"/>
  <c r="U288" i="3"/>
  <c r="U1149" i="3"/>
  <c r="U910" i="3"/>
  <c r="U719" i="3"/>
  <c r="U1195" i="3"/>
  <c r="U1196" i="3" s="1"/>
  <c r="U212" i="3"/>
  <c r="U616" i="3"/>
  <c r="U401" i="3"/>
  <c r="U445" i="3"/>
  <c r="U187" i="3"/>
  <c r="U456" i="3"/>
  <c r="U793" i="3"/>
  <c r="U901" i="3"/>
  <c r="U385" i="3"/>
  <c r="U621" i="3"/>
  <c r="U206" i="3"/>
  <c r="U1108" i="3"/>
  <c r="U475" i="3"/>
  <c r="U1106" i="3"/>
  <c r="U205" i="3"/>
  <c r="U787" i="3" s="1"/>
  <c r="U704" i="3"/>
  <c r="U196" i="3"/>
  <c r="U981" i="3"/>
  <c r="U679" i="3"/>
  <c r="U106" i="3"/>
  <c r="U1024" i="3"/>
  <c r="U420" i="3"/>
  <c r="U883" i="3"/>
  <c r="U725" i="3"/>
  <c r="U465" i="3"/>
  <c r="U180" i="3"/>
  <c r="U587" i="3"/>
  <c r="U1014" i="3"/>
  <c r="U54" i="3"/>
  <c r="U546" i="3"/>
  <c r="U858" i="3"/>
  <c r="U825" i="3"/>
  <c r="U83" i="3"/>
  <c r="T386" i="3"/>
  <c r="T985" i="3"/>
  <c r="T1142" i="3"/>
  <c r="T63" i="3"/>
  <c r="T201" i="3"/>
  <c r="T330" i="3"/>
  <c r="T772" i="3"/>
  <c r="T155" i="3"/>
  <c r="T621" i="3"/>
  <c r="T664" i="3"/>
  <c r="T55" i="3"/>
  <c r="T839" i="3"/>
  <c r="T416" i="3"/>
  <c r="T968" i="3"/>
  <c r="T552" i="3"/>
  <c r="T1181" i="3"/>
  <c r="T1050" i="3"/>
  <c r="T878" i="3"/>
  <c r="T758" i="3"/>
  <c r="T124" i="3"/>
  <c r="T1101" i="3"/>
  <c r="T1100" i="3"/>
  <c r="T396" i="3"/>
  <c r="T699" i="3"/>
  <c r="T541" i="3"/>
  <c r="T223" i="3"/>
  <c r="T567" i="3"/>
  <c r="T81" i="3"/>
  <c r="T561" i="3"/>
  <c r="T729" i="3"/>
  <c r="T1177" i="3"/>
  <c r="T1047" i="3"/>
  <c r="T867" i="3"/>
  <c r="T611" i="3"/>
  <c r="T847" i="3"/>
  <c r="T995" i="3"/>
  <c r="T694" i="3"/>
  <c r="T762" i="3"/>
  <c r="T169" i="3"/>
  <c r="T1093" i="3"/>
  <c r="T734" i="3"/>
  <c r="T18" i="3"/>
  <c r="T669" i="3"/>
  <c r="T205" i="3"/>
  <c r="T798" i="3"/>
  <c r="T901" i="3"/>
  <c r="T490" i="3"/>
  <c r="T445" i="3"/>
  <c r="T994" i="3"/>
  <c r="T705" i="3"/>
  <c r="T135" i="3"/>
  <c r="T466" i="3"/>
  <c r="T810" i="3"/>
  <c r="T958" i="3"/>
  <c r="T286" i="3"/>
  <c r="T680" i="3"/>
  <c r="T266" i="3"/>
  <c r="T679" i="3"/>
  <c r="T719" i="3"/>
  <c r="T1160" i="3"/>
  <c r="T763" i="3"/>
  <c r="T1024" i="3"/>
  <c r="T882" i="3"/>
  <c r="T961" i="3"/>
  <c r="T767" i="3"/>
  <c r="T206" i="3"/>
  <c r="T730" i="3"/>
  <c r="T659" i="3"/>
  <c r="T180" i="3"/>
  <c r="T1170" i="3"/>
  <c r="T1171" i="3" s="1"/>
  <c r="U67" i="5" s="1"/>
  <c r="T960" i="3"/>
  <c r="T178" i="3"/>
  <c r="T485" i="3"/>
  <c r="T487" i="3" s="1"/>
  <c r="T1051" i="3"/>
  <c r="T1188" i="3"/>
  <c r="T1182" i="3"/>
  <c r="T61" i="3"/>
  <c r="T572" i="3"/>
  <c r="T1052" i="3"/>
  <c r="T979" i="3"/>
  <c r="T654" i="3"/>
  <c r="T1191" i="3"/>
  <c r="T1035" i="3"/>
  <c r="T1184" i="3"/>
  <c r="T1059" i="3"/>
  <c r="T126" i="3"/>
  <c r="T306" i="3"/>
  <c r="T182" i="3"/>
  <c r="T491" i="3"/>
  <c r="T505" i="3" s="1"/>
  <c r="T1166" i="3"/>
  <c r="T739" i="3"/>
  <c r="T297" i="3"/>
  <c r="T531" i="3"/>
  <c r="T1023" i="3"/>
  <c r="T577" i="3"/>
  <c r="T415" i="3"/>
  <c r="T684" i="3"/>
  <c r="T854" i="3"/>
  <c r="T270" i="3"/>
  <c r="T1146" i="3"/>
  <c r="T1183" i="3"/>
  <c r="T858" i="3"/>
  <c r="T1070" i="3"/>
  <c r="T974" i="3"/>
  <c r="T1165" i="3"/>
  <c r="T612" i="3"/>
  <c r="T471" i="3"/>
  <c r="T725" i="3"/>
  <c r="T34" i="3"/>
  <c r="T919" i="3"/>
  <c r="T903" i="3"/>
  <c r="T450" i="3"/>
  <c r="T720" i="3"/>
  <c r="T704" i="3"/>
  <c r="T587" i="3"/>
  <c r="T1138" i="3"/>
  <c r="T592" i="3"/>
  <c r="T411" i="3"/>
  <c r="T45" i="3"/>
  <c r="T47" i="3"/>
  <c r="T27" i="3"/>
  <c r="T495" i="3"/>
  <c r="T275" i="3"/>
  <c r="T279" i="3"/>
  <c r="T1000" i="3"/>
  <c r="T918" i="3"/>
  <c r="T816" i="3"/>
  <c r="T675" i="3"/>
  <c r="T532" i="3"/>
  <c r="T380" i="3"/>
  <c r="T1190" i="3"/>
  <c r="T546" i="3"/>
  <c r="T862" i="3"/>
  <c r="T909" i="3"/>
  <c r="T1175" i="3"/>
  <c r="T1189" i="3"/>
  <c r="T576" i="3"/>
  <c r="T655" i="3"/>
  <c r="T425" i="3"/>
  <c r="T956" i="3"/>
  <c r="T875" i="3"/>
  <c r="T212" i="3"/>
  <c r="T825" i="3"/>
  <c r="T1155" i="3"/>
  <c r="T1176" i="3"/>
  <c r="T108" i="3"/>
  <c r="T171" i="3"/>
  <c r="T551" i="3"/>
  <c r="T969" i="3"/>
  <c r="T690" i="3"/>
  <c r="T596" i="3"/>
  <c r="T859" i="3"/>
  <c r="T144" i="3"/>
  <c r="T455" i="3"/>
  <c r="T900" i="3"/>
  <c r="T521" i="3"/>
  <c r="T43" i="3"/>
  <c r="T627" i="3"/>
  <c r="T1005" i="3"/>
  <c r="T602" i="3"/>
  <c r="T52" i="3"/>
  <c r="T978" i="3"/>
  <c r="T811" i="3"/>
  <c r="T562" i="3"/>
  <c r="T951" i="3"/>
  <c r="T920" i="3"/>
  <c r="T1069" i="3"/>
  <c r="T744" i="3"/>
  <c r="T239" i="3"/>
  <c r="T616" i="3"/>
  <c r="T29" i="3"/>
  <c r="T1062" i="3"/>
  <c r="T1063" i="3"/>
  <c r="T146" i="3"/>
  <c r="T115" i="3"/>
  <c r="T197" i="3"/>
  <c r="T36" i="3"/>
  <c r="T16" i="3"/>
  <c r="T90" i="3"/>
  <c r="T757" i="3"/>
  <c r="T65" i="3"/>
  <c r="T1068" i="3"/>
  <c r="T1064" i="3"/>
  <c r="T189" i="3"/>
  <c r="T277" i="3"/>
  <c r="T430" i="3"/>
  <c r="T999" i="3"/>
  <c r="T451" i="3"/>
  <c r="T1010" i="3"/>
  <c r="T446" i="3"/>
  <c r="T1057" i="3"/>
  <c r="T128" i="3"/>
  <c r="T527" i="3"/>
  <c r="T395" i="3"/>
  <c r="T1153" i="3"/>
  <c r="T421" i="3"/>
  <c r="T1106" i="3"/>
  <c r="T1107" i="3"/>
  <c r="T476" i="3"/>
  <c r="T1033" i="3"/>
  <c r="T606" i="3"/>
  <c r="T164" i="3"/>
  <c r="T248" i="3"/>
  <c r="T202" i="3"/>
  <c r="T646" i="3"/>
  <c r="T685" i="3"/>
  <c r="T908" i="3"/>
  <c r="T252" i="3"/>
  <c r="T99" i="3"/>
  <c r="T441" i="3"/>
  <c r="T740" i="3"/>
  <c r="T311" i="3"/>
  <c r="T221" i="3"/>
  <c r="T1094" i="3"/>
  <c r="T959" i="3"/>
  <c r="T219" i="3"/>
  <c r="T665" i="3"/>
  <c r="T1056" i="3"/>
  <c r="T153" i="3"/>
  <c r="T321" i="3"/>
  <c r="T106" i="3"/>
  <c r="T788" i="3"/>
  <c r="T984" i="3"/>
  <c r="T214" i="3"/>
  <c r="T581" i="3"/>
  <c r="T607" i="3"/>
  <c r="T70" i="3"/>
  <c r="T110" i="3"/>
  <c r="T566" i="3"/>
  <c r="T410" i="3"/>
  <c r="T391" i="3"/>
  <c r="T1147" i="3"/>
  <c r="T315" i="3"/>
  <c r="T1174" i="3"/>
  <c r="T917" i="3"/>
  <c r="T601" i="3"/>
  <c r="T436" i="3"/>
  <c r="T133" i="3"/>
  <c r="T777" i="3"/>
  <c r="T710" i="3"/>
  <c r="T83" i="3"/>
  <c r="T927" i="3"/>
  <c r="T735" i="3"/>
  <c r="T522" i="3"/>
  <c r="T838" i="3"/>
  <c r="T571" i="3"/>
  <c r="T53" i="3"/>
  <c r="T465" i="3"/>
  <c r="T38" i="3"/>
  <c r="T302" i="3"/>
  <c r="T768" i="3"/>
  <c r="T982" i="3"/>
  <c r="T1042" i="3"/>
  <c r="T714" i="3"/>
  <c r="T88" i="3"/>
  <c r="T556" i="3"/>
  <c r="T20" i="3"/>
  <c r="T1092" i="3"/>
  <c r="T1074" i="3"/>
  <c r="T54" i="3"/>
  <c r="T401" i="3"/>
  <c r="T1040" i="3"/>
  <c r="T929" i="3"/>
  <c r="T986" i="3"/>
  <c r="T481" i="3"/>
  <c r="T715" i="3"/>
  <c r="T826" i="3"/>
  <c r="T660" i="3"/>
  <c r="T700" i="3"/>
  <c r="T617" i="3"/>
  <c r="T724" i="3"/>
  <c r="T866" i="3"/>
  <c r="T288" i="3"/>
  <c r="T689" i="3"/>
  <c r="T863" i="3"/>
  <c r="T390" i="3"/>
  <c r="T435" i="3"/>
  <c r="T210" i="3"/>
  <c r="T74" i="3"/>
  <c r="T1030" i="3"/>
  <c r="T957" i="3"/>
  <c r="T293" i="3"/>
  <c r="T420" i="3"/>
  <c r="T475" i="3"/>
  <c r="T257" i="3"/>
  <c r="T586" i="3"/>
  <c r="T1029" i="3"/>
  <c r="T191" i="3"/>
  <c r="T119" i="3"/>
  <c r="T709" i="3"/>
  <c r="T846" i="3"/>
  <c r="T426" i="3"/>
  <c r="T1075" i="3"/>
  <c r="T1045" i="3"/>
  <c r="T1034" i="3"/>
  <c r="T97" i="3"/>
  <c r="T1004" i="3"/>
  <c r="T622" i="3"/>
  <c r="T207" i="3"/>
  <c r="T1161" i="3"/>
  <c r="T542" i="3"/>
  <c r="T187" i="3"/>
  <c r="T1076" i="3"/>
  <c r="T1015" i="3"/>
  <c r="T196" i="3"/>
  <c r="T537" i="3"/>
  <c r="T480" i="3"/>
  <c r="T173" i="3"/>
  <c r="T695" i="3"/>
  <c r="T821" i="3"/>
  <c r="T745" i="3"/>
  <c r="T547" i="3"/>
  <c r="T1073" i="3"/>
  <c r="T855" i="3"/>
  <c r="T1027" i="3"/>
  <c r="T456" i="3"/>
  <c r="T842" i="3"/>
  <c r="T142" i="3"/>
  <c r="T92" i="3"/>
  <c r="T907" i="3"/>
  <c r="T1149" i="3"/>
  <c r="T870" i="3"/>
  <c r="T56" i="3"/>
  <c r="T151" i="3"/>
  <c r="T670" i="3"/>
  <c r="T626" i="3"/>
  <c r="T902" i="3"/>
  <c r="T461" i="3"/>
  <c r="T778" i="3"/>
  <c r="T243" i="3"/>
  <c r="T797" i="3"/>
  <c r="T591" i="3"/>
  <c r="T883" i="3"/>
  <c r="T331" i="3"/>
  <c r="T1133" i="3"/>
  <c r="T983" i="3"/>
  <c r="T989" i="3"/>
  <c r="T400" i="3"/>
  <c r="T1095" i="3"/>
  <c r="T950" i="3"/>
  <c r="T25" i="3"/>
  <c r="T406" i="3"/>
  <c r="T536" i="3"/>
  <c r="T850" i="3"/>
  <c r="T440" i="3"/>
  <c r="T879" i="3"/>
  <c r="T101" i="3"/>
  <c r="T1148" i="3"/>
  <c r="T910" i="3"/>
  <c r="T871" i="3"/>
  <c r="T381" i="3"/>
  <c r="T117" i="3"/>
  <c r="T931" i="3"/>
  <c r="T990" i="3"/>
  <c r="T925" i="3"/>
  <c r="T647" i="3"/>
  <c r="T1014" i="3"/>
  <c r="T470" i="3"/>
  <c r="T496" i="3"/>
  <c r="T962" i="3"/>
  <c r="T1041" i="3"/>
  <c r="T1036" i="3"/>
  <c r="T820" i="3"/>
  <c r="T137" i="3"/>
  <c r="T874" i="3"/>
  <c r="T1028" i="3"/>
  <c r="T843" i="3"/>
  <c r="T851" i="3"/>
  <c r="T973" i="3"/>
  <c r="T1046" i="3"/>
  <c r="T261" i="3"/>
  <c r="T815" i="3"/>
  <c r="T329" i="3"/>
  <c r="T793" i="3"/>
  <c r="T431" i="3"/>
  <c r="T1102" i="3"/>
  <c r="T1195" i="3"/>
  <c r="T1196" i="3" s="1"/>
  <c r="T980" i="3"/>
  <c r="T1099" i="3"/>
  <c r="T385" i="3"/>
  <c r="T981" i="3"/>
  <c r="T674" i="3"/>
  <c r="T284" i="3"/>
  <c r="T1088" i="3"/>
  <c r="T1089" i="3" s="1"/>
  <c r="U53" i="5" s="1"/>
  <c r="T1022" i="3"/>
  <c r="T1134" i="3"/>
  <c r="T1108" i="3"/>
  <c r="T1156" i="3"/>
  <c r="T460" i="3"/>
  <c r="T320" i="3"/>
  <c r="T162" i="3"/>
  <c r="T582" i="3"/>
  <c r="T773" i="3"/>
  <c r="T1109" i="3"/>
  <c r="T1053" i="3"/>
  <c r="T1039" i="3"/>
  <c r="T200" i="3"/>
  <c r="T557" i="3"/>
  <c r="T1009" i="3"/>
  <c r="T1154" i="3"/>
  <c r="T72" i="3"/>
  <c r="T597" i="3"/>
  <c r="T1058" i="3"/>
  <c r="T526" i="3"/>
  <c r="T79" i="3"/>
  <c r="T160" i="3"/>
  <c r="T405" i="3"/>
  <c r="T1065" i="3"/>
  <c r="V8" i="3"/>
  <c r="W5" i="5" s="1"/>
  <c r="W9" i="3"/>
  <c r="X6" i="5" s="1"/>
  <c r="S802" i="3"/>
  <c r="S833" i="3"/>
  <c r="S1240" i="3"/>
  <c r="S889" i="3"/>
  <c r="T33" i="5" s="1"/>
  <c r="T34" i="5" s="1"/>
  <c r="S1239" i="3"/>
  <c r="O46" i="1"/>
  <c r="F45" i="1"/>
  <c r="B45" i="1" s="1"/>
  <c r="E45" i="1"/>
  <c r="AB6" i="3"/>
  <c r="L41" i="14"/>
  <c r="J42" i="14" s="1"/>
  <c r="K41" i="14"/>
  <c r="Y62" i="6"/>
  <c r="AL161" i="4"/>
  <c r="AK236" i="4"/>
  <c r="AL227" i="4"/>
  <c r="T1082" i="3" l="1"/>
  <c r="T1122" i="3" s="1"/>
  <c r="T1083" i="3"/>
  <c r="T1123" i="3" s="1"/>
  <c r="U1083" i="3"/>
  <c r="U666" i="3"/>
  <c r="U1078" i="3"/>
  <c r="U1084" i="3" s="1"/>
  <c r="U1124" i="3" s="1"/>
  <c r="T231" i="3"/>
  <c r="T1078" i="3"/>
  <c r="T1084" i="3" s="1"/>
  <c r="T1124" i="3" s="1"/>
  <c r="U1082" i="3"/>
  <c r="U1122" i="3" s="1"/>
  <c r="U880" i="3"/>
  <c r="T817" i="3"/>
  <c r="U764" i="3"/>
  <c r="U649" i="3"/>
  <c r="V29" i="5" s="1"/>
  <c r="U628" i="3"/>
  <c r="U631" i="3" s="1"/>
  <c r="V24" i="5" s="1"/>
  <c r="V26" i="5" s="1"/>
  <c r="U726" i="3"/>
  <c r="U598" i="3"/>
  <c r="U231" i="3"/>
  <c r="U397" i="3"/>
  <c r="U613" i="3"/>
  <c r="U701" i="3"/>
  <c r="U799" i="3"/>
  <c r="U872" i="3"/>
  <c r="U462" i="3"/>
  <c r="U563" i="3"/>
  <c r="U661" i="3"/>
  <c r="U482" i="3"/>
  <c r="U711" i="3"/>
  <c r="U372" i="3"/>
  <c r="U884" i="3"/>
  <c r="T298" i="3"/>
  <c r="U447" i="3"/>
  <c r="U1001" i="3"/>
  <c r="U746" i="3"/>
  <c r="U543" i="3"/>
  <c r="U558" i="3"/>
  <c r="U93" i="3"/>
  <c r="U129" i="3"/>
  <c r="U407" i="3"/>
  <c r="U975" i="3"/>
  <c r="U691" i="3"/>
  <c r="U262" i="3"/>
  <c r="U603" i="3"/>
  <c r="U553" i="3"/>
  <c r="T799" i="3"/>
  <c r="U477" i="3"/>
  <c r="U774" i="3"/>
  <c r="U953" i="3"/>
  <c r="U1150" i="3"/>
  <c r="U307" i="3"/>
  <c r="U402" i="3"/>
  <c r="U886" i="3"/>
  <c r="U822" i="3"/>
  <c r="U876" i="3"/>
  <c r="U523" i="3"/>
  <c r="U111" i="3"/>
  <c r="U215" i="3"/>
  <c r="U271" i="3"/>
  <c r="U696" i="3"/>
  <c r="U1167" i="3"/>
  <c r="V66" i="5" s="1"/>
  <c r="U991" i="3"/>
  <c r="U633" i="3"/>
  <c r="V25" i="5" s="1"/>
  <c r="U578" i="3"/>
  <c r="U84" i="3"/>
  <c r="U66" i="3"/>
  <c r="U573" i="3"/>
  <c r="U706" i="3"/>
  <c r="U147" i="3"/>
  <c r="U472" i="3"/>
  <c r="U736" i="3"/>
  <c r="U427" i="3"/>
  <c r="U492" i="3"/>
  <c r="U432" i="3"/>
  <c r="U325" i="3"/>
  <c r="U365" i="3" s="1"/>
  <c r="U165" i="3"/>
  <c r="U583" i="3"/>
  <c r="U721" i="3"/>
  <c r="U588" i="3"/>
  <c r="U174" i="3"/>
  <c r="U1135" i="3"/>
  <c r="V61" i="5" s="1"/>
  <c r="U623" i="3"/>
  <c r="U769" i="3"/>
  <c r="U533" i="3"/>
  <c r="U817" i="3"/>
  <c r="U156" i="3"/>
  <c r="U30" i="3"/>
  <c r="U57" i="3"/>
  <c r="U964" i="3"/>
  <c r="U1192" i="3"/>
  <c r="U618" i="3"/>
  <c r="U593" i="3"/>
  <c r="T822" i="3"/>
  <c r="T422" i="3"/>
  <c r="U467" i="3"/>
  <c r="U387" i="3"/>
  <c r="U230" i="3"/>
  <c r="U326" i="3"/>
  <c r="U856" i="3"/>
  <c r="U741" i="3"/>
  <c r="U568" i="3"/>
  <c r="U676" i="3"/>
  <c r="U1096" i="3"/>
  <c r="V54" i="5" s="1"/>
  <c r="U1006" i="3"/>
  <c r="U868" i="3"/>
  <c r="U316" i="3"/>
  <c r="U860" i="3"/>
  <c r="U789" i="3"/>
  <c r="U792" i="3"/>
  <c r="U794" i="3" s="1"/>
  <c r="U1162" i="3"/>
  <c r="V65" i="5" s="1"/>
  <c r="U244" i="3"/>
  <c r="U840" i="3"/>
  <c r="T603" i="3"/>
  <c r="U716" i="3"/>
  <c r="U1016" i="3"/>
  <c r="U48" i="3"/>
  <c r="U904" i="3"/>
  <c r="U686" i="3"/>
  <c r="T407" i="3"/>
  <c r="T307" i="3"/>
  <c r="T618" i="3"/>
  <c r="U457" i="3"/>
  <c r="U442" i="3"/>
  <c r="U844" i="3"/>
  <c r="U437" i="3"/>
  <c r="U382" i="3"/>
  <c r="U921" i="3"/>
  <c r="U323" i="3"/>
  <c r="U783" i="3" s="1"/>
  <c r="U803" i="3" s="1"/>
  <c r="U1103" i="3"/>
  <c r="V55" i="5" s="1"/>
  <c r="U75" i="3"/>
  <c r="U528" i="3"/>
  <c r="T711" i="3"/>
  <c r="U371" i="3"/>
  <c r="U289" i="3"/>
  <c r="T706" i="3"/>
  <c r="T721" i="3"/>
  <c r="U192" i="3"/>
  <c r="T583" i="3"/>
  <c r="U848" i="3"/>
  <c r="U779" i="3"/>
  <c r="V1" i="3"/>
  <c r="V1050" i="3" s="1"/>
  <c r="T30" i="3"/>
  <c r="T417" i="3"/>
  <c r="U681" i="3"/>
  <c r="U417" i="3"/>
  <c r="U39" i="3"/>
  <c r="U324" i="3"/>
  <c r="U750" i="3"/>
  <c r="U1201" i="3"/>
  <c r="U502" i="3"/>
  <c r="U1199" i="3"/>
  <c r="U970" i="3"/>
  <c r="U452" i="3"/>
  <c r="U830" i="3"/>
  <c r="U370" i="3"/>
  <c r="U412" i="3"/>
  <c r="T156" i="3"/>
  <c r="U183" i="3"/>
  <c r="U656" i="3"/>
  <c r="U298" i="3"/>
  <c r="U102" i="3"/>
  <c r="U1157" i="3"/>
  <c r="U501" i="3"/>
  <c r="V14" i="5" s="1"/>
  <c r="U138" i="3"/>
  <c r="U280" i="3"/>
  <c r="U831" i="3"/>
  <c r="U229" i="3"/>
  <c r="U782" i="3" s="1"/>
  <c r="T1178" i="3"/>
  <c r="U68" i="5" s="1"/>
  <c r="T397" i="3"/>
  <c r="T432" i="3"/>
  <c r="T457" i="3"/>
  <c r="T427" i="3"/>
  <c r="T280" i="3"/>
  <c r="T741" i="3"/>
  <c r="T1162" i="3"/>
  <c r="U65" i="5" s="1"/>
  <c r="U548" i="3"/>
  <c r="U503" i="3"/>
  <c r="U1110" i="3"/>
  <c r="V56" i="5" s="1"/>
  <c r="U887" i="3"/>
  <c r="U1202" i="3"/>
  <c r="U507" i="3"/>
  <c r="U538" i="3"/>
  <c r="U1011" i="3"/>
  <c r="U634" i="3"/>
  <c r="U911" i="3"/>
  <c r="U224" i="3"/>
  <c r="U1185" i="3"/>
  <c r="T726" i="3"/>
  <c r="U608" i="3"/>
  <c r="U120" i="3"/>
  <c r="U253" i="3"/>
  <c r="U497" i="3"/>
  <c r="U996" i="3"/>
  <c r="U759" i="3"/>
  <c r="U21" i="3"/>
  <c r="U864" i="3"/>
  <c r="U392" i="3"/>
  <c r="U852" i="3"/>
  <c r="T676" i="3"/>
  <c r="T868" i="3"/>
  <c r="T671" i="3"/>
  <c r="T628" i="3"/>
  <c r="T631" i="3" s="1"/>
  <c r="U24" i="5" s="1"/>
  <c r="T578" i="3"/>
  <c r="T681" i="3"/>
  <c r="U1178" i="3"/>
  <c r="V68" i="5" s="1"/>
  <c r="U632" i="3"/>
  <c r="U422" i="3"/>
  <c r="U506" i="3"/>
  <c r="U1200" i="3"/>
  <c r="T1201" i="3"/>
  <c r="T1103" i="3"/>
  <c r="U55" i="5" s="1"/>
  <c r="T482" i="3"/>
  <c r="T372" i="3"/>
  <c r="T848" i="3"/>
  <c r="T392" i="3"/>
  <c r="T568" i="3"/>
  <c r="T111" i="3"/>
  <c r="T649" i="3"/>
  <c r="U29" i="5" s="1"/>
  <c r="T48" i="3"/>
  <c r="T860" i="3"/>
  <c r="T884" i="3"/>
  <c r="T492" i="3"/>
  <c r="T174" i="3"/>
  <c r="T774" i="3"/>
  <c r="U671" i="3"/>
  <c r="T477" i="3"/>
  <c r="T402" i="3"/>
  <c r="T872" i="3"/>
  <c r="T633" i="3"/>
  <c r="U25" i="5" s="1"/>
  <c r="T316" i="3"/>
  <c r="T759" i="3"/>
  <c r="T533" i="3"/>
  <c r="T764" i="3"/>
  <c r="U731" i="3"/>
  <c r="U749" i="3"/>
  <c r="U827" i="3"/>
  <c r="T975" i="3"/>
  <c r="T1006" i="3"/>
  <c r="T691" i="3"/>
  <c r="T253" i="3"/>
  <c r="T886" i="3"/>
  <c r="T840" i="3"/>
  <c r="T1110" i="3"/>
  <c r="U56" i="5" s="1"/>
  <c r="T230" i="3"/>
  <c r="T1011" i="3"/>
  <c r="T289" i="3"/>
  <c r="T325" i="3"/>
  <c r="T365" i="3" s="1"/>
  <c r="T102" i="3"/>
  <c r="T787" i="3"/>
  <c r="T789" i="3" s="1"/>
  <c r="T370" i="3"/>
  <c r="T129" i="3"/>
  <c r="T852" i="3"/>
  <c r="T911" i="3"/>
  <c r="T21" i="3"/>
  <c r="T661" i="3"/>
  <c r="T887" i="3"/>
  <c r="T326" i="3"/>
  <c r="T634" i="3"/>
  <c r="T632" i="3"/>
  <c r="T523" i="3"/>
  <c r="T553" i="3"/>
  <c r="T864" i="3"/>
  <c r="T39" i="3"/>
  <c r="T731" i="3"/>
  <c r="T970" i="3"/>
  <c r="T442" i="3"/>
  <c r="T991" i="3"/>
  <c r="T1096" i="3"/>
  <c r="U54" i="5" s="1"/>
  <c r="T921" i="3"/>
  <c r="U38" i="5" s="1"/>
  <c r="T75" i="3"/>
  <c r="T1157" i="3"/>
  <c r="T1001" i="3"/>
  <c r="T831" i="3"/>
  <c r="T904" i="3"/>
  <c r="T964" i="3"/>
  <c r="T1081" i="3" s="1"/>
  <c r="T548" i="3"/>
  <c r="T1139" i="3"/>
  <c r="U62" i="5" s="1"/>
  <c r="T1199" i="3"/>
  <c r="T1150" i="3"/>
  <c r="U64" i="5" s="1"/>
  <c r="T66" i="3"/>
  <c r="T812" i="3"/>
  <c r="T830" i="3"/>
  <c r="T696" i="3"/>
  <c r="T563" i="3"/>
  <c r="T538" i="3"/>
  <c r="T558" i="3"/>
  <c r="T608" i="3"/>
  <c r="T856" i="3"/>
  <c r="T84" i="3"/>
  <c r="T462" i="3"/>
  <c r="T472" i="3"/>
  <c r="T147" i="3"/>
  <c r="T192" i="3"/>
  <c r="T588" i="3"/>
  <c r="T93" i="3"/>
  <c r="T467" i="3"/>
  <c r="T224" i="3"/>
  <c r="T746" i="3"/>
  <c r="T1167" i="3"/>
  <c r="U66" i="5" s="1"/>
  <c r="T686" i="3"/>
  <c r="T371" i="3"/>
  <c r="T613" i="3"/>
  <c r="T880" i="3"/>
  <c r="T666" i="3"/>
  <c r="T506" i="3"/>
  <c r="T507" i="3"/>
  <c r="T324" i="3"/>
  <c r="T323" i="3"/>
  <c r="T783" i="3" s="1"/>
  <c r="T803" i="3" s="1"/>
  <c r="T244" i="3"/>
  <c r="T382" i="3"/>
  <c r="T501" i="3"/>
  <c r="U14" i="5" s="1"/>
  <c r="T503" i="3"/>
  <c r="T1192" i="3"/>
  <c r="T528" i="3"/>
  <c r="T876" i="3"/>
  <c r="T1016" i="3"/>
  <c r="T844" i="3"/>
  <c r="T262" i="3"/>
  <c r="T792" i="3"/>
  <c r="T794" i="3" s="1"/>
  <c r="T215" i="3"/>
  <c r="T229" i="3"/>
  <c r="T716" i="3"/>
  <c r="T779" i="3"/>
  <c r="T120" i="3"/>
  <c r="T598" i="3"/>
  <c r="T452" i="3"/>
  <c r="T656" i="3"/>
  <c r="T749" i="3"/>
  <c r="T769" i="3"/>
  <c r="T271" i="3"/>
  <c r="T996" i="3"/>
  <c r="T736" i="3"/>
  <c r="T543" i="3"/>
  <c r="T623" i="3"/>
  <c r="T165" i="3"/>
  <c r="T1135" i="3"/>
  <c r="U61" i="5" s="1"/>
  <c r="T1200" i="3"/>
  <c r="T57" i="3"/>
  <c r="T750" i="3"/>
  <c r="T497" i="3"/>
  <c r="T1143" i="3"/>
  <c r="U63" i="5" s="1"/>
  <c r="T1202" i="3"/>
  <c r="X9" i="3"/>
  <c r="Y6" i="5" s="1"/>
  <c r="T387" i="3"/>
  <c r="T502" i="3"/>
  <c r="U15" i="5" s="1"/>
  <c r="T953" i="3"/>
  <c r="T593" i="3"/>
  <c r="T437" i="3"/>
  <c r="T573" i="3"/>
  <c r="T138" i="3"/>
  <c r="T412" i="3"/>
  <c r="T827" i="3"/>
  <c r="T183" i="3"/>
  <c r="T447" i="3"/>
  <c r="T701" i="3"/>
  <c r="T1185" i="3"/>
  <c r="W8" i="3"/>
  <c r="S805" i="3"/>
  <c r="S1219" i="3"/>
  <c r="O47" i="1"/>
  <c r="E46" i="1"/>
  <c r="X8" i="3" s="1"/>
  <c r="F46" i="1"/>
  <c r="B46" i="1" s="1"/>
  <c r="AC6" i="3"/>
  <c r="AK161" i="4"/>
  <c r="W62" i="6"/>
  <c r="AB62" i="6" s="1"/>
  <c r="Y63" i="6"/>
  <c r="L42" i="14"/>
  <c r="J43" i="14" s="1"/>
  <c r="AL208" i="4"/>
  <c r="AN153" i="4"/>
  <c r="V64" i="5" l="1"/>
  <c r="V15" i="5"/>
  <c r="U1222" i="3"/>
  <c r="V38" i="5"/>
  <c r="W1" i="3"/>
  <c r="W537" i="3" s="1"/>
  <c r="X5" i="5"/>
  <c r="U26" i="5"/>
  <c r="U69" i="5"/>
  <c r="X1" i="3"/>
  <c r="X709" i="3" s="1"/>
  <c r="Y5" i="5"/>
  <c r="V69" i="5"/>
  <c r="V164" i="3"/>
  <c r="T1085" i="3"/>
  <c r="U52" i="5" s="1"/>
  <c r="U58" i="5" s="1"/>
  <c r="U1081" i="3"/>
  <c r="U1085" i="3" s="1"/>
  <c r="V52" i="5" s="1"/>
  <c r="V58" i="5" s="1"/>
  <c r="T366" i="3"/>
  <c r="U13" i="5" s="1"/>
  <c r="U784" i="3"/>
  <c r="U805" i="3" s="1"/>
  <c r="V31" i="5" s="1"/>
  <c r="U366" i="3"/>
  <c r="V13" i="5" s="1"/>
  <c r="V495" i="3"/>
  <c r="V720" i="3"/>
  <c r="U363" i="3"/>
  <c r="V11" i="5" s="1"/>
  <c r="V660" i="3"/>
  <c r="V980" i="3"/>
  <c r="V1181" i="3"/>
  <c r="V146" i="3"/>
  <c r="V931" i="3"/>
  <c r="V1023" i="3"/>
  <c r="V730" i="3"/>
  <c r="U232" i="3"/>
  <c r="U833" i="3"/>
  <c r="V32" i="5" s="1"/>
  <c r="U913" i="3"/>
  <c r="V37" i="5" s="1"/>
  <c r="U1209" i="3"/>
  <c r="U1239" i="3" s="1"/>
  <c r="U635" i="3"/>
  <c r="V20" i="5" s="1"/>
  <c r="U636" i="3"/>
  <c r="V21" i="5" s="1"/>
  <c r="U889" i="3"/>
  <c r="V33" i="5" s="1"/>
  <c r="U327" i="3"/>
  <c r="U364" i="3"/>
  <c r="V12" i="5" s="1"/>
  <c r="U1211" i="3"/>
  <c r="V385" i="3"/>
  <c r="V1039" i="3"/>
  <c r="V450" i="3"/>
  <c r="V90" i="3"/>
  <c r="V315" i="3"/>
  <c r="V108" i="3"/>
  <c r="V460" i="3"/>
  <c r="V654" i="3"/>
  <c r="V556" i="3"/>
  <c r="V451" i="3"/>
  <c r="V456" i="3"/>
  <c r="V187" i="3"/>
  <c r="V587" i="3"/>
  <c r="V1102" i="3"/>
  <c r="V962" i="3"/>
  <c r="V705" i="3"/>
  <c r="V561" i="3"/>
  <c r="V670" i="3"/>
  <c r="V1170" i="3"/>
  <c r="V1171" i="3" s="1"/>
  <c r="W67" i="5" s="1"/>
  <c r="V647" i="3"/>
  <c r="V284" i="3"/>
  <c r="U1205" i="3"/>
  <c r="V16" i="3"/>
  <c r="V79" i="3"/>
  <c r="V293" i="3"/>
  <c r="V950" i="3"/>
  <c r="V1161" i="3"/>
  <c r="V847" i="3"/>
  <c r="V1033" i="3"/>
  <c r="V1014" i="3"/>
  <c r="V757" i="3"/>
  <c r="V248" i="3"/>
  <c r="V901" i="3"/>
  <c r="V1045" i="3"/>
  <c r="V958" i="3"/>
  <c r="V882" i="3"/>
  <c r="V219" i="3"/>
  <c r="V562" i="3"/>
  <c r="V522" i="3"/>
  <c r="V380" i="3"/>
  <c r="V999" i="3"/>
  <c r="V690" i="3"/>
  <c r="V825" i="3"/>
  <c r="V1076" i="3"/>
  <c r="V838" i="3"/>
  <c r="V1035" i="3"/>
  <c r="V674" i="3"/>
  <c r="V97" i="3"/>
  <c r="V1070" i="3"/>
  <c r="V421" i="3"/>
  <c r="V466" i="3"/>
  <c r="V426" i="3"/>
  <c r="V171" i="3"/>
  <c r="V128" i="3"/>
  <c r="V440" i="3"/>
  <c r="V1133" i="3"/>
  <c r="V1165" i="3"/>
  <c r="V405" i="3"/>
  <c r="V1184" i="3"/>
  <c r="V734" i="3"/>
  <c r="V659" i="3"/>
  <c r="V537" i="3"/>
  <c r="V626" i="3"/>
  <c r="V920" i="3"/>
  <c r="V210" i="3"/>
  <c r="V994" i="3"/>
  <c r="V1177" i="3"/>
  <c r="V695" i="3"/>
  <c r="V704" i="3"/>
  <c r="V270" i="3"/>
  <c r="V162" i="3"/>
  <c r="V979" i="3"/>
  <c r="V839" i="3"/>
  <c r="V1142" i="3"/>
  <c r="V1143" i="3" s="1"/>
  <c r="W63" i="5" s="1"/>
  <c r="V526" i="3"/>
  <c r="V546" i="3"/>
  <c r="V985" i="3"/>
  <c r="V859" i="3"/>
  <c r="V311" i="3"/>
  <c r="V239" i="3"/>
  <c r="V739" i="3"/>
  <c r="V542" i="3"/>
  <c r="V777" i="3"/>
  <c r="V758" i="3"/>
  <c r="V1057" i="3"/>
  <c r="V27" i="3"/>
  <c r="V1176" i="3"/>
  <c r="V878" i="3"/>
  <c r="V557" i="3"/>
  <c r="V978" i="3"/>
  <c r="V65" i="3"/>
  <c r="V197" i="3"/>
  <c r="U1018" i="3"/>
  <c r="U203" i="3"/>
  <c r="U1123" i="3"/>
  <c r="U1210" i="3" s="1"/>
  <c r="U1240" i="3" s="1"/>
  <c r="V685" i="3"/>
  <c r="V25" i="3"/>
  <c r="V1174" i="3"/>
  <c r="V321" i="3"/>
  <c r="V571" i="3"/>
  <c r="V956" i="3"/>
  <c r="V1109" i="3"/>
  <c r="V1034" i="3"/>
  <c r="V617" i="3"/>
  <c r="V201" i="3"/>
  <c r="V1175" i="3"/>
  <c r="V821" i="3"/>
  <c r="V596" i="3"/>
  <c r="V189" i="3"/>
  <c r="V710" i="3"/>
  <c r="V54" i="3"/>
  <c r="V968" i="3"/>
  <c r="V88" i="3"/>
  <c r="V883" i="3"/>
  <c r="V401" i="3"/>
  <c r="V1027" i="3"/>
  <c r="V1107" i="3"/>
  <c r="V83" i="3"/>
  <c r="V212" i="3"/>
  <c r="V816" i="3"/>
  <c r="V973" i="3"/>
  <c r="V772" i="3"/>
  <c r="V1148" i="3"/>
  <c r="V675" i="3"/>
  <c r="V1100" i="3"/>
  <c r="V919" i="3"/>
  <c r="V1062" i="3"/>
  <c r="V1036" i="3"/>
  <c r="V178" i="3"/>
  <c r="V521" i="3"/>
  <c r="V1005" i="3"/>
  <c r="V480" i="3"/>
  <c r="V709" i="3"/>
  <c r="V425" i="3"/>
  <c r="V47" i="3"/>
  <c r="V909" i="3"/>
  <c r="V1053" i="3"/>
  <c r="V793" i="3"/>
  <c r="V1056" i="3"/>
  <c r="V982" i="3"/>
  <c r="V52" i="3"/>
  <c r="V719" i="3"/>
  <c r="V862" i="3"/>
  <c r="V441" i="3"/>
  <c r="V1009" i="3"/>
  <c r="V1147" i="3"/>
  <c r="V820" i="3"/>
  <c r="V1134" i="3"/>
  <c r="V1075" i="3"/>
  <c r="V850" i="3"/>
  <c r="V1092" i="3"/>
  <c r="V1030" i="3"/>
  <c r="V664" i="3"/>
  <c r="V536" i="3"/>
  <c r="V1154" i="3"/>
  <c r="V117" i="3"/>
  <c r="V99" i="3"/>
  <c r="V420" i="3"/>
  <c r="V1047" i="3"/>
  <c r="V252" i="3"/>
  <c r="V155" i="3"/>
  <c r="V552" i="3"/>
  <c r="V744" i="3"/>
  <c r="V917" i="3"/>
  <c r="V20" i="3"/>
  <c r="V1189" i="3"/>
  <c r="V612" i="3"/>
  <c r="V106" i="3"/>
  <c r="V43" i="3"/>
  <c r="V182" i="3"/>
  <c r="V601" i="3"/>
  <c r="V871" i="3"/>
  <c r="V455" i="3"/>
  <c r="V1106" i="3"/>
  <c r="V1040" i="3"/>
  <c r="V386" i="3"/>
  <c r="V900" i="3"/>
  <c r="V607" i="3"/>
  <c r="V38" i="3"/>
  <c r="V990" i="3"/>
  <c r="V243" i="3"/>
  <c r="V1028" i="3"/>
  <c r="V778" i="3"/>
  <c r="V984" i="3"/>
  <c r="V767" i="3"/>
  <c r="V995" i="3"/>
  <c r="V1095" i="3"/>
  <c r="V616" i="3"/>
  <c r="V597" i="3"/>
  <c r="V1149" i="3"/>
  <c r="V1059" i="3"/>
  <c r="V53" i="3"/>
  <c r="V689" i="3"/>
  <c r="V1063" i="3"/>
  <c r="V851" i="3"/>
  <c r="V223" i="3"/>
  <c r="V815" i="3"/>
  <c r="V279" i="3"/>
  <c r="V986" i="3"/>
  <c r="V665" i="3"/>
  <c r="V63" i="3"/>
  <c r="V627" i="3"/>
  <c r="V788" i="3"/>
  <c r="V277" i="3"/>
  <c r="V532" i="3"/>
  <c r="V1093" i="3"/>
  <c r="V1010" i="3"/>
  <c r="V684" i="3"/>
  <c r="V983" i="3"/>
  <c r="V1155" i="3"/>
  <c r="V867" i="3"/>
  <c r="V61" i="3"/>
  <c r="V330" i="3"/>
  <c r="V1074" i="3"/>
  <c r="V773" i="3"/>
  <c r="V1101" i="3"/>
  <c r="V621" i="3"/>
  <c r="V989" i="3"/>
  <c r="V725" i="3"/>
  <c r="V1069" i="3"/>
  <c r="V115" i="3"/>
  <c r="V866" i="3"/>
  <c r="V547" i="3"/>
  <c r="V957" i="3"/>
  <c r="V925" i="3"/>
  <c r="V680" i="3"/>
  <c r="V275" i="3"/>
  <c r="V286" i="3"/>
  <c r="V191" i="3"/>
  <c r="V846" i="3"/>
  <c r="V1004" i="3"/>
  <c r="V29" i="3"/>
  <c r="V288" i="3"/>
  <c r="V863" i="3"/>
  <c r="V72" i="3"/>
  <c r="V669" i="3"/>
  <c r="V471" i="3"/>
  <c r="V306" i="3"/>
  <c r="V1022" i="3"/>
  <c r="V699" i="3"/>
  <c r="V302" i="3"/>
  <c r="V1000" i="3"/>
  <c r="V961" i="3"/>
  <c r="V729" i="3"/>
  <c r="V110" i="3"/>
  <c r="V811" i="3"/>
  <c r="V126" i="3"/>
  <c r="V436" i="3"/>
  <c r="V879" i="3"/>
  <c r="V655" i="3"/>
  <c r="V202" i="3"/>
  <c r="V206" i="3"/>
  <c r="V160" i="3"/>
  <c r="V826" i="3"/>
  <c r="V180" i="3"/>
  <c r="V1138" i="3"/>
  <c r="V1139" i="3" s="1"/>
  <c r="W62" i="5" s="1"/>
  <c r="V1052" i="3"/>
  <c r="V566" i="3"/>
  <c r="V446" i="3"/>
  <c r="V700" i="3"/>
  <c r="V1191" i="3"/>
  <c r="V1042" i="3"/>
  <c r="V137" i="3"/>
  <c r="V261" i="3"/>
  <c r="V842" i="3"/>
  <c r="V745" i="3"/>
  <c r="V395" i="3"/>
  <c r="V445" i="3"/>
  <c r="V200" i="3"/>
  <c r="V531" i="3"/>
  <c r="V461" i="3"/>
  <c r="V762" i="3"/>
  <c r="V101" i="3"/>
  <c r="V1182" i="3"/>
  <c r="V1146" i="3"/>
  <c r="U752" i="3"/>
  <c r="V30" i="5" s="1"/>
  <c r="V400" i="3"/>
  <c r="V798" i="3"/>
  <c r="V854" i="3"/>
  <c r="V144" i="3"/>
  <c r="V1073" i="3"/>
  <c r="V496" i="3"/>
  <c r="V1094" i="3"/>
  <c r="V577" i="3"/>
  <c r="V1068" i="3"/>
  <c r="V874" i="3"/>
  <c r="V929" i="3"/>
  <c r="V257" i="3"/>
  <c r="V262" i="3" s="1"/>
  <c r="V81" i="3"/>
  <c r="V133" i="3"/>
  <c r="V485" i="3"/>
  <c r="V487" i="3" s="1"/>
  <c r="V1064" i="3"/>
  <c r="V124" i="3"/>
  <c r="V396" i="3"/>
  <c r="V1051" i="3"/>
  <c r="V646" i="3"/>
  <c r="V843" i="3"/>
  <c r="V1153" i="3"/>
  <c r="V391" i="3"/>
  <c r="V490" i="3"/>
  <c r="V768" i="3"/>
  <c r="V1041" i="3"/>
  <c r="V92" i="3"/>
  <c r="V406" i="3"/>
  <c r="V622" i="3"/>
  <c r="V951" i="3"/>
  <c r="V797" i="3"/>
  <c r="V475" i="3"/>
  <c r="V34" i="3"/>
  <c r="V214" i="3"/>
  <c r="V582" i="3"/>
  <c r="V142" i="3"/>
  <c r="V221" i="3"/>
  <c r="V266" i="3"/>
  <c r="V320" i="3"/>
  <c r="V611" i="3"/>
  <c r="V56" i="3"/>
  <c r="V858" i="3"/>
  <c r="V390" i="3"/>
  <c r="V960" i="3"/>
  <c r="V431" i="3"/>
  <c r="V465" i="3"/>
  <c r="V959" i="3"/>
  <c r="V205" i="3"/>
  <c r="V787" i="3" s="1"/>
  <c r="V763" i="3"/>
  <c r="V740" i="3"/>
  <c r="V1188" i="3"/>
  <c r="V119" i="3"/>
  <c r="V1024" i="3"/>
  <c r="V1065" i="3"/>
  <c r="V551" i="3"/>
  <c r="V902" i="3"/>
  <c r="V541" i="3"/>
  <c r="V411" i="3"/>
  <c r="V1160" i="3"/>
  <c r="V1190" i="3"/>
  <c r="V714" i="3"/>
  <c r="V591" i="3"/>
  <c r="V1166" i="3"/>
  <c r="V476" i="3"/>
  <c r="V196" i="3"/>
  <c r="V810" i="3"/>
  <c r="V812" i="3" s="1"/>
  <c r="V381" i="3"/>
  <c r="V581" i="3"/>
  <c r="V1015" i="3"/>
  <c r="V151" i="3"/>
  <c r="V527" i="3"/>
  <c r="V1183" i="3"/>
  <c r="V207" i="3"/>
  <c r="V45" i="3"/>
  <c r="V36" i="3"/>
  <c r="V981" i="3"/>
  <c r="V173" i="3"/>
  <c r="V297" i="3"/>
  <c r="V1099" i="3"/>
  <c r="V576" i="3"/>
  <c r="V735" i="3"/>
  <c r="V410" i="3"/>
  <c r="V907" i="3"/>
  <c r="V875" i="3"/>
  <c r="V602" i="3"/>
  <c r="V331" i="3"/>
  <c r="V1108" i="3"/>
  <c r="V1195" i="3"/>
  <c r="V1196" i="3" s="1"/>
  <c r="V169" i="3"/>
  <c r="V153" i="3"/>
  <c r="V724" i="3"/>
  <c r="V870" i="3"/>
  <c r="V572" i="3"/>
  <c r="V974" i="3"/>
  <c r="U802" i="3"/>
  <c r="V586" i="3"/>
  <c r="V1029" i="3"/>
  <c r="V567" i="3"/>
  <c r="V908" i="3"/>
  <c r="V481" i="3"/>
  <c r="V918" i="3"/>
  <c r="V679" i="3"/>
  <c r="V470" i="3"/>
  <c r="V1156" i="3"/>
  <c r="V715" i="3"/>
  <c r="V329" i="3"/>
  <c r="V606" i="3"/>
  <c r="V694" i="3"/>
  <c r="V70" i="3"/>
  <c r="V416" i="3"/>
  <c r="V969" i="3"/>
  <c r="V910" i="3"/>
  <c r="V927" i="3"/>
  <c r="V855" i="3"/>
  <c r="V1058" i="3"/>
  <c r="V903" i="3"/>
  <c r="V592" i="3"/>
  <c r="V435" i="3"/>
  <c r="V430" i="3"/>
  <c r="V1046" i="3"/>
  <c r="V491" i="3"/>
  <c r="V505" i="3" s="1"/>
  <c r="V135" i="3"/>
  <c r="V18" i="3"/>
  <c r="V55" i="3"/>
  <c r="V74" i="3"/>
  <c r="V415" i="3"/>
  <c r="V1088" i="3"/>
  <c r="V1089" i="3" s="1"/>
  <c r="W53" i="5" s="1"/>
  <c r="U509" i="3"/>
  <c r="T1211" i="3"/>
  <c r="T1210" i="3"/>
  <c r="T1240" i="3" s="1"/>
  <c r="T636" i="3"/>
  <c r="U21" i="5" s="1"/>
  <c r="T1209" i="3"/>
  <c r="T1239" i="3" s="1"/>
  <c r="T1018" i="3"/>
  <c r="X207" i="3"/>
  <c r="X1188" i="3"/>
  <c r="X405" i="3"/>
  <c r="X1034" i="3"/>
  <c r="X700" i="3"/>
  <c r="X297" i="3"/>
  <c r="X956" i="3"/>
  <c r="X106" i="3"/>
  <c r="X1023" i="3"/>
  <c r="X430" i="3"/>
  <c r="X734" i="3"/>
  <c r="X1045" i="3"/>
  <c r="X1076" i="3"/>
  <c r="X284" i="3"/>
  <c r="X72" i="3"/>
  <c r="X660" i="3"/>
  <c r="X88" i="3"/>
  <c r="X586" i="3"/>
  <c r="X1036" i="3"/>
  <c r="X52" i="3"/>
  <c r="X646" i="3"/>
  <c r="X1015" i="3"/>
  <c r="X74" i="3"/>
  <c r="X257" i="3"/>
  <c r="X450" i="3"/>
  <c r="X762" i="3"/>
  <c r="X331" i="3"/>
  <c r="X699" i="3"/>
  <c r="X1092" i="3"/>
  <c r="X542" i="3"/>
  <c r="X957" i="3"/>
  <c r="X108" i="3"/>
  <c r="X490" i="3"/>
  <c r="X547" i="3"/>
  <c r="X862" i="3"/>
  <c r="X20" i="3"/>
  <c r="X596" i="3"/>
  <c r="X797" i="3"/>
  <c r="X206" i="3"/>
  <c r="X838" i="3"/>
  <c r="X695" i="3"/>
  <c r="X582" i="3"/>
  <c r="X415" i="3"/>
  <c r="X380" i="3"/>
  <c r="X798" i="3"/>
  <c r="X311" i="3"/>
  <c r="X674" i="3"/>
  <c r="X1101" i="3"/>
  <c r="X1035" i="3"/>
  <c r="X440" i="3"/>
  <c r="X744" i="3"/>
  <c r="X18" i="3"/>
  <c r="X406" i="3"/>
  <c r="X986" i="3"/>
  <c r="X592" i="3"/>
  <c r="X909" i="3"/>
  <c r="X70" i="3"/>
  <c r="X1175" i="3"/>
  <c r="X685" i="3"/>
  <c r="X985" i="3"/>
  <c r="X1073" i="3"/>
  <c r="X842" i="3"/>
  <c r="X739" i="3"/>
  <c r="X461" i="3"/>
  <c r="X476" i="3"/>
  <c r="X151" i="3"/>
  <c r="X710" i="3"/>
  <c r="X1009" i="3"/>
  <c r="X189" i="3"/>
  <c r="X248" i="3"/>
  <c r="X616" i="3"/>
  <c r="X826" i="3"/>
  <c r="X101" i="3"/>
  <c r="X61" i="3"/>
  <c r="X197" i="3"/>
  <c r="X551" i="3"/>
  <c r="X882" i="3"/>
  <c r="X400" i="3"/>
  <c r="X961" i="3"/>
  <c r="X521" i="3"/>
  <c r="X293" i="3"/>
  <c r="X557" i="3"/>
  <c r="X302" i="3"/>
  <c r="X1065" i="3"/>
  <c r="X330" i="3"/>
  <c r="X968" i="3"/>
  <c r="X25" i="3"/>
  <c r="X714" i="3"/>
  <c r="X980" i="3"/>
  <c r="X680" i="3"/>
  <c r="X411" i="3"/>
  <c r="X694" i="3"/>
  <c r="X1184" i="3"/>
  <c r="X1068" i="3"/>
  <c r="X401" i="3"/>
  <c r="X1005" i="3"/>
  <c r="X1024" i="3"/>
  <c r="X758" i="3"/>
  <c r="X994" i="3"/>
  <c r="X496" i="3"/>
  <c r="X329" i="3"/>
  <c r="X773" i="3"/>
  <c r="X173" i="3"/>
  <c r="X767" i="3"/>
  <c r="X1033" i="3"/>
  <c r="X670" i="3"/>
  <c r="X1183" i="3"/>
  <c r="X846" i="3"/>
  <c r="X431" i="3"/>
  <c r="X772" i="3"/>
  <c r="X421" i="3"/>
  <c r="X491" i="3"/>
  <c r="X505" i="3" s="1"/>
  <c r="X1027" i="3"/>
  <c r="X36" i="3"/>
  <c r="X729" i="3"/>
  <c r="X1147" i="3"/>
  <c r="X587" i="3"/>
  <c r="X146" i="3"/>
  <c r="X1149" i="3"/>
  <c r="X124" i="3"/>
  <c r="X1156" i="3"/>
  <c r="X978" i="3"/>
  <c r="X144" i="3"/>
  <c r="X205" i="3"/>
  <c r="X787" i="3" s="1"/>
  <c r="X960" i="3"/>
  <c r="X577" i="3"/>
  <c r="X576" i="3"/>
  <c r="X119" i="3"/>
  <c r="X1046" i="3"/>
  <c r="X919" i="3"/>
  <c r="X788" i="3"/>
  <c r="X1004" i="3"/>
  <c r="X34" i="3"/>
  <c r="X1014" i="3"/>
  <c r="X29" i="3"/>
  <c r="X821" i="3"/>
  <c r="X315" i="3"/>
  <c r="X1000" i="3"/>
  <c r="X951" i="3"/>
  <c r="X480" i="3"/>
  <c r="X128" i="3"/>
  <c r="X730" i="3"/>
  <c r="X212" i="3"/>
  <c r="X1062" i="3"/>
  <c r="X1051" i="3"/>
  <c r="X777" i="3"/>
  <c r="X612" i="3"/>
  <c r="X210" i="3"/>
  <c r="X1102" i="3"/>
  <c r="X481" i="3"/>
  <c r="X1063" i="3"/>
  <c r="X901" i="3"/>
  <c r="X200" i="3"/>
  <c r="T203" i="3"/>
  <c r="T782" i="3"/>
  <c r="T363" i="3"/>
  <c r="U11" i="5" s="1"/>
  <c r="T1222" i="3"/>
  <c r="W1046" i="3"/>
  <c r="W821" i="3"/>
  <c r="W275" i="3"/>
  <c r="W664" i="3"/>
  <c r="T913" i="3"/>
  <c r="U37" i="5" s="1"/>
  <c r="T364" i="3"/>
  <c r="U12" i="5" s="1"/>
  <c r="T635" i="3"/>
  <c r="U20" i="5" s="1"/>
  <c r="T1121" i="3"/>
  <c r="T1208" i="3" s="1"/>
  <c r="T1238" i="3" s="1"/>
  <c r="T752" i="3"/>
  <c r="U30" i="5" s="1"/>
  <c r="T1205" i="3"/>
  <c r="T232" i="3"/>
  <c r="T509" i="3"/>
  <c r="T833" i="3"/>
  <c r="U32" i="5" s="1"/>
  <c r="T327" i="3"/>
  <c r="T889" i="3"/>
  <c r="U33" i="5" s="1"/>
  <c r="S892" i="3"/>
  <c r="S1220" i="3" s="1"/>
  <c r="O48" i="1"/>
  <c r="F47" i="1"/>
  <c r="E47" i="1"/>
  <c r="AD6" i="3"/>
  <c r="AN225" i="4"/>
  <c r="BA227" i="650"/>
  <c r="AN207" i="4"/>
  <c r="BA209" i="650"/>
  <c r="AL154" i="4"/>
  <c r="BA155" i="650"/>
  <c r="AM153" i="4" s="1"/>
  <c r="L43" i="14"/>
  <c r="J44" i="14" s="1"/>
  <c r="K43" i="14"/>
  <c r="Y64" i="6"/>
  <c r="W63" i="6"/>
  <c r="AB63" i="6" s="1"/>
  <c r="AK227" i="4"/>
  <c r="AK208" i="4"/>
  <c r="K42" i="14"/>
  <c r="W1166" i="3" l="1"/>
  <c r="W491" i="3"/>
  <c r="W505" i="3" s="1"/>
  <c r="W974" i="3"/>
  <c r="W1058" i="3"/>
  <c r="W119" i="3"/>
  <c r="W1024" i="3"/>
  <c r="W1022" i="3"/>
  <c r="W918" i="3"/>
  <c r="W223" i="3"/>
  <c r="W591" i="3"/>
  <c r="W1051" i="3"/>
  <c r="W621" i="3"/>
  <c r="W133" i="3"/>
  <c r="W1149" i="3"/>
  <c r="W1075" i="3"/>
  <c r="W777" i="3"/>
  <c r="W854" i="3"/>
  <c r="W1183" i="3"/>
  <c r="W1027" i="3"/>
  <c r="W171" i="3"/>
  <c r="W596" i="3"/>
  <c r="W380" i="3"/>
  <c r="W128" i="3"/>
  <c r="W410" i="3"/>
  <c r="W1106" i="3"/>
  <c r="W788" i="3"/>
  <c r="W665" i="3"/>
  <c r="W266" i="3"/>
  <c r="W858" i="3"/>
  <c r="W1004" i="3"/>
  <c r="W1040" i="3"/>
  <c r="W597" i="3"/>
  <c r="W56" i="3"/>
  <c r="W465" i="3"/>
  <c r="W960" i="3"/>
  <c r="W18" i="3"/>
  <c r="W762" i="3"/>
  <c r="W395" i="3"/>
  <c r="W572" i="3"/>
  <c r="W679" i="3"/>
  <c r="W1092" i="3"/>
  <c r="W1029" i="3"/>
  <c r="W968" i="3"/>
  <c r="W983" i="3"/>
  <c r="W557" i="3"/>
  <c r="W859" i="3"/>
  <c r="W401" i="3"/>
  <c r="W196" i="3"/>
  <c r="W416" i="3"/>
  <c r="W592" i="3"/>
  <c r="W593" i="3" s="1"/>
  <c r="W647" i="3"/>
  <c r="W778" i="3"/>
  <c r="W440" i="3"/>
  <c r="W763" i="3"/>
  <c r="W675" i="3"/>
  <c r="W903" i="3"/>
  <c r="W986" i="3"/>
  <c r="W83" i="3"/>
  <c r="W426" i="3"/>
  <c r="W951" i="3"/>
  <c r="W714" i="3"/>
  <c r="W883" i="3"/>
  <c r="W1138" i="3"/>
  <c r="W1139" i="3" s="1"/>
  <c r="X62" i="5" s="1"/>
  <c r="W670" i="3"/>
  <c r="W279" i="3"/>
  <c r="W710" i="3"/>
  <c r="W1050" i="3"/>
  <c r="W321" i="3"/>
  <c r="W929" i="3"/>
  <c r="W1177" i="3"/>
  <c r="W521" i="3"/>
  <c r="W825" i="3"/>
  <c r="W471" i="3"/>
  <c r="W124" i="3"/>
  <c r="W455" i="3"/>
  <c r="W758" i="3"/>
  <c r="W882" i="3"/>
  <c r="W162" i="3"/>
  <c r="W330" i="3"/>
  <c r="W29" i="3"/>
  <c r="W1107" i="3"/>
  <c r="W1039" i="3"/>
  <c r="W144" i="3"/>
  <c r="W1015" i="3"/>
  <c r="W496" i="3"/>
  <c r="W1095" i="3"/>
  <c r="W994" i="3"/>
  <c r="W1036" i="3"/>
  <c r="W730" i="3"/>
  <c r="W1062" i="3"/>
  <c r="W126" i="3"/>
  <c r="W1093" i="3"/>
  <c r="W1000" i="3"/>
  <c r="W1064" i="3"/>
  <c r="W45" i="3"/>
  <c r="W1174" i="3"/>
  <c r="W436" i="3"/>
  <c r="W659" i="3"/>
  <c r="W146" i="3"/>
  <c r="W445" i="3"/>
  <c r="W1134" i="3"/>
  <c r="W214" i="3"/>
  <c r="W450" i="3"/>
  <c r="W551" i="3"/>
  <c r="W811" i="3"/>
  <c r="W985" i="3"/>
  <c r="W1076" i="3"/>
  <c r="W931" i="3"/>
  <c r="W1133" i="3"/>
  <c r="W1135" i="3" s="1"/>
  <c r="X61" i="5" s="1"/>
  <c r="W870" i="3"/>
  <c r="W1146" i="3"/>
  <c r="W561" i="3"/>
  <c r="W793" i="3"/>
  <c r="W460" i="3"/>
  <c r="W767" i="3"/>
  <c r="W850" i="3"/>
  <c r="W79" i="3"/>
  <c r="W430" i="3"/>
  <c r="W655" i="3"/>
  <c r="W725" i="3"/>
  <c r="W1069" i="3"/>
  <c r="W297" i="3"/>
  <c r="W421" i="3"/>
  <c r="W773" i="3"/>
  <c r="W950" i="3"/>
  <c r="W979" i="3"/>
  <c r="W919" i="3"/>
  <c r="W481" i="3"/>
  <c r="W189" i="3"/>
  <c r="W202" i="3"/>
  <c r="W1161" i="3"/>
  <c r="W261" i="3"/>
  <c r="W277" i="3"/>
  <c r="W1041" i="3"/>
  <c r="W101" i="3"/>
  <c r="W531" i="3"/>
  <c r="W612" i="3"/>
  <c r="W633" i="3" s="1"/>
  <c r="X25" i="5" s="1"/>
  <c r="W1153" i="3"/>
  <c r="W654" i="3"/>
  <c r="W36" i="3"/>
  <c r="W270" i="3"/>
  <c r="W191" i="3"/>
  <c r="W720" i="3"/>
  <c r="W1028" i="3"/>
  <c r="W1034" i="3"/>
  <c r="W694" i="3"/>
  <c r="W446" i="3"/>
  <c r="W302" i="3"/>
  <c r="W902" i="3"/>
  <c r="W1190" i="3"/>
  <c r="V16" i="5"/>
  <c r="W606" i="3"/>
  <c r="W135" i="3"/>
  <c r="W690" i="3"/>
  <c r="W178" i="3"/>
  <c r="W581" i="3"/>
  <c r="W907" i="3"/>
  <c r="W871" i="3"/>
  <c r="W74" i="3"/>
  <c r="W810" i="3"/>
  <c r="W221" i="3"/>
  <c r="W34" i="3"/>
  <c r="W851" i="3"/>
  <c r="W1099" i="3"/>
  <c r="W878" i="3"/>
  <c r="W1053" i="3"/>
  <c r="W396" i="3"/>
  <c r="W397" i="3" s="1"/>
  <c r="W739" i="3"/>
  <c r="W315" i="3"/>
  <c r="W1156" i="3"/>
  <c r="W999" i="3"/>
  <c r="W867" i="3"/>
  <c r="W684" i="3"/>
  <c r="W169" i="3"/>
  <c r="W207" i="3"/>
  <c r="W547" i="3"/>
  <c r="W874" i="3"/>
  <c r="W973" i="3"/>
  <c r="W975" i="3" s="1"/>
  <c r="W705" i="3"/>
  <c r="W1109" i="3"/>
  <c r="W485" i="3"/>
  <c r="W487" i="3" s="1"/>
  <c r="W65" i="3"/>
  <c r="W99" i="3"/>
  <c r="W476" i="3"/>
  <c r="W1188" i="3"/>
  <c r="W16" i="3"/>
  <c r="W182" i="3"/>
  <c r="W1175" i="3"/>
  <c r="W90" i="3"/>
  <c r="W1176" i="3"/>
  <c r="W252" i="3"/>
  <c r="W108" i="3"/>
  <c r="W962" i="3"/>
  <c r="W1070" i="3"/>
  <c r="W1057" i="3"/>
  <c r="W866" i="3"/>
  <c r="W868" i="3" s="1"/>
  <c r="W1165" i="3"/>
  <c r="W1167" i="3" s="1"/>
  <c r="X66" i="5" s="1"/>
  <c r="W617" i="3"/>
  <c r="W735" i="3"/>
  <c r="W25" i="3"/>
  <c r="W958" i="3"/>
  <c r="W768" i="3"/>
  <c r="W532" i="3"/>
  <c r="W838" i="3"/>
  <c r="W556" i="3"/>
  <c r="W815" i="3"/>
  <c r="W425" i="3"/>
  <c r="W1009" i="3"/>
  <c r="W541" i="3"/>
  <c r="W1056" i="3"/>
  <c r="W331" i="3"/>
  <c r="W456" i="3"/>
  <c r="W457" i="3" s="1"/>
  <c r="W1023" i="3"/>
  <c r="W248" i="3"/>
  <c r="W846" i="3"/>
  <c r="W908" i="3"/>
  <c r="W959" i="3"/>
  <c r="W47" i="3"/>
  <c r="W1047" i="3"/>
  <c r="W206" i="3"/>
  <c r="W1189" i="3"/>
  <c r="W1088" i="3"/>
  <c r="W1089" i="3" s="1"/>
  <c r="X53" i="5" s="1"/>
  <c r="W1142" i="3"/>
  <c r="W982" i="3"/>
  <c r="W1191" i="3"/>
  <c r="W415" i="3"/>
  <c r="W685" i="3"/>
  <c r="W106" i="3"/>
  <c r="W197" i="3"/>
  <c r="W390" i="3"/>
  <c r="W53" i="3"/>
  <c r="W1035" i="3"/>
  <c r="W1170" i="3"/>
  <c r="W1171" i="3" s="1"/>
  <c r="X67" i="5" s="1"/>
  <c r="W1059" i="3"/>
  <c r="W704" i="3"/>
  <c r="W706" i="3" s="1"/>
  <c r="W700" i="3"/>
  <c r="W745" i="3"/>
  <c r="W1068" i="3"/>
  <c r="W1102" i="3"/>
  <c r="W219" i="3"/>
  <c r="W72" i="3"/>
  <c r="W855" i="3"/>
  <c r="W1074" i="3"/>
  <c r="W1010" i="3"/>
  <c r="W627" i="3"/>
  <c r="W719" i="3"/>
  <c r="W546" i="3"/>
  <c r="W816" i="3"/>
  <c r="W20" i="3"/>
  <c r="W70" i="3"/>
  <c r="W88" i="3"/>
  <c r="W542" i="3"/>
  <c r="W435" i="3"/>
  <c r="W43" i="3"/>
  <c r="W602" i="3"/>
  <c r="W847" i="3"/>
  <c r="W385" i="3"/>
  <c r="W917" i="3"/>
  <c r="W451" i="3"/>
  <c r="W1100" i="3"/>
  <c r="W63" i="3"/>
  <c r="W110" i="3"/>
  <c r="W187" i="3"/>
  <c r="W1063" i="3"/>
  <c r="W142" i="3"/>
  <c r="W616" i="3"/>
  <c r="W117" i="3"/>
  <c r="W164" i="3"/>
  <c r="W601" i="3"/>
  <c r="W1182" i="3"/>
  <c r="W52" i="3"/>
  <c r="W522" i="3"/>
  <c r="W961" i="3"/>
  <c r="W990" i="3"/>
  <c r="W286" i="3"/>
  <c r="W173" i="3"/>
  <c r="W490" i="3"/>
  <c r="W492" i="3" s="1"/>
  <c r="W480" i="3"/>
  <c r="W566" i="3"/>
  <c r="W562" i="3"/>
  <c r="W607" i="3"/>
  <c r="W927" i="3"/>
  <c r="W243" i="3"/>
  <c r="W38" i="3"/>
  <c r="W1094" i="3"/>
  <c r="W1045" i="3"/>
  <c r="W386" i="3"/>
  <c r="W431" i="3"/>
  <c r="W441" i="3"/>
  <c r="W772" i="3"/>
  <c r="W400" i="3"/>
  <c r="W695" i="3"/>
  <c r="W1052" i="3"/>
  <c r="W205" i="3"/>
  <c r="W787" i="3" s="1"/>
  <c r="W92" i="3"/>
  <c r="W1042" i="3"/>
  <c r="W839" i="3"/>
  <c r="W909" i="3"/>
  <c r="W1101" i="3"/>
  <c r="W466" i="3"/>
  <c r="W536" i="3"/>
  <c r="W538" i="3" s="1"/>
  <c r="W900" i="3"/>
  <c r="W956" i="3"/>
  <c r="W1065" i="3"/>
  <c r="W293" i="3"/>
  <c r="W669" i="3"/>
  <c r="W843" i="3"/>
  <c r="W55" i="3"/>
  <c r="W660" i="3"/>
  <c r="W646" i="3"/>
  <c r="W526" i="3"/>
  <c r="W115" i="3"/>
  <c r="W210" i="3"/>
  <c r="W153" i="3"/>
  <c r="W470" i="3"/>
  <c r="W978" i="3"/>
  <c r="W1005" i="3"/>
  <c r="W587" i="3"/>
  <c r="W1181" i="3"/>
  <c r="W311" i="3"/>
  <c r="W97" i="3"/>
  <c r="W879" i="3"/>
  <c r="W567" i="3"/>
  <c r="W680" i="3"/>
  <c r="W582" i="3"/>
  <c r="W461" i="3"/>
  <c r="W527" i="3"/>
  <c r="W820" i="3"/>
  <c r="W822" i="3" s="1"/>
  <c r="W475" i="3"/>
  <c r="W957" i="3"/>
  <c r="W160" i="3"/>
  <c r="W212" i="3"/>
  <c r="W239" i="3"/>
  <c r="W420" i="3"/>
  <c r="W862" i="3"/>
  <c r="W552" i="3"/>
  <c r="W553" i="3" s="1"/>
  <c r="W969" i="3"/>
  <c r="W757" i="3"/>
  <c r="W826" i="3"/>
  <c r="W1154" i="3"/>
  <c r="W715" i="3"/>
  <c r="W716" i="3" s="1"/>
  <c r="W729" i="3"/>
  <c r="W381" i="3"/>
  <c r="W382" i="3" s="1"/>
  <c r="W180" i="3"/>
  <c r="W320" i="3"/>
  <c r="W1014" i="3"/>
  <c r="W689" i="3"/>
  <c r="W875" i="3"/>
  <c r="W54" i="3"/>
  <c r="W1030" i="3"/>
  <c r="W863" i="3"/>
  <c r="W910" i="3"/>
  <c r="W81" i="3"/>
  <c r="W586" i="3"/>
  <c r="V22" i="5"/>
  <c r="W61" i="3"/>
  <c r="W1184" i="3"/>
  <c r="W925" i="3"/>
  <c r="W980" i="3"/>
  <c r="W155" i="3"/>
  <c r="W709" i="3"/>
  <c r="W626" i="3"/>
  <c r="W571" i="3"/>
  <c r="W1147" i="3"/>
  <c r="W257" i="3"/>
  <c r="W984" i="3"/>
  <c r="W284" i="3"/>
  <c r="W151" i="3"/>
  <c r="W406" i="3"/>
  <c r="W495" i="3"/>
  <c r="W577" i="3"/>
  <c r="W200" i="3"/>
  <c r="W391" i="3"/>
  <c r="W329" i="3"/>
  <c r="W734" i="3"/>
  <c r="W736" i="3" s="1"/>
  <c r="W405" i="3"/>
  <c r="W411" i="3"/>
  <c r="W1155" i="3"/>
  <c r="W576" i="3"/>
  <c r="W578" i="3" s="1"/>
  <c r="W137" i="3"/>
  <c r="W1195" i="3"/>
  <c r="W1196" i="3" s="1"/>
  <c r="W842" i="3"/>
  <c r="W611" i="3"/>
  <c r="W674" i="3"/>
  <c r="W920" i="3"/>
  <c r="W1033" i="3"/>
  <c r="W201" i="3"/>
  <c r="W699" i="3"/>
  <c r="W701" i="3" s="1"/>
  <c r="W1148" i="3"/>
  <c r="W1073" i="3"/>
  <c r="W1108" i="3"/>
  <c r="W798" i="3"/>
  <c r="W288" i="3"/>
  <c r="W724" i="3"/>
  <c r="W744" i="3"/>
  <c r="W740" i="3"/>
  <c r="W27" i="3"/>
  <c r="W306" i="3"/>
  <c r="W622" i="3"/>
  <c r="W623" i="3" s="1"/>
  <c r="W995" i="3"/>
  <c r="W901" i="3"/>
  <c r="W989" i="3"/>
  <c r="W991" i="3" s="1"/>
  <c r="W1160" i="3"/>
  <c r="W1162" i="3" s="1"/>
  <c r="X65" i="5" s="1"/>
  <c r="W797" i="3"/>
  <c r="W981" i="3"/>
  <c r="X617" i="3"/>
  <c r="X618" i="3" s="1"/>
  <c r="X974" i="3"/>
  <c r="X56" i="3"/>
  <c r="X202" i="3"/>
  <c r="X446" i="3"/>
  <c r="X470" i="3"/>
  <c r="X65" i="3"/>
  <c r="X1050" i="3"/>
  <c r="X607" i="3"/>
  <c r="X1107" i="3"/>
  <c r="X288" i="3"/>
  <c r="X395" i="3"/>
  <c r="X1165" i="3"/>
  <c r="X1029" i="3"/>
  <c r="X815" i="3"/>
  <c r="X171" i="3"/>
  <c r="X137" i="3"/>
  <c r="X381" i="3"/>
  <c r="X382" i="3" s="1"/>
  <c r="X1148" i="3"/>
  <c r="X768" i="3"/>
  <c r="X769" i="3" s="1"/>
  <c r="X321" i="3"/>
  <c r="X927" i="3"/>
  <c r="X647" i="3"/>
  <c r="X649" i="3" s="1"/>
  <c r="Y29" i="5" s="1"/>
  <c r="X456" i="3"/>
  <c r="X495" i="3"/>
  <c r="X497" i="3" s="1"/>
  <c r="X929" i="3"/>
  <c r="X626" i="3"/>
  <c r="X689" i="3"/>
  <c r="X659" i="3"/>
  <c r="X661" i="3" s="1"/>
  <c r="X385" i="3"/>
  <c r="X1190" i="3"/>
  <c r="X867" i="3"/>
  <c r="X725" i="3"/>
  <c r="X908" i="3"/>
  <c r="X879" i="3"/>
  <c r="X390" i="3"/>
  <c r="X1109" i="3"/>
  <c r="X959" i="3"/>
  <c r="X243" i="3"/>
  <c r="X1134" i="3"/>
  <c r="X182" i="3"/>
  <c r="X425" i="3"/>
  <c r="X466" i="3"/>
  <c r="X878" i="3"/>
  <c r="X918" i="3"/>
  <c r="X391" i="3"/>
  <c r="X871" i="3"/>
  <c r="X445" i="3"/>
  <c r="X854" i="3"/>
  <c r="X214" i="3"/>
  <c r="X215" i="3" s="1"/>
  <c r="X531" i="3"/>
  <c r="X1191" i="3"/>
  <c r="X252" i="3"/>
  <c r="X950" i="3"/>
  <c r="X953" i="3" s="1"/>
  <c r="X1010" i="3"/>
  <c r="X1011" i="3" s="1"/>
  <c r="X546" i="3"/>
  <c r="X548" i="3" s="1"/>
  <c r="X1174" i="3"/>
  <c r="X611" i="3"/>
  <c r="X613" i="3" s="1"/>
  <c r="X1047" i="3"/>
  <c r="X863" i="3"/>
  <c r="X864" i="3" s="1"/>
  <c r="X436" i="3"/>
  <c r="X110" i="3"/>
  <c r="X111" i="3" s="1"/>
  <c r="X591" i="3"/>
  <c r="X593" i="3" s="1"/>
  <c r="X1177" i="3"/>
  <c r="X866" i="3"/>
  <c r="V34" i="5"/>
  <c r="X704" i="3"/>
  <c r="X816" i="3"/>
  <c r="X606" i="3"/>
  <c r="X451" i="3"/>
  <c r="X452" i="3" s="1"/>
  <c r="X435" i="3"/>
  <c r="X180" i="3"/>
  <c r="X684" i="3"/>
  <c r="X686" i="3" s="1"/>
  <c r="X45" i="3"/>
  <c r="X1153" i="3"/>
  <c r="X757" i="3"/>
  <c r="X759" i="3" s="1"/>
  <c r="X1094" i="3"/>
  <c r="X1075" i="3"/>
  <c r="X778" i="3"/>
  <c r="X779" i="3" s="1"/>
  <c r="X27" i="3"/>
  <c r="X30" i="3" s="1"/>
  <c r="X1064" i="3"/>
  <c r="X1146" i="3"/>
  <c r="X386" i="3"/>
  <c r="X839" i="3"/>
  <c r="X840" i="3" s="1"/>
  <c r="X1181" i="3"/>
  <c r="X990" i="3"/>
  <c r="X420" i="3"/>
  <c r="X422" i="3" s="1"/>
  <c r="X1070" i="3"/>
  <c r="X155" i="3"/>
  <c r="X917" i="3"/>
  <c r="X142" i="3"/>
  <c r="X147" i="3" s="1"/>
  <c r="X1170" i="3"/>
  <c r="X1171" i="3" s="1"/>
  <c r="Y67" i="5" s="1"/>
  <c r="X455" i="3"/>
  <c r="X720" i="3"/>
  <c r="X1093" i="3"/>
  <c r="X54" i="3"/>
  <c r="X320" i="3"/>
  <c r="X931" i="3"/>
  <c r="X1154" i="3"/>
  <c r="X602" i="3"/>
  <c r="X850" i="3"/>
  <c r="X902" i="3"/>
  <c r="X999" i="3"/>
  <c r="X1001" i="3" s="1"/>
  <c r="X38" i="3"/>
  <c r="X39" i="3" s="1"/>
  <c r="X745" i="3"/>
  <c r="X746" i="3" s="1"/>
  <c r="X187" i="3"/>
  <c r="X526" i="3"/>
  <c r="X1053" i="3"/>
  <c r="X83" i="3"/>
  <c r="X567" i="3"/>
  <c r="X261" i="3"/>
  <c r="X262" i="3" s="1"/>
  <c r="X1166" i="3"/>
  <c r="X1088" i="3"/>
  <c r="X1089" i="3" s="1"/>
  <c r="Y53" i="5" s="1"/>
  <c r="X1039" i="3"/>
  <c r="X178" i="3"/>
  <c r="X1030" i="3"/>
  <c r="X133" i="3"/>
  <c r="X460" i="3"/>
  <c r="X462" i="3" s="1"/>
  <c r="X1059" i="3"/>
  <c r="X164" i="3"/>
  <c r="X654" i="3"/>
  <c r="X982" i="3"/>
  <c r="X81" i="3"/>
  <c r="X239" i="3"/>
  <c r="X270" i="3"/>
  <c r="X1056" i="3"/>
  <c r="X1040" i="3"/>
  <c r="X958" i="3"/>
  <c r="X201" i="3"/>
  <c r="X810" i="3"/>
  <c r="X552" i="3"/>
  <c r="U22" i="5"/>
  <c r="U16" i="5"/>
  <c r="X1095" i="3"/>
  <c r="X471" i="3"/>
  <c r="X472" i="3" s="1"/>
  <c r="X962" i="3"/>
  <c r="X679" i="3"/>
  <c r="X681" i="3" s="1"/>
  <c r="X669" i="3"/>
  <c r="X671" i="3" s="1"/>
  <c r="X903" i="3"/>
  <c r="X115" i="3"/>
  <c r="X655" i="3"/>
  <c r="X601" i="3"/>
  <c r="X99" i="3"/>
  <c r="X1041" i="3"/>
  <c r="X153" i="3"/>
  <c r="X156" i="3" s="1"/>
  <c r="X622" i="3"/>
  <c r="X47" i="3"/>
  <c r="X883" i="3"/>
  <c r="X884" i="3" s="1"/>
  <c r="X843" i="3"/>
  <c r="X844" i="3" s="1"/>
  <c r="X981" i="3"/>
  <c r="X925" i="3"/>
  <c r="X410" i="3"/>
  <c r="X412" i="3" s="1"/>
  <c r="X566" i="3"/>
  <c r="X1182" i="3"/>
  <c r="X306" i="3"/>
  <c r="X307" i="3" s="1"/>
  <c r="X1022" i="3"/>
  <c r="X983" i="3"/>
  <c r="X465" i="3"/>
  <c r="X1028" i="3"/>
  <c r="X117" i="3"/>
  <c r="X219" i="3"/>
  <c r="X229" i="3" s="1"/>
  <c r="X782" i="3" s="1"/>
  <c r="X191" i="3"/>
  <c r="X135" i="3"/>
  <c r="X90" i="3"/>
  <c r="X1138" i="3"/>
  <c r="X1139" i="3" s="1"/>
  <c r="Y62" i="5" s="1"/>
  <c r="X664" i="3"/>
  <c r="X537" i="3"/>
  <c r="X633" i="3" s="1"/>
  <c r="Y25" i="5" s="1"/>
  <c r="X126" i="3"/>
  <c r="X129" i="3" s="1"/>
  <c r="X1161" i="3"/>
  <c r="X1155" i="3"/>
  <c r="X793" i="3"/>
  <c r="X426" i="3"/>
  <c r="X1069" i="3"/>
  <c r="X562" i="3"/>
  <c r="X920" i="3"/>
  <c r="X1108" i="3"/>
  <c r="X1058" i="3"/>
  <c r="X847" i="3"/>
  <c r="X848" i="3" s="1"/>
  <c r="X223" i="3"/>
  <c r="X851" i="3"/>
  <c r="X811" i="3"/>
  <c r="X266" i="3"/>
  <c r="X973" i="3"/>
  <c r="X855" i="3"/>
  <c r="X969" i="3"/>
  <c r="X970" i="3" s="1"/>
  <c r="X989" i="3"/>
  <c r="X279" i="3"/>
  <c r="X16" i="3"/>
  <c r="X21" i="3" s="1"/>
  <c r="X522" i="3"/>
  <c r="X523" i="3" s="1"/>
  <c r="X1042" i="3"/>
  <c r="X561" i="3"/>
  <c r="X563" i="3" s="1"/>
  <c r="X53" i="3"/>
  <c r="X874" i="3"/>
  <c r="X627" i="3"/>
  <c r="X169" i="3"/>
  <c r="X475" i="3"/>
  <c r="X477" i="3" s="1"/>
  <c r="X1099" i="3"/>
  <c r="X1133" i="3"/>
  <c r="X907" i="3"/>
  <c r="X900" i="3"/>
  <c r="X675" i="3"/>
  <c r="X676" i="3" s="1"/>
  <c r="X416" i="3"/>
  <c r="X417" i="3" s="1"/>
  <c r="X536" i="3"/>
  <c r="X55" i="3"/>
  <c r="X79" i="3"/>
  <c r="X859" i="3"/>
  <c r="X1142" i="3"/>
  <c r="X1143" i="3" s="1"/>
  <c r="Y63" i="5" s="1"/>
  <c r="X532" i="3"/>
  <c r="X1052" i="3"/>
  <c r="X92" i="3"/>
  <c r="X196" i="3"/>
  <c r="X621" i="3"/>
  <c r="X571" i="3"/>
  <c r="X995" i="3"/>
  <c r="X996" i="3" s="1"/>
  <c r="X705" i="3"/>
  <c r="X1100" i="3"/>
  <c r="X1160" i="3"/>
  <c r="X1162" i="3" s="1"/>
  <c r="Y65" i="5" s="1"/>
  <c r="X740" i="3"/>
  <c r="X741" i="3" s="1"/>
  <c r="X715" i="3"/>
  <c r="X716" i="3" s="1"/>
  <c r="X63" i="3"/>
  <c r="X719" i="3"/>
  <c r="X43" i="3"/>
  <c r="X485" i="3"/>
  <c r="X487" i="3" s="1"/>
  <c r="X665" i="3"/>
  <c r="X277" i="3"/>
  <c r="X820" i="3"/>
  <c r="X822" i="3" s="1"/>
  <c r="X286" i="3"/>
  <c r="X289" i="3" s="1"/>
  <c r="X441" i="3"/>
  <c r="X442" i="3" s="1"/>
  <c r="X527" i="3"/>
  <c r="X221" i="3"/>
  <c r="X230" i="3" s="1"/>
  <c r="X825" i="3"/>
  <c r="X827" i="3" s="1"/>
  <c r="X1176" i="3"/>
  <c r="X875" i="3"/>
  <c r="X979" i="3"/>
  <c r="X597" i="3"/>
  <c r="X598" i="3" s="1"/>
  <c r="X97" i="3"/>
  <c r="X910" i="3"/>
  <c r="X763" i="3"/>
  <c r="X764" i="3" s="1"/>
  <c r="X160" i="3"/>
  <c r="X1106" i="3"/>
  <c r="X162" i="3"/>
  <c r="X735" i="3"/>
  <c r="X736" i="3" s="1"/>
  <c r="X581" i="3"/>
  <c r="X583" i="3" s="1"/>
  <c r="X1189" i="3"/>
  <c r="X984" i="3"/>
  <c r="X1195" i="3"/>
  <c r="X1196" i="3" s="1"/>
  <c r="X690" i="3"/>
  <c r="X1074" i="3"/>
  <c r="X858" i="3"/>
  <c r="X870" i="3"/>
  <c r="X572" i="3"/>
  <c r="X556" i="3"/>
  <c r="X558" i="3" s="1"/>
  <c r="X275" i="3"/>
  <c r="X541" i="3"/>
  <c r="X543" i="3" s="1"/>
  <c r="X396" i="3"/>
  <c r="X724" i="3"/>
  <c r="X1057" i="3"/>
  <c r="B47" i="1"/>
  <c r="V417" i="3"/>
  <c r="V371" i="3"/>
  <c r="V1083" i="3"/>
  <c r="V1123" i="3" s="1"/>
  <c r="V1078" i="3"/>
  <c r="V1084" i="3" s="1"/>
  <c r="V1124" i="3" s="1"/>
  <c r="V608" i="3"/>
  <c r="V462" i="3"/>
  <c r="V1082" i="3"/>
  <c r="V1122" i="3" s="1"/>
  <c r="U1121" i="3"/>
  <c r="U1208" i="3" s="1"/>
  <c r="U1238" i="3" s="1"/>
  <c r="V1167" i="3"/>
  <c r="W66" i="5" s="1"/>
  <c r="V613" i="3"/>
  <c r="X701" i="3"/>
  <c r="V711" i="3"/>
  <c r="V848" i="3"/>
  <c r="V991" i="3"/>
  <c r="V497" i="3"/>
  <c r="V578" i="3"/>
  <c r="V721" i="3"/>
  <c r="V568" i="3"/>
  <c r="V156" i="3"/>
  <c r="V231" i="3"/>
  <c r="V884" i="3"/>
  <c r="V412" i="3"/>
  <c r="V661" i="3"/>
  <c r="V880" i="3"/>
  <c r="V953" i="3"/>
  <c r="V789" i="3"/>
  <c r="V671" i="3"/>
  <c r="V21" i="3"/>
  <c r="V244" i="3"/>
  <c r="V726" i="3"/>
  <c r="V382" i="3"/>
  <c r="V593" i="3"/>
  <c r="V102" i="3"/>
  <c r="V253" i="3"/>
  <c r="V1135" i="3"/>
  <c r="W61" i="5" s="1"/>
  <c r="V868" i="3"/>
  <c r="V427" i="3"/>
  <c r="V588" i="3"/>
  <c r="V147" i="3"/>
  <c r="V731" i="3"/>
  <c r="V1001" i="3"/>
  <c r="V457" i="3"/>
  <c r="V741" i="3"/>
  <c r="U639" i="3"/>
  <c r="U1219" i="3" s="1"/>
  <c r="V447" i="3"/>
  <c r="V822" i="3"/>
  <c r="V501" i="3"/>
  <c r="V422" i="3"/>
  <c r="V452" i="3"/>
  <c r="V372" i="3"/>
  <c r="V543" i="3"/>
  <c r="V779" i="3"/>
  <c r="V467" i="3"/>
  <c r="V477" i="3"/>
  <c r="V437" i="3"/>
  <c r="V746" i="3"/>
  <c r="V598" i="3"/>
  <c r="V271" i="3"/>
  <c r="V656" i="3"/>
  <c r="V324" i="3"/>
  <c r="V792" i="3"/>
  <c r="V794" i="3" s="1"/>
  <c r="U892" i="3"/>
  <c r="U1220" i="3" s="1"/>
  <c r="V432" i="3"/>
  <c r="V844" i="3"/>
  <c r="V681" i="3"/>
  <c r="V618" i="3"/>
  <c r="V921" i="3"/>
  <c r="V120" i="3"/>
  <c r="V192" i="3"/>
  <c r="U368" i="3"/>
  <c r="U512" i="3" s="1"/>
  <c r="V628" i="3"/>
  <c r="V631" i="3" s="1"/>
  <c r="W24" i="5" s="1"/>
  <c r="V676" i="3"/>
  <c r="V759" i="3"/>
  <c r="V325" i="3"/>
  <c r="V365" i="3" s="1"/>
  <c r="V558" i="3"/>
  <c r="V799" i="3"/>
  <c r="V696" i="3"/>
  <c r="V407" i="3"/>
  <c r="V649" i="3"/>
  <c r="W29" i="5" s="1"/>
  <c r="V764" i="3"/>
  <c r="V701" i="3"/>
  <c r="V66" i="3"/>
  <c r="V633" i="3"/>
  <c r="V736" i="3"/>
  <c r="V1162" i="3"/>
  <c r="W65" i="5" s="1"/>
  <c r="V856" i="3"/>
  <c r="V138" i="3"/>
  <c r="V1103" i="3"/>
  <c r="W55" i="5" s="1"/>
  <c r="V686" i="3"/>
  <c r="V691" i="3"/>
  <c r="V996" i="3"/>
  <c r="V706" i="3"/>
  <c r="V840" i="3"/>
  <c r="V229" i="3"/>
  <c r="V782" i="3" s="1"/>
  <c r="V298" i="3"/>
  <c r="V84" i="3"/>
  <c r="V523" i="3"/>
  <c r="V1016" i="3"/>
  <c r="V482" i="3"/>
  <c r="V506" i="3"/>
  <c r="X799" i="3"/>
  <c r="V716" i="3"/>
  <c r="V174" i="3"/>
  <c r="V402" i="3"/>
  <c r="V165" i="3"/>
  <c r="V280" i="3"/>
  <c r="V387" i="3"/>
  <c r="V442" i="3"/>
  <c r="V975" i="3"/>
  <c r="V528" i="3"/>
  <c r="V1185" i="3"/>
  <c r="V316" i="3"/>
  <c r="V872" i="3"/>
  <c r="V1157" i="3"/>
  <c r="V492" i="3"/>
  <c r="V533" i="3"/>
  <c r="V1096" i="3"/>
  <c r="W54" i="5" s="1"/>
  <c r="V864" i="3"/>
  <c r="V970" i="3"/>
  <c r="V623" i="3"/>
  <c r="V603" i="3"/>
  <c r="V573" i="3"/>
  <c r="V397" i="3"/>
  <c r="V563" i="3"/>
  <c r="V224" i="3"/>
  <c r="X578" i="3"/>
  <c r="X298" i="3"/>
  <c r="X75" i="3"/>
  <c r="V911" i="3"/>
  <c r="V1192" i="3"/>
  <c r="V503" i="3"/>
  <c r="V583" i="3"/>
  <c r="V93" i="3"/>
  <c r="V129" i="3"/>
  <c r="V1006" i="3"/>
  <c r="V964" i="3"/>
  <c r="V750" i="3"/>
  <c r="V538" i="3"/>
  <c r="V1200" i="3"/>
  <c r="V323" i="3"/>
  <c r="V783" i="3" s="1"/>
  <c r="V803" i="3" s="1"/>
  <c r="V1150" i="3"/>
  <c r="X789" i="3"/>
  <c r="X696" i="3"/>
  <c r="X407" i="3"/>
  <c r="V887" i="3"/>
  <c r="V370" i="3"/>
  <c r="V860" i="3"/>
  <c r="V876" i="3"/>
  <c r="V827" i="3"/>
  <c r="V831" i="3"/>
  <c r="V307" i="3"/>
  <c r="V634" i="3"/>
  <c r="V57" i="3"/>
  <c r="V769" i="3"/>
  <c r="V904" i="3"/>
  <c r="V48" i="3"/>
  <c r="V666" i="3"/>
  <c r="V1011" i="3"/>
  <c r="V183" i="3"/>
  <c r="V774" i="3"/>
  <c r="V1178" i="3"/>
  <c r="W68" i="5" s="1"/>
  <c r="V326" i="3"/>
  <c r="V472" i="3"/>
  <c r="V553" i="3"/>
  <c r="V1199" i="3"/>
  <c r="V75" i="3"/>
  <c r="V289" i="3"/>
  <c r="V817" i="3"/>
  <c r="V1202" i="3"/>
  <c r="V1110" i="3"/>
  <c r="W56" i="5" s="1"/>
  <c r="V852" i="3"/>
  <c r="V230" i="3"/>
  <c r="V30" i="3"/>
  <c r="V39" i="3"/>
  <c r="V111" i="3"/>
  <c r="V502" i="3"/>
  <c r="V830" i="3"/>
  <c r="V1201" i="3"/>
  <c r="V548" i="3"/>
  <c r="V749" i="3"/>
  <c r="V632" i="3"/>
  <c r="V392" i="3"/>
  <c r="V215" i="3"/>
  <c r="V886" i="3"/>
  <c r="V507" i="3"/>
  <c r="U1127" i="3"/>
  <c r="U1214" i="3" s="1"/>
  <c r="X482" i="3"/>
  <c r="X1006" i="3"/>
  <c r="X774" i="3"/>
  <c r="X1016" i="3"/>
  <c r="W872" i="3"/>
  <c r="X731" i="3"/>
  <c r="X432" i="3"/>
  <c r="X371" i="3"/>
  <c r="X372" i="3"/>
  <c r="X588" i="3"/>
  <c r="X711" i="3"/>
  <c r="X316" i="3"/>
  <c r="X325" i="3"/>
  <c r="X365" i="3" s="1"/>
  <c r="T784" i="3"/>
  <c r="T805" i="3" s="1"/>
  <c r="U31" i="5" s="1"/>
  <c r="U34" i="5" s="1"/>
  <c r="T802" i="3"/>
  <c r="T1127" i="3"/>
  <c r="T1214" i="3" s="1"/>
  <c r="X402" i="3"/>
  <c r="X492" i="3"/>
  <c r="X370" i="3"/>
  <c r="T639" i="3"/>
  <c r="T1219" i="3" s="1"/>
  <c r="T368" i="3"/>
  <c r="T512" i="3" s="1"/>
  <c r="W666" i="3"/>
  <c r="Y9" i="3"/>
  <c r="Y8" i="3"/>
  <c r="Y1" i="3" s="1"/>
  <c r="S923" i="3"/>
  <c r="O49" i="1"/>
  <c r="F48" i="1"/>
  <c r="E48" i="1"/>
  <c r="Z8" i="3" s="1"/>
  <c r="Z1" i="3" s="1"/>
  <c r="AE6" i="3"/>
  <c r="AN235" i="4"/>
  <c r="AY229" i="650"/>
  <c r="AM225" i="4"/>
  <c r="BA229" i="650"/>
  <c r="BA237" i="650"/>
  <c r="AM207" i="4"/>
  <c r="AP207" i="4" s="1"/>
  <c r="AQ207" i="4" s="1"/>
  <c r="BA210" i="650"/>
  <c r="AY210" i="650"/>
  <c r="Y65" i="6"/>
  <c r="W64" i="6"/>
  <c r="AB64" i="6" s="1"/>
  <c r="K44" i="14"/>
  <c r="L44" i="14"/>
  <c r="J45" i="14" s="1"/>
  <c r="BA156" i="650"/>
  <c r="W613" i="3" l="1"/>
  <c r="W864" i="3"/>
  <c r="W462" i="3"/>
  <c r="W789" i="3"/>
  <c r="W392" i="3"/>
  <c r="W231" i="3"/>
  <c r="W764" i="3"/>
  <c r="W860" i="3"/>
  <c r="W467" i="3"/>
  <c r="W779" i="3"/>
  <c r="W691" i="3"/>
  <c r="W721" i="3"/>
  <c r="W271" i="3"/>
  <c r="W230" i="3"/>
  <c r="W876" i="3"/>
  <c r="W856" i="3"/>
  <c r="W417" i="3"/>
  <c r="W996" i="3"/>
  <c r="W676" i="3"/>
  <c r="W432" i="3"/>
  <c r="W726" i="3"/>
  <c r="W598" i="3"/>
  <c r="W563" i="3"/>
  <c r="W253" i="3"/>
  <c r="X726" i="3"/>
  <c r="W1006" i="3"/>
  <c r="W603" i="3"/>
  <c r="X975" i="3"/>
  <c r="X102" i="3"/>
  <c r="W741" i="3"/>
  <c r="W1150" i="3"/>
  <c r="X64" i="5" s="1"/>
  <c r="W66" i="3"/>
  <c r="W681" i="3"/>
  <c r="W174" i="3"/>
  <c r="W165" i="3"/>
  <c r="W371" i="3"/>
  <c r="W1178" i="3"/>
  <c r="X68" i="5" s="1"/>
  <c r="W583" i="3"/>
  <c r="W307" i="3"/>
  <c r="W774" i="3"/>
  <c r="W447" i="3"/>
  <c r="W1016" i="3"/>
  <c r="W759" i="3"/>
  <c r="X860" i="3"/>
  <c r="X1135" i="3"/>
  <c r="Y61" i="5" s="1"/>
  <c r="W746" i="3"/>
  <c r="W573" i="3"/>
  <c r="W827" i="3"/>
  <c r="W844" i="3"/>
  <c r="W402" i="3"/>
  <c r="W452" i="3"/>
  <c r="W1001" i="3"/>
  <c r="W656" i="3"/>
  <c r="W1201" i="3"/>
  <c r="W422" i="3"/>
  <c r="W649" i="3"/>
  <c r="X29" i="5" s="1"/>
  <c r="X856" i="3"/>
  <c r="W884" i="3"/>
  <c r="W497" i="3"/>
  <c r="W588" i="3"/>
  <c r="W618" i="3"/>
  <c r="W21" i="3"/>
  <c r="W129" i="3"/>
  <c r="W558" i="3"/>
  <c r="X880" i="3"/>
  <c r="W412" i="3"/>
  <c r="W477" i="3"/>
  <c r="W102" i="3"/>
  <c r="W229" i="3"/>
  <c r="W782" i="3" s="1"/>
  <c r="W442" i="3"/>
  <c r="W608" i="3"/>
  <c r="W316" i="3"/>
  <c r="W812" i="3"/>
  <c r="W731" i="3"/>
  <c r="W711" i="3"/>
  <c r="W970" i="3"/>
  <c r="W298" i="3"/>
  <c r="W147" i="3"/>
  <c r="W138" i="3"/>
  <c r="W472" i="3"/>
  <c r="W407" i="3"/>
  <c r="W224" i="3"/>
  <c r="W548" i="3"/>
  <c r="W533" i="3"/>
  <c r="W671" i="3"/>
  <c r="W84" i="3"/>
  <c r="W427" i="3"/>
  <c r="X1110" i="3"/>
  <c r="Y56" i="5" s="1"/>
  <c r="W661" i="3"/>
  <c r="W953" i="3"/>
  <c r="W503" i="3"/>
  <c r="W852" i="3"/>
  <c r="X280" i="3"/>
  <c r="X528" i="3"/>
  <c r="X721" i="3"/>
  <c r="X1103" i="3"/>
  <c r="Y55" i="5" s="1"/>
  <c r="W769" i="3"/>
  <c r="W39" i="3"/>
  <c r="W696" i="3"/>
  <c r="W1157" i="3"/>
  <c r="X872" i="3"/>
  <c r="X812" i="3"/>
  <c r="W528" i="3"/>
  <c r="W964" i="3"/>
  <c r="W1081" i="3" s="1"/>
  <c r="W1121" i="3" s="1"/>
  <c r="W192" i="3"/>
  <c r="W848" i="3"/>
  <c r="W372" i="3"/>
  <c r="W482" i="3"/>
  <c r="X224" i="3"/>
  <c r="X232" i="3" s="1"/>
  <c r="X666" i="3"/>
  <c r="X964" i="3"/>
  <c r="X1081" i="3" s="1"/>
  <c r="X868" i="3"/>
  <c r="W30" i="3"/>
  <c r="W262" i="3"/>
  <c r="W57" i="3"/>
  <c r="W244" i="3"/>
  <c r="W1096" i="3"/>
  <c r="X54" i="5" s="1"/>
  <c r="W437" i="3"/>
  <c r="W628" i="3"/>
  <c r="W631" i="3" s="1"/>
  <c r="X24" i="5" s="1"/>
  <c r="X26" i="5" s="1"/>
  <c r="W686" i="3"/>
  <c r="W880" i="3"/>
  <c r="W911" i="3"/>
  <c r="W280" i="3"/>
  <c r="W831" i="3"/>
  <c r="X271" i="3"/>
  <c r="X457" i="3"/>
  <c r="W1199" i="3"/>
  <c r="W750" i="3"/>
  <c r="X66" i="3"/>
  <c r="X57" i="3"/>
  <c r="X93" i="3"/>
  <c r="X120" i="3"/>
  <c r="X323" i="3"/>
  <c r="X783" i="3" s="1"/>
  <c r="X803" i="3" s="1"/>
  <c r="X1078" i="3"/>
  <c r="X1084" i="3" s="1"/>
  <c r="X1124" i="3" s="1"/>
  <c r="X603" i="3"/>
  <c r="X831" i="3"/>
  <c r="X392" i="3"/>
  <c r="X691" i="3"/>
  <c r="X397" i="3"/>
  <c r="W904" i="3"/>
  <c r="W326" i="3"/>
  <c r="W921" i="3"/>
  <c r="W1222" i="3" s="1"/>
  <c r="W323" i="3"/>
  <c r="W783" i="3" s="1"/>
  <c r="W803" i="3" s="1"/>
  <c r="W792" i="3"/>
  <c r="W794" i="3" s="1"/>
  <c r="W887" i="3"/>
  <c r="W502" i="3"/>
  <c r="W75" i="3"/>
  <c r="W1192" i="3"/>
  <c r="W543" i="3"/>
  <c r="X1096" i="3"/>
  <c r="Y54" i="5" s="1"/>
  <c r="W1200" i="3"/>
  <c r="W324" i="3"/>
  <c r="X573" i="3"/>
  <c r="X538" i="3"/>
  <c r="X174" i="3"/>
  <c r="X231" i="3"/>
  <c r="X48" i="3"/>
  <c r="X904" i="3"/>
  <c r="X84" i="3"/>
  <c r="X183" i="3"/>
  <c r="X387" i="3"/>
  <c r="X1157" i="3"/>
  <c r="X706" i="3"/>
  <c r="X533" i="3"/>
  <c r="X467" i="3"/>
  <c r="X628" i="3"/>
  <c r="X631" i="3" s="1"/>
  <c r="Y24" i="5" s="1"/>
  <c r="Y26" i="5" s="1"/>
  <c r="X1201" i="3"/>
  <c r="W799" i="3"/>
  <c r="W749" i="3"/>
  <c r="W156" i="3"/>
  <c r="W183" i="3"/>
  <c r="W120" i="3"/>
  <c r="W1078" i="3"/>
  <c r="W1084" i="3" s="1"/>
  <c r="W1124" i="3" s="1"/>
  <c r="W1211" i="3" s="1"/>
  <c r="W634" i="3"/>
  <c r="W1082" i="3"/>
  <c r="W1122" i="3" s="1"/>
  <c r="X830" i="3"/>
  <c r="X1082" i="3"/>
  <c r="X1122" i="3" s="1"/>
  <c r="X921" i="3"/>
  <c r="X1222" i="3" s="1"/>
  <c r="X911" i="3"/>
  <c r="W1110" i="3"/>
  <c r="X56" i="5" s="1"/>
  <c r="W325" i="3"/>
  <c r="W365" i="3" s="1"/>
  <c r="W506" i="3"/>
  <c r="W1185" i="3"/>
  <c r="W632" i="3"/>
  <c r="W93" i="3"/>
  <c r="W568" i="3"/>
  <c r="W1103" i="3"/>
  <c r="X55" i="5" s="1"/>
  <c r="W1202" i="3"/>
  <c r="X165" i="3"/>
  <c r="X568" i="3"/>
  <c r="W886" i="3"/>
  <c r="W370" i="3"/>
  <c r="W111" i="3"/>
  <c r="W48" i="3"/>
  <c r="W830" i="3"/>
  <c r="X192" i="3"/>
  <c r="X506" i="3"/>
  <c r="X324" i="3"/>
  <c r="X364" i="3" s="1"/>
  <c r="Y12" i="5" s="1"/>
  <c r="X876" i="3"/>
  <c r="W523" i="3"/>
  <c r="W1143" i="3"/>
  <c r="X63" i="5" s="1"/>
  <c r="W289" i="3"/>
  <c r="W817" i="3"/>
  <c r="W64" i="5"/>
  <c r="W69" i="5"/>
  <c r="X1178" i="3"/>
  <c r="Y68" i="5" s="1"/>
  <c r="X634" i="3"/>
  <c r="W501" i="3"/>
  <c r="X14" i="5" s="1"/>
  <c r="X623" i="3"/>
  <c r="X507" i="3"/>
  <c r="X1192" i="3"/>
  <c r="X632" i="3"/>
  <c r="W507" i="3"/>
  <c r="X817" i="3"/>
  <c r="W840" i="3"/>
  <c r="W387" i="3"/>
  <c r="W15" i="5"/>
  <c r="W1083" i="3"/>
  <c r="W1123" i="3" s="1"/>
  <c r="W215" i="3"/>
  <c r="X1150" i="3"/>
  <c r="X427" i="3"/>
  <c r="X749" i="3"/>
  <c r="W1011" i="3"/>
  <c r="X1083" i="3"/>
  <c r="X1123" i="3" s="1"/>
  <c r="X887" i="3"/>
  <c r="X553" i="3"/>
  <c r="X991" i="3"/>
  <c r="X1018" i="3" s="1"/>
  <c r="X750" i="3"/>
  <c r="X138" i="3"/>
  <c r="X852" i="3"/>
  <c r="X1199" i="3"/>
  <c r="X608" i="3"/>
  <c r="X437" i="3"/>
  <c r="X326" i="3"/>
  <c r="X1167" i="3"/>
  <c r="Y66" i="5" s="1"/>
  <c r="X447" i="3"/>
  <c r="X501" i="3"/>
  <c r="Y14" i="5" s="1"/>
  <c r="X1200" i="3"/>
  <c r="X253" i="3"/>
  <c r="X503" i="3"/>
  <c r="X244" i="3"/>
  <c r="W25" i="5"/>
  <c r="W26" i="5" s="1"/>
  <c r="V1222" i="3"/>
  <c r="W38" i="5"/>
  <c r="W14" i="5"/>
  <c r="X1202" i="3"/>
  <c r="X502" i="3"/>
  <c r="X1185" i="3"/>
  <c r="X656" i="3"/>
  <c r="X886" i="3"/>
  <c r="X792" i="3"/>
  <c r="X794" i="3" s="1"/>
  <c r="S1223" i="3"/>
  <c r="S1227" i="3" s="1"/>
  <c r="S1229" i="3" s="1"/>
  <c r="S1234" i="3" s="1"/>
  <c r="T70" i="5" s="1"/>
  <c r="T71" i="5" s="1"/>
  <c r="T74" i="5" s="1"/>
  <c r="T39" i="5"/>
  <c r="T40" i="5" s="1"/>
  <c r="T43" i="5" s="1"/>
  <c r="T46" i="5" s="1"/>
  <c r="B48" i="1"/>
  <c r="Z9" i="3" s="1"/>
  <c r="V1081" i="3"/>
  <c r="V1121" i="3" s="1"/>
  <c r="V1208" i="3" s="1"/>
  <c r="V1238" i="3" s="1"/>
  <c r="V366" i="3"/>
  <c r="V913" i="3"/>
  <c r="W37" i="5" s="1"/>
  <c r="U923" i="3"/>
  <c r="V1211" i="3"/>
  <c r="V833" i="3"/>
  <c r="W32" i="5" s="1"/>
  <c r="V636" i="3"/>
  <c r="W21" i="5" s="1"/>
  <c r="V364" i="3"/>
  <c r="V784" i="3"/>
  <c r="V805" i="3" s="1"/>
  <c r="W31" i="5" s="1"/>
  <c r="V1018" i="3"/>
  <c r="V509" i="3"/>
  <c r="V1210" i="3"/>
  <c r="V1240" i="3" s="1"/>
  <c r="V752" i="3"/>
  <c r="W30" i="5" s="1"/>
  <c r="V802" i="3"/>
  <c r="V363" i="3"/>
  <c r="W11" i="5" s="1"/>
  <c r="V203" i="3"/>
  <c r="V327" i="3"/>
  <c r="V232" i="3"/>
  <c r="V1205" i="3"/>
  <c r="V889" i="3"/>
  <c r="W33" i="5" s="1"/>
  <c r="V1209" i="3"/>
  <c r="V1239" i="3" s="1"/>
  <c r="V635" i="3"/>
  <c r="W20" i="5" s="1"/>
  <c r="T892" i="3"/>
  <c r="T1220" i="3" s="1"/>
  <c r="Z999" i="3"/>
  <c r="Z47" i="3"/>
  <c r="Z27" i="3"/>
  <c r="Z729" i="3"/>
  <c r="Z685" i="3"/>
  <c r="Z871" i="3"/>
  <c r="Z850" i="3"/>
  <c r="Z622" i="3"/>
  <c r="Z1154" i="3"/>
  <c r="Z607" i="3"/>
  <c r="Z153" i="3"/>
  <c r="Z416" i="3"/>
  <c r="Z450" i="3"/>
  <c r="Z329" i="3"/>
  <c r="Z679" i="3"/>
  <c r="Z552" i="3"/>
  <c r="Z655" i="3"/>
  <c r="Z1195" i="3"/>
  <c r="Z1196" i="3" s="1"/>
  <c r="Z995" i="3"/>
  <c r="Z480" i="3"/>
  <c r="Z155" i="3"/>
  <c r="Z1064" i="3"/>
  <c r="Z982" i="3"/>
  <c r="Z536" i="3"/>
  <c r="Z445" i="3"/>
  <c r="Z411" i="3"/>
  <c r="Z612" i="3"/>
  <c r="Z1056" i="3"/>
  <c r="Z331" i="3"/>
  <c r="Z867" i="3"/>
  <c r="Z475" i="3"/>
  <c r="Z777" i="3"/>
  <c r="Z212" i="3"/>
  <c r="Z330" i="3"/>
  <c r="Z690" i="3"/>
  <c r="Z252" i="3"/>
  <c r="Z164" i="3"/>
  <c r="Z541" i="3"/>
  <c r="Z380" i="3"/>
  <c r="Z1039" i="3"/>
  <c r="Z646" i="3"/>
  <c r="Z36" i="3"/>
  <c r="Z1161" i="3"/>
  <c r="Z969" i="3"/>
  <c r="Z1015" i="3"/>
  <c r="Z1005" i="3"/>
  <c r="Z1149" i="3"/>
  <c r="Z900" i="3"/>
  <c r="Z286" i="3"/>
  <c r="Z1047" i="3"/>
  <c r="Z763" i="3"/>
  <c r="Z435" i="3"/>
  <c r="Z984" i="3"/>
  <c r="Z180" i="3"/>
  <c r="Z522" i="3"/>
  <c r="Z989" i="3"/>
  <c r="Z173" i="3"/>
  <c r="Z206" i="3"/>
  <c r="Z371" i="3" s="1"/>
  <c r="Z1146" i="3"/>
  <c r="Z820" i="3"/>
  <c r="Z700" i="3"/>
  <c r="Z385" i="3"/>
  <c r="Z99" i="3"/>
  <c r="Z214" i="3"/>
  <c r="Z839" i="3"/>
  <c r="Z1109" i="3"/>
  <c r="Z1035" i="3"/>
  <c r="Z986" i="3"/>
  <c r="Z1147" i="3"/>
  <c r="Z561" i="3"/>
  <c r="Z61" i="3"/>
  <c r="Z1030" i="3"/>
  <c r="Z874" i="3"/>
  <c r="Z903" i="3"/>
  <c r="Z205" i="3"/>
  <c r="Z787" i="3" s="1"/>
  <c r="Z1058" i="3"/>
  <c r="Z611" i="3"/>
  <c r="Z277" i="3"/>
  <c r="Z719" i="3"/>
  <c r="Z405" i="3"/>
  <c r="Z811" i="3"/>
  <c r="Z1181" i="3"/>
  <c r="Z842" i="3"/>
  <c r="Z962" i="3"/>
  <c r="Z1027" i="3"/>
  <c r="Z169" i="3"/>
  <c r="Z557" i="3"/>
  <c r="Z778" i="3"/>
  <c r="Z739" i="3"/>
  <c r="Z191" i="3"/>
  <c r="Z426" i="3"/>
  <c r="Z196" i="3"/>
  <c r="Z1175" i="3"/>
  <c r="Z465" i="3"/>
  <c r="Z476" i="3"/>
  <c r="Z858" i="3"/>
  <c r="Z119" i="3"/>
  <c r="Z451" i="3"/>
  <c r="Z981" i="3"/>
  <c r="Z210" i="3"/>
  <c r="Z951" i="3"/>
  <c r="Z929" i="3"/>
  <c r="Z1009" i="3"/>
  <c r="Z1177" i="3"/>
  <c r="Z859" i="3"/>
  <c r="Z1010" i="3"/>
  <c r="Z654" i="3"/>
  <c r="Z601" i="3"/>
  <c r="Z669" i="3"/>
  <c r="Z547" i="3"/>
  <c r="Z45" i="3"/>
  <c r="Z1070" i="3"/>
  <c r="Z973" i="3"/>
  <c r="Z797" i="3"/>
  <c r="Z798" i="3"/>
  <c r="Z526" i="3"/>
  <c r="Z527" i="3"/>
  <c r="Z979" i="3"/>
  <c r="Z52" i="3"/>
  <c r="Z117" i="3"/>
  <c r="Z846" i="3"/>
  <c r="Z400" i="3"/>
  <c r="Z581" i="3"/>
  <c r="Z908" i="3"/>
  <c r="Z821" i="3"/>
  <c r="Z151" i="3"/>
  <c r="Z223" i="3"/>
  <c r="Z207" i="3"/>
  <c r="Z1155" i="3"/>
  <c r="Z582" i="3"/>
  <c r="Z396" i="3"/>
  <c r="Z466" i="3"/>
  <c r="Z1053" i="3"/>
  <c r="Z1068" i="3"/>
  <c r="Z1052" i="3"/>
  <c r="Z1000" i="3"/>
  <c r="Z901" i="3"/>
  <c r="Z1101" i="3"/>
  <c r="Z257" i="3"/>
  <c r="Z1092" i="3"/>
  <c r="Z83" i="3"/>
  <c r="Z135" i="3"/>
  <c r="Z724" i="3"/>
  <c r="Z197" i="3"/>
  <c r="Z187" i="3"/>
  <c r="Z315" i="3"/>
  <c r="Z54" i="3"/>
  <c r="Z870" i="3"/>
  <c r="Z1075" i="3"/>
  <c r="Z297" i="3"/>
  <c r="Z990" i="3"/>
  <c r="Z460" i="3"/>
  <c r="Z239" i="3"/>
  <c r="Z106" i="3"/>
  <c r="Z994" i="3"/>
  <c r="Z793" i="3"/>
  <c r="Z491" i="3"/>
  <c r="Z505" i="3" s="1"/>
  <c r="Z1182" i="3"/>
  <c r="Z956" i="3"/>
  <c r="Z567" i="3"/>
  <c r="Z1174" i="3"/>
  <c r="Z395" i="3"/>
  <c r="Z1022" i="3"/>
  <c r="Z762" i="3"/>
  <c r="Z201" i="3"/>
  <c r="Z144" i="3"/>
  <c r="Z1074" i="3"/>
  <c r="Z740" i="3"/>
  <c r="Z202" i="3"/>
  <c r="Z919" i="3"/>
  <c r="Z664" i="3"/>
  <c r="Z1034" i="3"/>
  <c r="Z1088" i="3"/>
  <c r="Z1089" i="3" s="1"/>
  <c r="Z1100" i="3"/>
  <c r="Z390" i="3"/>
  <c r="Z441" i="3"/>
  <c r="Z660" i="3"/>
  <c r="Z270" i="3"/>
  <c r="Z1004" i="3"/>
  <c r="Z455" i="3"/>
  <c r="Z63" i="3"/>
  <c r="Z248" i="3"/>
  <c r="Z709" i="3"/>
  <c r="Z1094" i="3"/>
  <c r="Z1099" i="3"/>
  <c r="Z985" i="3"/>
  <c r="Z137" i="3"/>
  <c r="Z1107" i="3"/>
  <c r="Z29" i="3"/>
  <c r="Z243" i="3"/>
  <c r="Z70" i="3"/>
  <c r="Z725" i="3"/>
  <c r="Z311" i="3"/>
  <c r="Z1191" i="3"/>
  <c r="Z704" i="3"/>
  <c r="Z572" i="3"/>
  <c r="Z847" i="3"/>
  <c r="Z496" i="3"/>
  <c r="Z606" i="3"/>
  <c r="Z757" i="3"/>
  <c r="Z699" i="3"/>
  <c r="Z714" i="3"/>
  <c r="Z694" i="3"/>
  <c r="Z851" i="3"/>
  <c r="Z142" i="3"/>
  <c r="Z927" i="3"/>
  <c r="Z670" i="3"/>
  <c r="Z431" i="3"/>
  <c r="Z189" i="3"/>
  <c r="Z92" i="3"/>
  <c r="Z961" i="3"/>
  <c r="Z566" i="3"/>
  <c r="Z261" i="3"/>
  <c r="Z391" i="3"/>
  <c r="Z133" i="3"/>
  <c r="Z219" i="3"/>
  <c r="Z974" i="3"/>
  <c r="Z879" i="3"/>
  <c r="Z1160" i="3"/>
  <c r="Z115" i="3"/>
  <c r="Z288" i="3"/>
  <c r="Z1142" i="3"/>
  <c r="Z1143" i="3" s="1"/>
  <c r="Z925" i="3"/>
  <c r="Z160" i="3"/>
  <c r="Z1029" i="3"/>
  <c r="Z577" i="3"/>
  <c r="Z532" i="3"/>
  <c r="Z1176" i="3"/>
  <c r="Z461" i="3"/>
  <c r="Z293" i="3"/>
  <c r="Z735" i="3"/>
  <c r="Z420" i="3"/>
  <c r="Z162" i="3"/>
  <c r="Z745" i="3"/>
  <c r="Z425" i="3"/>
  <c r="Z200" i="3"/>
  <c r="Z410" i="3"/>
  <c r="Z689" i="3"/>
  <c r="Z1106" i="3"/>
  <c r="Z266" i="3"/>
  <c r="Z1045" i="3"/>
  <c r="Z980" i="3"/>
  <c r="Z551" i="3"/>
  <c r="Z1062" i="3"/>
  <c r="Z546" i="3"/>
  <c r="Z55" i="3"/>
  <c r="Z284" i="3"/>
  <c r="Z471" i="3"/>
  <c r="Z25" i="3"/>
  <c r="Z695" i="3"/>
  <c r="Z591" i="3"/>
  <c r="Z562" i="3"/>
  <c r="Z882" i="3"/>
  <c r="Z602" i="3"/>
  <c r="Z626" i="3"/>
  <c r="Z1184" i="3"/>
  <c r="Z302" i="3"/>
  <c r="Z586" i="3"/>
  <c r="Z1102" i="3"/>
  <c r="Z907" i="3"/>
  <c r="Z1148" i="3"/>
  <c r="Z1165" i="3"/>
  <c r="Z275" i="3"/>
  <c r="Z1095" i="3"/>
  <c r="Z108" i="3"/>
  <c r="Z542" i="3"/>
  <c r="Z446" i="3"/>
  <c r="Z531" i="3"/>
  <c r="Z440" i="3"/>
  <c r="Z576" i="3"/>
  <c r="Z587" i="3"/>
  <c r="Z978" i="3"/>
  <c r="Z1190" i="3"/>
  <c r="Z627" i="3"/>
  <c r="Z843" i="3"/>
  <c r="Z1073" i="3"/>
  <c r="Z647" i="3"/>
  <c r="Z1023" i="3"/>
  <c r="Z110" i="3"/>
  <c r="Z470" i="3"/>
  <c r="Z674" i="3"/>
  <c r="Z490" i="3"/>
  <c r="Z909" i="3"/>
  <c r="Z983" i="3"/>
  <c r="Z1040" i="3"/>
  <c r="Z1133" i="3"/>
  <c r="Z931" i="3"/>
  <c r="Z744" i="3"/>
  <c r="Z659" i="3"/>
  <c r="Z56" i="3"/>
  <c r="Z878" i="3"/>
  <c r="Z18" i="3"/>
  <c r="Z430" i="3"/>
  <c r="Z88" i="3"/>
  <c r="Z1065" i="3"/>
  <c r="Z171" i="3"/>
  <c r="Z854" i="3"/>
  <c r="Z406" i="3"/>
  <c r="Z730" i="3"/>
  <c r="Z306" i="3"/>
  <c r="Z1036" i="3"/>
  <c r="Z1189" i="3"/>
  <c r="Z883" i="3"/>
  <c r="Z456" i="3"/>
  <c r="Z1166" i="3"/>
  <c r="Z902" i="3"/>
  <c r="Z1057" i="3"/>
  <c r="Z958" i="3"/>
  <c r="Z1033" i="3"/>
  <c r="Z65" i="3"/>
  <c r="Z381" i="3"/>
  <c r="Z1170" i="3"/>
  <c r="Z1171" i="3" s="1"/>
  <c r="Z866" i="3"/>
  <c r="Z556" i="3"/>
  <c r="Z1188" i="3"/>
  <c r="Z917" i="3"/>
  <c r="Z53" i="3"/>
  <c r="Z810" i="3"/>
  <c r="Z436" i="3"/>
  <c r="Z863" i="3"/>
  <c r="Z715" i="3"/>
  <c r="Z1108" i="3"/>
  <c r="Z128" i="3"/>
  <c r="Z74" i="3"/>
  <c r="Z1024" i="3"/>
  <c r="Z616" i="3"/>
  <c r="Z1041" i="3"/>
  <c r="Z1050" i="3"/>
  <c r="Z1042" i="3"/>
  <c r="Z734" i="3"/>
  <c r="Z521" i="3"/>
  <c r="Z1051" i="3"/>
  <c r="Z1138" i="3"/>
  <c r="Z1139" i="3" s="1"/>
  <c r="Z767" i="3"/>
  <c r="Z16" i="3"/>
  <c r="Z875" i="3"/>
  <c r="Z815" i="3"/>
  <c r="Z537" i="3"/>
  <c r="Z665" i="3"/>
  <c r="Z617" i="3"/>
  <c r="Z862" i="3"/>
  <c r="Z720" i="3"/>
  <c r="Z1063" i="3"/>
  <c r="Z825" i="3"/>
  <c r="Z178" i="3"/>
  <c r="Z968" i="3"/>
  <c r="Z596" i="3"/>
  <c r="Z1134" i="3"/>
  <c r="Z79" i="3"/>
  <c r="Z816" i="3"/>
  <c r="Z421" i="3"/>
  <c r="Z386" i="3"/>
  <c r="Z485" i="3"/>
  <c r="Z487" i="3" s="1"/>
  <c r="Z1156" i="3"/>
  <c r="Z321" i="3"/>
  <c r="Z495" i="3"/>
  <c r="Z675" i="3"/>
  <c r="Z788" i="3"/>
  <c r="Z592" i="3"/>
  <c r="Z101" i="3"/>
  <c r="Z90" i="3"/>
  <c r="Z621" i="3"/>
  <c r="Z571" i="3"/>
  <c r="Z182" i="3"/>
  <c r="Z710" i="3"/>
  <c r="Z415" i="3"/>
  <c r="Z97" i="3"/>
  <c r="Z1153" i="3"/>
  <c r="Z918" i="3"/>
  <c r="Z221" i="3"/>
  <c r="Z758" i="3"/>
  <c r="Z481" i="3"/>
  <c r="Z838" i="3"/>
  <c r="Z72" i="3"/>
  <c r="Z920" i="3"/>
  <c r="Z1069" i="3"/>
  <c r="Z910" i="3"/>
  <c r="Z126" i="3"/>
  <c r="Z957" i="3"/>
  <c r="Z705" i="3"/>
  <c r="Z597" i="3"/>
  <c r="Z950" i="3"/>
  <c r="Z680" i="3"/>
  <c r="Z684" i="3"/>
  <c r="Z279" i="3"/>
  <c r="Z959" i="3"/>
  <c r="Z1059" i="3"/>
  <c r="Z43" i="3"/>
  <c r="Z1028" i="3"/>
  <c r="Z38" i="3"/>
  <c r="Z1014" i="3"/>
  <c r="Z401" i="3"/>
  <c r="Z20" i="3"/>
  <c r="Z1093" i="3"/>
  <c r="Z320" i="3"/>
  <c r="Z768" i="3"/>
  <c r="Z1046" i="3"/>
  <c r="Z772" i="3"/>
  <c r="Z124" i="3"/>
  <c r="Z855" i="3"/>
  <c r="Z960" i="3"/>
  <c r="Z81" i="3"/>
  <c r="Z1183" i="3"/>
  <c r="Z1076" i="3"/>
  <c r="Z34" i="3"/>
  <c r="Z146" i="3"/>
  <c r="Z773" i="3"/>
  <c r="Z826" i="3"/>
  <c r="Y1088" i="3"/>
  <c r="Y1089" i="3" s="1"/>
  <c r="Y406" i="3"/>
  <c r="Y855" i="3"/>
  <c r="Y207" i="3"/>
  <c r="Y556" i="3"/>
  <c r="Y984" i="3"/>
  <c r="Y155" i="3"/>
  <c r="Y757" i="3"/>
  <c r="Y1133" i="3"/>
  <c r="Y440" i="3"/>
  <c r="Y909" i="3"/>
  <c r="Y70" i="3"/>
  <c r="Y587" i="3"/>
  <c r="Y1058" i="3"/>
  <c r="Y306" i="3"/>
  <c r="Y811" i="3"/>
  <c r="Y1181" i="3"/>
  <c r="Y495" i="3"/>
  <c r="Y957" i="3"/>
  <c r="Y108" i="3"/>
  <c r="Y621" i="3"/>
  <c r="Y1035" i="3"/>
  <c r="Y248" i="3"/>
  <c r="Y772" i="3"/>
  <c r="Y1148" i="3"/>
  <c r="Y455" i="3"/>
  <c r="Y709" i="3"/>
  <c r="Y400" i="3"/>
  <c r="Y27" i="3"/>
  <c r="Y1040" i="3"/>
  <c r="Y758" i="3"/>
  <c r="Y461" i="3"/>
  <c r="Y72" i="3"/>
  <c r="Y1027" i="3"/>
  <c r="Y219" i="3"/>
  <c r="Y1134" i="3"/>
  <c r="Y883" i="3"/>
  <c r="Y659" i="3"/>
  <c r="Y421" i="3"/>
  <c r="Y611" i="3"/>
  <c r="Y221" i="3"/>
  <c r="Y1138" i="3"/>
  <c r="Y767" i="3"/>
  <c r="Y297" i="3"/>
  <c r="Y1106" i="3"/>
  <c r="Y577" i="3"/>
  <c r="Y1160" i="3"/>
  <c r="Y956" i="3"/>
  <c r="Y617" i="3"/>
  <c r="Y450" i="3"/>
  <c r="Y1064" i="3"/>
  <c r="Y270" i="3"/>
  <c r="Y1034" i="3"/>
  <c r="Y243" i="3"/>
  <c r="Y740" i="3"/>
  <c r="Y1147" i="3"/>
  <c r="Y451" i="3"/>
  <c r="Y903" i="3"/>
  <c r="Y61" i="3"/>
  <c r="Y669" i="3"/>
  <c r="Y1053" i="3"/>
  <c r="Y293" i="3"/>
  <c r="Y825" i="3"/>
  <c r="Y1175" i="3"/>
  <c r="Y485" i="3"/>
  <c r="Y487" i="3" s="1"/>
  <c r="Y1004" i="3"/>
  <c r="Y182" i="3"/>
  <c r="Y700" i="3"/>
  <c r="Y1093" i="3"/>
  <c r="Y411" i="3"/>
  <c r="Y859" i="3"/>
  <c r="Y18" i="3"/>
  <c r="Y541" i="3"/>
  <c r="Y978" i="3"/>
  <c r="Y137" i="3"/>
  <c r="Y684" i="3"/>
  <c r="Y1063" i="3"/>
  <c r="Y320" i="3"/>
  <c r="Y531" i="3"/>
  <c r="Y126" i="3"/>
  <c r="Y1057" i="3"/>
  <c r="Y900" i="3"/>
  <c r="Y572" i="3"/>
  <c r="Y200" i="3"/>
  <c r="Y456" i="3"/>
  <c r="Y675" i="3"/>
  <c r="Y34" i="3"/>
  <c r="Y999" i="3"/>
  <c r="Y695" i="3"/>
  <c r="Y196" i="3"/>
  <c r="Y1165" i="3"/>
  <c r="Y426" i="3"/>
  <c r="Y36" i="3"/>
  <c r="Y1000" i="3"/>
  <c r="Y396" i="3"/>
  <c r="Y1094" i="3"/>
  <c r="Y821" i="3"/>
  <c r="Y119" i="3"/>
  <c r="Y1023" i="3"/>
  <c r="Y744" i="3"/>
  <c r="Y974" i="3"/>
  <c r="Y135" i="3"/>
  <c r="Y660" i="3"/>
  <c r="Y1062" i="3"/>
  <c r="Y315" i="3"/>
  <c r="Y816" i="3"/>
  <c r="Y330" i="3"/>
  <c r="Y571" i="3"/>
  <c r="Y995" i="3"/>
  <c r="Y173" i="3"/>
  <c r="Y714" i="3"/>
  <c r="Y405" i="3"/>
  <c r="Y925" i="3"/>
  <c r="Y88" i="3"/>
  <c r="Y602" i="3"/>
  <c r="Y1036" i="3"/>
  <c r="Y252" i="3"/>
  <c r="Y745" i="3"/>
  <c r="Y1109" i="3"/>
  <c r="Y436" i="3"/>
  <c r="Y879" i="3"/>
  <c r="Y47" i="3"/>
  <c r="Y586" i="3"/>
  <c r="Y1010" i="3"/>
  <c r="Y191" i="3"/>
  <c r="Y277" i="3"/>
  <c r="Y1161" i="3"/>
  <c r="Y920" i="3"/>
  <c r="Y699" i="3"/>
  <c r="Y390" i="3"/>
  <c r="Y16" i="3"/>
  <c r="Y908" i="3"/>
  <c r="Y214" i="3"/>
  <c r="Y1059" i="3"/>
  <c r="Y842" i="3"/>
  <c r="Y496" i="3"/>
  <c r="Y1191" i="3"/>
  <c r="Y867" i="3"/>
  <c r="Y160" i="3"/>
  <c r="Y1074" i="3"/>
  <c r="Y843" i="3"/>
  <c r="Y1146" i="3"/>
  <c r="Y798" i="3"/>
  <c r="Y430" i="3"/>
  <c r="Y1095" i="3"/>
  <c r="Y863" i="3"/>
  <c r="Y566" i="3"/>
  <c r="Y169" i="3"/>
  <c r="Y919" i="3"/>
  <c r="Y321" i="3"/>
  <c r="Y763" i="3"/>
  <c r="Y689" i="3"/>
  <c r="Y1065" i="3"/>
  <c r="Y380" i="3"/>
  <c r="Y850" i="3"/>
  <c r="Y1189" i="3"/>
  <c r="Y527" i="3"/>
  <c r="Y1022" i="3"/>
  <c r="Y202" i="3"/>
  <c r="Y720" i="3"/>
  <c r="Y1107" i="3"/>
  <c r="Y431" i="3"/>
  <c r="Y875" i="3"/>
  <c r="Y43" i="3"/>
  <c r="Y646" i="3"/>
  <c r="Y1041" i="3"/>
  <c r="Y266" i="3"/>
  <c r="Y797" i="3"/>
  <c r="Y1155" i="3"/>
  <c r="Y465" i="3"/>
  <c r="Y917" i="3"/>
  <c r="Y74" i="3"/>
  <c r="Y592" i="3"/>
  <c r="Y1030" i="3"/>
  <c r="Y223" i="3"/>
  <c r="Y735" i="3"/>
  <c r="Y1190" i="3"/>
  <c r="Y968" i="3"/>
  <c r="Y674" i="3"/>
  <c r="Y302" i="3"/>
  <c r="Y54" i="3"/>
  <c r="Y715" i="3"/>
  <c r="Y983" i="3"/>
  <c r="Y870" i="3"/>
  <c r="Y552" i="3"/>
  <c r="Y178" i="3"/>
  <c r="Y1149" i="3"/>
  <c r="Y279" i="3"/>
  <c r="Y1102" i="3"/>
  <c r="Y871" i="3"/>
  <c r="Y576" i="3"/>
  <c r="Y180" i="3"/>
  <c r="Y187" i="3"/>
  <c r="Y950" i="3"/>
  <c r="Y526" i="3"/>
  <c r="Y601" i="3"/>
  <c r="Y210" i="3"/>
  <c r="Y1108" i="3"/>
  <c r="Y581" i="3"/>
  <c r="Y980" i="3"/>
  <c r="Y162" i="3"/>
  <c r="Y1153" i="3"/>
  <c r="Y929" i="3"/>
  <c r="Y607" i="3"/>
  <c r="Y386" i="3"/>
  <c r="Y1195" i="3"/>
  <c r="Y1196" i="3" s="1"/>
  <c r="Y973" i="3"/>
  <c r="Y729" i="3"/>
  <c r="Y420" i="3"/>
  <c r="Y52" i="3"/>
  <c r="Y994" i="3"/>
  <c r="Y690" i="3"/>
  <c r="Y401" i="3"/>
  <c r="Y205" i="3"/>
  <c r="Y787" i="3" s="1"/>
  <c r="Y866" i="3"/>
  <c r="Y261" i="3"/>
  <c r="Y910" i="3"/>
  <c r="Y1028" i="3"/>
  <c r="Y441" i="3"/>
  <c r="Y710" i="3"/>
  <c r="Y1029" i="3"/>
  <c r="Y445" i="3"/>
  <c r="Y144" i="3"/>
  <c r="Y810" i="3"/>
  <c r="Y106" i="3"/>
  <c r="Y331" i="3"/>
  <c r="Y1042" i="3"/>
  <c r="Y189" i="3"/>
  <c r="Y616" i="3"/>
  <c r="Y979" i="3"/>
  <c r="Y1174" i="3"/>
  <c r="Y725" i="3"/>
  <c r="Y927" i="3"/>
  <c r="Y960" i="3"/>
  <c r="Y670" i="3"/>
  <c r="Y395" i="3"/>
  <c r="Y777" i="3"/>
  <c r="Y1070" i="3"/>
  <c r="Y133" i="3"/>
  <c r="Y567" i="3"/>
  <c r="Y547" i="3"/>
  <c r="Y730" i="3"/>
  <c r="Y762" i="3"/>
  <c r="Y470" i="3"/>
  <c r="Y45" i="3"/>
  <c r="Y79" i="3"/>
  <c r="Y142" i="3"/>
  <c r="Y481" i="3"/>
  <c r="Y1051" i="3"/>
  <c r="Y1047" i="3"/>
  <c r="Y597" i="3"/>
  <c r="Y612" i="3"/>
  <c r="Y1015" i="3"/>
  <c r="Y734" i="3"/>
  <c r="Y425" i="3"/>
  <c r="Y110" i="3"/>
  <c r="Y1050" i="3"/>
  <c r="Y773" i="3"/>
  <c r="Y551" i="3"/>
  <c r="Y151" i="3"/>
  <c r="Y1069" i="3"/>
  <c r="Y838" i="3"/>
  <c r="Y491" i="3"/>
  <c r="Y505" i="3" s="1"/>
  <c r="Y128" i="3"/>
  <c r="Y1046" i="3"/>
  <c r="Y471" i="3"/>
  <c r="Y1073" i="3"/>
  <c r="Y537" i="3"/>
  <c r="Y679" i="3"/>
  <c r="Y1182" i="3"/>
  <c r="Y1100" i="3"/>
  <c r="Y680" i="3"/>
  <c r="Y329" i="3"/>
  <c r="Y561" i="3"/>
  <c r="Y416" i="3"/>
  <c r="Y990" i="3"/>
  <c r="Y546" i="3"/>
  <c r="Y704" i="3"/>
  <c r="Y878" i="3"/>
  <c r="Y1156" i="3"/>
  <c r="Y239" i="3"/>
  <c r="Y665" i="3"/>
  <c r="Y931" i="3"/>
  <c r="Y115" i="3"/>
  <c r="Y257" i="3"/>
  <c r="Y1005" i="3"/>
  <c r="Y435" i="3"/>
  <c r="Y460" i="3"/>
  <c r="Y839" i="3"/>
  <c r="Y1099" i="3"/>
  <c r="Y851" i="3"/>
  <c r="Y1154" i="3"/>
  <c r="Y53" i="3"/>
  <c r="Y647" i="3"/>
  <c r="Y206" i="3"/>
  <c r="Y705" i="3"/>
  <c r="Y1033" i="3"/>
  <c r="Y1052" i="3"/>
  <c r="Y97" i="3"/>
  <c r="Y1166" i="3"/>
  <c r="Y627" i="3"/>
  <c r="Y847" i="3"/>
  <c r="Y1176" i="3"/>
  <c r="Y951" i="3"/>
  <c r="Y654" i="3"/>
  <c r="Y275" i="3"/>
  <c r="Y20" i="3"/>
  <c r="Y989" i="3"/>
  <c r="Y991" i="3" s="1"/>
  <c r="Y685" i="3"/>
  <c r="Y446" i="3"/>
  <c r="Y55" i="3"/>
  <c r="Y719" i="3"/>
  <c r="Y410" i="3"/>
  <c r="Y38" i="3"/>
  <c r="Y907" i="3"/>
  <c r="Y212" i="3"/>
  <c r="Y959" i="3"/>
  <c r="Y286" i="3"/>
  <c r="Y476" i="3"/>
  <c r="Y1039" i="3"/>
  <c r="Y815" i="3"/>
  <c r="Y480" i="3"/>
  <c r="Y1076" i="3"/>
  <c r="Y99" i="3"/>
  <c r="Y146" i="3"/>
  <c r="Y826" i="3"/>
  <c r="Y81" i="3"/>
  <c r="Y1075" i="3"/>
  <c r="Y562" i="3"/>
  <c r="Y918" i="3"/>
  <c r="Y1184" i="3"/>
  <c r="Y288" i="3"/>
  <c r="Y63" i="3"/>
  <c r="Y532" i="3"/>
  <c r="Y475" i="3"/>
  <c r="Y1188" i="3"/>
  <c r="Y415" i="3"/>
  <c r="Y92" i="3"/>
  <c r="Y536" i="3"/>
  <c r="Y882" i="3"/>
  <c r="Y171" i="3"/>
  <c r="Y65" i="3"/>
  <c r="Y29" i="3"/>
  <c r="Y902" i="3"/>
  <c r="Y788" i="3"/>
  <c r="Y466" i="3"/>
  <c r="Y846" i="3"/>
  <c r="Y778" i="3"/>
  <c r="Y521" i="3"/>
  <c r="Y1170" i="3"/>
  <c r="Y1171" i="3" s="1"/>
  <c r="Y381" i="3"/>
  <c r="Y591" i="3"/>
  <c r="Y197" i="3"/>
  <c r="Y1101" i="3"/>
  <c r="Y958" i="3"/>
  <c r="Y622" i="3"/>
  <c r="Y284" i="3"/>
  <c r="Y793" i="3"/>
  <c r="Y982" i="3"/>
  <c r="Y694" i="3"/>
  <c r="Y385" i="3"/>
  <c r="Y1177" i="3"/>
  <c r="Y969" i="3"/>
  <c r="Y655" i="3"/>
  <c r="Y768" i="3"/>
  <c r="Y83" i="3"/>
  <c r="Y858" i="3"/>
  <c r="Y606" i="3"/>
  <c r="Y311" i="3"/>
  <c r="Y1014" i="3"/>
  <c r="Y985" i="3"/>
  <c r="Y391" i="3"/>
  <c r="Y1056" i="3"/>
  <c r="Y56" i="3"/>
  <c r="Y25" i="3"/>
  <c r="Y962" i="3"/>
  <c r="Y739" i="3"/>
  <c r="Y490" i="3"/>
  <c r="Y101" i="3"/>
  <c r="Y1045" i="3"/>
  <c r="Y862" i="3"/>
  <c r="Y542" i="3"/>
  <c r="Y164" i="3"/>
  <c r="Y1142" i="3"/>
  <c r="Y901" i="3"/>
  <c r="Y596" i="3"/>
  <c r="Y201" i="3"/>
  <c r="Y1092" i="3"/>
  <c r="Y874" i="3"/>
  <c r="Y557" i="3"/>
  <c r="Y582" i="3"/>
  <c r="Y1183" i="3"/>
  <c r="Y664" i="3"/>
  <c r="Y153" i="3"/>
  <c r="Y90" i="3"/>
  <c r="Y854" i="3"/>
  <c r="Y820" i="3"/>
  <c r="Y117" i="3"/>
  <c r="Y724" i="3"/>
  <c r="Y961" i="3"/>
  <c r="Y1068" i="3"/>
  <c r="Y124" i="3"/>
  <c r="Y986" i="3"/>
  <c r="Y1009" i="3"/>
  <c r="Y522" i="3"/>
  <c r="Y1024" i="3"/>
  <c r="Y626" i="3"/>
  <c r="Y981" i="3"/>
  <c r="AA8" i="3"/>
  <c r="AA1" i="3" s="1"/>
  <c r="AA1166" i="3" s="1"/>
  <c r="S933" i="3"/>
  <c r="S936" i="3" s="1"/>
  <c r="S939" i="3" s="1"/>
  <c r="O50" i="1"/>
  <c r="E49" i="1"/>
  <c r="F49" i="1"/>
  <c r="AF6" i="3"/>
  <c r="AN157" i="4"/>
  <c r="BA159" i="650"/>
  <c r="AZ207" i="4"/>
  <c r="AM235" i="4"/>
  <c r="AP235" i="4" s="1"/>
  <c r="BA238" i="650"/>
  <c r="AY238" i="650"/>
  <c r="AL215" i="4"/>
  <c r="K45" i="14"/>
  <c r="L45" i="14"/>
  <c r="J46" i="14" s="1"/>
  <c r="AK154" i="4"/>
  <c r="AP153" i="4"/>
  <c r="Y66" i="6"/>
  <c r="W65" i="6"/>
  <c r="AB65" i="6" s="1"/>
  <c r="F1142" i="3"/>
  <c r="W366" i="3" l="1"/>
  <c r="X13" i="5" s="1"/>
  <c r="X1209" i="3"/>
  <c r="X1239" i="3" s="1"/>
  <c r="W1210" i="3"/>
  <c r="W1240" i="3" s="1"/>
  <c r="X366" i="3"/>
  <c r="Y13" i="5" s="1"/>
  <c r="W913" i="3"/>
  <c r="X37" i="5" s="1"/>
  <c r="W802" i="3"/>
  <c r="W833" i="3"/>
  <c r="X32" i="5" s="1"/>
  <c r="X784" i="3"/>
  <c r="X805" i="3" s="1"/>
  <c r="Y31" i="5" s="1"/>
  <c r="X363" i="3"/>
  <c r="Y11" i="5" s="1"/>
  <c r="X327" i="3"/>
  <c r="X833" i="3"/>
  <c r="Y32" i="5" s="1"/>
  <c r="X913" i="3"/>
  <c r="Y37" i="5" s="1"/>
  <c r="Y69" i="5"/>
  <c r="W636" i="3"/>
  <c r="X21" i="5" s="1"/>
  <c r="W327" i="3"/>
  <c r="W1018" i="3"/>
  <c r="X69" i="5"/>
  <c r="W1209" i="3"/>
  <c r="W1239" i="3" s="1"/>
  <c r="W752" i="3"/>
  <c r="X30" i="5" s="1"/>
  <c r="W232" i="3"/>
  <c r="W889" i="3"/>
  <c r="X33" i="5" s="1"/>
  <c r="X1211" i="3"/>
  <c r="W1208" i="3"/>
  <c r="W1238" i="3" s="1"/>
  <c r="W364" i="3"/>
  <c r="X12" i="5" s="1"/>
  <c r="X636" i="3"/>
  <c r="Y21" i="5" s="1"/>
  <c r="W363" i="3"/>
  <c r="X11" i="5" s="1"/>
  <c r="W1085" i="3"/>
  <c r="W1127" i="3" s="1"/>
  <c r="X1210" i="3"/>
  <c r="X1240" i="3" s="1"/>
  <c r="W509" i="3"/>
  <c r="W203" i="3"/>
  <c r="X38" i="5"/>
  <c r="X889" i="3"/>
  <c r="Y33" i="5" s="1"/>
  <c r="X509" i="3"/>
  <c r="X15" i="5"/>
  <c r="Y38" i="5"/>
  <c r="X203" i="3"/>
  <c r="X368" i="3" s="1"/>
  <c r="Y64" i="5"/>
  <c r="X752" i="3"/>
  <c r="Y30" i="5" s="1"/>
  <c r="W1205" i="3"/>
  <c r="Y15" i="5"/>
  <c r="W784" i="3"/>
  <c r="W805" i="3" s="1"/>
  <c r="X31" i="5" s="1"/>
  <c r="S1244" i="3"/>
  <c r="S1241" i="3"/>
  <c r="X802" i="3"/>
  <c r="W635" i="3"/>
  <c r="X20" i="5" s="1"/>
  <c r="AA24" i="5"/>
  <c r="W22" i="5"/>
  <c r="W34" i="5"/>
  <c r="X1085" i="3"/>
  <c r="Y52" i="5" s="1"/>
  <c r="Y58" i="5" s="1"/>
  <c r="AA14" i="5"/>
  <c r="AA25" i="5"/>
  <c r="W12" i="5"/>
  <c r="X635" i="3"/>
  <c r="Y20" i="5" s="1"/>
  <c r="X1205" i="3"/>
  <c r="U933" i="3"/>
  <c r="U936" i="3" s="1"/>
  <c r="U939" i="3" s="1"/>
  <c r="V39" i="5"/>
  <c r="V40" i="5" s="1"/>
  <c r="V43" i="5" s="1"/>
  <c r="V46" i="5" s="1"/>
  <c r="W13" i="5"/>
  <c r="B49" i="1"/>
  <c r="Y633" i="3"/>
  <c r="Y477" i="3"/>
  <c r="V1085" i="3"/>
  <c r="Y1083" i="3"/>
  <c r="Y1123" i="3" s="1"/>
  <c r="Y880" i="3"/>
  <c r="Z1082" i="3"/>
  <c r="Z1122" i="3" s="1"/>
  <c r="Z1083" i="3"/>
  <c r="Z1123" i="3" s="1"/>
  <c r="Z1078" i="3"/>
  <c r="Z1084" i="3" s="1"/>
  <c r="Z1124" i="3" s="1"/>
  <c r="Y1078" i="3"/>
  <c r="Y1084" i="3" s="1"/>
  <c r="Y1124" i="3" s="1"/>
  <c r="Y1082" i="3"/>
  <c r="X1121" i="3"/>
  <c r="X1208" i="3" s="1"/>
  <c r="X1238" i="3" s="1"/>
  <c r="Y538" i="3"/>
  <c r="Z316" i="3"/>
  <c r="Y996" i="3"/>
  <c r="Z686" i="3"/>
  <c r="Z472" i="3"/>
  <c r="Y736" i="3"/>
  <c r="Z1001" i="3"/>
  <c r="Z953" i="3"/>
  <c r="U1223" i="3"/>
  <c r="U1227" i="3" s="1"/>
  <c r="U1229" i="3" s="1"/>
  <c r="U1234" i="3" s="1"/>
  <c r="Z656" i="3"/>
  <c r="Z174" i="3"/>
  <c r="V368" i="3"/>
  <c r="V512" i="3" s="1"/>
  <c r="Y598" i="3"/>
  <c r="Y618" i="3"/>
  <c r="Z774" i="3"/>
  <c r="Z868" i="3"/>
  <c r="Z661" i="3"/>
  <c r="Z996" i="3"/>
  <c r="Z799" i="3"/>
  <c r="V639" i="3"/>
  <c r="V1219" i="3" s="1"/>
  <c r="T923" i="3"/>
  <c r="Z618" i="3"/>
  <c r="Z691" i="3"/>
  <c r="V892" i="3"/>
  <c r="V1220" i="3" s="1"/>
  <c r="AA205" i="3"/>
  <c r="AA787" i="3" s="1"/>
  <c r="AA816" i="3"/>
  <c r="AA689" i="3"/>
  <c r="Z852" i="3"/>
  <c r="AA984" i="3"/>
  <c r="AA450" i="3"/>
  <c r="Y253" i="3"/>
  <c r="Z676" i="3"/>
  <c r="Z578" i="3"/>
  <c r="Z262" i="3"/>
  <c r="Z427" i="3"/>
  <c r="Z822" i="3"/>
  <c r="Z417" i="3"/>
  <c r="Z731" i="3"/>
  <c r="AA52" i="3"/>
  <c r="AA725" i="3"/>
  <c r="AA1106" i="3"/>
  <c r="Z769" i="3"/>
  <c r="Z789" i="3"/>
  <c r="AA1064" i="3"/>
  <c r="AA390" i="3"/>
  <c r="AA1022" i="3"/>
  <c r="AA1170" i="3"/>
  <c r="AA1171" i="3" s="1"/>
  <c r="Z1135" i="3"/>
  <c r="Z1110" i="3"/>
  <c r="Z608" i="3"/>
  <c r="Z711" i="3"/>
  <c r="Z324" i="3"/>
  <c r="AA989" i="3"/>
  <c r="AA950" i="3"/>
  <c r="AA793" i="3"/>
  <c r="AA859" i="3"/>
  <c r="Y462" i="3"/>
  <c r="Z1185" i="3"/>
  <c r="Z666" i="3"/>
  <c r="Z548" i="3"/>
  <c r="AA957" i="3"/>
  <c r="AA617" i="3"/>
  <c r="AA1154" i="3"/>
  <c r="Z39" i="3"/>
  <c r="Z840" i="3"/>
  <c r="Z1096" i="3"/>
  <c r="Z1178" i="3"/>
  <c r="Z192" i="3"/>
  <c r="Z120" i="3"/>
  <c r="Z812" i="3"/>
  <c r="Z633" i="3"/>
  <c r="AA1065" i="3"/>
  <c r="AA1100" i="3"/>
  <c r="AA532" i="3"/>
  <c r="Y578" i="3"/>
  <c r="Z817" i="3"/>
  <c r="Z880" i="3"/>
  <c r="Z764" i="3"/>
  <c r="Z402" i="3"/>
  <c r="Z553" i="3"/>
  <c r="Z1162" i="3"/>
  <c r="Z613" i="3"/>
  <c r="Y472" i="3"/>
  <c r="Y779" i="3"/>
  <c r="Y39" i="3"/>
  <c r="Z111" i="3"/>
  <c r="Z716" i="3"/>
  <c r="Z844" i="3"/>
  <c r="Z482" i="3"/>
  <c r="Y666" i="3"/>
  <c r="Y603" i="3"/>
  <c r="Y588" i="3"/>
  <c r="Z573" i="3"/>
  <c r="Z598" i="3"/>
  <c r="Z442" i="3"/>
  <c r="Z884" i="3"/>
  <c r="Z1103" i="3"/>
  <c r="Z726" i="3"/>
  <c r="Z57" i="3"/>
  <c r="Z1011" i="3"/>
  <c r="Z721" i="3"/>
  <c r="Z991" i="3"/>
  <c r="Z904" i="3"/>
  <c r="Z779" i="3"/>
  <c r="Z538" i="3"/>
  <c r="Y30" i="3"/>
  <c r="Z860" i="3"/>
  <c r="Y822" i="3"/>
  <c r="Y876" i="3"/>
  <c r="Y437" i="3"/>
  <c r="Y427" i="3"/>
  <c r="Y147" i="3"/>
  <c r="Y731" i="3"/>
  <c r="Y701" i="3"/>
  <c r="Y904" i="3"/>
  <c r="Y1006" i="3"/>
  <c r="Y452" i="3"/>
  <c r="Y457" i="3"/>
  <c r="Y497" i="3"/>
  <c r="Y442" i="3"/>
  <c r="Z970" i="3"/>
  <c r="Z736" i="3"/>
  <c r="Z1192" i="3"/>
  <c r="Z563" i="3"/>
  <c r="Z412" i="3"/>
  <c r="Z147" i="3"/>
  <c r="Z382" i="3"/>
  <c r="Y1011" i="3"/>
  <c r="Y975" i="3"/>
  <c r="Y884" i="3"/>
  <c r="Y271" i="3"/>
  <c r="Z856" i="3"/>
  <c r="Z1157" i="3"/>
  <c r="Z102" i="3"/>
  <c r="Z492" i="3"/>
  <c r="Z588" i="3"/>
  <c r="Z706" i="3"/>
  <c r="Z1006" i="3"/>
  <c r="Z872" i="3"/>
  <c r="Z528" i="3"/>
  <c r="Z603" i="3"/>
  <c r="Z215" i="3"/>
  <c r="Z1016" i="3"/>
  <c r="Z452" i="3"/>
  <c r="Z964" i="3"/>
  <c r="AA1101" i="3"/>
  <c r="AA411" i="3"/>
  <c r="AA810" i="3"/>
  <c r="AA61" i="3"/>
  <c r="AA1056" i="3"/>
  <c r="AA495" i="3"/>
  <c r="AA734" i="3"/>
  <c r="AA70" i="3"/>
  <c r="AA931" i="3"/>
  <c r="AA54" i="3"/>
  <c r="AA909" i="3"/>
  <c r="AA55" i="3"/>
  <c r="AA882" i="3"/>
  <c r="AA1184" i="3"/>
  <c r="AA968" i="3"/>
  <c r="AA715" i="3"/>
  <c r="AA547" i="3"/>
  <c r="AA986" i="3"/>
  <c r="AA714" i="3"/>
  <c r="AA710" i="3"/>
  <c r="AA284" i="3"/>
  <c r="AA16" i="3"/>
  <c r="AA871" i="3"/>
  <c r="AA990" i="3"/>
  <c r="AA612" i="3"/>
  <c r="AA160" i="3"/>
  <c r="Y370" i="3"/>
  <c r="Y864" i="3"/>
  <c r="Y289" i="3"/>
  <c r="Y371" i="3"/>
  <c r="Y872" i="3"/>
  <c r="Z623" i="3"/>
  <c r="Z156" i="3"/>
  <c r="Z467" i="3"/>
  <c r="Z66" i="3"/>
  <c r="Z681" i="3"/>
  <c r="AA196" i="3"/>
  <c r="AA607" i="3"/>
  <c r="AA878" i="3"/>
  <c r="AA758" i="3"/>
  <c r="AA695" i="3"/>
  <c r="AA440" i="3"/>
  <c r="AA381" i="3"/>
  <c r="AA917" i="3"/>
  <c r="AA277" i="3"/>
  <c r="AA275" i="3"/>
  <c r="AA762" i="3"/>
  <c r="AA730" i="3"/>
  <c r="AA43" i="3"/>
  <c r="AA744" i="3"/>
  <c r="AA435" i="3"/>
  <c r="AA858" i="3"/>
  <c r="AA740" i="3"/>
  <c r="AA83" i="3"/>
  <c r="AA106" i="3"/>
  <c r="AA843" i="3"/>
  <c r="AA441" i="3"/>
  <c r="AA386" i="3"/>
  <c r="AA1042" i="3"/>
  <c r="Y856" i="3"/>
  <c r="Y706" i="3"/>
  <c r="Y84" i="3"/>
  <c r="Y138" i="3"/>
  <c r="Y868" i="3"/>
  <c r="Y583" i="3"/>
  <c r="Y799" i="3"/>
  <c r="Y691" i="3"/>
  <c r="Y432" i="3"/>
  <c r="Y543" i="3"/>
  <c r="Z183" i="3"/>
  <c r="Z830" i="3"/>
  <c r="Z593" i="3"/>
  <c r="Z568" i="3"/>
  <c r="Z457" i="3"/>
  <c r="Z671" i="3"/>
  <c r="Z370" i="3"/>
  <c r="AA1069" i="3"/>
  <c r="AA956" i="3"/>
  <c r="AA622" i="3"/>
  <c r="AA1068" i="3"/>
  <c r="AA842" i="3"/>
  <c r="AA961" i="3"/>
  <c r="AA1189" i="3"/>
  <c r="AA626" i="3"/>
  <c r="AA1190" i="3"/>
  <c r="AA646" i="3"/>
  <c r="Z827" i="3"/>
  <c r="Z696" i="3"/>
  <c r="AA63" i="3"/>
  <c r="AA567" i="3"/>
  <c r="AA97" i="3"/>
  <c r="AA655" i="3"/>
  <c r="AA863" i="3"/>
  <c r="AA27" i="3"/>
  <c r="AA1160" i="3"/>
  <c r="AA191" i="3"/>
  <c r="Y716" i="3"/>
  <c r="AA385" i="3"/>
  <c r="AA1039" i="3"/>
  <c r="AA757" i="3"/>
  <c r="AA1142" i="3"/>
  <c r="AA1143" i="3" s="1"/>
  <c r="AA128" i="3"/>
  <c r="AA1023" i="3"/>
  <c r="AA875" i="3"/>
  <c r="AA471" i="3"/>
  <c r="AA797" i="3"/>
  <c r="AA982" i="3"/>
  <c r="AA1107" i="3"/>
  <c r="AA18" i="3"/>
  <c r="AA146" i="3"/>
  <c r="AA768" i="3"/>
  <c r="AA151" i="3"/>
  <c r="AA133" i="3"/>
  <c r="AA436" i="3"/>
  <c r="AA416" i="3"/>
  <c r="AA171" i="3"/>
  <c r="AA261" i="3"/>
  <c r="AA380" i="3"/>
  <c r="AA704" i="3"/>
  <c r="AA1052" i="3"/>
  <c r="AA994" i="3"/>
  <c r="AA729" i="3"/>
  <c r="AA320" i="3"/>
  <c r="Y482" i="3"/>
  <c r="Y102" i="3"/>
  <c r="Y553" i="3"/>
  <c r="Y764" i="3"/>
  <c r="Y298" i="3"/>
  <c r="AA189" i="3"/>
  <c r="AA90" i="3"/>
  <c r="AA212" i="3"/>
  <c r="AA315" i="3"/>
  <c r="AA995" i="3"/>
  <c r="AA908" i="3"/>
  <c r="AA446" i="3"/>
  <c r="AA778" i="3"/>
  <c r="Z558" i="3"/>
  <c r="AA541" i="3"/>
  <c r="AA854" i="3"/>
  <c r="AA286" i="3"/>
  <c r="AA1188" i="3"/>
  <c r="AA1000" i="3"/>
  <c r="AA144" i="3"/>
  <c r="AA207" i="3"/>
  <c r="AA561" i="3"/>
  <c r="AA401" i="3"/>
  <c r="Y1162" i="3"/>
  <c r="Z21" i="3"/>
  <c r="Z30" i="3"/>
  <c r="AA1045" i="3"/>
  <c r="AA1040" i="3"/>
  <c r="AA798" i="3"/>
  <c r="AA466" i="3"/>
  <c r="AA958" i="3"/>
  <c r="AA1050" i="3"/>
  <c r="AA460" i="3"/>
  <c r="AA391" i="3"/>
  <c r="AA1030" i="3"/>
  <c r="AA763" i="3"/>
  <c r="AA664" i="3"/>
  <c r="AA72" i="3"/>
  <c r="AA709" i="3"/>
  <c r="AA527" i="3"/>
  <c r="AA866" i="3"/>
  <c r="AA847" i="3"/>
  <c r="AA825" i="3"/>
  <c r="AA496" i="3"/>
  <c r="AA1027" i="3"/>
  <c r="AA155" i="3"/>
  <c r="AA815" i="3"/>
  <c r="AA556" i="3"/>
  <c r="AA694" i="3"/>
  <c r="AA115" i="3"/>
  <c r="AA1073" i="3"/>
  <c r="AA266" i="3"/>
  <c r="AA1175" i="3"/>
  <c r="Z280" i="3"/>
  <c r="Z628" i="3"/>
  <c r="Z631" i="3" s="1"/>
  <c r="Z271" i="3"/>
  <c r="Z792" i="3"/>
  <c r="Z794" i="3" s="1"/>
  <c r="Z848" i="3"/>
  <c r="Z975" i="3"/>
  <c r="Z741" i="3"/>
  <c r="AA855" i="3"/>
  <c r="AA485" i="3"/>
  <c r="AA487" i="3" s="1"/>
  <c r="AA279" i="3"/>
  <c r="AA219" i="3"/>
  <c r="AA901" i="3"/>
  <c r="AA735" i="3"/>
  <c r="AA1148" i="3"/>
  <c r="AA1057" i="3"/>
  <c r="AA720" i="3"/>
  <c r="AA431" i="3"/>
  <c r="AA420" i="3"/>
  <c r="AA902" i="3"/>
  <c r="AA1155" i="3"/>
  <c r="AA331" i="3"/>
  <c r="AA1149" i="3"/>
  <c r="AA182" i="3"/>
  <c r="AA978" i="3"/>
  <c r="AA461" i="3"/>
  <c r="Y129" i="3"/>
  <c r="Y1016" i="3"/>
  <c r="Y911" i="3"/>
  <c r="Y1150" i="3"/>
  <c r="Z307" i="3"/>
  <c r="Z437" i="3"/>
  <c r="AA919" i="3"/>
  <c r="AA959" i="3"/>
  <c r="AA99" i="3"/>
  <c r="AA788" i="3"/>
  <c r="AA973" i="3"/>
  <c r="AA330" i="3"/>
  <c r="AA178" i="3"/>
  <c r="AA1161" i="3"/>
  <c r="AA1146" i="3"/>
  <c r="AA867" i="3"/>
  <c r="AA821" i="3"/>
  <c r="AA1147" i="3"/>
  <c r="AA430" i="3"/>
  <c r="AA999" i="3"/>
  <c r="AA1053" i="3"/>
  <c r="AA396" i="3"/>
  <c r="AA674" i="3"/>
  <c r="AA20" i="3"/>
  <c r="AA293" i="3"/>
  <c r="AA1062" i="3"/>
  <c r="AA979" i="3"/>
  <c r="AA536" i="3"/>
  <c r="AA675" i="3"/>
  <c r="AA576" i="3"/>
  <c r="AA465" i="3"/>
  <c r="AA907" i="3"/>
  <c r="Y628" i="3"/>
  <c r="Y631" i="3" s="1"/>
  <c r="Y573" i="3"/>
  <c r="Z921" i="3"/>
  <c r="Z1222" i="3" s="1"/>
  <c r="Z75" i="3"/>
  <c r="Z462" i="3"/>
  <c r="Z407" i="3"/>
  <c r="Z887" i="3"/>
  <c r="Z230" i="3"/>
  <c r="Z447" i="3"/>
  <c r="Z759" i="3"/>
  <c r="Z632" i="3"/>
  <c r="Z129" i="3"/>
  <c r="Z503" i="3"/>
  <c r="Z649" i="3"/>
  <c r="Z1201" i="3"/>
  <c r="Z325" i="3"/>
  <c r="Z365" i="3" s="1"/>
  <c r="Z392" i="3"/>
  <c r="Z497" i="3"/>
  <c r="Z244" i="3"/>
  <c r="Z323" i="3"/>
  <c r="Z783" i="3" s="1"/>
  <c r="Z803" i="3" s="1"/>
  <c r="Z48" i="3"/>
  <c r="Z477" i="3"/>
  <c r="Z231" i="3"/>
  <c r="Z224" i="3"/>
  <c r="Z634" i="3"/>
  <c r="Z831" i="3"/>
  <c r="Z1199" i="3"/>
  <c r="Z506" i="3"/>
  <c r="Z876" i="3"/>
  <c r="Z864" i="3"/>
  <c r="Z543" i="3"/>
  <c r="Z502" i="3"/>
  <c r="Z533" i="3"/>
  <c r="Z138" i="3"/>
  <c r="Z886" i="3"/>
  <c r="Z911" i="3"/>
  <c r="Z229" i="3"/>
  <c r="Z782" i="3" s="1"/>
  <c r="Z1200" i="3"/>
  <c r="Z701" i="3"/>
  <c r="Z165" i="3"/>
  <c r="Z372" i="3"/>
  <c r="Y634" i="3"/>
  <c r="Z289" i="3"/>
  <c r="Z501" i="3"/>
  <c r="Z422" i="3"/>
  <c r="Z1167" i="3"/>
  <c r="Z746" i="3"/>
  <c r="Z93" i="3"/>
  <c r="Z397" i="3"/>
  <c r="Z749" i="3"/>
  <c r="Z84" i="3"/>
  <c r="Y231" i="3"/>
  <c r="Y1199" i="3"/>
  <c r="Y1139" i="3"/>
  <c r="Z523" i="3"/>
  <c r="Y1096" i="3"/>
  <c r="Y750" i="3"/>
  <c r="Y886" i="3"/>
  <c r="Y840" i="3"/>
  <c r="Y1178" i="3"/>
  <c r="Y407" i="3"/>
  <c r="Y1185" i="3"/>
  <c r="Y1135" i="3"/>
  <c r="Y1200" i="3"/>
  <c r="AA491" i="3"/>
  <c r="AA505" i="3" s="1"/>
  <c r="AA415" i="3"/>
  <c r="AA1029" i="3"/>
  <c r="AA214" i="3"/>
  <c r="AA248" i="3"/>
  <c r="AA153" i="3"/>
  <c r="AA81" i="3"/>
  <c r="AA616" i="3"/>
  <c r="Z326" i="3"/>
  <c r="AA820" i="3"/>
  <c r="AA522" i="3"/>
  <c r="AA29" i="3"/>
  <c r="AA56" i="3"/>
  <c r="AA74" i="3"/>
  <c r="AA1191" i="3"/>
  <c r="AA202" i="3"/>
  <c r="AA846" i="3"/>
  <c r="AA767" i="3"/>
  <c r="AA395" i="3"/>
  <c r="AA421" i="3"/>
  <c r="AA719" i="3"/>
  <c r="AA321" i="3"/>
  <c r="AA571" i="3"/>
  <c r="AA47" i="3"/>
  <c r="AA1028" i="3"/>
  <c r="AA475" i="3"/>
  <c r="AA526" i="3"/>
  <c r="AA838" i="3"/>
  <c r="AA456" i="3"/>
  <c r="AA669" i="3"/>
  <c r="AA137" i="3"/>
  <c r="AA1076" i="3"/>
  <c r="AA883" i="3"/>
  <c r="AA572" i="3"/>
  <c r="Z253" i="3"/>
  <c r="AA425" i="3"/>
  <c r="AA200" i="3"/>
  <c r="AA983" i="3"/>
  <c r="AA1099" i="3"/>
  <c r="AA739" i="3"/>
  <c r="AA647" i="3"/>
  <c r="AA162" i="3"/>
  <c r="AA929" i="3"/>
  <c r="AA659" i="3"/>
  <c r="AA1183" i="3"/>
  <c r="AA65" i="3"/>
  <c r="AA654" i="3"/>
  <c r="AA581" i="3"/>
  <c r="AA101" i="3"/>
  <c r="AA542" i="3"/>
  <c r="AA660" i="3"/>
  <c r="AA1094" i="3"/>
  <c r="AA445" i="3"/>
  <c r="Z387" i="3"/>
  <c r="Y848" i="3"/>
  <c r="Y230" i="3"/>
  <c r="Y262" i="3"/>
  <c r="Y548" i="3"/>
  <c r="Y681" i="3"/>
  <c r="Y447" i="3"/>
  <c r="Y789" i="3"/>
  <c r="Y844" i="3"/>
  <c r="Y1001" i="3"/>
  <c r="Y964" i="3"/>
  <c r="Y1081" i="3" s="1"/>
  <c r="Y613" i="3"/>
  <c r="Y774" i="3"/>
  <c r="Y831" i="3"/>
  <c r="Y759" i="3"/>
  <c r="Y523" i="3"/>
  <c r="Y632" i="3"/>
  <c r="Z298" i="3"/>
  <c r="Z432" i="3"/>
  <c r="Y324" i="3"/>
  <c r="Y533" i="3"/>
  <c r="Y387" i="3"/>
  <c r="Y502" i="3"/>
  <c r="Y661" i="3"/>
  <c r="AA531" i="3"/>
  <c r="AA910" i="3"/>
  <c r="AA270" i="3"/>
  <c r="AA874" i="3"/>
  <c r="AA627" i="3"/>
  <c r="AA119" i="3"/>
  <c r="AA311" i="3"/>
  <c r="AA777" i="3"/>
  <c r="AA621" i="3"/>
  <c r="AA969" i="3"/>
  <c r="AA1181" i="3"/>
  <c r="AA601" i="3"/>
  <c r="AA925" i="3"/>
  <c r="AA210" i="3"/>
  <c r="AA1102" i="3"/>
  <c r="AA602" i="3"/>
  <c r="AA1174" i="3"/>
  <c r="AA951" i="3"/>
  <c r="AA900" i="3"/>
  <c r="AA126" i="3"/>
  <c r="AA537" i="3"/>
  <c r="AA562" i="3"/>
  <c r="AA108" i="3"/>
  <c r="AA481" i="3"/>
  <c r="AA1015" i="3"/>
  <c r="AA981" i="3"/>
  <c r="AA221" i="3"/>
  <c r="AA903" i="3"/>
  <c r="AA826" i="3"/>
  <c r="AA201" i="3"/>
  <c r="AA724" i="3"/>
  <c r="AA252" i="3"/>
  <c r="AA1092" i="3"/>
  <c r="AA476" i="3"/>
  <c r="AA117" i="3"/>
  <c r="AA670" i="3"/>
  <c r="AA406" i="3"/>
  <c r="Z1150" i="3"/>
  <c r="AA53" i="3"/>
  <c r="AA329" i="3"/>
  <c r="AA685" i="3"/>
  <c r="AA1156" i="3"/>
  <c r="AA582" i="3"/>
  <c r="AA587" i="3"/>
  <c r="Z750" i="3"/>
  <c r="AA1009" i="3"/>
  <c r="AA1047" i="3"/>
  <c r="Z507" i="3"/>
  <c r="AA1153" i="3"/>
  <c r="AA1182" i="3"/>
  <c r="AA879" i="3"/>
  <c r="AA1004" i="3"/>
  <c r="AA1075" i="3"/>
  <c r="Z1202" i="3"/>
  <c r="Y1143" i="3"/>
  <c r="Y1202" i="3"/>
  <c r="Y608" i="3"/>
  <c r="Y696" i="3"/>
  <c r="Y593" i="3"/>
  <c r="Y417" i="3"/>
  <c r="Y817" i="3"/>
  <c r="Y412" i="3"/>
  <c r="Y280" i="3"/>
  <c r="Y1103" i="3"/>
  <c r="Y563" i="3"/>
  <c r="Y528" i="3"/>
  <c r="Y307" i="3"/>
  <c r="Y48" i="3"/>
  <c r="Y174" i="3"/>
  <c r="Y1110" i="3"/>
  <c r="Y623" i="3"/>
  <c r="Y558" i="3"/>
  <c r="Z583" i="3"/>
  <c r="Y812" i="3"/>
  <c r="Y830" i="3"/>
  <c r="Y492" i="3"/>
  <c r="Y229" i="3"/>
  <c r="Y215" i="3"/>
  <c r="Y792" i="3"/>
  <c r="Y794" i="3" s="1"/>
  <c r="Y316" i="3"/>
  <c r="Y397" i="3"/>
  <c r="Y326" i="3"/>
  <c r="AA862" i="3"/>
  <c r="AA400" i="3"/>
  <c r="AA239" i="3"/>
  <c r="AA410" i="3"/>
  <c r="AA36" i="3"/>
  <c r="AA1046" i="3"/>
  <c r="AA566" i="3"/>
  <c r="AA142" i="3"/>
  <c r="AA1074" i="3"/>
  <c r="AA92" i="3"/>
  <c r="AA1059" i="3"/>
  <c r="AA135" i="3"/>
  <c r="AA187" i="3"/>
  <c r="AA680" i="3"/>
  <c r="AA850" i="3"/>
  <c r="AA980" i="3"/>
  <c r="AA665" i="3"/>
  <c r="AA962" i="3"/>
  <c r="AA490" i="3"/>
  <c r="AA597" i="3"/>
  <c r="AA180" i="3"/>
  <c r="AA1041" i="3"/>
  <c r="AA297" i="3"/>
  <c r="AA1010" i="3"/>
  <c r="AA124" i="3"/>
  <c r="AA591" i="3"/>
  <c r="AA1033" i="3"/>
  <c r="AA302" i="3"/>
  <c r="AA88" i="3"/>
  <c r="AA546" i="3"/>
  <c r="AA1063" i="3"/>
  <c r="AA960" i="3"/>
  <c r="AA772" i="3"/>
  <c r="AA699" i="3"/>
  <c r="AA38" i="3"/>
  <c r="AA811" i="3"/>
  <c r="AA1134" i="3"/>
  <c r="AA1036" i="3"/>
  <c r="AA1133" i="3"/>
  <c r="AA306" i="3"/>
  <c r="AA173" i="3"/>
  <c r="AA839" i="3"/>
  <c r="AA700" i="3"/>
  <c r="AA79" i="3"/>
  <c r="AA1095" i="3"/>
  <c r="AA851" i="3"/>
  <c r="AA552" i="3"/>
  <c r="AA606" i="3"/>
  <c r="AA1093" i="3"/>
  <c r="AA1014" i="3"/>
  <c r="AA1070" i="3"/>
  <c r="AA480" i="3"/>
  <c r="AA577" i="3"/>
  <c r="Y323" i="3"/>
  <c r="Y783" i="3" s="1"/>
  <c r="Y803" i="3" s="1"/>
  <c r="Y726" i="3"/>
  <c r="Y860" i="3"/>
  <c r="Y507" i="3"/>
  <c r="Y506" i="3"/>
  <c r="Y1192" i="3"/>
  <c r="Y721" i="3"/>
  <c r="Y749" i="3"/>
  <c r="Y656" i="3"/>
  <c r="Y887" i="3"/>
  <c r="Y244" i="3"/>
  <c r="Y57" i="3"/>
  <c r="Y1157" i="3"/>
  <c r="Y953" i="3"/>
  <c r="Y183" i="3"/>
  <c r="Y676" i="3"/>
  <c r="Y921" i="3"/>
  <c r="Y1222" i="3" s="1"/>
  <c r="Y852" i="3"/>
  <c r="Y568" i="3"/>
  <c r="Y165" i="3"/>
  <c r="Y21" i="3"/>
  <c r="Y746" i="3"/>
  <c r="Y686" i="3"/>
  <c r="Y671" i="3"/>
  <c r="Y1201" i="3"/>
  <c r="Y402" i="3"/>
  <c r="Y75" i="3"/>
  <c r="Y372" i="3"/>
  <c r="Y325" i="3"/>
  <c r="Y365" i="3" s="1"/>
  <c r="Y120" i="3"/>
  <c r="Y156" i="3"/>
  <c r="Y827" i="3"/>
  <c r="Y741" i="3"/>
  <c r="Y649" i="3"/>
  <c r="AA1024" i="3"/>
  <c r="AA451" i="3"/>
  <c r="AA1034" i="3"/>
  <c r="AA745" i="3"/>
  <c r="AA288" i="3"/>
  <c r="AA870" i="3"/>
  <c r="AA1058" i="3"/>
  <c r="AA110" i="3"/>
  <c r="AA551" i="3"/>
  <c r="AA679" i="3"/>
  <c r="AA974" i="3"/>
  <c r="AA1195" i="3"/>
  <c r="AA1196" i="3" s="1"/>
  <c r="AA773" i="3"/>
  <c r="AA592" i="3"/>
  <c r="AA690" i="3"/>
  <c r="AA223" i="3"/>
  <c r="AA257" i="3"/>
  <c r="AA1176" i="3"/>
  <c r="AA611" i="3"/>
  <c r="AA1051" i="3"/>
  <c r="AA455" i="3"/>
  <c r="AA1035" i="3"/>
  <c r="AA586" i="3"/>
  <c r="AA705" i="3"/>
  <c r="AA206" i="3"/>
  <c r="AA985" i="3"/>
  <c r="AA1108" i="3"/>
  <c r="AA557" i="3"/>
  <c r="AA1177" i="3"/>
  <c r="AA684" i="3"/>
  <c r="AA169" i="3"/>
  <c r="AA470" i="3"/>
  <c r="AA1165" i="3"/>
  <c r="AA1167" i="3" s="1"/>
  <c r="AA918" i="3"/>
  <c r="AA426" i="3"/>
  <c r="AA197" i="3"/>
  <c r="AA34" i="3"/>
  <c r="AA1138" i="3"/>
  <c r="AA1139" i="3" s="1"/>
  <c r="AA25" i="3"/>
  <c r="AA243" i="3"/>
  <c r="AA1005" i="3"/>
  <c r="AA920" i="3"/>
  <c r="AA1109" i="3"/>
  <c r="AA45" i="3"/>
  <c r="AA1088" i="3"/>
  <c r="AA1089" i="3" s="1"/>
  <c r="AA521" i="3"/>
  <c r="AA927" i="3"/>
  <c r="AA596" i="3"/>
  <c r="AA164" i="3"/>
  <c r="AA405" i="3"/>
  <c r="AA9" i="3"/>
  <c r="Y111" i="3"/>
  <c r="Y422" i="3"/>
  <c r="Y192" i="3"/>
  <c r="Y970" i="3"/>
  <c r="Y467" i="3"/>
  <c r="Y503" i="3"/>
  <c r="Y501" i="3"/>
  <c r="Y382" i="3"/>
  <c r="Y392" i="3"/>
  <c r="Y93" i="3"/>
  <c r="Y1167" i="3"/>
  <c r="Y66" i="3"/>
  <c r="Y769" i="3"/>
  <c r="Y224" i="3"/>
  <c r="Y711" i="3"/>
  <c r="O51" i="1"/>
  <c r="E50" i="1"/>
  <c r="F50" i="1"/>
  <c r="B50" i="1" s="1"/>
  <c r="AG6" i="3"/>
  <c r="AH6" i="3" s="1"/>
  <c r="AM157" i="4"/>
  <c r="AP157" i="4" s="1"/>
  <c r="AN160" i="4"/>
  <c r="BA162" i="650"/>
  <c r="AM160" i="4" s="1"/>
  <c r="AP160" i="4" s="1"/>
  <c r="BA207" i="4"/>
  <c r="AZ235" i="4"/>
  <c r="BA235" i="4" s="1"/>
  <c r="AQ235" i="4"/>
  <c r="AK215" i="4"/>
  <c r="AL222" i="4"/>
  <c r="Y67" i="6"/>
  <c r="Y68" i="6" s="1"/>
  <c r="F1143" i="3"/>
  <c r="K46" i="14"/>
  <c r="L46" i="14"/>
  <c r="J47" i="14" s="1"/>
  <c r="AQ153" i="4"/>
  <c r="AZ153" i="4"/>
  <c r="BA153" i="4" s="1"/>
  <c r="AA13" i="5" l="1"/>
  <c r="Y16" i="5"/>
  <c r="AA12" i="5"/>
  <c r="Y22" i="5"/>
  <c r="AA21" i="5"/>
  <c r="AA11" i="5"/>
  <c r="AA16" i="5" s="1"/>
  <c r="W1214" i="3"/>
  <c r="W16" i="5"/>
  <c r="X34" i="5"/>
  <c r="X1127" i="3"/>
  <c r="X1214" i="3" s="1"/>
  <c r="X16" i="5"/>
  <c r="W368" i="3"/>
  <c r="W512" i="3" s="1"/>
  <c r="AA15" i="5"/>
  <c r="X52" i="5"/>
  <c r="X58" i="5" s="1"/>
  <c r="X22" i="5"/>
  <c r="X639" i="3"/>
  <c r="X1219" i="3" s="1"/>
  <c r="X512" i="3"/>
  <c r="AA26" i="5"/>
  <c r="Y34" i="5"/>
  <c r="W892" i="3"/>
  <c r="W1220" i="3" s="1"/>
  <c r="X892" i="3"/>
  <c r="X1220" i="3" s="1"/>
  <c r="W639" i="3"/>
  <c r="W1219" i="3" s="1"/>
  <c r="AA20" i="5"/>
  <c r="AA22" i="5" s="1"/>
  <c r="V1127" i="3"/>
  <c r="V1214" i="3" s="1"/>
  <c r="W52" i="5"/>
  <c r="W58" i="5" s="1"/>
  <c r="U1241" i="3"/>
  <c r="V70" i="5"/>
  <c r="V71" i="5" s="1"/>
  <c r="V74" i="5" s="1"/>
  <c r="T933" i="3"/>
  <c r="T936" i="3" s="1"/>
  <c r="T939" i="3" s="1"/>
  <c r="U39" i="5"/>
  <c r="U40" i="5" s="1"/>
  <c r="U43" i="5" s="1"/>
  <c r="U46" i="5" s="1"/>
  <c r="AA387" i="3"/>
  <c r="Y1210" i="3"/>
  <c r="Y1240" i="3" s="1"/>
  <c r="Y1085" i="3"/>
  <c r="Y1127" i="3" s="1"/>
  <c r="Y1122" i="3"/>
  <c r="Y1209" i="3" s="1"/>
  <c r="Y1239" i="3" s="1"/>
  <c r="AA1082" i="3"/>
  <c r="AA1122" i="3" s="1"/>
  <c r="AA1083" i="3"/>
  <c r="AA1123" i="3" s="1"/>
  <c r="Z1081" i="3"/>
  <c r="Z1085" i="3" s="1"/>
  <c r="Z1127" i="3" s="1"/>
  <c r="AA1078" i="3"/>
  <c r="AA1084" i="3" s="1"/>
  <c r="AA1124" i="3" s="1"/>
  <c r="AA467" i="3"/>
  <c r="AA779" i="3"/>
  <c r="AA860" i="3"/>
  <c r="AA370" i="3"/>
  <c r="U1244" i="3"/>
  <c r="AA741" i="3"/>
  <c r="AA1011" i="3"/>
  <c r="AA817" i="3"/>
  <c r="AA628" i="3"/>
  <c r="AA631" i="3" s="1"/>
  <c r="AA812" i="3"/>
  <c r="AA447" i="3"/>
  <c r="AA618" i="3"/>
  <c r="AA726" i="3"/>
  <c r="AA371" i="3"/>
  <c r="AA789" i="3"/>
  <c r="Z1210" i="3"/>
  <c r="Z1240" i="3" s="1"/>
  <c r="AA382" i="3"/>
  <c r="AA437" i="3"/>
  <c r="AA533" i="3"/>
  <c r="AA1192" i="3"/>
  <c r="AA844" i="3"/>
  <c r="AA422" i="3"/>
  <c r="AA774" i="3"/>
  <c r="AA731" i="3"/>
  <c r="AA262" i="3"/>
  <c r="AA553" i="3"/>
  <c r="AA558" i="3"/>
  <c r="AA289" i="3"/>
  <c r="T1223" i="3"/>
  <c r="T1227" i="3" s="1"/>
  <c r="T1229" i="3" s="1"/>
  <c r="T1234" i="3" s="1"/>
  <c r="U70" i="5" s="1"/>
  <c r="U71" i="5" s="1"/>
  <c r="U74" i="5" s="1"/>
  <c r="AA229" i="3"/>
  <c r="AA782" i="3" s="1"/>
  <c r="AA588" i="3"/>
  <c r="AA691" i="3"/>
  <c r="AA953" i="3"/>
  <c r="AA583" i="3"/>
  <c r="AA991" i="3"/>
  <c r="AA593" i="3"/>
  <c r="V923" i="3"/>
  <c r="AA671" i="3"/>
  <c r="AA156" i="3"/>
  <c r="AA975" i="3"/>
  <c r="AA1201" i="3"/>
  <c r="AA392" i="3"/>
  <c r="AA706" i="3"/>
  <c r="AA769" i="3"/>
  <c r="AA764" i="3"/>
  <c r="AA1103" i="3"/>
  <c r="AA827" i="3"/>
  <c r="AA538" i="3"/>
  <c r="AA253" i="3"/>
  <c r="AA868" i="3"/>
  <c r="AA462" i="3"/>
  <c r="AA911" i="3"/>
  <c r="AA280" i="3"/>
  <c r="Z1018" i="3"/>
  <c r="AA482" i="3"/>
  <c r="AA568" i="3"/>
  <c r="AA876" i="3"/>
  <c r="Z364" i="3"/>
  <c r="AA492" i="3"/>
  <c r="AA316" i="3"/>
  <c r="AA759" i="3"/>
  <c r="Z833" i="3"/>
  <c r="AA598" i="3"/>
  <c r="AA563" i="3"/>
  <c r="AA633" i="3"/>
  <c r="AA656" i="3"/>
  <c r="AA21" i="3"/>
  <c r="AA497" i="3"/>
  <c r="AA921" i="3"/>
  <c r="AA1222" i="3" s="1"/>
  <c r="AA686" i="3"/>
  <c r="AA623" i="3"/>
  <c r="AA848" i="3"/>
  <c r="AA578" i="3"/>
  <c r="AA1162" i="3"/>
  <c r="AA721" i="3"/>
  <c r="AA746" i="3"/>
  <c r="AA442" i="3"/>
  <c r="AA57" i="3"/>
  <c r="AA799" i="3"/>
  <c r="AA402" i="3"/>
  <c r="Z889" i="3"/>
  <c r="AA472" i="3"/>
  <c r="AA1001" i="3"/>
  <c r="AA372" i="3"/>
  <c r="AA649" i="3"/>
  <c r="AA457" i="3"/>
  <c r="AA852" i="3"/>
  <c r="AA548" i="3"/>
  <c r="AA681" i="3"/>
  <c r="AA1006" i="3"/>
  <c r="AA129" i="3"/>
  <c r="AA427" i="3"/>
  <c r="AA298" i="3"/>
  <c r="AA822" i="3"/>
  <c r="AA996" i="3"/>
  <c r="AA324" i="3"/>
  <c r="AA165" i="3"/>
  <c r="AA964" i="3"/>
  <c r="AA1135" i="3"/>
  <c r="AA93" i="3"/>
  <c r="AA183" i="3"/>
  <c r="AA192" i="3"/>
  <c r="AA880" i="3"/>
  <c r="AA271" i="3"/>
  <c r="Z1209" i="3"/>
  <c r="Z1239" i="3" s="1"/>
  <c r="Z1205" i="3"/>
  <c r="AA147" i="3"/>
  <c r="Z802" i="3"/>
  <c r="AA407" i="3"/>
  <c r="AA613" i="3"/>
  <c r="AA676" i="3"/>
  <c r="AA887" i="3"/>
  <c r="AA215" i="3"/>
  <c r="Z232" i="3"/>
  <c r="Z1211" i="3"/>
  <c r="Y913" i="3"/>
  <c r="AA872" i="3"/>
  <c r="AA736" i="3"/>
  <c r="AA661" i="3"/>
  <c r="AA1110" i="3"/>
  <c r="AA412" i="3"/>
  <c r="AA711" i="3"/>
  <c r="AA66" i="3"/>
  <c r="AA120" i="3"/>
  <c r="AA1185" i="3"/>
  <c r="AA1199" i="3"/>
  <c r="AA1178" i="3"/>
  <c r="AA884" i="3"/>
  <c r="Z636" i="3"/>
  <c r="Z203" i="3"/>
  <c r="Z913" i="3"/>
  <c r="AA1150" i="3"/>
  <c r="AA432" i="3"/>
  <c r="AA75" i="3"/>
  <c r="AA856" i="3"/>
  <c r="AA417" i="3"/>
  <c r="AA716" i="3"/>
  <c r="AA507" i="3"/>
  <c r="AA886" i="3"/>
  <c r="Z752" i="3"/>
  <c r="Z366" i="3"/>
  <c r="AA230" i="3"/>
  <c r="AA904" i="3"/>
  <c r="AA543" i="3"/>
  <c r="AA84" i="3"/>
  <c r="AA307" i="3"/>
  <c r="AA138" i="3"/>
  <c r="AA970" i="3"/>
  <c r="AA102" i="3"/>
  <c r="AA477" i="3"/>
  <c r="AA830" i="3"/>
  <c r="AA326" i="3"/>
  <c r="AA231" i="3"/>
  <c r="AA701" i="3"/>
  <c r="Z363" i="3"/>
  <c r="AA666" i="3"/>
  <c r="AA864" i="3"/>
  <c r="AA111" i="3"/>
  <c r="AA696" i="3"/>
  <c r="AA30" i="3"/>
  <c r="AA39" i="3"/>
  <c r="AA608" i="3"/>
  <c r="AA1016" i="3"/>
  <c r="AA48" i="3"/>
  <c r="AA323" i="3"/>
  <c r="AA783" i="3" s="1"/>
  <c r="AA803" i="3" s="1"/>
  <c r="Z635" i="3"/>
  <c r="AA840" i="3"/>
  <c r="Y1211" i="3"/>
  <c r="Z327" i="3"/>
  <c r="AA632" i="3"/>
  <c r="AA503" i="3"/>
  <c r="AA523" i="3"/>
  <c r="AA1157" i="3"/>
  <c r="AA501" i="3"/>
  <c r="AA831" i="3"/>
  <c r="Y232" i="3"/>
  <c r="Y833" i="3"/>
  <c r="AA1200" i="3"/>
  <c r="AA1202" i="3"/>
  <c r="AA603" i="3"/>
  <c r="AA1096" i="3"/>
  <c r="AA174" i="3"/>
  <c r="Z509" i="3"/>
  <c r="AA502" i="3"/>
  <c r="Y509" i="3"/>
  <c r="AA749" i="3"/>
  <c r="Y366" i="3"/>
  <c r="AA634" i="3"/>
  <c r="Y1121" i="3"/>
  <c r="Y1208" i="3" s="1"/>
  <c r="Y1238" i="3" s="1"/>
  <c r="Y635" i="3"/>
  <c r="Y364" i="3"/>
  <c r="Y889" i="3"/>
  <c r="AA528" i="3"/>
  <c r="AA750" i="3"/>
  <c r="AA397" i="3"/>
  <c r="AA506" i="3"/>
  <c r="AB8" i="3"/>
  <c r="AB1" i="3" s="1"/>
  <c r="Y363" i="3"/>
  <c r="Y782" i="3"/>
  <c r="Y1018" i="3"/>
  <c r="AA244" i="3"/>
  <c r="AA573" i="3"/>
  <c r="Y1205" i="3"/>
  <c r="AA325" i="3"/>
  <c r="AA365" i="3" s="1"/>
  <c r="AA224" i="3"/>
  <c r="AA452" i="3"/>
  <c r="Y752" i="3"/>
  <c r="AB9" i="3"/>
  <c r="Y203" i="3"/>
  <c r="Y327" i="3"/>
  <c r="AA792" i="3"/>
  <c r="AA794" i="3" s="1"/>
  <c r="Y636" i="3"/>
  <c r="Z784" i="3"/>
  <c r="Z805" i="3" s="1"/>
  <c r="O52" i="1"/>
  <c r="F51" i="1"/>
  <c r="B51" i="1" s="1"/>
  <c r="E51" i="1"/>
  <c r="AI6" i="3"/>
  <c r="AQ157" i="4"/>
  <c r="AZ157" i="4"/>
  <c r="BA157" i="4" s="1"/>
  <c r="AQ160" i="4"/>
  <c r="AZ160" i="4"/>
  <c r="BA160" i="4" s="1"/>
  <c r="AN158" i="4"/>
  <c r="BA160" i="650"/>
  <c r="AN159" i="4"/>
  <c r="BA161" i="650"/>
  <c r="AM159" i="4" s="1"/>
  <c r="AP159" i="4" s="1"/>
  <c r="F1170" i="3"/>
  <c r="AN211" i="4"/>
  <c r="BA213" i="650"/>
  <c r="AN218" i="4"/>
  <c r="BA220" i="650"/>
  <c r="AK222" i="4"/>
  <c r="Y69" i="6"/>
  <c r="Y70" i="6" s="1"/>
  <c r="W68" i="6"/>
  <c r="AB68" i="6" s="1"/>
  <c r="F1088" i="3"/>
  <c r="H388" i="139"/>
  <c r="L47" i="14"/>
  <c r="J48" i="14" s="1"/>
  <c r="G63" i="5"/>
  <c r="AA63" i="5" s="1"/>
  <c r="X923" i="3" l="1"/>
  <c r="W923" i="3"/>
  <c r="X39" i="5" s="1"/>
  <c r="X40" i="5" s="1"/>
  <c r="X43" i="5" s="1"/>
  <c r="X46" i="5" s="1"/>
  <c r="X933" i="3"/>
  <c r="X936" i="3" s="1"/>
  <c r="X939" i="3" s="1"/>
  <c r="Y39" i="5"/>
  <c r="Y40" i="5" s="1"/>
  <c r="Y43" i="5" s="1"/>
  <c r="Y46" i="5" s="1"/>
  <c r="V933" i="3"/>
  <c r="V936" i="3" s="1"/>
  <c r="V939" i="3" s="1"/>
  <c r="W39" i="5"/>
  <c r="W40" i="5" s="1"/>
  <c r="W43" i="5" s="1"/>
  <c r="W46" i="5" s="1"/>
  <c r="AA1081" i="3"/>
  <c r="AA1121" i="3" s="1"/>
  <c r="AA1208" i="3" s="1"/>
  <c r="AA1238" i="3" s="1"/>
  <c r="Z1121" i="3"/>
  <c r="Z1208" i="3" s="1"/>
  <c r="Z1238" i="3" s="1"/>
  <c r="T1244" i="3"/>
  <c r="AA833" i="3"/>
  <c r="AA364" i="3"/>
  <c r="X1223" i="3"/>
  <c r="X1227" i="3" s="1"/>
  <c r="X1229" i="3" s="1"/>
  <c r="X1234" i="3" s="1"/>
  <c r="AA1209" i="3"/>
  <c r="AA1239" i="3" s="1"/>
  <c r="AA913" i="3"/>
  <c r="Z892" i="3"/>
  <c r="Z1220" i="3" s="1"/>
  <c r="V1223" i="3"/>
  <c r="V1227" i="3" s="1"/>
  <c r="V1229" i="3" s="1"/>
  <c r="V1234" i="3" s="1"/>
  <c r="T1241" i="3"/>
  <c r="AA1210" i="3"/>
  <c r="AA1240" i="3" s="1"/>
  <c r="AA366" i="3"/>
  <c r="AA232" i="3"/>
  <c r="Y1214" i="3"/>
  <c r="AA1205" i="3"/>
  <c r="Z1214" i="3"/>
  <c r="Z368" i="3"/>
  <c r="Z512" i="3" s="1"/>
  <c r="AA802" i="3"/>
  <c r="Z639" i="3"/>
  <c r="Z1219" i="3" s="1"/>
  <c r="AA636" i="3"/>
  <c r="AA327" i="3"/>
  <c r="AA1018" i="3"/>
  <c r="AA509" i="3"/>
  <c r="AA752" i="3"/>
  <c r="AA1211" i="3"/>
  <c r="AA363" i="3"/>
  <c r="AA203" i="3"/>
  <c r="AA889" i="3"/>
  <c r="AA635" i="3"/>
  <c r="Y639" i="3"/>
  <c r="Y1219" i="3" s="1"/>
  <c r="Y368" i="3"/>
  <c r="Y512" i="3" s="1"/>
  <c r="AB1069" i="3"/>
  <c r="AB210" i="3"/>
  <c r="AB527" i="3"/>
  <c r="AB602" i="3"/>
  <c r="AB1035" i="3"/>
  <c r="AB380" i="3"/>
  <c r="AB180" i="3"/>
  <c r="AB239" i="3"/>
  <c r="AB695" i="3"/>
  <c r="AB27" i="3"/>
  <c r="AB451" i="3"/>
  <c r="AB79" i="3"/>
  <c r="AB135" i="3"/>
  <c r="AB187" i="3"/>
  <c r="AB331" i="3"/>
  <c r="AB1030" i="3"/>
  <c r="AB164" i="3"/>
  <c r="AB715" i="3"/>
  <c r="AB385" i="3"/>
  <c r="AB1075" i="3"/>
  <c r="AB1095" i="3"/>
  <c r="AB843" i="3"/>
  <c r="AB212" i="3"/>
  <c r="AB455" i="3"/>
  <c r="AB927" i="3"/>
  <c r="AB18" i="3"/>
  <c r="AB460" i="3"/>
  <c r="AB1106" i="3"/>
  <c r="AB675" i="3"/>
  <c r="AB461" i="3"/>
  <c r="AB582" i="3"/>
  <c r="AB277" i="3"/>
  <c r="AB1184" i="3"/>
  <c r="AB450" i="3"/>
  <c r="AB38" i="3"/>
  <c r="AB950" i="3"/>
  <c r="AB490" i="3"/>
  <c r="AB607" i="3"/>
  <c r="AB99" i="3"/>
  <c r="AB386" i="3"/>
  <c r="AB710" i="3"/>
  <c r="AB793" i="3"/>
  <c r="AB1160" i="3"/>
  <c r="AB981" i="3"/>
  <c r="AB1051" i="3"/>
  <c r="AB627" i="3"/>
  <c r="AB52" i="3"/>
  <c r="AB729" i="3"/>
  <c r="AB858" i="3"/>
  <c r="AB968" i="3"/>
  <c r="AB709" i="3"/>
  <c r="AB144" i="3"/>
  <c r="AB70" i="3"/>
  <c r="AB909" i="3"/>
  <c r="AB763" i="3"/>
  <c r="AB1000" i="3"/>
  <c r="AB878" i="3"/>
  <c r="AB566" i="3"/>
  <c r="AB1042" i="3"/>
  <c r="AB83" i="3"/>
  <c r="AB214" i="3"/>
  <c r="AB425" i="3"/>
  <c r="AB1057" i="3"/>
  <c r="AB679" i="3"/>
  <c r="AB979" i="3"/>
  <c r="AB660" i="3"/>
  <c r="AB252" i="3"/>
  <c r="AB689" i="3"/>
  <c r="AB867" i="3"/>
  <c r="AB960" i="3"/>
  <c r="AB137" i="3"/>
  <c r="AB401" i="3"/>
  <c r="AB221" i="3"/>
  <c r="AB329" i="3"/>
  <c r="AB616" i="3"/>
  <c r="AB110" i="3"/>
  <c r="AB551" i="3"/>
  <c r="AB931" i="3"/>
  <c r="AB306" i="3"/>
  <c r="AB1101" i="3"/>
  <c r="AB169" i="3"/>
  <c r="AB1092" i="3"/>
  <c r="AB739" i="3"/>
  <c r="AB391" i="3"/>
  <c r="AB321" i="3"/>
  <c r="AB415" i="3"/>
  <c r="AB330" i="3"/>
  <c r="AB847" i="3"/>
  <c r="AB855" i="3"/>
  <c r="AB207" i="3"/>
  <c r="AB54" i="3"/>
  <c r="AB1148" i="3"/>
  <c r="AB907" i="3"/>
  <c r="AB773" i="3"/>
  <c r="AB297" i="3"/>
  <c r="AB900" i="3"/>
  <c r="AB311" i="3"/>
  <c r="AB917" i="3"/>
  <c r="AB1161" i="3"/>
  <c r="AB1146" i="3"/>
  <c r="AB47" i="3"/>
  <c r="AB124" i="3"/>
  <c r="AB821" i="3"/>
  <c r="AB1033" i="3"/>
  <c r="AB586" i="3"/>
  <c r="AB842" i="3"/>
  <c r="AB745" i="3"/>
  <c r="AB155" i="3"/>
  <c r="AB762" i="3"/>
  <c r="AB420" i="3"/>
  <c r="AB1056" i="3"/>
  <c r="AB670" i="3"/>
  <c r="AB537" i="3"/>
  <c r="AB862" i="3"/>
  <c r="AB173" i="3"/>
  <c r="AB43" i="3"/>
  <c r="AB561" i="3"/>
  <c r="AB160" i="3"/>
  <c r="AB1014" i="3"/>
  <c r="AB815" i="3"/>
  <c r="AB101" i="3"/>
  <c r="AB1070" i="3"/>
  <c r="AB974" i="3"/>
  <c r="AB612" i="3"/>
  <c r="AB1156" i="3"/>
  <c r="AB597" i="3"/>
  <c r="AB1175" i="3"/>
  <c r="AB995" i="3"/>
  <c r="AB1053" i="3"/>
  <c r="AB1154" i="3"/>
  <c r="AB34" i="3"/>
  <c r="AB1046" i="3"/>
  <c r="AB621" i="3"/>
  <c r="AB1191" i="3"/>
  <c r="AB201" i="3"/>
  <c r="AB293" i="3"/>
  <c r="AB1176" i="3"/>
  <c r="AB16" i="3"/>
  <c r="AB485" i="3"/>
  <c r="AB487" i="3" s="1"/>
  <c r="AB929" i="3"/>
  <c r="AB1063" i="3"/>
  <c r="AB669" i="3"/>
  <c r="AB591" i="3"/>
  <c r="AB705" i="3"/>
  <c r="AB97" i="3"/>
  <c r="AB61" i="3"/>
  <c r="AB1147" i="3"/>
  <c r="AB1107" i="3"/>
  <c r="AB572" i="3"/>
  <c r="AB261" i="3"/>
  <c r="AB435" i="3"/>
  <c r="AB994" i="3"/>
  <c r="AB1010" i="3"/>
  <c r="AB854" i="3"/>
  <c r="AB665" i="3"/>
  <c r="AB182" i="3"/>
  <c r="AB495" i="3"/>
  <c r="AB767" i="3"/>
  <c r="AB956" i="3"/>
  <c r="AB395" i="3"/>
  <c r="AB1015" i="3"/>
  <c r="AB430" i="3"/>
  <c r="AB196" i="3"/>
  <c r="AB1039" i="3"/>
  <c r="AB171" i="3"/>
  <c r="AB446" i="3"/>
  <c r="AB816" i="3"/>
  <c r="AB1155" i="3"/>
  <c r="AB126" i="3"/>
  <c r="AB1005" i="3"/>
  <c r="AB982" i="3"/>
  <c r="AB596" i="3"/>
  <c r="AB1188" i="3"/>
  <c r="AB962" i="3"/>
  <c r="AB1183" i="3"/>
  <c r="AB839" i="3"/>
  <c r="AB1076" i="3"/>
  <c r="AB788" i="3"/>
  <c r="AB704" i="3"/>
  <c r="AB491" i="3"/>
  <c r="AB505" i="3" s="1"/>
  <c r="AB851" i="3"/>
  <c r="AB223" i="3"/>
  <c r="AB850" i="3"/>
  <c r="AB108" i="3"/>
  <c r="AB969" i="3"/>
  <c r="AB1062" i="3"/>
  <c r="AB1029" i="3"/>
  <c r="AB445" i="3"/>
  <c r="AB151" i="3"/>
  <c r="AB522" i="3"/>
  <c r="AB1073" i="3"/>
  <c r="AB162" i="3"/>
  <c r="AB119" i="3"/>
  <c r="AB1009" i="3"/>
  <c r="AB45" i="3"/>
  <c r="AB74" i="3"/>
  <c r="AB719" i="3"/>
  <c r="AB56" i="3"/>
  <c r="AB957" i="3"/>
  <c r="AB1195" i="3"/>
  <c r="AB1196" i="3" s="1"/>
  <c r="AB63" i="3"/>
  <c r="AB1170" i="3"/>
  <c r="AB1171" i="3" s="1"/>
  <c r="AB541" i="3"/>
  <c r="AB730" i="3"/>
  <c r="AB777" i="3"/>
  <c r="AB581" i="3"/>
  <c r="AB526" i="3"/>
  <c r="AB758" i="3"/>
  <c r="AB617" i="3"/>
  <c r="AB919" i="3"/>
  <c r="AB961" i="3"/>
  <c r="AB191" i="3"/>
  <c r="AB1166" i="3"/>
  <c r="AB690" i="3"/>
  <c r="AB1027" i="3"/>
  <c r="AB601" i="3"/>
  <c r="AB1023" i="3"/>
  <c r="AB153" i="3"/>
  <c r="AB674" i="3"/>
  <c r="AB266" i="3"/>
  <c r="AB536" i="3"/>
  <c r="AB431" i="3"/>
  <c r="AB959" i="3"/>
  <c r="AB699" i="3"/>
  <c r="AB826" i="3"/>
  <c r="AB302" i="3"/>
  <c r="AB88" i="3"/>
  <c r="AB1004" i="3"/>
  <c r="AB562" i="3"/>
  <c r="AB980" i="3"/>
  <c r="AB684" i="3"/>
  <c r="AB115" i="3"/>
  <c r="AB571" i="3"/>
  <c r="AB724" i="3"/>
  <c r="AB1100" i="3"/>
  <c r="AB257" i="3"/>
  <c r="AB106" i="3"/>
  <c r="AB685" i="3"/>
  <c r="AB734" i="3"/>
  <c r="AB577" i="3"/>
  <c r="AB421" i="3"/>
  <c r="AB20" i="3"/>
  <c r="AB1040" i="3"/>
  <c r="AB1108" i="3"/>
  <c r="AB725" i="3"/>
  <c r="AB654" i="3"/>
  <c r="AB846" i="3"/>
  <c r="AB381" i="3"/>
  <c r="AB626" i="3"/>
  <c r="AB275" i="3"/>
  <c r="AB1182" i="3"/>
  <c r="AB720" i="3"/>
  <c r="AB1165" i="3"/>
  <c r="AB646" i="3"/>
  <c r="AB820" i="3"/>
  <c r="AB680" i="3"/>
  <c r="AB436" i="3"/>
  <c r="AB243" i="3"/>
  <c r="AB740" i="3"/>
  <c r="AB410" i="3"/>
  <c r="AB206" i="3"/>
  <c r="AB772" i="3"/>
  <c r="AB315" i="3"/>
  <c r="AB396" i="3"/>
  <c r="AB902" i="3"/>
  <c r="AB92" i="3"/>
  <c r="AB1059" i="3"/>
  <c r="AB647" i="3"/>
  <c r="AB90" i="3"/>
  <c r="AB197" i="3"/>
  <c r="AB248" i="3"/>
  <c r="AB920" i="3"/>
  <c r="AB1034" i="3"/>
  <c r="AB925" i="3"/>
  <c r="AB205" i="3"/>
  <c r="AB1024" i="3"/>
  <c r="AB700" i="3"/>
  <c r="AB870" i="3"/>
  <c r="AB1036" i="3"/>
  <c r="AB983" i="3"/>
  <c r="AB875" i="3"/>
  <c r="AB694" i="3"/>
  <c r="AB270" i="3"/>
  <c r="AB714" i="3"/>
  <c r="AB480" i="3"/>
  <c r="AB288" i="3"/>
  <c r="AB866" i="3"/>
  <c r="AB142" i="3"/>
  <c r="AB547" i="3"/>
  <c r="AB286" i="3"/>
  <c r="AB178" i="3"/>
  <c r="AB901" i="3"/>
  <c r="AB320" i="3"/>
  <c r="AB1138" i="3"/>
  <c r="AB1102" i="3"/>
  <c r="AB883" i="3"/>
  <c r="AB1045" i="3"/>
  <c r="AB476" i="3"/>
  <c r="AB587" i="3"/>
  <c r="AB879" i="3"/>
  <c r="AB532" i="3"/>
  <c r="AB989" i="3"/>
  <c r="AB416" i="3"/>
  <c r="AB1052" i="3"/>
  <c r="AB400" i="3"/>
  <c r="AB1041" i="3"/>
  <c r="AB1047" i="3"/>
  <c r="AB1189" i="3"/>
  <c r="AB735" i="3"/>
  <c r="AB496" i="3"/>
  <c r="AB973" i="3"/>
  <c r="AB757" i="3"/>
  <c r="AB1099" i="3"/>
  <c r="AB426" i="3"/>
  <c r="AB606" i="3"/>
  <c r="AB219" i="3"/>
  <c r="AB659" i="3"/>
  <c r="AB465" i="3"/>
  <c r="AB128" i="3"/>
  <c r="AB798" i="3"/>
  <c r="AB481" i="3"/>
  <c r="AB117" i="3"/>
  <c r="AB279" i="3"/>
  <c r="AB542" i="3"/>
  <c r="AB1149" i="3"/>
  <c r="AB664" i="3"/>
  <c r="AB768" i="3"/>
  <c r="AB531" i="3"/>
  <c r="AB146" i="3"/>
  <c r="AB546" i="3"/>
  <c r="AB1134" i="3"/>
  <c r="AB81" i="3"/>
  <c r="AB1074" i="3"/>
  <c r="AB1177" i="3"/>
  <c r="AB811" i="3"/>
  <c r="AB557" i="3"/>
  <c r="AB55" i="3"/>
  <c r="AB951" i="3"/>
  <c r="AB1094" i="3"/>
  <c r="AB874" i="3"/>
  <c r="AB411" i="3"/>
  <c r="AB556" i="3"/>
  <c r="AB1064" i="3"/>
  <c r="AB1050" i="3"/>
  <c r="AB406" i="3"/>
  <c r="AB25" i="3"/>
  <c r="AB133" i="3"/>
  <c r="AB1088" i="3"/>
  <c r="AB1089" i="3" s="1"/>
  <c r="AB1068" i="3"/>
  <c r="AB985" i="3"/>
  <c r="AB859" i="3"/>
  <c r="AB72" i="3"/>
  <c r="AB903" i="3"/>
  <c r="AB552" i="3"/>
  <c r="AB825" i="3"/>
  <c r="AB521" i="3"/>
  <c r="AB1109" i="3"/>
  <c r="AB863" i="3"/>
  <c r="AB910" i="3"/>
  <c r="AB441" i="3"/>
  <c r="AB576" i="3"/>
  <c r="AB1181" i="3"/>
  <c r="AB189" i="3"/>
  <c r="AB655" i="3"/>
  <c r="AB882" i="3"/>
  <c r="AB405" i="3"/>
  <c r="AB778" i="3"/>
  <c r="AB1058" i="3"/>
  <c r="AB908" i="3"/>
  <c r="AB202" i="3"/>
  <c r="AB200" i="3"/>
  <c r="AB1174" i="3"/>
  <c r="AB797" i="3"/>
  <c r="AB567" i="3"/>
  <c r="AB1133" i="3"/>
  <c r="AB622" i="3"/>
  <c r="AB390" i="3"/>
  <c r="AB29" i="3"/>
  <c r="AB1190" i="3"/>
  <c r="AB838" i="3"/>
  <c r="AB440" i="3"/>
  <c r="AB958" i="3"/>
  <c r="AB744" i="3"/>
  <c r="AB871" i="3"/>
  <c r="AB611" i="3"/>
  <c r="AB53" i="3"/>
  <c r="AB284" i="3"/>
  <c r="AB466" i="3"/>
  <c r="AB1028" i="3"/>
  <c r="AB471" i="3"/>
  <c r="AB592" i="3"/>
  <c r="AB1093" i="3"/>
  <c r="AB986" i="3"/>
  <c r="AB36" i="3"/>
  <c r="AB1142" i="3"/>
  <c r="AB1153" i="3"/>
  <c r="AB810" i="3"/>
  <c r="AB1065" i="3"/>
  <c r="AB984" i="3"/>
  <c r="AB456" i="3"/>
  <c r="AB475" i="3"/>
  <c r="AB918" i="3"/>
  <c r="AB978" i="3"/>
  <c r="AB65" i="3"/>
  <c r="AB990" i="3"/>
  <c r="AB470" i="3"/>
  <c r="AB999" i="3"/>
  <c r="AB1022" i="3"/>
  <c r="AD8" i="3"/>
  <c r="AD1" i="3" s="1"/>
  <c r="AD871" i="3" s="1"/>
  <c r="W933" i="3"/>
  <c r="W936" i="3" s="1"/>
  <c r="W939" i="3" s="1"/>
  <c r="W1223" i="3"/>
  <c r="W1227" i="3" s="1"/>
  <c r="W1229" i="3" s="1"/>
  <c r="W1234" i="3" s="1"/>
  <c r="X70" i="5" s="1"/>
  <c r="X71" i="5" s="1"/>
  <c r="X74" i="5" s="1"/>
  <c r="AC9" i="3"/>
  <c r="Y784" i="3"/>
  <c r="Y805" i="3" s="1"/>
  <c r="Y892" i="3" s="1"/>
  <c r="Y1220" i="3" s="1"/>
  <c r="Y802" i="3"/>
  <c r="AC8" i="3"/>
  <c r="AC1" i="3" s="1"/>
  <c r="AA784" i="3"/>
  <c r="AA805" i="3" s="1"/>
  <c r="O53" i="1"/>
  <c r="F52" i="1"/>
  <c r="E52" i="1"/>
  <c r="AJ6" i="3"/>
  <c r="F1095" i="3"/>
  <c r="F1092" i="3"/>
  <c r="AZ159" i="4"/>
  <c r="BA159" i="4" s="1"/>
  <c r="AQ159" i="4"/>
  <c r="AM158" i="4"/>
  <c r="AP158" i="4" s="1"/>
  <c r="BA163" i="650"/>
  <c r="F1171" i="3"/>
  <c r="AM218" i="4"/>
  <c r="AM211" i="4"/>
  <c r="K47" i="14"/>
  <c r="K48" i="14"/>
  <c r="L48" i="14"/>
  <c r="J49" i="14" s="1"/>
  <c r="F1089" i="3"/>
  <c r="Y71" i="6"/>
  <c r="Y72" i="6" s="1"/>
  <c r="V1244" i="3" l="1"/>
  <c r="W70" i="5"/>
  <c r="W71" i="5" s="1"/>
  <c r="W74" i="5" s="1"/>
  <c r="X1244" i="3"/>
  <c r="Y70" i="5"/>
  <c r="Y71" i="5" s="1"/>
  <c r="Y74" i="5" s="1"/>
  <c r="B52" i="1"/>
  <c r="AB996" i="3"/>
  <c r="AA1085" i="3"/>
  <c r="AA1127" i="3" s="1"/>
  <c r="AA1214" i="3" s="1"/>
  <c r="AB1083" i="3"/>
  <c r="AB1123" i="3" s="1"/>
  <c r="AB666" i="3"/>
  <c r="AB1078" i="3"/>
  <c r="AB1084" i="3" s="1"/>
  <c r="AB1124" i="3" s="1"/>
  <c r="AB661" i="3"/>
  <c r="AB1082" i="3"/>
  <c r="AB1122" i="3" s="1"/>
  <c r="AB477" i="3"/>
  <c r="AB224" i="3"/>
  <c r="AB1167" i="3"/>
  <c r="AB613" i="3"/>
  <c r="AB392" i="3"/>
  <c r="X1241" i="3"/>
  <c r="AA368" i="3"/>
  <c r="AA512" i="3" s="1"/>
  <c r="V1241" i="3"/>
  <c r="AB827" i="3"/>
  <c r="AB472" i="3"/>
  <c r="AB578" i="3"/>
  <c r="Z923" i="3"/>
  <c r="Z1223" i="3" s="1"/>
  <c r="Z1227" i="3" s="1"/>
  <c r="Z1229" i="3" s="1"/>
  <c r="Z1234" i="3" s="1"/>
  <c r="Z1241" i="3" s="1"/>
  <c r="AA639" i="3"/>
  <c r="AA1219" i="3" s="1"/>
  <c r="AB676" i="3"/>
  <c r="AB769" i="3"/>
  <c r="AB165" i="3"/>
  <c r="AB422" i="3"/>
  <c r="AB129" i="3"/>
  <c r="AB371" i="3"/>
  <c r="AB298" i="3"/>
  <c r="AB538" i="3"/>
  <c r="AB183" i="3"/>
  <c r="AB447" i="3"/>
  <c r="AB543" i="3"/>
  <c r="AB1011" i="3"/>
  <c r="AB696" i="3"/>
  <c r="AB558" i="3"/>
  <c r="AB868" i="3"/>
  <c r="AB711" i="3"/>
  <c r="AB533" i="3"/>
  <c r="AB1103" i="3"/>
  <c r="AB93" i="3"/>
  <c r="AB671" i="3"/>
  <c r="AB427" i="3"/>
  <c r="AB884" i="3"/>
  <c r="AB822" i="3"/>
  <c r="AB848" i="3"/>
  <c r="AB686" i="3"/>
  <c r="AB852" i="3"/>
  <c r="AB856" i="3"/>
  <c r="AB66" i="3"/>
  <c r="AB970" i="3"/>
  <c r="AB402" i="3"/>
  <c r="AB876" i="3"/>
  <c r="AB583" i="3"/>
  <c r="AB280" i="3"/>
  <c r="AB726" i="3"/>
  <c r="AB307" i="3"/>
  <c r="AB563" i="3"/>
  <c r="AB764" i="3"/>
  <c r="AB553" i="3"/>
  <c r="AB231" i="3"/>
  <c r="AB492" i="3"/>
  <c r="AB706" i="3"/>
  <c r="AB192" i="3"/>
  <c r="AB467" i="3"/>
  <c r="AB120" i="3"/>
  <c r="AB701" i="3"/>
  <c r="AB603" i="3"/>
  <c r="AB39" i="3"/>
  <c r="AB618" i="3"/>
  <c r="AD137" i="3"/>
  <c r="AD252" i="3"/>
  <c r="AB417" i="3"/>
  <c r="AD978" i="3"/>
  <c r="AD405" i="3"/>
  <c r="AD622" i="3"/>
  <c r="AD81" i="3"/>
  <c r="AD788" i="3"/>
  <c r="AD581" i="3"/>
  <c r="AD446" i="3"/>
  <c r="AD684" i="3"/>
  <c r="AD476" i="3"/>
  <c r="AD919" i="3"/>
  <c r="AD820" i="3"/>
  <c r="AA892" i="3"/>
  <c r="AA1220" i="3" s="1"/>
  <c r="AB1001" i="3"/>
  <c r="AD153" i="3"/>
  <c r="AD704" i="3"/>
  <c r="AD320" i="3"/>
  <c r="AD212" i="3"/>
  <c r="AD878" i="3"/>
  <c r="AD1063" i="3"/>
  <c r="AD385" i="3"/>
  <c r="AD1024" i="3"/>
  <c r="AD466" i="3"/>
  <c r="AD1108" i="3"/>
  <c r="AD816" i="3"/>
  <c r="AD654" i="3"/>
  <c r="AB102" i="3"/>
  <c r="AD162" i="3"/>
  <c r="AD838" i="3"/>
  <c r="AD1160" i="3"/>
  <c r="AD1069" i="3"/>
  <c r="AD602" i="3"/>
  <c r="AD1156" i="3"/>
  <c r="AD380" i="3"/>
  <c r="AD450" i="3"/>
  <c r="AD968" i="3"/>
  <c r="AD854" i="3"/>
  <c r="AD627" i="3"/>
  <c r="AD1107" i="3"/>
  <c r="AD763" i="3"/>
  <c r="AD470" i="3"/>
  <c r="AD986" i="3"/>
  <c r="AD664" i="3"/>
  <c r="AD331" i="3"/>
  <c r="AD798" i="3"/>
  <c r="AD261" i="3"/>
  <c r="AD910" i="3"/>
  <c r="AB372" i="3"/>
  <c r="AD330" i="3"/>
  <c r="AD1142" i="3"/>
  <c r="AD1143" i="3" s="1"/>
  <c r="AD1036" i="3"/>
  <c r="AD1040" i="3"/>
  <c r="AD591" i="3"/>
  <c r="AD126" i="3"/>
  <c r="AB501" i="3"/>
  <c r="AB382" i="3"/>
  <c r="AB503" i="3"/>
  <c r="AD767" i="3"/>
  <c r="AD526" i="3"/>
  <c r="AD74" i="3"/>
  <c r="AD917" i="3"/>
  <c r="AD465" i="3"/>
  <c r="AD1155" i="3"/>
  <c r="AD744" i="3"/>
  <c r="AD248" i="3"/>
  <c r="AD1035" i="3"/>
  <c r="AD551" i="3"/>
  <c r="AD29" i="3"/>
  <c r="AD867" i="3"/>
  <c r="AD391" i="3"/>
  <c r="AD1074" i="3"/>
  <c r="AD700" i="3"/>
  <c r="AD99" i="3"/>
  <c r="AD950" i="3"/>
  <c r="AD485" i="3"/>
  <c r="AD487" i="3" s="1"/>
  <c r="AD1175" i="3"/>
  <c r="AD772" i="3"/>
  <c r="AD279" i="3"/>
  <c r="AD1047" i="3"/>
  <c r="AD571" i="3"/>
  <c r="AD53" i="3"/>
  <c r="AD883" i="3"/>
  <c r="AD411" i="3"/>
  <c r="AD1093" i="3"/>
  <c r="AD720" i="3"/>
  <c r="AD870" i="3"/>
  <c r="AD872" i="3" s="1"/>
  <c r="AD1042" i="3"/>
  <c r="AD974" i="3"/>
  <c r="AD70" i="3"/>
  <c r="AD562" i="3"/>
  <c r="AD416" i="3"/>
  <c r="AD1095" i="3"/>
  <c r="AD725" i="3"/>
  <c r="AD178" i="3"/>
  <c r="AD999" i="3"/>
  <c r="AD572" i="3"/>
  <c r="AD34" i="3"/>
  <c r="AD1045" i="3"/>
  <c r="AD647" i="3"/>
  <c r="AD777" i="3"/>
  <c r="AD1051" i="3"/>
  <c r="AD1195" i="3"/>
  <c r="AD1196" i="3" s="1"/>
  <c r="AD63" i="3"/>
  <c r="AD907" i="3"/>
  <c r="AD455" i="3"/>
  <c r="AD1148" i="3"/>
  <c r="AD734" i="3"/>
  <c r="AD221" i="3"/>
  <c r="AD1029" i="3"/>
  <c r="AC979" i="3"/>
  <c r="AC734" i="3"/>
  <c r="AC927" i="3"/>
  <c r="AC221" i="3"/>
  <c r="AC1095" i="3"/>
  <c r="AC151" i="3"/>
  <c r="AC212" i="3"/>
  <c r="AC612" i="3"/>
  <c r="AC1065" i="3"/>
  <c r="AC902" i="3"/>
  <c r="AC196" i="3"/>
  <c r="AC421" i="3"/>
  <c r="AC56" i="3"/>
  <c r="AC968" i="3"/>
  <c r="AC815" i="3"/>
  <c r="AC1069" i="3"/>
  <c r="AC391" i="3"/>
  <c r="AC400" i="3"/>
  <c r="AC385" i="3"/>
  <c r="AC1149" i="3"/>
  <c r="AC485" i="3"/>
  <c r="AC487" i="3" s="1"/>
  <c r="AC773" i="3"/>
  <c r="AC1074" i="3"/>
  <c r="AC1189" i="3"/>
  <c r="AC182" i="3"/>
  <c r="AC173" i="3"/>
  <c r="AC396" i="3"/>
  <c r="AC1059" i="3"/>
  <c r="AC735" i="3"/>
  <c r="AC178" i="3"/>
  <c r="AC596" i="3"/>
  <c r="AC390" i="3"/>
  <c r="AC101" i="3"/>
  <c r="AC401" i="3"/>
  <c r="AC878" i="3"/>
  <c r="AC1058" i="3"/>
  <c r="AC1154" i="3"/>
  <c r="AC380" i="3"/>
  <c r="AC999" i="3"/>
  <c r="AC839" i="3"/>
  <c r="AC436" i="3"/>
  <c r="AC710" i="3"/>
  <c r="AC55" i="3"/>
  <c r="AC962" i="3"/>
  <c r="AC72" i="3"/>
  <c r="AC415" i="3"/>
  <c r="AC725" i="3"/>
  <c r="AC405" i="3"/>
  <c r="AC108" i="3"/>
  <c r="AC1062" i="3"/>
  <c r="AC106" i="3"/>
  <c r="AC561" i="3"/>
  <c r="AC1148" i="3"/>
  <c r="AC302" i="3"/>
  <c r="AC29" i="3"/>
  <c r="AC694" i="3"/>
  <c r="AC435" i="3"/>
  <c r="AC288" i="3"/>
  <c r="AC1161" i="3"/>
  <c r="AC552" i="3"/>
  <c r="AC700" i="3"/>
  <c r="AC476" i="3"/>
  <c r="AC460" i="3"/>
  <c r="AC551" i="3"/>
  <c r="AC740" i="3"/>
  <c r="AC1177" i="3"/>
  <c r="AC153" i="3"/>
  <c r="AC903" i="3"/>
  <c r="AC180" i="3"/>
  <c r="AC763" i="3"/>
  <c r="AC577" i="3"/>
  <c r="AC1040" i="3"/>
  <c r="AC1024" i="3"/>
  <c r="AC1042" i="3"/>
  <c r="AC989" i="3"/>
  <c r="AC74" i="3"/>
  <c r="AC1027" i="3"/>
  <c r="AC481" i="3"/>
  <c r="AC320" i="3"/>
  <c r="AC745" i="3"/>
  <c r="AC744" i="3"/>
  <c r="AC1045" i="3"/>
  <c r="AC1070" i="3"/>
  <c r="AC854" i="3"/>
  <c r="AC200" i="3"/>
  <c r="AC61" i="3"/>
  <c r="AC47" i="3"/>
  <c r="AC36" i="3"/>
  <c r="AC257" i="3"/>
  <c r="AC1075" i="3"/>
  <c r="AC266" i="3"/>
  <c r="AC34" i="3"/>
  <c r="AC767" i="3"/>
  <c r="AC1047" i="3"/>
  <c r="AC135" i="3"/>
  <c r="AC566" i="3"/>
  <c r="AC859" i="3"/>
  <c r="AC475" i="3"/>
  <c r="AC1041" i="3"/>
  <c r="AC929" i="3"/>
  <c r="AC847" i="3"/>
  <c r="AC321" i="3"/>
  <c r="AC616" i="3"/>
  <c r="AC719" i="3"/>
  <c r="AC1182" i="3"/>
  <c r="AC160" i="3"/>
  <c r="AC490" i="3"/>
  <c r="AC27" i="3"/>
  <c r="AC900" i="3"/>
  <c r="AC874" i="3"/>
  <c r="AC441" i="3"/>
  <c r="AC664" i="3"/>
  <c r="AC879" i="3"/>
  <c r="AC1052" i="3"/>
  <c r="AC1160" i="3"/>
  <c r="AC88" i="3"/>
  <c r="AC909" i="3"/>
  <c r="AC983" i="3"/>
  <c r="AC189" i="3"/>
  <c r="AC1188" i="3"/>
  <c r="AC611" i="3"/>
  <c r="AC811" i="3"/>
  <c r="AC1004" i="3"/>
  <c r="AC995" i="3"/>
  <c r="AC665" i="3"/>
  <c r="AC659" i="3"/>
  <c r="AC907" i="3"/>
  <c r="AC557" i="3"/>
  <c r="AC137" i="3"/>
  <c r="AC171" i="3"/>
  <c r="AC709" i="3"/>
  <c r="AC395" i="3"/>
  <c r="AC647" i="3"/>
  <c r="AC627" i="3"/>
  <c r="AC1166" i="3"/>
  <c r="AC162" i="3"/>
  <c r="AC908" i="3"/>
  <c r="AC660" i="3"/>
  <c r="AC1029" i="3"/>
  <c r="AC1184" i="3"/>
  <c r="AC851" i="3"/>
  <c r="AC871" i="3"/>
  <c r="AC526" i="3"/>
  <c r="AC810" i="3"/>
  <c r="AC54" i="3"/>
  <c r="AC586" i="3"/>
  <c r="AC572" i="3"/>
  <c r="AC820" i="3"/>
  <c r="AC1102" i="3"/>
  <c r="AC495" i="3"/>
  <c r="AC1147" i="3"/>
  <c r="AC757" i="3"/>
  <c r="AC821" i="3"/>
  <c r="AC846" i="3"/>
  <c r="AC456" i="3"/>
  <c r="AC622" i="3"/>
  <c r="AC980" i="3"/>
  <c r="AC918" i="3"/>
  <c r="AC191" i="3"/>
  <c r="AC223" i="3"/>
  <c r="AC655" i="3"/>
  <c r="AC730" i="3"/>
  <c r="AC1076" i="3"/>
  <c r="AC1094" i="3"/>
  <c r="AC1191" i="3"/>
  <c r="AC1022" i="3"/>
  <c r="AC99" i="3"/>
  <c r="AC768" i="3"/>
  <c r="AC931" i="3"/>
  <c r="AC990" i="3"/>
  <c r="AC1005" i="3"/>
  <c r="AC973" i="3"/>
  <c r="AC491" i="3"/>
  <c r="AC505" i="3" s="1"/>
  <c r="AC128" i="3"/>
  <c r="AC16" i="3"/>
  <c r="AC531" i="3"/>
  <c r="AC261" i="3"/>
  <c r="AC521" i="3"/>
  <c r="AC582" i="3"/>
  <c r="AC1181" i="3"/>
  <c r="AC1170" i="3"/>
  <c r="AC1171" i="3" s="1"/>
  <c r="AC1033" i="3"/>
  <c r="AC542" i="3"/>
  <c r="AC536" i="3"/>
  <c r="AC978" i="3"/>
  <c r="AC248" i="3"/>
  <c r="AC43" i="3"/>
  <c r="AC729" i="3"/>
  <c r="AC169" i="3"/>
  <c r="AC527" i="3"/>
  <c r="AC724" i="3"/>
  <c r="AC471" i="3"/>
  <c r="AC1099" i="3"/>
  <c r="AC1046" i="3"/>
  <c r="AC45" i="3"/>
  <c r="AC626" i="3"/>
  <c r="AC331" i="3"/>
  <c r="AC714" i="3"/>
  <c r="AC25" i="3"/>
  <c r="AC243" i="3"/>
  <c r="AC646" i="3"/>
  <c r="AC1183" i="3"/>
  <c r="AC52" i="3"/>
  <c r="AC654" i="3"/>
  <c r="AC1063" i="3"/>
  <c r="AC133" i="3"/>
  <c r="AC164" i="3"/>
  <c r="AC870" i="3"/>
  <c r="AC958" i="3"/>
  <c r="AC201" i="3"/>
  <c r="AC425" i="3"/>
  <c r="AC951" i="3"/>
  <c r="AC592" i="3"/>
  <c r="AC277" i="3"/>
  <c r="AC602" i="3"/>
  <c r="AC925" i="3"/>
  <c r="AC79" i="3"/>
  <c r="AC124" i="3"/>
  <c r="AC1009" i="3"/>
  <c r="AC739" i="3"/>
  <c r="AC381" i="3"/>
  <c r="AC97" i="3"/>
  <c r="AC537" i="3"/>
  <c r="AC777" i="3"/>
  <c r="AC1106" i="3"/>
  <c r="AC83" i="3"/>
  <c r="AC680" i="3"/>
  <c r="AC411" i="3"/>
  <c r="AC1051" i="3"/>
  <c r="AC883" i="3"/>
  <c r="AC788" i="3"/>
  <c r="AC81" i="3"/>
  <c r="AC416" i="3"/>
  <c r="AC901" i="3"/>
  <c r="AC446" i="3"/>
  <c r="AC826" i="3"/>
  <c r="AC20" i="3"/>
  <c r="AC956" i="3"/>
  <c r="AC142" i="3"/>
  <c r="AC297" i="3"/>
  <c r="AC461" i="3"/>
  <c r="AC843" i="3"/>
  <c r="AC18" i="3"/>
  <c r="AC825" i="3"/>
  <c r="AC205" i="3"/>
  <c r="AC787" i="3" s="1"/>
  <c r="AC144" i="3"/>
  <c r="AC674" i="3"/>
  <c r="AC197" i="3"/>
  <c r="AC882" i="3"/>
  <c r="AC410" i="3"/>
  <c r="AC431" i="3"/>
  <c r="AC675" i="3"/>
  <c r="AC1156" i="3"/>
  <c r="AC862" i="3"/>
  <c r="AC1155" i="3"/>
  <c r="AC465" i="3"/>
  <c r="AC210" i="3"/>
  <c r="AC214" i="3"/>
  <c r="AC1138" i="3"/>
  <c r="AC705" i="3"/>
  <c r="AC919" i="3"/>
  <c r="AC715" i="3"/>
  <c r="AC1014" i="3"/>
  <c r="AC1034" i="3"/>
  <c r="AC986" i="3"/>
  <c r="AC445" i="3"/>
  <c r="AC420" i="3"/>
  <c r="AC1050" i="3"/>
  <c r="AC541" i="3"/>
  <c r="AC284" i="3"/>
  <c r="AC115" i="3"/>
  <c r="AC689" i="3"/>
  <c r="AC1035" i="3"/>
  <c r="AC1030" i="3"/>
  <c r="AC1101" i="3"/>
  <c r="AC576" i="3"/>
  <c r="AC685" i="3"/>
  <c r="AC1175" i="3"/>
  <c r="AC1073" i="3"/>
  <c r="AC669" i="3"/>
  <c r="AC1064" i="3"/>
  <c r="AC202" i="3"/>
  <c r="AC1100" i="3"/>
  <c r="AC206" i="3"/>
  <c r="AC315" i="3"/>
  <c r="AC617" i="3"/>
  <c r="AC110" i="3"/>
  <c r="AC720" i="3"/>
  <c r="AC670" i="3"/>
  <c r="AC207" i="3"/>
  <c r="AC270" i="3"/>
  <c r="AC1133" i="3"/>
  <c r="AC1053" i="3"/>
  <c r="AC1174" i="3"/>
  <c r="AC1028" i="3"/>
  <c r="AC793" i="3"/>
  <c r="AC117" i="3"/>
  <c r="AC239" i="3"/>
  <c r="AC430" i="3"/>
  <c r="AC855" i="3"/>
  <c r="AC1195" i="3"/>
  <c r="AC1196" i="3" s="1"/>
  <c r="AC699" i="3"/>
  <c r="AC532" i="3"/>
  <c r="AC275" i="3"/>
  <c r="AC797" i="3"/>
  <c r="AC1023" i="3"/>
  <c r="AC426" i="3"/>
  <c r="AC969" i="3"/>
  <c r="AC119" i="3"/>
  <c r="AC450" i="3"/>
  <c r="AC65" i="3"/>
  <c r="AC1092" i="3"/>
  <c r="AC994" i="3"/>
  <c r="AC695" i="3"/>
  <c r="AC219" i="3"/>
  <c r="AC842" i="3"/>
  <c r="AC1039" i="3"/>
  <c r="AC470" i="3"/>
  <c r="AC679" i="3"/>
  <c r="AC556" i="3"/>
  <c r="AC330" i="3"/>
  <c r="AC1088" i="3"/>
  <c r="AC1089" i="3" s="1"/>
  <c r="AC306" i="3"/>
  <c r="AC1056" i="3"/>
  <c r="AC1109" i="3"/>
  <c r="AC451" i="3"/>
  <c r="AC1108" i="3"/>
  <c r="AC957" i="3"/>
  <c r="AC311" i="3"/>
  <c r="AC1010" i="3"/>
  <c r="AC187" i="3"/>
  <c r="AC959" i="3"/>
  <c r="AC875" i="3"/>
  <c r="AC70" i="3"/>
  <c r="AC960" i="3"/>
  <c r="AC286" i="3"/>
  <c r="AC867" i="3"/>
  <c r="AC562" i="3"/>
  <c r="AC950" i="3"/>
  <c r="AC621" i="3"/>
  <c r="AC252" i="3"/>
  <c r="AC1190" i="3"/>
  <c r="AC838" i="3"/>
  <c r="AC126" i="3"/>
  <c r="AC850" i="3"/>
  <c r="AC606" i="3"/>
  <c r="AC38" i="3"/>
  <c r="AC910" i="3"/>
  <c r="AC1015" i="3"/>
  <c r="AC1165" i="3"/>
  <c r="AC406" i="3"/>
  <c r="AC466" i="3"/>
  <c r="AC858" i="3"/>
  <c r="AC90" i="3"/>
  <c r="AC772" i="3"/>
  <c r="AC758" i="3"/>
  <c r="AC778" i="3"/>
  <c r="AC917" i="3"/>
  <c r="AC496" i="3"/>
  <c r="AC571" i="3"/>
  <c r="AC961" i="3"/>
  <c r="AC146" i="3"/>
  <c r="AC974" i="3"/>
  <c r="AC522" i="3"/>
  <c r="AC607" i="3"/>
  <c r="AC1153" i="3"/>
  <c r="AC567" i="3"/>
  <c r="AC1093" i="3"/>
  <c r="AC587" i="3"/>
  <c r="AC816" i="3"/>
  <c r="AC1142" i="3"/>
  <c r="AC1036" i="3"/>
  <c r="AC985" i="3"/>
  <c r="AC982" i="3"/>
  <c r="AC1057" i="3"/>
  <c r="AC293" i="3"/>
  <c r="AC581" i="3"/>
  <c r="AC1146" i="3"/>
  <c r="AC762" i="3"/>
  <c r="AC440" i="3"/>
  <c r="AC704" i="3"/>
  <c r="AC1134" i="3"/>
  <c r="AC546" i="3"/>
  <c r="AC798" i="3"/>
  <c r="AC601" i="3"/>
  <c r="AC279" i="3"/>
  <c r="AC155" i="3"/>
  <c r="AC92" i="3"/>
  <c r="AC63" i="3"/>
  <c r="AC591" i="3"/>
  <c r="AC386" i="3"/>
  <c r="AC1000" i="3"/>
  <c r="AC863" i="3"/>
  <c r="AC1107" i="3"/>
  <c r="AC1068" i="3"/>
  <c r="AC53" i="3"/>
  <c r="AC690" i="3"/>
  <c r="AC329" i="3"/>
  <c r="AC597" i="3"/>
  <c r="AC981" i="3"/>
  <c r="AC480" i="3"/>
  <c r="AC1176" i="3"/>
  <c r="AC455" i="3"/>
  <c r="AC547" i="3"/>
  <c r="AC984" i="3"/>
  <c r="AC684" i="3"/>
  <c r="AC866" i="3"/>
  <c r="AC920" i="3"/>
  <c r="AB759" i="3"/>
  <c r="AB326" i="3"/>
  <c r="AB497" i="3"/>
  <c r="AB623" i="3"/>
  <c r="AB911" i="3"/>
  <c r="AB75" i="3"/>
  <c r="AD1028" i="3"/>
  <c r="AD815" i="3"/>
  <c r="AD171" i="3"/>
  <c r="AD994" i="3"/>
  <c r="AD567" i="3"/>
  <c r="AD16" i="3"/>
  <c r="AD858" i="3"/>
  <c r="AD410" i="3"/>
  <c r="AD1092" i="3"/>
  <c r="AD646" i="3"/>
  <c r="AD119" i="3"/>
  <c r="AD961" i="3"/>
  <c r="AD471" i="3"/>
  <c r="AD1161" i="3"/>
  <c r="AD811" i="3"/>
  <c r="AD196" i="3"/>
  <c r="AD1014" i="3"/>
  <c r="AD587" i="3"/>
  <c r="AD38" i="3"/>
  <c r="AD874" i="3"/>
  <c r="AD430" i="3"/>
  <c r="AD1106" i="3"/>
  <c r="AD669" i="3"/>
  <c r="AD144" i="3"/>
  <c r="AD980" i="3"/>
  <c r="AD495" i="3"/>
  <c r="AD1181" i="3"/>
  <c r="AD839" i="3"/>
  <c r="AD1076" i="3"/>
  <c r="AD187" i="3"/>
  <c r="AD1088" i="3"/>
  <c r="AD1089" i="3" s="1"/>
  <c r="AD284" i="3"/>
  <c r="AD740" i="3"/>
  <c r="AD521" i="3"/>
  <c r="AD1183" i="3"/>
  <c r="AD843" i="3"/>
  <c r="AD297" i="3"/>
  <c r="AD1056" i="3"/>
  <c r="AD670" i="3"/>
  <c r="AD396" i="3"/>
  <c r="AD56" i="3"/>
  <c r="AD847" i="3"/>
  <c r="AD1034" i="3"/>
  <c r="AD206" i="3"/>
  <c r="AD197" i="3"/>
  <c r="AD160" i="3"/>
  <c r="AD985" i="3"/>
  <c r="AD557" i="3"/>
  <c r="AD329" i="3"/>
  <c r="AD850" i="3"/>
  <c r="AD400" i="3"/>
  <c r="AB746" i="3"/>
  <c r="AB1135" i="3"/>
  <c r="AB1200" i="3"/>
  <c r="AB831" i="3"/>
  <c r="AB975" i="3"/>
  <c r="AB147" i="3"/>
  <c r="AB628" i="3"/>
  <c r="AB631" i="3" s="1"/>
  <c r="AB573" i="3"/>
  <c r="AB432" i="3"/>
  <c r="AB48" i="3"/>
  <c r="AB1150" i="3"/>
  <c r="AB691" i="3"/>
  <c r="AB953" i="3"/>
  <c r="AB1110" i="3"/>
  <c r="AB84" i="3"/>
  <c r="AD983" i="3"/>
  <c r="AD665" i="3"/>
  <c r="AD491" i="3"/>
  <c r="AD505" i="3" s="1"/>
  <c r="AD214" i="3"/>
  <c r="AD55" i="3"/>
  <c r="AD1064" i="3"/>
  <c r="AD969" i="3"/>
  <c r="AD1191" i="3"/>
  <c r="AD1039" i="3"/>
  <c r="AD918" i="3"/>
  <c r="AD169" i="3"/>
  <c r="AD601" i="3"/>
  <c r="AD441" i="3"/>
  <c r="AD758" i="3"/>
  <c r="AD1005" i="3"/>
  <c r="AD460" i="3"/>
  <c r="AD655" i="3"/>
  <c r="AD480" i="3"/>
  <c r="AB506" i="3"/>
  <c r="AB507" i="3"/>
  <c r="AB462" i="3"/>
  <c r="AD1188" i="3"/>
  <c r="AD1109" i="3"/>
  <c r="AD207" i="3"/>
  <c r="AD1075" i="3"/>
  <c r="AD982" i="3"/>
  <c r="AD773" i="3"/>
  <c r="AD612" i="3"/>
  <c r="AD415" i="3"/>
  <c r="AD173" i="3"/>
  <c r="AD45" i="3"/>
  <c r="AD714" i="3"/>
  <c r="AD180" i="3"/>
  <c r="AD25" i="3"/>
  <c r="AD606" i="3"/>
  <c r="AD431" i="3"/>
  <c r="AD189" i="3"/>
  <c r="AB991" i="3"/>
  <c r="AB253" i="3"/>
  <c r="AB736" i="3"/>
  <c r="AB397" i="3"/>
  <c r="AB21" i="3"/>
  <c r="AB844" i="3"/>
  <c r="AB229" i="3"/>
  <c r="AB215" i="3"/>
  <c r="AD607" i="3"/>
  <c r="AD311" i="3"/>
  <c r="AD541" i="3"/>
  <c r="AD18" i="3"/>
  <c r="AD859" i="3"/>
  <c r="AD381" i="3"/>
  <c r="AD1068" i="3"/>
  <c r="AD690" i="3"/>
  <c r="AD88" i="3"/>
  <c r="AD925" i="3"/>
  <c r="AD475" i="3"/>
  <c r="AD1165" i="3"/>
  <c r="AD762" i="3"/>
  <c r="AD266" i="3"/>
  <c r="AD1041" i="3"/>
  <c r="AD561" i="3"/>
  <c r="AD43" i="3"/>
  <c r="AD875" i="3"/>
  <c r="AD401" i="3"/>
  <c r="AD710" i="3"/>
  <c r="AD110" i="3"/>
  <c r="AD958" i="3"/>
  <c r="AD496" i="3"/>
  <c r="AD1182" i="3"/>
  <c r="AD797" i="3"/>
  <c r="AD293" i="3"/>
  <c r="AD1053" i="3"/>
  <c r="AD984" i="3"/>
  <c r="AD243" i="3"/>
  <c r="AD617" i="3"/>
  <c r="AD909" i="3"/>
  <c r="AD793" i="3"/>
  <c r="AD810" i="3"/>
  <c r="AD302" i="3"/>
  <c r="AD1057" i="3"/>
  <c r="AD626" i="3"/>
  <c r="AD115" i="3"/>
  <c r="AD959" i="3"/>
  <c r="AD1166" i="3"/>
  <c r="AD902" i="3"/>
  <c r="AD1146" i="3"/>
  <c r="AD286" i="3"/>
  <c r="AD616" i="3"/>
  <c r="AD855" i="3"/>
  <c r="AD531" i="3"/>
  <c r="AD1190" i="3"/>
  <c r="AD851" i="3"/>
  <c r="AD315" i="3"/>
  <c r="AD1062" i="3"/>
  <c r="AD680" i="3"/>
  <c r="AD9" i="3"/>
  <c r="AB1157" i="3"/>
  <c r="AB840" i="3"/>
  <c r="AB886" i="3"/>
  <c r="AB1178" i="3"/>
  <c r="AB750" i="3"/>
  <c r="AB523" i="3"/>
  <c r="AB632" i="3"/>
  <c r="AB872" i="3"/>
  <c r="AB774" i="3"/>
  <c r="AB649" i="3"/>
  <c r="AB656" i="3"/>
  <c r="AB749" i="3"/>
  <c r="AB634" i="3"/>
  <c r="AB633" i="3"/>
  <c r="AB588" i="3"/>
  <c r="AB316" i="3"/>
  <c r="AB174" i="3"/>
  <c r="AB880" i="3"/>
  <c r="AB860" i="3"/>
  <c r="AB787" i="3"/>
  <c r="AB789" i="3" s="1"/>
  <c r="AB370" i="3"/>
  <c r="AD288" i="3"/>
  <c r="AD106" i="3"/>
  <c r="AD1177" i="3"/>
  <c r="AD1027" i="3"/>
  <c r="AD901" i="3"/>
  <c r="AD685" i="3"/>
  <c r="AD532" i="3"/>
  <c r="AD257" i="3"/>
  <c r="AD79" i="3"/>
  <c r="AD730" i="3"/>
  <c r="AD951" i="3"/>
  <c r="AD920" i="3"/>
  <c r="AD679" i="3"/>
  <c r="AD164" i="3"/>
  <c r="AD1046" i="3"/>
  <c r="AD929" i="3"/>
  <c r="AB407" i="3"/>
  <c r="AB741" i="3"/>
  <c r="AB502" i="3"/>
  <c r="AB387" i="3"/>
  <c r="AD425" i="3"/>
  <c r="AD745" i="3"/>
  <c r="AD592" i="3"/>
  <c r="AD395" i="3"/>
  <c r="AD151" i="3"/>
  <c r="AD1149" i="3"/>
  <c r="AD1030" i="3"/>
  <c r="AD862" i="3"/>
  <c r="AD694" i="3"/>
  <c r="AD705" i="3"/>
  <c r="AD1153" i="3"/>
  <c r="AD1000" i="3"/>
  <c r="AD863" i="3"/>
  <c r="AD1059" i="3"/>
  <c r="AD426" i="3"/>
  <c r="AD735" i="3"/>
  <c r="AD582" i="3"/>
  <c r="AB830" i="3"/>
  <c r="AB812" i="3"/>
  <c r="AB799" i="3"/>
  <c r="AB1139" i="3"/>
  <c r="AB1199" i="3"/>
  <c r="AD903" i="3"/>
  <c r="AD552" i="3"/>
  <c r="AD621" i="3"/>
  <c r="AD108" i="3"/>
  <c r="AD957" i="3"/>
  <c r="AD461" i="3"/>
  <c r="AD1154" i="3"/>
  <c r="AD778" i="3"/>
  <c r="AD182" i="3"/>
  <c r="AD1004" i="3"/>
  <c r="AD577" i="3"/>
  <c r="AD27" i="3"/>
  <c r="AD866" i="3"/>
  <c r="AD420" i="3"/>
  <c r="AD1099" i="3"/>
  <c r="AD659" i="3"/>
  <c r="AD133" i="3"/>
  <c r="AD973" i="3"/>
  <c r="AD481" i="3"/>
  <c r="AD1174" i="3"/>
  <c r="AD821" i="3"/>
  <c r="AD202" i="3"/>
  <c r="AD1022" i="3"/>
  <c r="AD597" i="3"/>
  <c r="AD52" i="3"/>
  <c r="AD882" i="3"/>
  <c r="AD440" i="3"/>
  <c r="AD1133" i="3"/>
  <c r="AD1189" i="3"/>
  <c r="AD490" i="3"/>
  <c r="AD826" i="3"/>
  <c r="AD1050" i="3"/>
  <c r="AD54" i="3"/>
  <c r="AD900" i="3"/>
  <c r="AD445" i="3"/>
  <c r="AD1138" i="3"/>
  <c r="AD1139" i="3" s="1"/>
  <c r="AD724" i="3"/>
  <c r="AD210" i="3"/>
  <c r="AD1023" i="3"/>
  <c r="AD155" i="3"/>
  <c r="AD1100" i="3"/>
  <c r="AD135" i="3"/>
  <c r="AD537" i="3"/>
  <c r="AD825" i="3"/>
  <c r="AD1015" i="3"/>
  <c r="AD611" i="3"/>
  <c r="AD97" i="3"/>
  <c r="AD931" i="3"/>
  <c r="AD451" i="3"/>
  <c r="AD1147" i="3"/>
  <c r="AD768" i="3"/>
  <c r="W1241" i="3"/>
  <c r="W1244" i="3"/>
  <c r="AB1143" i="3"/>
  <c r="AB1202" i="3"/>
  <c r="AB325" i="3"/>
  <c r="AB365" i="3" s="1"/>
  <c r="AB289" i="3"/>
  <c r="AB138" i="3"/>
  <c r="AB1201" i="3"/>
  <c r="AB608" i="3"/>
  <c r="AB482" i="3"/>
  <c r="AB111" i="3"/>
  <c r="AB779" i="3"/>
  <c r="AB721" i="3"/>
  <c r="AB156" i="3"/>
  <c r="AB1192" i="3"/>
  <c r="AB817" i="3"/>
  <c r="AB904" i="3"/>
  <c r="AB681" i="3"/>
  <c r="AB731" i="3"/>
  <c r="AB324" i="3"/>
  <c r="AB457" i="3"/>
  <c r="AB792" i="3"/>
  <c r="AB794" i="3" s="1"/>
  <c r="AB244" i="3"/>
  <c r="AB323" i="3"/>
  <c r="AB783" i="3" s="1"/>
  <c r="AB803" i="3" s="1"/>
  <c r="Y923" i="3"/>
  <c r="AD61" i="3"/>
  <c r="AD1052" i="3"/>
  <c r="AD956" i="3"/>
  <c r="AD729" i="3"/>
  <c r="AD731" i="3" s="1"/>
  <c r="AD576" i="3"/>
  <c r="AD321" i="3"/>
  <c r="AD128" i="3"/>
  <c r="AD757" i="3"/>
  <c r="AD596" i="3"/>
  <c r="AD275" i="3"/>
  <c r="AD536" i="3"/>
  <c r="AD83" i="3"/>
  <c r="AD1134" i="3"/>
  <c r="AD421" i="3"/>
  <c r="AD1176" i="3"/>
  <c r="AD277" i="3"/>
  <c r="AD92" i="3"/>
  <c r="AD1170" i="3"/>
  <c r="AD1171" i="3" s="1"/>
  <c r="AB887" i="3"/>
  <c r="AB1162" i="3"/>
  <c r="AD436" i="3"/>
  <c r="AD200" i="3"/>
  <c r="AD846" i="3"/>
  <c r="AD674" i="3"/>
  <c r="AD456" i="3"/>
  <c r="AD223" i="3"/>
  <c r="AD20" i="3"/>
  <c r="AD1094" i="3"/>
  <c r="AD995" i="3"/>
  <c r="AD435" i="3"/>
  <c r="AD699" i="3"/>
  <c r="AD546" i="3"/>
  <c r="AD962" i="3"/>
  <c r="AD72" i="3"/>
  <c r="AD660" i="3"/>
  <c r="AD1102" i="3"/>
  <c r="AD1009" i="3"/>
  <c r="AB442" i="3"/>
  <c r="AB528" i="3"/>
  <c r="AB864" i="3"/>
  <c r="AB921" i="3"/>
  <c r="AB1222" i="3" s="1"/>
  <c r="AB1096" i="3"/>
  <c r="AB568" i="3"/>
  <c r="AB452" i="3"/>
  <c r="AD219" i="3"/>
  <c r="AD1101" i="3"/>
  <c r="AD927" i="3"/>
  <c r="AD719" i="3"/>
  <c r="AD201" i="3"/>
  <c r="AD566" i="3"/>
  <c r="AD47" i="3"/>
  <c r="AD879" i="3"/>
  <c r="AD306" i="3"/>
  <c r="AD1058" i="3"/>
  <c r="AD675" i="3"/>
  <c r="AD117" i="3"/>
  <c r="AD960" i="3"/>
  <c r="AD522" i="3"/>
  <c r="AD1184" i="3"/>
  <c r="AD739" i="3"/>
  <c r="AD239" i="3"/>
  <c r="AD1033" i="3"/>
  <c r="AD586" i="3"/>
  <c r="AD65" i="3"/>
  <c r="AD908" i="3"/>
  <c r="AD386" i="3"/>
  <c r="AD1070" i="3"/>
  <c r="AD695" i="3"/>
  <c r="AD142" i="3"/>
  <c r="AD979" i="3"/>
  <c r="AD542" i="3"/>
  <c r="AD124" i="3"/>
  <c r="AD270" i="3"/>
  <c r="AD689" i="3"/>
  <c r="AD990" i="3"/>
  <c r="AD101" i="3"/>
  <c r="AD146" i="3"/>
  <c r="AD981" i="3"/>
  <c r="AD547" i="3"/>
  <c r="AD205" i="3"/>
  <c r="AD787" i="3" s="1"/>
  <c r="AD842" i="3"/>
  <c r="AD390" i="3"/>
  <c r="AD1073" i="3"/>
  <c r="AD527" i="3"/>
  <c r="AD90" i="3"/>
  <c r="AD406" i="3"/>
  <c r="AD715" i="3"/>
  <c r="AD989" i="3"/>
  <c r="AD1065" i="3"/>
  <c r="AD709" i="3"/>
  <c r="AD191" i="3"/>
  <c r="AD1010" i="3"/>
  <c r="AD556" i="3"/>
  <c r="AD36" i="3"/>
  <c r="AB1185" i="3"/>
  <c r="AB30" i="3"/>
  <c r="AB548" i="3"/>
  <c r="AB716" i="3"/>
  <c r="AB412" i="3"/>
  <c r="AB262" i="3"/>
  <c r="AB1006" i="3"/>
  <c r="AB271" i="3"/>
  <c r="AB598" i="3"/>
  <c r="AB964" i="3"/>
  <c r="AB1081" i="3" s="1"/>
  <c r="AB437" i="3"/>
  <c r="AB593" i="3"/>
  <c r="AB1016" i="3"/>
  <c r="AB57" i="3"/>
  <c r="AB230" i="3"/>
  <c r="G67" i="5"/>
  <c r="AA67" i="5" s="1"/>
  <c r="O54" i="1"/>
  <c r="F53" i="1"/>
  <c r="B53" i="1" s="1"/>
  <c r="E53" i="1"/>
  <c r="BA223" i="650"/>
  <c r="AM221" i="4" s="1"/>
  <c r="BA221" i="650"/>
  <c r="AP260" i="4"/>
  <c r="AP218" i="4"/>
  <c r="AQ218" i="4" s="1"/>
  <c r="AP225" i="4"/>
  <c r="AK6" i="3"/>
  <c r="F1094" i="3"/>
  <c r="AQ158" i="4"/>
  <c r="AZ158" i="4"/>
  <c r="BA158" i="4" s="1"/>
  <c r="Y73" i="6"/>
  <c r="Y74" i="6" s="1"/>
  <c r="W72" i="6"/>
  <c r="AB72" i="6" s="1"/>
  <c r="L49" i="14"/>
  <c r="J50" i="14" s="1"/>
  <c r="K49" i="14"/>
  <c r="G53" i="5"/>
  <c r="AA53" i="5" s="1"/>
  <c r="AC298" i="3" l="1"/>
  <c r="AC1162" i="3"/>
  <c r="AC432" i="3"/>
  <c r="AB232" i="3"/>
  <c r="AC1083" i="3"/>
  <c r="AC1123" i="3" s="1"/>
  <c r="AD1083" i="3"/>
  <c r="AD1123" i="3" s="1"/>
  <c r="AC1082" i="3"/>
  <c r="AC1122" i="3" s="1"/>
  <c r="AC372" i="3"/>
  <c r="AC447" i="3"/>
  <c r="AB1085" i="3"/>
  <c r="AB1127" i="3" s="1"/>
  <c r="AD1078" i="3"/>
  <c r="AD1084" i="3" s="1"/>
  <c r="AD1124" i="3" s="1"/>
  <c r="AC482" i="3"/>
  <c r="AD1082" i="3"/>
  <c r="AD1122" i="3" s="1"/>
  <c r="AC1078" i="3"/>
  <c r="AC1084" i="3" s="1"/>
  <c r="AC1124" i="3" s="1"/>
  <c r="AC573" i="3"/>
  <c r="AD417" i="3"/>
  <c r="AD848" i="3"/>
  <c r="AD759" i="3"/>
  <c r="AD840" i="3"/>
  <c r="AB366" i="3"/>
  <c r="AD789" i="3"/>
  <c r="AD262" i="3"/>
  <c r="AD467" i="3"/>
  <c r="AC827" i="3"/>
  <c r="AC437" i="3"/>
  <c r="AD422" i="3"/>
  <c r="AD746" i="3"/>
  <c r="AD382" i="3"/>
  <c r="AD656" i="3"/>
  <c r="AC422" i="3"/>
  <c r="AD230" i="3"/>
  <c r="Z933" i="3"/>
  <c r="Z936" i="3" s="1"/>
  <c r="Z939" i="3" s="1"/>
  <c r="Z1244" i="3"/>
  <c r="AD618" i="3"/>
  <c r="AD156" i="3"/>
  <c r="AD628" i="3"/>
  <c r="AD631" i="3" s="1"/>
  <c r="AD593" i="3"/>
  <c r="AC224" i="3"/>
  <c r="AD324" i="3"/>
  <c r="AB913" i="3"/>
  <c r="AD827" i="3"/>
  <c r="AD706" i="3"/>
  <c r="AD447" i="3"/>
  <c r="AD482" i="3"/>
  <c r="AD583" i="3"/>
  <c r="AD696" i="3"/>
  <c r="AB1209" i="3"/>
  <c r="AB1239" i="3" s="1"/>
  <c r="AC603" i="3"/>
  <c r="AC860" i="3"/>
  <c r="AC884" i="3"/>
  <c r="AD880" i="3"/>
  <c r="AC711" i="3"/>
  <c r="AD412" i="3"/>
  <c r="AD528" i="3"/>
  <c r="AD573" i="3"/>
  <c r="AD686" i="3"/>
  <c r="AD799" i="3"/>
  <c r="AD558" i="3"/>
  <c r="AD701" i="3"/>
  <c r="AD817" i="3"/>
  <c r="AC822" i="3"/>
  <c r="AD953" i="3"/>
  <c r="AD975" i="3"/>
  <c r="AD764" i="3"/>
  <c r="AD860" i="3"/>
  <c r="AD603" i="3"/>
  <c r="AD253" i="3"/>
  <c r="AD911" i="3"/>
  <c r="AD538" i="3"/>
  <c r="AD812" i="3"/>
  <c r="AC789" i="3"/>
  <c r="AD492" i="3"/>
  <c r="AD1001" i="3"/>
  <c r="AD397" i="3"/>
  <c r="AD472" i="3"/>
  <c r="AD548" i="3"/>
  <c r="AD676" i="3"/>
  <c r="AD598" i="3"/>
  <c r="AD831" i="3"/>
  <c r="AD1157" i="3"/>
  <c r="AD1167" i="3"/>
  <c r="AD970" i="3"/>
  <c r="AD371" i="3"/>
  <c r="AD876" i="3"/>
  <c r="AD996" i="3"/>
  <c r="AC764" i="3"/>
  <c r="AC774" i="3"/>
  <c r="AC138" i="3"/>
  <c r="AC716" i="3"/>
  <c r="AC497" i="3"/>
  <c r="AC618" i="3"/>
  <c r="AC598" i="3"/>
  <c r="AC817" i="3"/>
  <c r="AD779" i="3"/>
  <c r="AD1096" i="3"/>
  <c r="AD30" i="3"/>
  <c r="AD387" i="3"/>
  <c r="AD372" i="3"/>
  <c r="AD991" i="3"/>
  <c r="AD129" i="3"/>
  <c r="AD280" i="3"/>
  <c r="AD613" i="3"/>
  <c r="AD48" i="3"/>
  <c r="AD93" i="3"/>
  <c r="AD298" i="3"/>
  <c r="AC623" i="3"/>
  <c r="AC371" i="3"/>
  <c r="AC102" i="3"/>
  <c r="AC392" i="3"/>
  <c r="AD774" i="3"/>
  <c r="AD921" i="3"/>
  <c r="AD1222" i="3" s="1"/>
  <c r="AD1162" i="3"/>
  <c r="AD623" i="3"/>
  <c r="AD497" i="3"/>
  <c r="AD407" i="3"/>
  <c r="AD437" i="3"/>
  <c r="AD864" i="3"/>
  <c r="AD856" i="3"/>
  <c r="AC691" i="3"/>
  <c r="AC563" i="3"/>
  <c r="AD39" i="3"/>
  <c r="AD102" i="3"/>
  <c r="AD852" i="3"/>
  <c r="AD649" i="3"/>
  <c r="AC316" i="3"/>
  <c r="AD563" i="3"/>
  <c r="AC686" i="3"/>
  <c r="AD147" i="3"/>
  <c r="AC472" i="3"/>
  <c r="AD588" i="3"/>
  <c r="AD721" i="3"/>
  <c r="AD66" i="3"/>
  <c r="AD868" i="3"/>
  <c r="AB833" i="3"/>
  <c r="AC192" i="3"/>
  <c r="AC911" i="3"/>
  <c r="AC462" i="3"/>
  <c r="AC1001" i="3"/>
  <c r="AD1199" i="3"/>
  <c r="AD1135" i="3"/>
  <c r="AD1192" i="3"/>
  <c r="AD402" i="3"/>
  <c r="AD1185" i="3"/>
  <c r="AD174" i="3"/>
  <c r="AC608" i="3"/>
  <c r="AC741" i="3"/>
  <c r="AC174" i="3"/>
  <c r="AC661" i="3"/>
  <c r="AC876" i="3"/>
  <c r="AC183" i="3"/>
  <c r="AC970" i="3"/>
  <c r="AD736" i="3"/>
  <c r="AD553" i="3"/>
  <c r="AD244" i="3"/>
  <c r="AD633" i="3"/>
  <c r="AD442" i="3"/>
  <c r="AD830" i="3"/>
  <c r="AD1016" i="3"/>
  <c r="AC868" i="3"/>
  <c r="AC280" i="3"/>
  <c r="AD75" i="3"/>
  <c r="AD1011" i="3"/>
  <c r="AD1201" i="3"/>
  <c r="AD578" i="3"/>
  <c r="AD452" i="3"/>
  <c r="AD1103" i="3"/>
  <c r="AD57" i="3"/>
  <c r="AD138" i="3"/>
  <c r="AD289" i="3"/>
  <c r="AC548" i="3"/>
  <c r="AC681" i="3"/>
  <c r="AC120" i="3"/>
  <c r="AC1016" i="3"/>
  <c r="AC676" i="3"/>
  <c r="AC253" i="3"/>
  <c r="AC848" i="3"/>
  <c r="AC588" i="3"/>
  <c r="AC880" i="3"/>
  <c r="AD608" i="3"/>
  <c r="AC558" i="3"/>
  <c r="AC93" i="3"/>
  <c r="AD457" i="3"/>
  <c r="AD711" i="3"/>
  <c r="AD691" i="3"/>
  <c r="AD568" i="3"/>
  <c r="AD84" i="3"/>
  <c r="AD661" i="3"/>
  <c r="AD111" i="3"/>
  <c r="AD681" i="3"/>
  <c r="AD307" i="3"/>
  <c r="AD477" i="3"/>
  <c r="AD543" i="3"/>
  <c r="AD666" i="3"/>
  <c r="AC1167" i="3"/>
  <c r="AC701" i="3"/>
  <c r="AD120" i="3"/>
  <c r="AD432" i="3"/>
  <c r="AD887" i="3"/>
  <c r="AD769" i="3"/>
  <c r="AD224" i="3"/>
  <c r="AD1006" i="3"/>
  <c r="AC671" i="3"/>
  <c r="AC57" i="3"/>
  <c r="AC856" i="3"/>
  <c r="AA923" i="3"/>
  <c r="AA933" i="3" s="1"/>
  <c r="AA936" i="3" s="1"/>
  <c r="AA939" i="3" s="1"/>
  <c r="AB1210" i="3"/>
  <c r="AB1240" i="3" s="1"/>
  <c r="AD844" i="3"/>
  <c r="AD964" i="3"/>
  <c r="AD1150" i="3"/>
  <c r="AD316" i="3"/>
  <c r="AD716" i="3"/>
  <c r="AD165" i="3"/>
  <c r="AD192" i="3"/>
  <c r="AD1110" i="3"/>
  <c r="AD21" i="3"/>
  <c r="AC706" i="3"/>
  <c r="AC633" i="3"/>
  <c r="AC613" i="3"/>
  <c r="AD726" i="3"/>
  <c r="AC230" i="3"/>
  <c r="AD904" i="3"/>
  <c r="AD1178" i="3"/>
  <c r="AD632" i="3"/>
  <c r="AD323" i="3"/>
  <c r="AD783" i="3" s="1"/>
  <c r="AD803" i="3" s="1"/>
  <c r="AD1200" i="3"/>
  <c r="AD502" i="3"/>
  <c r="AD634" i="3"/>
  <c r="AD1202" i="3"/>
  <c r="AD231" i="3"/>
  <c r="AD370" i="3"/>
  <c r="AD741" i="3"/>
  <c r="AC324" i="3"/>
  <c r="AC231" i="3"/>
  <c r="AD884" i="3"/>
  <c r="AC370" i="3"/>
  <c r="AD750" i="3"/>
  <c r="AD229" i="3"/>
  <c r="AD782" i="3" s="1"/>
  <c r="AD462" i="3"/>
  <c r="AD183" i="3"/>
  <c r="AB782" i="3"/>
  <c r="AB363" i="3"/>
  <c r="AC1139" i="3"/>
  <c r="AC1199" i="3"/>
  <c r="AB1121" i="3"/>
  <c r="AB1208" i="3" s="1"/>
  <c r="AB1238" i="3" s="1"/>
  <c r="AB636" i="3"/>
  <c r="AC1150" i="3"/>
  <c r="AC244" i="3"/>
  <c r="AC323" i="3"/>
  <c r="AC783" i="3" s="1"/>
  <c r="AC803" i="3" s="1"/>
  <c r="AC412" i="3"/>
  <c r="AC66" i="3"/>
  <c r="AC307" i="3"/>
  <c r="AC417" i="3"/>
  <c r="AC501" i="3"/>
  <c r="AC382" i="3"/>
  <c r="AC503" i="3"/>
  <c r="AC156" i="3"/>
  <c r="AD886" i="3"/>
  <c r="AD326" i="3"/>
  <c r="AD822" i="3"/>
  <c r="AB203" i="3"/>
  <c r="AC583" i="3"/>
  <c r="AC852" i="3"/>
  <c r="AC996" i="3"/>
  <c r="AC799" i="3"/>
  <c r="AC792" i="3"/>
  <c r="AC794" i="3" s="1"/>
  <c r="AC215" i="3"/>
  <c r="AC229" i="3"/>
  <c r="AC1011" i="3"/>
  <c r="AC656" i="3"/>
  <c r="AC749" i="3"/>
  <c r="AC628" i="3"/>
  <c r="AC631" i="3" s="1"/>
  <c r="AC731" i="3"/>
  <c r="AC1185" i="3"/>
  <c r="AC975" i="3"/>
  <c r="AC397" i="3"/>
  <c r="AC904" i="3"/>
  <c r="AC769" i="3"/>
  <c r="AD533" i="3"/>
  <c r="AC467" i="3"/>
  <c r="AC129" i="3"/>
  <c r="AD749" i="3"/>
  <c r="AB1205" i="3"/>
  <c r="AC886" i="3"/>
  <c r="AC840" i="3"/>
  <c r="AC84" i="3"/>
  <c r="AC492" i="3"/>
  <c r="AC387" i="3"/>
  <c r="AC502" i="3"/>
  <c r="AD523" i="3"/>
  <c r="AD215" i="3"/>
  <c r="AD501" i="3"/>
  <c r="AD271" i="3"/>
  <c r="AD392" i="3"/>
  <c r="AB1018" i="3"/>
  <c r="AC325" i="3"/>
  <c r="AC365" i="3" s="1"/>
  <c r="AB752" i="3"/>
  <c r="AB889" i="3"/>
  <c r="AB1211" i="3"/>
  <c r="AD671" i="3"/>
  <c r="AC593" i="3"/>
  <c r="AC1201" i="3"/>
  <c r="AC1157" i="3"/>
  <c r="AC921" i="3"/>
  <c r="AC1222" i="3" s="1"/>
  <c r="AC75" i="3"/>
  <c r="AC452" i="3"/>
  <c r="AC1178" i="3"/>
  <c r="AC289" i="3"/>
  <c r="AC864" i="3"/>
  <c r="AC964" i="3"/>
  <c r="AC1081" i="3" s="1"/>
  <c r="AC779" i="3"/>
  <c r="AC649" i="3"/>
  <c r="AC1103" i="3"/>
  <c r="AC750" i="3"/>
  <c r="AC831" i="3"/>
  <c r="AC165" i="3"/>
  <c r="AC477" i="3"/>
  <c r="AC402" i="3"/>
  <c r="AC736" i="3"/>
  <c r="AB509" i="3"/>
  <c r="AC506" i="3"/>
  <c r="AC507" i="3"/>
  <c r="AD507" i="3"/>
  <c r="AC1096" i="3"/>
  <c r="AC39" i="3"/>
  <c r="AB635" i="3"/>
  <c r="AB364" i="3"/>
  <c r="Y933" i="3"/>
  <c r="Y936" i="3" s="1"/>
  <c r="Y939" i="3" s="1"/>
  <c r="Y1223" i="3"/>
  <c r="Y1227" i="3" s="1"/>
  <c r="Y1229" i="3" s="1"/>
  <c r="Y1234" i="3" s="1"/>
  <c r="AC1110" i="3"/>
  <c r="AC1006" i="3"/>
  <c r="AC111" i="3"/>
  <c r="AD325" i="3"/>
  <c r="AD365" i="3" s="1"/>
  <c r="AD792" i="3"/>
  <c r="AD794" i="3" s="1"/>
  <c r="AD503" i="3"/>
  <c r="AB327" i="3"/>
  <c r="AD427" i="3"/>
  <c r="AC872" i="3"/>
  <c r="AC326" i="3"/>
  <c r="AC538" i="3"/>
  <c r="AC533" i="3"/>
  <c r="AC759" i="3"/>
  <c r="AC812" i="3"/>
  <c r="AC830" i="3"/>
  <c r="AC262" i="3"/>
  <c r="AC746" i="3"/>
  <c r="AC1143" i="3"/>
  <c r="AC1202" i="3"/>
  <c r="AC953" i="3"/>
  <c r="AC427" i="3"/>
  <c r="AC48" i="3"/>
  <c r="AD506" i="3"/>
  <c r="AC147" i="3"/>
  <c r="AC523" i="3"/>
  <c r="AC632" i="3"/>
  <c r="AC271" i="3"/>
  <c r="AC991" i="3"/>
  <c r="AE9" i="3"/>
  <c r="AC457" i="3"/>
  <c r="AC442" i="3"/>
  <c r="AC634" i="3"/>
  <c r="AC844" i="3"/>
  <c r="AC1200" i="3"/>
  <c r="AC1135" i="3"/>
  <c r="AC578" i="3"/>
  <c r="AC30" i="3"/>
  <c r="AC726" i="3"/>
  <c r="AC543" i="3"/>
  <c r="AC21" i="3"/>
  <c r="AC528" i="3"/>
  <c r="AC1192" i="3"/>
  <c r="AC666" i="3"/>
  <c r="AC721" i="3"/>
  <c r="AC568" i="3"/>
  <c r="AC553" i="3"/>
  <c r="AC696" i="3"/>
  <c r="AC407" i="3"/>
  <c r="AC887" i="3"/>
  <c r="AE8" i="3"/>
  <c r="AE1" i="3" s="1"/>
  <c r="E54" i="1"/>
  <c r="AF8" i="3" s="1"/>
  <c r="AF1" i="3" s="1"/>
  <c r="F54" i="1"/>
  <c r="B54" i="1" s="1"/>
  <c r="AF9" i="3" s="1"/>
  <c r="O55" i="1"/>
  <c r="AN212" i="4"/>
  <c r="AM219" i="4"/>
  <c r="AP226" i="4" s="1"/>
  <c r="AN214" i="4"/>
  <c r="AN220" i="4"/>
  <c r="BA222" i="650"/>
  <c r="AM220" i="4" s="1"/>
  <c r="BA214" i="650"/>
  <c r="BA216" i="650"/>
  <c r="AN221" i="4"/>
  <c r="AN219" i="4"/>
  <c r="AN213" i="4"/>
  <c r="BA215" i="650"/>
  <c r="AM213" i="4" s="1"/>
  <c r="AP213" i="4" s="1"/>
  <c r="AZ260" i="4"/>
  <c r="BA260" i="4" s="1"/>
  <c r="AQ260" i="4"/>
  <c r="AZ225" i="4"/>
  <c r="BA225" i="4" s="1"/>
  <c r="AQ225" i="4"/>
  <c r="AZ218" i="4"/>
  <c r="BA218" i="4" s="1"/>
  <c r="AL6" i="3"/>
  <c r="F1093" i="3"/>
  <c r="F1153" i="3"/>
  <c r="K50" i="14"/>
  <c r="L50" i="14"/>
  <c r="J51" i="14" s="1"/>
  <c r="Y75" i="6"/>
  <c r="W74" i="6"/>
  <c r="AB74" i="6" s="1"/>
  <c r="AD1081" i="3" l="1"/>
  <c r="AD1085" i="3" s="1"/>
  <c r="AD1127" i="3" s="1"/>
  <c r="AC1085" i="3"/>
  <c r="AC1127" i="3" s="1"/>
  <c r="AD364" i="3"/>
  <c r="AC366" i="3"/>
  <c r="AC833" i="3"/>
  <c r="AC232" i="3"/>
  <c r="AD1210" i="3"/>
  <c r="AD1240" i="3" s="1"/>
  <c r="AD1209" i="3"/>
  <c r="AD1239" i="3" s="1"/>
  <c r="AC1211" i="3"/>
  <c r="AD363" i="3"/>
  <c r="AD913" i="3"/>
  <c r="AD833" i="3"/>
  <c r="AC364" i="3"/>
  <c r="AC913" i="3"/>
  <c r="AD1211" i="3"/>
  <c r="AD635" i="3"/>
  <c r="AD1205" i="3"/>
  <c r="AD889" i="3"/>
  <c r="AD203" i="3"/>
  <c r="AD327" i="3"/>
  <c r="AB639" i="3"/>
  <c r="AB1219" i="3" s="1"/>
  <c r="AD1018" i="3"/>
  <c r="AD752" i="3"/>
  <c r="AD232" i="3"/>
  <c r="AD366" i="3"/>
  <c r="AC635" i="3"/>
  <c r="AA1223" i="3"/>
  <c r="AA1227" i="3" s="1"/>
  <c r="AA1229" i="3" s="1"/>
  <c r="AA1234" i="3" s="1"/>
  <c r="AA1241" i="3" s="1"/>
  <c r="AC327" i="3"/>
  <c r="AD636" i="3"/>
  <c r="AD509" i="3"/>
  <c r="AC1205" i="3"/>
  <c r="AC1018" i="3"/>
  <c r="AB368" i="3"/>
  <c r="AB512" i="3" s="1"/>
  <c r="AF909" i="3"/>
  <c r="AF878" i="3"/>
  <c r="AF982" i="3"/>
  <c r="AF108" i="3"/>
  <c r="AF1051" i="3"/>
  <c r="AF221" i="3"/>
  <c r="AF302" i="3"/>
  <c r="AF695" i="3"/>
  <c r="AF205" i="3"/>
  <c r="AF787" i="3" s="1"/>
  <c r="AF1170" i="3"/>
  <c r="AF1171" i="3" s="1"/>
  <c r="AF961" i="3"/>
  <c r="AF917" i="3"/>
  <c r="AF279" i="3"/>
  <c r="AF491" i="3"/>
  <c r="AF505" i="3" s="1"/>
  <c r="AF626" i="3"/>
  <c r="AF1057" i="3"/>
  <c r="AF1042" i="3"/>
  <c r="AF1028" i="3"/>
  <c r="AF1092" i="3"/>
  <c r="AF320" i="3"/>
  <c r="AF546" i="3"/>
  <c r="AF470" i="3"/>
  <c r="AF81" i="3"/>
  <c r="AF219" i="3"/>
  <c r="AF1109" i="3"/>
  <c r="AF665" i="3"/>
  <c r="AF839" i="3"/>
  <c r="AF1134" i="3"/>
  <c r="AF29" i="3"/>
  <c r="AF1181" i="3"/>
  <c r="AF1156" i="3"/>
  <c r="AF1184" i="3"/>
  <c r="AF582" i="3"/>
  <c r="AF460" i="3"/>
  <c r="AF730" i="3"/>
  <c r="AF929" i="3"/>
  <c r="AF1010" i="3"/>
  <c r="AF556" i="3"/>
  <c r="AF410" i="3"/>
  <c r="AF772" i="3"/>
  <c r="AF739" i="3"/>
  <c r="AF863" i="3"/>
  <c r="AF496" i="3"/>
  <c r="AF973" i="3"/>
  <c r="AF90" i="3"/>
  <c r="AF1024" i="3"/>
  <c r="AF552" i="3"/>
  <c r="AF411" i="3"/>
  <c r="AF415" i="3"/>
  <c r="AF654" i="3"/>
  <c r="AF735" i="3"/>
  <c r="AF986" i="3"/>
  <c r="AF616" i="3"/>
  <c r="AF826" i="3"/>
  <c r="AF197" i="3"/>
  <c r="AF647" i="3"/>
  <c r="AF137" i="3"/>
  <c r="AF557" i="3"/>
  <c r="AF729" i="3"/>
  <c r="AF731" i="3" s="1"/>
  <c r="AF1147" i="3"/>
  <c r="AF981" i="3"/>
  <c r="AF958" i="3"/>
  <c r="AF212" i="3"/>
  <c r="AF1149" i="3"/>
  <c r="AF572" i="3"/>
  <c r="AF270" i="3"/>
  <c r="AF957" i="3"/>
  <c r="AF1195" i="3"/>
  <c r="AF1196" i="3" s="1"/>
  <c r="AF602" i="3"/>
  <c r="AF315" i="3"/>
  <c r="AF101" i="3"/>
  <c r="AF275" i="3"/>
  <c r="AF1046" i="3"/>
  <c r="AF475" i="3"/>
  <c r="AF679" i="3"/>
  <c r="AF426" i="3"/>
  <c r="AF1155" i="3"/>
  <c r="AF532" i="3"/>
  <c r="AF601" i="3"/>
  <c r="AF882" i="3"/>
  <c r="AF537" i="3"/>
  <c r="AF859" i="3"/>
  <c r="AF446" i="3"/>
  <c r="AF1175" i="3"/>
  <c r="AF587" i="3"/>
  <c r="AF1027" i="3"/>
  <c r="AF720" i="3"/>
  <c r="AF1041" i="3"/>
  <c r="AF400" i="3"/>
  <c r="AF164" i="3"/>
  <c r="AF745" i="3"/>
  <c r="AF1100" i="3"/>
  <c r="AF455" i="3"/>
  <c r="AF61" i="3"/>
  <c r="AF395" i="3"/>
  <c r="AF680" i="3"/>
  <c r="AF196" i="3"/>
  <c r="AF854" i="3"/>
  <c r="AF187" i="3"/>
  <c r="AF847" i="3"/>
  <c r="AF825" i="3"/>
  <c r="AF777" i="3"/>
  <c r="AF901" i="3"/>
  <c r="AF18" i="3"/>
  <c r="AF990" i="3"/>
  <c r="AF126" i="3"/>
  <c r="AF416" i="3"/>
  <c r="AF597" i="3"/>
  <c r="AF1074" i="3"/>
  <c r="AF1015" i="3"/>
  <c r="AF675" i="3"/>
  <c r="AF541" i="3"/>
  <c r="AF401" i="3"/>
  <c r="AF43" i="3"/>
  <c r="AF810" i="3"/>
  <c r="AF843" i="3"/>
  <c r="AF983" i="3"/>
  <c r="AF962" i="3"/>
  <c r="AF1035" i="3"/>
  <c r="AF191" i="3"/>
  <c r="AF1101" i="3"/>
  <c r="AF390" i="3"/>
  <c r="AF329" i="3"/>
  <c r="AF1182" i="3"/>
  <c r="AF838" i="3"/>
  <c r="AF162" i="3"/>
  <c r="AF405" i="3"/>
  <c r="AF919" i="3"/>
  <c r="AF182" i="3"/>
  <c r="AF1093" i="3"/>
  <c r="AF1070" i="3"/>
  <c r="AF1189" i="3"/>
  <c r="AF445" i="3"/>
  <c r="AF567" i="3"/>
  <c r="AF257" i="3"/>
  <c r="AF1190" i="3"/>
  <c r="AF655" i="3"/>
  <c r="AF908" i="3"/>
  <c r="AF47" i="3"/>
  <c r="AF684" i="3"/>
  <c r="AF659" i="3"/>
  <c r="AF758" i="3"/>
  <c r="AF406" i="3"/>
  <c r="AF875" i="3"/>
  <c r="AF547" i="3"/>
  <c r="AF762" i="3"/>
  <c r="AF155" i="3"/>
  <c r="AF52" i="3"/>
  <c r="AF466" i="3"/>
  <c r="AF985" i="3"/>
  <c r="AF266" i="3"/>
  <c r="AF591" i="3"/>
  <c r="AF288" i="3"/>
  <c r="AF54" i="3"/>
  <c r="AF660" i="3"/>
  <c r="AF734" i="3"/>
  <c r="AF821" i="3"/>
  <c r="AF767" i="3"/>
  <c r="AF984" i="3"/>
  <c r="AF440" i="3"/>
  <c r="AF330" i="3"/>
  <c r="AF979" i="3"/>
  <c r="AF83" i="3"/>
  <c r="AF531" i="3"/>
  <c r="AF1174" i="3"/>
  <c r="AF135" i="3"/>
  <c r="AF34" i="3"/>
  <c r="AF1053" i="3"/>
  <c r="AF490" i="3"/>
  <c r="AF144" i="3"/>
  <c r="AF704" i="3"/>
  <c r="AF25" i="3"/>
  <c r="AF850" i="3"/>
  <c r="AF862" i="3"/>
  <c r="AF664" i="3"/>
  <c r="AF999" i="3"/>
  <c r="AF1064" i="3"/>
  <c r="AF45" i="3"/>
  <c r="AF153" i="3"/>
  <c r="AF1052" i="3"/>
  <c r="AF842" i="3"/>
  <c r="AF201" i="3"/>
  <c r="AF206" i="3"/>
  <c r="AF1075" i="3"/>
  <c r="AF918" i="3"/>
  <c r="AF1076" i="3"/>
  <c r="AF607" i="3"/>
  <c r="AF858" i="3"/>
  <c r="AF117" i="3"/>
  <c r="AF596" i="3"/>
  <c r="AF1059" i="3"/>
  <c r="AF874" i="3"/>
  <c r="AF876" i="3" s="1"/>
  <c r="AF1033" i="3"/>
  <c r="AF173" i="3"/>
  <c r="AF521" i="3"/>
  <c r="AF714" i="3"/>
  <c r="AF689" i="3"/>
  <c r="AF811" i="3"/>
  <c r="AF436" i="3"/>
  <c r="AF910" i="3"/>
  <c r="AF36" i="3"/>
  <c r="AF146" i="3"/>
  <c r="AF380" i="3"/>
  <c r="AF960" i="3"/>
  <c r="AF951" i="3"/>
  <c r="AF293" i="3"/>
  <c r="AF1005" i="3"/>
  <c r="AF1062" i="3"/>
  <c r="AF99" i="3"/>
  <c r="AF1106" i="3"/>
  <c r="AF522" i="3"/>
  <c r="AF902" i="3"/>
  <c r="AF870" i="3"/>
  <c r="AF978" i="3"/>
  <c r="AF97" i="3"/>
  <c r="AF1045" i="3"/>
  <c r="AF210" i="3"/>
  <c r="AF674" i="3"/>
  <c r="AF867" i="3"/>
  <c r="AF1160" i="3"/>
  <c r="AF223" i="3"/>
  <c r="AF456" i="3"/>
  <c r="AF1183" i="3"/>
  <c r="AF1138" i="3"/>
  <c r="AF1139" i="3" s="1"/>
  <c r="AF1036" i="3"/>
  <c r="AF1022" i="3"/>
  <c r="AF180" i="3"/>
  <c r="AF70" i="3"/>
  <c r="AF386" i="3"/>
  <c r="AF907" i="3"/>
  <c r="AF151" i="3"/>
  <c r="AF612" i="3"/>
  <c r="AF200" i="3"/>
  <c r="AF586" i="3"/>
  <c r="AF561" i="3"/>
  <c r="AF670" i="3"/>
  <c r="AF243" i="3"/>
  <c r="AF773" i="3"/>
  <c r="AF421" i="3"/>
  <c r="AF1142" i="3"/>
  <c r="AF1143" i="3" s="1"/>
  <c r="AF396" i="3"/>
  <c r="AF1068" i="3"/>
  <c r="AF20" i="3"/>
  <c r="AF611" i="3"/>
  <c r="AF391" i="3"/>
  <c r="AF700" i="3"/>
  <c r="AF451" i="3"/>
  <c r="AF866" i="3"/>
  <c r="AF527" i="3"/>
  <c r="AF1063" i="3"/>
  <c r="AF815" i="3"/>
  <c r="AF879" i="3"/>
  <c r="AF115" i="3"/>
  <c r="AF927" i="3"/>
  <c r="AF920" i="3"/>
  <c r="AF1029" i="3"/>
  <c r="AF1165" i="3"/>
  <c r="AF214" i="3"/>
  <c r="AF1177" i="3"/>
  <c r="AF685" i="3"/>
  <c r="AF1004" i="3"/>
  <c r="AF744" i="3"/>
  <c r="AF1056" i="3"/>
  <c r="AF1176" i="3"/>
  <c r="AF171" i="3"/>
  <c r="AF715" i="3"/>
  <c r="AF1094" i="3"/>
  <c r="AF576" i="3"/>
  <c r="AF142" i="3"/>
  <c r="AF851" i="3"/>
  <c r="AF461" i="3"/>
  <c r="AF778" i="3"/>
  <c r="AF903" i="3"/>
  <c r="AF79" i="3"/>
  <c r="AF931" i="3"/>
  <c r="AF627" i="3"/>
  <c r="AF968" i="3"/>
  <c r="AF995" i="3"/>
  <c r="AF435" i="3"/>
  <c r="AF846" i="3"/>
  <c r="AF562" i="3"/>
  <c r="AF989" i="3"/>
  <c r="AF1108" i="3"/>
  <c r="AF798" i="3"/>
  <c r="AF566" i="3"/>
  <c r="AF331" i="3"/>
  <c r="AF495" i="3"/>
  <c r="AF178" i="3"/>
  <c r="AF1133" i="3"/>
  <c r="AF571" i="3"/>
  <c r="AF38" i="3"/>
  <c r="AF725" i="3"/>
  <c r="AF72" i="3"/>
  <c r="AF855" i="3"/>
  <c r="AF1148" i="3"/>
  <c r="AF1107" i="3"/>
  <c r="AF1088" i="3"/>
  <c r="AF1089" i="3" s="1"/>
  <c r="AF536" i="3"/>
  <c r="AF465" i="3"/>
  <c r="AF74" i="3"/>
  <c r="AF617" i="3"/>
  <c r="AF189" i="3"/>
  <c r="AF1039" i="3"/>
  <c r="AF431" i="3"/>
  <c r="AF1058" i="3"/>
  <c r="AF476" i="3"/>
  <c r="AF793" i="3"/>
  <c r="AF202" i="3"/>
  <c r="AF709" i="3"/>
  <c r="AF420" i="3"/>
  <c r="AF119" i="3"/>
  <c r="AF16" i="3"/>
  <c r="AF606" i="3"/>
  <c r="AF581" i="3"/>
  <c r="AF690" i="3"/>
  <c r="AF277" i="3"/>
  <c r="AF816" i="3"/>
  <c r="AF441" i="3"/>
  <c r="AF740" i="3"/>
  <c r="AF252" i="3"/>
  <c r="AF53" i="3"/>
  <c r="AF1102" i="3"/>
  <c r="AF542" i="3"/>
  <c r="AF1047" i="3"/>
  <c r="AF248" i="3"/>
  <c r="AF797" i="3"/>
  <c r="AF757" i="3"/>
  <c r="AF871" i="3"/>
  <c r="AF261" i="3"/>
  <c r="AF994" i="3"/>
  <c r="AF430" i="3"/>
  <c r="AF622" i="3"/>
  <c r="AF724" i="3"/>
  <c r="AF88" i="3"/>
  <c r="AF1030" i="3"/>
  <c r="AF1014" i="3"/>
  <c r="AF1073" i="3"/>
  <c r="AF286" i="3"/>
  <c r="AF481" i="3"/>
  <c r="AF450" i="3"/>
  <c r="AF56" i="3"/>
  <c r="AF551" i="3"/>
  <c r="AF763" i="3"/>
  <c r="AF719" i="3"/>
  <c r="AF65" i="3"/>
  <c r="AF239" i="3"/>
  <c r="AF1095" i="3"/>
  <c r="AF1050" i="3"/>
  <c r="AF1034" i="3"/>
  <c r="AF1099" i="3"/>
  <c r="AF385" i="3"/>
  <c r="AF207" i="3"/>
  <c r="AF480" i="3"/>
  <c r="AF92" i="3"/>
  <c r="AF980" i="3"/>
  <c r="AF284" i="3"/>
  <c r="AF925" i="3"/>
  <c r="AF124" i="3"/>
  <c r="AF956" i="3"/>
  <c r="AF1069" i="3"/>
  <c r="AF1153" i="3"/>
  <c r="AF471" i="3"/>
  <c r="AF306" i="3"/>
  <c r="AF1188" i="3"/>
  <c r="AF1166" i="3"/>
  <c r="AF1191" i="3"/>
  <c r="AF592" i="3"/>
  <c r="AF160" i="3"/>
  <c r="AF705" i="3"/>
  <c r="AF297" i="3"/>
  <c r="AF425" i="3"/>
  <c r="AF1154" i="3"/>
  <c r="AF110" i="3"/>
  <c r="AF820" i="3"/>
  <c r="AF55" i="3"/>
  <c r="AF710" i="3"/>
  <c r="AF381" i="3"/>
  <c r="AF694" i="3"/>
  <c r="AF669" i="3"/>
  <c r="AF768" i="3"/>
  <c r="AF526" i="3"/>
  <c r="AF621" i="3"/>
  <c r="AF485" i="3"/>
  <c r="AF487" i="3" s="1"/>
  <c r="AF133" i="3"/>
  <c r="AF1040" i="3"/>
  <c r="AF1000" i="3"/>
  <c r="AF969" i="3"/>
  <c r="AF950" i="3"/>
  <c r="AF1023" i="3"/>
  <c r="AF169" i="3"/>
  <c r="AF311" i="3"/>
  <c r="AF788" i="3"/>
  <c r="AF1065" i="3"/>
  <c r="AF577" i="3"/>
  <c r="AF1146" i="3"/>
  <c r="AF128" i="3"/>
  <c r="AF321" i="3"/>
  <c r="AF900" i="3"/>
  <c r="AF974" i="3"/>
  <c r="AF646" i="3"/>
  <c r="AF27" i="3"/>
  <c r="AF63" i="3"/>
  <c r="AF106" i="3"/>
  <c r="AF883" i="3"/>
  <c r="AF699" i="3"/>
  <c r="AF959" i="3"/>
  <c r="AF1161" i="3"/>
  <c r="AF1009" i="3"/>
  <c r="AC1121" i="3"/>
  <c r="AC1208" i="3" s="1"/>
  <c r="AC1238" i="3" s="1"/>
  <c r="AC752" i="3"/>
  <c r="AE1009" i="3"/>
  <c r="AE846" i="3"/>
  <c r="AE685" i="3"/>
  <c r="AE532" i="3"/>
  <c r="AE178" i="3"/>
  <c r="AE29" i="3"/>
  <c r="AE1095" i="3"/>
  <c r="AE1023" i="3"/>
  <c r="AE182" i="3"/>
  <c r="AE674" i="3"/>
  <c r="AE302" i="3"/>
  <c r="AE1153" i="3"/>
  <c r="AE25" i="3"/>
  <c r="AE537" i="3"/>
  <c r="AE842" i="3"/>
  <c r="AE1177" i="3"/>
  <c r="AE466" i="3"/>
  <c r="AE266" i="3"/>
  <c r="AE851" i="3"/>
  <c r="AE665" i="3"/>
  <c r="AE1107" i="3"/>
  <c r="AE985" i="3"/>
  <c r="AE871" i="3"/>
  <c r="AE710" i="3"/>
  <c r="AE1138" i="3"/>
  <c r="AE421" i="3"/>
  <c r="AE191" i="3"/>
  <c r="AE142" i="3"/>
  <c r="AE882" i="3"/>
  <c r="AE436" i="3"/>
  <c r="AE903" i="3"/>
  <c r="AE1074" i="3"/>
  <c r="AE958" i="3"/>
  <c r="AE839" i="3"/>
  <c r="AE647" i="3"/>
  <c r="AE381" i="3"/>
  <c r="AE144" i="3"/>
  <c r="AE744" i="3"/>
  <c r="AE1106" i="3"/>
  <c r="AE406" i="3"/>
  <c r="AE173" i="3"/>
  <c r="AE763" i="3"/>
  <c r="AE587" i="3"/>
  <c r="AE1005" i="3"/>
  <c r="AE969" i="3"/>
  <c r="AE927" i="3"/>
  <c r="AE155" i="3"/>
  <c r="AE1166" i="3"/>
  <c r="AE277" i="3"/>
  <c r="AE1146" i="3"/>
  <c r="AE1099" i="3"/>
  <c r="AE745" i="3"/>
  <c r="AE1042" i="3"/>
  <c r="AE582" i="3"/>
  <c r="AE541" i="3"/>
  <c r="AE1052" i="3"/>
  <c r="AE694" i="3"/>
  <c r="AE909" i="3"/>
  <c r="AE410" i="3"/>
  <c r="AE221" i="3"/>
  <c r="AE572" i="3"/>
  <c r="AE679" i="3"/>
  <c r="AE875" i="3"/>
  <c r="AE1014" i="3"/>
  <c r="AE1165" i="3"/>
  <c r="AE576" i="3"/>
  <c r="AE61" i="3"/>
  <c r="AE1041" i="3"/>
  <c r="AE626" i="3"/>
  <c r="AE810" i="3"/>
  <c r="AE910" i="3"/>
  <c r="AE288" i="3"/>
  <c r="AE1134" i="3"/>
  <c r="AE20" i="3"/>
  <c r="AE201" i="3"/>
  <c r="AE456" i="3"/>
  <c r="AE843" i="3"/>
  <c r="AE180" i="3"/>
  <c r="AE617" i="3"/>
  <c r="AE1133" i="3"/>
  <c r="AE597" i="3"/>
  <c r="AE821" i="3"/>
  <c r="AE1075" i="3"/>
  <c r="AE425" i="3"/>
  <c r="AE874" i="3"/>
  <c r="AE811" i="3"/>
  <c r="AE297" i="3"/>
  <c r="AE306" i="3"/>
  <c r="AE38" i="3"/>
  <c r="AE420" i="3"/>
  <c r="AE1046" i="3"/>
  <c r="AE526" i="3"/>
  <c r="AE621" i="3"/>
  <c r="AE918" i="3"/>
  <c r="AE461" i="3"/>
  <c r="AE490" i="3"/>
  <c r="AE1028" i="3"/>
  <c r="AE531" i="3"/>
  <c r="AE929" i="3"/>
  <c r="AE729" i="3"/>
  <c r="AE581" i="3"/>
  <c r="AE430" i="3"/>
  <c r="AE957" i="3"/>
  <c r="AE81" i="3"/>
  <c r="AE1188" i="3"/>
  <c r="AE1040" i="3"/>
  <c r="AE959" i="3"/>
  <c r="AE88" i="3"/>
  <c r="AE1108" i="3"/>
  <c r="AE83" i="3"/>
  <c r="AE951" i="3"/>
  <c r="AE1101" i="3"/>
  <c r="AE286" i="3"/>
  <c r="AE724" i="3"/>
  <c r="AE1092" i="3"/>
  <c r="AE386" i="3"/>
  <c r="AE151" i="3"/>
  <c r="AE735" i="3"/>
  <c r="AE567" i="3"/>
  <c r="AE1050" i="3"/>
  <c r="AE907" i="3"/>
  <c r="AE768" i="3"/>
  <c r="AE592" i="3"/>
  <c r="AE1057" i="3"/>
  <c r="AE270" i="3"/>
  <c r="AE97" i="3"/>
  <c r="AE627" i="3"/>
  <c r="AE1176" i="3"/>
  <c r="AE171" i="3"/>
  <c r="AE586" i="3"/>
  <c r="AE1024" i="3"/>
  <c r="AE862" i="3"/>
  <c r="AE720" i="3"/>
  <c r="AE552" i="3"/>
  <c r="AE1033" i="3"/>
  <c r="AE200" i="3"/>
  <c r="AE53" i="3"/>
  <c r="AE1149" i="3"/>
  <c r="AE1047" i="3"/>
  <c r="AE243" i="3"/>
  <c r="AE79" i="3"/>
  <c r="AE654" i="3"/>
  <c r="AE485" i="3"/>
  <c r="AE487" i="3" s="1"/>
  <c r="AE160" i="3"/>
  <c r="AE730" i="3"/>
  <c r="AE63" i="3"/>
  <c r="AE767" i="3"/>
  <c r="AE1065" i="3"/>
  <c r="AE101" i="3"/>
  <c r="AE380" i="3"/>
  <c r="AE396" i="3"/>
  <c r="AE577" i="3"/>
  <c r="AE758" i="3"/>
  <c r="AE979" i="3"/>
  <c r="AE206" i="3"/>
  <c r="AE978" i="3"/>
  <c r="AE536" i="3"/>
  <c r="AE709" i="3"/>
  <c r="AE920" i="3"/>
  <c r="AE445" i="3"/>
  <c r="AE128" i="3"/>
  <c r="AE521" i="3"/>
  <c r="AE16" i="3"/>
  <c r="AE45" i="3"/>
  <c r="AE239" i="3"/>
  <c r="AE471" i="3"/>
  <c r="AE1142" i="3"/>
  <c r="AE65" i="3"/>
  <c r="AE983" i="3"/>
  <c r="AE480" i="3"/>
  <c r="AE695" i="3"/>
  <c r="AE879" i="3"/>
  <c r="AE1148" i="3"/>
  <c r="AE825" i="3"/>
  <c r="AE248" i="3"/>
  <c r="AE596" i="3"/>
  <c r="AE390" i="3"/>
  <c r="AE416" i="3"/>
  <c r="AE773" i="3"/>
  <c r="AE950" i="3"/>
  <c r="AE315" i="3"/>
  <c r="AE772" i="3"/>
  <c r="AE798" i="3"/>
  <c r="AE1062" i="3"/>
  <c r="AE612" i="3"/>
  <c r="AE1183" i="3"/>
  <c r="AE36" i="3"/>
  <c r="AE210" i="3"/>
  <c r="AE719" i="3"/>
  <c r="AE721" i="3" s="1"/>
  <c r="AE70" i="3"/>
  <c r="AE99" i="3"/>
  <c r="AE252" i="3"/>
  <c r="AE1161" i="3"/>
  <c r="AE1175" i="3"/>
  <c r="AE1191" i="3"/>
  <c r="AE867" i="3"/>
  <c r="AE962" i="3"/>
  <c r="AE793" i="3"/>
  <c r="AE850" i="3"/>
  <c r="AE1184" i="3"/>
  <c r="AE476" i="3"/>
  <c r="AE279" i="3"/>
  <c r="AE859" i="3"/>
  <c r="AE680" i="3"/>
  <c r="AE1100" i="3"/>
  <c r="AE981" i="3"/>
  <c r="AE863" i="3"/>
  <c r="AE690" i="3"/>
  <c r="AE1051" i="3"/>
  <c r="AE1093" i="3"/>
  <c r="AE740" i="3"/>
  <c r="AE984" i="3"/>
  <c r="AE169" i="3"/>
  <c r="AE1109" i="3"/>
  <c r="AE1035" i="3"/>
  <c r="AE202" i="3"/>
  <c r="AE55" i="3"/>
  <c r="AE616" i="3"/>
  <c r="AE465" i="3"/>
  <c r="AE989" i="3"/>
  <c r="AE820" i="3"/>
  <c r="AE659" i="3"/>
  <c r="AE491" i="3"/>
  <c r="AE505" i="3" s="1"/>
  <c r="AE1000" i="3"/>
  <c r="AE153" i="3"/>
  <c r="AE329" i="3"/>
  <c r="AE547" i="3"/>
  <c r="AE1034" i="3"/>
  <c r="AE670" i="3"/>
  <c r="AE401" i="3"/>
  <c r="AE960" i="3"/>
  <c r="AE757" i="3"/>
  <c r="AE601" i="3"/>
  <c r="AE450" i="3"/>
  <c r="AE973" i="3"/>
  <c r="AE106" i="3"/>
  <c r="AE788" i="3"/>
  <c r="AE1064" i="3"/>
  <c r="AE986" i="3"/>
  <c r="AE135" i="3"/>
  <c r="AE330" i="3"/>
  <c r="AE556" i="3"/>
  <c r="AE405" i="3"/>
  <c r="AE331" i="3"/>
  <c r="AE1039" i="3"/>
  <c r="AE1182" i="3"/>
  <c r="AE562" i="3"/>
  <c r="AE426" i="3"/>
  <c r="AE675" i="3"/>
  <c r="AE27" i="3"/>
  <c r="AE734" i="3"/>
  <c r="AE162" i="3"/>
  <c r="AE900" i="3"/>
  <c r="AE990" i="3"/>
  <c r="AE816" i="3"/>
  <c r="AE110" i="3"/>
  <c r="AE385" i="3"/>
  <c r="AE561" i="3"/>
  <c r="AE56" i="3"/>
  <c r="AE878" i="3"/>
  <c r="AE880" i="3" s="1"/>
  <c r="AE866" i="3"/>
  <c r="AE311" i="3"/>
  <c r="AE1154" i="3"/>
  <c r="AE908" i="3"/>
  <c r="AE451" i="3"/>
  <c r="AE460" i="3"/>
  <c r="AE197" i="3"/>
  <c r="AE527" i="3"/>
  <c r="AE219" i="3"/>
  <c r="AE475" i="3"/>
  <c r="AE646" i="3"/>
  <c r="AE797" i="3"/>
  <c r="AE994" i="3"/>
  <c r="AE431" i="3"/>
  <c r="AE1170" i="3"/>
  <c r="AE1171" i="3" s="1"/>
  <c r="AE655" i="3"/>
  <c r="AE699" i="3"/>
  <c r="AE762" i="3"/>
  <c r="AE187" i="3"/>
  <c r="AE1068" i="3"/>
  <c r="AE622" i="3"/>
  <c r="AE133" i="3"/>
  <c r="AE275" i="3"/>
  <c r="AE212" i="3"/>
  <c r="AE1069" i="3"/>
  <c r="AE1073" i="3"/>
  <c r="AE777" i="3"/>
  <c r="AE571" i="3"/>
  <c r="AE1195" i="3"/>
  <c r="AE1196" i="3" s="1"/>
  <c r="AE684" i="3"/>
  <c r="AE1036" i="3"/>
  <c r="AE1022" i="3"/>
  <c r="AE257" i="3"/>
  <c r="AE700" i="3"/>
  <c r="AE1094" i="3"/>
  <c r="AE1058" i="3"/>
  <c r="AE982" i="3"/>
  <c r="AE124" i="3"/>
  <c r="AE704" i="3"/>
  <c r="AE546" i="3"/>
  <c r="AE395" i="3"/>
  <c r="AE902" i="3"/>
  <c r="AE714" i="3"/>
  <c r="AE551" i="3"/>
  <c r="AE400" i="3"/>
  <c r="AE826" i="3"/>
  <c r="AE1088" i="3"/>
  <c r="AE1089" i="3" s="1"/>
  <c r="AE74" i="3"/>
  <c r="AE481" i="3"/>
  <c r="AE1056" i="3"/>
  <c r="AE917" i="3"/>
  <c r="AE778" i="3"/>
  <c r="AE602" i="3"/>
  <c r="AE1063" i="3"/>
  <c r="AE284" i="3"/>
  <c r="AE108" i="3"/>
  <c r="AE1190" i="3"/>
  <c r="AE321" i="3"/>
  <c r="AE137" i="3"/>
  <c r="AE725" i="3"/>
  <c r="AE557" i="3"/>
  <c r="AE495" i="3"/>
  <c r="AE205" i="3"/>
  <c r="AE787" i="3" s="1"/>
  <c r="AE1015" i="3"/>
  <c r="AE115" i="3"/>
  <c r="AE435" i="3"/>
  <c r="AE1156" i="3"/>
  <c r="AE1053" i="3"/>
  <c r="AE261" i="3"/>
  <c r="AE90" i="3"/>
  <c r="AE664" i="3"/>
  <c r="AE496" i="3"/>
  <c r="AE854" i="3"/>
  <c r="AE705" i="3"/>
  <c r="AE542" i="3"/>
  <c r="AE1027" i="3"/>
  <c r="AE189" i="3"/>
  <c r="AE43" i="3"/>
  <c r="AE1030" i="3"/>
  <c r="AE883" i="3"/>
  <c r="AE870" i="3"/>
  <c r="AE611" i="3"/>
  <c r="AE607" i="3"/>
  <c r="AE689" i="3"/>
  <c r="AE1147" i="3"/>
  <c r="AE1004" i="3"/>
  <c r="AE901" i="3"/>
  <c r="AE34" i="3"/>
  <c r="AE1155" i="3"/>
  <c r="AE441" i="3"/>
  <c r="AE214" i="3"/>
  <c r="AE815" i="3"/>
  <c r="AE1160" i="3"/>
  <c r="AE446" i="3"/>
  <c r="AE126" i="3"/>
  <c r="AE715" i="3"/>
  <c r="AE974" i="3"/>
  <c r="AE470" i="3"/>
  <c r="AE223" i="3"/>
  <c r="AE999" i="3"/>
  <c r="AE838" i="3"/>
  <c r="AE669" i="3"/>
  <c r="AE522" i="3"/>
  <c r="AE1010" i="3"/>
  <c r="AE164" i="3"/>
  <c r="AE18" i="3"/>
  <c r="AE1102" i="3"/>
  <c r="AE1029" i="3"/>
  <c r="AE196" i="3"/>
  <c r="AE47" i="3"/>
  <c r="AE606" i="3"/>
  <c r="AE455" i="3"/>
  <c r="AE411" i="3"/>
  <c r="AE1181" i="3"/>
  <c r="AE855" i="3"/>
  <c r="AE1189" i="3"/>
  <c r="AE72" i="3"/>
  <c r="AE1070" i="3"/>
  <c r="AE995" i="3"/>
  <c r="AE146" i="3"/>
  <c r="AE207" i="3"/>
  <c r="AE566" i="3"/>
  <c r="AE415" i="3"/>
  <c r="AE956" i="3"/>
  <c r="AE739" i="3"/>
  <c r="AE591" i="3"/>
  <c r="AE440" i="3"/>
  <c r="AE961" i="3"/>
  <c r="AE92" i="3"/>
  <c r="AE1174" i="3"/>
  <c r="AE847" i="3"/>
  <c r="AE660" i="3"/>
  <c r="AE117" i="3"/>
  <c r="AE1076" i="3"/>
  <c r="AE980" i="3"/>
  <c r="AE925" i="3"/>
  <c r="AE119" i="3"/>
  <c r="AE52" i="3"/>
  <c r="AE919" i="3"/>
  <c r="AE931" i="3"/>
  <c r="AE968" i="3"/>
  <c r="AE320" i="3"/>
  <c r="AE1045" i="3"/>
  <c r="AE54" i="3"/>
  <c r="AE858" i="3"/>
  <c r="AE293" i="3"/>
  <c r="AE391" i="3"/>
  <c r="AE1059" i="3"/>
  <c r="AC1209" i="3"/>
  <c r="AC1239" i="3" s="1"/>
  <c r="AC889" i="3"/>
  <c r="AC782" i="3"/>
  <c r="AC363" i="3"/>
  <c r="AB802" i="3"/>
  <c r="AB784" i="3"/>
  <c r="AB805" i="3" s="1"/>
  <c r="AB892" i="3" s="1"/>
  <c r="AB1220" i="3" s="1"/>
  <c r="AC203" i="3"/>
  <c r="AB1214" i="3"/>
  <c r="Y1244" i="3"/>
  <c r="Y1241" i="3"/>
  <c r="AC1210" i="3"/>
  <c r="AC1240" i="3" s="1"/>
  <c r="AC636" i="3"/>
  <c r="AG9" i="3"/>
  <c r="AC509" i="3"/>
  <c r="E55" i="1"/>
  <c r="F55" i="1"/>
  <c r="B55" i="1" s="1"/>
  <c r="O56" i="1"/>
  <c r="AD784" i="3"/>
  <c r="AD805" i="3" s="1"/>
  <c r="AD802" i="3"/>
  <c r="AZ213" i="4"/>
  <c r="BA213" i="4" s="1"/>
  <c r="AQ213" i="4"/>
  <c r="F1148" i="3" s="1"/>
  <c r="AP261" i="4"/>
  <c r="AZ261" i="4" s="1"/>
  <c r="BA261" i="4" s="1"/>
  <c r="AM212" i="4"/>
  <c r="BA217" i="650"/>
  <c r="AZ226" i="4"/>
  <c r="BA226" i="4" s="1"/>
  <c r="AQ226" i="4"/>
  <c r="AM214" i="4"/>
  <c r="AP220" i="4"/>
  <c r="BA224" i="650"/>
  <c r="F1160" i="3"/>
  <c r="F1195" i="3"/>
  <c r="F1196" i="3" s="1"/>
  <c r="AM6" i="3"/>
  <c r="F1096" i="3"/>
  <c r="Y76" i="6"/>
  <c r="Y77" i="6" s="1"/>
  <c r="L51" i="14"/>
  <c r="J52" i="14" s="1"/>
  <c r="K51" i="14"/>
  <c r="AE230" i="3" l="1"/>
  <c r="AE1083" i="3"/>
  <c r="AE1123" i="3" s="1"/>
  <c r="AF1078" i="3"/>
  <c r="AF1084" i="3" s="1"/>
  <c r="AF1124" i="3" s="1"/>
  <c r="AF422" i="3"/>
  <c r="AE538" i="3"/>
  <c r="AE1082" i="3"/>
  <c r="AE1122" i="3" s="1"/>
  <c r="AE1078" i="3"/>
  <c r="AE1084" i="3" s="1"/>
  <c r="AE1124" i="3" s="1"/>
  <c r="AE533" i="3"/>
  <c r="AF1083" i="3"/>
  <c r="AF1123" i="3" s="1"/>
  <c r="AD1121" i="3"/>
  <c r="AD1208" i="3" s="1"/>
  <c r="AD1238" i="3" s="1"/>
  <c r="AF1082" i="3"/>
  <c r="AF1122" i="3" s="1"/>
  <c r="AE741" i="3"/>
  <c r="AF608" i="3"/>
  <c r="AF1011" i="3"/>
  <c r="AF671" i="3"/>
  <c r="AF467" i="3"/>
  <c r="AE1006" i="3"/>
  <c r="AF827" i="3"/>
  <c r="AF30" i="3"/>
  <c r="AC639" i="3"/>
  <c r="AC1219" i="3" s="1"/>
  <c r="AE593" i="3"/>
  <c r="AE568" i="3"/>
  <c r="AE666" i="3"/>
  <c r="AE548" i="3"/>
  <c r="AE799" i="3"/>
  <c r="AF427" i="3"/>
  <c r="AF593" i="3"/>
  <c r="AF741" i="3"/>
  <c r="AF686" i="3"/>
  <c r="AF844" i="3"/>
  <c r="AF1162" i="3"/>
  <c r="AF817" i="3"/>
  <c r="AF618" i="3"/>
  <c r="AF716" i="3"/>
  <c r="AF848" i="3"/>
  <c r="AF598" i="3"/>
  <c r="AF93" i="3"/>
  <c r="AF543" i="3"/>
  <c r="AF442" i="3"/>
  <c r="AE462" i="3"/>
  <c r="AE618" i="3"/>
  <c r="AF370" i="3"/>
  <c r="AE298" i="3"/>
  <c r="AE316" i="3"/>
  <c r="AD639" i="3"/>
  <c r="AD1219" i="3" s="1"/>
  <c r="AE57" i="3"/>
  <c r="AD1214" i="3"/>
  <c r="AF523" i="3"/>
  <c r="AF661" i="3"/>
  <c r="AE492" i="3"/>
  <c r="AF613" i="3"/>
  <c r="AF991" i="3"/>
  <c r="AF573" i="3"/>
  <c r="AF462" i="3"/>
  <c r="AF1001" i="3"/>
  <c r="AF884" i="3"/>
  <c r="AF583" i="3"/>
  <c r="AF230" i="3"/>
  <c r="AC1214" i="3"/>
  <c r="AF953" i="3"/>
  <c r="AF324" i="3"/>
  <c r="AF868" i="3"/>
  <c r="AE649" i="3"/>
  <c r="AE764" i="3"/>
  <c r="AE711" i="3"/>
  <c r="AF726" i="3"/>
  <c r="AF711" i="3"/>
  <c r="AF996" i="3"/>
  <c r="AF746" i="3"/>
  <c r="AF102" i="3"/>
  <c r="AF666" i="3"/>
  <c r="AF271" i="3"/>
  <c r="AF262" i="3"/>
  <c r="AF224" i="3"/>
  <c r="AF696" i="3"/>
  <c r="AE417" i="3"/>
  <c r="AE397" i="3"/>
  <c r="AE262" i="3"/>
  <c r="AE822" i="3"/>
  <c r="AE876" i="3"/>
  <c r="AF1157" i="3"/>
  <c r="AF1192" i="3"/>
  <c r="AF452" i="3"/>
  <c r="AF623" i="3"/>
  <c r="AF799" i="3"/>
  <c r="AF970" i="3"/>
  <c r="AF298" i="3"/>
  <c r="AF864" i="3"/>
  <c r="AF138" i="3"/>
  <c r="AF66" i="3"/>
  <c r="AF533" i="3"/>
  <c r="AF553" i="3"/>
  <c r="AF628" i="3"/>
  <c r="AF631" i="3" s="1"/>
  <c r="AF307" i="3"/>
  <c r="AD368" i="3"/>
  <c r="AD512" i="3" s="1"/>
  <c r="AF447" i="3"/>
  <c r="AE1178" i="3"/>
  <c r="AE852" i="3"/>
  <c r="AD892" i="3"/>
  <c r="AD1220" i="3" s="1"/>
  <c r="AE769" i="3"/>
  <c r="AE573" i="3"/>
  <c r="AE1016" i="3"/>
  <c r="AF387" i="3"/>
  <c r="AF880" i="3"/>
  <c r="AF407" i="3"/>
  <c r="AF774" i="3"/>
  <c r="AF563" i="3"/>
  <c r="AF588" i="3"/>
  <c r="AF681" i="3"/>
  <c r="AE402" i="3"/>
  <c r="AE996" i="3"/>
  <c r="AE392" i="3"/>
  <c r="AE911" i="3"/>
  <c r="AE1192" i="3"/>
  <c r="AE1167" i="3"/>
  <c r="AE696" i="3"/>
  <c r="AE271" i="3"/>
  <c r="AF165" i="3"/>
  <c r="AF721" i="3"/>
  <c r="AF1016" i="3"/>
  <c r="AF253" i="3"/>
  <c r="AF21" i="3"/>
  <c r="AF183" i="3"/>
  <c r="AF174" i="3"/>
  <c r="AF1167" i="3"/>
  <c r="AF397" i="3"/>
  <c r="AF676" i="3"/>
  <c r="AF764" i="3"/>
  <c r="AF911" i="3"/>
  <c r="AF392" i="3"/>
  <c r="AF856" i="3"/>
  <c r="AF477" i="3"/>
  <c r="AF736" i="3"/>
  <c r="AF1110" i="3"/>
  <c r="AE1185" i="3"/>
  <c r="AE472" i="3"/>
  <c r="AE553" i="3"/>
  <c r="AF701" i="3"/>
  <c r="AF437" i="3"/>
  <c r="AF215" i="3"/>
  <c r="AF371" i="3"/>
  <c r="AF634" i="3"/>
  <c r="AF750" i="3"/>
  <c r="AF402" i="3"/>
  <c r="AF633" i="3"/>
  <c r="AF749" i="3"/>
  <c r="AF792" i="3"/>
  <c r="AF794" i="3" s="1"/>
  <c r="AE872" i="3"/>
  <c r="AE437" i="3"/>
  <c r="AE921" i="3"/>
  <c r="AE1222" i="3" s="1"/>
  <c r="AF129" i="3"/>
  <c r="AF1103" i="3"/>
  <c r="AF372" i="3"/>
  <c r="AF120" i="3"/>
  <c r="AF769" i="3"/>
  <c r="AF568" i="3"/>
  <c r="AF316" i="3"/>
  <c r="AE970" i="3"/>
  <c r="AE671" i="3"/>
  <c r="AE789" i="3"/>
  <c r="AE991" i="3"/>
  <c r="AE864" i="3"/>
  <c r="AE93" i="3"/>
  <c r="AE731" i="3"/>
  <c r="AE427" i="3"/>
  <c r="AE884" i="3"/>
  <c r="AE30" i="3"/>
  <c r="AE183" i="3"/>
  <c r="AF432" i="3"/>
  <c r="AF39" i="3"/>
  <c r="AF578" i="3"/>
  <c r="AF75" i="3"/>
  <c r="AF872" i="3"/>
  <c r="AF691" i="3"/>
  <c r="AF852" i="3"/>
  <c r="AF1178" i="3"/>
  <c r="AF840" i="3"/>
  <c r="AF457" i="3"/>
  <c r="AF558" i="3"/>
  <c r="AF1185" i="3"/>
  <c r="AF472" i="3"/>
  <c r="AF48" i="3"/>
  <c r="AF325" i="3"/>
  <c r="AF365" i="3" s="1"/>
  <c r="AF147" i="3"/>
  <c r="AF831" i="3"/>
  <c r="AF779" i="3"/>
  <c r="AF412" i="3"/>
  <c r="AF538" i="3"/>
  <c r="AA1244" i="3"/>
  <c r="AC368" i="3"/>
  <c r="AC512" i="3" s="1"/>
  <c r="AE497" i="3"/>
  <c r="AE706" i="3"/>
  <c r="AE736" i="3"/>
  <c r="AE407" i="3"/>
  <c r="AE975" i="3"/>
  <c r="AE467" i="3"/>
  <c r="AE21" i="3"/>
  <c r="AE1096" i="3"/>
  <c r="AE66" i="3"/>
  <c r="AE412" i="3"/>
  <c r="AE147" i="3"/>
  <c r="AE1157" i="3"/>
  <c r="AF1096" i="3"/>
  <c r="AE583" i="3"/>
  <c r="AF1150" i="3"/>
  <c r="AF1006" i="3"/>
  <c r="AF548" i="3"/>
  <c r="AF649" i="3"/>
  <c r="AF482" i="3"/>
  <c r="AF57" i="3"/>
  <c r="AF84" i="3"/>
  <c r="AF382" i="3"/>
  <c r="AF706" i="3"/>
  <c r="AF812" i="3"/>
  <c r="AF192" i="3"/>
  <c r="AF975" i="3"/>
  <c r="AF921" i="3"/>
  <c r="AF1222" i="3" s="1"/>
  <c r="AF229" i="3"/>
  <c r="AF782" i="3" s="1"/>
  <c r="AF759" i="3"/>
  <c r="AF1202" i="3"/>
  <c r="AE750" i="3"/>
  <c r="AE326" i="3"/>
  <c r="AE371" i="3"/>
  <c r="AF326" i="3"/>
  <c r="AF656" i="3"/>
  <c r="AF507" i="3"/>
  <c r="AF1200" i="3"/>
  <c r="AF231" i="3"/>
  <c r="AF156" i="3"/>
  <c r="AF417" i="3"/>
  <c r="AF964" i="3"/>
  <c r="AF1201" i="3"/>
  <c r="AF323" i="3"/>
  <c r="AF783" i="3" s="1"/>
  <c r="AF803" i="3" s="1"/>
  <c r="AF111" i="3"/>
  <c r="AE372" i="3"/>
  <c r="AF822" i="3"/>
  <c r="AE231" i="3"/>
  <c r="AE324" i="3"/>
  <c r="AF904" i="3"/>
  <c r="AF528" i="3"/>
  <c r="AF860" i="3"/>
  <c r="AF497" i="3"/>
  <c r="AF887" i="3"/>
  <c r="AE111" i="3"/>
  <c r="AF632" i="3"/>
  <c r="AF502" i="3"/>
  <c r="AF280" i="3"/>
  <c r="AE886" i="3"/>
  <c r="AE840" i="3"/>
  <c r="AE1162" i="3"/>
  <c r="AE325" i="3"/>
  <c r="AE365" i="3" s="1"/>
  <c r="AE289" i="3"/>
  <c r="AE280" i="3"/>
  <c r="AE1103" i="3"/>
  <c r="AF289" i="3"/>
  <c r="AE964" i="3"/>
  <c r="AE1081" i="3" s="1"/>
  <c r="AE1001" i="3"/>
  <c r="AE817" i="3"/>
  <c r="AE691" i="3"/>
  <c r="AE129" i="3"/>
  <c r="AE686" i="3"/>
  <c r="AE138" i="3"/>
  <c r="AE563" i="3"/>
  <c r="AE558" i="3"/>
  <c r="AE452" i="3"/>
  <c r="AE482" i="3"/>
  <c r="AE523" i="3"/>
  <c r="AE632" i="3"/>
  <c r="AE588" i="3"/>
  <c r="AE726" i="3"/>
  <c r="AE422" i="3"/>
  <c r="AE578" i="3"/>
  <c r="AE1150" i="3"/>
  <c r="AE307" i="3"/>
  <c r="AE953" i="3"/>
  <c r="AE528" i="3"/>
  <c r="AE502" i="3"/>
  <c r="AE387" i="3"/>
  <c r="AE603" i="3"/>
  <c r="AF501" i="3"/>
  <c r="AC784" i="3"/>
  <c r="AC805" i="3" s="1"/>
  <c r="AC892" i="3" s="1"/>
  <c r="AC1220" i="3" s="1"/>
  <c r="AC802" i="3"/>
  <c r="AE759" i="3"/>
  <c r="AE447" i="3"/>
  <c r="AE1139" i="3"/>
  <c r="AE1199" i="3"/>
  <c r="AF830" i="3"/>
  <c r="AF1199" i="3"/>
  <c r="AF244" i="3"/>
  <c r="AF506" i="3"/>
  <c r="AG8" i="3"/>
  <c r="AG1" i="3" s="1"/>
  <c r="AE856" i="3"/>
  <c r="AE716" i="3"/>
  <c r="AE779" i="3"/>
  <c r="AE192" i="3"/>
  <c r="AE253" i="3"/>
  <c r="AE1202" i="3"/>
  <c r="AE1143" i="3"/>
  <c r="AE543" i="3"/>
  <c r="AE1110" i="3"/>
  <c r="AE1011" i="3"/>
  <c r="AE48" i="3"/>
  <c r="AF503" i="3"/>
  <c r="AE1201" i="3"/>
  <c r="AF789" i="3"/>
  <c r="AE323" i="3"/>
  <c r="AE783" i="3" s="1"/>
  <c r="AE803" i="3" s="1"/>
  <c r="AE860" i="3"/>
  <c r="AE613" i="3"/>
  <c r="AE598" i="3"/>
  <c r="AE165" i="3"/>
  <c r="AE1135" i="3"/>
  <c r="AE1200" i="3"/>
  <c r="AF1135" i="3"/>
  <c r="AF886" i="3"/>
  <c r="AE370" i="3"/>
  <c r="AE457" i="3"/>
  <c r="AE39" i="3"/>
  <c r="AE120" i="3"/>
  <c r="AE477" i="3"/>
  <c r="AE661" i="3"/>
  <c r="AE75" i="3"/>
  <c r="AE774" i="3"/>
  <c r="AE827" i="3"/>
  <c r="AE382" i="3"/>
  <c r="AE501" i="3"/>
  <c r="AE503" i="3"/>
  <c r="AE749" i="3"/>
  <c r="AE656" i="3"/>
  <c r="AE102" i="3"/>
  <c r="AE432" i="3"/>
  <c r="AE831" i="3"/>
  <c r="AE830" i="3"/>
  <c r="AE812" i="3"/>
  <c r="AE681" i="3"/>
  <c r="AE746" i="3"/>
  <c r="AE844" i="3"/>
  <c r="AE215" i="3"/>
  <c r="AE229" i="3"/>
  <c r="AE782" i="3" s="1"/>
  <c r="AE792" i="3"/>
  <c r="AE794" i="3" s="1"/>
  <c r="AE506" i="3"/>
  <c r="AE507" i="3"/>
  <c r="AE887" i="3"/>
  <c r="AE676" i="3"/>
  <c r="AE848" i="3"/>
  <c r="AF492" i="3"/>
  <c r="AE442" i="3"/>
  <c r="AE608" i="3"/>
  <c r="AE634" i="3"/>
  <c r="AE701" i="3"/>
  <c r="AE224" i="3"/>
  <c r="AE868" i="3"/>
  <c r="AE904" i="3"/>
  <c r="AE174" i="3"/>
  <c r="AE244" i="3"/>
  <c r="AE84" i="3"/>
  <c r="AE156" i="3"/>
  <c r="AE623" i="3"/>
  <c r="AE628" i="3"/>
  <c r="AE631" i="3" s="1"/>
  <c r="AE633" i="3"/>
  <c r="AF603" i="3"/>
  <c r="AB923" i="3"/>
  <c r="G54" i="5"/>
  <c r="AA54" i="5" s="1"/>
  <c r="E56" i="1"/>
  <c r="F56" i="1"/>
  <c r="B56" i="1" s="1"/>
  <c r="O57" i="1"/>
  <c r="AQ261" i="4"/>
  <c r="AP219" i="4"/>
  <c r="AQ219" i="4" s="1"/>
  <c r="AP212" i="4"/>
  <c r="AP221" i="4"/>
  <c r="AQ221" i="4" s="1"/>
  <c r="AP214" i="4"/>
  <c r="AQ220" i="4"/>
  <c r="AZ220" i="4"/>
  <c r="BA220" i="4" s="1"/>
  <c r="F1161" i="3"/>
  <c r="F1162" i="3" s="1"/>
  <c r="AN6" i="3"/>
  <c r="L52" i="14"/>
  <c r="J53" i="14" s="1"/>
  <c r="Y78" i="6"/>
  <c r="Y79" i="6" s="1"/>
  <c r="W77" i="6"/>
  <c r="AB77" i="6" s="1"/>
  <c r="AE364" i="3" l="1"/>
  <c r="AF802" i="3"/>
  <c r="AF1081" i="3"/>
  <c r="AF1085" i="3" s="1"/>
  <c r="AF1127" i="3" s="1"/>
  <c r="AE1085" i="3"/>
  <c r="AE1127" i="3" s="1"/>
  <c r="AF913" i="3"/>
  <c r="AE913" i="3"/>
  <c r="AF1209" i="3"/>
  <c r="AF1239" i="3" s="1"/>
  <c r="AF364" i="3"/>
  <c r="AF833" i="3"/>
  <c r="AD923" i="3"/>
  <c r="AD1223" i="3" s="1"/>
  <c r="AD1227" i="3" s="1"/>
  <c r="AD1229" i="3" s="1"/>
  <c r="AD1234" i="3" s="1"/>
  <c r="AE802" i="3"/>
  <c r="AF636" i="3"/>
  <c r="AF1018" i="3"/>
  <c r="AF232" i="3"/>
  <c r="AF784" i="3"/>
  <c r="AF805" i="3" s="1"/>
  <c r="AF1210" i="3"/>
  <c r="AF1240" i="3" s="1"/>
  <c r="AF889" i="3"/>
  <c r="AE1210" i="3"/>
  <c r="AE1240" i="3" s="1"/>
  <c r="AF1205" i="3"/>
  <c r="AF752" i="3"/>
  <c r="AF363" i="3"/>
  <c r="AF327" i="3"/>
  <c r="AF366" i="3"/>
  <c r="AF509" i="3"/>
  <c r="AF1211" i="3"/>
  <c r="AF203" i="3"/>
  <c r="AE636" i="3"/>
  <c r="AE1209" i="3"/>
  <c r="AE1239" i="3" s="1"/>
  <c r="AE366" i="3"/>
  <c r="AE635" i="3"/>
  <c r="AE1211" i="3"/>
  <c r="AE1205" i="3"/>
  <c r="AF635" i="3"/>
  <c r="AI8" i="3"/>
  <c r="AI1" i="3" s="1"/>
  <c r="AI855" i="3" s="1"/>
  <c r="AE327" i="3"/>
  <c r="AE833" i="3"/>
  <c r="AE1018" i="3"/>
  <c r="AE784" i="3"/>
  <c r="AE805" i="3" s="1"/>
  <c r="AB1223" i="3"/>
  <c r="AB1227" i="3" s="1"/>
  <c r="AB1229" i="3" s="1"/>
  <c r="AB1234" i="3" s="1"/>
  <c r="AB933" i="3"/>
  <c r="AB936" i="3" s="1"/>
  <c r="AB939" i="3" s="1"/>
  <c r="AE203" i="3"/>
  <c r="AE232" i="3"/>
  <c r="AH8" i="3"/>
  <c r="AH1" i="3" s="1"/>
  <c r="AE889" i="3"/>
  <c r="AG797" i="3"/>
  <c r="AG719" i="3"/>
  <c r="AG1106" i="3"/>
  <c r="AG1182" i="3"/>
  <c r="AG1027" i="3"/>
  <c r="AG778" i="3"/>
  <c r="AG1190" i="3"/>
  <c r="AG974" i="3"/>
  <c r="AG1108" i="3"/>
  <c r="AG968" i="3"/>
  <c r="AG700" i="3"/>
  <c r="AG1058" i="3"/>
  <c r="AG1014" i="3"/>
  <c r="AG984" i="3"/>
  <c r="AG561" i="3"/>
  <c r="AG1149" i="3"/>
  <c r="AG875" i="3"/>
  <c r="AG436" i="3"/>
  <c r="AG1094" i="3"/>
  <c r="AG1156" i="3"/>
  <c r="AG768" i="3"/>
  <c r="AG1161" i="3"/>
  <c r="AG1034" i="3"/>
  <c r="AG602" i="3"/>
  <c r="AG909" i="3"/>
  <c r="AG1009" i="3"/>
  <c r="AG406" i="3"/>
  <c r="AG101" i="3"/>
  <c r="AG714" i="3"/>
  <c r="AG284" i="3"/>
  <c r="AG455" i="3"/>
  <c r="AG202" i="3"/>
  <c r="AG1183" i="3"/>
  <c r="AG491" i="3"/>
  <c r="AG505" i="3" s="1"/>
  <c r="AG153" i="3"/>
  <c r="AG566" i="3"/>
  <c r="AG685" i="3"/>
  <c r="AG239" i="3"/>
  <c r="AG54" i="3"/>
  <c r="AG689" i="3"/>
  <c r="AG173" i="3"/>
  <c r="AG331" i="3"/>
  <c r="AG411" i="3"/>
  <c r="AG537" i="3"/>
  <c r="AG72" i="3"/>
  <c r="AG1181" i="3"/>
  <c r="AG758" i="3"/>
  <c r="AG65" i="3"/>
  <c r="AG684" i="3"/>
  <c r="AG223" i="3"/>
  <c r="AG425" i="3"/>
  <c r="AG171" i="3"/>
  <c r="AG820" i="3"/>
  <c r="AG622" i="3"/>
  <c r="AG1056" i="3"/>
  <c r="AG1177" i="3"/>
  <c r="AG720" i="3"/>
  <c r="AG917" i="3"/>
  <c r="AG839" i="3"/>
  <c r="AG679" i="3"/>
  <c r="AG532" i="3"/>
  <c r="AG257" i="3"/>
  <c r="AG16" i="3"/>
  <c r="AG83" i="3"/>
  <c r="AG36" i="3"/>
  <c r="AG395" i="3"/>
  <c r="AG450" i="3"/>
  <c r="AG201" i="3"/>
  <c r="AG1015" i="3"/>
  <c r="AG288" i="3"/>
  <c r="AG1155" i="3"/>
  <c r="AG522" i="3"/>
  <c r="AG1088" i="3"/>
  <c r="AG1089" i="3" s="1"/>
  <c r="AG601" i="3"/>
  <c r="AG1188" i="3"/>
  <c r="AG983" i="3"/>
  <c r="AG842" i="3"/>
  <c r="AG981" i="3"/>
  <c r="AG536" i="3"/>
  <c r="AG191" i="3"/>
  <c r="AG137" i="3"/>
  <c r="AG485" i="3"/>
  <c r="AG487" i="3" s="1"/>
  <c r="AG572" i="3"/>
  <c r="AG715" i="3"/>
  <c r="AG1099" i="3"/>
  <c r="AG481" i="3"/>
  <c r="AG329" i="3"/>
  <c r="AG1068" i="3"/>
  <c r="AG1165" i="3"/>
  <c r="AG1035" i="3"/>
  <c r="AG266" i="3"/>
  <c r="AG1074" i="3"/>
  <c r="AG1142" i="3"/>
  <c r="AG866" i="3"/>
  <c r="AG496" i="3"/>
  <c r="AG200" i="3"/>
  <c r="AG99" i="3"/>
  <c r="AG451" i="3"/>
  <c r="AG446" i="3"/>
  <c r="AG297" i="3"/>
  <c r="AG460" i="3"/>
  <c r="AG1154" i="3"/>
  <c r="AG957" i="3"/>
  <c r="AG1065" i="3"/>
  <c r="AG1046" i="3"/>
  <c r="AG843" i="3"/>
  <c r="AG882" i="3"/>
  <c r="AG989" i="3"/>
  <c r="AG581" i="3"/>
  <c r="AG1174" i="3"/>
  <c r="AG956" i="3"/>
  <c r="AG426" i="3"/>
  <c r="AG1101" i="3"/>
  <c r="AG739" i="3"/>
  <c r="AG951" i="3"/>
  <c r="AG1033" i="3"/>
  <c r="AG621" i="3"/>
  <c r="AG950" i="3"/>
  <c r="AG903" i="3"/>
  <c r="AG456" i="3"/>
  <c r="AG1039" i="3"/>
  <c r="AG1176" i="3"/>
  <c r="AG219" i="3"/>
  <c r="AG1195" i="3"/>
  <c r="AG1196" i="3" s="1"/>
  <c r="AG1147" i="3"/>
  <c r="AG710" i="3"/>
  <c r="AG55" i="3"/>
  <c r="AG674" i="3"/>
  <c r="AG815" i="3"/>
  <c r="AG415" i="3"/>
  <c r="AG160" i="3"/>
  <c r="AG900" i="3"/>
  <c r="AG410" i="3"/>
  <c r="AG106" i="3"/>
  <c r="AG526" i="3"/>
  <c r="AG627" i="3"/>
  <c r="AG180" i="3"/>
  <c r="AG330" i="3"/>
  <c r="AG490" i="3"/>
  <c r="AG126" i="3"/>
  <c r="AG734" i="3"/>
  <c r="AG315" i="3"/>
  <c r="AG475" i="3"/>
  <c r="AG29" i="3"/>
  <c r="AG850" i="3"/>
  <c r="AG647" i="3"/>
  <c r="AG25" i="3"/>
  <c r="AG626" i="3"/>
  <c r="AG745" i="3"/>
  <c r="AG385" i="3"/>
  <c r="AG124" i="3"/>
  <c r="AG870" i="3"/>
  <c r="AG985" i="3"/>
  <c r="AG838" i="3"/>
  <c r="AG826" i="3"/>
  <c r="AG1023" i="3"/>
  <c r="AG927" i="3"/>
  <c r="AG386" i="3"/>
  <c r="AG709" i="3"/>
  <c r="AG1153" i="3"/>
  <c r="AG164" i="3"/>
  <c r="AG695" i="3"/>
  <c r="AG729" i="3"/>
  <c r="AG421" i="3"/>
  <c r="AG929" i="3"/>
  <c r="AG654" i="3"/>
  <c r="AG135" i="3"/>
  <c r="AG128" i="3"/>
  <c r="AG665" i="3"/>
  <c r="AG1047" i="3"/>
  <c r="AG907" i="3"/>
  <c r="AG1093" i="3"/>
  <c r="AG571" i="3"/>
  <c r="AG1050" i="3"/>
  <c r="AG1160" i="3"/>
  <c r="AG1059" i="3"/>
  <c r="AG959" i="3"/>
  <c r="AG277" i="3"/>
  <c r="AG871" i="3"/>
  <c r="AG430" i="3"/>
  <c r="AG655" i="3"/>
  <c r="AG20" i="3"/>
  <c r="AG744" i="3"/>
  <c r="AG43" i="3"/>
  <c r="AG189" i="3"/>
  <c r="AG286" i="3"/>
  <c r="AG311" i="3"/>
  <c r="AG607" i="3"/>
  <c r="AG416" i="3"/>
  <c r="AG660" i="3"/>
  <c r="AG816" i="3"/>
  <c r="AG1107" i="3"/>
  <c r="AG878" i="3"/>
  <c r="AG591" i="3"/>
  <c r="AG391" i="3"/>
  <c r="AG592" i="3"/>
  <c r="AG302" i="3"/>
  <c r="AG52" i="3"/>
  <c r="AG788" i="3"/>
  <c r="AG465" i="3"/>
  <c r="AG1005" i="3"/>
  <c r="AG1109" i="3"/>
  <c r="AG521" i="3"/>
  <c r="AG858" i="3"/>
  <c r="AG261" i="3"/>
  <c r="AG1138" i="3"/>
  <c r="AG855" i="3"/>
  <c r="AG879" i="3"/>
  <c r="AG1029" i="3"/>
  <c r="AG541" i="3"/>
  <c r="AG293" i="3"/>
  <c r="AG863" i="3"/>
  <c r="AG902" i="3"/>
  <c r="AG995" i="3"/>
  <c r="AG531" i="3"/>
  <c r="AG1175" i="3"/>
  <c r="AG811" i="3"/>
  <c r="AG757" i="3"/>
  <c r="AG1045" i="3"/>
  <c r="AG659" i="3"/>
  <c r="AG854" i="3"/>
  <c r="AG920" i="3"/>
  <c r="AG476" i="3"/>
  <c r="AG980" i="3"/>
  <c r="AG1148" i="3"/>
  <c r="AG612" i="3"/>
  <c r="AG212" i="3"/>
  <c r="AG616" i="3"/>
  <c r="AG735" i="3"/>
  <c r="AG320" i="3"/>
  <c r="AG110" i="3"/>
  <c r="AG982" i="3"/>
  <c r="AG248" i="3"/>
  <c r="AG56" i="3"/>
  <c r="AG461" i="3"/>
  <c r="AG587" i="3"/>
  <c r="AG133" i="3"/>
  <c r="AG793" i="3"/>
  <c r="AG243" i="3"/>
  <c r="AG79" i="3"/>
  <c r="AG694" i="3"/>
  <c r="AG252" i="3"/>
  <c r="AG435" i="3"/>
  <c r="AG182" i="3"/>
  <c r="AG931" i="3"/>
  <c r="AG552" i="3"/>
  <c r="AG178" i="3"/>
  <c r="AG586" i="3"/>
  <c r="AG705" i="3"/>
  <c r="AG275" i="3"/>
  <c r="AG74" i="3"/>
  <c r="AG883" i="3"/>
  <c r="AG973" i="3"/>
  <c r="AG1166" i="3"/>
  <c r="AG1042" i="3"/>
  <c r="AG969" i="3"/>
  <c r="AG1189" i="3"/>
  <c r="AG1057" i="3"/>
  <c r="AG851" i="3"/>
  <c r="AG576" i="3"/>
  <c r="AG63" i="3"/>
  <c r="AG187" i="3"/>
  <c r="AG547" i="3"/>
  <c r="AG670" i="3"/>
  <c r="AG763" i="3"/>
  <c r="AG1040" i="3"/>
  <c r="AG546" i="3"/>
  <c r="AG34" i="3"/>
  <c r="AG918" i="3"/>
  <c r="AG798" i="3"/>
  <c r="AG777" i="3"/>
  <c r="AG1028" i="3"/>
  <c r="AG1133" i="3"/>
  <c r="AG669" i="3"/>
  <c r="AG117" i="3"/>
  <c r="AG551" i="3"/>
  <c r="AG381" i="3"/>
  <c r="AG1010" i="3"/>
  <c r="AG596" i="3"/>
  <c r="AG88" i="3"/>
  <c r="AG81" i="3"/>
  <c r="AG155" i="3"/>
  <c r="AG699" i="3"/>
  <c r="AG847" i="3"/>
  <c r="AG979" i="3"/>
  <c r="AG1022" i="3"/>
  <c r="AG420" i="3"/>
  <c r="AG151" i="3"/>
  <c r="AG53" i="3"/>
  <c r="AG606" i="3"/>
  <c r="AG901" i="3"/>
  <c r="AG577" i="3"/>
  <c r="AG115" i="3"/>
  <c r="AG18" i="3"/>
  <c r="AG994" i="3"/>
  <c r="AG1036" i="3"/>
  <c r="AG1069" i="3"/>
  <c r="AG542" i="3"/>
  <c r="AG960" i="3"/>
  <c r="AG730" i="3"/>
  <c r="AG396" i="3"/>
  <c r="AG1146" i="3"/>
  <c r="AG1000" i="3"/>
  <c r="AG1064" i="3"/>
  <c r="AG908" i="3"/>
  <c r="AG1053" i="3"/>
  <c r="AG958" i="3"/>
  <c r="AG480" i="3"/>
  <c r="AG1075" i="3"/>
  <c r="AG846" i="3"/>
  <c r="AG380" i="3"/>
  <c r="AG910" i="3"/>
  <c r="AG1073" i="3"/>
  <c r="AG1100" i="3"/>
  <c r="AG1052" i="3"/>
  <c r="AG978" i="3"/>
  <c r="AG999" i="3"/>
  <c r="AG1170" i="3"/>
  <c r="AG1171" i="3" s="1"/>
  <c r="AG1041" i="3"/>
  <c r="AG279" i="3"/>
  <c r="AG70" i="3"/>
  <c r="AG471" i="3"/>
  <c r="AG597" i="3"/>
  <c r="AG144" i="3"/>
  <c r="AG205" i="3"/>
  <c r="AG787" i="3" s="1"/>
  <c r="AG306" i="3"/>
  <c r="AG90" i="3"/>
  <c r="AG704" i="3"/>
  <c r="AG270" i="3"/>
  <c r="AG445" i="3"/>
  <c r="AG196" i="3"/>
  <c r="AG1095" i="3"/>
  <c r="AG470" i="3"/>
  <c r="AG142" i="3"/>
  <c r="AG556" i="3"/>
  <c r="AG675" i="3"/>
  <c r="AG214" i="3"/>
  <c r="AG45" i="3"/>
  <c r="AG821" i="3"/>
  <c r="AG210" i="3"/>
  <c r="AG38" i="3"/>
  <c r="AG441" i="3"/>
  <c r="AG567" i="3"/>
  <c r="AG108" i="3"/>
  <c r="AG1030" i="3"/>
  <c r="AG925" i="3"/>
  <c r="AG859" i="3"/>
  <c r="AG440" i="3"/>
  <c r="AG810" i="3"/>
  <c r="AG611" i="3"/>
  <c r="AG767" i="3"/>
  <c r="AG874" i="3"/>
  <c r="AG919" i="3"/>
  <c r="AG466" i="3"/>
  <c r="AG1191" i="3"/>
  <c r="AG867" i="3"/>
  <c r="AG1070" i="3"/>
  <c r="AG680" i="3"/>
  <c r="AG1024" i="3"/>
  <c r="AG1004" i="3"/>
  <c r="AG562" i="3"/>
  <c r="AG825" i="3"/>
  <c r="AG862" i="3"/>
  <c r="AG400" i="3"/>
  <c r="AG961" i="3"/>
  <c r="AG1092" i="3"/>
  <c r="AG1134" i="3"/>
  <c r="AG1076" i="3"/>
  <c r="AG772" i="3"/>
  <c r="AG197" i="3"/>
  <c r="AG27" i="3"/>
  <c r="AG431" i="3"/>
  <c r="AG557" i="3"/>
  <c r="AG97" i="3"/>
  <c r="AG1062" i="3"/>
  <c r="AG690" i="3"/>
  <c r="AG47" i="3"/>
  <c r="AG664" i="3"/>
  <c r="AG773" i="3"/>
  <c r="AG405" i="3"/>
  <c r="AG146" i="3"/>
  <c r="AG1184" i="3"/>
  <c r="AG390" i="3"/>
  <c r="AG92" i="3"/>
  <c r="AG495" i="3"/>
  <c r="AG617" i="3"/>
  <c r="AG169" i="3"/>
  <c r="AG206" i="3"/>
  <c r="AG646" i="3"/>
  <c r="AG162" i="3"/>
  <c r="AG207" i="3"/>
  <c r="AG401" i="3"/>
  <c r="AG527" i="3"/>
  <c r="AG61" i="3"/>
  <c r="AG1051" i="3"/>
  <c r="AG986" i="3"/>
  <c r="AG962" i="3"/>
  <c r="AG1102" i="3"/>
  <c r="AG321" i="3"/>
  <c r="AG740" i="3"/>
  <c r="AG582" i="3"/>
  <c r="AG990" i="3"/>
  <c r="AG762" i="3"/>
  <c r="AG1063" i="3"/>
  <c r="AG725" i="3"/>
  <c r="AG221" i="3"/>
  <c r="AG119" i="3"/>
  <c r="AG724" i="3"/>
  <c r="AE363" i="3"/>
  <c r="AH9" i="3"/>
  <c r="AC923" i="3"/>
  <c r="AE509" i="3"/>
  <c r="AE1121" i="3"/>
  <c r="AE1208" i="3" s="1"/>
  <c r="AE1238" i="3" s="1"/>
  <c r="AE752" i="3"/>
  <c r="G65" i="5"/>
  <c r="AA65" i="5" s="1"/>
  <c r="F57" i="1"/>
  <c r="E57" i="1"/>
  <c r="O58" i="1"/>
  <c r="AZ219" i="4"/>
  <c r="BA219" i="4" s="1"/>
  <c r="AQ212" i="4"/>
  <c r="F1147" i="3" s="1"/>
  <c r="AZ212" i="4"/>
  <c r="BA212" i="4" s="1"/>
  <c r="AZ221" i="4"/>
  <c r="BA221" i="4" s="1"/>
  <c r="AZ214" i="4"/>
  <c r="BA214" i="4" s="1"/>
  <c r="AQ214" i="4"/>
  <c r="F1149" i="3" s="1"/>
  <c r="F1154" i="3"/>
  <c r="F1156" i="3"/>
  <c r="F1155" i="3"/>
  <c r="AO6" i="3"/>
  <c r="K53" i="14"/>
  <c r="L53" i="14"/>
  <c r="J54" i="14" s="1"/>
  <c r="AN236" i="4"/>
  <c r="Y80" i="6"/>
  <c r="Y81" i="6" s="1"/>
  <c r="K52" i="14"/>
  <c r="B57" i="1" l="1"/>
  <c r="AI9" i="3" s="1"/>
  <c r="R842" i="3"/>
  <c r="AG482" i="3"/>
  <c r="AG1078" i="3"/>
  <c r="AG1084" i="3" s="1"/>
  <c r="AG1124" i="3" s="1"/>
  <c r="AG1083" i="3"/>
  <c r="AG1123" i="3" s="1"/>
  <c r="AG1082" i="3"/>
  <c r="AG1122" i="3" s="1"/>
  <c r="AG1006" i="3"/>
  <c r="AF1121" i="3"/>
  <c r="AF1208" i="3" s="1"/>
  <c r="AF1238" i="3" s="1"/>
  <c r="AG298" i="3"/>
  <c r="AG864" i="3"/>
  <c r="AG827" i="3"/>
  <c r="AG706" i="3"/>
  <c r="AG324" i="3"/>
  <c r="AI990" i="3"/>
  <c r="AE639" i="3"/>
  <c r="AE1219" i="3" s="1"/>
  <c r="AI920" i="3"/>
  <c r="AI846" i="3"/>
  <c r="AI1004" i="3"/>
  <c r="AG533" i="3"/>
  <c r="AG1162" i="3"/>
  <c r="AI607" i="3"/>
  <c r="AI1188" i="3"/>
  <c r="AI859" i="3"/>
  <c r="AI1062" i="3"/>
  <c r="AD933" i="3"/>
  <c r="AD936" i="3" s="1"/>
  <c r="AD939" i="3" s="1"/>
  <c r="AF368" i="3"/>
  <c r="AF512" i="3" s="1"/>
  <c r="AF639" i="3"/>
  <c r="AF1219" i="3" s="1"/>
  <c r="AE1214" i="3"/>
  <c r="AG746" i="3"/>
  <c r="AI330" i="3"/>
  <c r="AI1108" i="3"/>
  <c r="AG975" i="3"/>
  <c r="AI302" i="3"/>
  <c r="AI768" i="3"/>
  <c r="AI270" i="3"/>
  <c r="AI968" i="3"/>
  <c r="AG147" i="3"/>
  <c r="AG848" i="3"/>
  <c r="AG422" i="3"/>
  <c r="AG598" i="3"/>
  <c r="AG711" i="3"/>
  <c r="AG1011" i="3"/>
  <c r="AF1214" i="3"/>
  <c r="AG66" i="3"/>
  <c r="AG759" i="3"/>
  <c r="AG726" i="3"/>
  <c r="AG876" i="3"/>
  <c r="AG880" i="3"/>
  <c r="AG852" i="3"/>
  <c r="AG568" i="3"/>
  <c r="AF892" i="3"/>
  <c r="AF1220" i="3" s="1"/>
  <c r="AI773" i="3"/>
  <c r="AI532" i="3"/>
  <c r="AI720" i="3"/>
  <c r="AI596" i="3"/>
  <c r="AI441" i="3"/>
  <c r="AI277" i="3"/>
  <c r="AI858" i="3"/>
  <c r="AI710" i="3"/>
  <c r="AI918" i="3"/>
  <c r="AI320" i="3"/>
  <c r="AI626" i="3"/>
  <c r="AI531" i="3"/>
  <c r="AG497" i="3"/>
  <c r="AG774" i="3"/>
  <c r="AG75" i="3"/>
  <c r="AG608" i="3"/>
  <c r="AG671" i="3"/>
  <c r="AG280" i="3"/>
  <c r="AG543" i="3"/>
  <c r="AG593" i="3"/>
  <c r="AG417" i="3"/>
  <c r="AG741" i="3"/>
  <c r="AG681" i="3"/>
  <c r="AG822" i="3"/>
  <c r="AG716" i="3"/>
  <c r="AG1016" i="3"/>
  <c r="AI155" i="3"/>
  <c r="AI878" i="3"/>
  <c r="AG1096" i="3"/>
  <c r="AG1150" i="3"/>
  <c r="AI1034" i="3"/>
  <c r="AG472" i="3"/>
  <c r="AG1001" i="3"/>
  <c r="AG538" i="3"/>
  <c r="AG970" i="3"/>
  <c r="AI969" i="3"/>
  <c r="AI647" i="3"/>
  <c r="AG183" i="3"/>
  <c r="AG964" i="3"/>
  <c r="AI958" i="3"/>
  <c r="AI601" i="3"/>
  <c r="AI847" i="3"/>
  <c r="AI1154" i="3"/>
  <c r="AI288" i="3"/>
  <c r="AI556" i="3"/>
  <c r="AI999" i="3"/>
  <c r="AI456" i="3"/>
  <c r="AI1161" i="3"/>
  <c r="AG407" i="3"/>
  <c r="AG412" i="3"/>
  <c r="AG623" i="3"/>
  <c r="AI1177" i="3"/>
  <c r="AI416" i="3"/>
  <c r="AI1052" i="3"/>
  <c r="AG102" i="3"/>
  <c r="AG129" i="3"/>
  <c r="AI53" i="3"/>
  <c r="AI45" i="3"/>
  <c r="AI541" i="3"/>
  <c r="AI734" i="3"/>
  <c r="AI1134" i="3"/>
  <c r="AI659" i="3"/>
  <c r="AI115" i="3"/>
  <c r="AG628" i="3"/>
  <c r="AG631" i="3" s="1"/>
  <c r="AG392" i="3"/>
  <c r="AG603" i="3"/>
  <c r="AG371" i="3"/>
  <c r="AG325" i="3"/>
  <c r="AG365" i="3" s="1"/>
  <c r="AG326" i="3"/>
  <c r="AI406" i="3"/>
  <c r="AG372" i="3"/>
  <c r="AI169" i="3"/>
  <c r="AI18" i="3"/>
  <c r="AI983" i="3"/>
  <c r="AI744" i="3"/>
  <c r="AI196" i="3"/>
  <c r="AI205" i="3"/>
  <c r="AI787" i="3" s="1"/>
  <c r="AI455" i="3"/>
  <c r="AI1029" i="3"/>
  <c r="AI1088" i="3"/>
  <c r="AI1089" i="3" s="1"/>
  <c r="AI739" i="3"/>
  <c r="AI591" i="3"/>
  <c r="AI1182" i="3"/>
  <c r="AI55" i="3"/>
  <c r="AI537" i="3"/>
  <c r="AI1065" i="3"/>
  <c r="AI646" i="3"/>
  <c r="AI825" i="3"/>
  <c r="AI101" i="3"/>
  <c r="AI577" i="3"/>
  <c r="AI1099" i="3"/>
  <c r="AI1068" i="3"/>
  <c r="AI1101" i="3"/>
  <c r="AI1190" i="3"/>
  <c r="AI440" i="3"/>
  <c r="AI1023" i="3"/>
  <c r="AI92" i="3"/>
  <c r="AG799" i="3"/>
  <c r="AI788" i="3"/>
  <c r="AI191" i="3"/>
  <c r="AI871" i="3"/>
  <c r="AI1039" i="3"/>
  <c r="AI951" i="3"/>
  <c r="AI1149" i="3"/>
  <c r="AI1175" i="3"/>
  <c r="AI137" i="3"/>
  <c r="AI108" i="3"/>
  <c r="AI128" i="3"/>
  <c r="AI950" i="3"/>
  <c r="AI700" i="3"/>
  <c r="AI200" i="3"/>
  <c r="AI592" i="3"/>
  <c r="AI961" i="3"/>
  <c r="AI1030" i="3"/>
  <c r="AI925" i="3"/>
  <c r="AI724" i="3"/>
  <c r="AI223" i="3"/>
  <c r="AI29" i="3"/>
  <c r="AI275" i="3"/>
  <c r="AI843" i="3"/>
  <c r="AI306" i="3"/>
  <c r="AI1010" i="3"/>
  <c r="AI1064" i="3"/>
  <c r="AI714" i="3"/>
  <c r="AI901" i="3"/>
  <c r="AI730" i="3"/>
  <c r="AI25" i="3"/>
  <c r="AI426" i="3"/>
  <c r="AI1051" i="3"/>
  <c r="AI1109" i="3"/>
  <c r="AI778" i="3"/>
  <c r="AI65" i="3"/>
  <c r="AI466" i="3"/>
  <c r="AI1075" i="3"/>
  <c r="AI1166" i="3"/>
  <c r="AI110" i="3"/>
  <c r="AI1174" i="3"/>
  <c r="AI415" i="3"/>
  <c r="AI995" i="3"/>
  <c r="AI1058" i="3"/>
  <c r="AI699" i="3"/>
  <c r="AI160" i="3"/>
  <c r="AI421" i="3"/>
  <c r="AI694" i="3"/>
  <c r="AI561" i="3"/>
  <c r="AI762" i="3"/>
  <c r="AI1063" i="3"/>
  <c r="AI982" i="3"/>
  <c r="AI1046" i="3"/>
  <c r="AI679" i="3"/>
  <c r="AI481" i="3"/>
  <c r="AI705" i="3"/>
  <c r="AI851" i="3"/>
  <c r="AI552" i="3"/>
  <c r="AI994" i="3"/>
  <c r="AI202" i="3"/>
  <c r="AI279" i="3"/>
  <c r="AI654" i="3"/>
  <c r="AI521" i="3"/>
  <c r="AI207" i="3"/>
  <c r="AI1033" i="3"/>
  <c r="AI445" i="3"/>
  <c r="AI401" i="3"/>
  <c r="AI665" i="3"/>
  <c r="AI690" i="3"/>
  <c r="AI1195" i="3"/>
  <c r="AI1196" i="3" s="1"/>
  <c r="AI386" i="3"/>
  <c r="AI1027" i="3"/>
  <c r="AI1076" i="3"/>
  <c r="AI985" i="3"/>
  <c r="AI581" i="3"/>
  <c r="AI758" i="3"/>
  <c r="AI47" i="3"/>
  <c r="AI957" i="3"/>
  <c r="AI1022" i="3"/>
  <c r="AI621" i="3"/>
  <c r="AI821" i="3"/>
  <c r="AI90" i="3"/>
  <c r="AI72" i="3"/>
  <c r="AI461" i="3"/>
  <c r="AI490" i="3"/>
  <c r="AI1094" i="3"/>
  <c r="AI1183" i="3"/>
  <c r="AI435" i="3"/>
  <c r="AI1015" i="3"/>
  <c r="AI567" i="3"/>
  <c r="AI1056" i="3"/>
  <c r="AI974" i="3"/>
  <c r="AI1095" i="3"/>
  <c r="AI446" i="3"/>
  <c r="AI395" i="3"/>
  <c r="AI984" i="3"/>
  <c r="AI863" i="3"/>
  <c r="AI239" i="3"/>
  <c r="AI385" i="3"/>
  <c r="AI536" i="3"/>
  <c r="AI1074" i="3"/>
  <c r="AI910" i="3"/>
  <c r="AI1107" i="3"/>
  <c r="AI1028" i="3"/>
  <c r="AI839" i="3"/>
  <c r="AI61" i="3"/>
  <c r="AI685" i="3"/>
  <c r="AI684" i="3"/>
  <c r="AI1000" i="3"/>
  <c r="AI879" i="3"/>
  <c r="AI162" i="3"/>
  <c r="AI571" i="3"/>
  <c r="AI1165" i="3"/>
  <c r="AI1045" i="3"/>
  <c r="AI1102" i="3"/>
  <c r="AI767" i="3"/>
  <c r="AI959" i="3"/>
  <c r="AI286" i="3"/>
  <c r="AI1069" i="3"/>
  <c r="AI1156" i="3"/>
  <c r="AI400" i="3"/>
  <c r="AI986" i="3"/>
  <c r="AI52" i="3"/>
  <c r="AI34" i="3"/>
  <c r="AI664" i="3"/>
  <c r="AI689" i="3"/>
  <c r="AI866" i="3"/>
  <c r="AI151" i="3"/>
  <c r="AI617" i="3"/>
  <c r="AI1153" i="3"/>
  <c r="AG231" i="3"/>
  <c r="AG886" i="3"/>
  <c r="AG573" i="3"/>
  <c r="AG271" i="3"/>
  <c r="AG1200" i="3"/>
  <c r="AG1135" i="3"/>
  <c r="AG696" i="3"/>
  <c r="AG253" i="3"/>
  <c r="AG831" i="3"/>
  <c r="AG817" i="3"/>
  <c r="AG1192" i="3"/>
  <c r="AG452" i="3"/>
  <c r="AG840" i="3"/>
  <c r="AG887" i="3"/>
  <c r="AG633" i="3"/>
  <c r="AI171" i="3"/>
  <c r="AI331" i="3"/>
  <c r="AI206" i="3"/>
  <c r="AI180" i="3"/>
  <c r="AI133" i="3"/>
  <c r="AI725" i="3"/>
  <c r="AI485" i="3"/>
  <c r="AI487" i="3" s="1"/>
  <c r="AI526" i="3"/>
  <c r="AI902" i="3"/>
  <c r="AI173" i="3"/>
  <c r="AI1035" i="3"/>
  <c r="AI655" i="3"/>
  <c r="AI117" i="3"/>
  <c r="AI1170" i="3"/>
  <c r="AI1171" i="3" s="1"/>
  <c r="AI757" i="3"/>
  <c r="AI284" i="3"/>
  <c r="AI929" i="3"/>
  <c r="AI522" i="3"/>
  <c r="AI1189" i="3"/>
  <c r="AI777" i="3"/>
  <c r="AI315" i="3"/>
  <c r="AI960" i="3"/>
  <c r="AI542" i="3"/>
  <c r="AI16" i="3"/>
  <c r="AI1073" i="3"/>
  <c r="AI715" i="3"/>
  <c r="AI189" i="3"/>
  <c r="AI838" i="3"/>
  <c r="AI842" i="3"/>
  <c r="AI410" i="3"/>
  <c r="AI411" i="3"/>
  <c r="AI989" i="3"/>
  <c r="AI582" i="3"/>
  <c r="AI56" i="3"/>
  <c r="AI1106" i="3"/>
  <c r="AI763" i="3"/>
  <c r="AI293" i="3"/>
  <c r="AI870" i="3"/>
  <c r="AI248" i="3"/>
  <c r="AI83" i="3"/>
  <c r="AI425" i="3"/>
  <c r="AI874" i="3"/>
  <c r="AI450" i="3"/>
  <c r="AI451" i="3"/>
  <c r="AI1024" i="3"/>
  <c r="AI622" i="3"/>
  <c r="AI106" i="3"/>
  <c r="AI1160" i="3"/>
  <c r="AI826" i="3"/>
  <c r="AI261" i="3"/>
  <c r="AI917" i="3"/>
  <c r="AG1201" i="3"/>
  <c r="AG769" i="3"/>
  <c r="AG558" i="3"/>
  <c r="AG503" i="3"/>
  <c r="AG382" i="3"/>
  <c r="AG501" i="3"/>
  <c r="AG996" i="3"/>
  <c r="AG156" i="3"/>
  <c r="AG93" i="3"/>
  <c r="AG588" i="3"/>
  <c r="AG84" i="3"/>
  <c r="AG467" i="3"/>
  <c r="AG48" i="3"/>
  <c r="AG1157" i="3"/>
  <c r="AG872" i="3"/>
  <c r="AG676" i="3"/>
  <c r="AG1167" i="3"/>
  <c r="AG397" i="3"/>
  <c r="AG427" i="3"/>
  <c r="AC1223" i="3"/>
  <c r="AC1227" i="3" s="1"/>
  <c r="AC1229" i="3" s="1"/>
  <c r="AC1234" i="3" s="1"/>
  <c r="AC933" i="3"/>
  <c r="AC936" i="3" s="1"/>
  <c r="AC939" i="3" s="1"/>
  <c r="AG779" i="3"/>
  <c r="AG477" i="3"/>
  <c r="AG1110" i="3"/>
  <c r="AG111" i="3"/>
  <c r="AG1178" i="3"/>
  <c r="AG634" i="3"/>
  <c r="AG686" i="3"/>
  <c r="AG721" i="3"/>
  <c r="AI547" i="3"/>
  <c r="AI566" i="3"/>
  <c r="AI546" i="3"/>
  <c r="AI99" i="3"/>
  <c r="AI74" i="3"/>
  <c r="AI20" i="3"/>
  <c r="AI201" i="3"/>
  <c r="AI793" i="3"/>
  <c r="AI903" i="3"/>
  <c r="AI551" i="3"/>
  <c r="AI1070" i="3"/>
  <c r="AI1148" i="3"/>
  <c r="AI719" i="3"/>
  <c r="AI329" i="3"/>
  <c r="AI908" i="3"/>
  <c r="AI475" i="3"/>
  <c r="AI187" i="3"/>
  <c r="AI1041" i="3"/>
  <c r="AI36" i="3"/>
  <c r="AI927" i="3"/>
  <c r="AI496" i="3"/>
  <c r="AI214" i="3"/>
  <c r="AI1053" i="3"/>
  <c r="AI611" i="3"/>
  <c r="AI1142" i="3"/>
  <c r="AI1143" i="3" s="1"/>
  <c r="AI797" i="3"/>
  <c r="AI380" i="3"/>
  <c r="AI1138" i="3"/>
  <c r="AI79" i="3"/>
  <c r="AI978" i="3"/>
  <c r="AI557" i="3"/>
  <c r="AI27" i="3"/>
  <c r="AI669" i="3"/>
  <c r="AI1176" i="3"/>
  <c r="AI850" i="3"/>
  <c r="AI420" i="3"/>
  <c r="AI43" i="3"/>
  <c r="AI405" i="3"/>
  <c r="AI97" i="3"/>
  <c r="AI815" i="3"/>
  <c r="AI126" i="3"/>
  <c r="AI1005" i="3"/>
  <c r="AI597" i="3"/>
  <c r="AI70" i="3"/>
  <c r="AI1133" i="3"/>
  <c r="AI709" i="3"/>
  <c r="AI212" i="3"/>
  <c r="AI882" i="3"/>
  <c r="AI460" i="3"/>
  <c r="AG402" i="3"/>
  <c r="AG442" i="3"/>
  <c r="AG215" i="3"/>
  <c r="AG792" i="3"/>
  <c r="AG794" i="3" s="1"/>
  <c r="AG229" i="3"/>
  <c r="AG782" i="3" s="1"/>
  <c r="AG120" i="3"/>
  <c r="AG507" i="3"/>
  <c r="AG506" i="3"/>
  <c r="AG138" i="3"/>
  <c r="AG856" i="3"/>
  <c r="AG307" i="3"/>
  <c r="AG750" i="3"/>
  <c r="AG736" i="3"/>
  <c r="AG583" i="3"/>
  <c r="AG868" i="3"/>
  <c r="AG21" i="3"/>
  <c r="AG691" i="3"/>
  <c r="AG613" i="3"/>
  <c r="AG323" i="3"/>
  <c r="AG783" i="3" s="1"/>
  <c r="AG803" i="3" s="1"/>
  <c r="AG789" i="3"/>
  <c r="AG192" i="3"/>
  <c r="AG1139" i="3"/>
  <c r="AG1199" i="3"/>
  <c r="AG656" i="3"/>
  <c r="AG749" i="3"/>
  <c r="AG387" i="3"/>
  <c r="AG502" i="3"/>
  <c r="AE368" i="3"/>
  <c r="AE512" i="3" s="1"/>
  <c r="AI973" i="3"/>
  <c r="AI527" i="3"/>
  <c r="AI772" i="3"/>
  <c r="AI381" i="3"/>
  <c r="AI297" i="3"/>
  <c r="AI144" i="3"/>
  <c r="AI119" i="3"/>
  <c r="AI135" i="3"/>
  <c r="AI704" i="3"/>
  <c r="AI1155" i="3"/>
  <c r="AI729" i="3"/>
  <c r="AI252" i="3"/>
  <c r="AI909" i="3"/>
  <c r="AI480" i="3"/>
  <c r="AI197" i="3"/>
  <c r="AI1047" i="3"/>
  <c r="AI675" i="3"/>
  <c r="AI142" i="3"/>
  <c r="AI1184" i="3"/>
  <c r="AI257" i="3"/>
  <c r="AI1059" i="3"/>
  <c r="AI695" i="3"/>
  <c r="AI164" i="3"/>
  <c r="AI810" i="3"/>
  <c r="AI390" i="3"/>
  <c r="AI391" i="3"/>
  <c r="AI979" i="3"/>
  <c r="AI562" i="3"/>
  <c r="AI1042" i="3"/>
  <c r="AI38" i="3"/>
  <c r="AI1092" i="3"/>
  <c r="AI735" i="3"/>
  <c r="AI221" i="3"/>
  <c r="AI854" i="3"/>
  <c r="AI856" i="3" s="1"/>
  <c r="AI430" i="3"/>
  <c r="AI431" i="3"/>
  <c r="AI1009" i="3"/>
  <c r="AI602" i="3"/>
  <c r="AI182" i="3"/>
  <c r="AI587" i="3"/>
  <c r="AI54" i="3"/>
  <c r="AI1100" i="3"/>
  <c r="AI81" i="3"/>
  <c r="AI1146" i="3"/>
  <c r="AI798" i="3"/>
  <c r="AI219" i="3"/>
  <c r="AI900" i="3"/>
  <c r="AI470" i="3"/>
  <c r="AI471" i="3"/>
  <c r="AI1036" i="3"/>
  <c r="AI660" i="3"/>
  <c r="AG370" i="3"/>
  <c r="AG764" i="3"/>
  <c r="AG174" i="3"/>
  <c r="AG553" i="3"/>
  <c r="AG39" i="3"/>
  <c r="AG578" i="3"/>
  <c r="AG618" i="3"/>
  <c r="AG661" i="3"/>
  <c r="AG860" i="3"/>
  <c r="AG432" i="3"/>
  <c r="AG904" i="3"/>
  <c r="AG991" i="3"/>
  <c r="AG462" i="3"/>
  <c r="AG1202" i="3"/>
  <c r="AG1143" i="3"/>
  <c r="AG1103" i="3"/>
  <c r="AG844" i="3"/>
  <c r="AG262" i="3"/>
  <c r="AG457" i="3"/>
  <c r="AG563" i="3"/>
  <c r="AB1241" i="3"/>
  <c r="AB1244" i="3"/>
  <c r="AG528" i="3"/>
  <c r="AG921" i="3"/>
  <c r="AG1222" i="3" s="1"/>
  <c r="AG649" i="3"/>
  <c r="AG812" i="3"/>
  <c r="AG830" i="3"/>
  <c r="AG57" i="3"/>
  <c r="AG953" i="3"/>
  <c r="AI88" i="3"/>
  <c r="AI956" i="3"/>
  <c r="AI1057" i="3"/>
  <c r="AI627" i="3"/>
  <c r="AI606" i="3"/>
  <c r="AI586" i="3"/>
  <c r="AI146" i="3"/>
  <c r="AI124" i="3"/>
  <c r="AI210" i="3"/>
  <c r="AI465" i="3"/>
  <c r="AI919" i="3"/>
  <c r="AI491" i="3"/>
  <c r="AI505" i="3" s="1"/>
  <c r="AI495" i="3"/>
  <c r="AI1050" i="3"/>
  <c r="AI680" i="3"/>
  <c r="AI153" i="3"/>
  <c r="AI1191" i="3"/>
  <c r="AI867" i="3"/>
  <c r="AI321" i="3"/>
  <c r="AI962" i="3"/>
  <c r="AI178" i="3"/>
  <c r="AI820" i="3"/>
  <c r="AI883" i="3"/>
  <c r="AI396" i="3"/>
  <c r="AI981" i="3"/>
  <c r="AI572" i="3"/>
  <c r="AI576" i="3"/>
  <c r="AI1093" i="3"/>
  <c r="AI740" i="3"/>
  <c r="AI745" i="3"/>
  <c r="AI266" i="3"/>
  <c r="AI862" i="3"/>
  <c r="AI931" i="3"/>
  <c r="AI436" i="3"/>
  <c r="AI1014" i="3"/>
  <c r="AI612" i="3"/>
  <c r="AI616" i="3"/>
  <c r="AI1147" i="3"/>
  <c r="AI811" i="3"/>
  <c r="AI63" i="3"/>
  <c r="AI875" i="3"/>
  <c r="AI311" i="3"/>
  <c r="AI816" i="3"/>
  <c r="AI243" i="3"/>
  <c r="AI907" i="3"/>
  <c r="AI980" i="3"/>
  <c r="AI476" i="3"/>
  <c r="AI1040" i="3"/>
  <c r="AI670" i="3"/>
  <c r="AI674" i="3"/>
  <c r="AI1181" i="3"/>
  <c r="AG666" i="3"/>
  <c r="AG447" i="3"/>
  <c r="AG701" i="3"/>
  <c r="AG548" i="3"/>
  <c r="AG437" i="3"/>
  <c r="AG230" i="3"/>
  <c r="AG523" i="3"/>
  <c r="AG632" i="3"/>
  <c r="AG316" i="3"/>
  <c r="AG911" i="3"/>
  <c r="AG731" i="3"/>
  <c r="AG30" i="3"/>
  <c r="AG492" i="3"/>
  <c r="AG165" i="3"/>
  <c r="AG224" i="3"/>
  <c r="AG884" i="3"/>
  <c r="AG1185" i="3"/>
  <c r="AG244" i="3"/>
  <c r="AG289" i="3"/>
  <c r="AH1108" i="3"/>
  <c r="AH115" i="3"/>
  <c r="AH572" i="3"/>
  <c r="AH627" i="3"/>
  <c r="AH1028" i="3"/>
  <c r="AH495" i="3"/>
  <c r="AH763" i="3"/>
  <c r="AH1102" i="3"/>
  <c r="AH1155" i="3"/>
  <c r="AH151" i="3"/>
  <c r="AH879" i="3"/>
  <c r="AH567" i="3"/>
  <c r="AH981" i="3"/>
  <c r="AH1024" i="3"/>
  <c r="AH571" i="3"/>
  <c r="AH951" i="3"/>
  <c r="AH1100" i="3"/>
  <c r="AH699" i="3"/>
  <c r="AH284" i="3"/>
  <c r="AH979" i="3"/>
  <c r="AH490" i="3"/>
  <c r="AH871" i="3"/>
  <c r="AH931" i="3"/>
  <c r="AH38" i="3"/>
  <c r="AH187" i="3"/>
  <c r="AH1033" i="3"/>
  <c r="AH164" i="3"/>
  <c r="AH999" i="3"/>
  <c r="AH201" i="3"/>
  <c r="AH1133" i="3"/>
  <c r="AH1182" i="3"/>
  <c r="AH200" i="3"/>
  <c r="AH647" i="3"/>
  <c r="AH902" i="3"/>
  <c r="AH416" i="3"/>
  <c r="AH206" i="3"/>
  <c r="AH257" i="3"/>
  <c r="AH329" i="3"/>
  <c r="AH133" i="3"/>
  <c r="AH740" i="3"/>
  <c r="AH207" i="3"/>
  <c r="AH1160" i="3"/>
  <c r="AH772" i="3"/>
  <c r="AH566" i="3"/>
  <c r="AH415" i="3"/>
  <c r="AH927" i="3"/>
  <c r="AH110" i="3"/>
  <c r="AH562" i="3"/>
  <c r="AH101" i="3"/>
  <c r="AH704" i="3"/>
  <c r="AH986" i="3"/>
  <c r="AH155" i="3"/>
  <c r="AH1014" i="3"/>
  <c r="AH982" i="3"/>
  <c r="AH391" i="3"/>
  <c r="AH1009" i="3"/>
  <c r="AH980" i="3"/>
  <c r="AH311" i="3"/>
  <c r="AH910" i="3"/>
  <c r="AH302" i="3"/>
  <c r="AH475" i="3"/>
  <c r="AH162" i="3"/>
  <c r="AH1052" i="3"/>
  <c r="AH1156" i="3"/>
  <c r="AH1069" i="3"/>
  <c r="AH189" i="3"/>
  <c r="AH720" i="3"/>
  <c r="AH92" i="3"/>
  <c r="AH160" i="3"/>
  <c r="AH744" i="3"/>
  <c r="AH425" i="3"/>
  <c r="AH426" i="3"/>
  <c r="AH561" i="3"/>
  <c r="AH878" i="3"/>
  <c r="AH306" i="3"/>
  <c r="AH1109" i="3"/>
  <c r="AH27" i="3"/>
  <c r="AH1064" i="3"/>
  <c r="AH72" i="3"/>
  <c r="AH153" i="3"/>
  <c r="AH917" i="3"/>
  <c r="AH248" i="3"/>
  <c r="AH1005" i="3"/>
  <c r="AH288" i="3"/>
  <c r="AH441" i="3"/>
  <c r="AH660" i="3"/>
  <c r="AH586" i="3"/>
  <c r="AH406" i="3"/>
  <c r="AH694" i="3"/>
  <c r="AH436" i="3"/>
  <c r="AH1161" i="3"/>
  <c r="AH54" i="3"/>
  <c r="AH1093" i="3"/>
  <c r="AH1063" i="3"/>
  <c r="AH178" i="3"/>
  <c r="AH960" i="3"/>
  <c r="AH601" i="3"/>
  <c r="AH606" i="3"/>
  <c r="AH602" i="3"/>
  <c r="AH223" i="3"/>
  <c r="AH862" i="3"/>
  <c r="AH990" i="3"/>
  <c r="AH106" i="3"/>
  <c r="AH390" i="3"/>
  <c r="AH445" i="3"/>
  <c r="AH870" i="3"/>
  <c r="AH252" i="3"/>
  <c r="AH577" i="3"/>
  <c r="AH762" i="3"/>
  <c r="AH142" i="3"/>
  <c r="AH680" i="3"/>
  <c r="AH385" i="3"/>
  <c r="AH810" i="3"/>
  <c r="AH866" i="3"/>
  <c r="AH386" i="3"/>
  <c r="AH730" i="3"/>
  <c r="AH983" i="3"/>
  <c r="AH521" i="3"/>
  <c r="AH18" i="3"/>
  <c r="AH797" i="3"/>
  <c r="AH243" i="3"/>
  <c r="AH670" i="3"/>
  <c r="AH725" i="3"/>
  <c r="AH1076" i="3"/>
  <c r="AH596" i="3"/>
  <c r="AH875" i="3"/>
  <c r="AH1190" i="3"/>
  <c r="AH1062" i="3"/>
  <c r="AH646" i="3"/>
  <c r="AH995" i="3"/>
  <c r="AH1039" i="3"/>
  <c r="AH182" i="3"/>
  <c r="AH450" i="3"/>
  <c r="AH1138" i="3"/>
  <c r="AH126" i="3"/>
  <c r="AH679" i="3"/>
  <c r="AH1004" i="3"/>
  <c r="AH45" i="3"/>
  <c r="AH480" i="3"/>
  <c r="AH957" i="3"/>
  <c r="AH907" i="3"/>
  <c r="AH401" i="3"/>
  <c r="AH83" i="3"/>
  <c r="AH581" i="3"/>
  <c r="AH622" i="3"/>
  <c r="AH958" i="3"/>
  <c r="AH724" i="3"/>
  <c r="AH52" i="3"/>
  <c r="AH270" i="3"/>
  <c r="AH821" i="3"/>
  <c r="AH63" i="3"/>
  <c r="AH1050" i="3"/>
  <c r="AH1154" i="3"/>
  <c r="AH655" i="3"/>
  <c r="AH551" i="3"/>
  <c r="AH81" i="3"/>
  <c r="AH36" i="3"/>
  <c r="AH210" i="3"/>
  <c r="AH119" i="3"/>
  <c r="AH1165" i="3"/>
  <c r="AH685" i="3"/>
  <c r="AH843" i="3"/>
  <c r="AH1023" i="3"/>
  <c r="AH719" i="3"/>
  <c r="AH197" i="3"/>
  <c r="AH863" i="3"/>
  <c r="AH420" i="3"/>
  <c r="AH854" i="3"/>
  <c r="AH778" i="3"/>
  <c r="AH97" i="3"/>
  <c r="AH850" i="3"/>
  <c r="AH773" i="3"/>
  <c r="AH920" i="3"/>
  <c r="AH705" i="3"/>
  <c r="AH709" i="3"/>
  <c r="AH214" i="3"/>
  <c r="AH1027" i="3"/>
  <c r="AH485" i="3"/>
  <c r="AH487" i="3" s="1"/>
  <c r="AH617" i="3"/>
  <c r="AH1045" i="3"/>
  <c r="AH124" i="3"/>
  <c r="AH293" i="3"/>
  <c r="AH205" i="3"/>
  <c r="AH1047" i="3"/>
  <c r="AH758" i="3"/>
  <c r="AH919" i="3"/>
  <c r="AH1095" i="3"/>
  <c r="AH286" i="3"/>
  <c r="AH1029" i="3"/>
  <c r="AH491" i="3"/>
  <c r="AH505" i="3" s="1"/>
  <c r="AH465" i="3"/>
  <c r="AH855" i="3"/>
  <c r="AH496" i="3"/>
  <c r="AH43" i="3"/>
  <c r="AH811" i="3"/>
  <c r="AH541" i="3"/>
  <c r="AH826" i="3"/>
  <c r="AH1149" i="3"/>
  <c r="AH1195" i="3"/>
  <c r="AH1196" i="3" s="1"/>
  <c r="AH180" i="3"/>
  <c r="AH1099" i="3"/>
  <c r="AH146" i="3"/>
  <c r="AH395" i="3"/>
  <c r="AH576" i="3"/>
  <c r="AH859" i="3"/>
  <c r="AH1176" i="3"/>
  <c r="AH1147" i="3"/>
  <c r="AH729" i="3"/>
  <c r="AH1053" i="3"/>
  <c r="AH1094" i="3"/>
  <c r="AH90" i="3"/>
  <c r="AH552" i="3"/>
  <c r="AH815" i="3"/>
  <c r="AH261" i="3"/>
  <c r="AH1174" i="3"/>
  <c r="AH1051" i="3"/>
  <c r="AH25" i="3"/>
  <c r="AH470" i="3"/>
  <c r="AH547" i="3"/>
  <c r="AH962" i="3"/>
  <c r="AH411" i="3"/>
  <c r="AH675" i="3"/>
  <c r="AH1046" i="3"/>
  <c r="AH929" i="3"/>
  <c r="AH446" i="3"/>
  <c r="AH839" i="3"/>
  <c r="AH883" i="3"/>
  <c r="AH330" i="3"/>
  <c r="AH734" i="3"/>
  <c r="AH1000" i="3"/>
  <c r="AH117" i="3"/>
  <c r="AH969" i="3"/>
  <c r="AH476" i="3"/>
  <c r="AH1191" i="3"/>
  <c r="AH266" i="3"/>
  <c r="AH664" i="3"/>
  <c r="AH557" i="3"/>
  <c r="AH978" i="3"/>
  <c r="AH53" i="3"/>
  <c r="AH331" i="3"/>
  <c r="AH219" i="3"/>
  <c r="AH173" i="3"/>
  <c r="AH1035" i="3"/>
  <c r="AH297" i="3"/>
  <c r="AH1058" i="3"/>
  <c r="AH135" i="3"/>
  <c r="AH582" i="3"/>
  <c r="AH607" i="3"/>
  <c r="AH611" i="3"/>
  <c r="AH739" i="3"/>
  <c r="AH1034" i="3"/>
  <c r="AH918" i="3"/>
  <c r="AH1057" i="3"/>
  <c r="AH1030" i="3"/>
  <c r="AH16" i="3"/>
  <c r="AH1184" i="3"/>
  <c r="AH674" i="3"/>
  <c r="AH612" i="3"/>
  <c r="AH556" i="3"/>
  <c r="AH1189" i="3"/>
  <c r="AH481" i="3"/>
  <c r="AH1022" i="3"/>
  <c r="AH421" i="3"/>
  <c r="AH846" i="3"/>
  <c r="AH909" i="3"/>
  <c r="AH455" i="3"/>
  <c r="AH710" i="3"/>
  <c r="AH654" i="3"/>
  <c r="AH874" i="3"/>
  <c r="AH1107" i="3"/>
  <c r="AH1041" i="3"/>
  <c r="AH471" i="3"/>
  <c r="AH430" i="3"/>
  <c r="AH315" i="3"/>
  <c r="AH597" i="3"/>
  <c r="AH88" i="3"/>
  <c r="AH1092" i="3"/>
  <c r="AH1088" i="3"/>
  <c r="AH1089" i="3" s="1"/>
  <c r="AH842" i="3"/>
  <c r="AH381" i="3"/>
  <c r="AH882" i="3"/>
  <c r="AH1166" i="3"/>
  <c r="AH70" i="3"/>
  <c r="AH745" i="3"/>
  <c r="AH757" i="3"/>
  <c r="AH536" i="3"/>
  <c r="AH47" i="3"/>
  <c r="AH1134" i="3"/>
  <c r="AH466" i="3"/>
  <c r="AH144" i="3"/>
  <c r="AH959" i="3"/>
  <c r="AH400" i="3"/>
  <c r="AH74" i="3"/>
  <c r="AH626" i="3"/>
  <c r="AH1181" i="3"/>
  <c r="AH777" i="3"/>
  <c r="AH1148" i="3"/>
  <c r="AH137" i="3"/>
  <c r="AH592" i="3"/>
  <c r="AH858" i="3"/>
  <c r="AH321" i="3"/>
  <c r="AH29" i="3"/>
  <c r="AH191" i="3"/>
  <c r="AH1106" i="3"/>
  <c r="AH1075" i="3"/>
  <c r="AH65" i="3"/>
  <c r="AH532" i="3"/>
  <c r="AH587" i="3"/>
  <c r="AH994" i="3"/>
  <c r="AH451" i="3"/>
  <c r="AH715" i="3"/>
  <c r="AH1070" i="3"/>
  <c r="AH1101" i="3"/>
  <c r="AH527" i="3"/>
  <c r="AH950" i="3"/>
  <c r="AH989" i="3"/>
  <c r="AH531" i="3"/>
  <c r="AH901" i="3"/>
  <c r="AH1068" i="3"/>
  <c r="AH659" i="3"/>
  <c r="AH212" i="3"/>
  <c r="AH867" i="3"/>
  <c r="AH1183" i="3"/>
  <c r="AH798" i="3"/>
  <c r="AH239" i="3"/>
  <c r="AH1153" i="3"/>
  <c r="AH61" i="3"/>
  <c r="AH435" i="3"/>
  <c r="AH616" i="3"/>
  <c r="AH903" i="3"/>
  <c r="AH767" i="3"/>
  <c r="AH768" i="3"/>
  <c r="AH793" i="3"/>
  <c r="AH380" i="3"/>
  <c r="AH202" i="3"/>
  <c r="AH526" i="3"/>
  <c r="AH908" i="3"/>
  <c r="AH34" i="3"/>
  <c r="AH925" i="3"/>
  <c r="AH522" i="3"/>
  <c r="AH221" i="3"/>
  <c r="AH735" i="3"/>
  <c r="AH1146" i="3"/>
  <c r="AH108" i="3"/>
  <c r="AH196" i="3"/>
  <c r="AH1036" i="3"/>
  <c r="AH591" i="3"/>
  <c r="AH968" i="3"/>
  <c r="AH1010" i="3"/>
  <c r="AH128" i="3"/>
  <c r="AH410" i="3"/>
  <c r="AH79" i="3"/>
  <c r="AH1056" i="3"/>
  <c r="AH621" i="3"/>
  <c r="AH985" i="3"/>
  <c r="AH961" i="3"/>
  <c r="AH56" i="3"/>
  <c r="AH279" i="3"/>
  <c r="AH405" i="3"/>
  <c r="AH838" i="3"/>
  <c r="AH169" i="3"/>
  <c r="AH537" i="3"/>
  <c r="AH714" i="3"/>
  <c r="AH984" i="3"/>
  <c r="AH275" i="3"/>
  <c r="AH1170" i="3"/>
  <c r="AH1171" i="3" s="1"/>
  <c r="AH825" i="3"/>
  <c r="AH277" i="3"/>
  <c r="AH690" i="3"/>
  <c r="AH956" i="3"/>
  <c r="AH456" i="3"/>
  <c r="AH99" i="3"/>
  <c r="AH665" i="3"/>
  <c r="AH1040" i="3"/>
  <c r="AH1074" i="3"/>
  <c r="AH669" i="3"/>
  <c r="AH1015" i="3"/>
  <c r="AH1188" i="3"/>
  <c r="AH816" i="3"/>
  <c r="AH431" i="3"/>
  <c r="AH695" i="3"/>
  <c r="AH396" i="3"/>
  <c r="AH440" i="3"/>
  <c r="AH1177" i="3"/>
  <c r="AH546" i="3"/>
  <c r="AH1142" i="3"/>
  <c r="AH171" i="3"/>
  <c r="AH700" i="3"/>
  <c r="AH788" i="3"/>
  <c r="AH1073" i="3"/>
  <c r="AH684" i="3"/>
  <c r="AH461" i="3"/>
  <c r="AH320" i="3"/>
  <c r="AH847" i="3"/>
  <c r="AH20" i="3"/>
  <c r="AH460" i="3"/>
  <c r="AH851" i="3"/>
  <c r="AH973" i="3"/>
  <c r="AH1059" i="3"/>
  <c r="AH1065" i="3"/>
  <c r="AH689" i="3"/>
  <c r="AH1175" i="3"/>
  <c r="AH900" i="3"/>
  <c r="AH1042" i="3"/>
  <c r="AH55" i="3"/>
  <c r="AH974" i="3"/>
  <c r="AH820" i="3"/>
  <c r="AH542" i="3"/>
  <c r="AE892" i="3"/>
  <c r="AE1220" i="3" s="1"/>
  <c r="E58" i="1"/>
  <c r="F58" i="1"/>
  <c r="R843" i="3" s="1"/>
  <c r="R887" i="3" s="1"/>
  <c r="O59" i="1"/>
  <c r="AD1241" i="3"/>
  <c r="AD1244" i="3"/>
  <c r="F1157" i="3"/>
  <c r="AP6" i="3"/>
  <c r="AQ6" i="3" s="1"/>
  <c r="AN161" i="4"/>
  <c r="Y82" i="6"/>
  <c r="Y83" i="6" s="1"/>
  <c r="W81" i="6"/>
  <c r="AB81" i="6" s="1"/>
  <c r="AM236" i="4"/>
  <c r="AP236" i="4" s="1"/>
  <c r="AM161" i="4"/>
  <c r="AP161" i="4" s="1"/>
  <c r="AN227" i="4"/>
  <c r="K54" i="14"/>
  <c r="L54" i="14"/>
  <c r="J55" i="14" s="1"/>
  <c r="B58" i="1" l="1"/>
  <c r="R886" i="3"/>
  <c r="R889" i="3" s="1"/>
  <c r="S33" i="5" s="1"/>
  <c r="R844" i="3"/>
  <c r="AI1083" i="3"/>
  <c r="AI1123" i="3" s="1"/>
  <c r="AH779" i="3"/>
  <c r="AH1083" i="3"/>
  <c r="AH1123" i="3" s="1"/>
  <c r="AG1081" i="3"/>
  <c r="AG1121" i="3" s="1"/>
  <c r="AG1208" i="3" s="1"/>
  <c r="AG1238" i="3" s="1"/>
  <c r="AH1078" i="3"/>
  <c r="AH1084" i="3" s="1"/>
  <c r="AH1124" i="3" s="1"/>
  <c r="AI457" i="3"/>
  <c r="AI1082" i="3"/>
  <c r="AI1122" i="3" s="1"/>
  <c r="AH1082" i="3"/>
  <c r="AH1122" i="3" s="1"/>
  <c r="AI1078" i="3"/>
  <c r="AI1084" i="3" s="1"/>
  <c r="AI1124" i="3" s="1"/>
  <c r="AI852" i="3"/>
  <c r="AH1006" i="3"/>
  <c r="AI975" i="3"/>
  <c r="AH618" i="3"/>
  <c r="AI558" i="3"/>
  <c r="AI721" i="3"/>
  <c r="AH593" i="3"/>
  <c r="AH691" i="3"/>
  <c r="AG364" i="3"/>
  <c r="AI991" i="3"/>
  <c r="AI996" i="3"/>
  <c r="AH568" i="3"/>
  <c r="AI769" i="3"/>
  <c r="AI397" i="3"/>
  <c r="AI711" i="3"/>
  <c r="AI1162" i="3"/>
  <c r="AI970" i="3"/>
  <c r="AI422" i="3"/>
  <c r="AI608" i="3"/>
  <c r="AI603" i="3"/>
  <c r="AI1006" i="3"/>
  <c r="AI848" i="3"/>
  <c r="AI1167" i="3"/>
  <c r="AI953" i="3"/>
  <c r="AH563" i="3"/>
  <c r="AI799" i="3"/>
  <c r="AI860" i="3"/>
  <c r="AH462" i="3"/>
  <c r="AF923" i="3"/>
  <c r="AF933" i="3" s="1"/>
  <c r="AF936" i="3" s="1"/>
  <c r="AF939" i="3" s="1"/>
  <c r="AI588" i="3"/>
  <c r="AI412" i="3"/>
  <c r="AI628" i="3"/>
  <c r="AI631" i="3" s="1"/>
  <c r="AI548" i="3"/>
  <c r="AH548" i="3"/>
  <c r="AI774" i="3"/>
  <c r="AI864" i="3"/>
  <c r="AI156" i="3"/>
  <c r="AI224" i="3"/>
  <c r="AI840" i="3"/>
  <c r="AI1016" i="3"/>
  <c r="AI822" i="3"/>
  <c r="AI371" i="3"/>
  <c r="AI681" i="3"/>
  <c r="AI307" i="3"/>
  <c r="AI533" i="3"/>
  <c r="AH880" i="3"/>
  <c r="AH716" i="3"/>
  <c r="AH759" i="3"/>
  <c r="AI736" i="3"/>
  <c r="AH573" i="3"/>
  <c r="AH721" i="3"/>
  <c r="AI618" i="3"/>
  <c r="AI183" i="3"/>
  <c r="AI497" i="3"/>
  <c r="AH996" i="3"/>
  <c r="AH671" i="3"/>
  <c r="AH417" i="3"/>
  <c r="AI244" i="3"/>
  <c r="AI1011" i="3"/>
  <c r="AH603" i="3"/>
  <c r="AH623" i="3"/>
  <c r="AH686" i="3"/>
  <c r="AH307" i="3"/>
  <c r="AI462" i="3"/>
  <c r="AI649" i="3"/>
  <c r="AH628" i="3"/>
  <c r="AH631" i="3" s="1"/>
  <c r="AH21" i="3"/>
  <c r="AH467" i="3"/>
  <c r="AH799" i="3"/>
  <c r="AH447" i="3"/>
  <c r="AI147" i="3"/>
  <c r="AI102" i="3"/>
  <c r="AI613" i="3"/>
  <c r="AI427" i="3"/>
  <c r="AI691" i="3"/>
  <c r="AI467" i="3"/>
  <c r="AI271" i="3"/>
  <c r="AI676" i="3"/>
  <c r="AH844" i="3"/>
  <c r="AH231" i="3"/>
  <c r="AI817" i="3"/>
  <c r="AI1157" i="3"/>
  <c r="AI583" i="3"/>
  <c r="AI880" i="3"/>
  <c r="AH174" i="3"/>
  <c r="AH578" i="3"/>
  <c r="AH543" i="3"/>
  <c r="AH497" i="3"/>
  <c r="AI553" i="3"/>
  <c r="AI764" i="3"/>
  <c r="AI578" i="3"/>
  <c r="AH726" i="3"/>
  <c r="AI392" i="3"/>
  <c r="AI30" i="3"/>
  <c r="AI477" i="3"/>
  <c r="AI831" i="3"/>
  <c r="AI701" i="3"/>
  <c r="AI231" i="3"/>
  <c r="AI872" i="3"/>
  <c r="AI1103" i="3"/>
  <c r="AI789" i="3"/>
  <c r="AI1001" i="3"/>
  <c r="AI746" i="3"/>
  <c r="AG802" i="3"/>
  <c r="AI407" i="3"/>
  <c r="AI21" i="3"/>
  <c r="AI528" i="3"/>
  <c r="AI759" i="3"/>
  <c r="AI666" i="3"/>
  <c r="AI726" i="3"/>
  <c r="AI911" i="3"/>
  <c r="AI543" i="3"/>
  <c r="AI447" i="3"/>
  <c r="AH253" i="3"/>
  <c r="AI229" i="3"/>
  <c r="AI782" i="3" s="1"/>
  <c r="AI93" i="3"/>
  <c r="AI661" i="3"/>
  <c r="AI84" i="3"/>
  <c r="AI731" i="3"/>
  <c r="AI921" i="3"/>
  <c r="AI1222" i="3" s="1"/>
  <c r="AI1110" i="3"/>
  <c r="AI1192" i="3"/>
  <c r="AI387" i="3"/>
  <c r="AI523" i="3"/>
  <c r="AI482" i="3"/>
  <c r="AI280" i="3"/>
  <c r="AH711" i="3"/>
  <c r="AI129" i="3"/>
  <c r="AI324" i="3"/>
  <c r="AI442" i="3"/>
  <c r="AI402" i="3"/>
  <c r="AI417" i="3"/>
  <c r="AI1135" i="3"/>
  <c r="AI598" i="3"/>
  <c r="AI538" i="3"/>
  <c r="AH1185" i="3"/>
  <c r="AI671" i="3"/>
  <c r="AI1150" i="3"/>
  <c r="AI253" i="3"/>
  <c r="AI1178" i="3"/>
  <c r="AI452" i="3"/>
  <c r="AI779" i="3"/>
  <c r="AI868" i="3"/>
  <c r="AI165" i="3"/>
  <c r="AI437" i="3"/>
  <c r="AI372" i="3"/>
  <c r="AI696" i="3"/>
  <c r="AI111" i="3"/>
  <c r="AI593" i="3"/>
  <c r="AI827" i="3"/>
  <c r="AH533" i="3"/>
  <c r="AH538" i="3"/>
  <c r="AH1178" i="3"/>
  <c r="AH696" i="3"/>
  <c r="AH921" i="3"/>
  <c r="AH1222" i="3" s="1"/>
  <c r="AH192" i="3"/>
  <c r="AI432" i="3"/>
  <c r="AH970" i="3"/>
  <c r="AH860" i="3"/>
  <c r="AH1096" i="3"/>
  <c r="AH876" i="3"/>
  <c r="AH392" i="3"/>
  <c r="AI884" i="3"/>
  <c r="AI192" i="3"/>
  <c r="AI568" i="3"/>
  <c r="AI876" i="3"/>
  <c r="AI174" i="3"/>
  <c r="AI706" i="3"/>
  <c r="AI39" i="3"/>
  <c r="AH75" i="3"/>
  <c r="AH666" i="3"/>
  <c r="AI830" i="3"/>
  <c r="AH558" i="3"/>
  <c r="AH271" i="3"/>
  <c r="AH397" i="3"/>
  <c r="AH852" i="3"/>
  <c r="AH482" i="3"/>
  <c r="AH764" i="3"/>
  <c r="AH477" i="3"/>
  <c r="AI633" i="3"/>
  <c r="AI1096" i="3"/>
  <c r="AI48" i="3"/>
  <c r="AI750" i="3"/>
  <c r="AH452" i="3"/>
  <c r="AI138" i="3"/>
  <c r="AG366" i="3"/>
  <c r="AI656" i="3"/>
  <c r="AH827" i="3"/>
  <c r="AH437" i="3"/>
  <c r="AG1210" i="3"/>
  <c r="AG1240" i="3" s="1"/>
  <c r="AI1185" i="3"/>
  <c r="AG636" i="3"/>
  <c r="AI749" i="3"/>
  <c r="AH39" i="3"/>
  <c r="AH746" i="3"/>
  <c r="AI289" i="3"/>
  <c r="AI370" i="3"/>
  <c r="AH412" i="3"/>
  <c r="AI1199" i="3"/>
  <c r="AI1201" i="3"/>
  <c r="AI75" i="3"/>
  <c r="AI316" i="3"/>
  <c r="AI120" i="3"/>
  <c r="AI573" i="3"/>
  <c r="AI623" i="3"/>
  <c r="AI503" i="3"/>
  <c r="AI964" i="3"/>
  <c r="AG889" i="3"/>
  <c r="AI325" i="3"/>
  <c r="AI365" i="3" s="1"/>
  <c r="AI507" i="3"/>
  <c r="AI792" i="3"/>
  <c r="AI794" i="3" s="1"/>
  <c r="AI812" i="3"/>
  <c r="AI686" i="3"/>
  <c r="AI887" i="3"/>
  <c r="AG1209" i="3"/>
  <c r="AG1239" i="3" s="1"/>
  <c r="AI1200" i="3"/>
  <c r="AH372" i="3"/>
  <c r="AI634" i="3"/>
  <c r="AI501" i="3"/>
  <c r="AH633" i="3"/>
  <c r="AG1018" i="3"/>
  <c r="AI716" i="3"/>
  <c r="AG363" i="3"/>
  <c r="AI886" i="3"/>
  <c r="AI66" i="3"/>
  <c r="AI323" i="3"/>
  <c r="AI783" i="3" s="1"/>
  <c r="AI803" i="3" s="1"/>
  <c r="AI298" i="3"/>
  <c r="AI741" i="3"/>
  <c r="AI472" i="3"/>
  <c r="AI57" i="3"/>
  <c r="AI230" i="3"/>
  <c r="AI904" i="3"/>
  <c r="AH244" i="3"/>
  <c r="AH323" i="3"/>
  <c r="AH783" i="3" s="1"/>
  <c r="AH803" i="3" s="1"/>
  <c r="AH387" i="3"/>
  <c r="AH502" i="3"/>
  <c r="AG1205" i="3"/>
  <c r="AI1139" i="3"/>
  <c r="AI563" i="3"/>
  <c r="AI262" i="3"/>
  <c r="AH904" i="3"/>
  <c r="AH634" i="3"/>
  <c r="AH991" i="3"/>
  <c r="AH298" i="3"/>
  <c r="AH792" i="3"/>
  <c r="AH794" i="3" s="1"/>
  <c r="AH215" i="3"/>
  <c r="AH229" i="3"/>
  <c r="AH782" i="3" s="1"/>
  <c r="AH1011" i="3"/>
  <c r="AG752" i="3"/>
  <c r="AI632" i="3"/>
  <c r="AI502" i="3"/>
  <c r="AI506" i="3"/>
  <c r="AI326" i="3"/>
  <c r="AH1202" i="3"/>
  <c r="AH1143" i="3"/>
  <c r="AH1192" i="3"/>
  <c r="AH964" i="3"/>
  <c r="AH1081" i="3" s="1"/>
  <c r="AH769" i="3"/>
  <c r="AH953" i="3"/>
  <c r="AH402" i="3"/>
  <c r="AH93" i="3"/>
  <c r="AH656" i="3"/>
  <c r="AH749" i="3"/>
  <c r="AH736" i="3"/>
  <c r="AH817" i="3"/>
  <c r="AH129" i="3"/>
  <c r="AH911" i="3"/>
  <c r="AH1139" i="3"/>
  <c r="AH1199" i="3"/>
  <c r="AH632" i="3"/>
  <c r="AH523" i="3"/>
  <c r="AH147" i="3"/>
  <c r="AH111" i="3"/>
  <c r="AH183" i="3"/>
  <c r="AH588" i="3"/>
  <c r="AH427" i="3"/>
  <c r="AH138" i="3"/>
  <c r="AG327" i="3"/>
  <c r="AG203" i="3"/>
  <c r="AG1211" i="3"/>
  <c r="AH598" i="3"/>
  <c r="AI382" i="3"/>
  <c r="AH324" i="3"/>
  <c r="AH230" i="3"/>
  <c r="AH262" i="3"/>
  <c r="AG913" i="3"/>
  <c r="AI215" i="3"/>
  <c r="AI844" i="3"/>
  <c r="AH822" i="3"/>
  <c r="AH442" i="3"/>
  <c r="AH407" i="3"/>
  <c r="AH528" i="3"/>
  <c r="AH661" i="3"/>
  <c r="AH1110" i="3"/>
  <c r="AH884" i="3"/>
  <c r="AH432" i="3"/>
  <c r="AH741" i="3"/>
  <c r="AH887" i="3"/>
  <c r="AH472" i="3"/>
  <c r="AH48" i="3"/>
  <c r="AH102" i="3"/>
  <c r="AH750" i="3"/>
  <c r="AH371" i="3"/>
  <c r="AH1001" i="3"/>
  <c r="AG833" i="3"/>
  <c r="AE923" i="3"/>
  <c r="AG784" i="3"/>
  <c r="AG805" i="3" s="1"/>
  <c r="AJ8" i="3"/>
  <c r="AJ1" i="3" s="1"/>
  <c r="AG635" i="3"/>
  <c r="AH422" i="3"/>
  <c r="AH57" i="3"/>
  <c r="AH1200" i="3"/>
  <c r="AH1135" i="3"/>
  <c r="AH840" i="3"/>
  <c r="AH886" i="3"/>
  <c r="AH457" i="3"/>
  <c r="AH165" i="3"/>
  <c r="AI1202" i="3"/>
  <c r="AH975" i="3"/>
  <c r="AH1150" i="3"/>
  <c r="AH66" i="3"/>
  <c r="AH1201" i="3"/>
  <c r="AH506" i="3"/>
  <c r="AH507" i="3"/>
  <c r="AH676" i="3"/>
  <c r="AH613" i="3"/>
  <c r="AH224" i="3"/>
  <c r="AH30" i="3"/>
  <c r="AH1103" i="3"/>
  <c r="AH868" i="3"/>
  <c r="AH774" i="3"/>
  <c r="AH289" i="3"/>
  <c r="AH325" i="3"/>
  <c r="AH365" i="3" s="1"/>
  <c r="AG509" i="3"/>
  <c r="AH787" i="3"/>
  <c r="AH789" i="3" s="1"/>
  <c r="AH370" i="3"/>
  <c r="AH84" i="3"/>
  <c r="AH831" i="3"/>
  <c r="AH553" i="3"/>
  <c r="AH864" i="3"/>
  <c r="AH1016" i="3"/>
  <c r="AH492" i="3"/>
  <c r="AJ9" i="3"/>
  <c r="AI492" i="3"/>
  <c r="AH280" i="3"/>
  <c r="AH503" i="3"/>
  <c r="AH501" i="3"/>
  <c r="AH382" i="3"/>
  <c r="AH1157" i="3"/>
  <c r="AH848" i="3"/>
  <c r="AH731" i="3"/>
  <c r="AH856" i="3"/>
  <c r="AH1167" i="3"/>
  <c r="AH583" i="3"/>
  <c r="AH681" i="3"/>
  <c r="AH649" i="3"/>
  <c r="AH326" i="3"/>
  <c r="AH830" i="3"/>
  <c r="AH812" i="3"/>
  <c r="AH872" i="3"/>
  <c r="AH608" i="3"/>
  <c r="AH316" i="3"/>
  <c r="AH706" i="3"/>
  <c r="AH1162" i="3"/>
  <c r="AH701" i="3"/>
  <c r="AH156" i="3"/>
  <c r="AH120" i="3"/>
  <c r="AG232" i="3"/>
  <c r="AC1241" i="3"/>
  <c r="AC1244" i="3"/>
  <c r="E59" i="1"/>
  <c r="F59" i="1"/>
  <c r="B59" i="1" s="1"/>
  <c r="O60" i="1"/>
  <c r="AP211" i="4"/>
  <c r="AR6" i="3"/>
  <c r="AQ161" i="4"/>
  <c r="AZ161" i="4"/>
  <c r="BA161" i="4" s="1"/>
  <c r="AZ236" i="4"/>
  <c r="BA236" i="4" s="1"/>
  <c r="AQ236" i="4"/>
  <c r="AN208" i="4"/>
  <c r="W83" i="6"/>
  <c r="AB83" i="6" s="1"/>
  <c r="Y84" i="6"/>
  <c r="AM227" i="4"/>
  <c r="K55" i="14"/>
  <c r="L55" i="14"/>
  <c r="J56" i="14" s="1"/>
  <c r="AK9" i="3" l="1"/>
  <c r="AG1085" i="3"/>
  <c r="AG1127" i="3" s="1"/>
  <c r="AG1214" i="3" s="1"/>
  <c r="AH1085" i="3"/>
  <c r="AH1127" i="3" s="1"/>
  <c r="AI1081" i="3"/>
  <c r="AI1085" i="3" s="1"/>
  <c r="AI1127" i="3" s="1"/>
  <c r="AF1223" i="3"/>
  <c r="AF1227" i="3" s="1"/>
  <c r="AF1229" i="3" s="1"/>
  <c r="AF1234" i="3" s="1"/>
  <c r="AF1244" i="3" s="1"/>
  <c r="AH366" i="3"/>
  <c r="AI232" i="3"/>
  <c r="AH1211" i="3"/>
  <c r="AI1018" i="3"/>
  <c r="AI913" i="3"/>
  <c r="AI889" i="3"/>
  <c r="AI1205" i="3"/>
  <c r="AI364" i="3"/>
  <c r="AI833" i="3"/>
  <c r="AI1211" i="3"/>
  <c r="AI752" i="3"/>
  <c r="AI509" i="3"/>
  <c r="AI203" i="3"/>
  <c r="AG639" i="3"/>
  <c r="AG1219" i="3" s="1"/>
  <c r="AI1210" i="3"/>
  <c r="AI1240" i="3" s="1"/>
  <c r="AI327" i="3"/>
  <c r="AH784" i="3"/>
  <c r="AH805" i="3" s="1"/>
  <c r="AI1209" i="3"/>
  <c r="AI1239" i="3" s="1"/>
  <c r="AH833" i="3"/>
  <c r="AH203" i="3"/>
  <c r="AI635" i="3"/>
  <c r="AH364" i="3"/>
  <c r="AI636" i="3"/>
  <c r="AI363" i="3"/>
  <c r="AG892" i="3"/>
  <c r="AG1220" i="3" s="1"/>
  <c r="AG368" i="3"/>
  <c r="AG512" i="3" s="1"/>
  <c r="AH913" i="3"/>
  <c r="AH889" i="3"/>
  <c r="AH752" i="3"/>
  <c r="AH1210" i="3"/>
  <c r="AH1240" i="3" s="1"/>
  <c r="AE1223" i="3"/>
  <c r="AE1227" i="3" s="1"/>
  <c r="AE1229" i="3" s="1"/>
  <c r="AE1234" i="3" s="1"/>
  <c r="AE933" i="3"/>
  <c r="AE936" i="3" s="1"/>
  <c r="AE939" i="3" s="1"/>
  <c r="AH327" i="3"/>
  <c r="AJ532" i="3"/>
  <c r="AJ951" i="3"/>
  <c r="AJ47" i="3"/>
  <c r="AJ288" i="3"/>
  <c r="AJ1177" i="3"/>
  <c r="AJ386" i="3"/>
  <c r="AJ810" i="3"/>
  <c r="AJ196" i="3"/>
  <c r="AJ699" i="3"/>
  <c r="AJ1058" i="3"/>
  <c r="AJ306" i="3"/>
  <c r="AJ1184" i="3"/>
  <c r="AJ171" i="3"/>
  <c r="AJ679" i="3"/>
  <c r="AJ1046" i="3"/>
  <c r="AJ709" i="3"/>
  <c r="AJ1064" i="3"/>
  <c r="AJ607" i="3"/>
  <c r="AJ1010" i="3"/>
  <c r="AJ1068" i="3"/>
  <c r="AJ612" i="3"/>
  <c r="AJ1015" i="3"/>
  <c r="AJ137" i="3"/>
  <c r="AJ436" i="3"/>
  <c r="AJ862" i="3"/>
  <c r="AJ466" i="3"/>
  <c r="AJ900" i="3"/>
  <c r="AJ385" i="3"/>
  <c r="AJ798" i="3"/>
  <c r="AJ1000" i="3"/>
  <c r="AJ119" i="3"/>
  <c r="AJ421" i="3"/>
  <c r="AJ850" i="3"/>
  <c r="AJ266" i="3"/>
  <c r="AJ874" i="3"/>
  <c r="AJ311" i="3"/>
  <c r="AJ772" i="3"/>
  <c r="AJ1107" i="3"/>
  <c r="AJ680" i="3"/>
  <c r="AJ1047" i="3"/>
  <c r="AJ83" i="3"/>
  <c r="AJ182" i="3"/>
  <c r="AJ879" i="3"/>
  <c r="AJ1106" i="3"/>
  <c r="AJ793" i="3"/>
  <c r="AJ537" i="3"/>
  <c r="AJ391" i="3"/>
  <c r="AJ475" i="3"/>
  <c r="AJ1034" i="3"/>
  <c r="AJ45" i="3"/>
  <c r="AJ596" i="3"/>
  <c r="AJ622" i="3"/>
  <c r="AJ647" i="3"/>
  <c r="AJ1033" i="3"/>
  <c r="AJ380" i="3"/>
  <c r="AJ1161" i="3"/>
  <c r="AJ870" i="3"/>
  <c r="AJ1102" i="3"/>
  <c r="AJ705" i="3"/>
  <c r="AJ986" i="3"/>
  <c r="AJ431" i="3"/>
  <c r="AJ88" i="3"/>
  <c r="AJ654" i="3"/>
  <c r="AJ1109" i="3"/>
  <c r="AJ201" i="3"/>
  <c r="AJ546" i="3"/>
  <c r="AJ16" i="3"/>
  <c r="AJ420" i="3"/>
  <c r="AJ871" i="3"/>
  <c r="AJ875" i="3"/>
  <c r="AJ1108" i="3"/>
  <c r="AJ128" i="3"/>
  <c r="AJ1188" i="3"/>
  <c r="AJ74" i="3"/>
  <c r="AJ611" i="3"/>
  <c r="AJ931" i="3"/>
  <c r="AJ762" i="3"/>
  <c r="AJ695" i="3"/>
  <c r="AJ101" i="3"/>
  <c r="AJ763" i="3"/>
  <c r="AJ1065" i="3"/>
  <c r="AJ958" i="3"/>
  <c r="AJ465" i="3"/>
  <c r="AJ551" i="3"/>
  <c r="AJ1190" i="3"/>
  <c r="AJ1148" i="3"/>
  <c r="AJ124" i="3"/>
  <c r="AJ1040" i="3"/>
  <c r="AJ106" i="3"/>
  <c r="AJ522" i="3"/>
  <c r="AJ65" i="3"/>
  <c r="AJ496" i="3"/>
  <c r="AJ411" i="3"/>
  <c r="AJ257" i="3"/>
  <c r="AJ858" i="3"/>
  <c r="AJ279" i="3"/>
  <c r="AJ744" i="3"/>
  <c r="AJ1093" i="3"/>
  <c r="AJ660" i="3"/>
  <c r="AJ1134" i="3"/>
  <c r="AJ690" i="3"/>
  <c r="AJ1053" i="3"/>
  <c r="AJ214" i="3"/>
  <c r="AJ521" i="3"/>
  <c r="AJ1100" i="3"/>
  <c r="AJ670" i="3"/>
  <c r="AJ1041" i="3"/>
  <c r="AJ187" i="3"/>
  <c r="AJ476" i="3"/>
  <c r="AJ907" i="3"/>
  <c r="AJ531" i="3"/>
  <c r="AJ950" i="3"/>
  <c r="AJ425" i="3"/>
  <c r="AJ851" i="3"/>
  <c r="AJ956" i="3"/>
  <c r="AJ430" i="3"/>
  <c r="AJ855" i="3"/>
  <c r="AJ1181" i="3"/>
  <c r="AJ740" i="3"/>
  <c r="AJ1092" i="3"/>
  <c r="AJ202" i="3"/>
  <c r="AJ1133" i="3"/>
  <c r="AJ99" i="3"/>
  <c r="AJ601" i="3"/>
  <c r="AJ843" i="3"/>
  <c r="AJ1166" i="3"/>
  <c r="AJ725" i="3"/>
  <c r="AJ1075" i="3"/>
  <c r="AJ52" i="3"/>
  <c r="AJ1101" i="3"/>
  <c r="AJ81" i="3"/>
  <c r="AJ586" i="3"/>
  <c r="AJ989" i="3"/>
  <c r="AJ480" i="3"/>
  <c r="AJ908" i="3"/>
  <c r="AJ1004" i="3"/>
  <c r="AJ197" i="3"/>
  <c r="AJ495" i="3"/>
  <c r="AJ959" i="3"/>
  <c r="AJ847" i="3"/>
  <c r="AJ63" i="3"/>
  <c r="AJ597" i="3"/>
  <c r="AJ20" i="3"/>
  <c r="AJ846" i="3"/>
  <c r="AJ55" i="3"/>
  <c r="AJ715" i="3"/>
  <c r="AJ286" i="3"/>
  <c r="AJ973" i="3"/>
  <c r="AJ72" i="3"/>
  <c r="AJ797" i="3"/>
  <c r="AJ189" i="3"/>
  <c r="AJ248" i="3"/>
  <c r="AJ1074" i="3"/>
  <c r="AJ200" i="3"/>
  <c r="AJ1062" i="3"/>
  <c r="AJ162" i="3"/>
  <c r="AJ169" i="3"/>
  <c r="AJ919" i="3"/>
  <c r="AJ839" i="3"/>
  <c r="AJ446" i="3"/>
  <c r="AJ767" i="3"/>
  <c r="AJ1149" i="3"/>
  <c r="AJ27" i="3"/>
  <c r="AJ927" i="3"/>
  <c r="AJ577" i="3"/>
  <c r="AJ694" i="3"/>
  <c r="AJ777" i="3"/>
  <c r="AJ1051" i="3"/>
  <c r="AJ38" i="3"/>
  <c r="AJ440" i="3"/>
  <c r="AJ526" i="3"/>
  <c r="AJ969" i="3"/>
  <c r="AJ1195" i="3"/>
  <c r="AJ1196" i="3" s="1"/>
  <c r="AJ205" i="3"/>
  <c r="AJ787" i="3" s="1"/>
  <c r="AJ92" i="3"/>
  <c r="AJ626" i="3"/>
  <c r="AJ758" i="3"/>
  <c r="AJ581" i="3"/>
  <c r="AJ1014" i="3"/>
  <c r="AJ43" i="3"/>
  <c r="AJ556" i="3"/>
  <c r="AJ110" i="3"/>
  <c r="AJ252" i="3"/>
  <c r="AJ710" i="3"/>
  <c r="AJ34" i="3"/>
  <c r="AJ571" i="3"/>
  <c r="AJ330" i="3"/>
  <c r="AJ962" i="3"/>
  <c r="AJ903" i="3"/>
  <c r="AJ223" i="3"/>
  <c r="AJ1153" i="3"/>
  <c r="AJ669" i="3"/>
  <c r="AJ1138" i="3"/>
  <c r="AJ1030" i="3"/>
  <c r="AJ321" i="3"/>
  <c r="AJ925" i="3"/>
  <c r="AJ315" i="3"/>
  <c r="AJ56" i="3"/>
  <c r="AJ566" i="3"/>
  <c r="AJ979" i="3"/>
  <c r="AJ460" i="3"/>
  <c r="AJ999" i="3"/>
  <c r="AJ491" i="3"/>
  <c r="AJ505" i="3" s="1"/>
  <c r="AJ918" i="3"/>
  <c r="AJ25" i="3"/>
  <c r="AJ261" i="3"/>
  <c r="AJ983" i="3"/>
  <c r="AJ470" i="3"/>
  <c r="AJ901" i="3"/>
  <c r="AJ331" i="3"/>
  <c r="AJ219" i="3"/>
  <c r="AJ1146" i="3"/>
  <c r="AJ277" i="3"/>
  <c r="AJ1170" i="3"/>
  <c r="AJ1171" i="3" s="1"/>
  <c r="AJ146" i="3"/>
  <c r="AJ659" i="3"/>
  <c r="AJ1175" i="3"/>
  <c r="AJ153" i="3"/>
  <c r="AJ664" i="3"/>
  <c r="AJ1036" i="3"/>
  <c r="AJ562" i="3"/>
  <c r="AJ1056" i="3"/>
  <c r="AJ592" i="3"/>
  <c r="AJ995" i="3"/>
  <c r="AJ115" i="3"/>
  <c r="AJ416" i="3"/>
  <c r="AJ646" i="3"/>
  <c r="AJ1028" i="3"/>
  <c r="AJ547" i="3"/>
  <c r="AJ961" i="3"/>
  <c r="AJ61" i="3"/>
  <c r="AJ984" i="3"/>
  <c r="AJ97" i="3"/>
  <c r="AJ401" i="3"/>
  <c r="AJ825" i="3"/>
  <c r="AJ221" i="3"/>
  <c r="AJ714" i="3"/>
  <c r="AJ1160" i="3"/>
  <c r="AJ206" i="3"/>
  <c r="AJ617" i="3"/>
  <c r="AJ674" i="3"/>
  <c r="AJ451" i="3"/>
  <c r="AJ70" i="3"/>
  <c r="AJ320" i="3"/>
  <c r="AJ1035" i="3"/>
  <c r="AJ1023" i="3"/>
  <c r="AJ1005" i="3"/>
  <c r="AJ381" i="3"/>
  <c r="AJ842" i="3"/>
  <c r="AJ724" i="3"/>
  <c r="AJ815" i="3"/>
  <c r="AJ704" i="3"/>
  <c r="AJ602" i="3"/>
  <c r="AJ1029" i="3"/>
  <c r="AJ456" i="3"/>
  <c r="AJ461" i="3"/>
  <c r="AJ882" i="3"/>
  <c r="AJ410" i="3"/>
  <c r="AJ720" i="3"/>
  <c r="AJ302" i="3"/>
  <c r="AJ816" i="3"/>
  <c r="AJ1063" i="3"/>
  <c r="AJ536" i="3"/>
  <c r="AJ160" i="3"/>
  <c r="AJ1142" i="3"/>
  <c r="AJ821" i="3"/>
  <c r="AJ79" i="3"/>
  <c r="AJ685" i="3"/>
  <c r="AJ1069" i="3"/>
  <c r="AJ960" i="3"/>
  <c r="AJ1057" i="3"/>
  <c r="AJ929" i="3"/>
  <c r="AJ450" i="3"/>
  <c r="AJ768" i="3"/>
  <c r="AJ773" i="3"/>
  <c r="AJ1155" i="3"/>
  <c r="AJ1024" i="3"/>
  <c r="AJ1099" i="3"/>
  <c r="AJ985" i="3"/>
  <c r="AJ527" i="3"/>
  <c r="AJ284" i="3"/>
  <c r="AJ207" i="3"/>
  <c r="AJ878" i="3"/>
  <c r="AJ576" i="3"/>
  <c r="AJ981" i="3"/>
  <c r="AJ445" i="3"/>
  <c r="AJ117" i="3"/>
  <c r="AJ621" i="3"/>
  <c r="AJ567" i="3"/>
  <c r="AJ606" i="3"/>
  <c r="AJ552" i="3"/>
  <c r="AJ1191" i="3"/>
  <c r="AJ36" i="3"/>
  <c r="AJ616" i="3"/>
  <c r="AJ978" i="3"/>
  <c r="AJ591" i="3"/>
  <c r="AJ994" i="3"/>
  <c r="AJ485" i="3"/>
  <c r="AJ487" i="3" s="1"/>
  <c r="AJ910" i="3"/>
  <c r="AJ18" i="3"/>
  <c r="AJ957" i="3"/>
  <c r="AJ53" i="3"/>
  <c r="AJ297" i="3"/>
  <c r="AJ1182" i="3"/>
  <c r="AJ164" i="3"/>
  <c r="AJ920" i="3"/>
  <c r="AJ29" i="3"/>
  <c r="AJ270" i="3"/>
  <c r="AJ1165" i="3"/>
  <c r="AJ142" i="3"/>
  <c r="AJ1189" i="3"/>
  <c r="AJ178" i="3"/>
  <c r="AJ684" i="3"/>
  <c r="AJ1050" i="3"/>
  <c r="AJ582" i="3"/>
  <c r="AJ689" i="3"/>
  <c r="AJ1052" i="3"/>
  <c r="AJ587" i="3"/>
  <c r="AJ990" i="3"/>
  <c r="AJ108" i="3"/>
  <c r="AJ144" i="3"/>
  <c r="AJ441" i="3"/>
  <c r="AJ866" i="3"/>
  <c r="AJ1042" i="3"/>
  <c r="AJ572" i="3"/>
  <c r="AJ982" i="3"/>
  <c r="AJ90" i="3"/>
  <c r="AJ396" i="3"/>
  <c r="AJ820" i="3"/>
  <c r="AJ426" i="3"/>
  <c r="AJ854" i="3"/>
  <c r="AJ275" i="3"/>
  <c r="AJ739" i="3"/>
  <c r="AJ1088" i="3"/>
  <c r="AJ1089" i="3" s="1"/>
  <c r="AJ655" i="3"/>
  <c r="AJ471" i="3"/>
  <c r="AJ675" i="3"/>
  <c r="AJ293" i="3"/>
  <c r="AJ415" i="3"/>
  <c r="AJ788" i="3"/>
  <c r="AJ1073" i="3"/>
  <c r="AJ1059" i="3"/>
  <c r="AJ435" i="3"/>
  <c r="AJ212" i="3"/>
  <c r="AJ395" i="3"/>
  <c r="AJ406" i="3"/>
  <c r="AJ838" i="3"/>
  <c r="AJ239" i="3"/>
  <c r="AJ719" i="3"/>
  <c r="AJ1070" i="3"/>
  <c r="AJ757" i="3"/>
  <c r="AJ1095" i="3"/>
  <c r="AJ665" i="3"/>
  <c r="AJ1039" i="3"/>
  <c r="AJ180" i="3"/>
  <c r="AJ729" i="3"/>
  <c r="AJ1076" i="3"/>
  <c r="AJ627" i="3"/>
  <c r="AJ1027" i="3"/>
  <c r="AJ155" i="3"/>
  <c r="AJ1045" i="3"/>
  <c r="AJ191" i="3"/>
  <c r="AJ481" i="3"/>
  <c r="AJ909" i="3"/>
  <c r="AJ400" i="3"/>
  <c r="AJ490" i="3"/>
  <c r="AJ917" i="3"/>
  <c r="AJ405" i="3"/>
  <c r="AJ826" i="3"/>
  <c r="AJ1156" i="3"/>
  <c r="AJ859" i="3"/>
  <c r="AJ1183" i="3"/>
  <c r="AJ745" i="3"/>
  <c r="AJ1094" i="3"/>
  <c r="AJ902" i="3"/>
  <c r="AJ390" i="3"/>
  <c r="AJ811" i="3"/>
  <c r="AJ1147" i="3"/>
  <c r="AJ700" i="3"/>
  <c r="AJ1174" i="3"/>
  <c r="AJ730" i="3"/>
  <c r="AJ54" i="3"/>
  <c r="AJ561" i="3"/>
  <c r="AJ974" i="3"/>
  <c r="AJ455" i="3"/>
  <c r="AJ735" i="3"/>
  <c r="AJ210" i="3"/>
  <c r="AJ1176" i="3"/>
  <c r="AJ135" i="3"/>
  <c r="AJ778" i="3"/>
  <c r="AJ863" i="3"/>
  <c r="AJ734" i="3"/>
  <c r="AJ173" i="3"/>
  <c r="AJ557" i="3"/>
  <c r="AJ126" i="3"/>
  <c r="AJ1154" i="3"/>
  <c r="AJ541" i="3"/>
  <c r="AJ883" i="3"/>
  <c r="AJ867" i="3"/>
  <c r="AJ329" i="3"/>
  <c r="AJ243" i="3"/>
  <c r="AJ1022" i="3"/>
  <c r="AJ980" i="3"/>
  <c r="AJ1009" i="3"/>
  <c r="AJ968" i="3"/>
  <c r="AJ542" i="3"/>
  <c r="AJ151" i="3"/>
  <c r="AJ133" i="3"/>
  <c r="AH636" i="3"/>
  <c r="AH232" i="3"/>
  <c r="AI366" i="3"/>
  <c r="AH802" i="3"/>
  <c r="AH1018" i="3"/>
  <c r="AH509" i="3"/>
  <c r="AK8" i="3"/>
  <c r="AK1" i="3" s="1"/>
  <c r="AH1205" i="3"/>
  <c r="AH363" i="3"/>
  <c r="AH1209" i="3"/>
  <c r="AH1239" i="3" s="1"/>
  <c r="AH1121" i="3"/>
  <c r="AH1208" i="3" s="1"/>
  <c r="AH1238" i="3" s="1"/>
  <c r="AH635" i="3"/>
  <c r="F60" i="1"/>
  <c r="E60" i="1"/>
  <c r="O61" i="1"/>
  <c r="AI784" i="3"/>
  <c r="AI805" i="3" s="1"/>
  <c r="AI802" i="3"/>
  <c r="AP227" i="4"/>
  <c r="AZ227" i="4" s="1"/>
  <c r="BA227" i="4" s="1"/>
  <c r="AZ211" i="4"/>
  <c r="BA211" i="4" s="1"/>
  <c r="AQ211" i="4"/>
  <c r="AS6" i="3"/>
  <c r="AN154" i="4"/>
  <c r="Y85" i="6"/>
  <c r="Y86" i="6" s="1"/>
  <c r="K56" i="14"/>
  <c r="L56" i="14"/>
  <c r="J57" i="14" s="1"/>
  <c r="AN222" i="4"/>
  <c r="AM208" i="4"/>
  <c r="AP208" i="4" s="1"/>
  <c r="AJ372" i="3" l="1"/>
  <c r="B60" i="1"/>
  <c r="AF1241" i="3"/>
  <c r="AJ1082" i="3"/>
  <c r="AJ1122" i="3" s="1"/>
  <c r="AJ1083" i="3"/>
  <c r="AJ1123" i="3" s="1"/>
  <c r="AI1121" i="3"/>
  <c r="AI1208" i="3" s="1"/>
  <c r="AI1238" i="3" s="1"/>
  <c r="AJ1078" i="3"/>
  <c r="AJ1084" i="3" s="1"/>
  <c r="AJ1124" i="3" s="1"/>
  <c r="AJ822" i="3"/>
  <c r="AJ759" i="3"/>
  <c r="AJ1162" i="3"/>
  <c r="AJ578" i="3"/>
  <c r="AJ649" i="3"/>
  <c r="AJ538" i="3"/>
  <c r="AJ1167" i="3"/>
  <c r="AJ696" i="3"/>
  <c r="AJ422" i="3"/>
  <c r="AI368" i="3"/>
  <c r="AI512" i="3" s="1"/>
  <c r="AI1214" i="3"/>
  <c r="AI892" i="3"/>
  <c r="AI1220" i="3" s="1"/>
  <c r="AG923" i="3"/>
  <c r="AG1223" i="3" s="1"/>
  <c r="AG1227" i="3" s="1"/>
  <c r="AG1229" i="3" s="1"/>
  <c r="AG1234" i="3" s="1"/>
  <c r="AJ397" i="3"/>
  <c r="AJ371" i="3"/>
  <c r="AJ856" i="3"/>
  <c r="AJ691" i="3"/>
  <c r="AJ799" i="3"/>
  <c r="AJ633" i="3"/>
  <c r="AJ407" i="3"/>
  <c r="AJ412" i="3"/>
  <c r="AJ432" i="3"/>
  <c r="AJ613" i="3"/>
  <c r="AJ970" i="3"/>
  <c r="AJ492" i="3"/>
  <c r="AJ66" i="3"/>
  <c r="AJ568" i="3"/>
  <c r="AJ427" i="3"/>
  <c r="AJ746" i="3"/>
  <c r="AJ872" i="3"/>
  <c r="AJ864" i="3"/>
  <c r="AJ844" i="3"/>
  <c r="AJ1011" i="3"/>
  <c r="AJ721" i="3"/>
  <c r="AJ543" i="3"/>
  <c r="AJ671" i="3"/>
  <c r="AJ111" i="3"/>
  <c r="AJ852" i="3"/>
  <c r="AJ701" i="3"/>
  <c r="AH368" i="3"/>
  <c r="AH512" i="3" s="1"/>
  <c r="AJ741" i="3"/>
  <c r="AJ618" i="3"/>
  <c r="AJ779" i="3"/>
  <c r="AJ477" i="3"/>
  <c r="AJ75" i="3"/>
  <c r="AJ138" i="3"/>
  <c r="AJ736" i="3"/>
  <c r="AJ608" i="3"/>
  <c r="AJ726" i="3"/>
  <c r="AJ1001" i="3"/>
  <c r="AJ1016" i="3"/>
  <c r="AJ528" i="3"/>
  <c r="AJ588" i="3"/>
  <c r="AJ603" i="3"/>
  <c r="AJ192" i="3"/>
  <c r="AJ553" i="3"/>
  <c r="AJ1110" i="3"/>
  <c r="AJ316" i="3"/>
  <c r="AI639" i="3"/>
  <c r="AI1219" i="3" s="1"/>
  <c r="AJ716" i="3"/>
  <c r="AJ563" i="3"/>
  <c r="AJ392" i="3"/>
  <c r="AJ686" i="3"/>
  <c r="AJ996" i="3"/>
  <c r="AJ884" i="3"/>
  <c r="AJ102" i="3"/>
  <c r="AJ462" i="3"/>
  <c r="AJ573" i="3"/>
  <c r="AJ583" i="3"/>
  <c r="AJ442" i="3"/>
  <c r="AJ324" i="3"/>
  <c r="AJ467" i="3"/>
  <c r="AJ21" i="3"/>
  <c r="AJ598" i="3"/>
  <c r="AJ876" i="3"/>
  <c r="AH892" i="3"/>
  <c r="AH1220" i="3" s="1"/>
  <c r="AJ370" i="3"/>
  <c r="AJ831" i="3"/>
  <c r="AJ1201" i="3"/>
  <c r="AJ230" i="3"/>
  <c r="AJ326" i="3"/>
  <c r="AH639" i="3"/>
  <c r="AH1214" i="3"/>
  <c r="AM8" i="3"/>
  <c r="AM1" i="3" s="1"/>
  <c r="AM962" i="3" s="1"/>
  <c r="AJ156" i="3"/>
  <c r="AJ289" i="3"/>
  <c r="AJ452" i="3"/>
  <c r="AJ1202" i="3"/>
  <c r="AJ1143" i="3"/>
  <c r="AJ676" i="3"/>
  <c r="AJ120" i="3"/>
  <c r="AJ964" i="3"/>
  <c r="AJ1081" i="3" s="1"/>
  <c r="AJ904" i="3"/>
  <c r="AJ921" i="3"/>
  <c r="AJ1222" i="3" s="1"/>
  <c r="AJ437" i="3"/>
  <c r="AJ750" i="3"/>
  <c r="AJ183" i="3"/>
  <c r="AJ593" i="3"/>
  <c r="AJ623" i="3"/>
  <c r="AJ165" i="3"/>
  <c r="AJ507" i="3"/>
  <c r="AJ506" i="3"/>
  <c r="AJ661" i="3"/>
  <c r="AJ472" i="3"/>
  <c r="AJ1199" i="3"/>
  <c r="AJ1139" i="3"/>
  <c r="AJ39" i="3"/>
  <c r="AJ769" i="3"/>
  <c r="AJ497" i="3"/>
  <c r="AJ1135" i="3"/>
  <c r="AJ1200" i="3"/>
  <c r="AJ634" i="3"/>
  <c r="AJ548" i="3"/>
  <c r="AJ271" i="3"/>
  <c r="AJ387" i="3"/>
  <c r="AJ502" i="3"/>
  <c r="AL8" i="3"/>
  <c r="AL1" i="3" s="1"/>
  <c r="AJ57" i="3"/>
  <c r="AJ1192" i="3"/>
  <c r="AJ147" i="3"/>
  <c r="AJ447" i="3"/>
  <c r="AJ1157" i="3"/>
  <c r="AJ1006" i="3"/>
  <c r="AJ953" i="3"/>
  <c r="AJ325" i="3"/>
  <c r="AJ365" i="3" s="1"/>
  <c r="AJ792" i="3"/>
  <c r="AJ794" i="3" s="1"/>
  <c r="AJ215" i="3"/>
  <c r="AJ229" i="3"/>
  <c r="AJ1178" i="3"/>
  <c r="AJ731" i="3"/>
  <c r="AJ244" i="3"/>
  <c r="AJ280" i="3"/>
  <c r="AJ30" i="3"/>
  <c r="AJ789" i="3"/>
  <c r="AJ533" i="3"/>
  <c r="AJ231" i="3"/>
  <c r="AJ860" i="3"/>
  <c r="AJ129" i="3"/>
  <c r="AJ656" i="3"/>
  <c r="AJ749" i="3"/>
  <c r="AJ503" i="3"/>
  <c r="AJ382" i="3"/>
  <c r="AJ501" i="3"/>
  <c r="AJ830" i="3"/>
  <c r="AJ812" i="3"/>
  <c r="AJ975" i="3"/>
  <c r="AJ628" i="3"/>
  <c r="AJ631" i="3" s="1"/>
  <c r="AJ253" i="3"/>
  <c r="AJ1096" i="3"/>
  <c r="AJ711" i="3"/>
  <c r="AL9" i="3"/>
  <c r="AJ840" i="3"/>
  <c r="AJ886" i="3"/>
  <c r="AJ417" i="3"/>
  <c r="AJ868" i="3"/>
  <c r="AJ307" i="3"/>
  <c r="AJ706" i="3"/>
  <c r="AJ1150" i="3"/>
  <c r="AJ558" i="3"/>
  <c r="AJ174" i="3"/>
  <c r="AJ482" i="3"/>
  <c r="AJ1185" i="3"/>
  <c r="AJ911" i="3"/>
  <c r="AJ262" i="3"/>
  <c r="AJ93" i="3"/>
  <c r="AJ681" i="3"/>
  <c r="AK1176" i="3"/>
  <c r="AK1154" i="3"/>
  <c r="AK621" i="3"/>
  <c r="AK762" i="3"/>
  <c r="AK16" i="3"/>
  <c r="AK546" i="3"/>
  <c r="AK797" i="3"/>
  <c r="AK918" i="3"/>
  <c r="AK838" i="3"/>
  <c r="AK1189" i="3"/>
  <c r="AK435" i="3"/>
  <c r="AK207" i="3"/>
  <c r="AK135" i="3"/>
  <c r="AK1142" i="3"/>
  <c r="AK1100" i="3"/>
  <c r="AK581" i="3"/>
  <c r="AK714" i="3"/>
  <c r="AK162" i="3"/>
  <c r="AK481" i="3"/>
  <c r="AK690" i="3"/>
  <c r="AK871" i="3"/>
  <c r="AK1177" i="3"/>
  <c r="AK1155" i="3"/>
  <c r="AK395" i="3"/>
  <c r="AK842" i="3"/>
  <c r="AK88" i="3"/>
  <c r="AK974" i="3"/>
  <c r="AK956" i="3"/>
  <c r="AK288" i="3"/>
  <c r="AK471" i="3"/>
  <c r="AK670" i="3"/>
  <c r="AK745" i="3"/>
  <c r="AK142" i="3"/>
  <c r="AK646" i="3"/>
  <c r="AK1005" i="3"/>
  <c r="AK815" i="3"/>
  <c r="AK74" i="3"/>
  <c r="AK931" i="3"/>
  <c r="AK1058" i="3"/>
  <c r="AK1042" i="3"/>
  <c r="AK476" i="3"/>
  <c r="AK616" i="3"/>
  <c r="AK65" i="3"/>
  <c r="AK401" i="3"/>
  <c r="AK491" i="3"/>
  <c r="AK505" i="3" s="1"/>
  <c r="AK777" i="3"/>
  <c r="AK1092" i="3"/>
  <c r="AK1069" i="3"/>
  <c r="AK214" i="3"/>
  <c r="AK1063" i="3"/>
  <c r="AK680" i="3"/>
  <c r="AK450" i="3"/>
  <c r="AK1040" i="3"/>
  <c r="AK695" i="3"/>
  <c r="AK18" i="3"/>
  <c r="AK739" i="3"/>
  <c r="AK200" i="3"/>
  <c r="AK1065" i="3"/>
  <c r="AK989" i="3"/>
  <c r="AK425" i="3"/>
  <c r="AK699" i="3"/>
  <c r="AK106" i="3"/>
  <c r="AK901" i="3"/>
  <c r="AK415" i="3"/>
  <c r="AK1046" i="3"/>
  <c r="AK596" i="3"/>
  <c r="AK1015" i="3"/>
  <c r="AK557" i="3"/>
  <c r="AK1156" i="3"/>
  <c r="AK734" i="3"/>
  <c r="AK730" i="3"/>
  <c r="AK866" i="3"/>
  <c r="AK202" i="3"/>
  <c r="AK561" i="3"/>
  <c r="AK461" i="3"/>
  <c r="AK825" i="3"/>
  <c r="AK160" i="3"/>
  <c r="AK654" i="3"/>
  <c r="AK709" i="3"/>
  <c r="AK146" i="3"/>
  <c r="AK907" i="3"/>
  <c r="AK411" i="3"/>
  <c r="AK685" i="3"/>
  <c r="AK320" i="3"/>
  <c r="AK1022" i="3"/>
  <c r="AK556" i="3"/>
  <c r="AK311" i="3"/>
  <c r="AK426" i="3"/>
  <c r="AK420" i="3"/>
  <c r="AK1053" i="3"/>
  <c r="AK169" i="3"/>
  <c r="AK767" i="3"/>
  <c r="AK684" i="3"/>
  <c r="AK929" i="3"/>
  <c r="AK1088" i="3"/>
  <c r="AK1089" i="3" s="1"/>
  <c r="AK115" i="3"/>
  <c r="AK1101" i="3"/>
  <c r="AK1188" i="3"/>
  <c r="AK586" i="3"/>
  <c r="AK850" i="3"/>
  <c r="AK205" i="3"/>
  <c r="AK787" i="3" s="1"/>
  <c r="AK1034" i="3"/>
  <c r="AK436" i="3"/>
  <c r="AK576" i="3"/>
  <c r="AK25" i="3"/>
  <c r="AK297" i="3"/>
  <c r="AK410" i="3"/>
  <c r="AK729" i="3"/>
  <c r="AK1059" i="3"/>
  <c r="AK1045" i="3"/>
  <c r="AK171" i="3"/>
  <c r="AK1010" i="3"/>
  <c r="AK582" i="3"/>
  <c r="AK1004" i="3"/>
  <c r="AK983" i="3"/>
  <c r="AK396" i="3"/>
  <c r="AK536" i="3"/>
  <c r="AK758" i="3"/>
  <c r="AK223" i="3"/>
  <c r="AK248" i="3"/>
  <c r="AK689" i="3"/>
  <c r="AK1035" i="3"/>
  <c r="AK124" i="3"/>
  <c r="AK980" i="3"/>
  <c r="AK480" i="3"/>
  <c r="AK1184" i="3"/>
  <c r="AK1095" i="3"/>
  <c r="AK1074" i="3"/>
  <c r="AK212" i="3"/>
  <c r="AK210" i="3"/>
  <c r="AK567" i="3"/>
  <c r="AK108" i="3"/>
  <c r="AK446" i="3"/>
  <c r="AK847" i="3"/>
  <c r="AK973" i="3"/>
  <c r="AK460" i="3"/>
  <c r="AK744" i="3"/>
  <c r="AK925" i="3"/>
  <c r="AK902" i="3"/>
  <c r="AK1195" i="3"/>
  <c r="AK1196" i="3" s="1"/>
  <c r="AK431" i="3"/>
  <c r="AK572" i="3"/>
  <c r="AK705" i="3"/>
  <c r="AK54" i="3"/>
  <c r="AK591" i="3"/>
  <c r="AK978" i="3"/>
  <c r="AK1108" i="3"/>
  <c r="AK740" i="3"/>
  <c r="AK883" i="3"/>
  <c r="AK221" i="3"/>
  <c r="AK400" i="3"/>
  <c r="AK1099" i="3"/>
  <c r="AK1024" i="3"/>
  <c r="AK45" i="3"/>
  <c r="AK306" i="3"/>
  <c r="AK875" i="3"/>
  <c r="AK664" i="3"/>
  <c r="AK1014" i="3"/>
  <c r="AK191" i="3"/>
  <c r="AK243" i="3"/>
  <c r="AK843" i="3"/>
  <c r="AK55" i="3"/>
  <c r="AK1175" i="3"/>
  <c r="AK110" i="3"/>
  <c r="AK456" i="3"/>
  <c r="AK381" i="3"/>
  <c r="AK909" i="3"/>
  <c r="AK275" i="3"/>
  <c r="AK601" i="3"/>
  <c r="AK526" i="3"/>
  <c r="AK900" i="3"/>
  <c r="AK53" i="3"/>
  <c r="AK137" i="3"/>
  <c r="AK951" i="3"/>
  <c r="AK455" i="3"/>
  <c r="AK1070" i="3"/>
  <c r="AK521" i="3"/>
  <c r="AK421" i="3"/>
  <c r="AK1033" i="3"/>
  <c r="AK542" i="3"/>
  <c r="AK1181" i="3"/>
  <c r="AK1160" i="3"/>
  <c r="AK1182" i="3"/>
  <c r="AK999" i="3"/>
  <c r="AK329" i="3"/>
  <c r="AK43" i="3"/>
  <c r="AK957" i="3"/>
  <c r="AK173" i="3"/>
  <c r="AK979" i="3"/>
  <c r="AK793" i="3"/>
  <c r="AK126" i="3"/>
  <c r="AK119" i="3"/>
  <c r="AK541" i="3"/>
  <c r="AK592" i="3"/>
  <c r="AK286" i="3"/>
  <c r="AK679" i="3"/>
  <c r="AK36" i="3"/>
  <c r="AK475" i="3"/>
  <c r="AK878" i="3"/>
  <c r="AK1183" i="3"/>
  <c r="AK1161" i="3"/>
  <c r="AK391" i="3"/>
  <c r="AK470" i="3"/>
  <c r="AK665" i="3"/>
  <c r="AK201" i="3"/>
  <c r="AK551" i="3"/>
  <c r="AK927" i="3"/>
  <c r="AK1051" i="3"/>
  <c r="AK660" i="3"/>
  <c r="AK851" i="3"/>
  <c r="AK128" i="3"/>
  <c r="AK846" i="3"/>
  <c r="AK1149" i="3"/>
  <c r="AK1107" i="3"/>
  <c r="AK284" i="3"/>
  <c r="AK390" i="3"/>
  <c r="AK607" i="3"/>
  <c r="AK155" i="3"/>
  <c r="AK490" i="3"/>
  <c r="AK879" i="3"/>
  <c r="AK1000" i="3"/>
  <c r="AK562" i="3"/>
  <c r="AK798" i="3"/>
  <c r="AK52" i="3"/>
  <c r="AK1041" i="3"/>
  <c r="AK981" i="3"/>
  <c r="AK960" i="3"/>
  <c r="AK597" i="3"/>
  <c r="AK144" i="3"/>
  <c r="AK385" i="3"/>
  <c r="AK1190" i="3"/>
  <c r="AK1174" i="3"/>
  <c r="AK659" i="3"/>
  <c r="AK810" i="3"/>
  <c r="AK38" i="3"/>
  <c r="AK566" i="3"/>
  <c r="AK1153" i="3"/>
  <c r="AK1064" i="3"/>
  <c r="AK1050" i="3"/>
  <c r="AK735" i="3"/>
  <c r="AK117" i="3"/>
  <c r="AK527" i="3"/>
  <c r="AK61" i="3"/>
  <c r="AK406" i="3"/>
  <c r="AK778" i="3"/>
  <c r="AK920" i="3"/>
  <c r="AK380" i="3"/>
  <c r="AK704" i="3"/>
  <c r="AK151" i="3"/>
  <c r="AK34" i="3"/>
  <c r="AK465" i="3"/>
  <c r="AK101" i="3"/>
  <c r="AK655" i="3"/>
  <c r="AK788" i="3"/>
  <c r="AK606" i="3"/>
  <c r="AK1191" i="3"/>
  <c r="AK874" i="3"/>
  <c r="AK1030" i="3"/>
  <c r="AK47" i="3"/>
  <c r="AK950" i="3"/>
  <c r="AK97" i="3"/>
  <c r="AK1134" i="3"/>
  <c r="AK187" i="3"/>
  <c r="AK197" i="3"/>
  <c r="AK982" i="3"/>
  <c r="AK496" i="3"/>
  <c r="AK1102" i="3"/>
  <c r="AK694" i="3"/>
  <c r="AK647" i="3"/>
  <c r="AK854" i="3"/>
  <c r="AK331" i="3"/>
  <c r="AK1056" i="3"/>
  <c r="AK90" i="3"/>
  <c r="AK552" i="3"/>
  <c r="AK1047" i="3"/>
  <c r="AK990" i="3"/>
  <c r="AK330" i="3"/>
  <c r="AK532" i="3"/>
  <c r="AK855" i="3"/>
  <c r="AK1138" i="3"/>
  <c r="AK63" i="3"/>
  <c r="AK416" i="3"/>
  <c r="AK270" i="3"/>
  <c r="AK724" i="3"/>
  <c r="AK617" i="3"/>
  <c r="AK386" i="3"/>
  <c r="AK266" i="3"/>
  <c r="AK962" i="3"/>
  <c r="AK302" i="3"/>
  <c r="AK674" i="3"/>
  <c r="AK839" i="3"/>
  <c r="AK1148" i="3"/>
  <c r="AK816" i="3"/>
  <c r="AK968" i="3"/>
  <c r="AK29" i="3"/>
  <c r="AK811" i="3"/>
  <c r="AK1106" i="3"/>
  <c r="AK257" i="3"/>
  <c r="AK1094" i="3"/>
  <c r="AK720" i="3"/>
  <c r="AK985" i="3"/>
  <c r="AK969" i="3"/>
  <c r="AK321" i="3"/>
  <c r="AK495" i="3"/>
  <c r="AK710" i="3"/>
  <c r="AK773" i="3"/>
  <c r="AK189" i="3"/>
  <c r="AK757" i="3"/>
  <c r="AK1073" i="3"/>
  <c r="AK1057" i="3"/>
  <c r="AK196" i="3"/>
  <c r="AK1039" i="3"/>
  <c r="AK622" i="3"/>
  <c r="AK958" i="3"/>
  <c r="AK919" i="3"/>
  <c r="AK261" i="3"/>
  <c r="AK451" i="3"/>
  <c r="AK612" i="3"/>
  <c r="AK725" i="3"/>
  <c r="AK92" i="3"/>
  <c r="AK531" i="3"/>
  <c r="AK908" i="3"/>
  <c r="AK1027" i="3"/>
  <c r="AK602" i="3"/>
  <c r="AK826" i="3"/>
  <c r="AK81" i="3"/>
  <c r="AK1133" i="3"/>
  <c r="AK1052" i="3"/>
  <c r="AK1036" i="3"/>
  <c r="AK715" i="3"/>
  <c r="AK70" i="3"/>
  <c r="AK485" i="3"/>
  <c r="AK487" i="3" s="1"/>
  <c r="AK669" i="3"/>
  <c r="AK1023" i="3"/>
  <c r="AK858" i="3"/>
  <c r="AK99" i="3"/>
  <c r="AK961" i="3"/>
  <c r="AK440" i="3"/>
  <c r="AK862" i="3"/>
  <c r="AK1166" i="3"/>
  <c r="AK1147" i="3"/>
  <c r="AK315" i="3"/>
  <c r="AK430" i="3"/>
  <c r="AK627" i="3"/>
  <c r="AK180" i="3"/>
  <c r="AK611" i="3"/>
  <c r="AK986" i="3"/>
  <c r="AK1165" i="3"/>
  <c r="AK219" i="3"/>
  <c r="AK910" i="3"/>
  <c r="AK293" i="3"/>
  <c r="AK820" i="3"/>
  <c r="AK1109" i="3"/>
  <c r="AK1093" i="3"/>
  <c r="AK252" i="3"/>
  <c r="AK279" i="3"/>
  <c r="AK587" i="3"/>
  <c r="AK133" i="3"/>
  <c r="AK571" i="3"/>
  <c r="AK959" i="3"/>
  <c r="AK1075" i="3"/>
  <c r="AK700" i="3"/>
  <c r="AK867" i="3"/>
  <c r="AK178" i="3"/>
  <c r="AK1170" i="3"/>
  <c r="AK1171" i="3" s="1"/>
  <c r="AK1076" i="3"/>
  <c r="AK1062" i="3"/>
  <c r="AK763" i="3"/>
  <c r="AK164" i="3"/>
  <c r="AK547" i="3"/>
  <c r="AK83" i="3"/>
  <c r="AK277" i="3"/>
  <c r="AK719" i="3"/>
  <c r="AK859" i="3"/>
  <c r="AK153" i="3"/>
  <c r="AK626" i="3"/>
  <c r="AK79" i="3"/>
  <c r="AK995" i="3"/>
  <c r="AK917" i="3"/>
  <c r="AK882" i="3"/>
  <c r="AK537" i="3"/>
  <c r="AK72" i="3"/>
  <c r="AK239" i="3"/>
  <c r="AK466" i="3"/>
  <c r="AK863" i="3"/>
  <c r="AK984" i="3"/>
  <c r="AK522" i="3"/>
  <c r="AK772" i="3"/>
  <c r="AK27" i="3"/>
  <c r="AK1028" i="3"/>
  <c r="AK1009" i="3"/>
  <c r="AK675" i="3"/>
  <c r="AK20" i="3"/>
  <c r="AK445" i="3"/>
  <c r="AK206" i="3"/>
  <c r="AK821" i="3"/>
  <c r="AK994" i="3"/>
  <c r="AK405" i="3"/>
  <c r="AK903" i="3"/>
  <c r="AK1029" i="3"/>
  <c r="AK577" i="3"/>
  <c r="AK1068" i="3"/>
  <c r="AK441" i="3"/>
  <c r="AK1146" i="3"/>
  <c r="AK768" i="3"/>
  <c r="AK56" i="3"/>
  <c r="AK870" i="3"/>
  <c r="AK182" i="3"/>
  <c r="AJ402" i="3"/>
  <c r="AJ1103" i="3"/>
  <c r="AJ887" i="3"/>
  <c r="AJ848" i="3"/>
  <c r="AJ523" i="3"/>
  <c r="AJ632" i="3"/>
  <c r="AJ323" i="3"/>
  <c r="AJ783" i="3" s="1"/>
  <c r="AJ803" i="3" s="1"/>
  <c r="AJ457" i="3"/>
  <c r="AJ298" i="3"/>
  <c r="AJ880" i="3"/>
  <c r="AJ84" i="3"/>
  <c r="AJ817" i="3"/>
  <c r="AJ827" i="3"/>
  <c r="AJ666" i="3"/>
  <c r="AJ224" i="3"/>
  <c r="AJ48" i="3"/>
  <c r="AJ991" i="3"/>
  <c r="AJ764" i="3"/>
  <c r="AJ774" i="3"/>
  <c r="AE1241" i="3"/>
  <c r="AE1244" i="3"/>
  <c r="F61" i="1"/>
  <c r="B61" i="1" s="1"/>
  <c r="E61" i="1"/>
  <c r="O62" i="1"/>
  <c r="AQ227" i="4"/>
  <c r="F1146" i="3"/>
  <c r="AT6" i="3"/>
  <c r="AZ208" i="4"/>
  <c r="BA208" i="4" s="1"/>
  <c r="AQ208" i="4"/>
  <c r="AM154" i="4"/>
  <c r="AP154" i="4" s="1"/>
  <c r="Y87" i="6"/>
  <c r="Y88" i="6" s="1"/>
  <c r="W86" i="6"/>
  <c r="AB86" i="6" s="1"/>
  <c r="AM222" i="4"/>
  <c r="L57" i="14"/>
  <c r="J58" i="14" s="1"/>
  <c r="AM9" i="3" l="1"/>
  <c r="AK628" i="3"/>
  <c r="AK631" i="3" s="1"/>
  <c r="AJ1209" i="3"/>
  <c r="AJ1239" i="3" s="1"/>
  <c r="AK298" i="3"/>
  <c r="AK1078" i="3"/>
  <c r="AK1084" i="3" s="1"/>
  <c r="AK1124" i="3" s="1"/>
  <c r="AK1083" i="3"/>
  <c r="AK1123" i="3" s="1"/>
  <c r="AK1082" i="3"/>
  <c r="AK1122" i="3" s="1"/>
  <c r="AJ1085" i="3"/>
  <c r="AJ1127" i="3" s="1"/>
  <c r="AK447" i="3"/>
  <c r="AK371" i="3"/>
  <c r="AK472" i="3"/>
  <c r="AK477" i="3"/>
  <c r="AK1006" i="3"/>
  <c r="AK661" i="3"/>
  <c r="AM330" i="3"/>
  <c r="AM1063" i="3"/>
  <c r="AM546" i="3"/>
  <c r="AM699" i="3"/>
  <c r="AM918" i="3"/>
  <c r="AM627" i="3"/>
  <c r="AM1033" i="3"/>
  <c r="AM480" i="3"/>
  <c r="AM929" i="3"/>
  <c r="AM1030" i="3"/>
  <c r="AM451" i="3"/>
  <c r="AM969" i="3"/>
  <c r="AM1051" i="3"/>
  <c r="AM1149" i="3"/>
  <c r="AM460" i="3"/>
  <c r="AM1075" i="3"/>
  <c r="AM81" i="3"/>
  <c r="AM1088" i="3"/>
  <c r="AM1089" i="3" s="1"/>
  <c r="AM182" i="3"/>
  <c r="AM1028" i="3"/>
  <c r="AM320" i="3"/>
  <c r="AM931" i="3"/>
  <c r="AM1042" i="3"/>
  <c r="AM189" i="3"/>
  <c r="AM106" i="3"/>
  <c r="AM739" i="3"/>
  <c r="AM297" i="3"/>
  <c r="AM729" i="3"/>
  <c r="AM740" i="3"/>
  <c r="AM456" i="3"/>
  <c r="AM201" i="3"/>
  <c r="AM762" i="3"/>
  <c r="AM288" i="3"/>
  <c r="AM875" i="3"/>
  <c r="AK774" i="3"/>
  <c r="AK324" i="3"/>
  <c r="AM257" i="3"/>
  <c r="AM591" i="3"/>
  <c r="AM461" i="3"/>
  <c r="AM25" i="3"/>
  <c r="AM616" i="3"/>
  <c r="AM850" i="3"/>
  <c r="AM690" i="3"/>
  <c r="AM810" i="3"/>
  <c r="AM669" i="3"/>
  <c r="AM92" i="3"/>
  <c r="AM773" i="3"/>
  <c r="AM925" i="3"/>
  <c r="AK696" i="3"/>
  <c r="AG933" i="3"/>
  <c r="AG936" i="3" s="1"/>
  <c r="AG939" i="3" s="1"/>
  <c r="AI923" i="3"/>
  <c r="AI933" i="3" s="1"/>
  <c r="AI936" i="3" s="1"/>
  <c r="AI939" i="3" s="1"/>
  <c r="AK691" i="3"/>
  <c r="AK1016" i="3"/>
  <c r="AH923" i="3"/>
  <c r="AH933" i="3" s="1"/>
  <c r="AH936" i="3" s="1"/>
  <c r="AH939" i="3" s="1"/>
  <c r="AK975" i="3"/>
  <c r="AK876" i="3"/>
  <c r="AK1167" i="3"/>
  <c r="AK996" i="3"/>
  <c r="AK271" i="3"/>
  <c r="AK608" i="3"/>
  <c r="AK1150" i="3"/>
  <c r="AK721" i="3"/>
  <c r="AK224" i="3"/>
  <c r="AK671" i="3"/>
  <c r="AK253" i="3"/>
  <c r="AK578" i="3"/>
  <c r="AK147" i="3"/>
  <c r="AK844" i="3"/>
  <c r="AK716" i="3"/>
  <c r="AK573" i="3"/>
  <c r="AK1001" i="3"/>
  <c r="AK746" i="3"/>
  <c r="AK230" i="3"/>
  <c r="AK192" i="3"/>
  <c r="AK880" i="3"/>
  <c r="AK457" i="3"/>
  <c r="AK280" i="3"/>
  <c r="AK1103" i="3"/>
  <c r="AK462" i="3"/>
  <c r="AK563" i="3"/>
  <c r="AK598" i="3"/>
  <c r="AK618" i="3"/>
  <c r="AK649" i="3"/>
  <c r="AK93" i="3"/>
  <c r="AK681" i="3"/>
  <c r="AJ364" i="3"/>
  <c r="AK84" i="3"/>
  <c r="AK533" i="3"/>
  <c r="AK39" i="3"/>
  <c r="AK48" i="3"/>
  <c r="AK904" i="3"/>
  <c r="AK129" i="3"/>
  <c r="AK731" i="3"/>
  <c r="AK789" i="3"/>
  <c r="AK686" i="3"/>
  <c r="AK701" i="3"/>
  <c r="AK21" i="3"/>
  <c r="AK848" i="3"/>
  <c r="AK482" i="3"/>
  <c r="AK1011" i="3"/>
  <c r="AK822" i="3"/>
  <c r="AK543" i="3"/>
  <c r="AK427" i="3"/>
  <c r="AK817" i="3"/>
  <c r="AK827" i="3"/>
  <c r="AM1062" i="3"/>
  <c r="AM169" i="3"/>
  <c r="AM878" i="3"/>
  <c r="AM1034" i="3"/>
  <c r="AM1147" i="3"/>
  <c r="AM1191" i="3"/>
  <c r="AM684" i="3"/>
  <c r="AM622" i="3"/>
  <c r="AM223" i="3"/>
  <c r="AM601" i="3"/>
  <c r="AK407" i="3"/>
  <c r="AK432" i="3"/>
  <c r="AM607" i="3"/>
  <c r="AM714" i="3"/>
  <c r="AM903" i="3"/>
  <c r="AM97" i="3"/>
  <c r="AM248" i="3"/>
  <c r="AM1109" i="3"/>
  <c r="AM1073" i="3"/>
  <c r="AM956" i="3"/>
  <c r="AM450" i="3"/>
  <c r="AK884" i="3"/>
  <c r="AK759" i="3"/>
  <c r="AM400" i="3"/>
  <c r="AM826" i="3"/>
  <c r="AM820" i="3"/>
  <c r="AM958" i="3"/>
  <c r="AM815" i="3"/>
  <c r="AM867" i="3"/>
  <c r="AM72" i="3"/>
  <c r="AM567" i="3"/>
  <c r="AM979" i="3"/>
  <c r="AM1134" i="3"/>
  <c r="AK326" i="3"/>
  <c r="AM99" i="3"/>
  <c r="AM695" i="3"/>
  <c r="AM709" i="3"/>
  <c r="AM670" i="3"/>
  <c r="AM596" i="3"/>
  <c r="AM582" i="3"/>
  <c r="AM214" i="3"/>
  <c r="AM1015" i="3"/>
  <c r="AM406" i="3"/>
  <c r="AM592" i="3"/>
  <c r="AM680" i="3"/>
  <c r="AM983" i="3"/>
  <c r="AM396" i="3"/>
  <c r="AM495" i="3"/>
  <c r="AM920" i="3"/>
  <c r="AM1148" i="3"/>
  <c r="AM981" i="3"/>
  <c r="AM70" i="3"/>
  <c r="AM286" i="3"/>
  <c r="AM745" i="3"/>
  <c r="AM863" i="3"/>
  <c r="AM1068" i="3"/>
  <c r="AM541" i="3"/>
  <c r="AM654" i="3"/>
  <c r="AM957" i="3"/>
  <c r="AM866" i="3"/>
  <c r="AK231" i="3"/>
  <c r="AJ635" i="3"/>
  <c r="AJ1210" i="3"/>
  <c r="AJ1240" i="3" s="1"/>
  <c r="AM455" i="3"/>
  <c r="AM471" i="3"/>
  <c r="AM415" i="3"/>
  <c r="AM659" i="3"/>
  <c r="AM1166" i="3"/>
  <c r="AM34" i="3"/>
  <c r="AM52" i="3"/>
  <c r="AM1177" i="3"/>
  <c r="AM205" i="3"/>
  <c r="AM787" i="3" s="1"/>
  <c r="AM720" i="3"/>
  <c r="AM1153" i="3"/>
  <c r="AM811" i="3"/>
  <c r="AM1170" i="3"/>
  <c r="AM1171" i="3" s="1"/>
  <c r="AM88" i="3"/>
  <c r="AM611" i="3"/>
  <c r="AM527" i="3"/>
  <c r="AM315" i="3"/>
  <c r="AM730" i="3"/>
  <c r="AM1142" i="3"/>
  <c r="AM1143" i="3" s="1"/>
  <c r="AM155" i="3"/>
  <c r="AM526" i="3"/>
  <c r="AM978" i="3"/>
  <c r="AM900" i="3"/>
  <c r="AM144" i="3"/>
  <c r="AM757" i="3"/>
  <c r="AM665" i="3"/>
  <c r="AJ636" i="3"/>
  <c r="AH1219" i="3"/>
  <c r="AM768" i="3"/>
  <c r="AM917" i="3"/>
  <c r="AM178" i="3"/>
  <c r="AM1107" i="3"/>
  <c r="AM871" i="3"/>
  <c r="AM1174" i="3"/>
  <c r="AM311" i="3"/>
  <c r="AM55" i="3"/>
  <c r="AM995" i="3"/>
  <c r="AM386" i="3"/>
  <c r="AM56" i="3"/>
  <c r="AM1000" i="3"/>
  <c r="AM436" i="3"/>
  <c r="AM197" i="3"/>
  <c r="AM854" i="3"/>
  <c r="AM210" i="3"/>
  <c r="AM1070" i="3"/>
  <c r="AM825" i="3"/>
  <c r="AM902" i="3"/>
  <c r="AM79" i="3"/>
  <c r="AM74" i="3"/>
  <c r="AM859" i="3"/>
  <c r="AM63" i="3"/>
  <c r="AM566" i="3"/>
  <c r="AM1005" i="3"/>
  <c r="AM950" i="3"/>
  <c r="AM27" i="3"/>
  <c r="AM843" i="3"/>
  <c r="AM705" i="3"/>
  <c r="AM556" i="3"/>
  <c r="AM990" i="3"/>
  <c r="AM1182" i="3"/>
  <c r="AM119" i="3"/>
  <c r="AM704" i="3"/>
  <c r="AM1092" i="3"/>
  <c r="AM1040" i="3"/>
  <c r="AM164" i="3"/>
  <c r="AM435" i="3"/>
  <c r="AM901" i="3"/>
  <c r="AM476" i="3"/>
  <c r="AM279" i="3"/>
  <c r="AM1108" i="3"/>
  <c r="AM142" i="3"/>
  <c r="AM1010" i="3"/>
  <c r="AM128" i="3"/>
  <c r="AM846" i="3"/>
  <c r="AM557" i="3"/>
  <c r="AM816" i="3"/>
  <c r="AM725" i="3"/>
  <c r="AM1106" i="3"/>
  <c r="AM381" i="3"/>
  <c r="AM1138" i="3"/>
  <c r="AM1139" i="3" s="1"/>
  <c r="AM53" i="3"/>
  <c r="AM45" i="3"/>
  <c r="AM485" i="3"/>
  <c r="AM487" i="3" s="1"/>
  <c r="AM61" i="3"/>
  <c r="AM927" i="3"/>
  <c r="AM577" i="3"/>
  <c r="AM470" i="3"/>
  <c r="AM137" i="3"/>
  <c r="AM431" i="3"/>
  <c r="AM847" i="3"/>
  <c r="AM1190" i="3"/>
  <c r="AM202" i="3"/>
  <c r="AM626" i="3"/>
  <c r="AM1047" i="3"/>
  <c r="AM994" i="3"/>
  <c r="AM821" i="3"/>
  <c r="AM1056" i="3"/>
  <c r="AM521" i="3"/>
  <c r="AM576" i="3"/>
  <c r="AM1027" i="3"/>
  <c r="AM797" i="3"/>
  <c r="AM38" i="3"/>
  <c r="AM772" i="3"/>
  <c r="AM1160" i="3"/>
  <c r="AM1076" i="3"/>
  <c r="AK372" i="3"/>
  <c r="AJ752" i="3"/>
  <c r="AG1244" i="3"/>
  <c r="AG1241" i="3"/>
  <c r="AK676" i="3"/>
  <c r="AK872" i="3"/>
  <c r="AK497" i="3"/>
  <c r="AK1110" i="3"/>
  <c r="AK307" i="3"/>
  <c r="AK156" i="3"/>
  <c r="AK523" i="3"/>
  <c r="AK632" i="3"/>
  <c r="AK528" i="3"/>
  <c r="AK792" i="3"/>
  <c r="AK794" i="3" s="1"/>
  <c r="AK229" i="3"/>
  <c r="AK782" i="3" s="1"/>
  <c r="AK215" i="3"/>
  <c r="AK412" i="3"/>
  <c r="AK852" i="3"/>
  <c r="AK769" i="3"/>
  <c r="AK452" i="3"/>
  <c r="AK964" i="3"/>
  <c r="AK1081" i="3" s="1"/>
  <c r="AK764" i="3"/>
  <c r="AJ327" i="3"/>
  <c r="AM171" i="3"/>
  <c r="AM446" i="3"/>
  <c r="AM302" i="3"/>
  <c r="AM778" i="3"/>
  <c r="AM196" i="3"/>
  <c r="AM421" i="3"/>
  <c r="AM879" i="3"/>
  <c r="AM1014" i="3"/>
  <c r="AM395" i="3"/>
  <c r="AM284" i="3"/>
  <c r="AM710" i="3"/>
  <c r="AM1102" i="3"/>
  <c r="AM798" i="3"/>
  <c r="AM989" i="3"/>
  <c r="AM293" i="3"/>
  <c r="AM1036" i="3"/>
  <c r="AM83" i="3"/>
  <c r="AM425" i="3"/>
  <c r="AM851" i="3"/>
  <c r="AM101" i="3"/>
  <c r="AM1057" i="3"/>
  <c r="AM597" i="3"/>
  <c r="AM1009" i="3"/>
  <c r="AM1029" i="3"/>
  <c r="AM47" i="3"/>
  <c r="AM124" i="3"/>
  <c r="AM491" i="3"/>
  <c r="AM505" i="3" s="1"/>
  <c r="AM426" i="3"/>
  <c r="AM974" i="3"/>
  <c r="AM275" i="3"/>
  <c r="AM1053" i="3"/>
  <c r="AM90" i="3"/>
  <c r="AM219" i="3"/>
  <c r="AM552" i="3"/>
  <c r="AM466" i="3"/>
  <c r="AM1004" i="3"/>
  <c r="AM385" i="3"/>
  <c r="AM206" i="3"/>
  <c r="AM440" i="3"/>
  <c r="AM270" i="3"/>
  <c r="AM1175" i="3"/>
  <c r="AM735" i="3"/>
  <c r="AM1093" i="3"/>
  <c r="AM1133" i="3"/>
  <c r="AM187" i="3"/>
  <c r="AM180" i="3"/>
  <c r="AM647" i="3"/>
  <c r="AM571" i="3"/>
  <c r="AM1058" i="3"/>
  <c r="AM465" i="3"/>
  <c r="AK244" i="3"/>
  <c r="AK860" i="3"/>
  <c r="AK1135" i="3"/>
  <c r="AK1200" i="3"/>
  <c r="AK831" i="3"/>
  <c r="AK1199" i="3"/>
  <c r="AK1139" i="3"/>
  <c r="AK706" i="3"/>
  <c r="AK1178" i="3"/>
  <c r="AK57" i="3"/>
  <c r="AK392" i="3"/>
  <c r="AK603" i="3"/>
  <c r="AK593" i="3"/>
  <c r="AK588" i="3"/>
  <c r="AK174" i="3"/>
  <c r="AK991" i="3"/>
  <c r="AK437" i="3"/>
  <c r="AK623" i="3"/>
  <c r="AJ889" i="3"/>
  <c r="AL901" i="3"/>
  <c r="AL1181" i="3"/>
  <c r="AL704" i="3"/>
  <c r="AL1146" i="3"/>
  <c r="AL119" i="3"/>
  <c r="AL522" i="3"/>
  <c r="AL1040" i="3"/>
  <c r="AL571" i="3"/>
  <c r="AL883" i="3"/>
  <c r="AL331" i="3"/>
  <c r="AL385" i="3"/>
  <c r="AL1138" i="3"/>
  <c r="AL115" i="3"/>
  <c r="AL811" i="3"/>
  <c r="AL1062" i="3"/>
  <c r="AL606" i="3"/>
  <c r="AL1059" i="3"/>
  <c r="AL29" i="3"/>
  <c r="AL420" i="3"/>
  <c r="AL981" i="3"/>
  <c r="AL466" i="3"/>
  <c r="AL778" i="3"/>
  <c r="AL1166" i="3"/>
  <c r="AL201" i="3"/>
  <c r="AL1057" i="3"/>
  <c r="AL25" i="3"/>
  <c r="AL557" i="3"/>
  <c r="AL882" i="3"/>
  <c r="AL381" i="3"/>
  <c r="AL879" i="3"/>
  <c r="AL1161" i="3"/>
  <c r="AL694" i="3"/>
  <c r="AL1170" i="3"/>
  <c r="AL1171" i="3" s="1"/>
  <c r="AL155" i="3"/>
  <c r="AL552" i="3"/>
  <c r="AL1034" i="3"/>
  <c r="AL561" i="3"/>
  <c r="AL862" i="3"/>
  <c r="AL709" i="3"/>
  <c r="AL99" i="3"/>
  <c r="AL855" i="3"/>
  <c r="AL72" i="3"/>
  <c r="AL851" i="3"/>
  <c r="AL973" i="3"/>
  <c r="AL979" i="3"/>
  <c r="AL798" i="3"/>
  <c r="AL1088" i="3"/>
  <c r="AL1089" i="3" s="1"/>
  <c r="AL616" i="3"/>
  <c r="AL197" i="3"/>
  <c r="AL456" i="3"/>
  <c r="AL1075" i="3"/>
  <c r="AL969" i="3"/>
  <c r="AL110" i="3"/>
  <c r="AL261" i="3"/>
  <c r="AL729" i="3"/>
  <c r="AL547" i="3"/>
  <c r="AL918" i="3"/>
  <c r="AL1160" i="3"/>
  <c r="AL994" i="3"/>
  <c r="AL1183" i="3"/>
  <c r="AL47" i="3"/>
  <c r="AL989" i="3"/>
  <c r="AL777" i="3"/>
  <c r="AL680" i="3"/>
  <c r="AL137" i="3"/>
  <c r="AL1095" i="3"/>
  <c r="AL1153" i="3"/>
  <c r="AL961" i="3"/>
  <c r="AL187" i="3"/>
  <c r="AL626" i="3"/>
  <c r="AL440" i="3"/>
  <c r="AL867" i="3"/>
  <c r="AL1101" i="3"/>
  <c r="AL1024" i="3"/>
  <c r="AL146" i="3"/>
  <c r="AL243" i="3"/>
  <c r="AL621" i="3"/>
  <c r="AL475" i="3"/>
  <c r="AL821" i="3"/>
  <c r="AL221" i="3"/>
  <c r="AL275" i="3"/>
  <c r="AL1068" i="3"/>
  <c r="AL450" i="3"/>
  <c r="AL390" i="3"/>
  <c r="AL1142" i="3"/>
  <c r="AL567" i="3"/>
  <c r="AL88" i="3"/>
  <c r="AL1100" i="3"/>
  <c r="AL815" i="3"/>
  <c r="AL566" i="3"/>
  <c r="AL950" i="3"/>
  <c r="AL200" i="3"/>
  <c r="AL405" i="3"/>
  <c r="AL330" i="3"/>
  <c r="AL695" i="3"/>
  <c r="AL1009" i="3"/>
  <c r="AL526" i="3"/>
  <c r="AL1005" i="3"/>
  <c r="AL124" i="3"/>
  <c r="AL266" i="3"/>
  <c r="AL900" i="3"/>
  <c r="AL386" i="3"/>
  <c r="AL690" i="3"/>
  <c r="AL1174" i="3"/>
  <c r="AL699" i="3"/>
  <c r="AL1000" i="3"/>
  <c r="AL117" i="3"/>
  <c r="AL597" i="3"/>
  <c r="AL929" i="3"/>
  <c r="AL421" i="3"/>
  <c r="AL927" i="3"/>
  <c r="AL34" i="3"/>
  <c r="AL734" i="3"/>
  <c r="AL810" i="3"/>
  <c r="AL202" i="3"/>
  <c r="AL592" i="3"/>
  <c r="AL1058" i="3"/>
  <c r="AL601" i="3"/>
  <c r="AL920" i="3"/>
  <c r="AL27" i="3"/>
  <c r="AL320" i="3"/>
  <c r="AL1108" i="3"/>
  <c r="AL101" i="3"/>
  <c r="AL685" i="3"/>
  <c r="AL999" i="3"/>
  <c r="AL495" i="3"/>
  <c r="AL1029" i="3"/>
  <c r="AL160" i="3"/>
  <c r="AL311" i="3"/>
  <c r="AL878" i="3"/>
  <c r="AL1156" i="3"/>
  <c r="AL587" i="3"/>
  <c r="AL63" i="3"/>
  <c r="AL956" i="3"/>
  <c r="AL591" i="3"/>
  <c r="AL1155" i="3"/>
  <c r="AL586" i="3"/>
  <c r="AL582" i="3"/>
  <c r="AL710" i="3"/>
  <c r="AL142" i="3"/>
  <c r="AL908" i="3"/>
  <c r="AL162" i="3"/>
  <c r="AL1022" i="3"/>
  <c r="AL395" i="3"/>
  <c r="AL196" i="3"/>
  <c r="AL257" i="3"/>
  <c r="AL627" i="3"/>
  <c r="AL995" i="3"/>
  <c r="AL846" i="3"/>
  <c r="AL1102" i="3"/>
  <c r="AL153" i="3"/>
  <c r="AL315" i="3"/>
  <c r="AL724" i="3"/>
  <c r="AL542" i="3"/>
  <c r="AL826" i="3"/>
  <c r="AL1069" i="3"/>
  <c r="AL481" i="3"/>
  <c r="AL919" i="3"/>
  <c r="AL910" i="3"/>
  <c r="AL284" i="3"/>
  <c r="AL577" i="3"/>
  <c r="AL541" i="3"/>
  <c r="AL1076" i="3"/>
  <c r="AL56" i="3"/>
  <c r="AL1189" i="3"/>
  <c r="AL1074" i="3"/>
  <c r="AL1073" i="3"/>
  <c r="AL1028" i="3"/>
  <c r="AL205" i="3"/>
  <c r="AL90" i="3"/>
  <c r="AL546" i="3"/>
  <c r="AL293" i="3"/>
  <c r="AL612" i="3"/>
  <c r="AL957" i="3"/>
  <c r="AL825" i="3"/>
  <c r="AL135" i="3"/>
  <c r="AL128" i="3"/>
  <c r="AL1014" i="3"/>
  <c r="AL978" i="3"/>
  <c r="AL1056" i="3"/>
  <c r="AL1041" i="3"/>
  <c r="AL396" i="3"/>
  <c r="AL757" i="3"/>
  <c r="AL902" i="3"/>
  <c r="AL210" i="3"/>
  <c r="AL602" i="3"/>
  <c r="AL81" i="3"/>
  <c r="AL735" i="3"/>
  <c r="AL171" i="3"/>
  <c r="AL730" i="3"/>
  <c r="AL968" i="3"/>
  <c r="AL1050" i="3"/>
  <c r="AL401" i="3"/>
  <c r="AL705" i="3"/>
  <c r="AL496" i="3"/>
  <c r="AL850" i="3"/>
  <c r="AL270" i="3"/>
  <c r="AL847" i="3"/>
  <c r="AL654" i="3"/>
  <c r="AL1133" i="3"/>
  <c r="AL108" i="3"/>
  <c r="AL491" i="3"/>
  <c r="AL505" i="3" s="1"/>
  <c r="AL1004" i="3"/>
  <c r="AL521" i="3"/>
  <c r="AL843" i="3"/>
  <c r="AL793" i="3"/>
  <c r="AL415" i="3"/>
  <c r="AL1165" i="3"/>
  <c r="AL151" i="3"/>
  <c r="AL725" i="3"/>
  <c r="AL1030" i="3"/>
  <c r="AL556" i="3"/>
  <c r="AL1053" i="3"/>
  <c r="AL18" i="3"/>
  <c r="AL410" i="3"/>
  <c r="AL925" i="3"/>
  <c r="AL416" i="3"/>
  <c r="AL720" i="3"/>
  <c r="AL1154" i="3"/>
  <c r="AL689" i="3"/>
  <c r="AL990" i="3"/>
  <c r="AL106" i="3"/>
  <c r="AL485" i="3"/>
  <c r="AL487" i="3" s="1"/>
  <c r="AL842" i="3"/>
  <c r="AL252" i="3"/>
  <c r="AL871" i="3"/>
  <c r="AL1147" i="3"/>
  <c r="AL684" i="3"/>
  <c r="AL1106" i="3"/>
  <c r="AL1015" i="3"/>
  <c r="AL288" i="3"/>
  <c r="AL1010" i="3"/>
  <c r="AL1033" i="3"/>
  <c r="AL1093" i="3"/>
  <c r="AL460" i="3"/>
  <c r="AL329" i="3"/>
  <c r="AL714" i="3"/>
  <c r="AL461" i="3"/>
  <c r="AL854" i="3"/>
  <c r="AL659" i="3"/>
  <c r="AL206" i="3"/>
  <c r="AL773" i="3"/>
  <c r="AL61" i="3"/>
  <c r="AL1190" i="3"/>
  <c r="AL55" i="3"/>
  <c r="AL451" i="3"/>
  <c r="AL248" i="3"/>
  <c r="AL622" i="3"/>
  <c r="AL1027" i="3"/>
  <c r="AL874" i="3"/>
  <c r="AL20" i="3"/>
  <c r="AL144" i="3"/>
  <c r="AL490" i="3"/>
  <c r="AL239" i="3"/>
  <c r="AL675" i="3"/>
  <c r="AL986" i="3"/>
  <c r="AL772" i="3"/>
  <c r="AL1047" i="3"/>
  <c r="AL97" i="3"/>
  <c r="AL1148" i="3"/>
  <c r="AL646" i="3"/>
  <c r="AL445" i="3"/>
  <c r="AL839" i="3"/>
  <c r="AL53" i="3"/>
  <c r="AL551" i="3"/>
  <c r="AL302" i="3"/>
  <c r="AL715" i="3"/>
  <c r="AL1023" i="3"/>
  <c r="AL838" i="3"/>
  <c r="AL1070" i="3"/>
  <c r="AL52" i="3"/>
  <c r="AL223" i="3"/>
  <c r="AL660" i="3"/>
  <c r="AL664" i="3"/>
  <c r="AL70" i="3"/>
  <c r="AL277" i="3"/>
  <c r="AL455" i="3"/>
  <c r="AL768" i="3"/>
  <c r="AL182" i="3"/>
  <c r="AL700" i="3"/>
  <c r="AL178" i="3"/>
  <c r="AL391" i="3"/>
  <c r="AL820" i="3"/>
  <c r="AL669" i="3"/>
  <c r="AL465" i="3"/>
  <c r="AL1036" i="3"/>
  <c r="AL380" i="3"/>
  <c r="AL1109" i="3"/>
  <c r="AL321" i="3"/>
  <c r="AL858" i="3"/>
  <c r="AL480" i="3"/>
  <c r="AL65" i="3"/>
  <c r="AL962" i="3"/>
  <c r="AL446" i="3"/>
  <c r="AL758" i="3"/>
  <c r="AL1149" i="3"/>
  <c r="AL767" i="3"/>
  <c r="AL1045" i="3"/>
  <c r="AL189" i="3"/>
  <c r="AL617" i="3"/>
  <c r="AL960" i="3"/>
  <c r="AL441" i="3"/>
  <c r="AL959" i="3"/>
  <c r="AL54" i="3"/>
  <c r="AL762" i="3"/>
  <c r="AL870" i="3"/>
  <c r="AL306" i="3"/>
  <c r="AL670" i="3"/>
  <c r="AL1134" i="3"/>
  <c r="AL679" i="3"/>
  <c r="AL984" i="3"/>
  <c r="AL92" i="3"/>
  <c r="AL537" i="3"/>
  <c r="AL866" i="3"/>
  <c r="AL297" i="3"/>
  <c r="AL863" i="3"/>
  <c r="AL1107" i="3"/>
  <c r="AL674" i="3"/>
  <c r="AL1065" i="3"/>
  <c r="AL43" i="3"/>
  <c r="AL430" i="3"/>
  <c r="AL958" i="3"/>
  <c r="AL436" i="3"/>
  <c r="AL740" i="3"/>
  <c r="AL1176" i="3"/>
  <c r="AL214" i="3"/>
  <c r="AL1063" i="3"/>
  <c r="AL36" i="3"/>
  <c r="AL607" i="3"/>
  <c r="AL1051" i="3"/>
  <c r="AL411" i="3"/>
  <c r="AL1191" i="3"/>
  <c r="AL431" i="3"/>
  <c r="AL16" i="3"/>
  <c r="AL763" i="3"/>
  <c r="AL191" i="3"/>
  <c r="AL917" i="3"/>
  <c r="AL719" i="3"/>
  <c r="AL909" i="3"/>
  <c r="AL1175" i="3"/>
  <c r="AL133" i="3"/>
  <c r="AL859" i="3"/>
  <c r="AL126" i="3"/>
  <c r="AL400" i="3"/>
  <c r="AL1184" i="3"/>
  <c r="AL180" i="3"/>
  <c r="AL572" i="3"/>
  <c r="AL1046" i="3"/>
  <c r="AL581" i="3"/>
  <c r="AL903" i="3"/>
  <c r="AL207" i="3"/>
  <c r="AL435" i="3"/>
  <c r="AL1182" i="3"/>
  <c r="AL173" i="3"/>
  <c r="AL745" i="3"/>
  <c r="AL1042" i="3"/>
  <c r="AL576" i="3"/>
  <c r="AL1099" i="3"/>
  <c r="AL83" i="3"/>
  <c r="AL470" i="3"/>
  <c r="AL985" i="3"/>
  <c r="AL476" i="3"/>
  <c r="AL816" i="3"/>
  <c r="AL788" i="3"/>
  <c r="AL286" i="3"/>
  <c r="AL1094" i="3"/>
  <c r="AL79" i="3"/>
  <c r="AL665" i="3"/>
  <c r="AL983" i="3"/>
  <c r="AL471" i="3"/>
  <c r="AL951" i="3"/>
  <c r="AL45" i="3"/>
  <c r="AL744" i="3"/>
  <c r="AL1177" i="3"/>
  <c r="AL169" i="3"/>
  <c r="AL562" i="3"/>
  <c r="AL1064" i="3"/>
  <c r="AL611" i="3"/>
  <c r="AL931" i="3"/>
  <c r="AL38" i="3"/>
  <c r="AL425" i="3"/>
  <c r="AL279" i="3"/>
  <c r="AL1188" i="3"/>
  <c r="AL527" i="3"/>
  <c r="AL164" i="3"/>
  <c r="AL1092" i="3"/>
  <c r="AL531" i="3"/>
  <c r="AL1195" i="3"/>
  <c r="AL1196" i="3" s="1"/>
  <c r="AL655" i="3"/>
  <c r="AL74" i="3"/>
  <c r="AL647" i="3"/>
  <c r="AL875" i="3"/>
  <c r="AL797" i="3"/>
  <c r="AL596" i="3"/>
  <c r="AL974" i="3"/>
  <c r="AL536" i="3"/>
  <c r="AL907" i="3"/>
  <c r="AL1039" i="3"/>
  <c r="AL982" i="3"/>
  <c r="AL219" i="3"/>
  <c r="AL980" i="3"/>
  <c r="AL212" i="3"/>
  <c r="AL1035" i="3"/>
  <c r="AL426" i="3"/>
  <c r="AL739" i="3"/>
  <c r="AL1052" i="3"/>
  <c r="AL406" i="3"/>
  <c r="AL532" i="3"/>
  <c r="AJ1205" i="3"/>
  <c r="AK382" i="3"/>
  <c r="AK501" i="3"/>
  <c r="AK503" i="3"/>
  <c r="AK30" i="3"/>
  <c r="AK633" i="3"/>
  <c r="AK970" i="3"/>
  <c r="AK856" i="3"/>
  <c r="AK911" i="3"/>
  <c r="AJ363" i="3"/>
  <c r="AJ782" i="3"/>
  <c r="AM29" i="3"/>
  <c r="AM664" i="3"/>
  <c r="AM1059" i="3"/>
  <c r="AM20" i="3"/>
  <c r="AM986" i="3"/>
  <c r="AM674" i="3"/>
  <c r="AM973" i="3"/>
  <c r="AM882" i="3"/>
  <c r="AM883" i="3"/>
  <c r="AM561" i="3"/>
  <c r="AM1039" i="3"/>
  <c r="AM1188" i="3"/>
  <c r="AM679" i="3"/>
  <c r="AM410" i="3"/>
  <c r="AM207" i="3"/>
  <c r="AM191" i="3"/>
  <c r="AM777" i="3"/>
  <c r="AM685" i="3"/>
  <c r="AM1189" i="3"/>
  <c r="AM16" i="3"/>
  <c r="AM910" i="3"/>
  <c r="AM744" i="3"/>
  <c r="AM1100" i="3"/>
  <c r="AM1146" i="3"/>
  <c r="AM581" i="3"/>
  <c r="AM1064" i="3"/>
  <c r="AM694" i="3"/>
  <c r="AM212" i="3"/>
  <c r="AM984" i="3"/>
  <c r="AM475" i="3"/>
  <c r="AM909" i="3"/>
  <c r="AM951" i="3"/>
  <c r="AM1095" i="3"/>
  <c r="AM734" i="3"/>
  <c r="AM36" i="3"/>
  <c r="AM537" i="3"/>
  <c r="AM960" i="3"/>
  <c r="AM982" i="3"/>
  <c r="AM153" i="3"/>
  <c r="AM1094" i="3"/>
  <c r="AM390" i="3"/>
  <c r="AM239" i="3"/>
  <c r="AM862" i="3"/>
  <c r="AM719" i="3"/>
  <c r="AM1183" i="3"/>
  <c r="AM266" i="3"/>
  <c r="AM126" i="3"/>
  <c r="AM1069" i="3"/>
  <c r="AM617" i="3"/>
  <c r="AM1024" i="3"/>
  <c r="AM1041" i="3"/>
  <c r="AK183" i="3"/>
  <c r="AK102" i="3"/>
  <c r="AK750" i="3"/>
  <c r="AK1157" i="3"/>
  <c r="AK1185" i="3"/>
  <c r="AK507" i="3"/>
  <c r="AK506" i="3"/>
  <c r="AK120" i="3"/>
  <c r="AK868" i="3"/>
  <c r="AK417" i="3"/>
  <c r="AK741" i="3"/>
  <c r="AK397" i="3"/>
  <c r="AK583" i="3"/>
  <c r="AJ1018" i="3"/>
  <c r="AJ232" i="3"/>
  <c r="AJ203" i="3"/>
  <c r="AK323" i="3"/>
  <c r="AK783" i="3" s="1"/>
  <c r="AK803" i="3" s="1"/>
  <c r="AK165" i="3"/>
  <c r="AK1192" i="3"/>
  <c r="AK387" i="3"/>
  <c r="AK502" i="3"/>
  <c r="AK553" i="3"/>
  <c r="AK1162" i="3"/>
  <c r="AK402" i="3"/>
  <c r="AK422" i="3"/>
  <c r="AK840" i="3"/>
  <c r="AK886" i="3"/>
  <c r="AM65" i="3"/>
  <c r="AM532" i="3"/>
  <c r="AM985" i="3"/>
  <c r="AM411" i="3"/>
  <c r="AM1176" i="3"/>
  <c r="AM542" i="3"/>
  <c r="AM858" i="3"/>
  <c r="AM1181" i="3"/>
  <c r="AM117" i="3"/>
  <c r="AM839" i="3"/>
  <c r="AM135" i="3"/>
  <c r="AM646" i="3"/>
  <c r="AM547" i="3"/>
  <c r="AM1045" i="3"/>
  <c r="AM793" i="3"/>
  <c r="AM151" i="3"/>
  <c r="AM655" i="3"/>
  <c r="AM531" i="3"/>
  <c r="AM200" i="3"/>
  <c r="AM329" i="3"/>
  <c r="AM430" i="3"/>
  <c r="AM306" i="3"/>
  <c r="AM907" i="3"/>
  <c r="AM767" i="3"/>
  <c r="AM788" i="3"/>
  <c r="AM380" i="3"/>
  <c r="AM173" i="3"/>
  <c r="AM1101" i="3"/>
  <c r="AM675" i="3"/>
  <c r="AM1050" i="3"/>
  <c r="AM1065" i="3"/>
  <c r="AM331" i="3"/>
  <c r="AM420" i="3"/>
  <c r="AM221" i="3"/>
  <c r="AM1155" i="3"/>
  <c r="AM715" i="3"/>
  <c r="AM1074" i="3"/>
  <c r="AM1099" i="3"/>
  <c r="AM115" i="3"/>
  <c r="AM43" i="3"/>
  <c r="AM572" i="3"/>
  <c r="AM490" i="3"/>
  <c r="AM1022" i="3"/>
  <c r="AM405" i="3"/>
  <c r="AM146" i="3"/>
  <c r="AM522" i="3"/>
  <c r="AM401" i="3"/>
  <c r="AM842" i="3"/>
  <c r="AM855" i="3"/>
  <c r="AM1161" i="3"/>
  <c r="AM1184" i="3"/>
  <c r="AN8" i="3"/>
  <c r="AN1" i="3" s="1"/>
  <c r="AN1177" i="3" s="1"/>
  <c r="AK634" i="3"/>
  <c r="AK921" i="3"/>
  <c r="AK1222" i="3" s="1"/>
  <c r="AK864" i="3"/>
  <c r="AK75" i="3"/>
  <c r="AK726" i="3"/>
  <c r="AK953" i="3"/>
  <c r="AK568" i="3"/>
  <c r="AK666" i="3"/>
  <c r="AK316" i="3"/>
  <c r="AK711" i="3"/>
  <c r="AK1096" i="3"/>
  <c r="AK799" i="3"/>
  <c r="AJ509" i="3"/>
  <c r="AJ1211" i="3"/>
  <c r="AJ366" i="3"/>
  <c r="AK830" i="3"/>
  <c r="AK812" i="3"/>
  <c r="AJ1121" i="3"/>
  <c r="AJ1208" i="3" s="1"/>
  <c r="AJ1238" i="3" s="1"/>
  <c r="AK138" i="3"/>
  <c r="AK325" i="3"/>
  <c r="AK365" i="3" s="1"/>
  <c r="AK289" i="3"/>
  <c r="AJ833" i="3"/>
  <c r="AK1201" i="3"/>
  <c r="AM536" i="3"/>
  <c r="AM961" i="3"/>
  <c r="AM1165" i="3"/>
  <c r="AM660" i="3"/>
  <c r="AM321" i="3"/>
  <c r="AM980" i="3"/>
  <c r="AM1154" i="3"/>
  <c r="AM621" i="3"/>
  <c r="AM724" i="3"/>
  <c r="AM1052" i="3"/>
  <c r="AM252" i="3"/>
  <c r="AM496" i="3"/>
  <c r="AM968" i="3"/>
  <c r="AM277" i="3"/>
  <c r="AM160" i="3"/>
  <c r="AM606" i="3"/>
  <c r="AM1035" i="3"/>
  <c r="AM54" i="3"/>
  <c r="AM763" i="3"/>
  <c r="AM162" i="3"/>
  <c r="AM133" i="3"/>
  <c r="AM612" i="3"/>
  <c r="AM551" i="3"/>
  <c r="AM1046" i="3"/>
  <c r="AM445" i="3"/>
  <c r="AM18" i="3"/>
  <c r="AM562" i="3"/>
  <c r="AM441" i="3"/>
  <c r="AM874" i="3"/>
  <c r="AM908" i="3"/>
  <c r="AM1195" i="3"/>
  <c r="AM1196" i="3" s="1"/>
  <c r="AM838" i="3"/>
  <c r="AM108" i="3"/>
  <c r="AM602" i="3"/>
  <c r="AM481" i="3"/>
  <c r="AM919" i="3"/>
  <c r="AM959" i="3"/>
  <c r="AM261" i="3"/>
  <c r="AM870" i="3"/>
  <c r="AM391" i="3"/>
  <c r="AM243" i="3"/>
  <c r="AM758" i="3"/>
  <c r="AM689" i="3"/>
  <c r="AM1156" i="3"/>
  <c r="AM587" i="3"/>
  <c r="AM110" i="3"/>
  <c r="AM700" i="3"/>
  <c r="AM586" i="3"/>
  <c r="AM999" i="3"/>
  <c r="AM1023" i="3"/>
  <c r="AM416" i="3"/>
  <c r="AK613" i="3"/>
  <c r="AK442" i="3"/>
  <c r="AK262" i="3"/>
  <c r="AK887" i="3"/>
  <c r="AK467" i="3"/>
  <c r="AK66" i="3"/>
  <c r="AK492" i="3"/>
  <c r="AK538" i="3"/>
  <c r="AK558" i="3"/>
  <c r="AK656" i="3"/>
  <c r="AK749" i="3"/>
  <c r="AK736" i="3"/>
  <c r="AK111" i="3"/>
  <c r="AK779" i="3"/>
  <c r="AK1143" i="3"/>
  <c r="AK1202" i="3"/>
  <c r="AK548" i="3"/>
  <c r="AJ913" i="3"/>
  <c r="AK370" i="3"/>
  <c r="E62" i="1"/>
  <c r="F62" i="1"/>
  <c r="B62" i="1" s="1"/>
  <c r="AN9" i="3" s="1"/>
  <c r="O63" i="1"/>
  <c r="F1150" i="3"/>
  <c r="AZ154" i="4"/>
  <c r="BA154" i="4" s="1"/>
  <c r="AQ154" i="4"/>
  <c r="K58" i="14"/>
  <c r="L58" i="14"/>
  <c r="J59" i="14" s="1"/>
  <c r="Y89" i="6"/>
  <c r="Y90" i="6" s="1"/>
  <c r="K57" i="14"/>
  <c r="AM691" i="3" l="1"/>
  <c r="AM1083" i="3"/>
  <c r="AM1123" i="3" s="1"/>
  <c r="AL1083" i="3"/>
  <c r="AL1123" i="3" s="1"/>
  <c r="AL482" i="3"/>
  <c r="AL1078" i="3"/>
  <c r="AL1084" i="3" s="1"/>
  <c r="AL1124" i="3" s="1"/>
  <c r="AL1082" i="3"/>
  <c r="AL1122" i="3" s="1"/>
  <c r="AM1078" i="3"/>
  <c r="AM1084" i="3" s="1"/>
  <c r="AM1124" i="3" s="1"/>
  <c r="AL799" i="3"/>
  <c r="AK1085" i="3"/>
  <c r="AK1127" i="3" s="1"/>
  <c r="AM1082" i="3"/>
  <c r="AM1122" i="3" s="1"/>
  <c r="AL598" i="3"/>
  <c r="AM661" i="3"/>
  <c r="AL543" i="3"/>
  <c r="AM371" i="3"/>
  <c r="AL774" i="3"/>
  <c r="AM812" i="3"/>
  <c r="AM628" i="3"/>
  <c r="AM631" i="3" s="1"/>
  <c r="AM970" i="3"/>
  <c r="AM618" i="3"/>
  <c r="AM156" i="3"/>
  <c r="AM701" i="3"/>
  <c r="AN627" i="3"/>
  <c r="AN825" i="3"/>
  <c r="AM262" i="3"/>
  <c r="AI1223" i="3"/>
  <c r="AI1227" i="3" s="1"/>
  <c r="AI1229" i="3" s="1"/>
  <c r="AI1234" i="3" s="1"/>
  <c r="AI1244" i="3" s="1"/>
  <c r="AM731" i="3"/>
  <c r="AM1167" i="3"/>
  <c r="AM696" i="3"/>
  <c r="AN622" i="3"/>
  <c r="AK364" i="3"/>
  <c r="AM991" i="3"/>
  <c r="AN734" i="3"/>
  <c r="AM452" i="3"/>
  <c r="AM548" i="3"/>
  <c r="AM774" i="3"/>
  <c r="AN331" i="3"/>
  <c r="AM229" i="3"/>
  <c r="AM782" i="3" s="1"/>
  <c r="AN79" i="3"/>
  <c r="AL827" i="3"/>
  <c r="AN135" i="3"/>
  <c r="AN582" i="3"/>
  <c r="AM298" i="3"/>
  <c r="AN1099" i="3"/>
  <c r="AN709" i="3"/>
  <c r="AL492" i="3"/>
  <c r="AN74" i="3"/>
  <c r="AN1040" i="3"/>
  <c r="AM671" i="3"/>
  <c r="AM462" i="3"/>
  <c r="AM568" i="3"/>
  <c r="AM482" i="3"/>
  <c r="AM764" i="3"/>
  <c r="AK232" i="3"/>
  <c r="AM726" i="3"/>
  <c r="AM779" i="3"/>
  <c r="AM608" i="3"/>
  <c r="AL102" i="3"/>
  <c r="AL779" i="3"/>
  <c r="AM533" i="3"/>
  <c r="AL721" i="3"/>
  <c r="AL872" i="3"/>
  <c r="AM799" i="3"/>
  <c r="AM437" i="3"/>
  <c r="AM852" i="3"/>
  <c r="AM593" i="3"/>
  <c r="AM741" i="3"/>
  <c r="AM876" i="3"/>
  <c r="AM447" i="3"/>
  <c r="AM407" i="3"/>
  <c r="AL402" i="3"/>
  <c r="AM457" i="3"/>
  <c r="AM868" i="3"/>
  <c r="AH1223" i="3"/>
  <c r="AH1227" i="3" s="1"/>
  <c r="AH1229" i="3" s="1"/>
  <c r="AH1234" i="3" s="1"/>
  <c r="AH1244" i="3" s="1"/>
  <c r="AM856" i="3"/>
  <c r="AL578" i="3"/>
  <c r="AM884" i="3"/>
  <c r="AM746" i="3"/>
  <c r="AM316" i="3"/>
  <c r="AM1135" i="3"/>
  <c r="AM1110" i="3"/>
  <c r="AM975" i="3"/>
  <c r="AM215" i="3"/>
  <c r="AM827" i="3"/>
  <c r="AK1209" i="3"/>
  <c r="AK1239" i="3" s="1"/>
  <c r="AM573" i="3"/>
  <c r="AM558" i="3"/>
  <c r="AL741" i="3"/>
  <c r="AM1011" i="3"/>
  <c r="AN1015" i="3"/>
  <c r="AN577" i="3"/>
  <c r="AN391" i="3"/>
  <c r="AN870" i="3"/>
  <c r="AN92" i="3"/>
  <c r="AN1000" i="3"/>
  <c r="AN153" i="3"/>
  <c r="AN989" i="3"/>
  <c r="AN724" i="3"/>
  <c r="AN386" i="3"/>
  <c r="AN1154" i="3"/>
  <c r="AN1183" i="3"/>
  <c r="AN714" i="3"/>
  <c r="AN969" i="3"/>
  <c r="AN951" i="3"/>
  <c r="AN551" i="3"/>
  <c r="AN901" i="3"/>
  <c r="AN1075" i="3"/>
  <c r="AN552" i="3"/>
  <c r="AN495" i="3"/>
  <c r="AN18" i="3"/>
  <c r="AN962" i="3"/>
  <c r="AN436" i="3"/>
  <c r="AN1005" i="3"/>
  <c r="AN556" i="3"/>
  <c r="AN994" i="3"/>
  <c r="AN29" i="3"/>
  <c r="AN670" i="3"/>
  <c r="AL427" i="3"/>
  <c r="AL649" i="3"/>
  <c r="AL759" i="3"/>
  <c r="AN481" i="3"/>
  <c r="AN859" i="3"/>
  <c r="AN811" i="3"/>
  <c r="AN445" i="3"/>
  <c r="AN929" i="3"/>
  <c r="AN456" i="3"/>
  <c r="AN1023" i="3"/>
  <c r="AN920" i="3"/>
  <c r="AN385" i="3"/>
  <c r="AN126" i="3"/>
  <c r="AN763" i="3"/>
  <c r="AN1190" i="3"/>
  <c r="AN1182" i="3"/>
  <c r="AN1093" i="3"/>
  <c r="AN302" i="3"/>
  <c r="AN958" i="3"/>
  <c r="AM538" i="3"/>
  <c r="AM769" i="3"/>
  <c r="AN1088" i="3"/>
  <c r="AN1089" i="3" s="1"/>
  <c r="AN843" i="3"/>
  <c r="AN63" i="3"/>
  <c r="AN329" i="3"/>
  <c r="AN119" i="3"/>
  <c r="AN390" i="3"/>
  <c r="AM848" i="3"/>
  <c r="AN1039" i="3"/>
  <c r="AN206" i="3"/>
  <c r="AN659" i="3"/>
  <c r="AN1160" i="3"/>
  <c r="AN660" i="3"/>
  <c r="AN25" i="3"/>
  <c r="AN401" i="3"/>
  <c r="AN1094" i="3"/>
  <c r="AN874" i="3"/>
  <c r="AN171" i="3"/>
  <c r="AN196" i="3"/>
  <c r="AN547" i="3"/>
  <c r="AN1070" i="3"/>
  <c r="AN961" i="3"/>
  <c r="AN286" i="3"/>
  <c r="AN826" i="3"/>
  <c r="AN205" i="3"/>
  <c r="AN787" i="3" s="1"/>
  <c r="AN616" i="3"/>
  <c r="AN43" i="3"/>
  <c r="AN1050" i="3"/>
  <c r="AN974" i="3"/>
  <c r="AN1073" i="3"/>
  <c r="AN1057" i="3"/>
  <c r="AN567" i="3"/>
  <c r="AN531" i="3"/>
  <c r="AN778" i="3"/>
  <c r="AN522" i="3"/>
  <c r="AL711" i="3"/>
  <c r="AM578" i="3"/>
  <c r="AM613" i="3"/>
  <c r="AM817" i="3"/>
  <c r="AN699" i="3"/>
  <c r="AN1156" i="3"/>
  <c r="AN601" i="3"/>
  <c r="AN745" i="3"/>
  <c r="AN689" i="3"/>
  <c r="AN381" i="3"/>
  <c r="AN597" i="3"/>
  <c r="AN1142" i="3"/>
  <c r="AN1143" i="3" s="1"/>
  <c r="AN542" i="3"/>
  <c r="AN321" i="3"/>
  <c r="AN878" i="3"/>
  <c r="AN821" i="3"/>
  <c r="AM633" i="3"/>
  <c r="AM417" i="3"/>
  <c r="AM48" i="3"/>
  <c r="AM880" i="3"/>
  <c r="AM759" i="3"/>
  <c r="AM789" i="3"/>
  <c r="AM822" i="3"/>
  <c r="AM603" i="3"/>
  <c r="AM840" i="3"/>
  <c r="AM192" i="3"/>
  <c r="AM422" i="3"/>
  <c r="AM472" i="3"/>
  <c r="AM528" i="3"/>
  <c r="AM1016" i="3"/>
  <c r="AM271" i="3"/>
  <c r="AM102" i="3"/>
  <c r="AM721" i="3"/>
  <c r="AM523" i="3"/>
  <c r="AM1001" i="3"/>
  <c r="AM111" i="3"/>
  <c r="AM844" i="3"/>
  <c r="AM1096" i="3"/>
  <c r="AM583" i="3"/>
  <c r="AM30" i="3"/>
  <c r="AL593" i="3"/>
  <c r="AM57" i="3"/>
  <c r="AM860" i="3"/>
  <c r="AN261" i="3"/>
  <c r="AN106" i="3"/>
  <c r="AN1092" i="3"/>
  <c r="AN973" i="3"/>
  <c r="AN416" i="3"/>
  <c r="AN735" i="3"/>
  <c r="AN480" i="3"/>
  <c r="AN311" i="3"/>
  <c r="AN490" i="3"/>
  <c r="AN252" i="3"/>
  <c r="AN101" i="3"/>
  <c r="AN675" i="3"/>
  <c r="AN306" i="3"/>
  <c r="AN680" i="3"/>
  <c r="AN1004" i="3"/>
  <c r="AN169" i="3"/>
  <c r="AN968" i="3"/>
  <c r="AN847" i="3"/>
  <c r="AN471" i="3"/>
  <c r="AN110" i="3"/>
  <c r="AN124" i="3"/>
  <c r="AN838" i="3"/>
  <c r="AN1106" i="3"/>
  <c r="AN52" i="3"/>
  <c r="AN602" i="3"/>
  <c r="AN957" i="3"/>
  <c r="AM588" i="3"/>
  <c r="AM623" i="3"/>
  <c r="AK1210" i="3"/>
  <c r="AK1240" i="3" s="1"/>
  <c r="AK833" i="3"/>
  <c r="AM402" i="3"/>
  <c r="AM911" i="3"/>
  <c r="AM1185" i="3"/>
  <c r="AM953" i="3"/>
  <c r="AL538" i="3"/>
  <c r="AM183" i="3"/>
  <c r="AM280" i="3"/>
  <c r="AM598" i="3"/>
  <c r="AM1162" i="3"/>
  <c r="AM706" i="3"/>
  <c r="AM231" i="3"/>
  <c r="AN882" i="3"/>
  <c r="AN420" i="3"/>
  <c r="AN97" i="3"/>
  <c r="AN108" i="3"/>
  <c r="AN665" i="3"/>
  <c r="AN527" i="3"/>
  <c r="AN1166" i="3"/>
  <c r="AN1058" i="3"/>
  <c r="AN288" i="3"/>
  <c r="AN1029" i="3"/>
  <c r="AN927" i="3"/>
  <c r="AN875" i="3"/>
  <c r="AN1074" i="3"/>
  <c r="AN772" i="3"/>
  <c r="AN406" i="3"/>
  <c r="AN137" i="3"/>
  <c r="AN219" i="3"/>
  <c r="AN1174" i="3"/>
  <c r="AN1047" i="3"/>
  <c r="AN725" i="3"/>
  <c r="AN465" i="3"/>
  <c r="AN441" i="3"/>
  <c r="AN200" i="3"/>
  <c r="AN54" i="3"/>
  <c r="AN1024" i="3"/>
  <c r="AN919" i="3"/>
  <c r="AM165" i="3"/>
  <c r="AM497" i="3"/>
  <c r="AM649" i="3"/>
  <c r="AM864" i="3"/>
  <c r="AM230" i="3"/>
  <c r="AM21" i="3"/>
  <c r="AM1192" i="3"/>
  <c r="AL371" i="3"/>
  <c r="AL880" i="3"/>
  <c r="AM467" i="3"/>
  <c r="AM129" i="3"/>
  <c r="AM307" i="3"/>
  <c r="AM831" i="3"/>
  <c r="AM1006" i="3"/>
  <c r="AM996" i="3"/>
  <c r="AM93" i="3"/>
  <c r="AM39" i="3"/>
  <c r="AK635" i="3"/>
  <c r="AM681" i="3"/>
  <c r="AM904" i="3"/>
  <c r="AM147" i="3"/>
  <c r="AK913" i="3"/>
  <c r="AN1181" i="3"/>
  <c r="AN700" i="3"/>
  <c r="AN561" i="3"/>
  <c r="AN571" i="3"/>
  <c r="AN330" i="3"/>
  <c r="AN851" i="3"/>
  <c r="AN850" i="3"/>
  <c r="AN1138" i="3"/>
  <c r="AN1139" i="3" s="1"/>
  <c r="AN541" i="3"/>
  <c r="AN1170" i="3"/>
  <c r="AN1171" i="3" s="1"/>
  <c r="AN1059" i="3"/>
  <c r="AN1153" i="3"/>
  <c r="AN421" i="3"/>
  <c r="AN450" i="3"/>
  <c r="AN591" i="3"/>
  <c r="AN411" i="3"/>
  <c r="AN197" i="3"/>
  <c r="AN38" i="3"/>
  <c r="AN1175" i="3"/>
  <c r="AN978" i="3"/>
  <c r="AN115" i="3"/>
  <c r="AN626" i="3"/>
  <c r="AN180" i="3"/>
  <c r="AN202" i="3"/>
  <c r="AN1161" i="3"/>
  <c r="AN1056" i="3"/>
  <c r="AM253" i="3"/>
  <c r="AM492" i="3"/>
  <c r="AM382" i="3"/>
  <c r="AL84" i="3"/>
  <c r="AL844" i="3"/>
  <c r="AM84" i="3"/>
  <c r="AM75" i="3"/>
  <c r="AM370" i="3"/>
  <c r="AN201" i="3"/>
  <c r="AN1191" i="3"/>
  <c r="AN151" i="3"/>
  <c r="AN536" i="3"/>
  <c r="AN1027" i="3"/>
  <c r="AN611" i="3"/>
  <c r="AN431" i="3"/>
  <c r="AN223" i="3"/>
  <c r="AN56" i="3"/>
  <c r="AN980" i="3"/>
  <c r="AN909" i="3"/>
  <c r="AN1189" i="3"/>
  <c r="AN908" i="3"/>
  <c r="AN842" i="3"/>
  <c r="AN959" i="3"/>
  <c r="AN1051" i="3"/>
  <c r="AN705" i="3"/>
  <c r="AN532" i="3"/>
  <c r="AN521" i="3"/>
  <c r="AN990" i="3"/>
  <c r="AN61" i="3"/>
  <c r="AN720" i="3"/>
  <c r="AN1101" i="3"/>
  <c r="AN496" i="3"/>
  <c r="AN266" i="3"/>
  <c r="AN704" i="3"/>
  <c r="AM921" i="3"/>
  <c r="AM1222" i="3" s="1"/>
  <c r="AM711" i="3"/>
  <c r="AL253" i="3"/>
  <c r="AM224" i="3"/>
  <c r="AM792" i="3"/>
  <c r="AM794" i="3" s="1"/>
  <c r="AM830" i="3"/>
  <c r="AM392" i="3"/>
  <c r="AM736" i="3"/>
  <c r="AM686" i="3"/>
  <c r="AM563" i="3"/>
  <c r="AM666" i="3"/>
  <c r="AL1103" i="3"/>
  <c r="AL21" i="3"/>
  <c r="AL676" i="3"/>
  <c r="AL681" i="3"/>
  <c r="AL447" i="3"/>
  <c r="AL856" i="3"/>
  <c r="AL412" i="3"/>
  <c r="AL417" i="3"/>
  <c r="AL397" i="3"/>
  <c r="AL165" i="3"/>
  <c r="AL39" i="3"/>
  <c r="AL1011" i="3"/>
  <c r="AL817" i="3"/>
  <c r="AL1162" i="3"/>
  <c r="AL422" i="3"/>
  <c r="AL706" i="3"/>
  <c r="AM397" i="3"/>
  <c r="AM174" i="3"/>
  <c r="AL583" i="3"/>
  <c r="AL111" i="3"/>
  <c r="AM872" i="3"/>
  <c r="AM553" i="3"/>
  <c r="AL533" i="3"/>
  <c r="AL822" i="3"/>
  <c r="AL686" i="3"/>
  <c r="AL691" i="3"/>
  <c r="AL848" i="3"/>
  <c r="AL1001" i="3"/>
  <c r="AL477" i="3"/>
  <c r="AL628" i="3"/>
  <c r="AL631" i="3" s="1"/>
  <c r="AL731" i="3"/>
  <c r="AL618" i="3"/>
  <c r="AL696" i="3"/>
  <c r="AL608" i="3"/>
  <c r="AL970" i="3"/>
  <c r="AM1157" i="3"/>
  <c r="AM1150" i="3"/>
  <c r="AM432" i="3"/>
  <c r="AM543" i="3"/>
  <c r="AM477" i="3"/>
  <c r="AM412" i="3"/>
  <c r="AM676" i="3"/>
  <c r="AL868" i="3"/>
  <c r="AL666" i="3"/>
  <c r="AL876" i="3"/>
  <c r="AL1006" i="3"/>
  <c r="AL147" i="3"/>
  <c r="AL407" i="3"/>
  <c r="AL623" i="3"/>
  <c r="AL991" i="3"/>
  <c r="AL467" i="3"/>
  <c r="AL1185" i="3"/>
  <c r="AM442" i="3"/>
  <c r="AM964" i="3"/>
  <c r="AM138" i="3"/>
  <c r="AM716" i="3"/>
  <c r="AL548" i="3"/>
  <c r="AJ639" i="3"/>
  <c r="AJ1219" i="3" s="1"/>
  <c r="AM1178" i="3"/>
  <c r="AM325" i="3"/>
  <c r="AM365" i="3" s="1"/>
  <c r="AK366" i="3"/>
  <c r="AM501" i="3"/>
  <c r="AM326" i="3"/>
  <c r="AJ1214" i="3"/>
  <c r="AM372" i="3"/>
  <c r="AM656" i="3"/>
  <c r="AM120" i="3"/>
  <c r="AM66" i="3"/>
  <c r="AL231" i="3"/>
  <c r="AK1018" i="3"/>
  <c r="AM324" i="3"/>
  <c r="AK636" i="3"/>
  <c r="AM323" i="3"/>
  <c r="AM783" i="3" s="1"/>
  <c r="AM803" i="3" s="1"/>
  <c r="AM1103" i="3"/>
  <c r="AM502" i="3"/>
  <c r="AM507" i="3"/>
  <c r="AM1199" i="3"/>
  <c r="AM1202" i="3"/>
  <c r="AM1201" i="3"/>
  <c r="AL230" i="3"/>
  <c r="AK203" i="3"/>
  <c r="AJ368" i="3"/>
  <c r="AJ512" i="3" s="1"/>
  <c r="AL244" i="3"/>
  <c r="AL323" i="3"/>
  <c r="AL783" i="3" s="1"/>
  <c r="AL803" i="3" s="1"/>
  <c r="AL656" i="3"/>
  <c r="AL749" i="3"/>
  <c r="AL325" i="3"/>
  <c r="AL365" i="3" s="1"/>
  <c r="AL289" i="3"/>
  <c r="AL1178" i="3"/>
  <c r="AL280" i="3"/>
  <c r="AK889" i="3"/>
  <c r="AL911" i="3"/>
  <c r="AL750" i="3"/>
  <c r="AL746" i="3"/>
  <c r="AL138" i="3"/>
  <c r="AL1201" i="3"/>
  <c r="AL457" i="3"/>
  <c r="AL886" i="3"/>
  <c r="AL840" i="3"/>
  <c r="AL30" i="3"/>
  <c r="AN45" i="3"/>
  <c r="AN1052" i="3"/>
  <c r="AN956" i="3"/>
  <c r="AN315" i="3"/>
  <c r="AN1069" i="3"/>
  <c r="AN117" i="3"/>
  <c r="AN400" i="3"/>
  <c r="AN128" i="3"/>
  <c r="AN144" i="3"/>
  <c r="AN576" i="3"/>
  <c r="AN475" i="3"/>
  <c r="AN275" i="3"/>
  <c r="AN221" i="3"/>
  <c r="AN1028" i="3"/>
  <c r="AN684" i="3"/>
  <c r="AN925" i="3"/>
  <c r="AN243" i="3"/>
  <c r="AN72" i="3"/>
  <c r="AN47" i="3"/>
  <c r="AN871" i="3"/>
  <c r="AN1195" i="3"/>
  <c r="AN1196" i="3" s="1"/>
  <c r="AN710" i="3"/>
  <c r="AN674" i="3"/>
  <c r="AN1068" i="3"/>
  <c r="AN981" i="3"/>
  <c r="AN284" i="3"/>
  <c r="AN586" i="3"/>
  <c r="AN846" i="3"/>
  <c r="AN133" i="3"/>
  <c r="AN189" i="3"/>
  <c r="AN160" i="3"/>
  <c r="AN740" i="3"/>
  <c r="AN1107" i="3"/>
  <c r="AN612" i="3"/>
  <c r="AN1030" i="3"/>
  <c r="AN99" i="3"/>
  <c r="AN984" i="3"/>
  <c r="AN767" i="3"/>
  <c r="AN606" i="3"/>
  <c r="AN395" i="3"/>
  <c r="AN164" i="3"/>
  <c r="AN1065" i="3"/>
  <c r="AN173" i="3"/>
  <c r="AN986" i="3"/>
  <c r="AN16" i="3"/>
  <c r="AN20" i="3"/>
  <c r="AN883" i="3"/>
  <c r="AN839" i="3"/>
  <c r="AN866" i="3"/>
  <c r="AN572" i="3"/>
  <c r="AN1155" i="3"/>
  <c r="AK1211" i="3"/>
  <c r="AJ784" i="3"/>
  <c r="AJ805" i="3" s="1"/>
  <c r="AJ892" i="3" s="1"/>
  <c r="AJ1220" i="3" s="1"/>
  <c r="AJ802" i="3"/>
  <c r="AL671" i="3"/>
  <c r="AL324" i="3"/>
  <c r="AL716" i="3"/>
  <c r="AL1110" i="3"/>
  <c r="AL964" i="3"/>
  <c r="AL1081" i="3" s="1"/>
  <c r="AL497" i="3"/>
  <c r="AL603" i="3"/>
  <c r="AL93" i="3"/>
  <c r="AL442" i="3"/>
  <c r="AK784" i="3"/>
  <c r="AK805" i="3" s="1"/>
  <c r="AL502" i="3"/>
  <c r="AL387" i="3"/>
  <c r="AM750" i="3"/>
  <c r="AM749" i="3"/>
  <c r="AL860" i="3"/>
  <c r="AL66" i="3"/>
  <c r="AL271" i="3"/>
  <c r="AM244" i="3"/>
  <c r="AN931" i="3"/>
  <c r="AN546" i="3"/>
  <c r="AN415" i="3"/>
  <c r="AN1053" i="3"/>
  <c r="AN999" i="3"/>
  <c r="AN425" i="3"/>
  <c r="AN1041" i="3"/>
  <c r="AN757" i="3"/>
  <c r="AN816" i="3"/>
  <c r="AN178" i="3"/>
  <c r="AN27" i="3"/>
  <c r="AN34" i="3"/>
  <c r="AN1009" i="3"/>
  <c r="AN903" i="3"/>
  <c r="AN902" i="3"/>
  <c r="AN320" i="3"/>
  <c r="AN719" i="3"/>
  <c r="AN694" i="3"/>
  <c r="AN950" i="3"/>
  <c r="AN566" i="3"/>
  <c r="AN820" i="3"/>
  <c r="AN669" i="3"/>
  <c r="AN1036" i="3"/>
  <c r="AN207" i="3"/>
  <c r="AN470" i="3"/>
  <c r="AN1165" i="3"/>
  <c r="AN685" i="3"/>
  <c r="AN815" i="3"/>
  <c r="AN777" i="3"/>
  <c r="AN621" i="3"/>
  <c r="AN596" i="3"/>
  <c r="AN854" i="3"/>
  <c r="AN461" i="3"/>
  <c r="AN1146" i="3"/>
  <c r="AN466" i="3"/>
  <c r="AN855" i="3"/>
  <c r="AN788" i="3"/>
  <c r="AN607" i="3"/>
  <c r="AN1022" i="3"/>
  <c r="AN739" i="3"/>
  <c r="AN762" i="3"/>
  <c r="AN1109" i="3"/>
  <c r="AN248" i="3"/>
  <c r="AN1034" i="3"/>
  <c r="AN446" i="3"/>
  <c r="AN214" i="3"/>
  <c r="AN187" i="3"/>
  <c r="AN995" i="3"/>
  <c r="AN55" i="3"/>
  <c r="AN879" i="3"/>
  <c r="AM506" i="3"/>
  <c r="AM1200" i="3"/>
  <c r="AM387" i="3"/>
  <c r="AM887" i="3"/>
  <c r="AL921" i="3"/>
  <c r="AL1222" i="3" s="1"/>
  <c r="AL432" i="3"/>
  <c r="AL633" i="3"/>
  <c r="AL764" i="3"/>
  <c r="AL769" i="3"/>
  <c r="AL183" i="3"/>
  <c r="AL553" i="3"/>
  <c r="AL129" i="3"/>
  <c r="AL392" i="3"/>
  <c r="AL326" i="3"/>
  <c r="AL864" i="3"/>
  <c r="AL831" i="3"/>
  <c r="AL634" i="3"/>
  <c r="AK327" i="3"/>
  <c r="AM634" i="3"/>
  <c r="AK752" i="3"/>
  <c r="AK509" i="3"/>
  <c r="AL75" i="3"/>
  <c r="AL558" i="3"/>
  <c r="AL904" i="3"/>
  <c r="AK1205" i="3"/>
  <c r="AM503" i="3"/>
  <c r="AL613" i="3"/>
  <c r="AL307" i="3"/>
  <c r="AL462" i="3"/>
  <c r="AL852" i="3"/>
  <c r="AL298" i="3"/>
  <c r="AL1143" i="3"/>
  <c r="AL1202" i="3"/>
  <c r="AN210" i="3"/>
  <c r="AN410" i="3"/>
  <c r="AN142" i="3"/>
  <c r="AN1095" i="3"/>
  <c r="AN81" i="3"/>
  <c r="AN1010" i="3"/>
  <c r="AN1184" i="3"/>
  <c r="AN435" i="3"/>
  <c r="AN715" i="3"/>
  <c r="AN155" i="3"/>
  <c r="AN212" i="3"/>
  <c r="AN182" i="3"/>
  <c r="AN768" i="3"/>
  <c r="AN1147" i="3"/>
  <c r="AN647" i="3"/>
  <c r="AN1042" i="3"/>
  <c r="AN557" i="3"/>
  <c r="AN405" i="3"/>
  <c r="AN380" i="3"/>
  <c r="AN1064" i="3"/>
  <c r="AN744" i="3"/>
  <c r="AN985" i="3"/>
  <c r="AN867" i="3"/>
  <c r="AN297" i="3"/>
  <c r="AN581" i="3"/>
  <c r="AN758" i="3"/>
  <c r="AN1062" i="3"/>
  <c r="AN1045" i="3"/>
  <c r="AN983" i="3"/>
  <c r="AN455" i="3"/>
  <c r="AN239" i="3"/>
  <c r="AN798" i="3"/>
  <c r="AN1014" i="3"/>
  <c r="AN664" i="3"/>
  <c r="AN907" i="3"/>
  <c r="AN537" i="3"/>
  <c r="AN917" i="3"/>
  <c r="AN83" i="3"/>
  <c r="AN918" i="3"/>
  <c r="AN1134" i="3"/>
  <c r="AN617" i="3"/>
  <c r="AN440" i="3"/>
  <c r="AN797" i="3"/>
  <c r="AN491" i="3"/>
  <c r="AN505" i="3" s="1"/>
  <c r="AN1176" i="3"/>
  <c r="AN646" i="3"/>
  <c r="AN476" i="3"/>
  <c r="AN451" i="3"/>
  <c r="AN1133" i="3"/>
  <c r="AN270" i="3"/>
  <c r="AN1035" i="3"/>
  <c r="AM886" i="3"/>
  <c r="AK802" i="3"/>
  <c r="AM289" i="3"/>
  <c r="AL224" i="3"/>
  <c r="AL472" i="3"/>
  <c r="AL437" i="3"/>
  <c r="AL48" i="3"/>
  <c r="AL156" i="3"/>
  <c r="AL1016" i="3"/>
  <c r="AL262" i="3"/>
  <c r="AL812" i="3"/>
  <c r="AL830" i="3"/>
  <c r="AL953" i="3"/>
  <c r="AL452" i="3"/>
  <c r="AL563" i="3"/>
  <c r="AL507" i="3"/>
  <c r="AL506" i="3"/>
  <c r="AL120" i="3"/>
  <c r="AL523" i="3"/>
  <c r="AL632" i="3"/>
  <c r="AL573" i="3"/>
  <c r="AM632" i="3"/>
  <c r="AL1096" i="3"/>
  <c r="AL192" i="3"/>
  <c r="AK1121" i="3"/>
  <c r="AK1208" i="3" s="1"/>
  <c r="AK1238" i="3" s="1"/>
  <c r="AN293" i="3"/>
  <c r="AN690" i="3"/>
  <c r="AN396" i="3"/>
  <c r="AN960" i="3"/>
  <c r="AN277" i="3"/>
  <c r="AN65" i="3"/>
  <c r="AN1076" i="3"/>
  <c r="AN655" i="3"/>
  <c r="AN1063" i="3"/>
  <c r="AN426" i="3"/>
  <c r="AN191" i="3"/>
  <c r="AN162" i="3"/>
  <c r="AN982" i="3"/>
  <c r="AN36" i="3"/>
  <c r="AN863" i="3"/>
  <c r="AN1188" i="3"/>
  <c r="AN910" i="3"/>
  <c r="AN587" i="3"/>
  <c r="AN562" i="3"/>
  <c r="AN1148" i="3"/>
  <c r="AN430" i="3"/>
  <c r="AN1102" i="3"/>
  <c r="AN53" i="3"/>
  <c r="AN592" i="3"/>
  <c r="AN90" i="3"/>
  <c r="AN862" i="3"/>
  <c r="AN146" i="3"/>
  <c r="AN730" i="3"/>
  <c r="AN1100" i="3"/>
  <c r="AN695" i="3"/>
  <c r="AN485" i="3"/>
  <c r="AN487" i="3" s="1"/>
  <c r="AN460" i="3"/>
  <c r="AN1149" i="3"/>
  <c r="AN279" i="3"/>
  <c r="AN1046" i="3"/>
  <c r="AN70" i="3"/>
  <c r="AN1108" i="3"/>
  <c r="AN729" i="3"/>
  <c r="AN810" i="3"/>
  <c r="AN793" i="3"/>
  <c r="AN88" i="3"/>
  <c r="AN1033" i="3"/>
  <c r="AN979" i="3"/>
  <c r="AN773" i="3"/>
  <c r="AN858" i="3"/>
  <c r="AN257" i="3"/>
  <c r="AN679" i="3"/>
  <c r="AN654" i="3"/>
  <c r="AN900" i="3"/>
  <c r="AN526" i="3"/>
  <c r="AL1192" i="3"/>
  <c r="AL174" i="3"/>
  <c r="AL372" i="3"/>
  <c r="AL382" i="3"/>
  <c r="AL501" i="3"/>
  <c r="AL503" i="3"/>
  <c r="AL57" i="3"/>
  <c r="AL887" i="3"/>
  <c r="AL661" i="3"/>
  <c r="AL1167" i="3"/>
  <c r="AL1200" i="3"/>
  <c r="AL1135" i="3"/>
  <c r="AL215" i="3"/>
  <c r="AL792" i="3"/>
  <c r="AL794" i="3" s="1"/>
  <c r="AL229" i="3"/>
  <c r="AL787" i="3"/>
  <c r="AL789" i="3" s="1"/>
  <c r="AL370" i="3"/>
  <c r="AL726" i="3"/>
  <c r="AL588" i="3"/>
  <c r="AL316" i="3"/>
  <c r="AL736" i="3"/>
  <c r="AL701" i="3"/>
  <c r="AL528" i="3"/>
  <c r="AL568" i="3"/>
  <c r="AL1157" i="3"/>
  <c r="AL996" i="3"/>
  <c r="AL975" i="3"/>
  <c r="AL884" i="3"/>
  <c r="AL1199" i="3"/>
  <c r="AL1139" i="3"/>
  <c r="AL1150" i="3"/>
  <c r="AM427" i="3"/>
  <c r="AK363" i="3"/>
  <c r="G64" i="5"/>
  <c r="AA64" i="5" s="1"/>
  <c r="O64" i="1"/>
  <c r="E63" i="1"/>
  <c r="F63" i="1"/>
  <c r="B63" i="1" s="1"/>
  <c r="AO9" i="3" s="1"/>
  <c r="W90" i="6"/>
  <c r="AB90" i="6" s="1"/>
  <c r="Y91" i="6"/>
  <c r="Y92" i="6" s="1"/>
  <c r="L59" i="14"/>
  <c r="J60" i="14" s="1"/>
  <c r="K59" i="14"/>
  <c r="AN656" i="3" l="1"/>
  <c r="AN543" i="3"/>
  <c r="AL1085" i="3"/>
  <c r="AL1127" i="3" s="1"/>
  <c r="AM1081" i="3"/>
  <c r="AM1085" i="3" s="1"/>
  <c r="AM1127" i="3" s="1"/>
  <c r="AN1082" i="3"/>
  <c r="AN1122" i="3" s="1"/>
  <c r="AN1078" i="3"/>
  <c r="AN1084" i="3" s="1"/>
  <c r="AN1124" i="3" s="1"/>
  <c r="AN1083" i="3"/>
  <c r="AN1123" i="3" s="1"/>
  <c r="AI1241" i="3"/>
  <c r="AN583" i="3"/>
  <c r="AN736" i="3"/>
  <c r="AN412" i="3"/>
  <c r="AM366" i="3"/>
  <c r="AN860" i="3"/>
  <c r="AN578" i="3"/>
  <c r="AN372" i="3"/>
  <c r="AN996" i="3"/>
  <c r="AN774" i="3"/>
  <c r="AN827" i="3"/>
  <c r="AN628" i="3"/>
  <c r="AN631" i="3" s="1"/>
  <c r="AN711" i="3"/>
  <c r="AN262" i="3"/>
  <c r="AN613" i="3"/>
  <c r="AM1210" i="3"/>
  <c r="AM1240" i="3" s="1"/>
  <c r="AN701" i="3"/>
  <c r="AN558" i="3"/>
  <c r="AN623" i="3"/>
  <c r="AN721" i="3"/>
  <c r="AN1167" i="3"/>
  <c r="AN848" i="3"/>
  <c r="AN726" i="3"/>
  <c r="AN138" i="3"/>
  <c r="AM232" i="3"/>
  <c r="AN402" i="3"/>
  <c r="AL913" i="3"/>
  <c r="AN769" i="3"/>
  <c r="AN618" i="3"/>
  <c r="AN598" i="3"/>
  <c r="AN447" i="3"/>
  <c r="AN779" i="3"/>
  <c r="AN872" i="3"/>
  <c r="AN324" i="3"/>
  <c r="AN686" i="3"/>
  <c r="AN991" i="3"/>
  <c r="AM913" i="3"/>
  <c r="AN1006" i="3"/>
  <c r="AN482" i="3"/>
  <c r="AN593" i="3"/>
  <c r="AN407" i="3"/>
  <c r="AN671" i="3"/>
  <c r="AN1016" i="3"/>
  <c r="AN316" i="3"/>
  <c r="AN706" i="3"/>
  <c r="AN387" i="3"/>
  <c r="AN392" i="3"/>
  <c r="AN432" i="3"/>
  <c r="AN244" i="3"/>
  <c r="AN230" i="3"/>
  <c r="AH1241" i="3"/>
  <c r="AN533" i="3"/>
  <c r="AN876" i="3"/>
  <c r="AN156" i="3"/>
  <c r="AN975" i="3"/>
  <c r="AM833" i="3"/>
  <c r="AN812" i="3"/>
  <c r="AN764" i="3"/>
  <c r="AN789" i="3"/>
  <c r="AN852" i="3"/>
  <c r="AN427" i="3"/>
  <c r="AN603" i="3"/>
  <c r="AN174" i="3"/>
  <c r="AN370" i="3"/>
  <c r="AN759" i="3"/>
  <c r="AN417" i="3"/>
  <c r="AN1162" i="3"/>
  <c r="AN563" i="3"/>
  <c r="AN523" i="3"/>
  <c r="AN844" i="3"/>
  <c r="AN93" i="3"/>
  <c r="AN477" i="3"/>
  <c r="AN676" i="3"/>
  <c r="AN880" i="3"/>
  <c r="AN553" i="3"/>
  <c r="AN497" i="3"/>
  <c r="AN746" i="3"/>
  <c r="AN548" i="3"/>
  <c r="AN30" i="3"/>
  <c r="AN964" i="3"/>
  <c r="AN66" i="3"/>
  <c r="AN831" i="3"/>
  <c r="AL1210" i="3"/>
  <c r="AL1240" i="3" s="1"/>
  <c r="AN371" i="3"/>
  <c r="AN666" i="3"/>
  <c r="AN970" i="3"/>
  <c r="AN307" i="3"/>
  <c r="AN716" i="3"/>
  <c r="AN661" i="3"/>
  <c r="AN528" i="3"/>
  <c r="AN588" i="3"/>
  <c r="AN691" i="3"/>
  <c r="AN437" i="3"/>
  <c r="AN822" i="3"/>
  <c r="AN1178" i="3"/>
  <c r="AN422" i="3"/>
  <c r="AN472" i="3"/>
  <c r="AM1018" i="3"/>
  <c r="AM1205" i="3"/>
  <c r="AN904" i="3"/>
  <c r="AN817" i="3"/>
  <c r="AN1001" i="3"/>
  <c r="AN840" i="3"/>
  <c r="AN397" i="3"/>
  <c r="AN48" i="3"/>
  <c r="AN229" i="3"/>
  <c r="AN782" i="3" s="1"/>
  <c r="AN289" i="3"/>
  <c r="AN462" i="3"/>
  <c r="AN457" i="3"/>
  <c r="AN799" i="3"/>
  <c r="AN75" i="3"/>
  <c r="AN1157" i="3"/>
  <c r="AN573" i="3"/>
  <c r="AK639" i="3"/>
  <c r="AK1219" i="3" s="1"/>
  <c r="AN111" i="3"/>
  <c r="AN192" i="3"/>
  <c r="AN1135" i="3"/>
  <c r="AN215" i="3"/>
  <c r="AK368" i="3"/>
  <c r="AK512" i="3" s="1"/>
  <c r="AN231" i="3"/>
  <c r="AM752" i="3"/>
  <c r="AN271" i="3"/>
  <c r="AN298" i="3"/>
  <c r="AN921" i="3"/>
  <c r="AN1222" i="3" s="1"/>
  <c r="AM1209" i="3"/>
  <c r="AM1239" i="3" s="1"/>
  <c r="AL635" i="3"/>
  <c r="AL833" i="3"/>
  <c r="AN1011" i="3"/>
  <c r="AN253" i="3"/>
  <c r="AN467" i="3"/>
  <c r="AN884" i="3"/>
  <c r="AN608" i="3"/>
  <c r="AN165" i="3"/>
  <c r="AN681" i="3"/>
  <c r="AN84" i="3"/>
  <c r="AN868" i="3"/>
  <c r="AN632" i="3"/>
  <c r="AN741" i="3"/>
  <c r="AN326" i="3"/>
  <c r="AN120" i="3"/>
  <c r="AL366" i="3"/>
  <c r="AN452" i="3"/>
  <c r="AN442" i="3"/>
  <c r="AM509" i="3"/>
  <c r="AN129" i="3"/>
  <c r="AM784" i="3"/>
  <c r="AM805" i="3" s="1"/>
  <c r="AN731" i="3"/>
  <c r="AN696" i="3"/>
  <c r="AM889" i="3"/>
  <c r="AN538" i="3"/>
  <c r="AN1096" i="3"/>
  <c r="AN183" i="3"/>
  <c r="AN21" i="3"/>
  <c r="AM636" i="3"/>
  <c r="AM203" i="3"/>
  <c r="AM802" i="3"/>
  <c r="AN1110" i="3"/>
  <c r="AN911" i="3"/>
  <c r="AN102" i="3"/>
  <c r="AN224" i="3"/>
  <c r="AM1211" i="3"/>
  <c r="AN1199" i="3"/>
  <c r="AM327" i="3"/>
  <c r="AN649" i="3"/>
  <c r="AN1150" i="3"/>
  <c r="AN39" i="3"/>
  <c r="AN325" i="3"/>
  <c r="AN365" i="3" s="1"/>
  <c r="AM363" i="3"/>
  <c r="AN57" i="3"/>
  <c r="AN856" i="3"/>
  <c r="AN280" i="3"/>
  <c r="AN501" i="3"/>
  <c r="AN1103" i="3"/>
  <c r="AN147" i="3"/>
  <c r="AL752" i="3"/>
  <c r="AL232" i="3"/>
  <c r="AN750" i="3"/>
  <c r="AM364" i="3"/>
  <c r="AL1205" i="3"/>
  <c r="AL509" i="3"/>
  <c r="AN830" i="3"/>
  <c r="AN864" i="3"/>
  <c r="AK1214" i="3"/>
  <c r="AN1202" i="3"/>
  <c r="AN507" i="3"/>
  <c r="AN886" i="3"/>
  <c r="AN1192" i="3"/>
  <c r="AN1201" i="3"/>
  <c r="AM635" i="3"/>
  <c r="AL1018" i="3"/>
  <c r="AN503" i="3"/>
  <c r="AN953" i="3"/>
  <c r="AN1200" i="3"/>
  <c r="AL364" i="3"/>
  <c r="AL636" i="3"/>
  <c r="AN887" i="3"/>
  <c r="AN633" i="3"/>
  <c r="AN634" i="3"/>
  <c r="AN568" i="3"/>
  <c r="AL327" i="3"/>
  <c r="AN502" i="3"/>
  <c r="AN749" i="3"/>
  <c r="AN792" i="3"/>
  <c r="AN794" i="3" s="1"/>
  <c r="AN506" i="3"/>
  <c r="AN492" i="3"/>
  <c r="AL782" i="3"/>
  <c r="AL363" i="3"/>
  <c r="AL1211" i="3"/>
  <c r="AJ923" i="3"/>
  <c r="AL1121" i="3"/>
  <c r="AL1208" i="3" s="1"/>
  <c r="AL1238" i="3" s="1"/>
  <c r="AP9" i="3"/>
  <c r="AL889" i="3"/>
  <c r="AP8" i="3"/>
  <c r="AP1" i="3" s="1"/>
  <c r="AP1057" i="3" s="1"/>
  <c r="AL203" i="3"/>
  <c r="AN382" i="3"/>
  <c r="AL1209" i="3"/>
  <c r="AL1239" i="3" s="1"/>
  <c r="AN1185" i="3"/>
  <c r="AN323" i="3"/>
  <c r="AN783" i="3" s="1"/>
  <c r="AN803" i="3" s="1"/>
  <c r="AO8" i="3"/>
  <c r="AO1" i="3" s="1"/>
  <c r="AK892" i="3"/>
  <c r="AK1220" i="3" s="1"/>
  <c r="E64" i="1"/>
  <c r="F64" i="1"/>
  <c r="B64" i="1" s="1"/>
  <c r="O65" i="1"/>
  <c r="AN215" i="4"/>
  <c r="K60" i="14"/>
  <c r="L60" i="14"/>
  <c r="J61" i="14" s="1"/>
  <c r="Y93" i="6"/>
  <c r="W92" i="6"/>
  <c r="AB92" i="6" s="1"/>
  <c r="AM1121" i="3" l="1"/>
  <c r="AM1208" i="3" s="1"/>
  <c r="AM1238" i="3" s="1"/>
  <c r="AN1081" i="3"/>
  <c r="AN1085" i="3" s="1"/>
  <c r="AN1127" i="3" s="1"/>
  <c r="AN364" i="3"/>
  <c r="AN636" i="3"/>
  <c r="AN366" i="3"/>
  <c r="AN1210" i="3"/>
  <c r="AN1240" i="3" s="1"/>
  <c r="AN833" i="3"/>
  <c r="AN1209" i="3"/>
  <c r="AN1239" i="3" s="1"/>
  <c r="AN913" i="3"/>
  <c r="AL639" i="3"/>
  <c r="AL1219" i="3" s="1"/>
  <c r="AN1018" i="3"/>
  <c r="AM892" i="3"/>
  <c r="AM1220" i="3" s="1"/>
  <c r="AM1214" i="3"/>
  <c r="AN1211" i="3"/>
  <c r="AN327" i="3"/>
  <c r="AN752" i="3"/>
  <c r="AN203" i="3"/>
  <c r="AN1205" i="3"/>
  <c r="AN232" i="3"/>
  <c r="AN509" i="3"/>
  <c r="AM368" i="3"/>
  <c r="AM512" i="3" s="1"/>
  <c r="AP664" i="3"/>
  <c r="AP1039" i="3"/>
  <c r="AN635" i="3"/>
  <c r="AP410" i="3"/>
  <c r="AP261" i="3"/>
  <c r="AP475" i="3"/>
  <c r="AM639" i="3"/>
  <c r="AM1219" i="3" s="1"/>
  <c r="AP855" i="3"/>
  <c r="AP16" i="3"/>
  <c r="AP1052" i="3"/>
  <c r="AP1051" i="3"/>
  <c r="AP714" i="3"/>
  <c r="AP646" i="3"/>
  <c r="AP126" i="3"/>
  <c r="AP386" i="3"/>
  <c r="AP302" i="3"/>
  <c r="AP654" i="3"/>
  <c r="AP1033" i="3"/>
  <c r="AP1188" i="3"/>
  <c r="AP257" i="3"/>
  <c r="AP406" i="3"/>
  <c r="AP54" i="3"/>
  <c r="AP526" i="3"/>
  <c r="AP985" i="3"/>
  <c r="AP416" i="3"/>
  <c r="AP1029" i="3"/>
  <c r="AP1056" i="3"/>
  <c r="AP982" i="3"/>
  <c r="AP1190" i="3"/>
  <c r="AP878" i="3"/>
  <c r="AP867" i="3"/>
  <c r="AP1166" i="3"/>
  <c r="AP55" i="3"/>
  <c r="AP745" i="3"/>
  <c r="AP460" i="3"/>
  <c r="AP485" i="3"/>
  <c r="AP487" i="3" s="1"/>
  <c r="AP206" i="3"/>
  <c r="AP758" i="3"/>
  <c r="AP581" i="3"/>
  <c r="AP925" i="3"/>
  <c r="AP715" i="3"/>
  <c r="AP815" i="3"/>
  <c r="AP586" i="3"/>
  <c r="AP196" i="3"/>
  <c r="AP311" i="3"/>
  <c r="AP248" i="3"/>
  <c r="AP724" i="3"/>
  <c r="AP164" i="3"/>
  <c r="AP918" i="3"/>
  <c r="AP1177" i="3"/>
  <c r="AP850" i="3"/>
  <c r="AP470" i="3"/>
  <c r="AP521" i="3"/>
  <c r="AP920" i="3"/>
  <c r="AP128" i="3"/>
  <c r="AP1099" i="3"/>
  <c r="AP685" i="3"/>
  <c r="AP1182" i="3"/>
  <c r="AP571" i="3"/>
  <c r="AP704" i="3"/>
  <c r="AP173" i="3"/>
  <c r="AP1015" i="3"/>
  <c r="AP547" i="3"/>
  <c r="AP1063" i="3"/>
  <c r="AP426" i="3"/>
  <c r="AP986" i="3"/>
  <c r="AP903" i="3"/>
  <c r="AP1154" i="3"/>
  <c r="AP767" i="3"/>
  <c r="AP675" i="3"/>
  <c r="AP1175" i="3"/>
  <c r="AP331" i="3"/>
  <c r="AP1058" i="3"/>
  <c r="AP592" i="3"/>
  <c r="AP65" i="3"/>
  <c r="AP927" i="3"/>
  <c r="AP391" i="3"/>
  <c r="AP1050" i="3"/>
  <c r="AP187" i="3"/>
  <c r="AP740" i="3"/>
  <c r="AP110" i="3"/>
  <c r="AP1028" i="3"/>
  <c r="AP546" i="3"/>
  <c r="AP207" i="3"/>
  <c r="AP871" i="3"/>
  <c r="AP602" i="3"/>
  <c r="AP155" i="3"/>
  <c r="AP917" i="3"/>
  <c r="AP401" i="3"/>
  <c r="AP1062" i="3"/>
  <c r="AP851" i="3"/>
  <c r="AP1176" i="3"/>
  <c r="AP730" i="3"/>
  <c r="AP27" i="3"/>
  <c r="AP1035" i="3"/>
  <c r="AP536" i="3"/>
  <c r="AP919" i="3"/>
  <c r="AP385" i="3"/>
  <c r="AP1075" i="3"/>
  <c r="AP446" i="3"/>
  <c r="AP53" i="3"/>
  <c r="AP820" i="3"/>
  <c r="AP762" i="3"/>
  <c r="AL368" i="3"/>
  <c r="AL512" i="3" s="1"/>
  <c r="AP1047" i="3"/>
  <c r="AP395" i="3"/>
  <c r="AP411" i="3"/>
  <c r="AP1095" i="3"/>
  <c r="AP1094" i="3"/>
  <c r="AP223" i="3"/>
  <c r="AP679" i="3"/>
  <c r="AP541" i="3"/>
  <c r="AP773" i="3"/>
  <c r="AP119" i="3"/>
  <c r="AP63" i="3"/>
  <c r="AP481" i="3"/>
  <c r="AP330" i="3"/>
  <c r="AP839" i="3"/>
  <c r="AN889" i="3"/>
  <c r="AP52" i="3"/>
  <c r="AP956" i="3"/>
  <c r="AP959" i="3"/>
  <c r="AP288" i="3"/>
  <c r="AP38" i="3"/>
  <c r="AP587" i="3"/>
  <c r="AP137" i="3"/>
  <c r="AP838" i="3"/>
  <c r="AP709" i="3"/>
  <c r="AP72" i="3"/>
  <c r="AP1191" i="3"/>
  <c r="AP1068" i="3"/>
  <c r="AP1073" i="3"/>
  <c r="AP983" i="3"/>
  <c r="AP1000" i="3"/>
  <c r="AP1184" i="3"/>
  <c r="AP669" i="3"/>
  <c r="AP700" i="3"/>
  <c r="AP270" i="3"/>
  <c r="AP380" i="3"/>
  <c r="AP1088" i="3"/>
  <c r="AP1089" i="3" s="1"/>
  <c r="AP647" i="3"/>
  <c r="AP115" i="3"/>
  <c r="AP978" i="3"/>
  <c r="AP431" i="3"/>
  <c r="AP1107" i="3"/>
  <c r="AP1004" i="3"/>
  <c r="AP491" i="3"/>
  <c r="AP505" i="3" s="1"/>
  <c r="AP205" i="3"/>
  <c r="AP787" i="3" s="1"/>
  <c r="AP847" i="3"/>
  <c r="AP212" i="3"/>
  <c r="AP909" i="3"/>
  <c r="AP293" i="3"/>
  <c r="AP1076" i="3"/>
  <c r="AP626" i="3"/>
  <c r="AP101" i="3"/>
  <c r="AP968" i="3"/>
  <c r="AP381" i="3"/>
  <c r="AP561" i="3"/>
  <c r="AP455" i="3"/>
  <c r="AP400" i="3"/>
  <c r="AP153" i="3"/>
  <c r="AP1133" i="3"/>
  <c r="AL1214" i="3"/>
  <c r="AP92" i="3"/>
  <c r="AP556" i="3"/>
  <c r="AP476" i="3"/>
  <c r="AP973" i="3"/>
  <c r="AP1074" i="3"/>
  <c r="AP160" i="3"/>
  <c r="AP1041" i="3"/>
  <c r="AP466" i="3"/>
  <c r="AP522" i="3"/>
  <c r="AP61" i="3"/>
  <c r="AP929" i="3"/>
  <c r="AP29" i="3"/>
  <c r="AP734" i="3"/>
  <c r="AP577" i="3"/>
  <c r="AP596" i="3"/>
  <c r="AP435" i="3"/>
  <c r="AP18" i="3"/>
  <c r="AP866" i="3"/>
  <c r="AP994" i="3"/>
  <c r="AP142" i="3"/>
  <c r="AP425" i="3"/>
  <c r="AP990" i="3"/>
  <c r="AP243" i="3"/>
  <c r="AP117" i="3"/>
  <c r="AP1092" i="3"/>
  <c r="AP616" i="3"/>
  <c r="AP999" i="3"/>
  <c r="AP1142" i="3"/>
  <c r="AP1143" i="3" s="1"/>
  <c r="AP690" i="3"/>
  <c r="AP162" i="3"/>
  <c r="AP1005" i="3"/>
  <c r="AP471" i="3"/>
  <c r="AP1195" i="3"/>
  <c r="AP1196" i="3" s="1"/>
  <c r="AP415" i="3"/>
  <c r="AP984" i="3"/>
  <c r="AP875" i="3"/>
  <c r="AP106" i="3"/>
  <c r="AP744" i="3"/>
  <c r="AP739" i="3"/>
  <c r="AP655" i="3"/>
  <c r="AP1155" i="3"/>
  <c r="AP582" i="3"/>
  <c r="AP133" i="3"/>
  <c r="AP900" i="3"/>
  <c r="AL784" i="3"/>
  <c r="AL805" i="3" s="1"/>
  <c r="AL892" i="3" s="1"/>
  <c r="AL1220" i="3" s="1"/>
  <c r="AL802" i="3"/>
  <c r="AP465" i="3"/>
  <c r="AP1106" i="3"/>
  <c r="AP34" i="3"/>
  <c r="AP562" i="3"/>
  <c r="AP974" i="3"/>
  <c r="AP108" i="3"/>
  <c r="AP450" i="3"/>
  <c r="AP870" i="3"/>
  <c r="AP788" i="3"/>
  <c r="AP297" i="3"/>
  <c r="AP777" i="3"/>
  <c r="AP1009" i="3"/>
  <c r="AP763" i="3"/>
  <c r="AP757" i="3"/>
  <c r="AP858" i="3"/>
  <c r="AP420" i="3"/>
  <c r="AP846" i="3"/>
  <c r="AP210" i="3"/>
  <c r="AP816" i="3"/>
  <c r="AP1153" i="3"/>
  <c r="AP1100" i="3"/>
  <c r="AP725" i="3"/>
  <c r="AP719" i="3"/>
  <c r="AP825" i="3"/>
  <c r="AP617" i="3"/>
  <c r="AP611" i="3"/>
  <c r="AP1138" i="3"/>
  <c r="AP1139" i="3" s="1"/>
  <c r="AP1034" i="3"/>
  <c r="AP20" i="3"/>
  <c r="AP552" i="3"/>
  <c r="AP962" i="3"/>
  <c r="AP25" i="3"/>
  <c r="AP441" i="3"/>
  <c r="AP879" i="3"/>
  <c r="AP1147" i="3"/>
  <c r="AP284" i="3"/>
  <c r="AP931" i="3"/>
  <c r="AP989" i="3"/>
  <c r="AP527" i="3"/>
  <c r="AP169" i="3"/>
  <c r="AP321" i="3"/>
  <c r="AP961" i="3"/>
  <c r="AP182" i="3"/>
  <c r="AP778" i="3"/>
  <c r="AP1109" i="3"/>
  <c r="AP70" i="3"/>
  <c r="AP684" i="3"/>
  <c r="AP1059" i="3"/>
  <c r="AP151" i="3"/>
  <c r="AP576" i="3"/>
  <c r="AP995" i="3"/>
  <c r="AP969" i="3"/>
  <c r="AN363" i="3"/>
  <c r="AQ9" i="3"/>
  <c r="AP124" i="3"/>
  <c r="AP191" i="3"/>
  <c r="AP607" i="3"/>
  <c r="AP601" i="3"/>
  <c r="AP1108" i="3"/>
  <c r="AP496" i="3"/>
  <c r="AP490" i="3"/>
  <c r="AP1045" i="3"/>
  <c r="AP97" i="3"/>
  <c r="AP440" i="3"/>
  <c r="AP862" i="3"/>
  <c r="AP279" i="3"/>
  <c r="AP859" i="3"/>
  <c r="AP1170" i="3"/>
  <c r="AP1171" i="3" s="1"/>
  <c r="AP1134" i="3"/>
  <c r="AP456" i="3"/>
  <c r="AP1027" i="3"/>
  <c r="AP320" i="3"/>
  <c r="AP306" i="3"/>
  <c r="AP957" i="3"/>
  <c r="AP178" i="3"/>
  <c r="AP772" i="3"/>
  <c r="AP1146" i="3"/>
  <c r="AP56" i="3"/>
  <c r="AP674" i="3"/>
  <c r="AP1053" i="3"/>
  <c r="AP1030" i="3"/>
  <c r="AP797" i="3"/>
  <c r="AP597" i="3"/>
  <c r="AP591" i="3"/>
  <c r="AP1101" i="3"/>
  <c r="AP197" i="3"/>
  <c r="AP542" i="3"/>
  <c r="AP958" i="3"/>
  <c r="AP83" i="3"/>
  <c r="AP430" i="3"/>
  <c r="AP854" i="3"/>
  <c r="AP90" i="3"/>
  <c r="AP660" i="3"/>
  <c r="AP421" i="3"/>
  <c r="AP863" i="3"/>
  <c r="AP1093" i="3"/>
  <c r="AP252" i="3"/>
  <c r="AP883" i="3"/>
  <c r="AP960" i="3"/>
  <c r="AP171" i="3"/>
  <c r="AP768" i="3"/>
  <c r="AP1102" i="3"/>
  <c r="AP135" i="3"/>
  <c r="AP670" i="3"/>
  <c r="AP1040" i="3"/>
  <c r="AO919" i="3"/>
  <c r="AO1182" i="3"/>
  <c r="AO816" i="3"/>
  <c r="AO556" i="3"/>
  <c r="AO612" i="3"/>
  <c r="AO396" i="3"/>
  <c r="AO223" i="3"/>
  <c r="AO537" i="3"/>
  <c r="AO385" i="3"/>
  <c r="AO821" i="3"/>
  <c r="AO870" i="3"/>
  <c r="AO155" i="3"/>
  <c r="AO63" i="3"/>
  <c r="AO874" i="3"/>
  <c r="AO1148" i="3"/>
  <c r="AO699" i="3"/>
  <c r="AO495" i="3"/>
  <c r="AO572" i="3"/>
  <c r="AO288" i="3"/>
  <c r="AO178" i="3"/>
  <c r="AO475" i="3"/>
  <c r="AO875" i="3"/>
  <c r="AO740" i="3"/>
  <c r="AO838" i="3"/>
  <c r="AO999" i="3"/>
  <c r="AO866" i="3"/>
  <c r="AO962" i="3"/>
  <c r="AO674" i="3"/>
  <c r="AO710" i="3"/>
  <c r="AO476" i="3"/>
  <c r="AO65" i="3"/>
  <c r="AO617" i="3"/>
  <c r="AO465" i="3"/>
  <c r="AO959" i="3"/>
  <c r="AO1004" i="3"/>
  <c r="AO275" i="3"/>
  <c r="AO989" i="3"/>
  <c r="AO1052" i="3"/>
  <c r="AO293" i="3"/>
  <c r="AO918" i="3"/>
  <c r="AO626" i="3"/>
  <c r="AO210" i="3"/>
  <c r="AO763" i="3"/>
  <c r="AO607" i="3"/>
  <c r="AO1047" i="3"/>
  <c r="AO621" i="3"/>
  <c r="AO461" i="3"/>
  <c r="AO205" i="3"/>
  <c r="AO456" i="3"/>
  <c r="AO446" i="3"/>
  <c r="AO70" i="3"/>
  <c r="AO627" i="3"/>
  <c r="AO481" i="3"/>
  <c r="AO981" i="3"/>
  <c r="AO521" i="3"/>
  <c r="AO587" i="3"/>
  <c r="AO441" i="3"/>
  <c r="AO850" i="3"/>
  <c r="AO957" i="3"/>
  <c r="AO320" i="3"/>
  <c r="AO1068" i="3"/>
  <c r="AO867" i="3"/>
  <c r="AO1045" i="3"/>
  <c r="AO144" i="3"/>
  <c r="AO1188" i="3"/>
  <c r="AO460" i="3"/>
  <c r="AO406" i="3"/>
  <c r="AO445" i="3"/>
  <c r="AO239" i="3"/>
  <c r="AO1108" i="3"/>
  <c r="AO552" i="3"/>
  <c r="AO557" i="3"/>
  <c r="AO900" i="3"/>
  <c r="AO815" i="3"/>
  <c r="AO431" i="3"/>
  <c r="AO547" i="3"/>
  <c r="AO401" i="3"/>
  <c r="AO903" i="3"/>
  <c r="AO416" i="3"/>
  <c r="AO1092" i="3"/>
  <c r="AO52" i="3"/>
  <c r="AO1014" i="3"/>
  <c r="AO561" i="3"/>
  <c r="AO20" i="3"/>
  <c r="AO1056" i="3"/>
  <c r="AO847" i="3"/>
  <c r="AO715" i="3"/>
  <c r="AO421" i="3"/>
  <c r="AO909" i="3"/>
  <c r="AO541" i="3"/>
  <c r="AO986" i="3"/>
  <c r="AO1024" i="3"/>
  <c r="AO724" i="3"/>
  <c r="AO1073" i="3"/>
  <c r="AO1107" i="3"/>
  <c r="AO466" i="3"/>
  <c r="AO72" i="3"/>
  <c r="AO381" i="3"/>
  <c r="AO1155" i="3"/>
  <c r="AO1039" i="3"/>
  <c r="AO1046" i="3"/>
  <c r="AO315" i="3"/>
  <c r="AO430" i="3"/>
  <c r="AO126" i="3"/>
  <c r="AO38" i="3"/>
  <c r="AO1181" i="3"/>
  <c r="AO689" i="3"/>
  <c r="AO602" i="3"/>
  <c r="AO1099" i="3"/>
  <c r="AO219" i="3"/>
  <c r="AO551" i="3"/>
  <c r="AO1101" i="3"/>
  <c r="AO1010" i="3"/>
  <c r="AO985" i="3"/>
  <c r="AO257" i="3"/>
  <c r="AO390" i="3"/>
  <c r="AO79" i="3"/>
  <c r="AO207" i="3"/>
  <c r="AO1147" i="3"/>
  <c r="AO646" i="3"/>
  <c r="AO562" i="3"/>
  <c r="AO1065" i="3"/>
  <c r="AO842" i="3"/>
  <c r="AO1094" i="3"/>
  <c r="AO1190" i="3"/>
  <c r="AO451" i="3"/>
  <c r="AO532" i="3"/>
  <c r="AO221" i="3"/>
  <c r="AO128" i="3"/>
  <c r="AO435" i="3"/>
  <c r="AO777" i="3"/>
  <c r="AO700" i="3"/>
  <c r="AO1184" i="3"/>
  <c r="AO61" i="3"/>
  <c r="AO969" i="3"/>
  <c r="AO825" i="3"/>
  <c r="AO917" i="3"/>
  <c r="AO596" i="3"/>
  <c r="AO670" i="3"/>
  <c r="AO436" i="3"/>
  <c r="AO25" i="3"/>
  <c r="AO577" i="3"/>
  <c r="AO425" i="3"/>
  <c r="AO908" i="3"/>
  <c r="AO925" i="3"/>
  <c r="AO201" i="3"/>
  <c r="AO110" i="3"/>
  <c r="AO202" i="3"/>
  <c r="AO270" i="3"/>
  <c r="AO664" i="3"/>
  <c r="AO1059" i="3"/>
  <c r="AO206" i="3"/>
  <c r="AO882" i="3"/>
  <c r="AO730" i="3"/>
  <c r="AO90" i="3"/>
  <c r="AO1035" i="3"/>
  <c r="AO329" i="3"/>
  <c r="AO950" i="3"/>
  <c r="AO690" i="3"/>
  <c r="AO1146" i="3"/>
  <c r="AO92" i="3"/>
  <c r="AO979" i="3"/>
  <c r="AO879" i="3"/>
  <c r="AO931" i="3"/>
  <c r="AO798" i="3"/>
  <c r="AO1062" i="3"/>
  <c r="AO1015" i="3"/>
  <c r="AO47" i="3"/>
  <c r="AO56" i="3"/>
  <c r="AO927" i="3"/>
  <c r="AO135" i="3"/>
  <c r="AO659" i="3"/>
  <c r="AO266" i="3"/>
  <c r="AO405" i="3"/>
  <c r="AO88" i="3"/>
  <c r="AO1156" i="3"/>
  <c r="AO695" i="3"/>
  <c r="AO1088" i="3"/>
  <c r="AO1089" i="3" s="1"/>
  <c r="AO956" i="3"/>
  <c r="AO576" i="3"/>
  <c r="AO901" i="3"/>
  <c r="AO767" i="3"/>
  <c r="AO929" i="3"/>
  <c r="AO778" i="3"/>
  <c r="AO137" i="3"/>
  <c r="AO1028" i="3"/>
  <c r="AO162" i="3"/>
  <c r="AO1142" i="3"/>
  <c r="AO994" i="3"/>
  <c r="AO115" i="3"/>
  <c r="AO1058" i="3"/>
  <c r="AO400" i="3"/>
  <c r="AO855" i="3"/>
  <c r="AO526" i="3"/>
  <c r="AO542" i="3"/>
  <c r="AO1000" i="3"/>
  <c r="AO694" i="3"/>
  <c r="AO684" i="3"/>
  <c r="AO871" i="3"/>
  <c r="AO820" i="3"/>
  <c r="AO97" i="3"/>
  <c r="AO734" i="3"/>
  <c r="AO189" i="3"/>
  <c r="AO1154" i="3"/>
  <c r="AO1036" i="3"/>
  <c r="AO1095" i="3"/>
  <c r="AO420" i="3"/>
  <c r="AO982" i="3"/>
  <c r="AO34" i="3"/>
  <c r="AO306" i="3"/>
  <c r="AO984" i="3"/>
  <c r="AO773" i="3"/>
  <c r="AO1177" i="3"/>
  <c r="AO53" i="3"/>
  <c r="AO654" i="3"/>
  <c r="AO142" i="3"/>
  <c r="AO1100" i="3"/>
  <c r="AO1009" i="3"/>
  <c r="AO1064" i="3"/>
  <c r="AO380" i="3"/>
  <c r="AO951" i="3"/>
  <c r="AO1069" i="3"/>
  <c r="AO980" i="3"/>
  <c r="AO907" i="3"/>
  <c r="AO191" i="3"/>
  <c r="AO883" i="3"/>
  <c r="AO36" i="3"/>
  <c r="AO788" i="3"/>
  <c r="AO1093" i="3"/>
  <c r="AO1183" i="3"/>
  <c r="AO522" i="3"/>
  <c r="AO1041" i="3"/>
  <c r="AO124" i="3"/>
  <c r="AO1189" i="3"/>
  <c r="AO1063" i="3"/>
  <c r="AO1102" i="3"/>
  <c r="AO411" i="3"/>
  <c r="AO470" i="3"/>
  <c r="AO173" i="3"/>
  <c r="AO81" i="3"/>
  <c r="AO395" i="3"/>
  <c r="AO729" i="3"/>
  <c r="AO660" i="3"/>
  <c r="AO1153" i="3"/>
  <c r="AO18" i="3"/>
  <c r="AO591" i="3"/>
  <c r="AO490" i="3"/>
  <c r="AO171" i="3"/>
  <c r="AO187" i="3"/>
  <c r="AO811" i="3"/>
  <c r="AO679" i="3"/>
  <c r="AO714" i="3"/>
  <c r="AO735" i="3"/>
  <c r="AO1176" i="3"/>
  <c r="AO983" i="3"/>
  <c r="AO616" i="3"/>
  <c r="AO725" i="3"/>
  <c r="AO586" i="3"/>
  <c r="AO1040" i="3"/>
  <c r="AO601" i="3"/>
  <c r="AO862" i="3"/>
  <c r="AO252" i="3"/>
  <c r="AO1149" i="3"/>
  <c r="AO74" i="3"/>
  <c r="AO284" i="3"/>
  <c r="AO597" i="3"/>
  <c r="AO974" i="3"/>
  <c r="AO858" i="3"/>
  <c r="AO471" i="3"/>
  <c r="AO153" i="3"/>
  <c r="AO863" i="3"/>
  <c r="AO180" i="3"/>
  <c r="AO1075" i="3"/>
  <c r="AO491" i="3"/>
  <c r="AO505" i="3" s="1"/>
  <c r="AO1005" i="3"/>
  <c r="AO243" i="3"/>
  <c r="AO797" i="3"/>
  <c r="AO647" i="3"/>
  <c r="AO685" i="3"/>
  <c r="AO546" i="3"/>
  <c r="AO1042" i="3"/>
  <c r="AO772" i="3"/>
  <c r="AO793" i="3"/>
  <c r="AO826" i="3"/>
  <c r="AO567" i="3"/>
  <c r="AO277" i="3"/>
  <c r="AO744" i="3"/>
  <c r="AO675" i="3"/>
  <c r="AO1134" i="3"/>
  <c r="AO968" i="3"/>
  <c r="AO665" i="3"/>
  <c r="AO27" i="3"/>
  <c r="AO1053" i="3"/>
  <c r="AO1191" i="3"/>
  <c r="AO160" i="3"/>
  <c r="AO415" i="3"/>
  <c r="AO757" i="3"/>
  <c r="AO680" i="3"/>
  <c r="AO1170" i="3"/>
  <c r="AO1171" i="3" s="1"/>
  <c r="AO43" i="3"/>
  <c r="AO611" i="3"/>
  <c r="AO990" i="3"/>
  <c r="AO958" i="3"/>
  <c r="AO214" i="3"/>
  <c r="AO311" i="3"/>
  <c r="AO55" i="3"/>
  <c r="AO331" i="3"/>
  <c r="AO1195" i="3"/>
  <c r="AO1196" i="3" s="1"/>
  <c r="AO709" i="3"/>
  <c r="AO622" i="3"/>
  <c r="AO1133" i="3"/>
  <c r="AO261" i="3"/>
  <c r="AO571" i="3"/>
  <c r="AO1057" i="3"/>
  <c r="AO961" i="3"/>
  <c r="AO878" i="3"/>
  <c r="AO169" i="3"/>
  <c r="AO851" i="3"/>
  <c r="AO496" i="3"/>
  <c r="AO302" i="3"/>
  <c r="AO768" i="3"/>
  <c r="AO854" i="3"/>
  <c r="AO133" i="3"/>
  <c r="AO45" i="3"/>
  <c r="AO1175" i="3"/>
  <c r="AO1051" i="3"/>
  <c r="AO1070" i="3"/>
  <c r="AO391" i="3"/>
  <c r="AO450" i="3"/>
  <c r="AO151" i="3"/>
  <c r="AO655" i="3"/>
  <c r="AO485" i="3"/>
  <c r="AO487" i="3" s="1"/>
  <c r="AO978" i="3"/>
  <c r="AO1034" i="3"/>
  <c r="AO297" i="3"/>
  <c r="AO182" i="3"/>
  <c r="AO902" i="3"/>
  <c r="AO1165" i="3"/>
  <c r="AO739" i="3"/>
  <c r="AO536" i="3"/>
  <c r="AO592" i="3"/>
  <c r="AO321" i="3"/>
  <c r="AO200" i="3"/>
  <c r="AO108" i="3"/>
  <c r="AO248" i="3"/>
  <c r="AO1074" i="3"/>
  <c r="AO1166" i="3"/>
  <c r="AO480" i="3"/>
  <c r="AO1029" i="3"/>
  <c r="AO99" i="3"/>
  <c r="AO426" i="3"/>
  <c r="AO973" i="3"/>
  <c r="AO745" i="3"/>
  <c r="AO1160" i="3"/>
  <c r="AO29" i="3"/>
  <c r="AO606" i="3"/>
  <c r="AO117" i="3"/>
  <c r="AO1174" i="3"/>
  <c r="AO1050" i="3"/>
  <c r="AO1109" i="3"/>
  <c r="AO440" i="3"/>
  <c r="AO995" i="3"/>
  <c r="AO54" i="3"/>
  <c r="AO386" i="3"/>
  <c r="AO920" i="3"/>
  <c r="AO705" i="3"/>
  <c r="AO1106" i="3"/>
  <c r="AO859" i="3"/>
  <c r="AO566" i="3"/>
  <c r="AO1161" i="3"/>
  <c r="AO669" i="3"/>
  <c r="AO582" i="3"/>
  <c r="AO196" i="3"/>
  <c r="AO531" i="3"/>
  <c r="AO1033" i="3"/>
  <c r="AO910" i="3"/>
  <c r="AO846" i="3"/>
  <c r="AO119" i="3"/>
  <c r="AO762" i="3"/>
  <c r="AO212" i="3"/>
  <c r="AO455" i="3"/>
  <c r="AO843" i="3"/>
  <c r="AO720" i="3"/>
  <c r="AO810" i="3"/>
  <c r="AO83" i="3"/>
  <c r="AO704" i="3"/>
  <c r="AO1138" i="3"/>
  <c r="AO1027" i="3"/>
  <c r="AO1022" i="3"/>
  <c r="AO286" i="3"/>
  <c r="AO410" i="3"/>
  <c r="AO101" i="3"/>
  <c r="AO16" i="3"/>
  <c r="AO197" i="3"/>
  <c r="AO106" i="3"/>
  <c r="AO960" i="3"/>
  <c r="AO581" i="3"/>
  <c r="AO1023" i="3"/>
  <c r="AO1030" i="3"/>
  <c r="AO758" i="3"/>
  <c r="AO527" i="3"/>
  <c r="AO1076" i="3"/>
  <c r="AO279" i="3"/>
  <c r="AO719" i="3"/>
  <c r="AO330" i="3"/>
  <c r="AO146" i="3"/>
  <c r="AO839" i="3"/>
  <c r="AO164" i="3"/>
  <c r="AQ8" i="3"/>
  <c r="AQ1" i="3" s="1"/>
  <c r="AQ1108" i="3" s="1"/>
  <c r="AP705" i="3"/>
  <c r="AP567" i="3"/>
  <c r="AP200" i="3"/>
  <c r="AP826" i="3"/>
  <c r="AP882" i="3"/>
  <c r="AP695" i="3"/>
  <c r="AP689" i="3"/>
  <c r="AP1189" i="3"/>
  <c r="AP99" i="3"/>
  <c r="AP622" i="3"/>
  <c r="AP1022" i="3"/>
  <c r="AP180" i="3"/>
  <c r="AP532" i="3"/>
  <c r="AP950" i="3"/>
  <c r="AP74" i="3"/>
  <c r="AP659" i="3"/>
  <c r="AP1165" i="3"/>
  <c r="AP557" i="3"/>
  <c r="AP551" i="3"/>
  <c r="AP1069" i="3"/>
  <c r="AP144" i="3"/>
  <c r="AP480" i="3"/>
  <c r="AP907" i="3"/>
  <c r="AP43" i="3"/>
  <c r="AP390" i="3"/>
  <c r="AP810" i="3"/>
  <c r="AP1174" i="3"/>
  <c r="AP1036" i="3"/>
  <c r="AP189" i="3"/>
  <c r="AP798" i="3"/>
  <c r="AP874" i="3"/>
  <c r="AP266" i="3"/>
  <c r="AP720" i="3"/>
  <c r="AP1070" i="3"/>
  <c r="AP88" i="3"/>
  <c r="AP612" i="3"/>
  <c r="AP1014" i="3"/>
  <c r="AP201" i="3"/>
  <c r="AP699" i="3"/>
  <c r="AP606" i="3"/>
  <c r="AP1023" i="3"/>
  <c r="AP79" i="3"/>
  <c r="AP495" i="3"/>
  <c r="AP951" i="3"/>
  <c r="AP902" i="3"/>
  <c r="AP445" i="3"/>
  <c r="AP436" i="3"/>
  <c r="AP1010" i="3"/>
  <c r="AP286" i="3"/>
  <c r="AP277" i="3"/>
  <c r="AP1183" i="3"/>
  <c r="AJ933" i="3"/>
  <c r="AJ936" i="3" s="1"/>
  <c r="AJ939" i="3" s="1"/>
  <c r="AJ1223" i="3"/>
  <c r="AJ1227" i="3" s="1"/>
  <c r="AJ1229" i="3" s="1"/>
  <c r="AJ1234" i="3" s="1"/>
  <c r="AP793" i="3"/>
  <c r="AP566" i="3"/>
  <c r="AP47" i="3"/>
  <c r="AP461" i="3"/>
  <c r="AP908" i="3"/>
  <c r="AP1181" i="3"/>
  <c r="AP315" i="3"/>
  <c r="AP811" i="3"/>
  <c r="AP1024" i="3"/>
  <c r="AP239" i="3"/>
  <c r="AP219" i="3"/>
  <c r="AP1156" i="3"/>
  <c r="AP221" i="3"/>
  <c r="AP710" i="3"/>
  <c r="AP1064" i="3"/>
  <c r="AP665" i="3"/>
  <c r="AP910" i="3"/>
  <c r="AP979" i="3"/>
  <c r="AP735" i="3"/>
  <c r="AP729" i="3"/>
  <c r="AP842" i="3"/>
  <c r="AP146" i="3"/>
  <c r="AP680" i="3"/>
  <c r="AP1046" i="3"/>
  <c r="AP45" i="3"/>
  <c r="AP572" i="3"/>
  <c r="AP981" i="3"/>
  <c r="AP275" i="3"/>
  <c r="AP36" i="3"/>
  <c r="AP451" i="3"/>
  <c r="AP901" i="3"/>
  <c r="AP1161" i="3"/>
  <c r="AP405" i="3"/>
  <c r="AP396" i="3"/>
  <c r="AP980" i="3"/>
  <c r="AP214" i="3"/>
  <c r="AP202" i="3"/>
  <c r="AP1149" i="3"/>
  <c r="AP329" i="3"/>
  <c r="AP821" i="3"/>
  <c r="AP843" i="3"/>
  <c r="AP1160" i="3"/>
  <c r="AP81" i="3"/>
  <c r="AP694" i="3"/>
  <c r="AP1065" i="3"/>
  <c r="AP1042" i="3"/>
  <c r="AP627" i="3"/>
  <c r="AP621" i="3"/>
  <c r="AP1148" i="3"/>
  <c r="AP537" i="3"/>
  <c r="AP531" i="3"/>
  <c r="AK923" i="3"/>
  <c r="F65" i="1"/>
  <c r="B65" i="1" s="1"/>
  <c r="E65" i="1"/>
  <c r="O66" i="1"/>
  <c r="AN784" i="3"/>
  <c r="AN805" i="3" s="1"/>
  <c r="AN802" i="3"/>
  <c r="AM215" i="4"/>
  <c r="AP222" i="4" s="1"/>
  <c r="Y94" i="6"/>
  <c r="Y95" i="6" s="1"/>
  <c r="L61" i="14"/>
  <c r="J62" i="14" s="1"/>
  <c r="K61" i="14"/>
  <c r="AO553" i="3" l="1"/>
  <c r="AO1078" i="3"/>
  <c r="AO1084" i="3" s="1"/>
  <c r="AO1124" i="3" s="1"/>
  <c r="AP1082" i="3"/>
  <c r="AP1122" i="3" s="1"/>
  <c r="AP1078" i="3"/>
  <c r="AP1084" i="3" s="1"/>
  <c r="AP1124" i="3" s="1"/>
  <c r="AN1121" i="3"/>
  <c r="AN1208" i="3" s="1"/>
  <c r="AN1238" i="3" s="1"/>
  <c r="AO822" i="3"/>
  <c r="AO1082" i="3"/>
  <c r="AP1083" i="3"/>
  <c r="AP1123" i="3" s="1"/>
  <c r="AO1083" i="3"/>
  <c r="AO1123" i="3" s="1"/>
  <c r="AO230" i="3"/>
  <c r="AO538" i="3"/>
  <c r="AO422" i="3"/>
  <c r="AO741" i="3"/>
  <c r="AO817" i="3"/>
  <c r="AP417" i="3"/>
  <c r="AP701" i="3"/>
  <c r="AP691" i="3"/>
  <c r="AP681" i="3"/>
  <c r="AO457" i="3"/>
  <c r="AP736" i="3"/>
  <c r="AP852" i="3"/>
  <c r="AO307" i="3"/>
  <c r="AN639" i="3"/>
  <c r="AN1219" i="3" s="1"/>
  <c r="AP856" i="3"/>
  <c r="AP848" i="3"/>
  <c r="AP774" i="3"/>
  <c r="AN892" i="3"/>
  <c r="AN1220" i="3" s="1"/>
  <c r="AP593" i="3"/>
  <c r="AQ1146" i="3"/>
  <c r="AO764" i="3"/>
  <c r="AO880" i="3"/>
  <c r="AO432" i="3"/>
  <c r="AP696" i="3"/>
  <c r="AO671" i="3"/>
  <c r="AO407" i="3"/>
  <c r="AQ421" i="3"/>
  <c r="AP1001" i="3"/>
  <c r="AP817" i="3"/>
  <c r="AQ164" i="3"/>
  <c r="AP991" i="3"/>
  <c r="AQ602" i="3"/>
  <c r="AQ956" i="3"/>
  <c r="AQ1065" i="3"/>
  <c r="AP676" i="3"/>
  <c r="AP253" i="3"/>
  <c r="AP789" i="3"/>
  <c r="AP467" i="3"/>
  <c r="AN1214" i="3"/>
  <c r="AP996" i="3"/>
  <c r="AP746" i="3"/>
  <c r="AN368" i="3"/>
  <c r="AN512" i="3" s="1"/>
  <c r="AP741" i="3"/>
  <c r="AP656" i="3"/>
  <c r="AP618" i="3"/>
  <c r="AP538" i="3"/>
  <c r="AP1103" i="3"/>
  <c r="AP230" i="3"/>
  <c r="AP558" i="3"/>
  <c r="AP183" i="3"/>
  <c r="AP830" i="3"/>
  <c r="AP666" i="3"/>
  <c r="AP884" i="3"/>
  <c r="AP975" i="3"/>
  <c r="AP876" i="3"/>
  <c r="AO447" i="3"/>
  <c r="AP412" i="3"/>
  <c r="AO138" i="3"/>
  <c r="AP831" i="3"/>
  <c r="AP147" i="3"/>
  <c r="AP533" i="3"/>
  <c r="AP224" i="3"/>
  <c r="AP452" i="3"/>
  <c r="AP598" i="3"/>
  <c r="AP477" i="3"/>
  <c r="AQ456" i="3"/>
  <c r="AQ557" i="3"/>
  <c r="AQ99" i="3"/>
  <c r="AQ1191" i="3"/>
  <c r="AQ391" i="3"/>
  <c r="AQ1133" i="3"/>
  <c r="AQ142" i="3"/>
  <c r="AO731" i="3"/>
  <c r="AP262" i="3"/>
  <c r="AQ239" i="3"/>
  <c r="AQ210" i="3"/>
  <c r="AQ920" i="3"/>
  <c r="AQ1074" i="3"/>
  <c r="AQ851" i="3"/>
  <c r="AQ979" i="3"/>
  <c r="AQ745" i="3"/>
  <c r="AP316" i="3"/>
  <c r="AP48" i="3"/>
  <c r="AQ97" i="3"/>
  <c r="AQ38" i="3"/>
  <c r="AQ119" i="3"/>
  <c r="AQ875" i="3"/>
  <c r="AQ155" i="3"/>
  <c r="AQ679" i="3"/>
  <c r="AQ521" i="3"/>
  <c r="AQ874" i="3"/>
  <c r="AQ288" i="3"/>
  <c r="AP497" i="3"/>
  <c r="AP432" i="3"/>
  <c r="AP298" i="3"/>
  <c r="AQ788" i="3"/>
  <c r="AQ1149" i="3"/>
  <c r="AQ201" i="3"/>
  <c r="AQ981" i="3"/>
  <c r="AQ1004" i="3"/>
  <c r="AQ1101" i="3"/>
  <c r="AQ1195" i="3"/>
  <c r="AQ1196" i="3" s="1"/>
  <c r="AQ910" i="3"/>
  <c r="AQ1062" i="3"/>
  <c r="AQ843" i="3"/>
  <c r="AQ960" i="3"/>
  <c r="AP39" i="3"/>
  <c r="AP280" i="3"/>
  <c r="AP84" i="3"/>
  <c r="AO111" i="3"/>
  <c r="AO608" i="3"/>
  <c r="AO613" i="3"/>
  <c r="AO864" i="3"/>
  <c r="AO93" i="3"/>
  <c r="AO427" i="3"/>
  <c r="AO298" i="3"/>
  <c r="AO633" i="3"/>
  <c r="AP156" i="3"/>
  <c r="AP442" i="3"/>
  <c r="AP1096" i="3"/>
  <c r="AP21" i="3"/>
  <c r="AP523" i="3"/>
  <c r="AP382" i="3"/>
  <c r="AP649" i="3"/>
  <c r="AP840" i="3"/>
  <c r="AP764" i="3"/>
  <c r="AP192" i="3"/>
  <c r="AP726" i="3"/>
  <c r="AO271" i="3"/>
  <c r="AQ526" i="3"/>
  <c r="AQ279" i="3"/>
  <c r="AQ173" i="3"/>
  <c r="AQ1039" i="3"/>
  <c r="AQ386" i="3"/>
  <c r="AQ1076" i="3"/>
  <c r="AQ117" i="3"/>
  <c r="AQ878" i="3"/>
  <c r="AQ660" i="3"/>
  <c r="AQ277" i="3"/>
  <c r="AQ572" i="3"/>
  <c r="AQ88" i="3"/>
  <c r="AQ480" i="3"/>
  <c r="AP731" i="3"/>
  <c r="AP1157" i="3"/>
  <c r="AP462" i="3"/>
  <c r="AP392" i="3"/>
  <c r="AO706" i="3"/>
  <c r="AP671" i="3"/>
  <c r="AP174" i="3"/>
  <c r="AP30" i="3"/>
  <c r="AP827" i="3"/>
  <c r="AP872" i="3"/>
  <c r="AP970" i="3"/>
  <c r="AP588" i="3"/>
  <c r="AP822" i="3"/>
  <c r="AP583" i="3"/>
  <c r="AP387" i="3"/>
  <c r="AQ793" i="3"/>
  <c r="AQ485" i="3"/>
  <c r="AQ487" i="3" s="1"/>
  <c r="AQ1042" i="3"/>
  <c r="AQ1160" i="3"/>
  <c r="AQ867" i="3"/>
  <c r="AQ1058" i="3"/>
  <c r="AQ654" i="3"/>
  <c r="AQ968" i="3"/>
  <c r="AQ587" i="3"/>
  <c r="AQ958" i="3"/>
  <c r="AQ471" i="3"/>
  <c r="AQ879" i="3"/>
  <c r="AQ496" i="3"/>
  <c r="AQ777" i="3"/>
  <c r="AM923" i="3"/>
  <c r="AM1223" i="3" s="1"/>
  <c r="AM1227" i="3" s="1"/>
  <c r="AM1229" i="3" s="1"/>
  <c r="AM1234" i="3" s="1"/>
  <c r="AP711" i="3"/>
  <c r="AP1185" i="3"/>
  <c r="AO402" i="3"/>
  <c r="AP880" i="3"/>
  <c r="AP231" i="3"/>
  <c r="AQ311" i="3"/>
  <c r="AQ581" i="3"/>
  <c r="AQ757" i="3"/>
  <c r="AQ1109" i="3"/>
  <c r="AQ410" i="3"/>
  <c r="AQ1100" i="3"/>
  <c r="AQ1155" i="3"/>
  <c r="AQ659" i="3"/>
  <c r="AQ266" i="3"/>
  <c r="AQ999" i="3"/>
  <c r="AQ1075" i="3"/>
  <c r="AQ476" i="3"/>
  <c r="AQ162" i="3"/>
  <c r="AQ858" i="3"/>
  <c r="AP633" i="3"/>
  <c r="AP437" i="3"/>
  <c r="AO442" i="3"/>
  <c r="AO452" i="3"/>
  <c r="AO573" i="3"/>
  <c r="AO316" i="3"/>
  <c r="AO578" i="3"/>
  <c r="AO392" i="3"/>
  <c r="AP75" i="3"/>
  <c r="AP759" i="3"/>
  <c r="AP1006" i="3"/>
  <c r="AP372" i="3"/>
  <c r="AP706" i="3"/>
  <c r="AP472" i="3"/>
  <c r="AP371" i="3"/>
  <c r="AQ552" i="3"/>
  <c r="AQ1107" i="3"/>
  <c r="AQ252" i="3"/>
  <c r="AQ1024" i="3"/>
  <c r="AQ978" i="3"/>
  <c r="AQ597" i="3"/>
  <c r="AQ974" i="3"/>
  <c r="AQ495" i="3"/>
  <c r="AQ901" i="3"/>
  <c r="AQ527" i="3"/>
  <c r="AQ820" i="3"/>
  <c r="AQ441" i="3"/>
  <c r="AQ821" i="3"/>
  <c r="AQ435" i="3"/>
  <c r="AP1150" i="3"/>
  <c r="AP482" i="3"/>
  <c r="AO231" i="3"/>
  <c r="AO1011" i="3"/>
  <c r="AP769" i="3"/>
  <c r="AP1135" i="3"/>
  <c r="AP492" i="3"/>
  <c r="AP427" i="3"/>
  <c r="AP402" i="3"/>
  <c r="AP716" i="3"/>
  <c r="AP307" i="3"/>
  <c r="AQ927" i="3"/>
  <c r="AQ151" i="3"/>
  <c r="AQ556" i="3"/>
  <c r="AQ918" i="3"/>
  <c r="AQ302" i="3"/>
  <c r="AQ466" i="3"/>
  <c r="AQ16" i="3"/>
  <c r="AQ647" i="3"/>
  <c r="AQ191" i="3"/>
  <c r="AQ243" i="3"/>
  <c r="AQ1064" i="3"/>
  <c r="AQ562" i="3"/>
  <c r="AQ108" i="3"/>
  <c r="AP1167" i="3"/>
  <c r="AO372" i="3"/>
  <c r="AP608" i="3"/>
  <c r="AP271" i="3"/>
  <c r="AP661" i="3"/>
  <c r="AP1192" i="3"/>
  <c r="AO21" i="3"/>
  <c r="AO848" i="3"/>
  <c r="AO1162" i="3"/>
  <c r="AO1167" i="3"/>
  <c r="AO856" i="3"/>
  <c r="AO696" i="3"/>
  <c r="AO30" i="3"/>
  <c r="AO726" i="3"/>
  <c r="AO244" i="3"/>
  <c r="AO991" i="3"/>
  <c r="AP138" i="3"/>
  <c r="AP102" i="3"/>
  <c r="AP129" i="3"/>
  <c r="AP686" i="3"/>
  <c r="AP528" i="3"/>
  <c r="AP721" i="3"/>
  <c r="AP860" i="3"/>
  <c r="AP502" i="3"/>
  <c r="AO412" i="3"/>
  <c r="AP548" i="3"/>
  <c r="AP623" i="3"/>
  <c r="AP1016" i="3"/>
  <c r="AP289" i="3"/>
  <c r="AP568" i="3"/>
  <c r="AP911" i="3"/>
  <c r="AP447" i="3"/>
  <c r="AP370" i="3"/>
  <c r="AP457" i="3"/>
  <c r="AP165" i="3"/>
  <c r="AP1202" i="3"/>
  <c r="AP93" i="3"/>
  <c r="AP1178" i="3"/>
  <c r="AP632" i="3"/>
  <c r="AO721" i="3"/>
  <c r="AO174" i="3"/>
  <c r="AO711" i="3"/>
  <c r="AO324" i="3"/>
  <c r="AO492" i="3"/>
  <c r="AO1150" i="3"/>
  <c r="AO371" i="3"/>
  <c r="AO827" i="3"/>
  <c r="AO1096" i="3"/>
  <c r="AO1001" i="3"/>
  <c r="AO497" i="3"/>
  <c r="AP799" i="3"/>
  <c r="AP964" i="3"/>
  <c r="AP603" i="3"/>
  <c r="AP578" i="3"/>
  <c r="AP613" i="3"/>
  <c r="AP215" i="3"/>
  <c r="AP1110" i="3"/>
  <c r="AP868" i="3"/>
  <c r="AP66" i="3"/>
  <c r="AP563" i="3"/>
  <c r="AP120" i="3"/>
  <c r="AP921" i="3"/>
  <c r="AP1222" i="3" s="1"/>
  <c r="AP628" i="3"/>
  <c r="AP631" i="3" s="1"/>
  <c r="AP904" i="3"/>
  <c r="AP750" i="3"/>
  <c r="AP749" i="3"/>
  <c r="AP1201" i="3"/>
  <c r="AP325" i="3"/>
  <c r="AP365" i="3" s="1"/>
  <c r="AO326" i="3"/>
  <c r="AP953" i="3"/>
  <c r="AP1011" i="3"/>
  <c r="AP887" i="3"/>
  <c r="AP543" i="3"/>
  <c r="AP326" i="3"/>
  <c r="AP501" i="3"/>
  <c r="AP1200" i="3"/>
  <c r="AP507" i="3"/>
  <c r="AP634" i="3"/>
  <c r="AP323" i="3"/>
  <c r="AP783" i="3" s="1"/>
  <c r="AP803" i="3" s="1"/>
  <c r="AP422" i="3"/>
  <c r="AP57" i="3"/>
  <c r="AP111" i="3"/>
  <c r="AO649" i="3"/>
  <c r="AO787" i="3"/>
  <c r="AO789" i="3" s="1"/>
  <c r="AO370" i="3"/>
  <c r="AO467" i="3"/>
  <c r="AO387" i="3"/>
  <c r="AO502" i="3"/>
  <c r="AP506" i="3"/>
  <c r="AQ929" i="3"/>
  <c r="AQ842" i="3"/>
  <c r="AQ45" i="3"/>
  <c r="AQ381" i="3"/>
  <c r="AQ1053" i="3"/>
  <c r="AQ1027" i="3"/>
  <c r="AQ561" i="3"/>
  <c r="AQ592" i="3"/>
  <c r="AQ547" i="3"/>
  <c r="AQ212" i="3"/>
  <c r="AQ197" i="3"/>
  <c r="AQ144" i="3"/>
  <c r="AQ862" i="3"/>
  <c r="AQ1009" i="3"/>
  <c r="AQ919" i="3"/>
  <c r="AQ135" i="3"/>
  <c r="AQ546" i="3"/>
  <c r="AQ1051" i="3"/>
  <c r="AQ1014" i="3"/>
  <c r="AQ847" i="3"/>
  <c r="AQ773" i="3"/>
  <c r="AQ396" i="3"/>
  <c r="AQ522" i="3"/>
  <c r="AQ455" i="3"/>
  <c r="AQ52" i="3"/>
  <c r="AQ115" i="3"/>
  <c r="AQ61" i="3"/>
  <c r="AQ689" i="3"/>
  <c r="AQ866" i="3"/>
  <c r="AQ744" i="3"/>
  <c r="AQ206" i="3"/>
  <c r="AQ223" i="3"/>
  <c r="AQ1035" i="3"/>
  <c r="AQ1000" i="3"/>
  <c r="AQ870" i="3"/>
  <c r="AQ740" i="3"/>
  <c r="AQ695" i="3"/>
  <c r="AQ146" i="3"/>
  <c r="AQ430" i="3"/>
  <c r="AQ385" i="3"/>
  <c r="AQ1088" i="3"/>
  <c r="AQ1089" i="3" s="1"/>
  <c r="AQ36" i="3"/>
  <c r="AQ1154" i="3"/>
  <c r="AP397" i="3"/>
  <c r="AO1139" i="3"/>
  <c r="AO1199" i="3"/>
  <c r="AO482" i="3"/>
  <c r="AO799" i="3"/>
  <c r="AO593" i="3"/>
  <c r="AO472" i="3"/>
  <c r="AO632" i="3"/>
  <c r="AO523" i="3"/>
  <c r="AO840" i="3"/>
  <c r="AO886" i="3"/>
  <c r="AO701" i="3"/>
  <c r="AP864" i="3"/>
  <c r="AP503" i="3"/>
  <c r="AQ854" i="3"/>
  <c r="AQ730" i="3"/>
  <c r="AQ685" i="3"/>
  <c r="AQ124" i="3"/>
  <c r="AQ420" i="3"/>
  <c r="AQ320" i="3"/>
  <c r="AQ1070" i="3"/>
  <c r="AQ25" i="3"/>
  <c r="AQ1134" i="3"/>
  <c r="AQ490" i="3"/>
  <c r="AQ674" i="3"/>
  <c r="AQ566" i="3"/>
  <c r="AQ1165" i="3"/>
  <c r="AQ950" i="3"/>
  <c r="AQ778" i="3"/>
  <c r="AQ725" i="3"/>
  <c r="AQ219" i="3"/>
  <c r="AQ460" i="3"/>
  <c r="AQ415" i="3"/>
  <c r="AQ1156" i="3"/>
  <c r="AQ65" i="3"/>
  <c r="AQ18" i="3"/>
  <c r="AQ591" i="3"/>
  <c r="AQ762" i="3"/>
  <c r="AQ664" i="3"/>
  <c r="AQ329" i="3"/>
  <c r="AQ128" i="3"/>
  <c r="AQ1005" i="3"/>
  <c r="AQ973" i="3"/>
  <c r="AQ767" i="3"/>
  <c r="AQ700" i="3"/>
  <c r="AQ655" i="3"/>
  <c r="AQ54" i="3"/>
  <c r="AQ390" i="3"/>
  <c r="AQ275" i="3"/>
  <c r="AQ1034" i="3"/>
  <c r="AQ1161" i="3"/>
  <c r="AQ1068" i="3"/>
  <c r="AQ426" i="3"/>
  <c r="AQ596" i="3"/>
  <c r="AQ1177" i="3"/>
  <c r="AQ1138" i="3"/>
  <c r="AQ1139" i="3" s="1"/>
  <c r="AQ1166" i="3"/>
  <c r="AQ951" i="3"/>
  <c r="AQ883" i="3"/>
  <c r="AQ601" i="3"/>
  <c r="AQ612" i="3"/>
  <c r="AQ567" i="3"/>
  <c r="AQ284" i="3"/>
  <c r="AQ221" i="3"/>
  <c r="AQ169" i="3"/>
  <c r="AP407" i="3"/>
  <c r="AP573" i="3"/>
  <c r="AO750" i="3"/>
  <c r="AO48" i="3"/>
  <c r="AO860" i="3"/>
  <c r="AO603" i="3"/>
  <c r="AO716" i="3"/>
  <c r="AO686" i="3"/>
  <c r="AO120" i="3"/>
  <c r="AO769" i="3"/>
  <c r="AO953" i="3"/>
  <c r="AO666" i="3"/>
  <c r="AO66" i="3"/>
  <c r="AO224" i="3"/>
  <c r="AO623" i="3"/>
  <c r="AO656" i="3"/>
  <c r="AO749" i="3"/>
  <c r="AJ1244" i="3"/>
  <c r="AJ1241" i="3"/>
  <c r="AO1157" i="3"/>
  <c r="AO382" i="3"/>
  <c r="AO501" i="3"/>
  <c r="AO503" i="3"/>
  <c r="AO876" i="3"/>
  <c r="AP1199" i="3"/>
  <c r="AQ401" i="3"/>
  <c r="AQ811" i="3"/>
  <c r="AQ470" i="3"/>
  <c r="AQ79" i="3"/>
  <c r="AQ411" i="3"/>
  <c r="AQ1028" i="3"/>
  <c r="AQ416" i="3"/>
  <c r="AQ70" i="3"/>
  <c r="AQ709" i="3"/>
  <c r="AQ207" i="3"/>
  <c r="AQ1010" i="3"/>
  <c r="AQ705" i="3"/>
  <c r="AQ395" i="3"/>
  <c r="AQ1174" i="3"/>
  <c r="AQ606" i="3"/>
  <c r="AQ986" i="3"/>
  <c r="AQ680" i="3"/>
  <c r="AP324" i="3"/>
  <c r="AO568" i="3"/>
  <c r="AO661" i="3"/>
  <c r="AP1162" i="3"/>
  <c r="AP229" i="3"/>
  <c r="AP782" i="3" s="1"/>
  <c r="AQ531" i="3"/>
  <c r="AQ694" i="3"/>
  <c r="AQ586" i="3"/>
  <c r="AQ1175" i="3"/>
  <c r="AQ56" i="3"/>
  <c r="AQ982" i="3"/>
  <c r="AQ931" i="3"/>
  <c r="AQ699" i="3"/>
  <c r="AQ670" i="3"/>
  <c r="AQ607" i="3"/>
  <c r="AQ461" i="3"/>
  <c r="AQ293" i="3"/>
  <c r="AQ214" i="3"/>
  <c r="AQ611" i="3"/>
  <c r="AQ797" i="3"/>
  <c r="AQ684" i="3"/>
  <c r="AQ330" i="3"/>
  <c r="AQ153" i="3"/>
  <c r="AQ1015" i="3"/>
  <c r="AQ980" i="3"/>
  <c r="AQ810" i="3"/>
  <c r="AQ710" i="3"/>
  <c r="AQ665" i="3"/>
  <c r="AQ74" i="3"/>
  <c r="AQ400" i="3"/>
  <c r="AQ286" i="3"/>
  <c r="AQ1046" i="3"/>
  <c r="AQ1181" i="3"/>
  <c r="AQ446" i="3"/>
  <c r="AQ616" i="3"/>
  <c r="AQ1184" i="3"/>
  <c r="AQ1148" i="3"/>
  <c r="AQ1183" i="3"/>
  <c r="AQ959" i="3"/>
  <c r="AQ903" i="3"/>
  <c r="AQ621" i="3"/>
  <c r="AQ622" i="3"/>
  <c r="AQ577" i="3"/>
  <c r="AQ315" i="3"/>
  <c r="AQ248" i="3"/>
  <c r="AQ180" i="3"/>
  <c r="AQ925" i="3"/>
  <c r="AQ1050" i="3"/>
  <c r="AQ983" i="3"/>
  <c r="AQ202" i="3"/>
  <c r="AQ451" i="3"/>
  <c r="AQ1106" i="3"/>
  <c r="AQ1069" i="3"/>
  <c r="AQ1052" i="3"/>
  <c r="AQ871" i="3"/>
  <c r="AQ826" i="3"/>
  <c r="AP553" i="3"/>
  <c r="AP844" i="3"/>
  <c r="AO887" i="3"/>
  <c r="AO975" i="3"/>
  <c r="AO759" i="3"/>
  <c r="AO1201" i="3"/>
  <c r="AO289" i="3"/>
  <c r="AO831" i="3"/>
  <c r="AO736" i="3"/>
  <c r="AO964" i="3"/>
  <c r="AO1081" i="3" s="1"/>
  <c r="AO779" i="3"/>
  <c r="AO844" i="3"/>
  <c r="AO262" i="3"/>
  <c r="AO691" i="3"/>
  <c r="AO563" i="3"/>
  <c r="AO75" i="3"/>
  <c r="AO280" i="3"/>
  <c r="AO676" i="3"/>
  <c r="AO183" i="3"/>
  <c r="AO558" i="3"/>
  <c r="AL923" i="3"/>
  <c r="AO156" i="3"/>
  <c r="AO996" i="3"/>
  <c r="AO1103" i="3"/>
  <c r="AQ63" i="3"/>
  <c r="AQ1033" i="3"/>
  <c r="AQ261" i="3"/>
  <c r="AQ1176" i="3"/>
  <c r="AQ160" i="3"/>
  <c r="AQ1057" i="3"/>
  <c r="AQ798" i="3"/>
  <c r="AQ465" i="3"/>
  <c r="AQ72" i="3"/>
  <c r="AQ772" i="3"/>
  <c r="AQ1041" i="3"/>
  <c r="AQ758" i="3"/>
  <c r="AQ440" i="3"/>
  <c r="AQ47" i="3"/>
  <c r="AQ714" i="3"/>
  <c r="AQ81" i="3"/>
  <c r="AQ719" i="3"/>
  <c r="AP886" i="3"/>
  <c r="AO253" i="3"/>
  <c r="AO774" i="3"/>
  <c r="AO588" i="3"/>
  <c r="AO1202" i="3"/>
  <c r="AO1143" i="3"/>
  <c r="AO477" i="3"/>
  <c r="AP812" i="3"/>
  <c r="AP792" i="3"/>
  <c r="AP794" i="3" s="1"/>
  <c r="AQ907" i="3"/>
  <c r="AQ1036" i="3"/>
  <c r="AQ969" i="3"/>
  <c r="AQ182" i="3"/>
  <c r="AQ431" i="3"/>
  <c r="AQ1099" i="3"/>
  <c r="AQ1063" i="3"/>
  <c r="AQ1040" i="3"/>
  <c r="AQ863" i="3"/>
  <c r="AQ816" i="3"/>
  <c r="AQ436" i="3"/>
  <c r="AQ542" i="3"/>
  <c r="AQ475" i="3"/>
  <c r="AQ985" i="3"/>
  <c r="AQ1093" i="3"/>
  <c r="AQ1030" i="3"/>
  <c r="AQ306" i="3"/>
  <c r="AQ536" i="3"/>
  <c r="AQ1153" i="3"/>
  <c r="AQ1094" i="3"/>
  <c r="AQ1095" i="3"/>
  <c r="AQ908" i="3"/>
  <c r="AQ859" i="3"/>
  <c r="AQ541" i="3"/>
  <c r="AQ582" i="3"/>
  <c r="AQ537" i="3"/>
  <c r="AQ189" i="3"/>
  <c r="AQ187" i="3"/>
  <c r="AQ133" i="3"/>
  <c r="AQ846" i="3"/>
  <c r="AQ989" i="3"/>
  <c r="AQ902" i="3"/>
  <c r="AQ110" i="3"/>
  <c r="AQ481" i="3"/>
  <c r="AQ1073" i="3"/>
  <c r="AQ1045" i="3"/>
  <c r="AQ994" i="3"/>
  <c r="AQ839" i="3"/>
  <c r="AQ763" i="3"/>
  <c r="AQ321" i="3"/>
  <c r="AQ491" i="3"/>
  <c r="AQ445" i="3"/>
  <c r="AQ27" i="3"/>
  <c r="AQ101" i="3"/>
  <c r="AQ53" i="3"/>
  <c r="AQ669" i="3"/>
  <c r="AQ850" i="3"/>
  <c r="AQ724" i="3"/>
  <c r="AQ205" i="3"/>
  <c r="AQ787" i="3" s="1"/>
  <c r="AQ200" i="3"/>
  <c r="AQ1029" i="3"/>
  <c r="AQ990" i="3"/>
  <c r="AR9" i="3"/>
  <c r="AK1223" i="3"/>
  <c r="AK1227" i="3" s="1"/>
  <c r="AK1229" i="3" s="1"/>
  <c r="AK1234" i="3" s="1"/>
  <c r="AK933" i="3"/>
  <c r="AK936" i="3" s="1"/>
  <c r="AK939" i="3" s="1"/>
  <c r="AO533" i="3"/>
  <c r="AO1110" i="3"/>
  <c r="AO1135" i="3"/>
  <c r="AO1200" i="3"/>
  <c r="AO417" i="3"/>
  <c r="AO548" i="3"/>
  <c r="AO618" i="3"/>
  <c r="AO192" i="3"/>
  <c r="AO397" i="3"/>
  <c r="AO129" i="3"/>
  <c r="AO39" i="3"/>
  <c r="AO102" i="3"/>
  <c r="AO528" i="3"/>
  <c r="AO598" i="3"/>
  <c r="AO437" i="3"/>
  <c r="AO1185" i="3"/>
  <c r="AO506" i="3"/>
  <c r="AO507" i="3"/>
  <c r="AO543" i="3"/>
  <c r="AO1016" i="3"/>
  <c r="AO462" i="3"/>
  <c r="AO852" i="3"/>
  <c r="AO792" i="3"/>
  <c r="AO794" i="3" s="1"/>
  <c r="AO229" i="3"/>
  <c r="AO215" i="3"/>
  <c r="AO1006" i="3"/>
  <c r="AO872" i="3"/>
  <c r="AO634" i="3"/>
  <c r="AP244" i="3"/>
  <c r="AO84" i="3"/>
  <c r="AQ1059" i="3"/>
  <c r="AQ962" i="3"/>
  <c r="AQ735" i="3"/>
  <c r="AQ425" i="3"/>
  <c r="AQ29" i="3"/>
  <c r="AQ1092" i="3"/>
  <c r="AQ855" i="3"/>
  <c r="AQ532" i="3"/>
  <c r="AQ126" i="3"/>
  <c r="AQ882" i="3"/>
  <c r="AQ270" i="3"/>
  <c r="AQ900" i="3"/>
  <c r="AQ171" i="3"/>
  <c r="AQ1102" i="3"/>
  <c r="AQ551" i="3"/>
  <c r="AQ1182" i="3"/>
  <c r="AQ957" i="3"/>
  <c r="AQ617" i="3"/>
  <c r="AO812" i="3"/>
  <c r="AO830" i="3"/>
  <c r="AO970" i="3"/>
  <c r="AO681" i="3"/>
  <c r="AQ1190" i="3"/>
  <c r="AQ90" i="3"/>
  <c r="AQ43" i="3"/>
  <c r="AQ646" i="3"/>
  <c r="AQ825" i="3"/>
  <c r="AQ704" i="3"/>
  <c r="AQ331" i="3"/>
  <c r="AQ178" i="3"/>
  <c r="AQ1023" i="3"/>
  <c r="AQ984" i="3"/>
  <c r="AQ838" i="3"/>
  <c r="AQ840" i="3" s="1"/>
  <c r="AQ720" i="3"/>
  <c r="AQ675" i="3"/>
  <c r="AQ92" i="3"/>
  <c r="AQ137" i="3"/>
  <c r="AQ83" i="3"/>
  <c r="AQ729" i="3"/>
  <c r="AQ909" i="3"/>
  <c r="AQ815" i="3"/>
  <c r="AQ20" i="3"/>
  <c r="AQ297" i="3"/>
  <c r="AQ1047" i="3"/>
  <c r="AQ917" i="3"/>
  <c r="AQ768" i="3"/>
  <c r="AQ715" i="3"/>
  <c r="AQ196" i="3"/>
  <c r="AQ450" i="3"/>
  <c r="AQ405" i="3"/>
  <c r="AQ1142" i="3"/>
  <c r="AQ1143" i="3" s="1"/>
  <c r="AQ55" i="3"/>
  <c r="AQ1188" i="3"/>
  <c r="AQ571" i="3"/>
  <c r="AQ734" i="3"/>
  <c r="AQ626" i="3"/>
  <c r="AQ1189" i="3"/>
  <c r="AQ106" i="3"/>
  <c r="AQ995" i="3"/>
  <c r="AQ961" i="3"/>
  <c r="AQ739" i="3"/>
  <c r="AQ690" i="3"/>
  <c r="AQ627" i="3"/>
  <c r="AQ34" i="3"/>
  <c r="AQ380" i="3"/>
  <c r="AQ257" i="3"/>
  <c r="AQ1022" i="3"/>
  <c r="AQ1147" i="3"/>
  <c r="AQ1056" i="3"/>
  <c r="AQ406" i="3"/>
  <c r="AQ576" i="3"/>
  <c r="AQ1170" i="3"/>
  <c r="AQ1171" i="3" s="1"/>
  <c r="AO323" i="3"/>
  <c r="AO783" i="3" s="1"/>
  <c r="AO803" i="3" s="1"/>
  <c r="AO583" i="3"/>
  <c r="AO1178" i="3"/>
  <c r="AO165" i="3"/>
  <c r="AO746" i="3"/>
  <c r="AO911" i="3"/>
  <c r="AO147" i="3"/>
  <c r="AO884" i="3"/>
  <c r="AO921" i="3"/>
  <c r="AO1222" i="3" s="1"/>
  <c r="AO57" i="3"/>
  <c r="AO904" i="3"/>
  <c r="AO1192" i="3"/>
  <c r="AO628" i="3"/>
  <c r="AO631" i="3" s="1"/>
  <c r="AO868" i="3"/>
  <c r="AP779" i="3"/>
  <c r="AO325" i="3"/>
  <c r="AO365" i="3" s="1"/>
  <c r="E66" i="1"/>
  <c r="F66" i="1"/>
  <c r="B66" i="1" s="1"/>
  <c r="O67" i="1"/>
  <c r="AZ222" i="4"/>
  <c r="BA222" i="4" s="1"/>
  <c r="AQ222" i="4"/>
  <c r="AP215" i="4"/>
  <c r="Y96" i="6"/>
  <c r="Y97" i="6" s="1"/>
  <c r="W95" i="6"/>
  <c r="AB95" i="6" s="1"/>
  <c r="L62" i="14"/>
  <c r="J63" i="14" s="1"/>
  <c r="AQ880" i="3" l="1"/>
  <c r="AO364" i="3"/>
  <c r="AQ1162" i="3"/>
  <c r="AQ442" i="3"/>
  <c r="AQ548" i="3"/>
  <c r="AQ382" i="3"/>
  <c r="AQ422" i="3"/>
  <c r="AQ538" i="3"/>
  <c r="AQ1078" i="3"/>
  <c r="AQ1084" i="3" s="1"/>
  <c r="AQ1124" i="3" s="1"/>
  <c r="AQ1082" i="3"/>
  <c r="AQ1122" i="3" s="1"/>
  <c r="AP1081" i="3"/>
  <c r="AP1085" i="3" s="1"/>
  <c r="AP1127" i="3" s="1"/>
  <c r="AO1085" i="3"/>
  <c r="AO1127" i="3" s="1"/>
  <c r="AQ1083" i="3"/>
  <c r="AQ1123" i="3" s="1"/>
  <c r="AO1122" i="3"/>
  <c r="AO1209" i="3" s="1"/>
  <c r="AO1239" i="3" s="1"/>
  <c r="AQ1135" i="3"/>
  <c r="AQ324" i="3"/>
  <c r="AQ598" i="3"/>
  <c r="AN923" i="3"/>
  <c r="AN1223" i="3" s="1"/>
  <c r="AN1227" i="3" s="1"/>
  <c r="AN1229" i="3" s="1"/>
  <c r="AN1234" i="3" s="1"/>
  <c r="AQ603" i="3"/>
  <c r="AP366" i="3"/>
  <c r="AQ244" i="3"/>
  <c r="AQ852" i="3"/>
  <c r="AQ970" i="3"/>
  <c r="AQ253" i="3"/>
  <c r="AQ523" i="3"/>
  <c r="AQ817" i="3"/>
  <c r="AQ844" i="3"/>
  <c r="AQ558" i="3"/>
  <c r="AQ492" i="3"/>
  <c r="AQ528" i="3"/>
  <c r="AQ623" i="3"/>
  <c r="AM933" i="3"/>
  <c r="AM936" i="3" s="1"/>
  <c r="AM939" i="3" s="1"/>
  <c r="AQ472" i="3"/>
  <c r="AQ792" i="3"/>
  <c r="AQ794" i="3" s="1"/>
  <c r="AQ1150" i="3"/>
  <c r="AQ432" i="3"/>
  <c r="AQ102" i="3"/>
  <c r="AP364" i="3"/>
  <c r="AQ93" i="3"/>
  <c r="AQ799" i="3"/>
  <c r="AQ872" i="3"/>
  <c r="AQ1016" i="3"/>
  <c r="AQ462" i="3"/>
  <c r="AQ588" i="3"/>
  <c r="AP1210" i="3"/>
  <c r="AP1240" i="3" s="1"/>
  <c r="AQ759" i="3"/>
  <c r="AQ505" i="3"/>
  <c r="AQ608" i="3"/>
  <c r="AQ696" i="3"/>
  <c r="AQ427" i="3"/>
  <c r="AQ701" i="3"/>
  <c r="AQ457" i="3"/>
  <c r="AQ876" i="3"/>
  <c r="AQ975" i="3"/>
  <c r="AQ563" i="3"/>
  <c r="AQ1110" i="3"/>
  <c r="AP784" i="3"/>
  <c r="AP805" i="3" s="1"/>
  <c r="AP232" i="3"/>
  <c r="AQ661" i="3"/>
  <c r="AQ921" i="3"/>
  <c r="AQ1222" i="3" s="1"/>
  <c r="AO833" i="3"/>
  <c r="AO232" i="3"/>
  <c r="AQ774" i="3"/>
  <c r="AQ280" i="3"/>
  <c r="AP1018" i="3"/>
  <c r="AQ860" i="3"/>
  <c r="AQ789" i="3"/>
  <c r="AQ681" i="3"/>
  <c r="AQ392" i="3"/>
  <c r="AQ307" i="3"/>
  <c r="AQ497" i="3"/>
  <c r="AQ156" i="3"/>
  <c r="AQ39" i="3"/>
  <c r="AP1209" i="3"/>
  <c r="AP1239" i="3" s="1"/>
  <c r="AP833" i="3"/>
  <c r="AO366" i="3"/>
  <c r="AQ628" i="3"/>
  <c r="AQ631" i="3" s="1"/>
  <c r="AQ129" i="3"/>
  <c r="AQ848" i="3"/>
  <c r="AQ467" i="3"/>
  <c r="AQ298" i="3"/>
  <c r="AQ1178" i="3"/>
  <c r="AQ812" i="3"/>
  <c r="AQ666" i="3"/>
  <c r="AQ120" i="3"/>
  <c r="AP1211" i="3"/>
  <c r="AQ731" i="3"/>
  <c r="AQ553" i="3"/>
  <c r="AQ387" i="3"/>
  <c r="AP752" i="3"/>
  <c r="AQ583" i="3"/>
  <c r="AQ779" i="3"/>
  <c r="AQ437" i="3"/>
  <c r="AQ165" i="3"/>
  <c r="AQ402" i="3"/>
  <c r="AQ769" i="3"/>
  <c r="AQ736" i="3"/>
  <c r="AQ711" i="3"/>
  <c r="AQ573" i="3"/>
  <c r="AQ174" i="3"/>
  <c r="AQ482" i="3"/>
  <c r="AQ147" i="3"/>
  <c r="AQ746" i="3"/>
  <c r="AP913" i="3"/>
  <c r="AQ822" i="3"/>
  <c r="AQ412" i="3"/>
  <c r="AQ1006" i="3"/>
  <c r="AQ48" i="3"/>
  <c r="AQ671" i="3"/>
  <c r="AQ887" i="3"/>
  <c r="AQ1103" i="3"/>
  <c r="AQ84" i="3"/>
  <c r="AQ1185" i="3"/>
  <c r="AQ289" i="3"/>
  <c r="AQ224" i="3"/>
  <c r="AQ1001" i="3"/>
  <c r="AQ996" i="3"/>
  <c r="AQ477" i="3"/>
  <c r="AQ764" i="3"/>
  <c r="AQ230" i="3"/>
  <c r="AP635" i="3"/>
  <c r="AQ75" i="3"/>
  <c r="AQ618" i="3"/>
  <c r="AP1205" i="3"/>
  <c r="AQ868" i="3"/>
  <c r="AQ1011" i="3"/>
  <c r="AQ183" i="3"/>
  <c r="AQ316" i="3"/>
  <c r="AQ271" i="3"/>
  <c r="AQ613" i="3"/>
  <c r="AQ1192" i="3"/>
  <c r="AQ371" i="3"/>
  <c r="AQ649" i="3"/>
  <c r="AQ231" i="3"/>
  <c r="AQ911" i="3"/>
  <c r="AQ533" i="3"/>
  <c r="AQ138" i="3"/>
  <c r="AQ716" i="3"/>
  <c r="AQ964" i="3"/>
  <c r="AQ30" i="3"/>
  <c r="AQ57" i="3"/>
  <c r="AP327" i="3"/>
  <c r="AQ192" i="3"/>
  <c r="AQ633" i="3"/>
  <c r="AQ593" i="3"/>
  <c r="AP203" i="3"/>
  <c r="AQ568" i="3"/>
  <c r="AP363" i="3"/>
  <c r="AQ323" i="3"/>
  <c r="AQ783" i="3" s="1"/>
  <c r="AQ803" i="3" s="1"/>
  <c r="AQ111" i="3"/>
  <c r="AQ407" i="3"/>
  <c r="AQ830" i="3"/>
  <c r="AQ726" i="3"/>
  <c r="AQ904" i="3"/>
  <c r="AQ543" i="3"/>
  <c r="AP889" i="3"/>
  <c r="AQ447" i="3"/>
  <c r="AQ706" i="3"/>
  <c r="AQ1201" i="3"/>
  <c r="AQ417" i="3"/>
  <c r="AQ676" i="3"/>
  <c r="AQ686" i="3"/>
  <c r="AQ741" i="3"/>
  <c r="AQ691" i="3"/>
  <c r="AQ864" i="3"/>
  <c r="AQ325" i="3"/>
  <c r="AQ365" i="3" s="1"/>
  <c r="AQ452" i="3"/>
  <c r="AQ21" i="3"/>
  <c r="AQ884" i="3"/>
  <c r="AQ991" i="3"/>
  <c r="AQ1096" i="3"/>
  <c r="AQ721" i="3"/>
  <c r="AQ370" i="3"/>
  <c r="AQ66" i="3"/>
  <c r="AQ1200" i="3"/>
  <c r="AQ372" i="3"/>
  <c r="AQ831" i="3"/>
  <c r="AQ886" i="3"/>
  <c r="AQ750" i="3"/>
  <c r="AP636" i="3"/>
  <c r="AO636" i="3"/>
  <c r="AO203" i="3"/>
  <c r="AQ578" i="3"/>
  <c r="AQ502" i="3"/>
  <c r="AO635" i="3"/>
  <c r="AO1210" i="3"/>
  <c r="AO1240" i="3" s="1"/>
  <c r="AP509" i="3"/>
  <c r="AQ1202" i="3"/>
  <c r="AO1121" i="3"/>
  <c r="AO1208" i="3" s="1"/>
  <c r="AO1238" i="3" s="1"/>
  <c r="AQ953" i="3"/>
  <c r="AP802" i="3"/>
  <c r="AQ856" i="3"/>
  <c r="AQ326" i="3"/>
  <c r="AO363" i="3"/>
  <c r="AO782" i="3"/>
  <c r="AO509" i="3"/>
  <c r="AQ656" i="3"/>
  <c r="AK1244" i="3"/>
  <c r="AK1241" i="3"/>
  <c r="AR8" i="3"/>
  <c r="AR1" i="3" s="1"/>
  <c r="AQ507" i="3"/>
  <c r="AQ506" i="3"/>
  <c r="AQ501" i="3"/>
  <c r="AQ632" i="3"/>
  <c r="AQ215" i="3"/>
  <c r="AQ1199" i="3"/>
  <c r="AQ1157" i="3"/>
  <c r="AQ827" i="3"/>
  <c r="AO1018" i="3"/>
  <c r="AL933" i="3"/>
  <c r="AL936" i="3" s="1"/>
  <c r="AL939" i="3" s="1"/>
  <c r="AL1223" i="3"/>
  <c r="AL1227" i="3" s="1"/>
  <c r="AL1229" i="3" s="1"/>
  <c r="AL1234" i="3" s="1"/>
  <c r="AQ397" i="3"/>
  <c r="AQ503" i="3"/>
  <c r="AO1205" i="3"/>
  <c r="AO752" i="3"/>
  <c r="AO1211" i="3"/>
  <c r="AQ749" i="3"/>
  <c r="AQ262" i="3"/>
  <c r="AQ229" i="3"/>
  <c r="AQ782" i="3" s="1"/>
  <c r="AQ634" i="3"/>
  <c r="AO913" i="3"/>
  <c r="AO327" i="3"/>
  <c r="AQ1167" i="3"/>
  <c r="AO889" i="3"/>
  <c r="E67" i="1"/>
  <c r="AT8" i="3" s="1"/>
  <c r="AT1" i="3" s="1"/>
  <c r="F67" i="1"/>
  <c r="B67" i="1" s="1"/>
  <c r="O68" i="1"/>
  <c r="AM1241" i="3"/>
  <c r="AM1244" i="3"/>
  <c r="AZ215" i="4"/>
  <c r="BA215" i="4" s="1"/>
  <c r="AQ215" i="4"/>
  <c r="L63" i="14"/>
  <c r="J64" i="14" s="1"/>
  <c r="K63" i="14"/>
  <c r="K62" i="14"/>
  <c r="Y98" i="6"/>
  <c r="Y99" i="6" s="1"/>
  <c r="AQ364" i="3" l="1"/>
  <c r="AP1121" i="3"/>
  <c r="AP1208" i="3" s="1"/>
  <c r="AP1238" i="3" s="1"/>
  <c r="AQ1081" i="3"/>
  <c r="AQ1085" i="3" s="1"/>
  <c r="AQ1127" i="3" s="1"/>
  <c r="AT838" i="3"/>
  <c r="AT839" i="3"/>
  <c r="AN933" i="3"/>
  <c r="AN936" i="3" s="1"/>
  <c r="AN939" i="3" s="1"/>
  <c r="AP368" i="3"/>
  <c r="AP512" i="3" s="1"/>
  <c r="AQ366" i="3"/>
  <c r="AO639" i="3"/>
  <c r="AO1219" i="3" s="1"/>
  <c r="AQ1018" i="3"/>
  <c r="AP1214" i="3"/>
  <c r="AQ833" i="3"/>
  <c r="AQ1211" i="3"/>
  <c r="AP892" i="3"/>
  <c r="AP1220" i="3" s="1"/>
  <c r="AQ913" i="3"/>
  <c r="AQ1209" i="3"/>
  <c r="AQ1239" i="3" s="1"/>
  <c r="AQ327" i="3"/>
  <c r="AQ203" i="3"/>
  <c r="AQ1210" i="3"/>
  <c r="AQ1240" i="3" s="1"/>
  <c r="AP639" i="3"/>
  <c r="AP1219" i="3" s="1"/>
  <c r="AQ232" i="3"/>
  <c r="AQ752" i="3"/>
  <c r="AQ1205" i="3"/>
  <c r="AQ636" i="3"/>
  <c r="AQ509" i="3"/>
  <c r="AQ635" i="3"/>
  <c r="AO1214" i="3"/>
  <c r="AQ363" i="3"/>
  <c r="AQ889" i="3"/>
  <c r="AO368" i="3"/>
  <c r="AO512" i="3" s="1"/>
  <c r="AL1241" i="3"/>
  <c r="AL1244" i="3"/>
  <c r="AO784" i="3"/>
  <c r="AO805" i="3" s="1"/>
  <c r="AO892" i="3" s="1"/>
  <c r="AO1220" i="3" s="1"/>
  <c r="AO802" i="3"/>
  <c r="AS8" i="3"/>
  <c r="AS1" i="3" s="1"/>
  <c r="AS9" i="3"/>
  <c r="AR1022" i="3"/>
  <c r="AR734" i="3"/>
  <c r="AR266" i="3"/>
  <c r="AR43" i="3"/>
  <c r="AR1030" i="3"/>
  <c r="AR38" i="3"/>
  <c r="AR425" i="3"/>
  <c r="AR839" i="3"/>
  <c r="AR431" i="3"/>
  <c r="AR99" i="3"/>
  <c r="AR1075" i="3"/>
  <c r="AR851" i="3"/>
  <c r="AR490" i="3"/>
  <c r="AR820" i="3"/>
  <c r="AR1092" i="3"/>
  <c r="AR72" i="3"/>
  <c r="AR1064" i="3"/>
  <c r="AR842" i="3"/>
  <c r="AR440" i="3"/>
  <c r="AR201" i="3"/>
  <c r="AR1074" i="3"/>
  <c r="AR117" i="3"/>
  <c r="AR496" i="3"/>
  <c r="AR908" i="3"/>
  <c r="AR526" i="3"/>
  <c r="AR182" i="3"/>
  <c r="AR1155" i="3"/>
  <c r="AR920" i="3"/>
  <c r="AR581" i="3"/>
  <c r="AR900" i="3"/>
  <c r="AR1170" i="3"/>
  <c r="AR1171" i="3" s="1"/>
  <c r="AR257" i="3"/>
  <c r="AR1147" i="3"/>
  <c r="AR909" i="3"/>
  <c r="AR532" i="3"/>
  <c r="AR65" i="3"/>
  <c r="AR1156" i="3"/>
  <c r="AR200" i="3"/>
  <c r="AR587" i="3"/>
  <c r="AR1101" i="3"/>
  <c r="AR875" i="3"/>
  <c r="AR541" i="3"/>
  <c r="AR854" i="3"/>
  <c r="AR1133" i="3"/>
  <c r="AR144" i="3"/>
  <c r="AR1093" i="3"/>
  <c r="AR866" i="3"/>
  <c r="AR470" i="3"/>
  <c r="AR302" i="3"/>
  <c r="AR1102" i="3"/>
  <c r="AR153" i="3"/>
  <c r="AR547" i="3"/>
  <c r="AR1069" i="3"/>
  <c r="AR810" i="3"/>
  <c r="AR1058" i="3"/>
  <c r="AR180" i="3"/>
  <c r="AR485" i="3"/>
  <c r="AR487" i="3" s="1"/>
  <c r="AR171" i="3"/>
  <c r="AR571" i="3"/>
  <c r="AR1160" i="3"/>
  <c r="AR902" i="3"/>
  <c r="AR1149" i="3"/>
  <c r="AR978" i="3"/>
  <c r="AR277" i="3"/>
  <c r="AR680" i="3"/>
  <c r="AR79" i="3"/>
  <c r="AR142" i="3"/>
  <c r="AR927" i="3"/>
  <c r="AR1175" i="3"/>
  <c r="AR601" i="3"/>
  <c r="AR320" i="3"/>
  <c r="AR925" i="3"/>
  <c r="AR562" i="3"/>
  <c r="AR252" i="3"/>
  <c r="AR647" i="3"/>
  <c r="AR1023" i="3"/>
  <c r="AR704" i="3"/>
  <c r="AR1009" i="3"/>
  <c r="AR778" i="3"/>
  <c r="AR1057" i="3"/>
  <c r="AR767" i="3"/>
  <c r="AR1195" i="3"/>
  <c r="AR1196" i="3" s="1"/>
  <c r="AR210" i="3"/>
  <c r="AR1033" i="3"/>
  <c r="AR416" i="3"/>
  <c r="AR816" i="3"/>
  <c r="AR1161" i="3"/>
  <c r="AR552" i="3"/>
  <c r="AR1176" i="3"/>
  <c r="AR607" i="3"/>
  <c r="AR321" i="3"/>
  <c r="AR1015" i="3"/>
  <c r="AR694" i="3"/>
  <c r="AR999" i="3"/>
  <c r="AR768" i="3"/>
  <c r="AR1051" i="3"/>
  <c r="AR1059" i="3"/>
  <c r="AR400" i="3"/>
  <c r="AR863" i="3"/>
  <c r="AR709" i="3"/>
  <c r="AR724" i="3"/>
  <c r="AR27" i="3"/>
  <c r="AR421" i="3"/>
  <c r="AR862" i="3"/>
  <c r="AR1146" i="3"/>
  <c r="AR169" i="3"/>
  <c r="AR1100" i="3"/>
  <c r="AR874" i="3"/>
  <c r="AR480" i="3"/>
  <c r="AR385" i="3"/>
  <c r="AR1109" i="3"/>
  <c r="AR164" i="3"/>
  <c r="AR557" i="3"/>
  <c r="AR959" i="3"/>
  <c r="AR566" i="3"/>
  <c r="AR243" i="3"/>
  <c r="AR1189" i="3"/>
  <c r="AR973" i="3"/>
  <c r="AR622" i="3"/>
  <c r="AR950" i="3"/>
  <c r="AR626" i="3"/>
  <c r="AR36" i="3"/>
  <c r="AR1181" i="3"/>
  <c r="AR960" i="3"/>
  <c r="AR572" i="3"/>
  <c r="AR162" i="3"/>
  <c r="AR1190" i="3"/>
  <c r="AR270" i="3"/>
  <c r="AR655" i="3"/>
  <c r="AR670" i="3"/>
  <c r="AR396" i="3"/>
  <c r="AR699" i="3"/>
  <c r="AR1029" i="3"/>
  <c r="AR745" i="3"/>
  <c r="AR1004" i="3"/>
  <c r="AR714" i="3"/>
  <c r="AR197" i="3"/>
  <c r="AR329" i="3"/>
  <c r="AR16" i="3"/>
  <c r="AR405" i="3"/>
  <c r="AR982" i="3"/>
  <c r="AR596" i="3"/>
  <c r="AR288" i="3"/>
  <c r="AR659" i="3"/>
  <c r="AR995" i="3"/>
  <c r="AR690" i="3"/>
  <c r="AR974" i="3"/>
  <c r="AR674" i="3"/>
  <c r="AR101" i="3"/>
  <c r="AR986" i="3"/>
  <c r="AR983" i="3"/>
  <c r="AR602" i="3"/>
  <c r="AR248" i="3"/>
  <c r="AR476" i="3"/>
  <c r="AR53" i="3"/>
  <c r="AR430" i="3"/>
  <c r="AR1068" i="3"/>
  <c r="AR901" i="3"/>
  <c r="AR1148" i="3"/>
  <c r="AR878" i="3"/>
  <c r="AR1134" i="3"/>
  <c r="AR47" i="3"/>
  <c r="AR189" i="3"/>
  <c r="AR586" i="3"/>
  <c r="AR984" i="3"/>
  <c r="AR664" i="3"/>
  <c r="AR1095" i="3"/>
  <c r="AR537" i="3"/>
  <c r="AR202" i="3"/>
  <c r="AR957" i="3"/>
  <c r="AR1184" i="3"/>
  <c r="AR951" i="3"/>
  <c r="AR219" i="3"/>
  <c r="AR961" i="3"/>
  <c r="AR1191" i="3"/>
  <c r="AR1174" i="3"/>
  <c r="AR137" i="3"/>
  <c r="AR617" i="3"/>
  <c r="AR386" i="3"/>
  <c r="AR725" i="3"/>
  <c r="AR173" i="3"/>
  <c r="AR390" i="3"/>
  <c r="AR63" i="3"/>
  <c r="AR456" i="3"/>
  <c r="AR331" i="3"/>
  <c r="AR592" i="3"/>
  <c r="AR297" i="3"/>
  <c r="AR695" i="3"/>
  <c r="AR1041" i="3"/>
  <c r="AR929" i="3"/>
  <c r="AR223" i="3"/>
  <c r="AR616" i="3"/>
  <c r="AR710" i="3"/>
  <c r="AR206" i="3"/>
  <c r="AR311" i="3"/>
  <c r="AR54" i="3"/>
  <c r="AR446" i="3"/>
  <c r="AR1040" i="3"/>
  <c r="AR108" i="3"/>
  <c r="AR455" i="3"/>
  <c r="AR135" i="3"/>
  <c r="AR1014" i="3"/>
  <c r="AR18" i="3"/>
  <c r="AR821" i="3"/>
  <c r="AR669" i="3"/>
  <c r="AR1005" i="3"/>
  <c r="AR700" i="3"/>
  <c r="AR981" i="3"/>
  <c r="AR684" i="3"/>
  <c r="AR126" i="3"/>
  <c r="AR1076" i="3"/>
  <c r="AR989" i="3"/>
  <c r="AR612" i="3"/>
  <c r="AR279" i="3"/>
  <c r="AR758" i="3"/>
  <c r="AR381" i="3"/>
  <c r="AR45" i="3"/>
  <c r="AR1045" i="3"/>
  <c r="AR715" i="3"/>
  <c r="AR436" i="3"/>
  <c r="AR739" i="3"/>
  <c r="AR1053" i="3"/>
  <c r="AR330" i="3"/>
  <c r="AR1034" i="3"/>
  <c r="AR762" i="3"/>
  <c r="AR380" i="3"/>
  <c r="AR83" i="3"/>
  <c r="AR1042" i="3"/>
  <c r="AR56" i="3"/>
  <c r="AR445" i="3"/>
  <c r="AR855" i="3"/>
  <c r="AR451" i="3"/>
  <c r="AR124" i="3"/>
  <c r="AR1094" i="3"/>
  <c r="AR867" i="3"/>
  <c r="AR531" i="3"/>
  <c r="AR846" i="3"/>
  <c r="AR1106" i="3"/>
  <c r="AR119" i="3"/>
  <c r="AR858" i="3"/>
  <c r="AR460" i="3"/>
  <c r="AR275" i="3"/>
  <c r="AR811" i="3"/>
  <c r="AR411" i="3"/>
  <c r="AR74" i="3"/>
  <c r="AR1063" i="3"/>
  <c r="AR798" i="3"/>
  <c r="AR466" i="3"/>
  <c r="AR777" i="3"/>
  <c r="AR1073" i="3"/>
  <c r="AR29" i="3"/>
  <c r="AR1052" i="3"/>
  <c r="AR815" i="3"/>
  <c r="AR420" i="3"/>
  <c r="AR155" i="3"/>
  <c r="AR826" i="3"/>
  <c r="AR825" i="3"/>
  <c r="AR106" i="3"/>
  <c r="AR495" i="3"/>
  <c r="AR910" i="3"/>
  <c r="AR214" i="3"/>
  <c r="AR522" i="3"/>
  <c r="AR577" i="3"/>
  <c r="AR646" i="3"/>
  <c r="AR962" i="3"/>
  <c r="AR788" i="3"/>
  <c r="AR546" i="3"/>
  <c r="AR917" i="3"/>
  <c r="AR793" i="3"/>
  <c r="AR556" i="3"/>
  <c r="AR1182" i="3"/>
  <c r="AR611" i="3"/>
  <c r="AR395" i="3"/>
  <c r="AR956" i="3"/>
  <c r="AR1183" i="3"/>
  <c r="AR1010" i="3"/>
  <c r="AR689" i="3"/>
  <c r="AR994" i="3"/>
  <c r="AR205" i="3"/>
  <c r="AR787" i="3" s="1"/>
  <c r="AR665" i="3"/>
  <c r="AR401" i="3"/>
  <c r="AR763" i="3"/>
  <c r="AR1065" i="3"/>
  <c r="AR979" i="3"/>
  <c r="AR730" i="3"/>
  <c r="AR20" i="3"/>
  <c r="AR719" i="3"/>
  <c r="AR115" i="3"/>
  <c r="AR1000" i="3"/>
  <c r="AR679" i="3"/>
  <c r="AR151" i="3"/>
  <c r="AR627" i="3"/>
  <c r="AR391" i="3"/>
  <c r="AR735" i="3"/>
  <c r="AR207" i="3"/>
  <c r="AR772" i="3"/>
  <c r="AR1050" i="3"/>
  <c r="AR461" i="3"/>
  <c r="AR773" i="3"/>
  <c r="AR221" i="3"/>
  <c r="AR415" i="3"/>
  <c r="AR88" i="3"/>
  <c r="AR740" i="3"/>
  <c r="AR315" i="3"/>
  <c r="AR34" i="3"/>
  <c r="AR1039" i="3"/>
  <c r="AR705" i="3"/>
  <c r="AR426" i="3"/>
  <c r="AR729" i="3"/>
  <c r="AR1047" i="3"/>
  <c r="AR843" i="3"/>
  <c r="AR1028" i="3"/>
  <c r="AR744" i="3"/>
  <c r="AR293" i="3"/>
  <c r="AR61" i="3"/>
  <c r="AR1036" i="3"/>
  <c r="AR52" i="3"/>
  <c r="AR435" i="3"/>
  <c r="AR847" i="3"/>
  <c r="AR441" i="3"/>
  <c r="AR110" i="3"/>
  <c r="AR859" i="3"/>
  <c r="AR521" i="3"/>
  <c r="AR838" i="3"/>
  <c r="AR1099" i="3"/>
  <c r="AR97" i="3"/>
  <c r="AR1070" i="3"/>
  <c r="AR850" i="3"/>
  <c r="AR450" i="3"/>
  <c r="AR239" i="3"/>
  <c r="AR1088" i="3"/>
  <c r="AR1089" i="3" s="1"/>
  <c r="AR128" i="3"/>
  <c r="AR527" i="3"/>
  <c r="AR918" i="3"/>
  <c r="AR536" i="3"/>
  <c r="AR196" i="3"/>
  <c r="AR1165" i="3"/>
  <c r="AR931" i="3"/>
  <c r="AR591" i="3"/>
  <c r="AR1046" i="3"/>
  <c r="AR797" i="3"/>
  <c r="AR410" i="3"/>
  <c r="AR133" i="3"/>
  <c r="AR1056" i="3"/>
  <c r="AR81" i="3"/>
  <c r="AR465" i="3"/>
  <c r="AR871" i="3"/>
  <c r="AR471" i="3"/>
  <c r="AR146" i="3"/>
  <c r="AR1108" i="3"/>
  <c r="AR883" i="3"/>
  <c r="AR551" i="3"/>
  <c r="AR1062" i="3"/>
  <c r="AR92" i="3"/>
  <c r="AR475" i="3"/>
  <c r="AR879" i="3"/>
  <c r="AR481" i="3"/>
  <c r="AR160" i="3"/>
  <c r="AR1138" i="3"/>
  <c r="AR903" i="3"/>
  <c r="AR561" i="3"/>
  <c r="AR870" i="3"/>
  <c r="AR1153" i="3"/>
  <c r="AR191" i="3"/>
  <c r="AR1107" i="3"/>
  <c r="AR882" i="3"/>
  <c r="AR491" i="3"/>
  <c r="AR505" i="3" s="1"/>
  <c r="AR25" i="3"/>
  <c r="AR1142" i="3"/>
  <c r="AR178" i="3"/>
  <c r="AR567" i="3"/>
  <c r="AR968" i="3"/>
  <c r="AR576" i="3"/>
  <c r="AR261" i="3"/>
  <c r="AR621" i="3"/>
  <c r="AR980" i="3"/>
  <c r="AR660" i="3"/>
  <c r="AR958" i="3"/>
  <c r="AR654" i="3"/>
  <c r="AR55" i="3"/>
  <c r="AR1188" i="3"/>
  <c r="AR969" i="3"/>
  <c r="AR582" i="3"/>
  <c r="AR187" i="3"/>
  <c r="AR720" i="3"/>
  <c r="AR284" i="3"/>
  <c r="AR675" i="3"/>
  <c r="AR1027" i="3"/>
  <c r="AR685" i="3"/>
  <c r="AR406" i="3"/>
  <c r="AR907" i="3"/>
  <c r="AR1177" i="3"/>
  <c r="AR286" i="3"/>
  <c r="AR1154" i="3"/>
  <c r="AR919" i="3"/>
  <c r="AR542" i="3"/>
  <c r="AR90" i="3"/>
  <c r="AR1166" i="3"/>
  <c r="AR212" i="3"/>
  <c r="AR597" i="3"/>
  <c r="AR990" i="3"/>
  <c r="AR606" i="3"/>
  <c r="AR306" i="3"/>
  <c r="AR985" i="3"/>
  <c r="AR757" i="3"/>
  <c r="AR70" i="3"/>
  <c r="AR1035" i="3"/>
  <c r="AR1024" i="3"/>
  <c r="AN1244" i="3"/>
  <c r="AN1241" i="3"/>
  <c r="AT331" i="3"/>
  <c r="AT505" i="3"/>
  <c r="AT330" i="3"/>
  <c r="AT329" i="3"/>
  <c r="AQ784" i="3"/>
  <c r="AQ805" i="3" s="1"/>
  <c r="AQ802" i="3"/>
  <c r="O69" i="1"/>
  <c r="O70" i="1" s="1"/>
  <c r="F70" i="1" s="1"/>
  <c r="F68" i="1"/>
  <c r="B68" i="1" s="1"/>
  <c r="E6" i="52" s="1"/>
  <c r="E8" i="52" s="1"/>
  <c r="L64" i="14"/>
  <c r="J65" i="14" s="1"/>
  <c r="K64" i="14"/>
  <c r="Y100" i="6"/>
  <c r="Y101" i="6" s="1"/>
  <c r="W99" i="6"/>
  <c r="AB99" i="6" s="1"/>
  <c r="K21" i="595" l="1"/>
  <c r="K22" i="595" s="1"/>
  <c r="L22" i="595" s="1"/>
  <c r="M22" i="595" s="1"/>
  <c r="M27" i="595" s="1"/>
  <c r="M29" i="595" s="1"/>
  <c r="E9" i="52"/>
  <c r="E11" i="52"/>
  <c r="E10" i="52"/>
  <c r="AR457" i="3"/>
  <c r="AR731" i="3"/>
  <c r="AR1083" i="3"/>
  <c r="AR1123" i="3" s="1"/>
  <c r="AQ1121" i="3"/>
  <c r="AQ1208" i="3" s="1"/>
  <c r="AQ1238" i="3" s="1"/>
  <c r="AR1082" i="3"/>
  <c r="AR1122" i="3" s="1"/>
  <c r="AR497" i="3"/>
  <c r="AR1078" i="3"/>
  <c r="AR1084" i="3" s="1"/>
  <c r="AR1124" i="3" s="1"/>
  <c r="AR1016" i="3"/>
  <c r="AR799" i="3"/>
  <c r="AR231" i="3"/>
  <c r="AR372" i="3"/>
  <c r="AQ1214" i="3"/>
  <c r="AR746" i="3"/>
  <c r="AR553" i="3"/>
  <c r="AR852" i="3"/>
  <c r="AR691" i="3"/>
  <c r="AR397" i="3"/>
  <c r="AR280" i="3"/>
  <c r="AR316" i="3"/>
  <c r="AR706" i="3"/>
  <c r="AR583" i="3"/>
  <c r="AR492" i="3"/>
  <c r="AR618" i="3"/>
  <c r="AR192" i="3"/>
  <c r="AR75" i="3"/>
  <c r="AR412" i="3"/>
  <c r="AR701" i="3"/>
  <c r="AR759" i="3"/>
  <c r="AR558" i="3"/>
  <c r="AQ368" i="3"/>
  <c r="AQ512" i="3" s="1"/>
  <c r="AR623" i="3"/>
  <c r="AR613" i="3"/>
  <c r="AR779" i="3"/>
  <c r="AP923" i="3"/>
  <c r="AP933" i="3" s="1"/>
  <c r="AP936" i="3" s="1"/>
  <c r="AP939" i="3" s="1"/>
  <c r="AR422" i="3"/>
  <c r="AR588" i="3"/>
  <c r="AQ639" i="3"/>
  <c r="AQ1219" i="3" s="1"/>
  <c r="AR880" i="3"/>
  <c r="AR174" i="3"/>
  <c r="AR543" i="3"/>
  <c r="AR774" i="3"/>
  <c r="AR876" i="3"/>
  <c r="AR447" i="3"/>
  <c r="AQ892" i="3"/>
  <c r="AQ1220" i="3" s="1"/>
  <c r="AR370" i="3"/>
  <c r="AR533" i="3"/>
  <c r="AR30" i="3"/>
  <c r="AR39" i="3"/>
  <c r="AR827" i="3"/>
  <c r="AR482" i="3"/>
  <c r="AR726" i="3"/>
  <c r="AR696" i="3"/>
  <c r="AR138" i="3"/>
  <c r="AR120" i="3"/>
  <c r="AR649" i="3"/>
  <c r="AR462" i="3"/>
  <c r="AR711" i="3"/>
  <c r="AR1162" i="3"/>
  <c r="AR165" i="3"/>
  <c r="AR789" i="3"/>
  <c r="AR844" i="3"/>
  <c r="AR970" i="3"/>
  <c r="AR628" i="3"/>
  <c r="AR631" i="3" s="1"/>
  <c r="AR769" i="3"/>
  <c r="AR307" i="3"/>
  <c r="AR437" i="3"/>
  <c r="AR661" i="3"/>
  <c r="AR817" i="3"/>
  <c r="AR864" i="3"/>
  <c r="AR324" i="3"/>
  <c r="AR578" i="3"/>
  <c r="AR1103" i="3"/>
  <c r="AR996" i="3"/>
  <c r="AR872" i="3"/>
  <c r="AR467" i="3"/>
  <c r="AR671" i="3"/>
  <c r="AR230" i="3"/>
  <c r="AR371" i="3"/>
  <c r="AR326" i="3"/>
  <c r="AR633" i="3"/>
  <c r="AR911" i="3"/>
  <c r="AR1139" i="3"/>
  <c r="AR1199" i="3"/>
  <c r="AR538" i="3"/>
  <c r="AR503" i="3"/>
  <c r="AR382" i="3"/>
  <c r="AR501" i="3"/>
  <c r="AR1200" i="3"/>
  <c r="AR1135" i="3"/>
  <c r="AR48" i="3"/>
  <c r="AR884" i="3"/>
  <c r="AR102" i="3"/>
  <c r="AR721" i="3"/>
  <c r="AR860" i="3"/>
  <c r="AR129" i="3"/>
  <c r="AR764" i="3"/>
  <c r="AR686" i="3"/>
  <c r="AR1201" i="3"/>
  <c r="AR253" i="3"/>
  <c r="AR1185" i="3"/>
  <c r="AR568" i="3"/>
  <c r="AR229" i="3"/>
  <c r="AR792" i="3"/>
  <c r="AR794" i="3" s="1"/>
  <c r="AR215" i="3"/>
  <c r="AR147" i="3"/>
  <c r="AR573" i="3"/>
  <c r="AR856" i="3"/>
  <c r="AR442" i="3"/>
  <c r="AR271" i="3"/>
  <c r="AR1192" i="3"/>
  <c r="AR634" i="3"/>
  <c r="AR506" i="3"/>
  <c r="AR507" i="3"/>
  <c r="AR84" i="3"/>
  <c r="AR736" i="3"/>
  <c r="AR840" i="3"/>
  <c r="AR886" i="3"/>
  <c r="AR417" i="3"/>
  <c r="AR750" i="3"/>
  <c r="AR656" i="3"/>
  <c r="AR749" i="3"/>
  <c r="AR1157" i="3"/>
  <c r="AR477" i="3"/>
  <c r="AR593" i="3"/>
  <c r="AR632" i="3"/>
  <c r="AR523" i="3"/>
  <c r="AR921" i="3"/>
  <c r="AR1222" i="3" s="1"/>
  <c r="AR1110" i="3"/>
  <c r="AR392" i="3"/>
  <c r="AR666" i="3"/>
  <c r="AR598" i="3"/>
  <c r="AR1006" i="3"/>
  <c r="AR953" i="3"/>
  <c r="AR472" i="3"/>
  <c r="AR262" i="3"/>
  <c r="AR887" i="3"/>
  <c r="AT9" i="3"/>
  <c r="AR57" i="3"/>
  <c r="AR716" i="3"/>
  <c r="AR528" i="3"/>
  <c r="AR608" i="3"/>
  <c r="AR289" i="3"/>
  <c r="AR183" i="3"/>
  <c r="AR244" i="3"/>
  <c r="AR66" i="3"/>
  <c r="AR156" i="3"/>
  <c r="AR548" i="3"/>
  <c r="AR848" i="3"/>
  <c r="AR741" i="3"/>
  <c r="AR224" i="3"/>
  <c r="AR868" i="3"/>
  <c r="AR1096" i="3"/>
  <c r="AR427" i="3"/>
  <c r="AS950" i="3"/>
  <c r="AS210" i="3"/>
  <c r="AU210" i="3" s="1"/>
  <c r="AS164" i="3"/>
  <c r="AU164" i="3" s="1"/>
  <c r="AW164" i="3" s="1"/>
  <c r="G164" i="6" s="1"/>
  <c r="I164" i="6" s="1"/>
  <c r="AS1176" i="3"/>
  <c r="AS622" i="3"/>
  <c r="AU622" i="3" s="1"/>
  <c r="AW622" i="3" s="1"/>
  <c r="G623" i="6" s="1"/>
  <c r="I623" i="6" s="1"/>
  <c r="AS18" i="3"/>
  <c r="AU18" i="3" s="1"/>
  <c r="AS694" i="3"/>
  <c r="AS959" i="3"/>
  <c r="AS415" i="3"/>
  <c r="AU415" i="3" s="1"/>
  <c r="AS999" i="3"/>
  <c r="AS1138" i="3"/>
  <c r="AS745" i="3"/>
  <c r="AS206" i="3"/>
  <c r="AS699" i="3"/>
  <c r="AS1039" i="3"/>
  <c r="AS386" i="3"/>
  <c r="AU386" i="3" s="1"/>
  <c r="AW386" i="3" s="1"/>
  <c r="G386" i="6" s="1"/>
  <c r="I386" i="6" s="1"/>
  <c r="AS1004" i="3"/>
  <c r="AS380" i="3"/>
  <c r="AU380" i="3" s="1"/>
  <c r="AS270" i="3"/>
  <c r="AU270" i="3" s="1"/>
  <c r="AW270" i="3" s="1"/>
  <c r="G270" i="6" s="1"/>
  <c r="I270" i="6" s="1"/>
  <c r="AS1191" i="3"/>
  <c r="AS710" i="3"/>
  <c r="AS97" i="3"/>
  <c r="AU97" i="3" s="1"/>
  <c r="AS772" i="3"/>
  <c r="AS1015" i="3"/>
  <c r="AS527" i="3"/>
  <c r="AU527" i="3" s="1"/>
  <c r="AW527" i="3" s="1"/>
  <c r="G528" i="6" s="1"/>
  <c r="I528" i="6" s="1"/>
  <c r="AS1195" i="3"/>
  <c r="AS1196" i="3" s="1"/>
  <c r="AS659" i="3"/>
  <c r="AS1010" i="3"/>
  <c r="AS277" i="3"/>
  <c r="AS974" i="3"/>
  <c r="AS266" i="3"/>
  <c r="AS200" i="3"/>
  <c r="AS1160" i="3"/>
  <c r="AU1160" i="3" s="1"/>
  <c r="AS670" i="3"/>
  <c r="AS53" i="3"/>
  <c r="AU53" i="3" s="1"/>
  <c r="AW53" i="3" s="1"/>
  <c r="AX53" i="3" s="1"/>
  <c r="AS724" i="3"/>
  <c r="AS982" i="3"/>
  <c r="AU982" i="3" s="1"/>
  <c r="AW982" i="3" s="1"/>
  <c r="AX982" i="3" s="1"/>
  <c r="AS445" i="3"/>
  <c r="AU445" i="3" s="1"/>
  <c r="AW445" i="3" s="1"/>
  <c r="AS1161" i="3"/>
  <c r="AU1161" i="3" s="1"/>
  <c r="AW1161" i="3" s="1"/>
  <c r="AS601" i="3"/>
  <c r="AU601" i="3" s="1"/>
  <c r="AW601" i="3" s="1"/>
  <c r="AS980" i="3"/>
  <c r="AU980" i="3" s="1"/>
  <c r="AW980" i="3" s="1"/>
  <c r="AX980" i="3" s="1"/>
  <c r="AS202" i="3"/>
  <c r="AS925" i="3"/>
  <c r="AS197" i="3"/>
  <c r="AU197" i="3" s="1"/>
  <c r="AW197" i="3" s="1"/>
  <c r="G197" i="6" s="1"/>
  <c r="AX197" i="3" s="1"/>
  <c r="AS153" i="3"/>
  <c r="AU153" i="3" s="1"/>
  <c r="AW153" i="3" s="1"/>
  <c r="AS1166" i="3"/>
  <c r="AS612" i="3"/>
  <c r="AU612" i="3" s="1"/>
  <c r="AW612" i="3" s="1"/>
  <c r="G613" i="6" s="1"/>
  <c r="I613" i="6" s="1"/>
  <c r="AS480" i="3"/>
  <c r="AU480" i="3" s="1"/>
  <c r="AS684" i="3"/>
  <c r="AS951" i="3"/>
  <c r="AS405" i="3"/>
  <c r="AU405" i="3" s="1"/>
  <c r="AS989" i="3"/>
  <c r="AS689" i="3"/>
  <c r="AS311" i="3"/>
  <c r="AS700" i="3"/>
  <c r="AS1005" i="3"/>
  <c r="AS1189" i="3"/>
  <c r="AS767" i="3"/>
  <c r="AS1046" i="3"/>
  <c r="AS714" i="3"/>
  <c r="AS773" i="3"/>
  <c r="AS1051" i="3"/>
  <c r="AS1022" i="3"/>
  <c r="AS674" i="3"/>
  <c r="AS983" i="3"/>
  <c r="AU983" i="3" s="1"/>
  <c r="AW983" i="3" s="1"/>
  <c r="AX983" i="3" s="1"/>
  <c r="AS207" i="3"/>
  <c r="AS306" i="3"/>
  <c r="AU306" i="3" s="1"/>
  <c r="AW306" i="3" s="1"/>
  <c r="G306" i="6" s="1"/>
  <c r="AX306" i="3" s="1"/>
  <c r="AS223" i="3"/>
  <c r="AU223" i="3" s="1"/>
  <c r="AW223" i="3" s="1"/>
  <c r="G223" i="6" s="1"/>
  <c r="AX223" i="3" s="1"/>
  <c r="AS557" i="3"/>
  <c r="AU557" i="3" s="1"/>
  <c r="AS838" i="3"/>
  <c r="AS1070" i="3"/>
  <c r="AS847" i="3"/>
  <c r="AS1133" i="3"/>
  <c r="AS961" i="3"/>
  <c r="AS173" i="3"/>
  <c r="AU173" i="3" s="1"/>
  <c r="AW173" i="3" s="1"/>
  <c r="AS778" i="3"/>
  <c r="AS1053" i="3"/>
  <c r="AS541" i="3"/>
  <c r="AS862" i="3"/>
  <c r="AS730" i="3"/>
  <c r="AS1029" i="3"/>
  <c r="AS476" i="3"/>
  <c r="AU476" i="3" s="1"/>
  <c r="AW476" i="3" s="1"/>
  <c r="G476" i="6" s="1"/>
  <c r="I476" i="6" s="1"/>
  <c r="AS88" i="3"/>
  <c r="AU88" i="3" s="1"/>
  <c r="AS38" i="3"/>
  <c r="AU38" i="3" s="1"/>
  <c r="AW38" i="3" s="1"/>
  <c r="AS839" i="3"/>
  <c r="AS617" i="3"/>
  <c r="AU617" i="3" s="1"/>
  <c r="AW617" i="3" s="1"/>
  <c r="G618" i="6" s="1"/>
  <c r="I618" i="6" s="1"/>
  <c r="AS171" i="3"/>
  <c r="AU171" i="3" s="1"/>
  <c r="AW171" i="3" s="1"/>
  <c r="G171" i="6" s="1"/>
  <c r="AX171" i="3" s="1"/>
  <c r="AS1142" i="3"/>
  <c r="AU1142" i="3" s="1"/>
  <c r="AS908" i="3"/>
  <c r="AS705" i="3"/>
  <c r="AS70" i="3"/>
  <c r="AS596" i="3"/>
  <c r="AU596" i="3" s="1"/>
  <c r="AS1057" i="3"/>
  <c r="AS65" i="3"/>
  <c r="AU65" i="3" s="1"/>
  <c r="AW65" i="3" s="1"/>
  <c r="AS465" i="3"/>
  <c r="AU465" i="3" s="1"/>
  <c r="AS191" i="3"/>
  <c r="AU191" i="3" s="1"/>
  <c r="AW191" i="3" s="1"/>
  <c r="AS607" i="3"/>
  <c r="AU607" i="3" s="1"/>
  <c r="AW607" i="3" s="1"/>
  <c r="G608" i="6" s="1"/>
  <c r="I608" i="6" s="1"/>
  <c r="AS739" i="3"/>
  <c r="AS1073" i="3"/>
  <c r="AS470" i="3"/>
  <c r="AU470" i="3" s="1"/>
  <c r="AS1034" i="3"/>
  <c r="AS420" i="3"/>
  <c r="AS381" i="3"/>
  <c r="AU381" i="3" s="1"/>
  <c r="AS495" i="3"/>
  <c r="AU495" i="3" s="1"/>
  <c r="AS758" i="3"/>
  <c r="AS144" i="3"/>
  <c r="AU144" i="3" s="1"/>
  <c r="AW144" i="3" s="1"/>
  <c r="G144" i="6" s="1"/>
  <c r="AX144" i="3" s="1"/>
  <c r="AS842" i="3"/>
  <c r="AS1041" i="3"/>
  <c r="AS567" i="3"/>
  <c r="AU567" i="3" s="1"/>
  <c r="AW567" i="3" s="1"/>
  <c r="G568" i="6" s="1"/>
  <c r="I568" i="6" s="1"/>
  <c r="AS1074" i="3"/>
  <c r="AS521" i="3"/>
  <c r="AU521" i="3" s="1"/>
  <c r="AS883" i="3"/>
  <c r="AS110" i="3"/>
  <c r="AU110" i="3" s="1"/>
  <c r="AW110" i="3" s="1"/>
  <c r="AS846" i="3"/>
  <c r="AS101" i="3"/>
  <c r="AU101" i="3" s="1"/>
  <c r="AW101" i="3" s="1"/>
  <c r="G101" i="6" s="1"/>
  <c r="I101" i="6" s="1"/>
  <c r="AS56" i="3"/>
  <c r="AU56" i="3" s="1"/>
  <c r="AW56" i="3" s="1"/>
  <c r="G56" i="6" s="1"/>
  <c r="AX56" i="3" s="1"/>
  <c r="AS1076" i="3"/>
  <c r="AS532" i="3"/>
  <c r="AU532" i="3" s="1"/>
  <c r="AW532" i="3" s="1"/>
  <c r="G533" i="6" s="1"/>
  <c r="I533" i="6" s="1"/>
  <c r="AS55" i="3"/>
  <c r="AU55" i="3" s="1"/>
  <c r="AW55" i="3" s="1"/>
  <c r="AX55" i="3" s="1"/>
  <c r="AS586" i="3"/>
  <c r="AU586" i="3" s="1"/>
  <c r="AS855" i="3"/>
  <c r="AS239" i="3"/>
  <c r="AU239" i="3" s="1"/>
  <c r="AS1050" i="3"/>
  <c r="AS456" i="3"/>
  <c r="AU456" i="3" s="1"/>
  <c r="AW456" i="3" s="1"/>
  <c r="G456" i="6" s="1"/>
  <c r="I456" i="6" s="1"/>
  <c r="AS851" i="3"/>
  <c r="AS63" i="3"/>
  <c r="AU63" i="3" s="1"/>
  <c r="AW63" i="3" s="1"/>
  <c r="AS777" i="3"/>
  <c r="AS1146" i="3"/>
  <c r="AU1146" i="3" s="1"/>
  <c r="AS16" i="3"/>
  <c r="AS1052" i="3"/>
  <c r="AS450" i="3"/>
  <c r="AS431" i="3"/>
  <c r="AU431" i="3" s="1"/>
  <c r="AW431" i="3" s="1"/>
  <c r="G431" i="6" s="1"/>
  <c r="I431" i="6" s="1"/>
  <c r="AS546" i="3"/>
  <c r="AS811" i="3"/>
  <c r="AS180" i="3"/>
  <c r="AU180" i="3" s="1"/>
  <c r="AW180" i="3" s="1"/>
  <c r="G180" i="6" s="1"/>
  <c r="AS1024" i="3"/>
  <c r="AS1165" i="3"/>
  <c r="AS798" i="3"/>
  <c r="AS20" i="3"/>
  <c r="AU20" i="3" s="1"/>
  <c r="AS729" i="3"/>
  <c r="AS1059" i="3"/>
  <c r="AS441" i="3"/>
  <c r="AU441" i="3" s="1"/>
  <c r="AW441" i="3" s="1"/>
  <c r="G441" i="6" s="1"/>
  <c r="I441" i="6" s="1"/>
  <c r="AS1028" i="3"/>
  <c r="AS410" i="3"/>
  <c r="AU410" i="3" s="1"/>
  <c r="AS315" i="3"/>
  <c r="AU315" i="3" s="1"/>
  <c r="AW315" i="3" s="1"/>
  <c r="G315" i="6" s="1"/>
  <c r="AX315" i="3" s="1"/>
  <c r="AS481" i="3"/>
  <c r="AU481" i="3" s="1"/>
  <c r="AW481" i="3" s="1"/>
  <c r="G481" i="6" s="1"/>
  <c r="I481" i="6" s="1"/>
  <c r="AS740" i="3"/>
  <c r="AS133" i="3"/>
  <c r="AU133" i="3" s="1"/>
  <c r="AS1108" i="3"/>
  <c r="AS329" i="3"/>
  <c r="AS321" i="3"/>
  <c r="AU321" i="3" s="1"/>
  <c r="AW321" i="3" s="1"/>
  <c r="G321" i="6" s="1"/>
  <c r="I321" i="6" s="1"/>
  <c r="AS252" i="3"/>
  <c r="AU252" i="3" s="1"/>
  <c r="AW252" i="3" s="1"/>
  <c r="AS83" i="3"/>
  <c r="AU83" i="3" s="1"/>
  <c r="AW83" i="3" s="1"/>
  <c r="AS496" i="3"/>
  <c r="AU496" i="3" s="1"/>
  <c r="AW496" i="3" s="1"/>
  <c r="G496" i="6" s="1"/>
  <c r="AX496" i="3" s="1"/>
  <c r="AS843" i="3"/>
  <c r="AS1106" i="3"/>
  <c r="AS411" i="3"/>
  <c r="AU411" i="3" s="1"/>
  <c r="AW411" i="3" s="1"/>
  <c r="G411" i="6" s="1"/>
  <c r="I411" i="6" s="1"/>
  <c r="AS435" i="3"/>
  <c r="AS331" i="3"/>
  <c r="AS421" i="3"/>
  <c r="AU421" i="3" s="1"/>
  <c r="AW421" i="3" s="1"/>
  <c r="G421" i="6" s="1"/>
  <c r="I421" i="6" s="1"/>
  <c r="AS297" i="3"/>
  <c r="AU297" i="3" s="1"/>
  <c r="AW297" i="3" s="1"/>
  <c r="G297" i="6" s="1"/>
  <c r="AS395" i="3"/>
  <c r="AU395" i="3" s="1"/>
  <c r="AS725" i="3"/>
  <c r="AS1027" i="3"/>
  <c r="AS293" i="3"/>
  <c r="AS825" i="3"/>
  <c r="AS1068" i="3"/>
  <c r="AS875" i="3"/>
  <c r="AS90" i="3"/>
  <c r="AU90" i="3" s="1"/>
  <c r="AW90" i="3" s="1"/>
  <c r="G90" i="6" s="1"/>
  <c r="AX90" i="3" s="1"/>
  <c r="AS522" i="3"/>
  <c r="AU522" i="3" s="1"/>
  <c r="AW522" i="3" s="1"/>
  <c r="AS576" i="3"/>
  <c r="AU576" i="3" s="1"/>
  <c r="AS902" i="3"/>
  <c r="AS1147" i="3"/>
  <c r="AU1147" i="3" s="1"/>
  <c r="AW1147" i="3" s="1"/>
  <c r="G1164" i="6" s="1"/>
  <c r="AX1147" i="3" s="1"/>
  <c r="AS182" i="3"/>
  <c r="AU182" i="3" s="1"/>
  <c r="AW182" i="3" s="1"/>
  <c r="AS128" i="3"/>
  <c r="AU128" i="3" s="1"/>
  <c r="AW128" i="3" s="1"/>
  <c r="G128" i="6" s="1"/>
  <c r="AX128" i="3" s="1"/>
  <c r="AS169" i="3"/>
  <c r="AU169" i="3" s="1"/>
  <c r="AS587" i="3"/>
  <c r="AU587" i="3" s="1"/>
  <c r="AW587" i="3" s="1"/>
  <c r="G588" i="6" s="1"/>
  <c r="I588" i="6" s="1"/>
  <c r="AS910" i="3"/>
  <c r="AS126" i="3"/>
  <c r="AU126" i="3" s="1"/>
  <c r="AW126" i="3" s="1"/>
  <c r="G126" i="6" s="1"/>
  <c r="AX126" i="3" s="1"/>
  <c r="AS471" i="3"/>
  <c r="AU471" i="3" s="1"/>
  <c r="AW471" i="3" s="1"/>
  <c r="G471" i="6" s="1"/>
  <c r="I471" i="6" s="1"/>
  <c r="AS815" i="3"/>
  <c r="AS547" i="3"/>
  <c r="AU547" i="3" s="1"/>
  <c r="AW547" i="3" s="1"/>
  <c r="G548" i="6" s="1"/>
  <c r="I548" i="6" s="1"/>
  <c r="AS867" i="3"/>
  <c r="AS79" i="3"/>
  <c r="AU79" i="3" s="1"/>
  <c r="AW79" i="3" s="1"/>
  <c r="AS1064" i="3"/>
  <c r="AS566" i="3"/>
  <c r="AU566" i="3" s="1"/>
  <c r="AS1099" i="3"/>
  <c r="AS957" i="3"/>
  <c r="AS117" i="3"/>
  <c r="AU117" i="3" s="1"/>
  <c r="AW117" i="3" s="1"/>
  <c r="G117" i="6" s="1"/>
  <c r="AX117" i="3" s="1"/>
  <c r="AS436" i="3"/>
  <c r="AU436" i="3" s="1"/>
  <c r="AW436" i="3" s="1"/>
  <c r="G436" i="6" s="1"/>
  <c r="I436" i="6" s="1"/>
  <c r="AS320" i="3"/>
  <c r="AS788" i="3"/>
  <c r="AS542" i="3"/>
  <c r="AU542" i="3" s="1"/>
  <c r="AW542" i="3" s="1"/>
  <c r="G543" i="6" s="1"/>
  <c r="I543" i="6" s="1"/>
  <c r="AS257" i="3"/>
  <c r="AS27" i="3"/>
  <c r="AU27" i="3" s="1"/>
  <c r="AW27" i="3" s="1"/>
  <c r="G27" i="6" s="1"/>
  <c r="AX27" i="3" s="1"/>
  <c r="AS451" i="3"/>
  <c r="AU451" i="3" s="1"/>
  <c r="AW451" i="3" s="1"/>
  <c r="G451" i="6" s="1"/>
  <c r="I451" i="6" s="1"/>
  <c r="AS874" i="3"/>
  <c r="AS1107" i="3"/>
  <c r="AS561" i="3"/>
  <c r="AU561" i="3" s="1"/>
  <c r="AS931" i="3"/>
  <c r="AS160" i="3"/>
  <c r="AU160" i="3" s="1"/>
  <c r="AS878" i="3"/>
  <c r="AS151" i="3"/>
  <c r="AS106" i="3"/>
  <c r="AU106" i="3" s="1"/>
  <c r="AS1109" i="3"/>
  <c r="AS572" i="3"/>
  <c r="AU572" i="3" s="1"/>
  <c r="AS426" i="3"/>
  <c r="AU426" i="3" s="1"/>
  <c r="AW426" i="3" s="1"/>
  <c r="G426" i="6" s="1"/>
  <c r="I426" i="6" s="1"/>
  <c r="AS626" i="3"/>
  <c r="AU626" i="3" s="1"/>
  <c r="AS901" i="3"/>
  <c r="AS302" i="3"/>
  <c r="AU302" i="3" s="1"/>
  <c r="AS960" i="3"/>
  <c r="AS1075" i="3"/>
  <c r="AS695" i="3"/>
  <c r="AS1188" i="3"/>
  <c r="AS646" i="3"/>
  <c r="AS1000" i="3"/>
  <c r="AS261" i="3"/>
  <c r="AU261" i="3" s="1"/>
  <c r="AW261" i="3" s="1"/>
  <c r="G261" i="6" s="1"/>
  <c r="AX261" i="3" s="1"/>
  <c r="AS962" i="3"/>
  <c r="AS248" i="3"/>
  <c r="AS189" i="3"/>
  <c r="AU189" i="3" s="1"/>
  <c r="AW189" i="3" s="1"/>
  <c r="G189" i="6" s="1"/>
  <c r="AX189" i="3" s="1"/>
  <c r="AS1190" i="3"/>
  <c r="AS660" i="3"/>
  <c r="AS43" i="3"/>
  <c r="AU43" i="3" s="1"/>
  <c r="AW43" i="3" s="1"/>
  <c r="AS909" i="3"/>
  <c r="AS1153" i="3"/>
  <c r="AS655" i="3"/>
  <c r="AS1154" i="3"/>
  <c r="AU1154" i="3" s="1"/>
  <c r="AW1154" i="3" s="1"/>
  <c r="G1171" i="6" s="1"/>
  <c r="AX1154" i="3" s="1"/>
  <c r="AS591" i="3"/>
  <c r="AU591" i="3" s="1"/>
  <c r="AS973" i="3"/>
  <c r="AS196" i="3"/>
  <c r="AU196" i="3" s="1"/>
  <c r="AW196" i="3" s="1"/>
  <c r="G196" i="6" s="1"/>
  <c r="AX196" i="3" s="1"/>
  <c r="AS917" i="3"/>
  <c r="AS187" i="3"/>
  <c r="AU187" i="3" s="1"/>
  <c r="AS142" i="3"/>
  <c r="AU142" i="3" s="1"/>
  <c r="AS1156" i="3"/>
  <c r="AU1156" i="3" s="1"/>
  <c r="AW1156" i="3" s="1"/>
  <c r="G1173" i="6" s="1"/>
  <c r="AX1156" i="3" s="1"/>
  <c r="AS602" i="3"/>
  <c r="AU602" i="3" s="1"/>
  <c r="AW602" i="3" s="1"/>
  <c r="G603" i="6" s="1"/>
  <c r="I603" i="6" s="1"/>
  <c r="AS460" i="3"/>
  <c r="AS866" i="3"/>
  <c r="AS1065" i="3"/>
  <c r="AS597" i="3"/>
  <c r="AU597" i="3" s="1"/>
  <c r="AW597" i="3" s="1"/>
  <c r="G598" i="6" s="1"/>
  <c r="I598" i="6" s="1"/>
  <c r="AS1100" i="3"/>
  <c r="AS551" i="3"/>
  <c r="AU551" i="3" s="1"/>
  <c r="AS920" i="3"/>
  <c r="AS146" i="3"/>
  <c r="AU146" i="3" s="1"/>
  <c r="AW146" i="3" s="1"/>
  <c r="G146" i="6" s="1"/>
  <c r="AX146" i="3" s="1"/>
  <c r="AS870" i="3"/>
  <c r="AS137" i="3"/>
  <c r="AU137" i="3" s="1"/>
  <c r="AW137" i="3" s="1"/>
  <c r="G137" i="6" s="1"/>
  <c r="AX137" i="3" s="1"/>
  <c r="AS92" i="3"/>
  <c r="AU92" i="3" s="1"/>
  <c r="AW92" i="3" s="1"/>
  <c r="G92" i="6" s="1"/>
  <c r="AX92" i="3" s="1"/>
  <c r="AS1102" i="3"/>
  <c r="AS562" i="3"/>
  <c r="AU562" i="3" s="1"/>
  <c r="AW562" i="3" s="1"/>
  <c r="G563" i="6" s="1"/>
  <c r="I563" i="6" s="1"/>
  <c r="AS416" i="3"/>
  <c r="AU416" i="3" s="1"/>
  <c r="AW416" i="3" s="1"/>
  <c r="G416" i="6" s="1"/>
  <c r="I416" i="6" s="1"/>
  <c r="AS735" i="3"/>
  <c r="AS1033" i="3"/>
  <c r="AS994" i="3"/>
  <c r="AS1184" i="3"/>
  <c r="AS762" i="3"/>
  <c r="AS1042" i="3"/>
  <c r="AS54" i="3"/>
  <c r="AU54" i="3" s="1"/>
  <c r="AW54" i="3" s="1"/>
  <c r="G54" i="6" s="1"/>
  <c r="AX54" i="3" s="1"/>
  <c r="AS47" i="3"/>
  <c r="AU47" i="3" s="1"/>
  <c r="AW47" i="3" s="1"/>
  <c r="AS440" i="3"/>
  <c r="AU440" i="3" s="1"/>
  <c r="AS978" i="3"/>
  <c r="AU978" i="3" s="1"/>
  <c r="AW978" i="3" s="1"/>
  <c r="AX978" i="3" s="1"/>
  <c r="AS1155" i="3"/>
  <c r="AU1155" i="3" s="1"/>
  <c r="AW1155" i="3" s="1"/>
  <c r="AS719" i="3"/>
  <c r="AS400" i="3"/>
  <c r="AS927" i="3"/>
  <c r="AS1101" i="3"/>
  <c r="AS679" i="3"/>
  <c r="AS985" i="3"/>
  <c r="AS1035" i="3"/>
  <c r="AS490" i="3"/>
  <c r="AU490" i="3" s="1"/>
  <c r="AS99" i="3"/>
  <c r="AU99" i="3" s="1"/>
  <c r="AW99" i="3" s="1"/>
  <c r="AS52" i="3"/>
  <c r="AS36" i="3"/>
  <c r="AU36" i="3" s="1"/>
  <c r="AW36" i="3" s="1"/>
  <c r="G36" i="6" s="1"/>
  <c r="AX36" i="3" s="1"/>
  <c r="AS214" i="3"/>
  <c r="AU214" i="3" s="1"/>
  <c r="AS627" i="3"/>
  <c r="AU627" i="3" s="1"/>
  <c r="AW627" i="3" s="1"/>
  <c r="G628" i="6" s="1"/>
  <c r="I628" i="6" s="1"/>
  <c r="AS581" i="3"/>
  <c r="AU581" i="3" s="1"/>
  <c r="AS907" i="3"/>
  <c r="AS536" i="3"/>
  <c r="AU536" i="3" s="1"/>
  <c r="AS858" i="3"/>
  <c r="AS1093" i="3"/>
  <c r="AU1093" i="3" s="1"/>
  <c r="AW1093" i="3" s="1"/>
  <c r="G1110" i="6" s="1"/>
  <c r="AX1093" i="3" s="1"/>
  <c r="AS135" i="3"/>
  <c r="AU135" i="3" s="1"/>
  <c r="AW135" i="3" s="1"/>
  <c r="G135" i="6" s="1"/>
  <c r="AX135" i="3" s="1"/>
  <c r="AS81" i="3"/>
  <c r="AU81" i="3" s="1"/>
  <c r="AW81" i="3" s="1"/>
  <c r="G81" i="6" s="1"/>
  <c r="E81" i="6" s="1"/>
  <c r="AS119" i="3"/>
  <c r="AU119" i="3" s="1"/>
  <c r="AW119" i="3" s="1"/>
  <c r="AS1062" i="3"/>
  <c r="AS820" i="3"/>
  <c r="AS485" i="3"/>
  <c r="AS487" i="3" s="1"/>
  <c r="AS201" i="3"/>
  <c r="AS1134" i="3"/>
  <c r="AS900" i="3"/>
  <c r="AS582" i="3"/>
  <c r="AU582" i="3" s="1"/>
  <c r="AW582" i="3" s="1"/>
  <c r="G583" i="6" s="1"/>
  <c r="I583" i="6" s="1"/>
  <c r="AS969" i="3"/>
  <c r="AS854" i="3"/>
  <c r="AS1088" i="3"/>
  <c r="AS1089" i="3" s="1"/>
  <c r="AS863" i="3"/>
  <c r="AS665" i="3"/>
  <c r="AS810" i="3"/>
  <c r="AS1058" i="3"/>
  <c r="AS821" i="3"/>
  <c r="AS616" i="3"/>
  <c r="AS879" i="3"/>
  <c r="AS286" i="3"/>
  <c r="AU286" i="3" s="1"/>
  <c r="AS956" i="3"/>
  <c r="AS1069" i="3"/>
  <c r="AS685" i="3"/>
  <c r="AS1181" i="3"/>
  <c r="AS621" i="3"/>
  <c r="AU621" i="3" s="1"/>
  <c r="AS990" i="3"/>
  <c r="AS243" i="3"/>
  <c r="AS958" i="3"/>
  <c r="AS221" i="3"/>
  <c r="AU221" i="3" s="1"/>
  <c r="AS178" i="3"/>
  <c r="AS1183" i="3"/>
  <c r="AS647" i="3"/>
  <c r="AS29" i="3"/>
  <c r="AU29" i="3" s="1"/>
  <c r="AW29" i="3" s="1"/>
  <c r="G29" i="6" s="1"/>
  <c r="AX29" i="3" s="1"/>
  <c r="AS704" i="3"/>
  <c r="AS968" i="3"/>
  <c r="AS425" i="3"/>
  <c r="AU425" i="3" s="1"/>
  <c r="AS1009" i="3"/>
  <c r="AS1148" i="3"/>
  <c r="AU1148" i="3" s="1"/>
  <c r="AW1148" i="3" s="1"/>
  <c r="AS763" i="3"/>
  <c r="AS205" i="3"/>
  <c r="AS709" i="3"/>
  <c r="AS1045" i="3"/>
  <c r="AS401" i="3"/>
  <c r="AU401" i="3" s="1"/>
  <c r="AW401" i="3" s="1"/>
  <c r="G401" i="6" s="1"/>
  <c r="I401" i="6" s="1"/>
  <c r="AS1149" i="3"/>
  <c r="AU1149" i="3" s="1"/>
  <c r="AW1149" i="3" s="1"/>
  <c r="G1166" i="6" s="1"/>
  <c r="AX1149" i="3" s="1"/>
  <c r="AS592" i="3"/>
  <c r="AU592" i="3" s="1"/>
  <c r="AW592" i="3" s="1"/>
  <c r="G593" i="6" s="1"/>
  <c r="I593" i="6" s="1"/>
  <c r="AS446" i="3"/>
  <c r="AU446" i="3" s="1"/>
  <c r="AS664" i="3"/>
  <c r="AS918" i="3"/>
  <c r="AS385" i="3"/>
  <c r="AS979" i="3"/>
  <c r="AU979" i="3" s="1"/>
  <c r="AW979" i="3" s="1"/>
  <c r="AX979" i="3" s="1"/>
  <c r="AS1094" i="3"/>
  <c r="AU1094" i="3" s="1"/>
  <c r="AW1094" i="3" s="1"/>
  <c r="G1111" i="6" s="1"/>
  <c r="AX1094" i="3" s="1"/>
  <c r="AS715" i="3"/>
  <c r="AS330" i="3"/>
  <c r="AS669" i="3"/>
  <c r="AS288" i="3"/>
  <c r="AU288" i="3" s="1"/>
  <c r="AW288" i="3" s="1"/>
  <c r="G288" i="6" s="1"/>
  <c r="AX288" i="3" s="1"/>
  <c r="AS1095" i="3"/>
  <c r="AU1095" i="3" s="1"/>
  <c r="AW1095" i="3" s="1"/>
  <c r="G1112" i="6" s="1"/>
  <c r="AX1095" i="3" s="1"/>
  <c r="AS552" i="3"/>
  <c r="AU552" i="3" s="1"/>
  <c r="AW552" i="3" s="1"/>
  <c r="G553" i="6" s="1"/>
  <c r="I553" i="6" s="1"/>
  <c r="AS406" i="3"/>
  <c r="AU406" i="3" s="1"/>
  <c r="AW406" i="3" s="1"/>
  <c r="G406" i="6" s="1"/>
  <c r="I406" i="6" s="1"/>
  <c r="AS606" i="3"/>
  <c r="AS871" i="3"/>
  <c r="AS275" i="3"/>
  <c r="AS929" i="3"/>
  <c r="AS1063" i="3"/>
  <c r="AS675" i="3"/>
  <c r="AS1174" i="3"/>
  <c r="AS611" i="3"/>
  <c r="AS984" i="3"/>
  <c r="AU984" i="3" s="1"/>
  <c r="AW984" i="3" s="1"/>
  <c r="AX984" i="3" s="1"/>
  <c r="AS219" i="3"/>
  <c r="AS1177" i="3"/>
  <c r="AS690" i="3"/>
  <c r="AS72" i="3"/>
  <c r="AU72" i="3" s="1"/>
  <c r="AW72" i="3" s="1"/>
  <c r="G72" i="6" s="1"/>
  <c r="AS744" i="3"/>
  <c r="AS995" i="3"/>
  <c r="AS475" i="3"/>
  <c r="AS1036" i="3"/>
  <c r="AS1182" i="3"/>
  <c r="AS826" i="3"/>
  <c r="AS45" i="3"/>
  <c r="AU45" i="3" s="1"/>
  <c r="AS757" i="3"/>
  <c r="AS1092" i="3"/>
  <c r="AU1092" i="3" s="1"/>
  <c r="AS25" i="3"/>
  <c r="AU25" i="3" s="1"/>
  <c r="AW25" i="3" s="1"/>
  <c r="AS1040" i="3"/>
  <c r="AS430" i="3"/>
  <c r="AS391" i="3"/>
  <c r="AU391" i="3" s="1"/>
  <c r="AW391" i="3" s="1"/>
  <c r="G391" i="6" s="1"/>
  <c r="I391" i="6" s="1"/>
  <c r="AS526" i="3"/>
  <c r="AS768" i="3"/>
  <c r="AS155" i="3"/>
  <c r="AU155" i="3" s="1"/>
  <c r="AW155" i="3" s="1"/>
  <c r="AS850" i="3"/>
  <c r="AS1047" i="3"/>
  <c r="AS577" i="3"/>
  <c r="AU577" i="3" s="1"/>
  <c r="AW577" i="3" s="1"/>
  <c r="G578" i="6" s="1"/>
  <c r="I578" i="6" s="1"/>
  <c r="AS531" i="3"/>
  <c r="AS903" i="3"/>
  <c r="AS124" i="3"/>
  <c r="AU124" i="3" s="1"/>
  <c r="AS1014" i="3"/>
  <c r="AS390" i="3"/>
  <c r="AU390" i="3" s="1"/>
  <c r="AS284" i="3"/>
  <c r="AU284" i="3" s="1"/>
  <c r="AW284" i="3" s="1"/>
  <c r="AS461" i="3"/>
  <c r="AU461" i="3" s="1"/>
  <c r="AW461" i="3" s="1"/>
  <c r="G461" i="6" s="1"/>
  <c r="I461" i="6" s="1"/>
  <c r="AS720" i="3"/>
  <c r="AS108" i="3"/>
  <c r="AU108" i="3" s="1"/>
  <c r="AW108" i="3" s="1"/>
  <c r="G108" i="6" s="1"/>
  <c r="AX108" i="3" s="1"/>
  <c r="AS797" i="3"/>
  <c r="AS1023" i="3"/>
  <c r="AS537" i="3"/>
  <c r="AU537" i="3" s="1"/>
  <c r="AS1056" i="3"/>
  <c r="AS466" i="3"/>
  <c r="AU466" i="3" s="1"/>
  <c r="AW466" i="3" s="1"/>
  <c r="G466" i="6" s="1"/>
  <c r="I466" i="6" s="1"/>
  <c r="AS859" i="3"/>
  <c r="AS74" i="3"/>
  <c r="AU74" i="3" s="1"/>
  <c r="AW74" i="3" s="1"/>
  <c r="G74" i="6" s="1"/>
  <c r="I74" i="6" s="1"/>
  <c r="AS981" i="3"/>
  <c r="AS279" i="3"/>
  <c r="AU279" i="3" s="1"/>
  <c r="AW279" i="3" s="1"/>
  <c r="G279" i="6" s="1"/>
  <c r="AX279" i="3" s="1"/>
  <c r="AS212" i="3"/>
  <c r="AU212" i="3" s="1"/>
  <c r="AW212" i="3" s="1"/>
  <c r="AS1170" i="3"/>
  <c r="AS1171" i="3" s="1"/>
  <c r="AS680" i="3"/>
  <c r="AS61" i="3"/>
  <c r="AU61" i="3" s="1"/>
  <c r="AS734" i="3"/>
  <c r="AS986" i="3"/>
  <c r="AS455" i="3"/>
  <c r="AS1030" i="3"/>
  <c r="AS1175" i="3"/>
  <c r="AS816" i="3"/>
  <c r="AS34" i="3"/>
  <c r="AS491" i="3"/>
  <c r="AS505" i="3" s="1"/>
  <c r="AS882" i="3"/>
  <c r="AS571" i="3"/>
  <c r="AU571" i="3" s="1"/>
  <c r="AW571" i="3" s="1"/>
  <c r="AS162" i="3"/>
  <c r="AU162" i="3" s="1"/>
  <c r="AW162" i="3" s="1"/>
  <c r="G162" i="6" s="1"/>
  <c r="AX162" i="3" s="1"/>
  <c r="AS654" i="3"/>
  <c r="AS115" i="3"/>
  <c r="AU115" i="3" s="1"/>
  <c r="AW115" i="3" s="1"/>
  <c r="G115" i="6" s="1"/>
  <c r="AS396" i="3"/>
  <c r="AU396" i="3" s="1"/>
  <c r="AW396" i="3" s="1"/>
  <c r="G396" i="6" s="1"/>
  <c r="I396" i="6" s="1"/>
  <c r="AS919" i="3"/>
  <c r="AS793" i="3"/>
  <c r="AS556" i="3"/>
  <c r="AU556" i="3" s="1"/>
  <c r="AW556" i="3" s="1"/>
  <c r="AO923" i="3"/>
  <c r="AR21" i="3"/>
  <c r="AR93" i="3"/>
  <c r="AR1178" i="3"/>
  <c r="AR402" i="3"/>
  <c r="AR323" i="3"/>
  <c r="AR783" i="3" s="1"/>
  <c r="AR803" i="3" s="1"/>
  <c r="AR1150" i="3"/>
  <c r="AR1202" i="3"/>
  <c r="AR1143" i="3"/>
  <c r="AR563" i="3"/>
  <c r="AR1167" i="3"/>
  <c r="AR452" i="3"/>
  <c r="AR298" i="3"/>
  <c r="AR681" i="3"/>
  <c r="AR964" i="3"/>
  <c r="AR1081" i="3" s="1"/>
  <c r="AR111" i="3"/>
  <c r="AR831" i="3"/>
  <c r="AR991" i="3"/>
  <c r="AR432" i="3"/>
  <c r="AR676" i="3"/>
  <c r="AR407" i="3"/>
  <c r="AR975" i="3"/>
  <c r="AR387" i="3"/>
  <c r="AR502" i="3"/>
  <c r="AR1001" i="3"/>
  <c r="AR1011" i="3"/>
  <c r="AR603" i="3"/>
  <c r="AR830" i="3"/>
  <c r="AR812" i="3"/>
  <c r="AR904" i="3"/>
  <c r="AR822" i="3"/>
  <c r="AR325" i="3"/>
  <c r="AR365" i="3" s="1"/>
  <c r="AT324" i="3"/>
  <c r="AT372" i="3"/>
  <c r="AT325" i="3"/>
  <c r="AT365" i="3" s="1"/>
  <c r="AT370" i="3"/>
  <c r="AT326" i="3"/>
  <c r="AT371" i="3"/>
  <c r="AT323" i="3"/>
  <c r="AT803" i="3" s="1"/>
  <c r="AT749" i="3"/>
  <c r="B70" i="1"/>
  <c r="G22" i="49"/>
  <c r="B4" i="1"/>
  <c r="AT634" i="3"/>
  <c r="AT502" i="3"/>
  <c r="AT840" i="3"/>
  <c r="AT886" i="3"/>
  <c r="AT503" i="3"/>
  <c r="AT501" i="3"/>
  <c r="AT830" i="3"/>
  <c r="AT633" i="3"/>
  <c r="AT506" i="3"/>
  <c r="AT507" i="3"/>
  <c r="AT887" i="3"/>
  <c r="AT831" i="3"/>
  <c r="AT750" i="3"/>
  <c r="AT632" i="3"/>
  <c r="AT631" i="3"/>
  <c r="Y102" i="6"/>
  <c r="W101" i="6"/>
  <c r="AB101" i="6" s="1"/>
  <c r="K65" i="14"/>
  <c r="L65" i="14"/>
  <c r="J66" i="14" s="1"/>
  <c r="AU16" i="3" l="1"/>
  <c r="AW16" i="3" s="1"/>
  <c r="G155" i="6"/>
  <c r="AX155" i="3" s="1"/>
  <c r="G153" i="6"/>
  <c r="AX153" i="3" s="1"/>
  <c r="AU320" i="3"/>
  <c r="AW320" i="3" s="1"/>
  <c r="G320" i="6" s="1"/>
  <c r="I320" i="6" s="1"/>
  <c r="N320" i="6" s="1"/>
  <c r="T320" i="6" s="1"/>
  <c r="G50" i="49"/>
  <c r="L46" i="52" s="1"/>
  <c r="G44" i="49"/>
  <c r="G27" i="49"/>
  <c r="G43" i="49"/>
  <c r="G26" i="49"/>
  <c r="D9" i="49" s="1"/>
  <c r="F9" i="49" s="1"/>
  <c r="G59" i="49"/>
  <c r="L55" i="52" s="1"/>
  <c r="G42" i="49"/>
  <c r="L39" i="52" s="1"/>
  <c r="G25" i="49"/>
  <c r="D8" i="49" s="1"/>
  <c r="G58" i="49"/>
  <c r="L54" i="52" s="1"/>
  <c r="G41" i="49"/>
  <c r="G24" i="49"/>
  <c r="G57" i="49"/>
  <c r="L53" i="52" s="1"/>
  <c r="G40" i="49"/>
  <c r="G51" i="49"/>
  <c r="G32" i="49"/>
  <c r="K10" i="52" s="1"/>
  <c r="G31" i="49"/>
  <c r="E8" i="49" s="1"/>
  <c r="G49" i="49"/>
  <c r="L45" i="52" s="1"/>
  <c r="G30" i="49"/>
  <c r="E7" i="49" s="1"/>
  <c r="AR366" i="3"/>
  <c r="AR1085" i="3"/>
  <c r="AR1127" i="3" s="1"/>
  <c r="AS1083" i="3"/>
  <c r="AS1123" i="3" s="1"/>
  <c r="AS975" i="3"/>
  <c r="AS1078" i="3"/>
  <c r="AS1084" i="3" s="1"/>
  <c r="AS1124" i="3" s="1"/>
  <c r="AS1082" i="3"/>
  <c r="AS1122" i="3" s="1"/>
  <c r="AS432" i="3"/>
  <c r="AS706" i="3"/>
  <c r="AP1223" i="3"/>
  <c r="AP1227" i="3" s="1"/>
  <c r="AP1229" i="3" s="1"/>
  <c r="AP1234" i="3" s="1"/>
  <c r="AP1244" i="3" s="1"/>
  <c r="AU491" i="3"/>
  <c r="AU505" i="3" s="1"/>
  <c r="AS736" i="3"/>
  <c r="AS477" i="3"/>
  <c r="AU1170" i="3"/>
  <c r="AU1171" i="3" s="1"/>
  <c r="AS884" i="3"/>
  <c r="AU430" i="3"/>
  <c r="AW430" i="3" s="1"/>
  <c r="AS991" i="3"/>
  <c r="AU66" i="3"/>
  <c r="AS779" i="3"/>
  <c r="AR1209" i="3"/>
  <c r="AR1239" i="3" s="1"/>
  <c r="AS799" i="3"/>
  <c r="AW1142" i="3"/>
  <c r="G1159" i="6" s="1"/>
  <c r="AX1142" i="3" s="1"/>
  <c r="AU1143" i="3"/>
  <c r="Z63" i="5" s="1"/>
  <c r="AB63" i="5" s="1"/>
  <c r="AS970" i="3"/>
  <c r="AS822" i="3"/>
  <c r="AS911" i="3"/>
  <c r="AS253" i="3"/>
  <c r="AQ923" i="3"/>
  <c r="AQ1223" i="3" s="1"/>
  <c r="AQ1227" i="3" s="1"/>
  <c r="AQ1229" i="3" s="1"/>
  <c r="AQ1234" i="3" s="1"/>
  <c r="AS856" i="3"/>
  <c r="AS583" i="3"/>
  <c r="AS848" i="3"/>
  <c r="AR364" i="3"/>
  <c r="AS528" i="3"/>
  <c r="AS671" i="3"/>
  <c r="AS402" i="3"/>
  <c r="AS1192" i="3"/>
  <c r="AS422" i="3"/>
  <c r="AS543" i="3"/>
  <c r="AS271" i="3"/>
  <c r="AS774" i="3"/>
  <c r="AS696" i="3"/>
  <c r="AS759" i="3"/>
  <c r="AU475" i="3"/>
  <c r="AU477" i="3" s="1"/>
  <c r="AS876" i="3"/>
  <c r="AU1195" i="3"/>
  <c r="AW1195" i="3" s="1"/>
  <c r="G1212" i="6" s="1"/>
  <c r="AX1195" i="3" s="1"/>
  <c r="AS608" i="3"/>
  <c r="AU138" i="3"/>
  <c r="AS731" i="3"/>
  <c r="E72" i="6"/>
  <c r="I72" i="6"/>
  <c r="G252" i="6"/>
  <c r="AX252" i="3" s="1"/>
  <c r="AU598" i="3"/>
  <c r="AS183" i="3"/>
  <c r="AS57" i="3"/>
  <c r="AS764" i="3"/>
  <c r="AS457" i="3"/>
  <c r="AS224" i="3"/>
  <c r="AS721" i="3"/>
  <c r="AS868" i="3"/>
  <c r="AS817" i="3"/>
  <c r="AS298" i="3"/>
  <c r="AS316" i="3"/>
  <c r="AW61" i="3"/>
  <c r="G61" i="6" s="1"/>
  <c r="AU989" i="3"/>
  <c r="AW989" i="3" s="1"/>
  <c r="G1005" i="6" s="1"/>
  <c r="AX989" i="3" s="1"/>
  <c r="AS262" i="3"/>
  <c r="AS397" i="3"/>
  <c r="AS372" i="3"/>
  <c r="AR636" i="3"/>
  <c r="AS39" i="3"/>
  <c r="AU39" i="3" s="1"/>
  <c r="AW39" i="3" s="1"/>
  <c r="AS711" i="3"/>
  <c r="AS623" i="3"/>
  <c r="AS427" i="3"/>
  <c r="AU178" i="3"/>
  <c r="AW178" i="3" s="1"/>
  <c r="AS156" i="3"/>
  <c r="AS1103" i="3"/>
  <c r="AS452" i="3"/>
  <c r="AS75" i="3"/>
  <c r="AS716" i="3"/>
  <c r="AU485" i="3"/>
  <c r="AU487" i="3" s="1"/>
  <c r="AS1016" i="3"/>
  <c r="AS192" i="3"/>
  <c r="E321" i="6"/>
  <c r="AR889" i="3"/>
  <c r="AX164" i="3"/>
  <c r="AS231" i="3"/>
  <c r="E74" i="6"/>
  <c r="AR327" i="3"/>
  <c r="AU202" i="3"/>
  <c r="AW20" i="3"/>
  <c r="G20" i="6" s="1"/>
  <c r="AX20" i="3" s="1"/>
  <c r="G173" i="6"/>
  <c r="AX173" i="3" s="1"/>
  <c r="G119" i="6"/>
  <c r="AX119" i="3" s="1"/>
  <c r="G47" i="6"/>
  <c r="AX47" i="3" s="1"/>
  <c r="G83" i="6"/>
  <c r="AX83" i="3" s="1"/>
  <c r="G110" i="6"/>
  <c r="AX110" i="3" s="1"/>
  <c r="G191" i="6"/>
  <c r="AX191" i="3" s="1"/>
  <c r="AW465" i="3"/>
  <c r="AW467" i="3" s="1"/>
  <c r="AU467" i="3"/>
  <c r="AW446" i="3"/>
  <c r="G446" i="6" s="1"/>
  <c r="I446" i="6" s="1"/>
  <c r="M446" i="6" s="1"/>
  <c r="Q446" i="6" s="1"/>
  <c r="AU447" i="3"/>
  <c r="G1165" i="6"/>
  <c r="AX1148" i="3" s="1"/>
  <c r="AW572" i="3"/>
  <c r="G573" i="6" s="1"/>
  <c r="I573" i="6" s="1"/>
  <c r="M573" i="6" s="1"/>
  <c r="R573" i="6" s="1"/>
  <c r="AU573" i="3"/>
  <c r="G182" i="6"/>
  <c r="AX182" i="3" s="1"/>
  <c r="G63" i="6"/>
  <c r="AX63" i="3" s="1"/>
  <c r="G65" i="6"/>
  <c r="AX65" i="3" s="1"/>
  <c r="G1178" i="6"/>
  <c r="AX1161" i="3" s="1"/>
  <c r="AW537" i="3"/>
  <c r="G538" i="6" s="1"/>
  <c r="I538" i="6" s="1"/>
  <c r="AU633" i="3"/>
  <c r="Z25" i="5" s="1"/>
  <c r="AB25" i="5" s="1"/>
  <c r="AU201" i="3"/>
  <c r="AW45" i="3"/>
  <c r="G45" i="6" s="1"/>
  <c r="AX45" i="3" s="1"/>
  <c r="AU48" i="3"/>
  <c r="AU603" i="3"/>
  <c r="AW221" i="3"/>
  <c r="AW230" i="3" s="1"/>
  <c r="AU230" i="3"/>
  <c r="G99" i="6"/>
  <c r="AX99" i="3" s="1"/>
  <c r="AW557" i="3"/>
  <c r="G558" i="6" s="1"/>
  <c r="I558" i="6" s="1"/>
  <c r="M558" i="6" s="1"/>
  <c r="R558" i="6" s="1"/>
  <c r="AU558" i="3"/>
  <c r="AU634" i="3"/>
  <c r="AW286" i="3"/>
  <c r="G286" i="6" s="1"/>
  <c r="AX286" i="3" s="1"/>
  <c r="AU289" i="3"/>
  <c r="G1172" i="6"/>
  <c r="AX1155" i="3" s="1"/>
  <c r="G38" i="6"/>
  <c r="AS749" i="3"/>
  <c r="AS656" i="3"/>
  <c r="AS280" i="3"/>
  <c r="AS827" i="3"/>
  <c r="AS840" i="3"/>
  <c r="AS886" i="3"/>
  <c r="E270" i="6"/>
  <c r="AR913" i="3"/>
  <c r="AR1121" i="3"/>
  <c r="AR1208" i="3" s="1"/>
  <c r="AR1238" i="3" s="1"/>
  <c r="AR203" i="3"/>
  <c r="AO1223" i="3"/>
  <c r="AO1227" i="3" s="1"/>
  <c r="AO1229" i="3" s="1"/>
  <c r="AO1234" i="3" s="1"/>
  <c r="AO933" i="3"/>
  <c r="AO936" i="3" s="1"/>
  <c r="AO939" i="3" s="1"/>
  <c r="AS533" i="3"/>
  <c r="AS1011" i="3"/>
  <c r="AS964" i="3"/>
  <c r="AS860" i="3"/>
  <c r="AS548" i="3"/>
  <c r="AS887" i="3"/>
  <c r="AS447" i="3"/>
  <c r="AS102" i="3"/>
  <c r="AS701" i="3"/>
  <c r="AR1018" i="3"/>
  <c r="AU275" i="3"/>
  <c r="AU248" i="3"/>
  <c r="AU420" i="3"/>
  <c r="AW420" i="3" s="1"/>
  <c r="AX72" i="3"/>
  <c r="AU257" i="3"/>
  <c r="AU262" i="3" s="1"/>
  <c r="AU151" i="3"/>
  <c r="AU156" i="3" s="1"/>
  <c r="AR833" i="3"/>
  <c r="AR1211" i="3"/>
  <c r="AS558" i="3"/>
  <c r="AS573" i="3"/>
  <c r="AS538" i="3"/>
  <c r="AS492" i="3"/>
  <c r="AS996" i="3"/>
  <c r="AS872" i="3"/>
  <c r="AS462" i="3"/>
  <c r="AS593" i="3"/>
  <c r="AS111" i="3"/>
  <c r="AS1110" i="3"/>
  <c r="AS138" i="3"/>
  <c r="AS472" i="3"/>
  <c r="AS598" i="3"/>
  <c r="AS691" i="3"/>
  <c r="AS324" i="3"/>
  <c r="AS371" i="3"/>
  <c r="AU277" i="3"/>
  <c r="AR635" i="3"/>
  <c r="AU606" i="3"/>
  <c r="AS812" i="3"/>
  <c r="AS830" i="3"/>
  <c r="AU541" i="3"/>
  <c r="AS326" i="3"/>
  <c r="AS289" i="3"/>
  <c r="AS325" i="3"/>
  <c r="AS365" i="3" s="1"/>
  <c r="AS750" i="3"/>
  <c r="AS407" i="3"/>
  <c r="AS661" i="3"/>
  <c r="AS1139" i="3"/>
  <c r="AS1199" i="3"/>
  <c r="AU243" i="3"/>
  <c r="AU311" i="3"/>
  <c r="AU316" i="3" s="1"/>
  <c r="AW18" i="3"/>
  <c r="G18" i="6" s="1"/>
  <c r="AX18" i="3" s="1"/>
  <c r="E101" i="6"/>
  <c r="I81" i="6"/>
  <c r="N81" i="6" s="1"/>
  <c r="U81" i="6" s="1"/>
  <c r="AU84" i="3"/>
  <c r="AU1088" i="3"/>
  <c r="AU1089" i="3" s="1"/>
  <c r="Z53" i="5" s="1"/>
  <c r="AB53" i="5" s="1"/>
  <c r="AR1210" i="3"/>
  <c r="AR1240" i="3" s="1"/>
  <c r="AS392" i="3"/>
  <c r="AS852" i="3"/>
  <c r="AS1096" i="3"/>
  <c r="AS746" i="3"/>
  <c r="AS387" i="3"/>
  <c r="AS502" i="3"/>
  <c r="AS681" i="3"/>
  <c r="AS553" i="3"/>
  <c r="AS147" i="3"/>
  <c r="AS1157" i="3"/>
  <c r="AS165" i="3"/>
  <c r="AS1167" i="3"/>
  <c r="AS21" i="3"/>
  <c r="AU21" i="3" s="1"/>
  <c r="AS1200" i="3"/>
  <c r="AS1135" i="3"/>
  <c r="AS769" i="3"/>
  <c r="AS503" i="3"/>
  <c r="AS382" i="3"/>
  <c r="AS501" i="3"/>
  <c r="AS1001" i="3"/>
  <c r="AS215" i="3"/>
  <c r="AS792" i="3"/>
  <c r="AS794" i="3" s="1"/>
  <c r="AS229" i="3"/>
  <c r="AR752" i="3"/>
  <c r="AU385" i="3"/>
  <c r="AR232" i="3"/>
  <c r="AU546" i="3"/>
  <c r="AS437" i="3"/>
  <c r="AU266" i="3"/>
  <c r="AU271" i="3" s="1"/>
  <c r="AX270" i="3"/>
  <c r="AS613" i="3"/>
  <c r="AR509" i="3"/>
  <c r="AU70" i="3"/>
  <c r="AW70" i="3" s="1"/>
  <c r="AS1178" i="3"/>
  <c r="AS618" i="3"/>
  <c r="AS307" i="3"/>
  <c r="AS568" i="3"/>
  <c r="AS323" i="3"/>
  <c r="AS783" i="3" s="1"/>
  <c r="AS803" i="3" s="1"/>
  <c r="AS244" i="3"/>
  <c r="AS741" i="3"/>
  <c r="AU435" i="3"/>
  <c r="AU616" i="3"/>
  <c r="AW616" i="3" s="1"/>
  <c r="AX74" i="3"/>
  <c r="AX321" i="3"/>
  <c r="AW133" i="3"/>
  <c r="AW138" i="3" s="1"/>
  <c r="E164" i="6"/>
  <c r="AS120" i="3"/>
  <c r="AS633" i="3"/>
  <c r="AS787" i="3"/>
  <c r="AS789" i="3" s="1"/>
  <c r="AS370" i="3"/>
  <c r="AS1185" i="3"/>
  <c r="AS628" i="3"/>
  <c r="AS631" i="3" s="1"/>
  <c r="AS84" i="3"/>
  <c r="AS174" i="3"/>
  <c r="AS412" i="3"/>
  <c r="AS1150" i="3"/>
  <c r="AS588" i="3"/>
  <c r="AS497" i="3"/>
  <c r="AS1143" i="3"/>
  <c r="AS1202" i="3"/>
  <c r="AS676" i="3"/>
  <c r="AS686" i="3"/>
  <c r="AS1162" i="3"/>
  <c r="AS1006" i="3"/>
  <c r="AS417" i="3"/>
  <c r="AS953" i="3"/>
  <c r="AU219" i="3"/>
  <c r="AU460" i="3"/>
  <c r="AU34" i="3"/>
  <c r="AW34" i="3" s="1"/>
  <c r="G34" i="6" s="1"/>
  <c r="AX34" i="3" s="1"/>
  <c r="AU1153" i="3"/>
  <c r="AS1201" i="3"/>
  <c r="AS831" i="3"/>
  <c r="AS578" i="3"/>
  <c r="AS844" i="3"/>
  <c r="AS93" i="3"/>
  <c r="AS726" i="3"/>
  <c r="AU450" i="3"/>
  <c r="AU400" i="3"/>
  <c r="AU402" i="3" s="1"/>
  <c r="AS66" i="3"/>
  <c r="AS30" i="3"/>
  <c r="AU30" i="3" s="1"/>
  <c r="AW30" i="3" s="1"/>
  <c r="AS442" i="3"/>
  <c r="AS880" i="3"/>
  <c r="AS634" i="3"/>
  <c r="AU531" i="3"/>
  <c r="AU797" i="3"/>
  <c r="AW797" i="3" s="1"/>
  <c r="G798" i="6" s="1"/>
  <c r="E798" i="6" s="1"/>
  <c r="AX101" i="3"/>
  <c r="AX81" i="3"/>
  <c r="AU526" i="3"/>
  <c r="AW526" i="3" s="1"/>
  <c r="AU52" i="3"/>
  <c r="AS230" i="3"/>
  <c r="AS129" i="3"/>
  <c r="AS666" i="3"/>
  <c r="AS904" i="3"/>
  <c r="AS921" i="3"/>
  <c r="AS1222" i="3" s="1"/>
  <c r="AS48" i="3"/>
  <c r="AS649" i="3"/>
  <c r="AS563" i="3"/>
  <c r="AS523" i="3"/>
  <c r="AS632" i="3"/>
  <c r="AS507" i="3"/>
  <c r="AS506" i="3"/>
  <c r="AS467" i="3"/>
  <c r="AS864" i="3"/>
  <c r="AS482" i="3"/>
  <c r="AS603" i="3"/>
  <c r="AU293" i="3"/>
  <c r="AU611" i="3"/>
  <c r="AR782" i="3"/>
  <c r="AR363" i="3"/>
  <c r="AU455" i="3"/>
  <c r="AR1205" i="3"/>
  <c r="AW596" i="3"/>
  <c r="AW598" i="3" s="1"/>
  <c r="AX598" i="3" s="1"/>
  <c r="AT364" i="3"/>
  <c r="AT366" i="3"/>
  <c r="AX466" i="3"/>
  <c r="AT1239" i="3"/>
  <c r="AX391" i="3"/>
  <c r="AX401" i="3"/>
  <c r="AX416" i="3"/>
  <c r="AX481" i="3"/>
  <c r="AT636" i="3"/>
  <c r="AX476" i="3"/>
  <c r="AX396" i="3"/>
  <c r="AX431" i="3"/>
  <c r="AT635" i="3"/>
  <c r="AX386" i="3"/>
  <c r="AX421" i="3"/>
  <c r="AX426" i="3"/>
  <c r="AX441" i="3"/>
  <c r="AX461" i="3"/>
  <c r="AW239" i="3"/>
  <c r="AW561" i="3"/>
  <c r="AU563" i="3"/>
  <c r="AX436" i="3"/>
  <c r="AU1096" i="3"/>
  <c r="AW1092" i="3"/>
  <c r="AX456" i="3"/>
  <c r="M396" i="6"/>
  <c r="Q396" i="6" s="1"/>
  <c r="N396" i="6"/>
  <c r="T396" i="6" s="1"/>
  <c r="N386" i="6"/>
  <c r="T386" i="6" s="1"/>
  <c r="M386" i="6"/>
  <c r="Q386" i="6" s="1"/>
  <c r="AW536" i="3"/>
  <c r="AU538" i="3"/>
  <c r="AW160" i="3"/>
  <c r="AU165" i="3"/>
  <c r="AU442" i="3"/>
  <c r="AW440" i="3"/>
  <c r="AW395" i="3"/>
  <c r="AU397" i="3"/>
  <c r="N588" i="6"/>
  <c r="U588" i="6" s="1"/>
  <c r="M588" i="6"/>
  <c r="R588" i="6" s="1"/>
  <c r="N578" i="6"/>
  <c r="U578" i="6" s="1"/>
  <c r="M578" i="6"/>
  <c r="R578" i="6" s="1"/>
  <c r="N431" i="6"/>
  <c r="T431" i="6" s="1"/>
  <c r="M431" i="6"/>
  <c r="Q431" i="6" s="1"/>
  <c r="E144" i="6"/>
  <c r="I144" i="6"/>
  <c r="N391" i="6"/>
  <c r="T391" i="6" s="1"/>
  <c r="M391" i="6"/>
  <c r="Q391" i="6" s="1"/>
  <c r="M401" i="6"/>
  <c r="Q401" i="6" s="1"/>
  <c r="N401" i="6"/>
  <c r="T401" i="6" s="1"/>
  <c r="E189" i="6"/>
  <c r="I189" i="6"/>
  <c r="AW425" i="3"/>
  <c r="AU427" i="3"/>
  <c r="I1111" i="6"/>
  <c r="E1111" i="6"/>
  <c r="AU102" i="3"/>
  <c r="AW97" i="3"/>
  <c r="M563" i="6"/>
  <c r="R563" i="6" s="1"/>
  <c r="N563" i="6"/>
  <c r="U563" i="6" s="1"/>
  <c r="N628" i="6"/>
  <c r="T628" i="6" s="1"/>
  <c r="M628" i="6"/>
  <c r="Q628" i="6" s="1"/>
  <c r="E288" i="6"/>
  <c r="I288" i="6"/>
  <c r="AX411" i="3"/>
  <c r="G572" i="6"/>
  <c r="AX571" i="3"/>
  <c r="AU1150" i="3"/>
  <c r="AW1146" i="3"/>
  <c r="M593" i="6"/>
  <c r="R593" i="6" s="1"/>
  <c r="N593" i="6"/>
  <c r="U593" i="6" s="1"/>
  <c r="E29" i="6"/>
  <c r="I29" i="6"/>
  <c r="N101" i="6"/>
  <c r="U101" i="6" s="1"/>
  <c r="M101" i="6"/>
  <c r="R101" i="6" s="1"/>
  <c r="AT889" i="3"/>
  <c r="E1171" i="6"/>
  <c r="I1171" i="6"/>
  <c r="AW621" i="3"/>
  <c r="AU623" i="3"/>
  <c r="M451" i="6"/>
  <c r="Q451" i="6" s="1"/>
  <c r="N451" i="6"/>
  <c r="T451" i="6" s="1"/>
  <c r="N553" i="6"/>
  <c r="U553" i="6" s="1"/>
  <c r="M553" i="6"/>
  <c r="R553" i="6" s="1"/>
  <c r="E180" i="6"/>
  <c r="I180" i="6"/>
  <c r="AW106" i="3"/>
  <c r="AU111" i="3"/>
  <c r="E297" i="6"/>
  <c r="I297" i="6"/>
  <c r="G43" i="6"/>
  <c r="AX43" i="3" s="1"/>
  <c r="G284" i="6"/>
  <c r="AW142" i="3"/>
  <c r="AU147" i="3"/>
  <c r="AU392" i="3"/>
  <c r="AW390" i="3"/>
  <c r="I279" i="6"/>
  <c r="E279" i="6"/>
  <c r="I90" i="6"/>
  <c r="E90" i="6"/>
  <c r="AW521" i="3"/>
  <c r="AW523" i="3" s="1"/>
  <c r="AW490" i="3"/>
  <c r="N436" i="6"/>
  <c r="T436" i="6" s="1"/>
  <c r="M436" i="6"/>
  <c r="Q436" i="6" s="1"/>
  <c r="M613" i="6"/>
  <c r="R613" i="6" s="1"/>
  <c r="N613" i="6"/>
  <c r="U613" i="6" s="1"/>
  <c r="M456" i="6"/>
  <c r="Q456" i="6" s="1"/>
  <c r="N456" i="6"/>
  <c r="T456" i="6" s="1"/>
  <c r="E36" i="6"/>
  <c r="I36" i="6"/>
  <c r="G212" i="6"/>
  <c r="I496" i="6"/>
  <c r="AW187" i="3"/>
  <c r="AU192" i="3"/>
  <c r="N583" i="6"/>
  <c r="U583" i="6" s="1"/>
  <c r="M583" i="6"/>
  <c r="R583" i="6" s="1"/>
  <c r="N548" i="6"/>
  <c r="U548" i="6" s="1"/>
  <c r="M548" i="6"/>
  <c r="R548" i="6" s="1"/>
  <c r="AU174" i="3"/>
  <c r="AW169" i="3"/>
  <c r="AT833" i="3"/>
  <c r="M618" i="6"/>
  <c r="R618" i="6" s="1"/>
  <c r="N618" i="6"/>
  <c r="U618" i="6" s="1"/>
  <c r="E171" i="6"/>
  <c r="I171" i="6"/>
  <c r="M411" i="6"/>
  <c r="Q411" i="6" s="1"/>
  <c r="N411" i="6"/>
  <c r="T411" i="6" s="1"/>
  <c r="G445" i="6"/>
  <c r="AW302" i="3"/>
  <c r="AU307" i="3"/>
  <c r="AW1160" i="3"/>
  <c r="AU1162" i="3"/>
  <c r="I128" i="6"/>
  <c r="E128" i="6"/>
  <c r="I162" i="6"/>
  <c r="E162" i="6"/>
  <c r="AU231" i="3"/>
  <c r="AW214" i="3"/>
  <c r="AU382" i="3"/>
  <c r="AW380" i="3"/>
  <c r="E126" i="6"/>
  <c r="I126" i="6"/>
  <c r="G37" i="49"/>
  <c r="L36" i="52" s="1"/>
  <c r="D5" i="49"/>
  <c r="I135" i="6"/>
  <c r="E135" i="6"/>
  <c r="N533" i="6"/>
  <c r="U533" i="6" s="1"/>
  <c r="M533" i="6"/>
  <c r="R533" i="6" s="1"/>
  <c r="AW566" i="3"/>
  <c r="AU568" i="3"/>
  <c r="E1110" i="6"/>
  <c r="I1110" i="6"/>
  <c r="AW88" i="3"/>
  <c r="AU93" i="3"/>
  <c r="AU583" i="3"/>
  <c r="AW581" i="3"/>
  <c r="I196" i="6"/>
  <c r="E196" i="6"/>
  <c r="AT752" i="3"/>
  <c r="G557" i="6"/>
  <c r="AX556" i="3"/>
  <c r="AU120" i="3"/>
  <c r="M466" i="6"/>
  <c r="Q466" i="6" s="1"/>
  <c r="Q467" i="6" s="1"/>
  <c r="N466" i="6"/>
  <c r="T466" i="6" s="1"/>
  <c r="T467" i="6" s="1"/>
  <c r="E137" i="6"/>
  <c r="I137" i="6"/>
  <c r="AW626" i="3"/>
  <c r="AU628" i="3"/>
  <c r="N426" i="6"/>
  <c r="T426" i="6" s="1"/>
  <c r="M426" i="6"/>
  <c r="Q426" i="6" s="1"/>
  <c r="AU578" i="3"/>
  <c r="AW576" i="3"/>
  <c r="N74" i="6"/>
  <c r="U74" i="6" s="1"/>
  <c r="M74" i="6"/>
  <c r="R74" i="6" s="1"/>
  <c r="AT1238" i="3"/>
  <c r="N608" i="6"/>
  <c r="U608" i="6" s="1"/>
  <c r="M608" i="6"/>
  <c r="R608" i="6" s="1"/>
  <c r="M598" i="6"/>
  <c r="R598" i="6" s="1"/>
  <c r="N598" i="6"/>
  <c r="U598" i="6" s="1"/>
  <c r="N321" i="6"/>
  <c r="T321" i="6" s="1"/>
  <c r="M321" i="6"/>
  <c r="Q321" i="6" s="1"/>
  <c r="I306" i="6"/>
  <c r="E306" i="6"/>
  <c r="M528" i="6"/>
  <c r="R528" i="6" s="1"/>
  <c r="N528" i="6"/>
  <c r="U528" i="6" s="1"/>
  <c r="E146" i="6"/>
  <c r="I146" i="6"/>
  <c r="AT1222" i="3"/>
  <c r="M603" i="6"/>
  <c r="R603" i="6" s="1"/>
  <c r="N603" i="6"/>
  <c r="U603" i="6" s="1"/>
  <c r="AU497" i="3"/>
  <c r="AW495" i="3"/>
  <c r="I108" i="6"/>
  <c r="E108" i="6"/>
  <c r="AU417" i="3"/>
  <c r="AW415" i="3"/>
  <c r="M416" i="6"/>
  <c r="Q416" i="6" s="1"/>
  <c r="N416" i="6"/>
  <c r="T416" i="6" s="1"/>
  <c r="AX406" i="3"/>
  <c r="N568" i="6"/>
  <c r="U568" i="6" s="1"/>
  <c r="M568" i="6"/>
  <c r="R568" i="6" s="1"/>
  <c r="AX471" i="3"/>
  <c r="I54" i="6"/>
  <c r="E54" i="6"/>
  <c r="AW405" i="3"/>
  <c r="AU407" i="3"/>
  <c r="M481" i="6"/>
  <c r="Q481" i="6" s="1"/>
  <c r="Q482" i="6" s="1"/>
  <c r="N481" i="6"/>
  <c r="T481" i="6" s="1"/>
  <c r="T482" i="6" s="1"/>
  <c r="AW480" i="3"/>
  <c r="AU482" i="3"/>
  <c r="N164" i="6"/>
  <c r="U164" i="6" s="1"/>
  <c r="M164" i="6"/>
  <c r="R164" i="6" s="1"/>
  <c r="E92" i="6"/>
  <c r="I92" i="6"/>
  <c r="AT509" i="3"/>
  <c r="AU215" i="3"/>
  <c r="AW210" i="3"/>
  <c r="E1164" i="6"/>
  <c r="I1164" i="6"/>
  <c r="I1173" i="6"/>
  <c r="E1173" i="6"/>
  <c r="E1112" i="6"/>
  <c r="I1112" i="6"/>
  <c r="M270" i="6"/>
  <c r="R270" i="6" s="1"/>
  <c r="R271" i="6" s="1"/>
  <c r="N270" i="6"/>
  <c r="U270" i="6" s="1"/>
  <c r="U271" i="6" s="1"/>
  <c r="E117" i="6"/>
  <c r="I117" i="6"/>
  <c r="AW84" i="3"/>
  <c r="G79" i="6"/>
  <c r="AX79" i="3" s="1"/>
  <c r="G523" i="6"/>
  <c r="AW551" i="3"/>
  <c r="AU553" i="3"/>
  <c r="N476" i="6"/>
  <c r="T476" i="6" s="1"/>
  <c r="T477" i="6" s="1"/>
  <c r="M476" i="6"/>
  <c r="Q476" i="6" s="1"/>
  <c r="Q477" i="6" s="1"/>
  <c r="G25" i="6"/>
  <c r="AX25" i="3" s="1"/>
  <c r="AU506" i="3"/>
  <c r="AW381" i="3"/>
  <c r="N441" i="6"/>
  <c r="T441" i="6" s="1"/>
  <c r="M441" i="6"/>
  <c r="Q441" i="6" s="1"/>
  <c r="AU129" i="3"/>
  <c r="AW124" i="3"/>
  <c r="E315" i="6"/>
  <c r="I315" i="6"/>
  <c r="I261" i="6"/>
  <c r="E261" i="6"/>
  <c r="N406" i="6"/>
  <c r="T406" i="6" s="1"/>
  <c r="M406" i="6"/>
  <c r="Q406" i="6" s="1"/>
  <c r="N471" i="6"/>
  <c r="U471" i="6" s="1"/>
  <c r="M471" i="6"/>
  <c r="R471" i="6" s="1"/>
  <c r="AT327" i="3"/>
  <c r="M623" i="6"/>
  <c r="R623" i="6" s="1"/>
  <c r="N623" i="6"/>
  <c r="U623" i="6" s="1"/>
  <c r="AU412" i="3"/>
  <c r="AW410" i="3"/>
  <c r="AU588" i="3"/>
  <c r="AW586" i="3"/>
  <c r="M543" i="6"/>
  <c r="R543" i="6" s="1"/>
  <c r="N543" i="6"/>
  <c r="U543" i="6" s="1"/>
  <c r="AX601" i="3"/>
  <c r="G602" i="6"/>
  <c r="AW603" i="3"/>
  <c r="AX603" i="3" s="1"/>
  <c r="A5" i="50"/>
  <c r="B3" i="12"/>
  <c r="B4" i="20"/>
  <c r="J4" i="20"/>
  <c r="AW591" i="3"/>
  <c r="AU593" i="3"/>
  <c r="E56" i="6"/>
  <c r="I56" i="6"/>
  <c r="I197" i="6"/>
  <c r="E197" i="6"/>
  <c r="N421" i="6"/>
  <c r="T421" i="6" s="1"/>
  <c r="M421" i="6"/>
  <c r="Q421" i="6" s="1"/>
  <c r="E223" i="6"/>
  <c r="I223" i="6"/>
  <c r="AW470" i="3"/>
  <c r="AU472" i="3"/>
  <c r="I27" i="6"/>
  <c r="E27" i="6"/>
  <c r="E1166" i="6"/>
  <c r="I1166" i="6"/>
  <c r="AX451" i="3"/>
  <c r="AT1240" i="3"/>
  <c r="AX180" i="3"/>
  <c r="N461" i="6"/>
  <c r="U461" i="6" s="1"/>
  <c r="M461" i="6"/>
  <c r="R461" i="6" s="1"/>
  <c r="AX297" i="3"/>
  <c r="AT363" i="3"/>
  <c r="AU523" i="3"/>
  <c r="Y103" i="6"/>
  <c r="Y104" i="6" s="1"/>
  <c r="L66" i="14"/>
  <c r="J67" i="14" s="1"/>
  <c r="K66" i="14"/>
  <c r="I153" i="6" l="1"/>
  <c r="N153" i="6" s="1"/>
  <c r="U153" i="6" s="1"/>
  <c r="I155" i="6"/>
  <c r="M155" i="6" s="1"/>
  <c r="R155" i="6" s="1"/>
  <c r="E155" i="6"/>
  <c r="M320" i="6"/>
  <c r="Q320" i="6" s="1"/>
  <c r="AU244" i="3"/>
  <c r="AU326" i="3"/>
  <c r="AU366" i="3" s="1"/>
  <c r="Z13" i="5" s="1"/>
  <c r="AB13" i="5" s="1"/>
  <c r="E153" i="6"/>
  <c r="AX320" i="3"/>
  <c r="G45" i="49"/>
  <c r="G53" i="49" s="1"/>
  <c r="G60" i="49"/>
  <c r="L56" i="52" s="1"/>
  <c r="L47" i="52"/>
  <c r="AS1081" i="3"/>
  <c r="AS1085" i="3" s="1"/>
  <c r="AS1127" i="3" s="1"/>
  <c r="AP1241" i="3"/>
  <c r="AU507" i="3"/>
  <c r="AW491" i="3"/>
  <c r="AW505" i="3" s="1"/>
  <c r="AQ933" i="3"/>
  <c r="AQ936" i="3" s="1"/>
  <c r="AQ939" i="3" s="1"/>
  <c r="AU492" i="3"/>
  <c r="AX284" i="3"/>
  <c r="AW400" i="3"/>
  <c r="AW402" i="3" s="1"/>
  <c r="G465" i="6"/>
  <c r="G467" i="6" s="1"/>
  <c r="AX467" i="3" s="1"/>
  <c r="AU432" i="3"/>
  <c r="AW1170" i="3"/>
  <c r="AW1171" i="3" s="1"/>
  <c r="AW1143" i="3"/>
  <c r="I798" i="6"/>
  <c r="M798" i="6" s="1"/>
  <c r="Q798" i="6" s="1"/>
  <c r="N573" i="6"/>
  <c r="U573" i="6" s="1"/>
  <c r="AW257" i="3"/>
  <c r="AW262" i="3" s="1"/>
  <c r="AW485" i="3"/>
  <c r="G485" i="6" s="1"/>
  <c r="AU1196" i="3"/>
  <c r="AU183" i="3"/>
  <c r="E1005" i="6"/>
  <c r="AW311" i="3"/>
  <c r="G311" i="6" s="1"/>
  <c r="AX311" i="3" s="1"/>
  <c r="AW1196" i="3"/>
  <c r="I1005" i="6"/>
  <c r="AW201" i="3"/>
  <c r="AR639" i="3"/>
  <c r="AR1219" i="3" s="1"/>
  <c r="G39" i="6"/>
  <c r="E39" i="6" s="1"/>
  <c r="AW48" i="3"/>
  <c r="E34" i="6"/>
  <c r="AW475" i="3"/>
  <c r="AW477" i="3" s="1"/>
  <c r="AW558" i="3"/>
  <c r="AX558" i="3" s="1"/>
  <c r="AS366" i="3"/>
  <c r="M72" i="6"/>
  <c r="R72" i="6" s="1"/>
  <c r="R75" i="6" s="1"/>
  <c r="E286" i="6"/>
  <c r="N72" i="6"/>
  <c r="U72" i="6" s="1"/>
  <c r="U75" i="6" s="1"/>
  <c r="AW202" i="3"/>
  <c r="AS913" i="3"/>
  <c r="M81" i="6"/>
  <c r="R81" i="6" s="1"/>
  <c r="AW66" i="3"/>
  <c r="AS327" i="3"/>
  <c r="AS1210" i="3"/>
  <c r="AS1240" i="3" s="1"/>
  <c r="AX38" i="3"/>
  <c r="AU631" i="3"/>
  <c r="Z24" i="5" s="1"/>
  <c r="Z26" i="5" s="1"/>
  <c r="AW633" i="3"/>
  <c r="AW447" i="3"/>
  <c r="AS232" i="3"/>
  <c r="E252" i="6"/>
  <c r="I252" i="6"/>
  <c r="I506" i="6"/>
  <c r="AU75" i="3"/>
  <c r="AW151" i="3"/>
  <c r="N446" i="6"/>
  <c r="T446" i="6" s="1"/>
  <c r="AS1211" i="3"/>
  <c r="AW1088" i="3"/>
  <c r="G1105" i="6" s="1"/>
  <c r="AX1088" i="3" s="1"/>
  <c r="AU501" i="3"/>
  <c r="Z14" i="5" s="1"/>
  <c r="AB14" i="5" s="1"/>
  <c r="I34" i="6"/>
  <c r="AX797" i="3"/>
  <c r="AU528" i="3"/>
  <c r="AU323" i="3"/>
  <c r="AS889" i="3"/>
  <c r="AU632" i="3"/>
  <c r="AW266" i="3"/>
  <c r="G266" i="6" s="1"/>
  <c r="AX266" i="3" s="1"/>
  <c r="AU200" i="3"/>
  <c r="AU422" i="3"/>
  <c r="AS833" i="3"/>
  <c r="AS1209" i="3"/>
  <c r="AS1239" i="3" s="1"/>
  <c r="AW293" i="3"/>
  <c r="AU298" i="3"/>
  <c r="AW634" i="3"/>
  <c r="AX634" i="3" s="1"/>
  <c r="AU253" i="3"/>
  <c r="AW538" i="3"/>
  <c r="AX538" i="3" s="1"/>
  <c r="AU57" i="3"/>
  <c r="AW52" i="3"/>
  <c r="AU224" i="3"/>
  <c r="AU232" i="3" s="1"/>
  <c r="AW219" i="3"/>
  <c r="AW229" i="3" s="1"/>
  <c r="AU437" i="3"/>
  <c r="AW435" i="3"/>
  <c r="AS509" i="3"/>
  <c r="AW541" i="3"/>
  <c r="AU543" i="3"/>
  <c r="AO1241" i="3"/>
  <c r="AO1244" i="3"/>
  <c r="E1172" i="6"/>
  <c r="I1172" i="6"/>
  <c r="I65" i="6"/>
  <c r="E65" i="6"/>
  <c r="E83" i="6"/>
  <c r="I83" i="6"/>
  <c r="AU325" i="3"/>
  <c r="AU365" i="3" s="1"/>
  <c r="I286" i="6"/>
  <c r="M286" i="6" s="1"/>
  <c r="AW248" i="3"/>
  <c r="AU618" i="3"/>
  <c r="AX446" i="3"/>
  <c r="AW385" i="3"/>
  <c r="AU387" i="3"/>
  <c r="AS1018" i="3"/>
  <c r="AR368" i="3"/>
  <c r="AR512" i="3" s="1"/>
  <c r="I99" i="6"/>
  <c r="E99" i="6"/>
  <c r="N558" i="6"/>
  <c r="U558" i="6" s="1"/>
  <c r="AS782" i="3"/>
  <c r="AS363" i="3"/>
  <c r="E45" i="6"/>
  <c r="G133" i="6"/>
  <c r="I133" i="6" s="1"/>
  <c r="AU503" i="3"/>
  <c r="AW573" i="3"/>
  <c r="AX573" i="3" s="1"/>
  <c r="AU1157" i="3"/>
  <c r="Z64" i="5" s="1"/>
  <c r="AB64" i="5" s="1"/>
  <c r="AW1153" i="3"/>
  <c r="AS1205" i="3"/>
  <c r="E1178" i="6"/>
  <c r="I1178" i="6"/>
  <c r="E63" i="6"/>
  <c r="I63" i="6"/>
  <c r="I119" i="6"/>
  <c r="E119" i="6"/>
  <c r="I173" i="6"/>
  <c r="E173" i="6"/>
  <c r="AS635" i="3"/>
  <c r="AS364" i="3"/>
  <c r="AU548" i="3"/>
  <c r="AW546" i="3"/>
  <c r="E47" i="6"/>
  <c r="I47" i="6"/>
  <c r="AU457" i="3"/>
  <c r="AW455" i="3"/>
  <c r="AS752" i="3"/>
  <c r="G221" i="6"/>
  <c r="G230" i="6" s="1"/>
  <c r="E230" i="6" s="1"/>
  <c r="I45" i="6"/>
  <c r="AR802" i="3"/>
  <c r="AR784" i="3"/>
  <c r="AR805" i="3" s="1"/>
  <c r="AR892" i="3" s="1"/>
  <c r="AR1220" i="3" s="1"/>
  <c r="AW450" i="3"/>
  <c r="AU452" i="3"/>
  <c r="AW243" i="3"/>
  <c r="AW244" i="3" s="1"/>
  <c r="AU324" i="3"/>
  <c r="AW277" i="3"/>
  <c r="AS636" i="3"/>
  <c r="AR1214" i="3"/>
  <c r="E191" i="6"/>
  <c r="I191" i="6"/>
  <c r="AU608" i="3"/>
  <c r="AW606" i="3"/>
  <c r="AW275" i="3"/>
  <c r="AU280" i="3"/>
  <c r="AU229" i="3"/>
  <c r="AU502" i="3"/>
  <c r="Z15" i="5" s="1"/>
  <c r="AB15" i="5" s="1"/>
  <c r="G506" i="6"/>
  <c r="AW289" i="3"/>
  <c r="AW611" i="3"/>
  <c r="AU613" i="3"/>
  <c r="AW531" i="3"/>
  <c r="AU533" i="3"/>
  <c r="AU462" i="3"/>
  <c r="AW460" i="3"/>
  <c r="AS203" i="3"/>
  <c r="I38" i="6"/>
  <c r="E38" i="6"/>
  <c r="I182" i="6"/>
  <c r="E182" i="6"/>
  <c r="I1165" i="6"/>
  <c r="E1165" i="6"/>
  <c r="I110" i="6"/>
  <c r="E110" i="6"/>
  <c r="Z65" i="5"/>
  <c r="AB65" i="5" s="1"/>
  <c r="Z54" i="5"/>
  <c r="AB54" i="5" s="1"/>
  <c r="Z67" i="5"/>
  <c r="AB67" i="5" s="1"/>
  <c r="G597" i="6"/>
  <c r="AX597" i="3" s="1"/>
  <c r="AX596" i="3"/>
  <c r="AT639" i="3"/>
  <c r="AT1219" i="3" s="1"/>
  <c r="AT368" i="3"/>
  <c r="AT512" i="3" s="1"/>
  <c r="N223" i="6"/>
  <c r="U223" i="6" s="1"/>
  <c r="M223" i="6"/>
  <c r="R223" i="6" s="1"/>
  <c r="M27" i="6"/>
  <c r="R27" i="6" s="1"/>
  <c r="N27" i="6"/>
  <c r="U27" i="6" s="1"/>
  <c r="AW75" i="3"/>
  <c r="G70" i="6"/>
  <c r="AX70" i="3" s="1"/>
  <c r="G604" i="6"/>
  <c r="AX604" i="3" s="1"/>
  <c r="I602" i="6"/>
  <c r="AX602" i="3"/>
  <c r="G410" i="6"/>
  <c r="AX410" i="3" s="1"/>
  <c r="AW412" i="3"/>
  <c r="G381" i="6"/>
  <c r="AX381" i="3" s="1"/>
  <c r="AW506" i="3"/>
  <c r="I25" i="6"/>
  <c r="E25" i="6"/>
  <c r="M1164" i="6"/>
  <c r="Q1164" i="6" s="1"/>
  <c r="N1164" i="6"/>
  <c r="T1164" i="6" s="1"/>
  <c r="M54" i="6"/>
  <c r="R54" i="6" s="1"/>
  <c r="N54" i="6"/>
  <c r="U54" i="6" s="1"/>
  <c r="M108" i="6"/>
  <c r="R108" i="6" s="1"/>
  <c r="N108" i="6"/>
  <c r="U108" i="6" s="1"/>
  <c r="AX616" i="3"/>
  <c r="AW618" i="3"/>
  <c r="AX618" i="3" s="1"/>
  <c r="G617" i="6"/>
  <c r="AW120" i="3"/>
  <c r="AX581" i="3"/>
  <c r="AW583" i="3"/>
  <c r="AX583" i="3" s="1"/>
  <c r="G582" i="6"/>
  <c r="M126" i="6"/>
  <c r="R126" i="6" s="1"/>
  <c r="N126" i="6"/>
  <c r="U126" i="6" s="1"/>
  <c r="AW231" i="3"/>
  <c r="G214" i="6"/>
  <c r="AX214" i="3" s="1"/>
  <c r="G1177" i="6"/>
  <c r="AW1162" i="3"/>
  <c r="I1159" i="6"/>
  <c r="E1159" i="6"/>
  <c r="G1160" i="6"/>
  <c r="M496" i="6"/>
  <c r="N496" i="6"/>
  <c r="AW147" i="3"/>
  <c r="G142" i="6"/>
  <c r="I43" i="6"/>
  <c r="G48" i="6"/>
  <c r="E48" i="6" s="1"/>
  <c r="E43" i="6"/>
  <c r="M297" i="6"/>
  <c r="R297" i="6" s="1"/>
  <c r="R298" i="6" s="1"/>
  <c r="N297" i="6"/>
  <c r="U297" i="6" s="1"/>
  <c r="AW111" i="3"/>
  <c r="G106" i="6"/>
  <c r="AX106" i="3" s="1"/>
  <c r="N1171" i="6"/>
  <c r="T1171" i="6" s="1"/>
  <c r="M1171" i="6"/>
  <c r="Q1171" i="6" s="1"/>
  <c r="F8" i="49"/>
  <c r="M288" i="6"/>
  <c r="R288" i="6" s="1"/>
  <c r="R289" i="6" s="1"/>
  <c r="N288" i="6"/>
  <c r="U288" i="6" s="1"/>
  <c r="M1111" i="6"/>
  <c r="Q1111" i="6" s="1"/>
  <c r="N1111" i="6"/>
  <c r="T1111" i="6" s="1"/>
  <c r="G395" i="6"/>
  <c r="AW397" i="3"/>
  <c r="G239" i="6"/>
  <c r="AW21" i="3"/>
  <c r="N197" i="6"/>
  <c r="T197" i="6" s="1"/>
  <c r="M197" i="6"/>
  <c r="Q197" i="6" s="1"/>
  <c r="AW129" i="3"/>
  <c r="G124" i="6"/>
  <c r="AX124" i="3" s="1"/>
  <c r="AX551" i="3"/>
  <c r="G552" i="6"/>
  <c r="AW553" i="3"/>
  <c r="AX553" i="3" s="1"/>
  <c r="N538" i="6"/>
  <c r="U538" i="6" s="1"/>
  <c r="U539" i="6" s="1"/>
  <c r="M538" i="6"/>
  <c r="Q538" i="6" s="1"/>
  <c r="Q635" i="6" s="1"/>
  <c r="Q637" i="6" s="1"/>
  <c r="G527" i="6"/>
  <c r="AX526" i="3"/>
  <c r="AW528" i="3"/>
  <c r="AX528" i="3" s="1"/>
  <c r="G480" i="6"/>
  <c r="AW482" i="3"/>
  <c r="G415" i="6"/>
  <c r="AX415" i="3" s="1"/>
  <c r="AW417" i="3"/>
  <c r="AW578" i="3"/>
  <c r="AX578" i="3" s="1"/>
  <c r="AX576" i="3"/>
  <c r="G577" i="6"/>
  <c r="N137" i="6"/>
  <c r="U137" i="6" s="1"/>
  <c r="M137" i="6"/>
  <c r="R137" i="6" s="1"/>
  <c r="M162" i="6"/>
  <c r="R162" i="6" s="1"/>
  <c r="R165" i="6" s="1"/>
  <c r="N162" i="6"/>
  <c r="U162" i="6" s="1"/>
  <c r="U165" i="6" s="1"/>
  <c r="G178" i="6"/>
  <c r="AX178" i="3" s="1"/>
  <c r="AW183" i="3"/>
  <c r="AW174" i="3"/>
  <c r="G169" i="6"/>
  <c r="AX212" i="3"/>
  <c r="I212" i="6"/>
  <c r="E212" i="6"/>
  <c r="G490" i="6"/>
  <c r="AX490" i="3" s="1"/>
  <c r="M90" i="6"/>
  <c r="R90" i="6" s="1"/>
  <c r="N90" i="6"/>
  <c r="U90" i="6" s="1"/>
  <c r="AX621" i="3"/>
  <c r="AW623" i="3"/>
  <c r="AX623" i="3" s="1"/>
  <c r="G622" i="6"/>
  <c r="L38" i="52"/>
  <c r="G30" i="6"/>
  <c r="AW422" i="3"/>
  <c r="G420" i="6"/>
  <c r="G574" i="6"/>
  <c r="AX574" i="3" s="1"/>
  <c r="I572" i="6"/>
  <c r="AX572" i="3"/>
  <c r="G97" i="6"/>
  <c r="AX97" i="3" s="1"/>
  <c r="AW102" i="3"/>
  <c r="I20" i="6"/>
  <c r="G202" i="6"/>
  <c r="E20" i="6"/>
  <c r="G440" i="6"/>
  <c r="AX440" i="3" s="1"/>
  <c r="AW442" i="3"/>
  <c r="AW165" i="3"/>
  <c r="G160" i="6"/>
  <c r="AX160" i="3" s="1"/>
  <c r="G537" i="6"/>
  <c r="AX536" i="3"/>
  <c r="N261" i="6"/>
  <c r="U261" i="6" s="1"/>
  <c r="U262" i="6" s="1"/>
  <c r="M261" i="6"/>
  <c r="R261" i="6" s="1"/>
  <c r="R262" i="6" s="1"/>
  <c r="AX523" i="3"/>
  <c r="G635" i="6"/>
  <c r="I523" i="6"/>
  <c r="E79" i="6"/>
  <c r="I79" i="6"/>
  <c r="G84" i="6"/>
  <c r="E84" i="6" s="1"/>
  <c r="AW407" i="3"/>
  <c r="G405" i="6"/>
  <c r="AX405" i="3" s="1"/>
  <c r="M146" i="6"/>
  <c r="R146" i="6" s="1"/>
  <c r="N146" i="6"/>
  <c r="U146" i="6" s="1"/>
  <c r="I557" i="6"/>
  <c r="G559" i="6"/>
  <c r="AX559" i="3" s="1"/>
  <c r="AX557" i="3"/>
  <c r="G88" i="6"/>
  <c r="AX88" i="3" s="1"/>
  <c r="AW93" i="3"/>
  <c r="AX566" i="3"/>
  <c r="G567" i="6"/>
  <c r="AW568" i="3"/>
  <c r="AX568" i="3" s="1"/>
  <c r="N135" i="6"/>
  <c r="U135" i="6" s="1"/>
  <c r="M135" i="6"/>
  <c r="R135" i="6" s="1"/>
  <c r="G380" i="6"/>
  <c r="AX380" i="3" s="1"/>
  <c r="AW382" i="3"/>
  <c r="G302" i="6"/>
  <c r="AX302" i="3" s="1"/>
  <c r="AW307" i="3"/>
  <c r="N171" i="6"/>
  <c r="U171" i="6" s="1"/>
  <c r="M171" i="6"/>
  <c r="R171" i="6" s="1"/>
  <c r="G187" i="6"/>
  <c r="AX187" i="3" s="1"/>
  <c r="AW192" i="3"/>
  <c r="I284" i="6"/>
  <c r="E284" i="6"/>
  <c r="G289" i="6"/>
  <c r="E289" i="6" s="1"/>
  <c r="D7" i="49"/>
  <c r="G1163" i="6"/>
  <c r="AX1146" i="3" s="1"/>
  <c r="AW1150" i="3"/>
  <c r="AW427" i="3"/>
  <c r="G425" i="6"/>
  <c r="AX425" i="3" s="1"/>
  <c r="AW563" i="3"/>
  <c r="AX563" i="3" s="1"/>
  <c r="G562" i="6"/>
  <c r="AX561" i="3"/>
  <c r="AT805" i="3"/>
  <c r="AT892" i="3" s="1"/>
  <c r="AT802" i="3"/>
  <c r="AW472" i="3"/>
  <c r="G470" i="6"/>
  <c r="AX470" i="3" s="1"/>
  <c r="M56" i="6"/>
  <c r="R56" i="6" s="1"/>
  <c r="N56" i="6"/>
  <c r="U56" i="6" s="1"/>
  <c r="G592" i="6"/>
  <c r="AW593" i="3"/>
  <c r="AX593" i="3" s="1"/>
  <c r="AX591" i="3"/>
  <c r="AW588" i="3"/>
  <c r="AX588" i="3" s="1"/>
  <c r="AX586" i="3"/>
  <c r="G587" i="6"/>
  <c r="M315" i="6"/>
  <c r="R315" i="6" s="1"/>
  <c r="R316" i="6" s="1"/>
  <c r="N315" i="6"/>
  <c r="U315" i="6" s="1"/>
  <c r="N117" i="6"/>
  <c r="U117" i="6" s="1"/>
  <c r="M117" i="6"/>
  <c r="R117" i="6" s="1"/>
  <c r="G210" i="6"/>
  <c r="AW215" i="3"/>
  <c r="M92" i="6"/>
  <c r="R92" i="6" s="1"/>
  <c r="N92" i="6"/>
  <c r="U92" i="6" s="1"/>
  <c r="I1212" i="6"/>
  <c r="G1213" i="6"/>
  <c r="E1213" i="6" s="1"/>
  <c r="E1212" i="6"/>
  <c r="G495" i="6"/>
  <c r="AX495" i="3" s="1"/>
  <c r="AW497" i="3"/>
  <c r="N306" i="6"/>
  <c r="U306" i="6" s="1"/>
  <c r="M306" i="6"/>
  <c r="R306" i="6" s="1"/>
  <c r="R307" i="6" s="1"/>
  <c r="AW628" i="3"/>
  <c r="AX628" i="3" s="1"/>
  <c r="AX626" i="3"/>
  <c r="G627" i="6"/>
  <c r="AQ1244" i="3"/>
  <c r="AQ1241" i="3"/>
  <c r="N196" i="6"/>
  <c r="T196" i="6" s="1"/>
  <c r="M196" i="6"/>
  <c r="Q196" i="6" s="1"/>
  <c r="N1110" i="6"/>
  <c r="T1110" i="6" s="1"/>
  <c r="M1110" i="6"/>
  <c r="Q1110" i="6" s="1"/>
  <c r="AW432" i="3"/>
  <c r="G430" i="6"/>
  <c r="AX430" i="3" s="1"/>
  <c r="M128" i="6"/>
  <c r="R128" i="6" s="1"/>
  <c r="N128" i="6"/>
  <c r="U128" i="6" s="1"/>
  <c r="E18" i="6"/>
  <c r="G201" i="6"/>
  <c r="I18" i="6"/>
  <c r="AX445" i="3"/>
  <c r="I445" i="6"/>
  <c r="G447" i="6"/>
  <c r="M36" i="6"/>
  <c r="R36" i="6" s="1"/>
  <c r="N36" i="6"/>
  <c r="U36" i="6" s="1"/>
  <c r="G522" i="6"/>
  <c r="AX521" i="3"/>
  <c r="N279" i="6"/>
  <c r="U279" i="6" s="1"/>
  <c r="M279" i="6"/>
  <c r="R279" i="6" s="1"/>
  <c r="R280" i="6" s="1"/>
  <c r="G390" i="6"/>
  <c r="AX390" i="3" s="1"/>
  <c r="AW392" i="3"/>
  <c r="M180" i="6"/>
  <c r="R180" i="6" s="1"/>
  <c r="N180" i="6"/>
  <c r="U180" i="6" s="1"/>
  <c r="G16" i="6"/>
  <c r="AX16" i="3" s="1"/>
  <c r="M29" i="6"/>
  <c r="R29" i="6" s="1"/>
  <c r="N29" i="6"/>
  <c r="U29" i="6" s="1"/>
  <c r="N189" i="6"/>
  <c r="U189" i="6" s="1"/>
  <c r="M189" i="6"/>
  <c r="R189" i="6" s="1"/>
  <c r="N144" i="6"/>
  <c r="U144" i="6" s="1"/>
  <c r="M144" i="6"/>
  <c r="R144" i="6" s="1"/>
  <c r="AX61" i="3"/>
  <c r="I61" i="6"/>
  <c r="G66" i="6"/>
  <c r="E66" i="6" s="1"/>
  <c r="E61" i="6"/>
  <c r="G1109" i="6"/>
  <c r="AW1096" i="3"/>
  <c r="Q44" i="20"/>
  <c r="M12" i="20" s="1"/>
  <c r="Q45" i="20"/>
  <c r="Y105" i="6"/>
  <c r="Y106" i="6" s="1"/>
  <c r="W104" i="6"/>
  <c r="AB104" i="6" s="1"/>
  <c r="L67" i="14"/>
  <c r="J68" i="14" s="1"/>
  <c r="N155" i="6" l="1"/>
  <c r="U155" i="6" s="1"/>
  <c r="U156" i="6" s="1"/>
  <c r="M153" i="6"/>
  <c r="R153" i="6" s="1"/>
  <c r="R156" i="6" s="1"/>
  <c r="AW323" i="3"/>
  <c r="AW325" i="3"/>
  <c r="AW365" i="3" s="1"/>
  <c r="AU327" i="3"/>
  <c r="AW156" i="3"/>
  <c r="G151" i="6"/>
  <c r="AX151" i="3" s="1"/>
  <c r="G63" i="49"/>
  <c r="AS1121" i="3"/>
  <c r="AS1208" i="3" s="1"/>
  <c r="AS1238" i="3" s="1"/>
  <c r="AW507" i="3"/>
  <c r="G491" i="6"/>
  <c r="I491" i="6" s="1"/>
  <c r="M491" i="6" s="1"/>
  <c r="AW492" i="3"/>
  <c r="N798" i="6"/>
  <c r="T798" i="6" s="1"/>
  <c r="G400" i="6"/>
  <c r="AX400" i="3" s="1"/>
  <c r="N1005" i="6"/>
  <c r="I465" i="6"/>
  <c r="I467" i="6" s="1"/>
  <c r="AX465" i="3"/>
  <c r="AX202" i="3"/>
  <c r="G1187" i="6"/>
  <c r="E1187" i="6" s="1"/>
  <c r="AX39" i="3"/>
  <c r="N286" i="6"/>
  <c r="U286" i="6" s="1"/>
  <c r="AU635" i="3"/>
  <c r="Z20" i="5" s="1"/>
  <c r="AB20" i="5" s="1"/>
  <c r="M1005" i="6"/>
  <c r="Q1005" i="6" s="1"/>
  <c r="G257" i="6"/>
  <c r="AX257" i="3" s="1"/>
  <c r="AW501" i="3"/>
  <c r="AW487" i="3"/>
  <c r="G475" i="6"/>
  <c r="I475" i="6" s="1"/>
  <c r="AU203" i="3"/>
  <c r="AS368" i="3"/>
  <c r="AS512" i="3" s="1"/>
  <c r="AU512" i="3" s="1"/>
  <c r="AW512" i="3" s="1"/>
  <c r="AW316" i="3"/>
  <c r="AW271" i="3"/>
  <c r="M34" i="6"/>
  <c r="Q34" i="6" s="1"/>
  <c r="I39" i="6"/>
  <c r="AS639" i="3"/>
  <c r="AS1219" i="3" s="1"/>
  <c r="AU1219" i="3" s="1"/>
  <c r="AW1219" i="3" s="1"/>
  <c r="G248" i="6"/>
  <c r="AX248" i="3" s="1"/>
  <c r="G1106" i="6"/>
  <c r="E1106" i="6" s="1"/>
  <c r="AS1214" i="3"/>
  <c r="AW502" i="3"/>
  <c r="AW632" i="3"/>
  <c r="I1105" i="6"/>
  <c r="I1106" i="6" s="1"/>
  <c r="E1105" i="6"/>
  <c r="AW1089" i="3"/>
  <c r="AW253" i="3"/>
  <c r="N45" i="6"/>
  <c r="U45" i="6" s="1"/>
  <c r="AX115" i="3"/>
  <c r="AU363" i="3"/>
  <c r="Z11" i="5" s="1"/>
  <c r="AB11" i="5" s="1"/>
  <c r="N252" i="6"/>
  <c r="U252" i="6" s="1"/>
  <c r="U253" i="6" s="1"/>
  <c r="M252" i="6"/>
  <c r="R252" i="6" s="1"/>
  <c r="R253" i="6" s="1"/>
  <c r="AX447" i="3"/>
  <c r="N34" i="6"/>
  <c r="T34" i="6" s="1"/>
  <c r="T39" i="6" s="1"/>
  <c r="AW200" i="3"/>
  <c r="M45" i="6"/>
  <c r="R45" i="6" s="1"/>
  <c r="AU509" i="3"/>
  <c r="E133" i="6"/>
  <c r="AX506" i="3"/>
  <c r="AW462" i="3"/>
  <c r="G460" i="6"/>
  <c r="G277" i="6"/>
  <c r="AX277" i="3" s="1"/>
  <c r="AW324" i="3"/>
  <c r="AR923" i="3"/>
  <c r="N1172" i="6"/>
  <c r="T1172" i="6" s="1"/>
  <c r="M1172" i="6"/>
  <c r="Q1172" i="6" s="1"/>
  <c r="AW503" i="3"/>
  <c r="G138" i="6"/>
  <c r="E138" i="6" s="1"/>
  <c r="N110" i="6"/>
  <c r="U110" i="6" s="1"/>
  <c r="U111" i="6" s="1"/>
  <c r="M110" i="6"/>
  <c r="R110" i="6" s="1"/>
  <c r="R111" i="6" s="1"/>
  <c r="AU636" i="3"/>
  <c r="Z21" i="5" s="1"/>
  <c r="AB21" i="5" s="1"/>
  <c r="AU364" i="3"/>
  <c r="Z12" i="5" s="1"/>
  <c r="AB12" i="5" s="1"/>
  <c r="AX221" i="3"/>
  <c r="M63" i="6"/>
  <c r="R63" i="6" s="1"/>
  <c r="N63" i="6"/>
  <c r="U63" i="6" s="1"/>
  <c r="G219" i="6"/>
  <c r="G229" i="6" s="1"/>
  <c r="E229" i="6" s="1"/>
  <c r="AW224" i="3"/>
  <c r="AW232" i="3" s="1"/>
  <c r="N65" i="6"/>
  <c r="U65" i="6" s="1"/>
  <c r="M65" i="6"/>
  <c r="R65" i="6" s="1"/>
  <c r="G385" i="6"/>
  <c r="AW387" i="3"/>
  <c r="AW280" i="3"/>
  <c r="G275" i="6"/>
  <c r="AW457" i="3"/>
  <c r="G455" i="6"/>
  <c r="M119" i="6"/>
  <c r="R119" i="6" s="1"/>
  <c r="R120" i="6" s="1"/>
  <c r="N119" i="6"/>
  <c r="U119" i="6" s="1"/>
  <c r="U120" i="6" s="1"/>
  <c r="AS802" i="3"/>
  <c r="AS784" i="3"/>
  <c r="AS805" i="3" s="1"/>
  <c r="AS892" i="3" s="1"/>
  <c r="AS1220" i="3" s="1"/>
  <c r="AW298" i="3"/>
  <c r="G293" i="6"/>
  <c r="G435" i="6"/>
  <c r="AW437" i="3"/>
  <c r="M173" i="6"/>
  <c r="R173" i="6" s="1"/>
  <c r="R174" i="6" s="1"/>
  <c r="N173" i="6"/>
  <c r="U173" i="6" s="1"/>
  <c r="U174" i="6" s="1"/>
  <c r="AX133" i="3"/>
  <c r="AX531" i="3"/>
  <c r="AW533" i="3"/>
  <c r="AX533" i="3" s="1"/>
  <c r="G532" i="6"/>
  <c r="G243" i="6"/>
  <c r="AW326" i="3"/>
  <c r="AW366" i="3" s="1"/>
  <c r="M1178" i="6"/>
  <c r="Q1178" i="6" s="1"/>
  <c r="N1178" i="6"/>
  <c r="T1178" i="6" s="1"/>
  <c r="G1170" i="6"/>
  <c r="AW1157" i="3"/>
  <c r="M1165" i="6"/>
  <c r="Q1165" i="6" s="1"/>
  <c r="N1165" i="6"/>
  <c r="T1165" i="6" s="1"/>
  <c r="G612" i="6"/>
  <c r="AX611" i="3"/>
  <c r="AW613" i="3"/>
  <c r="AX613" i="3" s="1"/>
  <c r="AX606" i="3"/>
  <c r="AW608" i="3"/>
  <c r="AX608" i="3" s="1"/>
  <c r="G607" i="6"/>
  <c r="AW452" i="3"/>
  <c r="G450" i="6"/>
  <c r="G547" i="6"/>
  <c r="AW548" i="3"/>
  <c r="AX548" i="3" s="1"/>
  <c r="AX546" i="3"/>
  <c r="N99" i="6"/>
  <c r="U99" i="6" s="1"/>
  <c r="U102" i="6" s="1"/>
  <c r="M99" i="6"/>
  <c r="R99" i="6" s="1"/>
  <c r="R102" i="6" s="1"/>
  <c r="N83" i="6"/>
  <c r="U83" i="6" s="1"/>
  <c r="U84" i="6" s="1"/>
  <c r="M83" i="6"/>
  <c r="R83" i="6" s="1"/>
  <c r="R84" i="6" s="1"/>
  <c r="AW543" i="3"/>
  <c r="AX543" i="3" s="1"/>
  <c r="G542" i="6"/>
  <c r="AX541" i="3"/>
  <c r="N182" i="6"/>
  <c r="U182" i="6" s="1"/>
  <c r="U183" i="6" s="1"/>
  <c r="M182" i="6"/>
  <c r="R182" i="6" s="1"/>
  <c r="R183" i="6" s="1"/>
  <c r="M191" i="6"/>
  <c r="R191" i="6" s="1"/>
  <c r="R192" i="6" s="1"/>
  <c r="N191" i="6"/>
  <c r="U191" i="6" s="1"/>
  <c r="U192" i="6" s="1"/>
  <c r="I221" i="6"/>
  <c r="I230" i="6" s="1"/>
  <c r="E221" i="6"/>
  <c r="AW57" i="3"/>
  <c r="G52" i="6"/>
  <c r="N38" i="6"/>
  <c r="U38" i="6" s="1"/>
  <c r="U39" i="6" s="1"/>
  <c r="M38" i="6"/>
  <c r="R38" i="6" s="1"/>
  <c r="R39" i="6" s="1"/>
  <c r="M47" i="6"/>
  <c r="R47" i="6" s="1"/>
  <c r="N47" i="6"/>
  <c r="U47" i="6" s="1"/>
  <c r="AB24" i="5"/>
  <c r="AB26" i="5" s="1"/>
  <c r="G599" i="6"/>
  <c r="AX599" i="3" s="1"/>
  <c r="I597" i="6"/>
  <c r="U147" i="6"/>
  <c r="R138" i="6"/>
  <c r="U30" i="6"/>
  <c r="U138" i="6"/>
  <c r="AX289" i="3"/>
  <c r="R30" i="6"/>
  <c r="AX84" i="3"/>
  <c r="AX230" i="3"/>
  <c r="AX48" i="3"/>
  <c r="R147" i="6"/>
  <c r="AT1220" i="3"/>
  <c r="AT923" i="3"/>
  <c r="E16" i="6"/>
  <c r="I16" i="6"/>
  <c r="G21" i="6"/>
  <c r="AX21" i="3" s="1"/>
  <c r="G432" i="6"/>
  <c r="AX432" i="3" s="1"/>
  <c r="I430" i="6"/>
  <c r="G594" i="6"/>
  <c r="AX594" i="3" s="1"/>
  <c r="I592" i="6"/>
  <c r="AX592" i="3"/>
  <c r="G472" i="6"/>
  <c r="AX472" i="3" s="1"/>
  <c r="I470" i="6"/>
  <c r="E187" i="6"/>
  <c r="I187" i="6"/>
  <c r="G192" i="6"/>
  <c r="E192" i="6" s="1"/>
  <c r="I567" i="6"/>
  <c r="G569" i="6"/>
  <c r="AX569" i="3" s="1"/>
  <c r="AX567" i="3"/>
  <c r="E88" i="6"/>
  <c r="G93" i="6"/>
  <c r="E93" i="6" s="1"/>
  <c r="I88" i="6"/>
  <c r="G407" i="6"/>
  <c r="AX407" i="3" s="1"/>
  <c r="I405" i="6"/>
  <c r="M79" i="6"/>
  <c r="N79" i="6"/>
  <c r="I84" i="6"/>
  <c r="E202" i="6"/>
  <c r="G102" i="6"/>
  <c r="E102" i="6" s="1"/>
  <c r="I97" i="6"/>
  <c r="E97" i="6"/>
  <c r="I178" i="6"/>
  <c r="G183" i="6"/>
  <c r="E183" i="6" s="1"/>
  <c r="E178" i="6"/>
  <c r="AX480" i="3"/>
  <c r="I480" i="6"/>
  <c r="G482" i="6"/>
  <c r="AX482" i="3" s="1"/>
  <c r="AX395" i="3"/>
  <c r="G397" i="6"/>
  <c r="AX397" i="3" s="1"/>
  <c r="I395" i="6"/>
  <c r="I142" i="6"/>
  <c r="G147" i="6"/>
  <c r="E147" i="6" s="1"/>
  <c r="E142" i="6"/>
  <c r="Q496" i="6"/>
  <c r="M506" i="6"/>
  <c r="E1177" i="6"/>
  <c r="I1177" i="6"/>
  <c r="G1179" i="6"/>
  <c r="AX1162" i="3" s="1"/>
  <c r="U129" i="6"/>
  <c r="G584" i="6"/>
  <c r="AX584" i="3" s="1"/>
  <c r="I582" i="6"/>
  <c r="AX582" i="3"/>
  <c r="I617" i="6"/>
  <c r="G619" i="6"/>
  <c r="AX619" i="3" s="1"/>
  <c r="AX617" i="3"/>
  <c r="R57" i="6"/>
  <c r="G412" i="6"/>
  <c r="AX412" i="3" s="1"/>
  <c r="I410" i="6"/>
  <c r="G392" i="6"/>
  <c r="AX392" i="3" s="1"/>
  <c r="I390" i="6"/>
  <c r="I201" i="6"/>
  <c r="M18" i="6"/>
  <c r="N18" i="6"/>
  <c r="I562" i="6"/>
  <c r="G564" i="6"/>
  <c r="AX564" i="3" s="1"/>
  <c r="AX562" i="3"/>
  <c r="AX66" i="3"/>
  <c r="F7" i="49"/>
  <c r="D10" i="49"/>
  <c r="D12" i="49"/>
  <c r="AW631" i="3"/>
  <c r="AX631" i="3" s="1"/>
  <c r="E160" i="6"/>
  <c r="G165" i="6"/>
  <c r="E165" i="6" s="1"/>
  <c r="I160" i="6"/>
  <c r="N20" i="6"/>
  <c r="M20" i="6"/>
  <c r="I202" i="6"/>
  <c r="G624" i="6"/>
  <c r="AX624" i="3" s="1"/>
  <c r="I622" i="6"/>
  <c r="AX622" i="3"/>
  <c r="R93" i="6"/>
  <c r="N212" i="6"/>
  <c r="M212" i="6"/>
  <c r="M133" i="6"/>
  <c r="N133" i="6"/>
  <c r="I138" i="6"/>
  <c r="G129" i="6"/>
  <c r="E129" i="6" s="1"/>
  <c r="I124" i="6"/>
  <c r="E124" i="6"/>
  <c r="I1160" i="6"/>
  <c r="R129" i="6"/>
  <c r="G316" i="6"/>
  <c r="E316" i="6" s="1"/>
  <c r="I311" i="6"/>
  <c r="E311" i="6"/>
  <c r="E70" i="6"/>
  <c r="I70" i="6"/>
  <c r="G75" i="6"/>
  <c r="E75" i="6" s="1"/>
  <c r="I66" i="6"/>
  <c r="N61" i="6"/>
  <c r="M61" i="6"/>
  <c r="E266" i="6"/>
  <c r="I266" i="6"/>
  <c r="G271" i="6"/>
  <c r="E271" i="6" s="1"/>
  <c r="AX201" i="3"/>
  <c r="E201" i="6"/>
  <c r="I1213" i="6"/>
  <c r="AX210" i="3"/>
  <c r="G215" i="6"/>
  <c r="E210" i="6"/>
  <c r="I210" i="6"/>
  <c r="M284" i="6"/>
  <c r="N284" i="6"/>
  <c r="I289" i="6"/>
  <c r="I302" i="6"/>
  <c r="G307" i="6"/>
  <c r="E307" i="6" s="1"/>
  <c r="E302" i="6"/>
  <c r="I635" i="6"/>
  <c r="N523" i="6"/>
  <c r="M523" i="6"/>
  <c r="I440" i="6"/>
  <c r="G442" i="6"/>
  <c r="AX442" i="3" s="1"/>
  <c r="M572" i="6"/>
  <c r="I574" i="6"/>
  <c r="N572" i="6"/>
  <c r="E30" i="6"/>
  <c r="AX30" i="3"/>
  <c r="AX169" i="3"/>
  <c r="E169" i="6"/>
  <c r="I169" i="6"/>
  <c r="G174" i="6"/>
  <c r="E174" i="6" s="1"/>
  <c r="I577" i="6"/>
  <c r="G579" i="6"/>
  <c r="AX579" i="3" s="1"/>
  <c r="AX577" i="3"/>
  <c r="I415" i="6"/>
  <c r="G417" i="6"/>
  <c r="AX417" i="3" s="1"/>
  <c r="G111" i="6"/>
  <c r="E111" i="6" s="1"/>
  <c r="E106" i="6"/>
  <c r="I106" i="6"/>
  <c r="M43" i="6"/>
  <c r="I48" i="6"/>
  <c r="N43" i="6"/>
  <c r="AX1143" i="3"/>
  <c r="G61" i="2"/>
  <c r="E1160" i="6"/>
  <c r="G231" i="6"/>
  <c r="E231" i="6" s="1"/>
  <c r="I214" i="6"/>
  <c r="E214" i="6"/>
  <c r="AX1196" i="3"/>
  <c r="N602" i="6"/>
  <c r="M602" i="6"/>
  <c r="I604" i="6"/>
  <c r="AX1092" i="3"/>
  <c r="G1113" i="6"/>
  <c r="E1109" i="6"/>
  <c r="I1109" i="6"/>
  <c r="I522" i="6"/>
  <c r="G524" i="6"/>
  <c r="AX522" i="3"/>
  <c r="N445" i="6"/>
  <c r="I447" i="6"/>
  <c r="M445" i="6"/>
  <c r="I627" i="6"/>
  <c r="G629" i="6"/>
  <c r="AX629" i="3" s="1"/>
  <c r="AX627" i="3"/>
  <c r="I495" i="6"/>
  <c r="G497" i="6"/>
  <c r="AX497" i="3" s="1"/>
  <c r="I587" i="6"/>
  <c r="G589" i="6"/>
  <c r="AX589" i="3" s="1"/>
  <c r="AX587" i="3"/>
  <c r="G427" i="6"/>
  <c r="AX427" i="3" s="1"/>
  <c r="I425" i="6"/>
  <c r="G1167" i="6"/>
  <c r="I1163" i="6"/>
  <c r="E1163" i="6"/>
  <c r="AX485" i="3"/>
  <c r="I485" i="6"/>
  <c r="G487" i="6"/>
  <c r="G382" i="6"/>
  <c r="I380" i="6"/>
  <c r="M557" i="6"/>
  <c r="I559" i="6"/>
  <c r="N557" i="6"/>
  <c r="I537" i="6"/>
  <c r="G539" i="6"/>
  <c r="AX539" i="3" s="1"/>
  <c r="AX537" i="3"/>
  <c r="AX420" i="3"/>
  <c r="I420" i="6"/>
  <c r="G422" i="6"/>
  <c r="AX422" i="3" s="1"/>
  <c r="U93" i="6"/>
  <c r="I490" i="6"/>
  <c r="G529" i="6"/>
  <c r="AX529" i="3" s="1"/>
  <c r="I527" i="6"/>
  <c r="AX527" i="3"/>
  <c r="G554" i="6"/>
  <c r="AX554" i="3" s="1"/>
  <c r="I552" i="6"/>
  <c r="AX552" i="3"/>
  <c r="AX239" i="3"/>
  <c r="E239" i="6"/>
  <c r="I239" i="6"/>
  <c r="AX142" i="3"/>
  <c r="T496" i="6"/>
  <c r="N506" i="6"/>
  <c r="AX1160" i="3"/>
  <c r="U57" i="6"/>
  <c r="N25" i="6"/>
  <c r="M25" i="6"/>
  <c r="I30" i="6"/>
  <c r="I381" i="6"/>
  <c r="C12" i="20"/>
  <c r="G12" i="20" s="1"/>
  <c r="M13" i="20"/>
  <c r="C13" i="20"/>
  <c r="G13" i="20" s="1"/>
  <c r="Q46" i="20"/>
  <c r="L68" i="14"/>
  <c r="J69" i="14" s="1"/>
  <c r="K68" i="14"/>
  <c r="K67" i="14"/>
  <c r="Y107" i="6"/>
  <c r="Y108" i="6" s="1"/>
  <c r="AB16" i="5" l="1"/>
  <c r="AB22" i="5"/>
  <c r="I151" i="6"/>
  <c r="I156" i="6" s="1"/>
  <c r="AU368" i="3"/>
  <c r="E151" i="6"/>
  <c r="G323" i="6"/>
  <c r="E323" i="6" s="1"/>
  <c r="G156" i="6"/>
  <c r="E156" i="6" s="1"/>
  <c r="AW203" i="3"/>
  <c r="AW327" i="3"/>
  <c r="G507" i="6"/>
  <c r="AX507" i="3" s="1"/>
  <c r="G505" i="6"/>
  <c r="AX505" i="3" s="1"/>
  <c r="G492" i="6"/>
  <c r="AX492" i="3" s="1"/>
  <c r="AX491" i="3"/>
  <c r="N491" i="6"/>
  <c r="U491" i="6" s="1"/>
  <c r="G402" i="6"/>
  <c r="AX402" i="3" s="1"/>
  <c r="I400" i="6"/>
  <c r="G325" i="6"/>
  <c r="AX325" i="3" s="1"/>
  <c r="T1005" i="6"/>
  <c r="M465" i="6"/>
  <c r="M467" i="6" s="1"/>
  <c r="N465" i="6"/>
  <c r="N467" i="6" s="1"/>
  <c r="G1188" i="6"/>
  <c r="AX1171" i="3" s="1"/>
  <c r="I1187" i="6"/>
  <c r="I1188" i="6" s="1"/>
  <c r="AX1170" i="3"/>
  <c r="AX475" i="3"/>
  <c r="G477" i="6"/>
  <c r="AX477" i="3" s="1"/>
  <c r="G501" i="6"/>
  <c r="AX501" i="3" s="1"/>
  <c r="I257" i="6"/>
  <c r="N257" i="6" s="1"/>
  <c r="AW635" i="3"/>
  <c r="G262" i="6"/>
  <c r="E262" i="6" s="1"/>
  <c r="E257" i="6"/>
  <c r="AX487" i="3"/>
  <c r="N1105" i="6"/>
  <c r="N1106" i="6" s="1"/>
  <c r="G120" i="6"/>
  <c r="E120" i="6" s="1"/>
  <c r="M1105" i="6"/>
  <c r="Q1105" i="6" s="1"/>
  <c r="Q1106" i="6" s="1"/>
  <c r="AW363" i="3"/>
  <c r="U48" i="6"/>
  <c r="E115" i="6"/>
  <c r="AX1089" i="3"/>
  <c r="E248" i="6"/>
  <c r="G51" i="2"/>
  <c r="N51" i="2" s="1"/>
  <c r="G253" i="6"/>
  <c r="E253" i="6" s="1"/>
  <c r="I248" i="6"/>
  <c r="I253" i="6" s="1"/>
  <c r="R48" i="6"/>
  <c r="I115" i="6"/>
  <c r="AU639" i="3"/>
  <c r="R66" i="6"/>
  <c r="Z22" i="5"/>
  <c r="AW509" i="3"/>
  <c r="G633" i="6"/>
  <c r="AX633" i="3" s="1"/>
  <c r="G502" i="6"/>
  <c r="AX502" i="3" s="1"/>
  <c r="AX293" i="3"/>
  <c r="E293" i="6"/>
  <c r="G298" i="6"/>
  <c r="I293" i="6"/>
  <c r="G609" i="6"/>
  <c r="AX609" i="3" s="1"/>
  <c r="AX607" i="3"/>
  <c r="I607" i="6"/>
  <c r="AW364" i="3"/>
  <c r="AW636" i="3"/>
  <c r="Z16" i="5"/>
  <c r="N39" i="6"/>
  <c r="AX138" i="3"/>
  <c r="M221" i="6"/>
  <c r="R221" i="6" s="1"/>
  <c r="R224" i="6" s="1"/>
  <c r="N221" i="6"/>
  <c r="U221" i="6" s="1"/>
  <c r="U224" i="6" s="1"/>
  <c r="AX385" i="3"/>
  <c r="G324" i="6"/>
  <c r="AX324" i="3" s="1"/>
  <c r="I277" i="6"/>
  <c r="E277" i="6"/>
  <c r="I460" i="6"/>
  <c r="I501" i="6" s="1"/>
  <c r="AX460" i="3"/>
  <c r="G462" i="6"/>
  <c r="AX462" i="3" s="1"/>
  <c r="AX455" i="3"/>
  <c r="I455" i="6"/>
  <c r="G457" i="6"/>
  <c r="AX457" i="3" s="1"/>
  <c r="AR1223" i="3"/>
  <c r="AR1227" i="3" s="1"/>
  <c r="AR1229" i="3" s="1"/>
  <c r="AR1234" i="3" s="1"/>
  <c r="AR933" i="3"/>
  <c r="AR936" i="3" s="1"/>
  <c r="AR939" i="3" s="1"/>
  <c r="I385" i="6"/>
  <c r="G387" i="6"/>
  <c r="AX387" i="3" s="1"/>
  <c r="G503" i="6"/>
  <c r="AX503" i="3" s="1"/>
  <c r="G544" i="6"/>
  <c r="AX544" i="3" s="1"/>
  <c r="I542" i="6"/>
  <c r="AX542" i="3"/>
  <c r="AX243" i="3"/>
  <c r="I243" i="6"/>
  <c r="I244" i="6" s="1"/>
  <c r="E243" i="6"/>
  <c r="G326" i="6"/>
  <c r="G366" i="6" s="1"/>
  <c r="G244" i="6"/>
  <c r="AX244" i="3" s="1"/>
  <c r="I547" i="6"/>
  <c r="G549" i="6"/>
  <c r="AX549" i="3" s="1"/>
  <c r="AX547" i="3"/>
  <c r="I612" i="6"/>
  <c r="G614" i="6"/>
  <c r="AX614" i="3" s="1"/>
  <c r="AX612" i="3"/>
  <c r="AX1153" i="3"/>
  <c r="I1170" i="6"/>
  <c r="E1170" i="6"/>
  <c r="G1174" i="6"/>
  <c r="E219" i="6"/>
  <c r="AX219" i="3"/>
  <c r="G224" i="6"/>
  <c r="G232" i="6" s="1"/>
  <c r="I219" i="6"/>
  <c r="I229" i="6" s="1"/>
  <c r="AS923" i="3"/>
  <c r="AX52" i="3"/>
  <c r="E52" i="6"/>
  <c r="G57" i="6"/>
  <c r="E57" i="6" s="1"/>
  <c r="I52" i="6"/>
  <c r="G200" i="6"/>
  <c r="AX200" i="3" s="1"/>
  <c r="G534" i="6"/>
  <c r="AX534" i="3" s="1"/>
  <c r="I532" i="6"/>
  <c r="AX532" i="3"/>
  <c r="M39" i="6"/>
  <c r="AX450" i="3"/>
  <c r="I450" i="6"/>
  <c r="G452" i="6"/>
  <c r="AX452" i="3" s="1"/>
  <c r="I435" i="6"/>
  <c r="G437" i="6"/>
  <c r="AX437" i="3" s="1"/>
  <c r="AX275" i="3"/>
  <c r="E275" i="6"/>
  <c r="G280" i="6"/>
  <c r="E280" i="6" s="1"/>
  <c r="I275" i="6"/>
  <c r="U66" i="6"/>
  <c r="AX435" i="3"/>
  <c r="N61" i="2"/>
  <c r="M597" i="6"/>
  <c r="M599" i="6" s="1"/>
  <c r="I599" i="6"/>
  <c r="N597" i="6"/>
  <c r="U597" i="6" s="1"/>
  <c r="U599" i="6" s="1"/>
  <c r="AX111" i="3"/>
  <c r="AX231" i="3"/>
  <c r="AX174" i="3"/>
  <c r="AX316" i="3"/>
  <c r="G632" i="6"/>
  <c r="AX632" i="3" s="1"/>
  <c r="AX271" i="3"/>
  <c r="AX129" i="3"/>
  <c r="AX147" i="3"/>
  <c r="AX93" i="3"/>
  <c r="AX192" i="3"/>
  <c r="AX75" i="3"/>
  <c r="AX165" i="3"/>
  <c r="AX102" i="3"/>
  <c r="AX183" i="3"/>
  <c r="AX229" i="3"/>
  <c r="M381" i="6"/>
  <c r="R381" i="6" s="1"/>
  <c r="N381" i="6"/>
  <c r="T25" i="6"/>
  <c r="T30" i="6" s="1"/>
  <c r="N30" i="6"/>
  <c r="I554" i="6"/>
  <c r="N552" i="6"/>
  <c r="M552" i="6"/>
  <c r="M490" i="6"/>
  <c r="N490" i="6"/>
  <c r="U490" i="6" s="1"/>
  <c r="I492" i="6"/>
  <c r="N380" i="6"/>
  <c r="I382" i="6"/>
  <c r="M380" i="6"/>
  <c r="M425" i="6"/>
  <c r="I427" i="6"/>
  <c r="N425" i="6"/>
  <c r="M587" i="6"/>
  <c r="N587" i="6"/>
  <c r="I589" i="6"/>
  <c r="I497" i="6"/>
  <c r="N495" i="6"/>
  <c r="M495" i="6"/>
  <c r="T445" i="6"/>
  <c r="T447" i="6" s="1"/>
  <c r="N447" i="6"/>
  <c r="M522" i="6"/>
  <c r="M524" i="6" s="1"/>
  <c r="N522" i="6"/>
  <c r="N524" i="6" s="1"/>
  <c r="N106" i="6"/>
  <c r="I111" i="6"/>
  <c r="M106" i="6"/>
  <c r="I417" i="6"/>
  <c r="M415" i="6"/>
  <c r="N415" i="6"/>
  <c r="I174" i="6"/>
  <c r="M169" i="6"/>
  <c r="N169" i="6"/>
  <c r="U523" i="6"/>
  <c r="U635" i="6" s="1"/>
  <c r="N635" i="6"/>
  <c r="M289" i="6"/>
  <c r="Q284" i="6"/>
  <c r="T61" i="6"/>
  <c r="T66" i="6" s="1"/>
  <c r="N66" i="6"/>
  <c r="M138" i="6"/>
  <c r="Q133" i="6"/>
  <c r="Q138" i="6" s="1"/>
  <c r="M160" i="6"/>
  <c r="I165" i="6"/>
  <c r="N160" i="6"/>
  <c r="AX307" i="3"/>
  <c r="R18" i="6"/>
  <c r="M201" i="6"/>
  <c r="N390" i="6"/>
  <c r="I392" i="6"/>
  <c r="M390" i="6"/>
  <c r="I147" i="6"/>
  <c r="M142" i="6"/>
  <c r="N142" i="6"/>
  <c r="N84" i="6"/>
  <c r="T79" i="6"/>
  <c r="T84" i="6" s="1"/>
  <c r="N567" i="6"/>
  <c r="I569" i="6"/>
  <c r="M567" i="6"/>
  <c r="T506" i="6"/>
  <c r="T507" i="6"/>
  <c r="N239" i="6"/>
  <c r="M239" i="6"/>
  <c r="I422" i="6"/>
  <c r="N420" i="6"/>
  <c r="M420" i="6"/>
  <c r="N559" i="6"/>
  <c r="U557" i="6"/>
  <c r="U559" i="6" s="1"/>
  <c r="Q445" i="6"/>
  <c r="Q447" i="6" s="1"/>
  <c r="M447" i="6"/>
  <c r="E1113" i="6"/>
  <c r="G52" i="2"/>
  <c r="T43" i="6"/>
  <c r="T48" i="6" s="1"/>
  <c r="N48" i="6"/>
  <c r="N577" i="6"/>
  <c r="M577" i="6"/>
  <c r="I579" i="6"/>
  <c r="R572" i="6"/>
  <c r="R574" i="6" s="1"/>
  <c r="M574" i="6"/>
  <c r="I215" i="6"/>
  <c r="M210" i="6"/>
  <c r="N210" i="6"/>
  <c r="I75" i="6"/>
  <c r="M70" i="6"/>
  <c r="N70" i="6"/>
  <c r="R212" i="6"/>
  <c r="R20" i="6"/>
  <c r="R202" i="6" s="1"/>
  <c r="M202" i="6"/>
  <c r="E1179" i="6"/>
  <c r="G64" i="2"/>
  <c r="Q506" i="6"/>
  <c r="Q507" i="6"/>
  <c r="N395" i="6"/>
  <c r="M395" i="6"/>
  <c r="I397" i="6"/>
  <c r="N480" i="6"/>
  <c r="M480" i="6"/>
  <c r="I482" i="6"/>
  <c r="Q79" i="6"/>
  <c r="M84" i="6"/>
  <c r="M187" i="6"/>
  <c r="I192" i="6"/>
  <c r="N187" i="6"/>
  <c r="AT1223" i="3"/>
  <c r="AT1227" i="3" s="1"/>
  <c r="AT1229" i="3" s="1"/>
  <c r="AT1234" i="3" s="1"/>
  <c r="AT933" i="3"/>
  <c r="AT936" i="3" s="1"/>
  <c r="AT939" i="3" s="1"/>
  <c r="N1163" i="6"/>
  <c r="U1163" i="6" s="1"/>
  <c r="U1167" i="6" s="1"/>
  <c r="I1167" i="6"/>
  <c r="M1163" i="6"/>
  <c r="Q1163" i="6" s="1"/>
  <c r="AX524" i="3"/>
  <c r="R602" i="6"/>
  <c r="R604" i="6" s="1"/>
  <c r="M604" i="6"/>
  <c r="N574" i="6"/>
  <c r="U572" i="6"/>
  <c r="U574" i="6" s="1"/>
  <c r="W34" i="6"/>
  <c r="AB34" i="6" s="1"/>
  <c r="Q39" i="6"/>
  <c r="W39" i="6" s="1"/>
  <c r="AB39" i="6" s="1"/>
  <c r="I51" i="2"/>
  <c r="N311" i="6"/>
  <c r="M311" i="6"/>
  <c r="I316" i="6"/>
  <c r="I61" i="2"/>
  <c r="N622" i="6"/>
  <c r="I624" i="6"/>
  <c r="M622" i="6"/>
  <c r="U20" i="6"/>
  <c r="U202" i="6" s="1"/>
  <c r="N202" i="6"/>
  <c r="M410" i="6"/>
  <c r="I412" i="6"/>
  <c r="N410" i="6"/>
  <c r="I584" i="6"/>
  <c r="M582" i="6"/>
  <c r="N582" i="6"/>
  <c r="N1177" i="6"/>
  <c r="M1177" i="6"/>
  <c r="I1179" i="6"/>
  <c r="R491" i="6"/>
  <c r="N178" i="6"/>
  <c r="M178" i="6"/>
  <c r="I183" i="6"/>
  <c r="I102" i="6"/>
  <c r="N97" i="6"/>
  <c r="M97" i="6"/>
  <c r="Q97" i="6" s="1"/>
  <c r="N405" i="6"/>
  <c r="M405" i="6"/>
  <c r="I407" i="6"/>
  <c r="I594" i="6"/>
  <c r="N592" i="6"/>
  <c r="M592" i="6"/>
  <c r="N430" i="6"/>
  <c r="M430" i="6"/>
  <c r="I432" i="6"/>
  <c r="E21" i="6"/>
  <c r="Q25" i="6"/>
  <c r="M30" i="6"/>
  <c r="I477" i="6"/>
  <c r="M475" i="6"/>
  <c r="N475" i="6"/>
  <c r="I529" i="6"/>
  <c r="M527" i="6"/>
  <c r="N527" i="6"/>
  <c r="I539" i="6"/>
  <c r="N537" i="6"/>
  <c r="M537" i="6"/>
  <c r="R557" i="6"/>
  <c r="R559" i="6" s="1"/>
  <c r="M559" i="6"/>
  <c r="N485" i="6"/>
  <c r="I487" i="6"/>
  <c r="M485" i="6"/>
  <c r="E1167" i="6"/>
  <c r="G62" i="2"/>
  <c r="N627" i="6"/>
  <c r="I629" i="6"/>
  <c r="M627" i="6"/>
  <c r="N1109" i="6"/>
  <c r="T1109" i="6" s="1"/>
  <c r="T1138" i="6" s="1"/>
  <c r="T1225" i="6" s="1"/>
  <c r="T1257" i="6" s="1"/>
  <c r="I1113" i="6"/>
  <c r="M1109" i="6"/>
  <c r="Q1109" i="6" s="1"/>
  <c r="N604" i="6"/>
  <c r="U602" i="6"/>
  <c r="U604" i="6" s="1"/>
  <c r="M214" i="6"/>
  <c r="N214" i="6"/>
  <c r="I231" i="6"/>
  <c r="M48" i="6"/>
  <c r="Q43" i="6"/>
  <c r="M440" i="6"/>
  <c r="I442" i="6"/>
  <c r="N440" i="6"/>
  <c r="M635" i="6"/>
  <c r="R523" i="6"/>
  <c r="R635" i="6" s="1"/>
  <c r="I524" i="6"/>
  <c r="AX382" i="3"/>
  <c r="N302" i="6"/>
  <c r="I307" i="6"/>
  <c r="M302" i="6"/>
  <c r="N289" i="6"/>
  <c r="U284" i="6"/>
  <c r="U289" i="6" s="1"/>
  <c r="AX1150" i="3"/>
  <c r="AX215" i="3"/>
  <c r="E215" i="6"/>
  <c r="N266" i="6"/>
  <c r="M266" i="6"/>
  <c r="I271" i="6"/>
  <c r="Q61" i="6"/>
  <c r="M66" i="6"/>
  <c r="AX1096" i="3"/>
  <c r="N124" i="6"/>
  <c r="M124" i="6"/>
  <c r="I129" i="6"/>
  <c r="N138" i="6"/>
  <c r="T133" i="6"/>
  <c r="T138" i="6" s="1"/>
  <c r="U212" i="6"/>
  <c r="F10" i="49"/>
  <c r="F12" i="49"/>
  <c r="I564" i="6"/>
  <c r="M562" i="6"/>
  <c r="N562" i="6"/>
  <c r="N201" i="6"/>
  <c r="U18" i="6"/>
  <c r="M617" i="6"/>
  <c r="I619" i="6"/>
  <c r="N617" i="6"/>
  <c r="I505" i="6"/>
  <c r="I507" i="6"/>
  <c r="M88" i="6"/>
  <c r="I93" i="6"/>
  <c r="N88" i="6"/>
  <c r="I472" i="6"/>
  <c r="M470" i="6"/>
  <c r="N470" i="6"/>
  <c r="I21" i="6"/>
  <c r="N16" i="6"/>
  <c r="M16" i="6"/>
  <c r="L783" i="3"/>
  <c r="L803" i="3" s="1"/>
  <c r="L782" i="3"/>
  <c r="D14" i="20"/>
  <c r="C14" i="20"/>
  <c r="E14" i="20"/>
  <c r="M14" i="20"/>
  <c r="O14" i="20"/>
  <c r="L69" i="14"/>
  <c r="J70" i="14" s="1"/>
  <c r="K69" i="14"/>
  <c r="Y109" i="6"/>
  <c r="Y110" i="6" s="1"/>
  <c r="W108" i="6"/>
  <c r="AB108" i="6" s="1"/>
  <c r="N151" i="6" l="1"/>
  <c r="T151" i="6" s="1"/>
  <c r="T156" i="6" s="1"/>
  <c r="M151" i="6"/>
  <c r="Q151" i="6" s="1"/>
  <c r="Q156" i="6" s="1"/>
  <c r="AX156" i="3"/>
  <c r="AW368" i="3"/>
  <c r="N505" i="6"/>
  <c r="M400" i="6"/>
  <c r="Q400" i="6" s="1"/>
  <c r="Q402" i="6" s="1"/>
  <c r="N400" i="6"/>
  <c r="N402" i="6" s="1"/>
  <c r="I402" i="6"/>
  <c r="AX262" i="3"/>
  <c r="R465" i="6"/>
  <c r="R467" i="6" s="1"/>
  <c r="I323" i="6"/>
  <c r="E1188" i="6"/>
  <c r="G66" i="2"/>
  <c r="U465" i="6"/>
  <c r="U467" i="6" s="1"/>
  <c r="AX120" i="3"/>
  <c r="G16" i="2"/>
  <c r="I262" i="6"/>
  <c r="M257" i="6"/>
  <c r="Q257" i="6" s="1"/>
  <c r="Q262" i="6" s="1"/>
  <c r="M1106" i="6"/>
  <c r="G17" i="2"/>
  <c r="AW639" i="3"/>
  <c r="M115" i="6"/>
  <c r="Q115" i="6" s="1"/>
  <c r="Q120" i="6" s="1"/>
  <c r="I200" i="6"/>
  <c r="G636" i="6"/>
  <c r="AX635" i="3" s="1"/>
  <c r="T1105" i="6"/>
  <c r="T1106" i="6" s="1"/>
  <c r="M248" i="6"/>
  <c r="Q248" i="6" s="1"/>
  <c r="Q253" i="6" s="1"/>
  <c r="N248" i="6"/>
  <c r="T248" i="6" s="1"/>
  <c r="T253" i="6" s="1"/>
  <c r="E200" i="6"/>
  <c r="E325" i="6"/>
  <c r="I120" i="6"/>
  <c r="N115" i="6"/>
  <c r="N120" i="6" s="1"/>
  <c r="G363" i="6"/>
  <c r="E363" i="6" s="1"/>
  <c r="AX323" i="3"/>
  <c r="G327" i="6"/>
  <c r="E327" i="6" s="1"/>
  <c r="G365" i="6"/>
  <c r="AX365" i="3" s="1"/>
  <c r="E244" i="6"/>
  <c r="AX253" i="3"/>
  <c r="N230" i="6"/>
  <c r="G364" i="6"/>
  <c r="E324" i="6"/>
  <c r="I534" i="6"/>
  <c r="N532" i="6"/>
  <c r="M532" i="6"/>
  <c r="M1170" i="6"/>
  <c r="Q1170" i="6" s="1"/>
  <c r="N1170" i="6"/>
  <c r="U1170" i="6" s="1"/>
  <c r="U1174" i="6" s="1"/>
  <c r="I1174" i="6"/>
  <c r="AR1241" i="3"/>
  <c r="AR1244" i="3"/>
  <c r="N293" i="6"/>
  <c r="I298" i="6"/>
  <c r="M293" i="6"/>
  <c r="M325" i="6" s="1"/>
  <c r="M365" i="6" s="1"/>
  <c r="M230" i="6"/>
  <c r="M435" i="6"/>
  <c r="I437" i="6"/>
  <c r="N435" i="6"/>
  <c r="AS1223" i="3"/>
  <c r="AS1227" i="3" s="1"/>
  <c r="AS1229" i="3" s="1"/>
  <c r="AS1234" i="3" s="1"/>
  <c r="AS933" i="3"/>
  <c r="AS936" i="3" s="1"/>
  <c r="AS939" i="3" s="1"/>
  <c r="E298" i="6"/>
  <c r="AX298" i="3"/>
  <c r="M547" i="6"/>
  <c r="N547" i="6"/>
  <c r="I549" i="6"/>
  <c r="N455" i="6"/>
  <c r="I457" i="6"/>
  <c r="M455" i="6"/>
  <c r="G203" i="6"/>
  <c r="G509" i="6"/>
  <c r="AX509" i="3" s="1"/>
  <c r="I452" i="6"/>
  <c r="N450" i="6"/>
  <c r="M450" i="6"/>
  <c r="E224" i="6"/>
  <c r="AX224" i="3"/>
  <c r="M607" i="6"/>
  <c r="N607" i="6"/>
  <c r="I609" i="6"/>
  <c r="I387" i="6"/>
  <c r="N385" i="6"/>
  <c r="M385" i="6"/>
  <c r="M243" i="6"/>
  <c r="I326" i="6"/>
  <c r="N243" i="6"/>
  <c r="N244" i="6" s="1"/>
  <c r="M219" i="6"/>
  <c r="M229" i="6" s="1"/>
  <c r="I224" i="6"/>
  <c r="N219" i="6"/>
  <c r="N229" i="6" s="1"/>
  <c r="M542" i="6"/>
  <c r="N542" i="6"/>
  <c r="I544" i="6"/>
  <c r="I633" i="6"/>
  <c r="I636" i="6" s="1"/>
  <c r="I502" i="6"/>
  <c r="I325" i="6"/>
  <c r="I365" i="6" s="1"/>
  <c r="N275" i="6"/>
  <c r="I280" i="6"/>
  <c r="M275" i="6"/>
  <c r="I614" i="6"/>
  <c r="N612" i="6"/>
  <c r="M612" i="6"/>
  <c r="I462" i="6"/>
  <c r="N460" i="6"/>
  <c r="M460" i="6"/>
  <c r="AX280" i="3"/>
  <c r="G63" i="2"/>
  <c r="E1174" i="6"/>
  <c r="AX1157" i="3"/>
  <c r="I324" i="6"/>
  <c r="N277" i="6"/>
  <c r="M277" i="6"/>
  <c r="M324" i="6" s="1"/>
  <c r="I503" i="6"/>
  <c r="G637" i="6"/>
  <c r="G23" i="2" s="1"/>
  <c r="N52" i="6"/>
  <c r="I57" i="6"/>
  <c r="M52" i="6"/>
  <c r="E326" i="6"/>
  <c r="AX326" i="3"/>
  <c r="AX57" i="3"/>
  <c r="N62" i="2"/>
  <c r="E61" i="2"/>
  <c r="E51" i="2"/>
  <c r="N599" i="6"/>
  <c r="R597" i="6"/>
  <c r="R599" i="6" s="1"/>
  <c r="M505" i="6"/>
  <c r="M61" i="2"/>
  <c r="R505" i="6"/>
  <c r="M507" i="6"/>
  <c r="N492" i="6"/>
  <c r="M129" i="6"/>
  <c r="Q124" i="6"/>
  <c r="Q129" i="6" s="1"/>
  <c r="E232" i="6"/>
  <c r="AX232" i="3"/>
  <c r="N307" i="6"/>
  <c r="U302" i="6"/>
  <c r="U307" i="6" s="1"/>
  <c r="N629" i="6"/>
  <c r="N632" i="6" s="1"/>
  <c r="T627" i="6"/>
  <c r="T629" i="6" s="1"/>
  <c r="I632" i="6"/>
  <c r="R475" i="6"/>
  <c r="R477" i="6" s="1"/>
  <c r="M477" i="6"/>
  <c r="N432" i="6"/>
  <c r="T430" i="6"/>
  <c r="T432" i="6" s="1"/>
  <c r="T405" i="6"/>
  <c r="T407" i="6" s="1"/>
  <c r="N407" i="6"/>
  <c r="M102" i="6"/>
  <c r="Q1177" i="6"/>
  <c r="Q1179" i="6" s="1"/>
  <c r="M1179" i="6"/>
  <c r="U582" i="6"/>
  <c r="U584" i="6" s="1"/>
  <c r="N584" i="6"/>
  <c r="AT1241" i="3"/>
  <c r="AT1244" i="3"/>
  <c r="R480" i="6"/>
  <c r="R482" i="6" s="1"/>
  <c r="M482" i="6"/>
  <c r="T395" i="6"/>
  <c r="T397" i="6" s="1"/>
  <c r="N397" i="6"/>
  <c r="N64" i="2"/>
  <c r="Q210" i="6"/>
  <c r="M215" i="6"/>
  <c r="N52" i="2"/>
  <c r="M422" i="6"/>
  <c r="Q420" i="6"/>
  <c r="Q422" i="6" s="1"/>
  <c r="I66" i="2"/>
  <c r="N392" i="6"/>
  <c r="T390" i="6"/>
  <c r="T392" i="6" s="1"/>
  <c r="T160" i="6"/>
  <c r="T165" i="6" s="1"/>
  <c r="N165" i="6"/>
  <c r="T106" i="6"/>
  <c r="T111" i="6" s="1"/>
  <c r="N111" i="6"/>
  <c r="I16" i="2"/>
  <c r="U552" i="6"/>
  <c r="U554" i="6" s="1"/>
  <c r="N554" i="6"/>
  <c r="M21" i="6"/>
  <c r="Q16" i="6"/>
  <c r="N472" i="6"/>
  <c r="U470" i="6"/>
  <c r="U472" i="6" s="1"/>
  <c r="T88" i="6"/>
  <c r="T93" i="6" s="1"/>
  <c r="N93" i="6"/>
  <c r="N564" i="6"/>
  <c r="U562" i="6"/>
  <c r="U564" i="6" s="1"/>
  <c r="T124" i="6"/>
  <c r="T129" i="6" s="1"/>
  <c r="N129" i="6"/>
  <c r="Q302" i="6"/>
  <c r="Q307" i="6" s="1"/>
  <c r="M307" i="6"/>
  <c r="M442" i="6"/>
  <c r="Q440" i="6"/>
  <c r="Q442" i="6" s="1"/>
  <c r="R214" i="6"/>
  <c r="R231" i="6" s="1"/>
  <c r="M231" i="6"/>
  <c r="N487" i="6"/>
  <c r="U485" i="6"/>
  <c r="U487" i="6" s="1"/>
  <c r="M539" i="6"/>
  <c r="Q537" i="6"/>
  <c r="W25" i="6"/>
  <c r="AB25" i="6" s="1"/>
  <c r="Q30" i="6"/>
  <c r="W30" i="6" s="1"/>
  <c r="AB30" i="6" s="1"/>
  <c r="Q178" i="6"/>
  <c r="Q183" i="6" s="1"/>
  <c r="M183" i="6"/>
  <c r="T1177" i="6"/>
  <c r="T1179" i="6" s="1"/>
  <c r="N1179" i="6"/>
  <c r="M584" i="6"/>
  <c r="R582" i="6"/>
  <c r="R584" i="6" s="1"/>
  <c r="N624" i="6"/>
  <c r="U622" i="6"/>
  <c r="U624" i="6" s="1"/>
  <c r="Q311" i="6"/>
  <c r="Q316" i="6" s="1"/>
  <c r="M316" i="6"/>
  <c r="I62" i="2"/>
  <c r="Q187" i="6"/>
  <c r="Q192" i="6" s="1"/>
  <c r="M192" i="6"/>
  <c r="N482" i="6"/>
  <c r="U480" i="6"/>
  <c r="U482" i="6" s="1"/>
  <c r="T70" i="6"/>
  <c r="T75" i="6" s="1"/>
  <c r="N75" i="6"/>
  <c r="T420" i="6"/>
  <c r="T422" i="6" s="1"/>
  <c r="N422" i="6"/>
  <c r="M51" i="2"/>
  <c r="R567" i="6"/>
  <c r="R569" i="6" s="1"/>
  <c r="M569" i="6"/>
  <c r="T142" i="6"/>
  <c r="T147" i="6" s="1"/>
  <c r="N147" i="6"/>
  <c r="R522" i="6"/>
  <c r="T495" i="6"/>
  <c r="N497" i="6"/>
  <c r="U587" i="6"/>
  <c r="U589" i="6" s="1"/>
  <c r="N589" i="6"/>
  <c r="M382" i="6"/>
  <c r="R380" i="6"/>
  <c r="R490" i="6"/>
  <c r="R492" i="6" s="1"/>
  <c r="M492" i="6"/>
  <c r="N21" i="6"/>
  <c r="T16" i="6"/>
  <c r="R470" i="6"/>
  <c r="R472" i="6" s="1"/>
  <c r="M472" i="6"/>
  <c r="M619" i="6"/>
  <c r="R617" i="6"/>
  <c r="R619" i="6" s="1"/>
  <c r="M271" i="6"/>
  <c r="Q266" i="6"/>
  <c r="Q271" i="6" s="1"/>
  <c r="Q627" i="6"/>
  <c r="Q629" i="6" s="1"/>
  <c r="M629" i="6"/>
  <c r="M632" i="6" s="1"/>
  <c r="R485" i="6"/>
  <c r="R487" i="6" s="1"/>
  <c r="M487" i="6"/>
  <c r="U527" i="6"/>
  <c r="U529" i="6" s="1"/>
  <c r="N529" i="6"/>
  <c r="M594" i="6"/>
  <c r="R592" i="6"/>
  <c r="R594" i="6" s="1"/>
  <c r="T97" i="6"/>
  <c r="T102" i="6" s="1"/>
  <c r="N102" i="6"/>
  <c r="M412" i="6"/>
  <c r="Q410" i="6"/>
  <c r="Q412" i="6" s="1"/>
  <c r="R622" i="6"/>
  <c r="R624" i="6" s="1"/>
  <c r="M624" i="6"/>
  <c r="N316" i="6"/>
  <c r="U311" i="6"/>
  <c r="U316" i="6" s="1"/>
  <c r="N262" i="6"/>
  <c r="T257" i="6"/>
  <c r="T262" i="6" s="1"/>
  <c r="R230" i="6"/>
  <c r="Q70" i="6"/>
  <c r="M75" i="6"/>
  <c r="M579" i="6"/>
  <c r="R577" i="6"/>
  <c r="R579" i="6" s="1"/>
  <c r="Q239" i="6"/>
  <c r="T239" i="6"/>
  <c r="AX366" i="3"/>
  <c r="G15" i="2"/>
  <c r="E366" i="6"/>
  <c r="Q142" i="6"/>
  <c r="Q147" i="6" s="1"/>
  <c r="M147" i="6"/>
  <c r="M392" i="6"/>
  <c r="Q390" i="6"/>
  <c r="Q392" i="6" s="1"/>
  <c r="R21" i="6"/>
  <c r="R203" i="6" s="1"/>
  <c r="R201" i="6"/>
  <c r="M165" i="6"/>
  <c r="Q160" i="6"/>
  <c r="Q165" i="6" s="1"/>
  <c r="T169" i="6"/>
  <c r="T174" i="6" s="1"/>
  <c r="N174" i="6"/>
  <c r="T415" i="6"/>
  <c r="T417" i="6" s="1"/>
  <c r="N417" i="6"/>
  <c r="M111" i="6"/>
  <c r="Q106" i="6"/>
  <c r="M589" i="6"/>
  <c r="R587" i="6"/>
  <c r="R589" i="6" s="1"/>
  <c r="Q425" i="6"/>
  <c r="Q427" i="6" s="1"/>
  <c r="M427" i="6"/>
  <c r="R552" i="6"/>
  <c r="R554" i="6" s="1"/>
  <c r="M554" i="6"/>
  <c r="U381" i="6"/>
  <c r="U507" i="6" s="1"/>
  <c r="N507" i="6"/>
  <c r="Q88" i="6"/>
  <c r="M93" i="6"/>
  <c r="N619" i="6"/>
  <c r="U617" i="6"/>
  <c r="U619" i="6" s="1"/>
  <c r="U21" i="6"/>
  <c r="U203" i="6" s="1"/>
  <c r="U201" i="6"/>
  <c r="M564" i="6"/>
  <c r="R562" i="6"/>
  <c r="R564" i="6" s="1"/>
  <c r="U230" i="6"/>
  <c r="W61" i="6"/>
  <c r="AB61" i="6" s="1"/>
  <c r="Q66" i="6"/>
  <c r="W66" i="6" s="1"/>
  <c r="AB66" i="6" s="1"/>
  <c r="N271" i="6"/>
  <c r="T266" i="6"/>
  <c r="T271" i="6" s="1"/>
  <c r="T440" i="6"/>
  <c r="T442" i="6" s="1"/>
  <c r="N442" i="6"/>
  <c r="Q48" i="6"/>
  <c r="W48" i="6" s="1"/>
  <c r="AB48" i="6" s="1"/>
  <c r="W43" i="6"/>
  <c r="AB43" i="6" s="1"/>
  <c r="N231" i="6"/>
  <c r="U214" i="6"/>
  <c r="U231" i="6" s="1"/>
  <c r="I52" i="2"/>
  <c r="N539" i="6"/>
  <c r="T537" i="6"/>
  <c r="R527" i="6"/>
  <c r="R529" i="6" s="1"/>
  <c r="M529" i="6"/>
  <c r="U475" i="6"/>
  <c r="U477" i="6" s="1"/>
  <c r="N477" i="6"/>
  <c r="M432" i="6"/>
  <c r="Q430" i="6"/>
  <c r="Q432" i="6" s="1"/>
  <c r="U592" i="6"/>
  <c r="U594" i="6" s="1"/>
  <c r="N594" i="6"/>
  <c r="M407" i="6"/>
  <c r="Q405" i="6"/>
  <c r="Q407" i="6" s="1"/>
  <c r="T178" i="6"/>
  <c r="T183" i="6" s="1"/>
  <c r="N183" i="6"/>
  <c r="I64" i="2"/>
  <c r="T410" i="6"/>
  <c r="T412" i="6" s="1"/>
  <c r="N412" i="6"/>
  <c r="T187" i="6"/>
  <c r="T192" i="6" s="1"/>
  <c r="N192" i="6"/>
  <c r="W79" i="6"/>
  <c r="AB79" i="6" s="1"/>
  <c r="Q84" i="6"/>
  <c r="W84" i="6" s="1"/>
  <c r="AB84" i="6" s="1"/>
  <c r="M397" i="6"/>
  <c r="Q395" i="6"/>
  <c r="Q397" i="6" s="1"/>
  <c r="T210" i="6"/>
  <c r="N215" i="6"/>
  <c r="U577" i="6"/>
  <c r="U579" i="6" s="1"/>
  <c r="N579" i="6"/>
  <c r="U567" i="6"/>
  <c r="U569" i="6" s="1"/>
  <c r="N569" i="6"/>
  <c r="Q289" i="6"/>
  <c r="M174" i="6"/>
  <c r="Q169" i="6"/>
  <c r="Q174" i="6" s="1"/>
  <c r="Q415" i="6"/>
  <c r="Q417" i="6" s="1"/>
  <c r="M417" i="6"/>
  <c r="U522" i="6"/>
  <c r="M497" i="6"/>
  <c r="Q495" i="6"/>
  <c r="N427" i="6"/>
  <c r="T425" i="6"/>
  <c r="T427" i="6" s="1"/>
  <c r="U380" i="6"/>
  <c r="N382" i="6"/>
  <c r="U492" i="6"/>
  <c r="R507" i="6"/>
  <c r="L784" i="3"/>
  <c r="G14" i="20"/>
  <c r="Y111" i="6"/>
  <c r="W110" i="6"/>
  <c r="AB110" i="6" s="1"/>
  <c r="L70" i="14"/>
  <c r="J71" i="14" s="1"/>
  <c r="K70" i="14"/>
  <c r="N156" i="6" l="1"/>
  <c r="M156" i="6"/>
  <c r="M402" i="6"/>
  <c r="T400" i="6"/>
  <c r="T402" i="6" s="1"/>
  <c r="N16" i="2"/>
  <c r="M16" i="2" s="1"/>
  <c r="N17" i="2"/>
  <c r="N66" i="2"/>
  <c r="M66" i="2" s="1"/>
  <c r="I363" i="6"/>
  <c r="I13" i="2" s="1"/>
  <c r="E365" i="6"/>
  <c r="M262" i="6"/>
  <c r="M120" i="6"/>
  <c r="G22" i="2"/>
  <c r="M253" i="6"/>
  <c r="T115" i="6"/>
  <c r="T120" i="6" s="1"/>
  <c r="N253" i="6"/>
  <c r="N323" i="6"/>
  <c r="N200" i="6"/>
  <c r="G13" i="2"/>
  <c r="AX363" i="3"/>
  <c r="N63" i="2"/>
  <c r="G368" i="6"/>
  <c r="E368" i="6" s="1"/>
  <c r="AX327" i="3"/>
  <c r="G361" i="6"/>
  <c r="M502" i="6"/>
  <c r="G640" i="6"/>
  <c r="G1236" i="6" s="1"/>
  <c r="M364" i="6"/>
  <c r="AX636" i="3"/>
  <c r="I17" i="2"/>
  <c r="E17" i="2" s="1"/>
  <c r="N502" i="6"/>
  <c r="E203" i="6"/>
  <c r="I203" i="6"/>
  <c r="I637" i="6"/>
  <c r="I640" i="6" s="1"/>
  <c r="I232" i="6"/>
  <c r="N633" i="6"/>
  <c r="M462" i="6"/>
  <c r="R460" i="6"/>
  <c r="R462" i="6" s="1"/>
  <c r="AS1244" i="3"/>
  <c r="AS1241" i="3"/>
  <c r="N298" i="6"/>
  <c r="U293" i="6"/>
  <c r="U298" i="6" s="1"/>
  <c r="I366" i="6"/>
  <c r="I15" i="2" s="1"/>
  <c r="M57" i="6"/>
  <c r="Q52" i="6"/>
  <c r="Q200" i="6" s="1"/>
  <c r="U277" i="6"/>
  <c r="U324" i="6" s="1"/>
  <c r="U364" i="6" s="1"/>
  <c r="N324" i="6"/>
  <c r="N462" i="6"/>
  <c r="U460" i="6"/>
  <c r="U462" i="6" s="1"/>
  <c r="R542" i="6"/>
  <c r="R544" i="6" s="1"/>
  <c r="M544" i="6"/>
  <c r="M326" i="6"/>
  <c r="M366" i="6" s="1"/>
  <c r="R243" i="6"/>
  <c r="M549" i="6"/>
  <c r="R547" i="6"/>
  <c r="R549" i="6" s="1"/>
  <c r="U532" i="6"/>
  <c r="U534" i="6" s="1"/>
  <c r="N534" i="6"/>
  <c r="N325" i="6"/>
  <c r="N365" i="6" s="1"/>
  <c r="I364" i="6"/>
  <c r="N280" i="6"/>
  <c r="U275" i="6"/>
  <c r="N224" i="6"/>
  <c r="N232" i="6" s="1"/>
  <c r="T219" i="6"/>
  <c r="T224" i="6" s="1"/>
  <c r="M387" i="6"/>
  <c r="Q385" i="6"/>
  <c r="Q387" i="6" s="1"/>
  <c r="Q455" i="6"/>
  <c r="Q457" i="6" s="1"/>
  <c r="M457" i="6"/>
  <c r="Q435" i="6"/>
  <c r="Q437" i="6" s="1"/>
  <c r="M437" i="6"/>
  <c r="Q275" i="6"/>
  <c r="Q280" i="6" s="1"/>
  <c r="M280" i="6"/>
  <c r="M609" i="6"/>
  <c r="R607" i="6"/>
  <c r="R609" i="6" s="1"/>
  <c r="N549" i="6"/>
  <c r="U547" i="6"/>
  <c r="U549" i="6" s="1"/>
  <c r="T385" i="6"/>
  <c r="T387" i="6" s="1"/>
  <c r="N387" i="6"/>
  <c r="M503" i="6"/>
  <c r="U612" i="6"/>
  <c r="U614" i="6" s="1"/>
  <c r="N614" i="6"/>
  <c r="Q450" i="6"/>
  <c r="Q452" i="6" s="1"/>
  <c r="M452" i="6"/>
  <c r="I63" i="2"/>
  <c r="G14" i="2"/>
  <c r="AX364" i="3"/>
  <c r="E364" i="6"/>
  <c r="N544" i="6"/>
  <c r="U542" i="6"/>
  <c r="U544" i="6" s="1"/>
  <c r="M534" i="6"/>
  <c r="R532" i="6"/>
  <c r="R534" i="6" s="1"/>
  <c r="T52" i="6"/>
  <c r="T57" i="6" s="1"/>
  <c r="N57" i="6"/>
  <c r="N501" i="6"/>
  <c r="M323" i="6"/>
  <c r="M501" i="6"/>
  <c r="M633" i="6"/>
  <c r="I327" i="6"/>
  <c r="M224" i="6"/>
  <c r="M232" i="6" s="1"/>
  <c r="Q219" i="6"/>
  <c r="Q224" i="6" s="1"/>
  <c r="N452" i="6"/>
  <c r="T450" i="6"/>
  <c r="T452" i="6" s="1"/>
  <c r="T455" i="6"/>
  <c r="T457" i="6" s="1"/>
  <c r="N457" i="6"/>
  <c r="Q293" i="6"/>
  <c r="Q298" i="6" s="1"/>
  <c r="M298" i="6"/>
  <c r="N609" i="6"/>
  <c r="U607" i="6"/>
  <c r="U609" i="6" s="1"/>
  <c r="N437" i="6"/>
  <c r="T435" i="6"/>
  <c r="T437" i="6" s="1"/>
  <c r="M614" i="6"/>
  <c r="R612" i="6"/>
  <c r="R614" i="6" s="1"/>
  <c r="N503" i="6"/>
  <c r="I509" i="6"/>
  <c r="M244" i="6"/>
  <c r="M200" i="6"/>
  <c r="N326" i="6"/>
  <c r="N366" i="6" s="1"/>
  <c r="U243" i="6"/>
  <c r="E64" i="2"/>
  <c r="E52" i="2"/>
  <c r="E16" i="2"/>
  <c r="N15" i="2"/>
  <c r="E62" i="2"/>
  <c r="E66" i="2"/>
  <c r="N23" i="2"/>
  <c r="I22" i="2"/>
  <c r="R215" i="6"/>
  <c r="R232" i="6" s="1"/>
  <c r="R364" i="6"/>
  <c r="U215" i="6"/>
  <c r="U232" i="6" s="1"/>
  <c r="M62" i="2"/>
  <c r="U524" i="6"/>
  <c r="T539" i="6"/>
  <c r="T640" i="6" s="1"/>
  <c r="T632" i="6"/>
  <c r="Q244" i="6"/>
  <c r="W70" i="6"/>
  <c r="AB70" i="6" s="1"/>
  <c r="Q75" i="6"/>
  <c r="W75" i="6" s="1"/>
  <c r="AB75" i="6" s="1"/>
  <c r="T21" i="6"/>
  <c r="T497" i="6"/>
  <c r="Q21" i="6"/>
  <c r="W16" i="6"/>
  <c r="AB16" i="6" s="1"/>
  <c r="W88" i="6"/>
  <c r="AB88" i="6" s="1"/>
  <c r="Q93" i="6"/>
  <c r="W93" i="6" s="1"/>
  <c r="AB93" i="6" s="1"/>
  <c r="Q539" i="6"/>
  <c r="Q640" i="6" s="1"/>
  <c r="Q632" i="6"/>
  <c r="U505" i="6"/>
  <c r="Q215" i="6"/>
  <c r="U382" i="6"/>
  <c r="T323" i="6"/>
  <c r="T244" i="6"/>
  <c r="T327" i="6" s="1"/>
  <c r="R382" i="6"/>
  <c r="R524" i="6"/>
  <c r="M52" i="2"/>
  <c r="Q497" i="6"/>
  <c r="T215" i="6"/>
  <c r="Q111" i="6"/>
  <c r="W111" i="6" s="1"/>
  <c r="AB111" i="6" s="1"/>
  <c r="W106" i="6"/>
  <c r="AB106" i="6" s="1"/>
  <c r="M64" i="2"/>
  <c r="W97" i="6"/>
  <c r="AB97" i="6" s="1"/>
  <c r="Q102" i="6"/>
  <c r="W102" i="6" s="1"/>
  <c r="AB102" i="6" s="1"/>
  <c r="L71" i="14"/>
  <c r="J72" i="14" s="1"/>
  <c r="K71" i="14"/>
  <c r="Y112" i="6"/>
  <c r="Y113" i="6" s="1"/>
  <c r="N203" i="6" l="1"/>
  <c r="M17" i="2"/>
  <c r="N13" i="2"/>
  <c r="M13" i="2" s="1"/>
  <c r="N22" i="2"/>
  <c r="M22" i="2" s="1"/>
  <c r="M203" i="6"/>
  <c r="I361" i="6"/>
  <c r="G24" i="2"/>
  <c r="N24" i="2" s="1"/>
  <c r="N363" i="6"/>
  <c r="AX368" i="3"/>
  <c r="AX639" i="3"/>
  <c r="N14" i="2"/>
  <c r="G512" i="6"/>
  <c r="AX512" i="3" s="1"/>
  <c r="M363" i="6"/>
  <c r="M327" i="6"/>
  <c r="T232" i="6"/>
  <c r="T229" i="6"/>
  <c r="M636" i="6"/>
  <c r="I23" i="2"/>
  <c r="N509" i="6"/>
  <c r="M509" i="6"/>
  <c r="U325" i="6"/>
  <c r="U365" i="6" s="1"/>
  <c r="Q503" i="6"/>
  <c r="G18" i="2"/>
  <c r="N18" i="2" s="1"/>
  <c r="N636" i="6"/>
  <c r="Q327" i="6"/>
  <c r="R503" i="6"/>
  <c r="Q323" i="6"/>
  <c r="Q325" i="6"/>
  <c r="Q365" i="6" s="1"/>
  <c r="R501" i="6"/>
  <c r="R509" i="6"/>
  <c r="I368" i="6"/>
  <c r="I512" i="6" s="1"/>
  <c r="T200" i="6"/>
  <c r="N327" i="6"/>
  <c r="R633" i="6"/>
  <c r="T203" i="6"/>
  <c r="T502" i="6"/>
  <c r="I14" i="2"/>
  <c r="T509" i="6"/>
  <c r="Q502" i="6"/>
  <c r="U501" i="6"/>
  <c r="Q232" i="6"/>
  <c r="M637" i="6"/>
  <c r="N364" i="6"/>
  <c r="N637" i="6"/>
  <c r="T503" i="6"/>
  <c r="Q509" i="6"/>
  <c r="U503" i="6"/>
  <c r="Q229" i="6"/>
  <c r="U633" i="6"/>
  <c r="U280" i="6"/>
  <c r="U323" i="6"/>
  <c r="U363" i="6" s="1"/>
  <c r="U326" i="6"/>
  <c r="U366" i="6" s="1"/>
  <c r="U244" i="6"/>
  <c r="U509" i="6"/>
  <c r="E63" i="2"/>
  <c r="M63" i="2"/>
  <c r="R326" i="6"/>
  <c r="R244" i="6"/>
  <c r="R327" i="6" s="1"/>
  <c r="R368" i="6" s="1"/>
  <c r="W52" i="6"/>
  <c r="AB52" i="6" s="1"/>
  <c r="Q57" i="6"/>
  <c r="W57" i="6" s="1"/>
  <c r="AB57" i="6" s="1"/>
  <c r="E15" i="2"/>
  <c r="E22" i="2"/>
  <c r="M15" i="2"/>
  <c r="AX1219" i="3"/>
  <c r="E1236" i="6"/>
  <c r="C18" i="12"/>
  <c r="C54" i="12" s="1"/>
  <c r="I1236" i="6"/>
  <c r="E13" i="2"/>
  <c r="W21" i="6"/>
  <c r="AB21" i="6" s="1"/>
  <c r="L72" i="14"/>
  <c r="J73" i="14" s="1"/>
  <c r="Y114" i="6"/>
  <c r="Y115" i="6" s="1"/>
  <c r="W113" i="6"/>
  <c r="AB113" i="6" s="1"/>
  <c r="N368" i="6" l="1"/>
  <c r="N512" i="6" s="1"/>
  <c r="E17" i="12" s="1"/>
  <c r="E53" i="12" s="1"/>
  <c r="I18" i="2"/>
  <c r="M18" i="2" s="1"/>
  <c r="M368" i="6"/>
  <c r="M512" i="6" s="1"/>
  <c r="D17" i="12" s="1"/>
  <c r="Q363" i="6"/>
  <c r="T363" i="6"/>
  <c r="I24" i="2"/>
  <c r="M23" i="2"/>
  <c r="E23" i="2"/>
  <c r="M640" i="6"/>
  <c r="D18" i="12" s="1"/>
  <c r="D54" i="12" s="1"/>
  <c r="T368" i="6"/>
  <c r="T512" i="6" s="1"/>
  <c r="R512" i="6"/>
  <c r="R636" i="6"/>
  <c r="Q203" i="6"/>
  <c r="Q368" i="6" s="1"/>
  <c r="Q512" i="6" s="1"/>
  <c r="U327" i="6"/>
  <c r="U368" i="6" s="1"/>
  <c r="U512" i="6" s="1"/>
  <c r="N640" i="6"/>
  <c r="E18" i="12" s="1"/>
  <c r="E54" i="12" s="1"/>
  <c r="U636" i="6"/>
  <c r="U637" i="6"/>
  <c r="R366" i="6"/>
  <c r="R637" i="6"/>
  <c r="E14" i="2"/>
  <c r="M14" i="2"/>
  <c r="C17" i="12"/>
  <c r="C53" i="12" s="1"/>
  <c r="Y116" i="6"/>
  <c r="Y117" i="6" s="1"/>
  <c r="W115" i="6"/>
  <c r="AB115" i="6" s="1"/>
  <c r="L73" i="14"/>
  <c r="J74" i="14" s="1"/>
  <c r="K73" i="14"/>
  <c r="K72" i="14"/>
  <c r="F17" i="12" l="1"/>
  <c r="F54" i="12"/>
  <c r="M24" i="2"/>
  <c r="M1236" i="6"/>
  <c r="N1236" i="6" s="1"/>
  <c r="E18" i="2"/>
  <c r="E24" i="2"/>
  <c r="D53" i="12"/>
  <c r="F53" i="12" s="1"/>
  <c r="R640" i="6"/>
  <c r="F18" i="12"/>
  <c r="U640" i="6"/>
  <c r="K74" i="14"/>
  <c r="L74" i="14"/>
  <c r="J75" i="14" s="1"/>
  <c r="Y118" i="6"/>
  <c r="Y119" i="6" s="1"/>
  <c r="W117" i="6"/>
  <c r="AB117" i="6" s="1"/>
  <c r="Y120" i="6" l="1"/>
  <c r="W119" i="6"/>
  <c r="AB119" i="6" s="1"/>
  <c r="L75" i="14"/>
  <c r="J76" i="14" s="1"/>
  <c r="K75" i="14"/>
  <c r="L76" i="14" l="1"/>
  <c r="J77" i="14" s="1"/>
  <c r="K76" i="14"/>
  <c r="Y121" i="6"/>
  <c r="Y122" i="6" s="1"/>
  <c r="W120" i="6"/>
  <c r="AB120" i="6" s="1"/>
  <c r="Y123" i="6" l="1"/>
  <c r="Y124" i="6" s="1"/>
  <c r="W122" i="6"/>
  <c r="AB122" i="6" s="1"/>
  <c r="L77" i="14"/>
  <c r="J78" i="14" s="1"/>
  <c r="K77" i="14" l="1"/>
  <c r="Y125" i="6"/>
  <c r="Y126" i="6" s="1"/>
  <c r="W124" i="6"/>
  <c r="AB124" i="6" s="1"/>
  <c r="K78" i="14"/>
  <c r="L78" i="14"/>
  <c r="J79" i="14" s="1"/>
  <c r="L79" i="14" l="1"/>
  <c r="J80" i="14" s="1"/>
  <c r="K79" i="14"/>
  <c r="W126" i="6"/>
  <c r="AB126" i="6" s="1"/>
  <c r="Y127" i="6"/>
  <c r="Y128" i="6" s="1"/>
  <c r="Y129" i="6" l="1"/>
  <c r="W128" i="6"/>
  <c r="AB128" i="6" s="1"/>
  <c r="L80" i="14"/>
  <c r="J81" i="14" s="1"/>
  <c r="K80" i="14"/>
  <c r="K81" i="14" l="1"/>
  <c r="L81" i="14"/>
  <c r="J82" i="14" s="1"/>
  <c r="Y130" i="6"/>
  <c r="Y131" i="6" s="1"/>
  <c r="W129" i="6"/>
  <c r="AB129" i="6" s="1"/>
  <c r="L82" i="14" l="1"/>
  <c r="J83" i="14" s="1"/>
  <c r="Y132" i="6"/>
  <c r="Y133" i="6" s="1"/>
  <c r="W131" i="6"/>
  <c r="AB131" i="6" s="1"/>
  <c r="L83" i="14" l="1"/>
  <c r="J84" i="14" s="1"/>
  <c r="K83" i="14"/>
  <c r="K82" i="14"/>
  <c r="Y134" i="6"/>
  <c r="Y135" i="6" s="1"/>
  <c r="W133" i="6"/>
  <c r="AB133" i="6" s="1"/>
  <c r="W135" i="6" l="1"/>
  <c r="AB135" i="6" s="1"/>
  <c r="Y136" i="6"/>
  <c r="Y137" i="6" s="1"/>
  <c r="L84" i="14"/>
  <c r="J85" i="14" s="1"/>
  <c r="K84" i="14"/>
  <c r="L85" i="14" l="1"/>
  <c r="J86" i="14" s="1"/>
  <c r="K85" i="14"/>
  <c r="W137" i="6"/>
  <c r="AB137" i="6" s="1"/>
  <c r="Y138" i="6"/>
  <c r="L86" i="14" l="1"/>
  <c r="J87" i="14" s="1"/>
  <c r="K86" i="14"/>
  <c r="Y139" i="6"/>
  <c r="Y140" i="6" s="1"/>
  <c r="W138" i="6"/>
  <c r="AB138" i="6" s="1"/>
  <c r="L87" i="14" l="1"/>
  <c r="J88" i="14" s="1"/>
  <c r="Y141" i="6"/>
  <c r="Y142" i="6" s="1"/>
  <c r="W140" i="6"/>
  <c r="AB140" i="6" s="1"/>
  <c r="K87" i="14" l="1"/>
  <c r="Y143" i="6"/>
  <c r="Y144" i="6" s="1"/>
  <c r="W142" i="6"/>
  <c r="AB142" i="6" s="1"/>
  <c r="K88" i="14"/>
  <c r="L88" i="14"/>
  <c r="J89" i="14" s="1"/>
  <c r="Y145" i="6" l="1"/>
  <c r="Y146" i="6" s="1"/>
  <c r="W144" i="6"/>
  <c r="AB144" i="6" s="1"/>
  <c r="L89" i="14"/>
  <c r="J90" i="14" s="1"/>
  <c r="K89" i="14"/>
  <c r="L90" i="14" l="1"/>
  <c r="J91" i="14" s="1"/>
  <c r="K90" i="14"/>
  <c r="Y147" i="6"/>
  <c r="W146" i="6"/>
  <c r="AB146" i="6" s="1"/>
  <c r="L91" i="14" l="1"/>
  <c r="J92" i="14" s="1"/>
  <c r="K91" i="14"/>
  <c r="Y148" i="6"/>
  <c r="Y149" i="6" s="1"/>
  <c r="W147" i="6"/>
  <c r="AB147" i="6" s="1"/>
  <c r="L92" i="14" l="1"/>
  <c r="J93" i="14" s="1"/>
  <c r="Y150" i="6"/>
  <c r="Y151" i="6" s="1"/>
  <c r="W149" i="6"/>
  <c r="AB149" i="6" s="1"/>
  <c r="K92" i="14" l="1"/>
  <c r="L93" i="14"/>
  <c r="J94" i="14" s="1"/>
  <c r="K93" i="14"/>
  <c r="Y152" i="6"/>
  <c r="Y153" i="6" s="1"/>
  <c r="W151" i="6"/>
  <c r="AB151" i="6" s="1"/>
  <c r="Y154" i="6" l="1"/>
  <c r="Y155" i="6" s="1"/>
  <c r="W153" i="6"/>
  <c r="AB153" i="6" s="1"/>
  <c r="K94" i="14"/>
  <c r="L94" i="14"/>
  <c r="J95" i="14" s="1"/>
  <c r="K95" i="14" l="1"/>
  <c r="L95" i="14"/>
  <c r="J96" i="14" s="1"/>
  <c r="Y156" i="6"/>
  <c r="W155" i="6"/>
  <c r="AB155" i="6" s="1"/>
  <c r="Y157" i="6" l="1"/>
  <c r="Y158" i="6" s="1"/>
  <c r="W156" i="6"/>
  <c r="AB156" i="6" s="1"/>
  <c r="K96" i="14"/>
  <c r="L96" i="14"/>
  <c r="J97" i="14" s="1"/>
  <c r="L97" i="14" l="1"/>
  <c r="J98" i="14" s="1"/>
  <c r="Y159" i="6"/>
  <c r="Y160" i="6" s="1"/>
  <c r="W158" i="6"/>
  <c r="AB158" i="6" s="1"/>
  <c r="K97" i="14" l="1"/>
  <c r="L98" i="14"/>
  <c r="J99" i="14" s="1"/>
  <c r="K98" i="14"/>
  <c r="Y161" i="6"/>
  <c r="Y162" i="6" s="1"/>
  <c r="W160" i="6"/>
  <c r="AB160" i="6" s="1"/>
  <c r="L99" i="14" l="1"/>
  <c r="J100" i="14" s="1"/>
  <c r="K99" i="14"/>
  <c r="W162" i="6"/>
  <c r="AB162" i="6" s="1"/>
  <c r="Y163" i="6"/>
  <c r="Y164" i="6" s="1"/>
  <c r="Y165" i="6" l="1"/>
  <c r="W164" i="6"/>
  <c r="AB164" i="6" s="1"/>
  <c r="L100" i="14"/>
  <c r="J101" i="14" s="1"/>
  <c r="K100" i="14"/>
  <c r="Y166" i="6" l="1"/>
  <c r="Y167" i="6" s="1"/>
  <c r="W165" i="6"/>
  <c r="AB165" i="6" s="1"/>
  <c r="L101" i="14"/>
  <c r="J102" i="14" s="1"/>
  <c r="K101" i="14"/>
  <c r="Y168" i="6" l="1"/>
  <c r="Y169" i="6" s="1"/>
  <c r="W167" i="6"/>
  <c r="AB167" i="6" s="1"/>
  <c r="L102" i="14"/>
  <c r="J103" i="14" s="1"/>
  <c r="K102" i="14" l="1"/>
  <c r="K103" i="14"/>
  <c r="L103" i="14"/>
  <c r="J104" i="14" s="1"/>
  <c r="Y170" i="6"/>
  <c r="Y171" i="6" s="1"/>
  <c r="W169" i="6"/>
  <c r="AB169" i="6" s="1"/>
  <c r="L104" i="14" l="1"/>
  <c r="J105" i="14" s="1"/>
  <c r="K104" i="14"/>
  <c r="Y172" i="6"/>
  <c r="Y173" i="6" s="1"/>
  <c r="W171" i="6"/>
  <c r="AB171" i="6" s="1"/>
  <c r="Y174" i="6" l="1"/>
  <c r="W173" i="6"/>
  <c r="AB173" i="6" s="1"/>
  <c r="L105" i="14"/>
  <c r="J106" i="14" s="1"/>
  <c r="K105" i="14"/>
  <c r="L106" i="14" l="1"/>
  <c r="J107" i="14" s="1"/>
  <c r="K106" i="14"/>
  <c r="Y175" i="6"/>
  <c r="Y176" i="6" s="1"/>
  <c r="W174" i="6"/>
  <c r="AB174" i="6" s="1"/>
  <c r="Y177" i="6" l="1"/>
  <c r="Y178" i="6" s="1"/>
  <c r="W176" i="6"/>
  <c r="AB176" i="6" s="1"/>
  <c r="L107" i="14"/>
  <c r="J108" i="14" s="1"/>
  <c r="K107" i="14" l="1"/>
  <c r="L108" i="14"/>
  <c r="J109" i="14" s="1"/>
  <c r="K108" i="14"/>
  <c r="Y179" i="6"/>
  <c r="Y180" i="6" s="1"/>
  <c r="W178" i="6"/>
  <c r="AB178" i="6" s="1"/>
  <c r="Y181" i="6" l="1"/>
  <c r="Y182" i="6" s="1"/>
  <c r="W180" i="6"/>
  <c r="AB180" i="6" s="1"/>
  <c r="K109" i="14"/>
  <c r="L109" i="14"/>
  <c r="J110" i="14" s="1"/>
  <c r="L110" i="14" l="1"/>
  <c r="J111" i="14" s="1"/>
  <c r="K110" i="14"/>
  <c r="Y183" i="6"/>
  <c r="W182" i="6"/>
  <c r="AB182" i="6" s="1"/>
  <c r="Y184" i="6" l="1"/>
  <c r="Y185" i="6" s="1"/>
  <c r="W183" i="6"/>
  <c r="AB183" i="6" s="1"/>
  <c r="L111" i="14"/>
  <c r="J112" i="14" s="1"/>
  <c r="K111" i="14"/>
  <c r="L112" i="14" l="1"/>
  <c r="J113" i="14" s="1"/>
  <c r="Y186" i="6"/>
  <c r="Y187" i="6" s="1"/>
  <c r="W185" i="6"/>
  <c r="AB185" i="6" s="1"/>
  <c r="Y188" i="6" l="1"/>
  <c r="Y189" i="6" s="1"/>
  <c r="W187" i="6"/>
  <c r="AB187" i="6" s="1"/>
  <c r="K113" i="14"/>
  <c r="L113" i="14"/>
  <c r="J114" i="14" s="1"/>
  <c r="W206" i="6"/>
  <c r="AB206" i="6" s="1"/>
  <c r="K112" i="14"/>
  <c r="Y190" i="6" l="1"/>
  <c r="Y191" i="6" s="1"/>
  <c r="W189" i="6"/>
  <c r="AB189" i="6" s="1"/>
  <c r="L114" i="14"/>
  <c r="J115" i="14" s="1"/>
  <c r="K114" i="14"/>
  <c r="K115" i="14" l="1"/>
  <c r="L115" i="14"/>
  <c r="J116" i="14" s="1"/>
  <c r="W191" i="6"/>
  <c r="AB191" i="6" s="1"/>
  <c r="Y192" i="6"/>
  <c r="L116" i="14" l="1"/>
  <c r="J117" i="14" s="1"/>
  <c r="K116" i="14"/>
  <c r="Y193" i="6"/>
  <c r="Y194" i="6" s="1"/>
  <c r="W192" i="6"/>
  <c r="AB192" i="6" s="1"/>
  <c r="Y195" i="6" l="1"/>
  <c r="Y196" i="6" s="1"/>
  <c r="W194" i="6"/>
  <c r="AB194" i="6" s="1"/>
  <c r="L117" i="14"/>
  <c r="J118" i="14" s="1"/>
  <c r="L118" i="14" l="1"/>
  <c r="J119" i="14" s="1"/>
  <c r="K118" i="14"/>
  <c r="W205" i="6"/>
  <c r="AB205" i="6" s="1"/>
  <c r="W207" i="6"/>
  <c r="AB207" i="6" s="1"/>
  <c r="Y197" i="6"/>
  <c r="W196" i="6"/>
  <c r="AB196" i="6" s="1"/>
  <c r="K117" i="14"/>
  <c r="Y198" i="6" l="1"/>
  <c r="Y199" i="6" s="1"/>
  <c r="Y200" i="6" s="1"/>
  <c r="W197" i="6"/>
  <c r="AB197" i="6" s="1"/>
  <c r="L119" i="14"/>
  <c r="J120" i="14" s="1"/>
  <c r="K119" i="14"/>
  <c r="L120" i="14" l="1"/>
  <c r="J121" i="14" s="1"/>
  <c r="K120" i="14"/>
  <c r="Y201" i="6"/>
  <c r="W200" i="6"/>
  <c r="AB200" i="6" s="1"/>
  <c r="L121" i="14" l="1"/>
  <c r="J122" i="14" s="1"/>
  <c r="K121" i="14"/>
  <c r="Y202" i="6"/>
  <c r="W201" i="6"/>
  <c r="AB201" i="6" s="1"/>
  <c r="L122" i="14" l="1"/>
  <c r="J123" i="14" s="1"/>
  <c r="Y203" i="6"/>
  <c r="W202" i="6"/>
  <c r="AB202" i="6" s="1"/>
  <c r="K122" i="14" l="1"/>
  <c r="Y204" i="6"/>
  <c r="Y205" i="6" s="1"/>
  <c r="Y206" i="6" s="1"/>
  <c r="Y207" i="6" s="1"/>
  <c r="Y208" i="6" s="1"/>
  <c r="Y209" i="6" s="1"/>
  <c r="Y210" i="6" s="1"/>
  <c r="W203" i="6"/>
  <c r="AB203" i="6" s="1"/>
  <c r="L123" i="14"/>
  <c r="J124" i="14" s="1"/>
  <c r="K123" i="14"/>
  <c r="Y211" i="6" l="1"/>
  <c r="Y212" i="6" s="1"/>
  <c r="W210" i="6"/>
  <c r="AB210" i="6" s="1"/>
  <c r="L124" i="14"/>
  <c r="J125" i="14" s="1"/>
  <c r="K124" i="14"/>
  <c r="L125" i="14" l="1"/>
  <c r="J126" i="14" s="1"/>
  <c r="K125" i="14"/>
  <c r="Y213" i="6"/>
  <c r="Y214" i="6" s="1"/>
  <c r="W212" i="6"/>
  <c r="AB212" i="6" s="1"/>
  <c r="L126" i="14" l="1"/>
  <c r="J127" i="14" s="1"/>
  <c r="K126" i="14"/>
  <c r="Y215" i="6"/>
  <c r="W214" i="6"/>
  <c r="AB214" i="6" s="1"/>
  <c r="L127" i="14" l="1"/>
  <c r="J128" i="14" s="1"/>
  <c r="Y216" i="6"/>
  <c r="Y217" i="6" s="1"/>
  <c r="W215" i="6"/>
  <c r="AB215" i="6" s="1"/>
  <c r="Y218" i="6" l="1"/>
  <c r="Y219" i="6" s="1"/>
  <c r="W217" i="6"/>
  <c r="AB217" i="6" s="1"/>
  <c r="K127" i="14"/>
  <c r="L128" i="14"/>
  <c r="J129" i="14" s="1"/>
  <c r="K128" i="14"/>
  <c r="K129" i="14" l="1"/>
  <c r="L129" i="14"/>
  <c r="J130" i="14" s="1"/>
  <c r="Y220" i="6"/>
  <c r="Y221" i="6" s="1"/>
  <c r="W219" i="6"/>
  <c r="AB219" i="6" s="1"/>
  <c r="W221" i="6" l="1"/>
  <c r="AB221" i="6" s="1"/>
  <c r="Y222" i="6"/>
  <c r="Y223" i="6" s="1"/>
  <c r="L130" i="14"/>
  <c r="J131" i="14" s="1"/>
  <c r="K130" i="14"/>
  <c r="L131" i="14" l="1"/>
  <c r="J132" i="14" s="1"/>
  <c r="K131" i="14"/>
  <c r="Y224" i="6"/>
  <c r="W223" i="6"/>
  <c r="AB223" i="6" s="1"/>
  <c r="Y225" i="6" l="1"/>
  <c r="Y226" i="6" s="1"/>
  <c r="W224" i="6"/>
  <c r="AB224" i="6" s="1"/>
  <c r="L132" i="14"/>
  <c r="J133" i="14" s="1"/>
  <c r="K133" i="14" l="1"/>
  <c r="L133" i="14"/>
  <c r="J134" i="14" s="1"/>
  <c r="K132" i="14"/>
  <c r="Y227" i="6"/>
  <c r="Y228" i="6" s="1"/>
  <c r="Y229" i="6" s="1"/>
  <c r="W226" i="6"/>
  <c r="AB226" i="6" s="1"/>
  <c r="Y230" i="6" l="1"/>
  <c r="W229" i="6"/>
  <c r="AB229" i="6" s="1"/>
  <c r="L134" i="14"/>
  <c r="K134" i="14"/>
  <c r="L135" i="14" l="1"/>
  <c r="J136" i="14" s="1"/>
  <c r="K136" i="14" s="1"/>
  <c r="J135" i="14"/>
  <c r="W230" i="6"/>
  <c r="AB230" i="6" s="1"/>
  <c r="Y231" i="6"/>
  <c r="L136" i="14" l="1"/>
  <c r="J137" i="14" s="1"/>
  <c r="K137" i="14" s="1"/>
  <c r="W231" i="6"/>
  <c r="AB231" i="6" s="1"/>
  <c r="Y232" i="6"/>
  <c r="L137" i="14"/>
  <c r="J138" i="14" s="1"/>
  <c r="K138" i="14" l="1"/>
  <c r="L138" i="14"/>
  <c r="Y233" i="6"/>
  <c r="Y234" i="6" s="1"/>
  <c r="W232" i="6"/>
  <c r="AB232" i="6" s="1"/>
  <c r="L139" i="14" l="1"/>
  <c r="J140" i="14" s="1"/>
  <c r="K140" i="14" s="1"/>
  <c r="J139" i="14"/>
  <c r="Y235" i="6"/>
  <c r="W234" i="6"/>
  <c r="AB234" i="6" s="1"/>
  <c r="L140" i="14"/>
  <c r="J141" i="14" s="1"/>
  <c r="J146" i="14" s="1"/>
  <c r="L141" i="14" l="1"/>
  <c r="J142" i="14" s="1"/>
  <c r="K141" i="14"/>
  <c r="K146" i="14" s="1"/>
  <c r="Y236" i="6"/>
  <c r="W235" i="6"/>
  <c r="AB235" i="6" s="1"/>
  <c r="K142" i="14" l="1"/>
  <c r="L142" i="14"/>
  <c r="Y237" i="6"/>
  <c r="Y238" i="6" s="1"/>
  <c r="Y239" i="6" s="1"/>
  <c r="W236" i="6"/>
  <c r="AB236" i="6" s="1"/>
  <c r="L143" i="14" l="1"/>
  <c r="J143" i="14"/>
  <c r="Y240" i="6"/>
  <c r="Y241" i="6" s="1"/>
  <c r="Y242" i="6" s="1"/>
  <c r="Y243" i="6" s="1"/>
  <c r="W239" i="6"/>
  <c r="AB239" i="6" s="1"/>
  <c r="L144" i="14" l="1"/>
  <c r="L145" i="14" s="1"/>
  <c r="L146" i="14" s="1"/>
  <c r="L147" i="14" s="1"/>
  <c r="L148" i="14" s="1"/>
  <c r="J144" i="14"/>
  <c r="K144" i="14" s="1"/>
  <c r="W243" i="6"/>
  <c r="AB243" i="6" s="1"/>
  <c r="Y244" i="6"/>
  <c r="Y245" i="6" l="1"/>
  <c r="Y246" i="6" s="1"/>
  <c r="W244" i="6"/>
  <c r="AB244" i="6" s="1"/>
  <c r="Y247" i="6" l="1"/>
  <c r="Y248" i="6" s="1"/>
  <c r="W246" i="6"/>
  <c r="AB246" i="6" s="1"/>
  <c r="Y249" i="6" l="1"/>
  <c r="Y250" i="6" s="1"/>
  <c r="Y251" i="6" s="1"/>
  <c r="Y252" i="6" s="1"/>
  <c r="W248" i="6"/>
  <c r="AB248" i="6" s="1"/>
  <c r="Y253" i="6" l="1"/>
  <c r="W252" i="6"/>
  <c r="AB252" i="6" s="1"/>
  <c r="Y254" i="6" l="1"/>
  <c r="Y255" i="6" s="1"/>
  <c r="W253" i="6"/>
  <c r="AB253" i="6" s="1"/>
  <c r="Y256" i="6" l="1"/>
  <c r="Y257" i="6" s="1"/>
  <c r="W255" i="6"/>
  <c r="AB255" i="6" s="1"/>
  <c r="Y258" i="6" l="1"/>
  <c r="Y259" i="6" s="1"/>
  <c r="Y260" i="6" s="1"/>
  <c r="Y261" i="6" s="1"/>
  <c r="W257" i="6"/>
  <c r="AB257" i="6" s="1"/>
  <c r="Y262" i="6" l="1"/>
  <c r="W261" i="6"/>
  <c r="AB261" i="6" s="1"/>
  <c r="Y263" i="6" l="1"/>
  <c r="Y264" i="6" s="1"/>
  <c r="W262" i="6"/>
  <c r="AB262" i="6" s="1"/>
  <c r="Y265" i="6" l="1"/>
  <c r="Y266" i="6" s="1"/>
  <c r="W264" i="6"/>
  <c r="AB264" i="6" s="1"/>
  <c r="Y267" i="6" l="1"/>
  <c r="Y268" i="6" s="1"/>
  <c r="Y269" i="6" s="1"/>
  <c r="Y270" i="6" s="1"/>
  <c r="W266" i="6"/>
  <c r="AB266" i="6" s="1"/>
  <c r="W270" i="6" l="1"/>
  <c r="AB270" i="6" s="1"/>
  <c r="Y271" i="6"/>
  <c r="Y272" i="6" l="1"/>
  <c r="Y273" i="6" s="1"/>
  <c r="W271" i="6"/>
  <c r="AB271" i="6" s="1"/>
  <c r="Y274" i="6" l="1"/>
  <c r="Y275" i="6" s="1"/>
  <c r="W273" i="6"/>
  <c r="AB273" i="6" s="1"/>
  <c r="Y276" i="6" l="1"/>
  <c r="Y277" i="6" s="1"/>
  <c r="W275" i="6"/>
  <c r="AB275" i="6" s="1"/>
  <c r="Y278" i="6" l="1"/>
  <c r="Y279" i="6" s="1"/>
  <c r="W277" i="6"/>
  <c r="AB277" i="6" s="1"/>
  <c r="W279" i="6" l="1"/>
  <c r="AB279" i="6" s="1"/>
  <c r="Y280" i="6"/>
  <c r="Y281" i="6" l="1"/>
  <c r="Y282" i="6" s="1"/>
  <c r="W280" i="6"/>
  <c r="AB280" i="6" s="1"/>
  <c r="Y283" i="6" l="1"/>
  <c r="Y284" i="6" s="1"/>
  <c r="W282" i="6"/>
  <c r="AB282" i="6" s="1"/>
  <c r="Y285" i="6" l="1"/>
  <c r="Y286" i="6" s="1"/>
  <c r="W284" i="6"/>
  <c r="AB284" i="6" s="1"/>
  <c r="Y287" i="6" l="1"/>
  <c r="Y288" i="6" s="1"/>
  <c r="W286" i="6"/>
  <c r="AB286" i="6" s="1"/>
  <c r="Y289" i="6" l="1"/>
  <c r="W288" i="6"/>
  <c r="AB288" i="6" s="1"/>
  <c r="Y290" i="6" l="1"/>
  <c r="Y291" i="6" s="1"/>
  <c r="W289" i="6"/>
  <c r="AB289" i="6" s="1"/>
  <c r="Y292" i="6" l="1"/>
  <c r="Y293" i="6" s="1"/>
  <c r="W291" i="6"/>
  <c r="AB291" i="6" s="1"/>
  <c r="Y294" i="6" l="1"/>
  <c r="Y295" i="6" s="1"/>
  <c r="Y296" i="6" s="1"/>
  <c r="Y297" i="6" s="1"/>
  <c r="W293" i="6"/>
  <c r="AB293" i="6" s="1"/>
  <c r="Y298" i="6" l="1"/>
  <c r="W297" i="6"/>
  <c r="AB297" i="6" s="1"/>
  <c r="Y299" i="6" l="1"/>
  <c r="Y300" i="6" s="1"/>
  <c r="W298" i="6"/>
  <c r="AB298" i="6" s="1"/>
  <c r="Y301" i="6" l="1"/>
  <c r="Y302" i="6" s="1"/>
  <c r="W300" i="6"/>
  <c r="AB300" i="6" s="1"/>
  <c r="Y303" i="6" l="1"/>
  <c r="Y304" i="6" s="1"/>
  <c r="Y305" i="6" s="1"/>
  <c r="Y306" i="6" s="1"/>
  <c r="W302" i="6"/>
  <c r="AB302" i="6" s="1"/>
  <c r="Y307" i="6" l="1"/>
  <c r="W306" i="6"/>
  <c r="AB306" i="6" s="1"/>
  <c r="Y308" i="6" l="1"/>
  <c r="Y309" i="6" s="1"/>
  <c r="W307" i="6"/>
  <c r="AB307" i="6" s="1"/>
  <c r="Y310" i="6" l="1"/>
  <c r="Y311" i="6" s="1"/>
  <c r="W309" i="6"/>
  <c r="AB309" i="6" s="1"/>
  <c r="Y312" i="6" l="1"/>
  <c r="Y313" i="6" s="1"/>
  <c r="Y314" i="6" s="1"/>
  <c r="Y315" i="6" s="1"/>
  <c r="W311" i="6"/>
  <c r="AB311" i="6" s="1"/>
  <c r="Y316" i="6" l="1"/>
  <c r="W315" i="6"/>
  <c r="AB315" i="6" s="1"/>
  <c r="Y317" i="6" l="1"/>
  <c r="Y318" i="6" s="1"/>
  <c r="W316" i="6"/>
  <c r="AB316" i="6" s="1"/>
  <c r="Y319" i="6" l="1"/>
  <c r="Y320" i="6" s="1"/>
  <c r="W318" i="6"/>
  <c r="AB318" i="6" s="1"/>
  <c r="Y321" i="6" l="1"/>
  <c r="W320" i="6"/>
  <c r="AB320" i="6" s="1"/>
  <c r="Y322" i="6" l="1"/>
  <c r="Y323" i="6" s="1"/>
  <c r="W321" i="6"/>
  <c r="AB321" i="6" s="1"/>
  <c r="Y324" i="6" l="1"/>
  <c r="W323" i="6"/>
  <c r="AB323" i="6" s="1"/>
  <c r="Y325" i="6" l="1"/>
  <c r="W324" i="6"/>
  <c r="AB324" i="6" s="1"/>
  <c r="Y326" i="6" l="1"/>
  <c r="W325" i="6"/>
  <c r="AB325" i="6" s="1"/>
  <c r="Y327" i="6" l="1"/>
  <c r="W326" i="6"/>
  <c r="AB326" i="6" s="1"/>
  <c r="Y328" i="6" l="1"/>
  <c r="Y329" i="6" s="1"/>
  <c r="W327" i="6"/>
  <c r="AB327" i="6" s="1"/>
  <c r="Y330" i="6" l="1"/>
  <c r="W329" i="6"/>
  <c r="AB329" i="6" s="1"/>
  <c r="Y331" i="6" l="1"/>
  <c r="W330" i="6"/>
  <c r="AB330" i="6" s="1"/>
  <c r="Y332" i="6" l="1"/>
  <c r="Y333" i="6" s="1"/>
  <c r="Y334" i="6" s="1"/>
  <c r="W331" i="6"/>
  <c r="AB331" i="6" s="1"/>
  <c r="Y335" i="6" l="1"/>
  <c r="Y336" i="6" s="1"/>
  <c r="Y337" i="6" s="1"/>
  <c r="Y338" i="6" s="1"/>
  <c r="W334" i="6"/>
  <c r="AB334" i="6" s="1"/>
  <c r="Y339" i="6" l="1"/>
  <c r="W338" i="6"/>
  <c r="AB338" i="6" s="1"/>
  <c r="Y340" i="6" l="1"/>
  <c r="Y341" i="6" s="1"/>
  <c r="W339" i="6"/>
  <c r="AB339" i="6" s="1"/>
  <c r="Y342" i="6" l="1"/>
  <c r="Y343" i="6" s="1"/>
  <c r="W341" i="6"/>
  <c r="AB341" i="6" s="1"/>
  <c r="Y344" i="6" l="1"/>
  <c r="Y345" i="6" s="1"/>
  <c r="Y346" i="6" s="1"/>
  <c r="Y347" i="6" s="1"/>
  <c r="W343" i="6"/>
  <c r="AB343" i="6" s="1"/>
  <c r="Y348" i="6" l="1"/>
  <c r="W347" i="6"/>
  <c r="AB347" i="6" s="1"/>
  <c r="Y349" i="6" l="1"/>
  <c r="Y350" i="6" s="1"/>
  <c r="W348" i="6"/>
  <c r="AB348" i="6" s="1"/>
  <c r="Y351" i="6" l="1"/>
  <c r="Y352" i="6" s="1"/>
  <c r="Y353" i="6" s="1"/>
  <c r="W350" i="6"/>
  <c r="AB350" i="6" s="1"/>
  <c r="Y354" i="6" l="1"/>
  <c r="W353" i="6"/>
  <c r="AB353" i="6" s="1"/>
  <c r="W354" i="6" l="1"/>
  <c r="AB354" i="6" s="1"/>
  <c r="Y355" i="6"/>
  <c r="Y356" i="6" l="1"/>
  <c r="Y357" i="6" s="1"/>
  <c r="W355" i="6"/>
  <c r="AB355" i="6" s="1"/>
  <c r="Y358" i="6" l="1"/>
  <c r="W357" i="6"/>
  <c r="AB357" i="6" s="1"/>
  <c r="Y359" i="6" l="1"/>
  <c r="W358" i="6"/>
  <c r="AB358" i="6" s="1"/>
  <c r="Y360" i="6" l="1"/>
  <c r="Y361" i="6" s="1"/>
  <c r="Y362" i="6" s="1"/>
  <c r="Y363" i="6" s="1"/>
  <c r="W359" i="6"/>
  <c r="AB359" i="6" s="1"/>
  <c r="Y364" i="6" l="1"/>
  <c r="W363" i="6"/>
  <c r="AB363" i="6" s="1"/>
  <c r="Y365" i="6" l="1"/>
  <c r="W364" i="6"/>
  <c r="AB364" i="6" s="1"/>
  <c r="Y366" i="6" l="1"/>
  <c r="W365" i="6"/>
  <c r="AB365" i="6" s="1"/>
  <c r="W366" i="6" l="1"/>
  <c r="AB366" i="6" s="1"/>
  <c r="Y367" i="6"/>
  <c r="Y368" i="6" s="1"/>
  <c r="Y369" i="6" l="1"/>
  <c r="Y370" i="6" s="1"/>
  <c r="W368" i="6"/>
  <c r="AB368" i="6" s="1"/>
  <c r="J13" i="2" l="1"/>
  <c r="Y371" i="6"/>
  <c r="W370" i="6"/>
  <c r="AB370" i="6" s="1"/>
  <c r="Y372" i="6" l="1"/>
  <c r="W371" i="6"/>
  <c r="AB371" i="6" s="1"/>
  <c r="Y373" i="6" l="1"/>
  <c r="Y374" i="6" s="1"/>
  <c r="Y375" i="6" s="1"/>
  <c r="Y376" i="6" s="1"/>
  <c r="Y377" i="6" s="1"/>
  <c r="Y378" i="6" s="1"/>
  <c r="Y379" i="6" s="1"/>
  <c r="Y380" i="6" s="1"/>
  <c r="W372" i="6"/>
  <c r="AB372" i="6" s="1"/>
  <c r="Y381" i="6" l="1"/>
  <c r="W380" i="6"/>
  <c r="AB380" i="6" s="1"/>
  <c r="Y382" i="6" l="1"/>
  <c r="W381" i="6"/>
  <c r="AB381" i="6" s="1"/>
  <c r="Y383" i="6" l="1"/>
  <c r="Y384" i="6" s="1"/>
  <c r="Y385" i="6" s="1"/>
  <c r="W382" i="6"/>
  <c r="AB382" i="6" s="1"/>
  <c r="W385" i="6" l="1"/>
  <c r="AB385" i="6" s="1"/>
  <c r="Y386" i="6"/>
  <c r="W386" i="6" l="1"/>
  <c r="AB386" i="6" s="1"/>
  <c r="Y387" i="6"/>
  <c r="Y388" i="6" l="1"/>
  <c r="Y389" i="6" s="1"/>
  <c r="Y390" i="6" s="1"/>
  <c r="W387" i="6"/>
  <c r="AB387" i="6" s="1"/>
  <c r="Y391" i="6" l="1"/>
  <c r="W390" i="6"/>
  <c r="AB390" i="6" s="1"/>
  <c r="W391" i="6" l="1"/>
  <c r="AB391" i="6" s="1"/>
  <c r="Y392" i="6"/>
  <c r="Y393" i="6" l="1"/>
  <c r="Y394" i="6" s="1"/>
  <c r="Y395" i="6" s="1"/>
  <c r="W392" i="6"/>
  <c r="AB392" i="6" s="1"/>
  <c r="W395" i="6" l="1"/>
  <c r="AB395" i="6" s="1"/>
  <c r="Y396" i="6"/>
  <c r="W396" i="6" l="1"/>
  <c r="AB396" i="6" s="1"/>
  <c r="Y397" i="6"/>
  <c r="Y398" i="6" l="1"/>
  <c r="Y399" i="6" s="1"/>
  <c r="Y400" i="6" s="1"/>
  <c r="W397" i="6"/>
  <c r="AB397" i="6" s="1"/>
  <c r="Y401" i="6" l="1"/>
  <c r="W400" i="6"/>
  <c r="AB400" i="6" s="1"/>
  <c r="W401" i="6" l="1"/>
  <c r="AB401" i="6" s="1"/>
  <c r="Y402" i="6"/>
  <c r="W402" i="6" l="1"/>
  <c r="AB402" i="6" s="1"/>
  <c r="Y403" i="6"/>
  <c r="Y404" i="6" s="1"/>
  <c r="Y405" i="6" s="1"/>
  <c r="W405" i="6" l="1"/>
  <c r="AB405" i="6" s="1"/>
  <c r="Y406" i="6"/>
  <c r="W406" i="6" l="1"/>
  <c r="AB406" i="6" s="1"/>
  <c r="Y407" i="6"/>
  <c r="W407" i="6" l="1"/>
  <c r="AB407" i="6" s="1"/>
  <c r="Y408" i="6"/>
  <c r="Y409" i="6" s="1"/>
  <c r="Y410" i="6" s="1"/>
  <c r="Y411" i="6" l="1"/>
  <c r="W410" i="6"/>
  <c r="AB410" i="6" s="1"/>
  <c r="Y412" i="6" l="1"/>
  <c r="W411" i="6"/>
  <c r="AB411" i="6" s="1"/>
  <c r="W412" i="6" l="1"/>
  <c r="AB412" i="6" s="1"/>
  <c r="Y413" i="6"/>
  <c r="Y414" i="6" s="1"/>
  <c r="Y415" i="6" s="1"/>
  <c r="W415" i="6" l="1"/>
  <c r="AB415" i="6" s="1"/>
  <c r="Y416" i="6"/>
  <c r="W416" i="6" l="1"/>
  <c r="AB416" i="6" s="1"/>
  <c r="Y417" i="6"/>
  <c r="Y418" i="6" l="1"/>
  <c r="Y419" i="6" s="1"/>
  <c r="Y420" i="6" s="1"/>
  <c r="W417" i="6"/>
  <c r="AB417" i="6" s="1"/>
  <c r="Y421" i="6" l="1"/>
  <c r="W420" i="6"/>
  <c r="AB420" i="6" s="1"/>
  <c r="W421" i="6" l="1"/>
  <c r="AB421" i="6" s="1"/>
  <c r="Y422" i="6"/>
  <c r="Y423" i="6" l="1"/>
  <c r="Y424" i="6" s="1"/>
  <c r="Y425" i="6" s="1"/>
  <c r="W422" i="6"/>
  <c r="AB422" i="6" s="1"/>
  <c r="Y426" i="6" l="1"/>
  <c r="W425" i="6"/>
  <c r="AB425" i="6" s="1"/>
  <c r="Y427" i="6" l="1"/>
  <c r="W426" i="6"/>
  <c r="AB426" i="6" s="1"/>
  <c r="W427" i="6" l="1"/>
  <c r="AB427" i="6" s="1"/>
  <c r="Y428" i="6"/>
  <c r="Y429" i="6" s="1"/>
  <c r="Y430" i="6" s="1"/>
  <c r="Y431" i="6" l="1"/>
  <c r="W430" i="6"/>
  <c r="AB430" i="6" s="1"/>
  <c r="Y432" i="6" l="1"/>
  <c r="W431" i="6"/>
  <c r="AB431" i="6" s="1"/>
  <c r="W432" i="6" l="1"/>
  <c r="AB432" i="6" s="1"/>
  <c r="Y433" i="6"/>
  <c r="Y434" i="6" s="1"/>
  <c r="Y435" i="6" s="1"/>
  <c r="Y436" i="6" l="1"/>
  <c r="W435" i="6"/>
  <c r="AB435" i="6" s="1"/>
  <c r="W436" i="6" l="1"/>
  <c r="AB436" i="6" s="1"/>
  <c r="Y437" i="6"/>
  <c r="W437" i="6" l="1"/>
  <c r="AB437" i="6" s="1"/>
  <c r="Y438" i="6"/>
  <c r="Y439" i="6" s="1"/>
  <c r="Y440" i="6" s="1"/>
  <c r="Y441" i="6" l="1"/>
  <c r="W440" i="6"/>
  <c r="AB440" i="6" s="1"/>
  <c r="Y442" i="6" l="1"/>
  <c r="W441" i="6"/>
  <c r="AB441" i="6" s="1"/>
  <c r="Y443" i="6" l="1"/>
  <c r="Y444" i="6" s="1"/>
  <c r="Y445" i="6" s="1"/>
  <c r="W442" i="6"/>
  <c r="AB442" i="6" s="1"/>
  <c r="Y446" i="6" l="1"/>
  <c r="W445" i="6"/>
  <c r="AB445" i="6" s="1"/>
  <c r="Y447" i="6" l="1"/>
  <c r="W446" i="6"/>
  <c r="AB446" i="6" s="1"/>
  <c r="Y448" i="6" l="1"/>
  <c r="Y449" i="6" s="1"/>
  <c r="Y450" i="6" s="1"/>
  <c r="W447" i="6"/>
  <c r="AB447" i="6" s="1"/>
  <c r="W450" i="6" l="1"/>
  <c r="AB450" i="6" s="1"/>
  <c r="Y451" i="6"/>
  <c r="W451" i="6" l="1"/>
  <c r="AB451" i="6" s="1"/>
  <c r="Y452" i="6"/>
  <c r="Y453" i="6" l="1"/>
  <c r="Y454" i="6" s="1"/>
  <c r="Y455" i="6" s="1"/>
  <c r="W452" i="6"/>
  <c r="AB452" i="6" s="1"/>
  <c r="W455" i="6" l="1"/>
  <c r="AB455" i="6" s="1"/>
  <c r="Y456" i="6"/>
  <c r="W456" i="6" l="1"/>
  <c r="AB456" i="6" s="1"/>
  <c r="Y457" i="6"/>
  <c r="W457" i="6" l="1"/>
  <c r="AB457" i="6" s="1"/>
  <c r="Y458" i="6"/>
  <c r="Y459" i="6" s="1"/>
  <c r="Y460" i="6" s="1"/>
  <c r="Y461" i="6" l="1"/>
  <c r="W460" i="6"/>
  <c r="AB460" i="6" s="1"/>
  <c r="Y462" i="6" l="1"/>
  <c r="W461" i="6"/>
  <c r="AB461" i="6" s="1"/>
  <c r="Y463" i="6" l="1"/>
  <c r="Y464" i="6" s="1"/>
  <c r="Y465" i="6" s="1"/>
  <c r="W462" i="6"/>
  <c r="AB462" i="6" s="1"/>
  <c r="Y466" i="6" l="1"/>
  <c r="W465" i="6"/>
  <c r="AB465" i="6" s="1"/>
  <c r="Y467" i="6" l="1"/>
  <c r="W466" i="6"/>
  <c r="AB466" i="6" s="1"/>
  <c r="W467" i="6" l="1"/>
  <c r="AB467" i="6" s="1"/>
  <c r="Y468" i="6"/>
  <c r="Y469" i="6" s="1"/>
  <c r="Y470" i="6" s="1"/>
  <c r="W470" i="6" l="1"/>
  <c r="AB470" i="6" s="1"/>
  <c r="Y471" i="6"/>
  <c r="W471" i="6" l="1"/>
  <c r="AB471" i="6" s="1"/>
  <c r="Y472" i="6"/>
  <c r="W472" i="6" l="1"/>
  <c r="AB472" i="6" s="1"/>
  <c r="Y473" i="6"/>
  <c r="Y474" i="6" s="1"/>
  <c r="Y475" i="6" s="1"/>
  <c r="Y476" i="6" l="1"/>
  <c r="W475" i="6"/>
  <c r="AB475" i="6" s="1"/>
  <c r="W476" i="6" l="1"/>
  <c r="AB476" i="6" s="1"/>
  <c r="Y477" i="6"/>
  <c r="W477" i="6" l="1"/>
  <c r="AB477" i="6" s="1"/>
  <c r="Y478" i="6"/>
  <c r="Y479" i="6" s="1"/>
  <c r="Y480" i="6" s="1"/>
  <c r="Y481" i="6" l="1"/>
  <c r="W480" i="6"/>
  <c r="AB480" i="6" s="1"/>
  <c r="Y482" i="6" l="1"/>
  <c r="W481" i="6"/>
  <c r="AB481" i="6" s="1"/>
  <c r="W482" i="6" l="1"/>
  <c r="AB482" i="6" s="1"/>
  <c r="Y483" i="6"/>
  <c r="Y484" i="6" s="1"/>
  <c r="Y485" i="6" s="1"/>
  <c r="Y486" i="6" l="1"/>
  <c r="W485" i="6"/>
  <c r="AB485" i="6" s="1"/>
  <c r="Y487" i="6" l="1"/>
  <c r="W486" i="6"/>
  <c r="AB486" i="6" s="1"/>
  <c r="Y488" i="6" l="1"/>
  <c r="Y489" i="6" s="1"/>
  <c r="Y490" i="6" s="1"/>
  <c r="W487" i="6"/>
  <c r="AB487" i="6" s="1"/>
  <c r="Y491" i="6" l="1"/>
  <c r="W490" i="6"/>
  <c r="AB490" i="6" s="1"/>
  <c r="Y492" i="6" l="1"/>
  <c r="W491" i="6"/>
  <c r="AB491" i="6" s="1"/>
  <c r="Y493" i="6" l="1"/>
  <c r="Y494" i="6" s="1"/>
  <c r="Y495" i="6" s="1"/>
  <c r="W492" i="6"/>
  <c r="AB492" i="6" s="1"/>
  <c r="Y496" i="6" l="1"/>
  <c r="W495" i="6"/>
  <c r="AB495" i="6" s="1"/>
  <c r="Y497" i="6" l="1"/>
  <c r="W496" i="6"/>
  <c r="AB496" i="6" s="1"/>
  <c r="Y498" i="6" l="1"/>
  <c r="Y499" i="6" s="1"/>
  <c r="Y500" i="6" s="1"/>
  <c r="Y501" i="6" s="1"/>
  <c r="W497" i="6"/>
  <c r="AB497" i="6" s="1"/>
  <c r="Y502" i="6" l="1"/>
  <c r="W501" i="6"/>
  <c r="AB501" i="6" s="1"/>
  <c r="W502" i="6" l="1"/>
  <c r="AB502" i="6" s="1"/>
  <c r="Y503" i="6"/>
  <c r="W503" i="6" l="1"/>
  <c r="AB503" i="6" s="1"/>
  <c r="Y504" i="6"/>
  <c r="Y505" i="6" s="1"/>
  <c r="Y506" i="6" l="1"/>
  <c r="W505" i="6"/>
  <c r="AB505" i="6" s="1"/>
  <c r="Y507" i="6" l="1"/>
  <c r="W506" i="6"/>
  <c r="AB506" i="6" s="1"/>
  <c r="W507" i="6" l="1"/>
  <c r="AB507" i="6" s="1"/>
  <c r="Y508" i="6"/>
  <c r="Y509" i="6" s="1"/>
  <c r="W509" i="6" l="1"/>
  <c r="AB509" i="6" s="1"/>
  <c r="Y510" i="6"/>
  <c r="Y511" i="6" s="1"/>
  <c r="Y512" i="6" s="1"/>
  <c r="Y513" i="6" l="1"/>
  <c r="Y514" i="6" s="1"/>
  <c r="Y515" i="6" s="1"/>
  <c r="Y516" i="6" s="1"/>
  <c r="Y517" i="6" s="1"/>
  <c r="Y518" i="6" s="1"/>
  <c r="Y519" i="6" s="1"/>
  <c r="Y520" i="6" s="1"/>
  <c r="Y521" i="6" s="1"/>
  <c r="Y522" i="6" s="1"/>
  <c r="W512" i="6"/>
  <c r="AB512" i="6" s="1"/>
  <c r="J17" i="2"/>
  <c r="L17" i="2" l="1"/>
  <c r="J18" i="2"/>
  <c r="W522" i="6"/>
  <c r="AB522" i="6" s="1"/>
  <c r="Y523" i="6"/>
  <c r="Y524" i="6" l="1"/>
  <c r="W523" i="6"/>
  <c r="AB523" i="6" s="1"/>
  <c r="W524" i="6" l="1"/>
  <c r="AB524" i="6" s="1"/>
  <c r="Y525" i="6"/>
  <c r="Y526" i="6" s="1"/>
  <c r="Y527" i="6" s="1"/>
  <c r="W527" i="6" l="1"/>
  <c r="AB527" i="6" s="1"/>
  <c r="Y528" i="6"/>
  <c r="W528" i="6" l="1"/>
  <c r="AB528" i="6" s="1"/>
  <c r="Y529" i="6"/>
  <c r="W529" i="6" l="1"/>
  <c r="AB529" i="6" s="1"/>
  <c r="Y530" i="6"/>
  <c r="Y531" i="6" s="1"/>
  <c r="Y532" i="6" s="1"/>
  <c r="Y533" i="6" l="1"/>
  <c r="W532" i="6"/>
  <c r="AB532" i="6" s="1"/>
  <c r="Y534" i="6" l="1"/>
  <c r="W533" i="6"/>
  <c r="AB533" i="6" s="1"/>
  <c r="W534" i="6" l="1"/>
  <c r="AB534" i="6" s="1"/>
  <c r="Y535" i="6"/>
  <c r="Y536" i="6" s="1"/>
  <c r="Y537" i="6" s="1"/>
  <c r="W537" i="6" l="1"/>
  <c r="AB537" i="6" s="1"/>
  <c r="Y538" i="6"/>
  <c r="Y539" i="6" l="1"/>
  <c r="W538" i="6"/>
  <c r="AB538" i="6" s="1"/>
  <c r="Y540" i="6" l="1"/>
  <c r="Y541" i="6" s="1"/>
  <c r="Y542" i="6" s="1"/>
  <c r="W539" i="6"/>
  <c r="AB539" i="6" s="1"/>
  <c r="Y543" i="6" l="1"/>
  <c r="W542" i="6"/>
  <c r="AB542" i="6" s="1"/>
  <c r="Y544" i="6" l="1"/>
  <c r="W543" i="6"/>
  <c r="AB543" i="6" s="1"/>
  <c r="Y545" i="6" l="1"/>
  <c r="Y546" i="6" s="1"/>
  <c r="Y547" i="6" s="1"/>
  <c r="W544" i="6"/>
  <c r="AB544" i="6" s="1"/>
  <c r="Y548" i="6" l="1"/>
  <c r="W547" i="6"/>
  <c r="AB547" i="6" s="1"/>
  <c r="Y549" i="6" l="1"/>
  <c r="W548" i="6"/>
  <c r="AB548" i="6" s="1"/>
  <c r="W549" i="6" l="1"/>
  <c r="AB549" i="6" s="1"/>
  <c r="Y550" i="6"/>
  <c r="Y551" i="6" s="1"/>
  <c r="Y552" i="6" s="1"/>
  <c r="Y553" i="6" l="1"/>
  <c r="W552" i="6"/>
  <c r="AB552" i="6" s="1"/>
  <c r="Y554" i="6" l="1"/>
  <c r="W553" i="6"/>
  <c r="AB553" i="6" s="1"/>
  <c r="W554" i="6" l="1"/>
  <c r="AB554" i="6" s="1"/>
  <c r="Y555" i="6"/>
  <c r="Y556" i="6" s="1"/>
  <c r="Y557" i="6" s="1"/>
  <c r="W557" i="6" l="1"/>
  <c r="AB557" i="6" s="1"/>
  <c r="Y558" i="6"/>
  <c r="Y559" i="6" l="1"/>
  <c r="W558" i="6"/>
  <c r="AB558" i="6" s="1"/>
  <c r="W559" i="6" l="1"/>
  <c r="AB559" i="6" s="1"/>
  <c r="Y560" i="6"/>
  <c r="Y561" i="6" s="1"/>
  <c r="Y562" i="6" s="1"/>
  <c r="Y563" i="6" l="1"/>
  <c r="W562" i="6"/>
  <c r="AB562" i="6" s="1"/>
  <c r="Y564" i="6" l="1"/>
  <c r="W563" i="6"/>
  <c r="AB563" i="6" s="1"/>
  <c r="W564" i="6" l="1"/>
  <c r="AB564" i="6" s="1"/>
  <c r="Y565" i="6"/>
  <c r="Y566" i="6" s="1"/>
  <c r="Y567" i="6" s="1"/>
  <c r="Y568" i="6" l="1"/>
  <c r="W567" i="6"/>
  <c r="AB567" i="6" s="1"/>
  <c r="Y569" i="6" l="1"/>
  <c r="W568" i="6"/>
  <c r="AB568" i="6" s="1"/>
  <c r="W569" i="6" l="1"/>
  <c r="AB569" i="6" s="1"/>
  <c r="Y570" i="6"/>
  <c r="Y571" i="6" s="1"/>
  <c r="Y572" i="6" s="1"/>
  <c r="W572" i="6" l="1"/>
  <c r="AB572" i="6" s="1"/>
  <c r="Y573" i="6"/>
  <c r="Y574" i="6" l="1"/>
  <c r="W573" i="6"/>
  <c r="AB573" i="6" s="1"/>
  <c r="W574" i="6" l="1"/>
  <c r="AB574" i="6" s="1"/>
  <c r="Y575" i="6"/>
  <c r="Y576" i="6" s="1"/>
  <c r="Y577" i="6" s="1"/>
  <c r="W577" i="6" l="1"/>
  <c r="AB577" i="6" s="1"/>
  <c r="Y578" i="6"/>
  <c r="Y579" i="6" l="1"/>
  <c r="W578" i="6"/>
  <c r="AB578" i="6" s="1"/>
  <c r="W579" i="6" l="1"/>
  <c r="AB579" i="6" s="1"/>
  <c r="Y580" i="6"/>
  <c r="Y581" i="6" s="1"/>
  <c r="Y582" i="6" s="1"/>
  <c r="Y583" i="6" l="1"/>
  <c r="W582" i="6"/>
  <c r="AB582" i="6" s="1"/>
  <c r="Y584" i="6" l="1"/>
  <c r="W583" i="6"/>
  <c r="AB583" i="6" s="1"/>
  <c r="W584" i="6" l="1"/>
  <c r="AB584" i="6" s="1"/>
  <c r="Y585" i="6"/>
  <c r="Y586" i="6" s="1"/>
  <c r="Y587" i="6" s="1"/>
  <c r="W587" i="6" l="1"/>
  <c r="AB587" i="6" s="1"/>
  <c r="Y588" i="6"/>
  <c r="Y589" i="6" l="1"/>
  <c r="W588" i="6"/>
  <c r="AB588" i="6" s="1"/>
  <c r="W589" i="6" l="1"/>
  <c r="AB589" i="6" s="1"/>
  <c r="Y590" i="6"/>
  <c r="Y591" i="6" s="1"/>
  <c r="Y592" i="6" s="1"/>
  <c r="W592" i="6" l="1"/>
  <c r="AB592" i="6" s="1"/>
  <c r="Y593" i="6"/>
  <c r="Y594" i="6" l="1"/>
  <c r="W593" i="6"/>
  <c r="AB593" i="6" s="1"/>
  <c r="W594" i="6" l="1"/>
  <c r="AB594" i="6" s="1"/>
  <c r="Y595" i="6"/>
  <c r="Y596" i="6" s="1"/>
  <c r="Y597" i="6" s="1"/>
  <c r="Y598" i="6" l="1"/>
  <c r="W597" i="6"/>
  <c r="AB597" i="6" s="1"/>
  <c r="Y599" i="6" l="1"/>
  <c r="W598" i="6"/>
  <c r="AB598" i="6" s="1"/>
  <c r="W599" i="6" l="1"/>
  <c r="AB599" i="6" s="1"/>
  <c r="Y600" i="6"/>
  <c r="Y601" i="6" s="1"/>
  <c r="Y602" i="6" s="1"/>
  <c r="W602" i="6" l="1"/>
  <c r="AB602" i="6" s="1"/>
  <c r="Y603" i="6"/>
  <c r="Y604" i="6" l="1"/>
  <c r="W603" i="6"/>
  <c r="AB603" i="6" s="1"/>
  <c r="W604" i="6" l="1"/>
  <c r="AB604" i="6" s="1"/>
  <c r="Y605" i="6"/>
  <c r="Y606" i="6" s="1"/>
  <c r="Y607" i="6" s="1"/>
  <c r="Y608" i="6" l="1"/>
  <c r="W607" i="6"/>
  <c r="AB607" i="6" s="1"/>
  <c r="Y609" i="6" l="1"/>
  <c r="W608" i="6"/>
  <c r="AB608" i="6" s="1"/>
  <c r="Y610" i="6" l="1"/>
  <c r="Y611" i="6" s="1"/>
  <c r="Y612" i="6" s="1"/>
  <c r="W609" i="6"/>
  <c r="AB609" i="6" s="1"/>
  <c r="W612" i="6" l="1"/>
  <c r="AB612" i="6" s="1"/>
  <c r="Y613" i="6"/>
  <c r="W613" i="6" l="1"/>
  <c r="AB613" i="6" s="1"/>
  <c r="Y614" i="6"/>
  <c r="W614" i="6" l="1"/>
  <c r="AB614" i="6" s="1"/>
  <c r="Y615" i="6"/>
  <c r="Y616" i="6" s="1"/>
  <c r="Y617" i="6" s="1"/>
  <c r="Y618" i="6" l="1"/>
  <c r="W617" i="6"/>
  <c r="AB617" i="6" s="1"/>
  <c r="W618" i="6" l="1"/>
  <c r="AB618" i="6" s="1"/>
  <c r="Y619" i="6"/>
  <c r="W619" i="6" l="1"/>
  <c r="AB619" i="6" s="1"/>
  <c r="Y620" i="6"/>
  <c r="Y621" i="6" s="1"/>
  <c r="Y622" i="6" s="1"/>
  <c r="Y623" i="6" l="1"/>
  <c r="W622" i="6"/>
  <c r="AB622" i="6" s="1"/>
  <c r="W623" i="6" l="1"/>
  <c r="AB623" i="6" s="1"/>
  <c r="Y624" i="6"/>
  <c r="Y625" i="6" l="1"/>
  <c r="Y626" i="6" s="1"/>
  <c r="Y627" i="6" s="1"/>
  <c r="W624" i="6"/>
  <c r="AB624" i="6" s="1"/>
  <c r="W627" i="6" l="1"/>
  <c r="AB627" i="6" s="1"/>
  <c r="Y628" i="6"/>
  <c r="Y629" i="6" l="1"/>
  <c r="W628" i="6"/>
  <c r="AB628" i="6" s="1"/>
  <c r="W629" i="6" l="1"/>
  <c r="AB629" i="6" s="1"/>
  <c r="Y630" i="6"/>
  <c r="Y631" i="6" s="1"/>
  <c r="Y632" i="6" s="1"/>
  <c r="Y633" i="6" l="1"/>
  <c r="W632" i="6"/>
  <c r="AB632" i="6" s="1"/>
  <c r="W633" i="6" l="1"/>
  <c r="AB633" i="6" s="1"/>
  <c r="Y634" i="6"/>
  <c r="Y635" i="6" s="1"/>
  <c r="Y636" i="6" l="1"/>
  <c r="W635" i="6"/>
  <c r="AB635" i="6" s="1"/>
  <c r="W636" i="6" l="1"/>
  <c r="AB636" i="6" s="1"/>
  <c r="Y637" i="6"/>
  <c r="W637" i="6" l="1"/>
  <c r="AB637" i="6" s="1"/>
  <c r="Y638" i="6"/>
  <c r="Y639" i="6" s="1"/>
  <c r="Y640" i="6" s="1"/>
  <c r="W640" i="6" l="1"/>
  <c r="AB640" i="6" s="1"/>
  <c r="Y641" i="6"/>
  <c r="Y642" i="6" s="1"/>
  <c r="Y643" i="6" s="1"/>
  <c r="Y644" i="6" s="1"/>
  <c r="Y645" i="6" s="1"/>
  <c r="Y646" i="6" s="1"/>
  <c r="Y647" i="6" s="1"/>
  <c r="Y648" i="6" l="1"/>
  <c r="Y649" i="6" l="1"/>
  <c r="W649" i="6" l="1"/>
  <c r="AB649" i="6" s="1"/>
  <c r="Y650" i="6"/>
  <c r="Y651" i="6" l="1"/>
  <c r="Y652" i="6" s="1"/>
  <c r="Y653" i="6" s="1"/>
  <c r="Y654" i="6" s="1"/>
  <c r="Y655" i="6" s="1"/>
  <c r="Y656" i="6" l="1"/>
  <c r="Y657" i="6" l="1"/>
  <c r="Y658" i="6" l="1"/>
  <c r="Y659" i="6" s="1"/>
  <c r="Y660" i="6" s="1"/>
  <c r="Y661" i="6" l="1"/>
  <c r="Y662" i="6" l="1"/>
  <c r="Y663" i="6" l="1"/>
  <c r="Y664" i="6" s="1"/>
  <c r="Y665" i="6" s="1"/>
  <c r="Y666" i="6" l="1"/>
  <c r="Y667" i="6" l="1"/>
  <c r="Y668" i="6" l="1"/>
  <c r="Y669" i="6" s="1"/>
  <c r="Y670" i="6" s="1"/>
  <c r="Y671" i="6" l="1"/>
  <c r="Y672" i="6" l="1"/>
  <c r="Y673" i="6" l="1"/>
  <c r="Y674" i="6" s="1"/>
  <c r="Y675" i="6" s="1"/>
  <c r="Y676" i="6" l="1"/>
  <c r="Y677" i="6" l="1"/>
  <c r="Y678" i="6" l="1"/>
  <c r="Y679" i="6" s="1"/>
  <c r="Y680" i="6" s="1"/>
  <c r="Y681" i="6" l="1"/>
  <c r="Y682" i="6" l="1"/>
  <c r="Y683" i="6" l="1"/>
  <c r="Y684" i="6" s="1"/>
  <c r="Y685" i="6" s="1"/>
  <c r="Y686" i="6" l="1"/>
  <c r="Y687" i="6" l="1"/>
  <c r="Y688" i="6" l="1"/>
  <c r="Y689" i="6" s="1"/>
  <c r="Y690" i="6" s="1"/>
  <c r="Y691" i="6" l="1"/>
  <c r="Y692" i="6" l="1"/>
  <c r="Y693" i="6" l="1"/>
  <c r="Y694" i="6" s="1"/>
  <c r="Y695" i="6" s="1"/>
  <c r="Y696" i="6" l="1"/>
  <c r="Y697" i="6" l="1"/>
  <c r="Y698" i="6" l="1"/>
  <c r="Y699" i="6" s="1"/>
  <c r="Y700" i="6" s="1"/>
  <c r="Y701" i="6" l="1"/>
  <c r="Y702" i="6" l="1"/>
  <c r="Y703" i="6" l="1"/>
  <c r="Y704" i="6" s="1"/>
  <c r="Y705" i="6" s="1"/>
  <c r="Y706" i="6" l="1"/>
  <c r="Y707" i="6" l="1"/>
  <c r="Y708" i="6" l="1"/>
  <c r="Y709" i="6" s="1"/>
  <c r="Y710" i="6" s="1"/>
  <c r="Y711" i="6" l="1"/>
  <c r="Y712" i="6" l="1"/>
  <c r="Y713" i="6" l="1"/>
  <c r="Y714" i="6" s="1"/>
  <c r="Y715" i="6" s="1"/>
  <c r="Y716" i="6" l="1"/>
  <c r="Y717" i="6" l="1"/>
  <c r="Y718" i="6" l="1"/>
  <c r="Y719" i="6" s="1"/>
  <c r="Y720" i="6" s="1"/>
  <c r="Y721" i="6" l="1"/>
  <c r="Y722" i="6" l="1"/>
  <c r="Y723" i="6" l="1"/>
  <c r="Y724" i="6" s="1"/>
  <c r="Y725" i="6" s="1"/>
  <c r="Y726" i="6" l="1"/>
  <c r="Y727" i="6" l="1"/>
  <c r="Y728" i="6" l="1"/>
  <c r="Y729" i="6" s="1"/>
  <c r="Y730" i="6" s="1"/>
  <c r="Y731" i="6" l="1"/>
  <c r="Y732" i="6" l="1"/>
  <c r="Y733" i="6" l="1"/>
  <c r="Y734" i="6" s="1"/>
  <c r="Y735" i="6" s="1"/>
  <c r="Y736" i="6" l="1"/>
  <c r="Y737" i="6" l="1"/>
  <c r="Y738" i="6" l="1"/>
  <c r="Y739" i="6" s="1"/>
  <c r="Y740" i="6" s="1"/>
  <c r="Y741" i="6" l="1"/>
  <c r="Y742" i="6" l="1"/>
  <c r="Y743" i="6" l="1"/>
  <c r="Y744" i="6" s="1"/>
  <c r="Y745" i="6" s="1"/>
  <c r="Y746" i="6" l="1"/>
  <c r="Y747" i="6" l="1"/>
  <c r="Y748" i="6" l="1"/>
  <c r="Y749" i="6" s="1"/>
  <c r="Y750" i="6" s="1"/>
  <c r="Y751" i="6" l="1"/>
  <c r="Y752" i="6" l="1"/>
  <c r="Y753" i="6" l="1"/>
  <c r="W752" i="6"/>
  <c r="AB752" i="6" s="1"/>
  <c r="Y754" i="6" l="1"/>
  <c r="Y755" i="6" s="1"/>
  <c r="Y756" i="6" s="1"/>
  <c r="Y757" i="6" s="1"/>
  <c r="Y758" i="6" s="1"/>
  <c r="Y759" i="6" l="1"/>
  <c r="Y760" i="6" l="1"/>
  <c r="Y761" i="6" l="1"/>
  <c r="Y762" i="6" s="1"/>
  <c r="Y763" i="6" s="1"/>
  <c r="Y764" i="6" l="1"/>
  <c r="Y765" i="6" l="1"/>
  <c r="Y766" i="6" l="1"/>
  <c r="Y767" i="6" s="1"/>
  <c r="Y768" i="6" s="1"/>
  <c r="Y769" i="6" l="1"/>
  <c r="Y770" i="6" l="1"/>
  <c r="Y771" i="6" l="1"/>
  <c r="Y772" i="6" s="1"/>
  <c r="Y773" i="6" s="1"/>
  <c r="Y774" i="6" l="1"/>
  <c r="Y775" i="6" l="1"/>
  <c r="Y776" i="6" l="1"/>
  <c r="Y777" i="6" s="1"/>
  <c r="Y778" i="6" s="1"/>
  <c r="Y779" i="6" l="1"/>
  <c r="Y780" i="6" l="1"/>
  <c r="Y781" i="6" l="1"/>
  <c r="Y782" i="6" s="1"/>
  <c r="Y783" i="6" s="1"/>
  <c r="Y784" i="6" l="1"/>
  <c r="Y785" i="6" l="1"/>
  <c r="Y786" i="6" l="1"/>
  <c r="Y787" i="6" s="1"/>
  <c r="Y788" i="6" s="1"/>
  <c r="W788" i="6" l="1"/>
  <c r="AB788" i="6" s="1"/>
  <c r="Y789" i="6"/>
  <c r="Y790" i="6" l="1"/>
  <c r="W789" i="6"/>
  <c r="AB789" i="6" s="1"/>
  <c r="W790" i="6" l="1"/>
  <c r="AB790" i="6" s="1"/>
  <c r="Y791" i="6"/>
  <c r="Y792" i="6" s="1"/>
  <c r="Y793" i="6" s="1"/>
  <c r="W793" i="6" l="1"/>
  <c r="AB793" i="6" s="1"/>
  <c r="Y794" i="6"/>
  <c r="Y795" i="6" l="1"/>
  <c r="W794" i="6"/>
  <c r="AB794" i="6" s="1"/>
  <c r="W795" i="6" l="1"/>
  <c r="AB795" i="6" s="1"/>
  <c r="Y796" i="6"/>
  <c r="Y797" i="6" s="1"/>
  <c r="Y798" i="6" s="1"/>
  <c r="W798" i="6" l="1"/>
  <c r="AB798" i="6" s="1"/>
  <c r="Y799" i="6"/>
  <c r="Y800" i="6" l="1"/>
  <c r="Y801" i="6" l="1"/>
  <c r="Y802" i="6" s="1"/>
  <c r="Y803" i="6" s="1"/>
  <c r="Y804" i="6" s="1"/>
  <c r="Y805" i="6" l="1"/>
  <c r="Y806" i="6" s="1"/>
  <c r="Y807" i="6" l="1"/>
  <c r="Y808" i="6" s="1"/>
  <c r="Y809" i="6" s="1"/>
  <c r="Y810" i="6" s="1"/>
  <c r="Y811" i="6" s="1"/>
  <c r="Y812" i="6" l="1"/>
  <c r="Y813" i="6" l="1"/>
  <c r="Y814" i="6" l="1"/>
  <c r="Y815" i="6" s="1"/>
  <c r="Y816" i="6" s="1"/>
  <c r="Y817" i="6" l="1"/>
  <c r="Y818" i="6" l="1"/>
  <c r="Y819" i="6" l="1"/>
  <c r="Y820" i="6" s="1"/>
  <c r="Y821" i="6" s="1"/>
  <c r="Y822" i="6" l="1"/>
  <c r="Y823" i="6" l="1"/>
  <c r="Y824" i="6" l="1"/>
  <c r="Y825" i="6" s="1"/>
  <c r="Y826" i="6" s="1"/>
  <c r="Y827" i="6" l="1"/>
  <c r="Y828" i="6" l="1"/>
  <c r="Y829" i="6" l="1"/>
  <c r="Y830" i="6" s="1"/>
  <c r="Y831" i="6" s="1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Y851" i="6" l="1"/>
  <c r="Y852" i="6" l="1"/>
  <c r="Y853" i="6" s="1"/>
  <c r="Y854" i="6" s="1"/>
  <c r="Y855" i="6" l="1"/>
  <c r="Y856" i="6" l="1"/>
  <c r="Y857" i="6" l="1"/>
  <c r="Y858" i="6" s="1"/>
  <c r="Y859" i="6" s="1"/>
  <c r="Y860" i="6" l="1"/>
  <c r="Y861" i="6" l="1"/>
  <c r="Y862" i="6" l="1"/>
  <c r="Y863" i="6" s="1"/>
  <c r="Y864" i="6" s="1"/>
  <c r="Y865" i="6" l="1"/>
  <c r="Y866" i="6" l="1"/>
  <c r="Y867" i="6" l="1"/>
  <c r="Y868" i="6" s="1"/>
  <c r="Y869" i="6" s="1"/>
  <c r="Y870" i="6" l="1"/>
  <c r="Y871" i="6" l="1"/>
  <c r="Y872" i="6" l="1"/>
  <c r="Y873" i="6" s="1"/>
  <c r="Y874" i="6" s="1"/>
  <c r="Y875" i="6" l="1"/>
  <c r="Y876" i="6" l="1"/>
  <c r="Y877" i="6" l="1"/>
  <c r="Y878" i="6" s="1"/>
  <c r="Y879" i="6" s="1"/>
  <c r="Y880" i="6" l="1"/>
  <c r="Y881" i="6" l="1"/>
  <c r="Y882" i="6" l="1"/>
  <c r="Y883" i="6" s="1"/>
  <c r="Y884" i="6" s="1"/>
  <c r="Y885" i="6" l="1"/>
  <c r="Y886" i="6" l="1"/>
  <c r="Y887" i="6" l="1"/>
  <c r="Y888" i="6" s="1"/>
  <c r="Y889" i="6" s="1"/>
  <c r="Y890" i="6" l="1"/>
  <c r="Y891" i="6" l="1"/>
  <c r="Y892" i="6" l="1"/>
  <c r="Y893" i="6" s="1"/>
  <c r="Y894" i="6" s="1"/>
  <c r="Y895" i="6" l="1"/>
  <c r="Y896" i="6" l="1"/>
  <c r="Y897" i="6" l="1"/>
  <c r="Y898" i="6" s="1"/>
  <c r="Y899" i="6" s="1"/>
  <c r="Y900" i="6" s="1"/>
  <c r="Y901" i="6" s="1"/>
  <c r="Y902" i="6" s="1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Y915" i="6" l="1"/>
  <c r="Y916" i="6" l="1"/>
  <c r="Y917" i="6" l="1"/>
  <c r="Y918" i="6" l="1"/>
  <c r="Y919" i="6" s="1"/>
  <c r="Y920" i="6" s="1"/>
  <c r="Y921" i="6" l="1"/>
  <c r="Y922" i="6" l="1"/>
  <c r="Y923" i="6" l="1"/>
  <c r="Y924" i="6" l="1"/>
  <c r="Y925" i="6" l="1"/>
  <c r="Y926" i="6" s="1"/>
  <c r="Y927" i="6" l="1"/>
  <c r="Y928" i="6" s="1"/>
  <c r="Y929" i="6" s="1"/>
  <c r="Y930" i="6" l="1"/>
  <c r="W929" i="6"/>
  <c r="AB929" i="6" s="1"/>
  <c r="Y931" i="6" l="1"/>
  <c r="Y932" i="6" l="1"/>
  <c r="Y933" i="6" l="1"/>
  <c r="Y934" i="6" l="1"/>
  <c r="Y935" i="6" l="1"/>
  <c r="Y936" i="6" s="1"/>
  <c r="Y937" i="6" l="1"/>
  <c r="Y938" i="6" s="1"/>
  <c r="W938" i="6" l="1"/>
  <c r="AB938" i="6" s="1"/>
  <c r="Y939" i="6"/>
  <c r="Y940" i="6" s="1"/>
  <c r="W940" i="6" l="1"/>
  <c r="AB940" i="6" s="1"/>
  <c r="Y941" i="6"/>
  <c r="Y942" i="6" s="1"/>
  <c r="W942" i="6" l="1"/>
  <c r="AB942" i="6" s="1"/>
  <c r="Y943" i="6"/>
  <c r="Y944" i="6" s="1"/>
  <c r="W944" i="6" l="1"/>
  <c r="AB944" i="6" s="1"/>
  <c r="Y945" i="6"/>
  <c r="Y946" i="6" s="1"/>
  <c r="Y947" i="6" s="1"/>
  <c r="Y948" i="6" s="1"/>
  <c r="Y949" i="6" s="1"/>
  <c r="Y950" i="6" s="1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Y968" i="6" l="1"/>
  <c r="Y969" i="6" s="1"/>
  <c r="Y970" i="6" s="1"/>
  <c r="Y971" i="6" s="1"/>
  <c r="Y972" i="6" s="1"/>
  <c r="Y973" i="6" l="1"/>
  <c r="Y974" i="6" l="1"/>
  <c r="Y975" i="6" l="1"/>
  <c r="Y976" i="6" l="1"/>
  <c r="Y977" i="6" l="1"/>
  <c r="Y978" i="6" l="1"/>
  <c r="Y979" i="6" l="1"/>
  <c r="Y980" i="6" s="1"/>
  <c r="Y981" i="6" s="1"/>
  <c r="Y982" i="6" s="1"/>
  <c r="Y983" i="6" s="1"/>
  <c r="Y984" i="6" s="1"/>
  <c r="Y985" i="6" l="1"/>
  <c r="Y986" i="6" l="1"/>
  <c r="Y987" i="6" s="1"/>
  <c r="Y988" i="6" s="1"/>
  <c r="Y989" i="6" s="1"/>
  <c r="Y990" i="6" l="1"/>
  <c r="Y991" i="6" l="1"/>
  <c r="Y992" i="6" s="1"/>
  <c r="Y993" i="6" s="1"/>
  <c r="Y994" i="6" s="1"/>
  <c r="Y995" i="6" s="1"/>
  <c r="Y996" i="6" s="1"/>
  <c r="Y997" i="6" s="1"/>
  <c r="Y998" i="6" l="1"/>
  <c r="Y999" i="6" s="1"/>
  <c r="Y1000" i="6" s="1"/>
  <c r="Y1001" i="6" s="1"/>
  <c r="Y1002" i="6" l="1"/>
  <c r="Y1003" i="6" s="1"/>
  <c r="Y1004" i="6" s="1"/>
  <c r="Y1005" i="6" s="1"/>
  <c r="Y1006" i="6" l="1"/>
  <c r="W1005" i="6"/>
  <c r="AB1005" i="6" s="1"/>
  <c r="Y1007" i="6" l="1"/>
  <c r="Y1008" i="6" s="1"/>
  <c r="Y1009" i="6" s="1"/>
  <c r="Y1010" i="6" s="1"/>
  <c r="Y1011" i="6" l="1"/>
  <c r="Y1012" i="6" l="1"/>
  <c r="Y1013" i="6" s="1"/>
  <c r="Y1014" i="6" s="1"/>
  <c r="Y1015" i="6" s="1"/>
  <c r="Y1016" i="6" l="1"/>
  <c r="Y1017" i="6" l="1"/>
  <c r="Y1018" i="6" s="1"/>
  <c r="Y1019" i="6" s="1"/>
  <c r="Y1020" i="6" s="1"/>
  <c r="Y1021" i="6" l="1"/>
  <c r="Y1022" i="6" l="1"/>
  <c r="Y1023" i="6" s="1"/>
  <c r="Y1024" i="6" s="1"/>
  <c r="Y1025" i="6" s="1"/>
  <c r="Y1026" i="6" l="1"/>
  <c r="Y1027" i="6" l="1"/>
  <c r="Y1028" i="6" s="1"/>
  <c r="Y1029" i="6" s="1"/>
  <c r="Y1030" i="6" s="1"/>
  <c r="Y1031" i="6" l="1"/>
  <c r="Y1032" i="6" l="1"/>
  <c r="Y1033" i="6" s="1"/>
  <c r="Y1034" i="6" s="1"/>
  <c r="Y1035" i="6" l="1"/>
  <c r="Y1036" i="6" s="1"/>
  <c r="Y1037" i="6" s="1"/>
  <c r="Y1038" i="6" s="1"/>
  <c r="Y1039" i="6" l="1"/>
  <c r="Y1040" i="6" l="1"/>
  <c r="Y1041" i="6" l="1"/>
  <c r="Y1042" i="6" s="1"/>
  <c r="Y1043" i="6" s="1"/>
  <c r="Y1044" i="6" l="1"/>
  <c r="Y1045" i="6" l="1"/>
  <c r="Y1046" i="6" l="1"/>
  <c r="Y1047" i="6" l="1"/>
  <c r="Y1048" i="6" s="1"/>
  <c r="Y1049" i="6" s="1"/>
  <c r="Y1050" i="6" l="1"/>
  <c r="Y1051" i="6" l="1"/>
  <c r="Y1052" i="6" l="1"/>
  <c r="Y1053" i="6" l="1"/>
  <c r="Y1054" i="6" s="1"/>
  <c r="Y1055" i="6" s="1"/>
  <c r="Y1056" i="6" l="1"/>
  <c r="Y1057" i="6" l="1"/>
  <c r="Y1058" i="6" l="1"/>
  <c r="Y1059" i="6" l="1"/>
  <c r="Y1060" i="6" s="1"/>
  <c r="Y1061" i="6" s="1"/>
  <c r="Y1062" i="6" l="1"/>
  <c r="Y1063" i="6" l="1"/>
  <c r="Y1064" i="6" l="1"/>
  <c r="Y1065" i="6" s="1"/>
  <c r="Y1066" i="6" s="1"/>
  <c r="Y1067" i="6" l="1"/>
  <c r="Y1068" i="6" l="1"/>
  <c r="Y1069" i="6" l="1"/>
  <c r="Y1070" i="6" l="1"/>
  <c r="Y1071" i="6" s="1"/>
  <c r="Y1072" i="6" s="1"/>
  <c r="Y1073" i="6" l="1"/>
  <c r="Y1074" i="6" l="1"/>
  <c r="Y1075" i="6" l="1"/>
  <c r="Y1076" i="6" l="1"/>
  <c r="Y1077" i="6" s="1"/>
  <c r="Y1078" i="6" s="1"/>
  <c r="Y1079" i="6" l="1"/>
  <c r="Y1080" i="6" l="1"/>
  <c r="Y1081" i="6" l="1"/>
  <c r="Y1082" i="6" l="1"/>
  <c r="Y1083" i="6" s="1"/>
  <c r="Y1084" i="6" s="1"/>
  <c r="Y1085" i="6" l="1"/>
  <c r="Y1086" i="6" l="1"/>
  <c r="Y1087" i="6" l="1"/>
  <c r="Y1088" i="6" s="1"/>
  <c r="Y1089" i="6" s="1"/>
  <c r="Y1090" i="6" l="1"/>
  <c r="Y1091" i="6" l="1"/>
  <c r="Y1092" i="6" l="1"/>
  <c r="Y1093" i="6" l="1"/>
  <c r="Y1094" i="6" s="1"/>
  <c r="Y1095" i="6" l="1"/>
  <c r="Y1096" i="6" s="1"/>
  <c r="Y1097" i="6" s="1"/>
  <c r="Y1098" i="6" s="1"/>
  <c r="Y1099" i="6" l="1"/>
  <c r="Y1100" i="6" l="1"/>
  <c r="Y1101" i="6" l="1"/>
  <c r="Y1102" i="6" l="1"/>
  <c r="Y1103" i="6" l="1"/>
  <c r="Y1104" i="6" s="1"/>
  <c r="Y1105" i="6" s="1"/>
  <c r="W1105" i="6" l="1"/>
  <c r="AB1105" i="6" s="1"/>
  <c r="Y1106" i="6"/>
  <c r="W1106" i="6" l="1"/>
  <c r="AB1106" i="6" s="1"/>
  <c r="Y1107" i="6"/>
  <c r="Y1108" i="6" s="1"/>
  <c r="Y1109" i="6" s="1"/>
  <c r="Y1110" i="6" l="1"/>
  <c r="W1109" i="6"/>
  <c r="AB1109" i="6" s="1"/>
  <c r="J51" i="2"/>
  <c r="Y1111" i="6" l="1"/>
  <c r="W1110" i="6"/>
  <c r="AB1110" i="6" s="1"/>
  <c r="L51" i="2"/>
  <c r="W1111" i="6" l="1"/>
  <c r="AB1111" i="6" s="1"/>
  <c r="Y1112" i="6"/>
  <c r="Y1113" i="6" l="1"/>
  <c r="Y1114" i="6" l="1"/>
  <c r="Y1115" i="6" s="1"/>
  <c r="Y1116" i="6" s="1"/>
  <c r="Y1117" i="6" l="1"/>
  <c r="Y1118" i="6" l="1"/>
  <c r="Y1119" i="6" l="1"/>
  <c r="Y1120" i="6" l="1"/>
  <c r="Y1121" i="6" l="1"/>
  <c r="Y1122" i="6" s="1"/>
  <c r="Y1123" i="6" s="1"/>
  <c r="Y1124" i="6" l="1"/>
  <c r="Y1125" i="6" l="1"/>
  <c r="Y1126" i="6" l="1"/>
  <c r="Y1127" i="6" l="1"/>
  <c r="Y1128" i="6" s="1"/>
  <c r="Y1129" i="6" s="1"/>
  <c r="Y1130" i="6" s="1"/>
  <c r="Y1131" i="6" l="1"/>
  <c r="Y1132" i="6" l="1"/>
  <c r="Y1133" i="6" l="1"/>
  <c r="Y1134" i="6" s="1"/>
  <c r="Y1135" i="6" s="1"/>
  <c r="Y1136" i="6" s="1"/>
  <c r="Y1137" i="6" s="1"/>
  <c r="Y1138" i="6" s="1"/>
  <c r="Y1139" i="6" s="1"/>
  <c r="Y1140" i="6" s="1"/>
  <c r="Y1141" i="6" l="1"/>
  <c r="Y1142" i="6" l="1"/>
  <c r="Y1143" i="6" s="1"/>
  <c r="Y1144" i="6" s="1"/>
  <c r="Y1145" i="6" l="1"/>
  <c r="Y1146" i="6" s="1"/>
  <c r="Y1147" i="6" s="1"/>
  <c r="Y1148" i="6" s="1"/>
  <c r="Y1149" i="6" s="1"/>
  <c r="Y1150" i="6" s="1"/>
  <c r="Y1151" i="6" l="1"/>
  <c r="Y1152" i="6" l="1"/>
  <c r="Y1153" i="6" l="1"/>
  <c r="Y1154" i="6" s="1"/>
  <c r="Y1155" i="6" s="1"/>
  <c r="Y1156" i="6" l="1"/>
  <c r="W1155" i="6"/>
  <c r="AB1155" i="6" s="1"/>
  <c r="Y1157" i="6" l="1"/>
  <c r="Y1158" i="6" s="1"/>
  <c r="Y1159" i="6" s="1"/>
  <c r="W1156" i="6"/>
  <c r="AB1156" i="6" s="1"/>
  <c r="J60" i="2" l="1"/>
  <c r="Y1160" i="6"/>
  <c r="Y1161" i="6" l="1"/>
  <c r="Y1162" i="6" s="1"/>
  <c r="Y1163" i="6" s="1"/>
  <c r="L60" i="2"/>
  <c r="W1163" i="6" l="1"/>
  <c r="AB1163" i="6" s="1"/>
  <c r="Y1164" i="6"/>
  <c r="W1164" i="6" l="1"/>
  <c r="AB1164" i="6" s="1"/>
  <c r="Y1165" i="6"/>
  <c r="Y1166" i="6" l="1"/>
  <c r="W1165" i="6"/>
  <c r="AB1165" i="6" s="1"/>
  <c r="Y1167" i="6" l="1"/>
  <c r="Y1168" i="6" l="1"/>
  <c r="Y1169" i="6" s="1"/>
  <c r="Y1170" i="6" s="1"/>
  <c r="Y1171" i="6" l="1"/>
  <c r="W1170" i="6"/>
  <c r="AB1170" i="6" s="1"/>
  <c r="W1171" i="6" l="1"/>
  <c r="AB1171" i="6" s="1"/>
  <c r="Y1172" i="6"/>
  <c r="Y1173" i="6" l="1"/>
  <c r="W1172" i="6"/>
  <c r="AB1172" i="6" s="1"/>
  <c r="Y1174" i="6" l="1"/>
  <c r="Y1175" i="6" l="1"/>
  <c r="Y1176" i="6" s="1"/>
  <c r="Y1177" i="6" s="1"/>
  <c r="W1177" i="6" l="1"/>
  <c r="AB1177" i="6" s="1"/>
  <c r="Y1178" i="6"/>
  <c r="Y1179" i="6" l="1"/>
  <c r="W1178" i="6"/>
  <c r="AB1178" i="6" s="1"/>
  <c r="Y1180" i="6" l="1"/>
  <c r="Y1181" i="6" s="1"/>
  <c r="Y1182" i="6" s="1"/>
  <c r="W1179" i="6"/>
  <c r="AB1179" i="6" s="1"/>
  <c r="J64" i="2" l="1"/>
  <c r="Y1183" i="6"/>
  <c r="L64" i="2" l="1"/>
  <c r="Y1184" i="6"/>
  <c r="Y1185" i="6" l="1"/>
  <c r="Y1186" i="6" s="1"/>
  <c r="Y1187" i="6" s="1"/>
  <c r="Y1188" i="6" l="1"/>
  <c r="Y1189" i="6" l="1"/>
  <c r="Y1190" i="6" s="1"/>
  <c r="Y1191" i="6" s="1"/>
  <c r="Y1192" i="6" l="1"/>
  <c r="Y1193" i="6" l="1"/>
  <c r="Y1194" i="6" l="1"/>
  <c r="Y1195" i="6" l="1"/>
  <c r="Y1196" i="6" l="1"/>
  <c r="Y1197" i="6" s="1"/>
  <c r="Y1198" i="6" s="1"/>
  <c r="Y1199" i="6" l="1"/>
  <c r="Y1200" i="6" l="1"/>
  <c r="Y1201" i="6" l="1"/>
  <c r="Y1202" i="6" l="1"/>
  <c r="Y1203" i="6" l="1"/>
  <c r="Y1204" i="6" s="1"/>
  <c r="Y1205" i="6" s="1"/>
  <c r="Y1206" i="6" l="1"/>
  <c r="Y1207" i="6" l="1"/>
  <c r="Y1208" i="6" l="1"/>
  <c r="Y1209" i="6" l="1"/>
  <c r="Y1210" i="6" l="1"/>
  <c r="Y1211" i="6" s="1"/>
  <c r="Y1212" i="6" s="1"/>
  <c r="Y1213" i="6" l="1"/>
  <c r="Y1214" i="6" l="1"/>
  <c r="Y1215" i="6" s="1"/>
  <c r="Y1216" i="6" s="1"/>
  <c r="Y1217" i="6" l="1"/>
  <c r="Y1218" i="6" l="1"/>
  <c r="Y1219" i="6" l="1"/>
  <c r="Y1220" i="6" l="1"/>
  <c r="Y1221" i="6" s="1"/>
  <c r="Y1222" i="6" s="1"/>
  <c r="Y1223" i="6" l="1"/>
  <c r="Y1224" i="6" s="1"/>
  <c r="Y1225" i="6" s="1"/>
  <c r="Y1226" i="6" l="1"/>
  <c r="Y1227" i="6" l="1"/>
  <c r="Y1228" i="6" l="1"/>
  <c r="Y1229" i="6" l="1"/>
  <c r="Y1230" i="6" s="1"/>
  <c r="Y1231" i="6" s="1"/>
  <c r="Y1232" i="6" l="1"/>
  <c r="Y1233" i="6" s="1"/>
  <c r="Y1234" i="6" s="1"/>
  <c r="Y1235" i="6" s="1"/>
  <c r="Y1236" i="6" s="1"/>
  <c r="Y1237" i="6" s="1"/>
  <c r="Y1238" i="6" s="1"/>
  <c r="Y1239" i="6" s="1"/>
  <c r="Y1240" i="6" s="1"/>
  <c r="Y1241" i="6" s="1"/>
  <c r="Y1242" i="6" s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l="1"/>
  <c r="Y1255" i="6" s="1"/>
  <c r="Y1256" i="6" s="1"/>
  <c r="Y1257" i="6" s="1"/>
  <c r="Y1258" i="6" l="1"/>
  <c r="Y1259" i="6" l="1"/>
  <c r="Y1260" i="6" l="1"/>
  <c r="Y1261" i="6" l="1"/>
  <c r="Y1262" i="6" s="1"/>
  <c r="Y1263" i="6" s="1"/>
  <c r="L40" i="52" l="1"/>
  <c r="L41" i="52"/>
  <c r="L49" i="52"/>
  <c r="K9" i="52" l="1"/>
  <c r="L59" i="52"/>
  <c r="J10" i="52" l="1"/>
  <c r="L10" i="52" s="1"/>
  <c r="L23" i="52" s="1"/>
  <c r="L27" i="52" s="1"/>
  <c r="D15" i="12"/>
  <c r="C15" i="12"/>
  <c r="E15" i="12"/>
  <c r="F15" i="12" l="1"/>
  <c r="J9" i="52"/>
  <c r="E14" i="12" l="1"/>
  <c r="D14" i="12"/>
  <c r="F14" i="12" s="1"/>
  <c r="C14" i="12"/>
  <c r="J11" i="52"/>
  <c r="L9" i="52"/>
  <c r="L11" i="52" l="1"/>
  <c r="L29" i="52"/>
  <c r="L31" i="52" s="1"/>
  <c r="L76" i="2"/>
  <c r="E46" i="12" l="1"/>
  <c r="E62" i="12" s="1"/>
  <c r="D46" i="12"/>
  <c r="C46" i="12"/>
  <c r="C62" i="12" s="1"/>
  <c r="D62" i="12" l="1"/>
  <c r="F62" i="12" s="1"/>
  <c r="F46" i="12"/>
  <c r="AQ456" i="651" l="1"/>
  <c r="AQ264" i="651"/>
  <c r="AQ10" i="651" s="1"/>
  <c r="AN456" i="651"/>
  <c r="AP273" i="651"/>
  <c r="AF376" i="651"/>
  <c r="AL264" i="651"/>
  <c r="AQ272" i="651"/>
  <c r="AF464" i="651"/>
  <c r="AN264" i="651"/>
  <c r="AO264" i="651"/>
  <c r="AM342" i="651"/>
  <c r="AN472" i="651"/>
  <c r="AF400" i="651"/>
  <c r="AF500" i="651"/>
  <c r="AP500" i="651"/>
  <c r="AN273" i="651"/>
  <c r="AF303" i="651"/>
  <c r="AF265" i="651"/>
  <c r="AF362" i="651"/>
  <c r="AF264" i="651"/>
  <c r="AP456" i="651"/>
  <c r="AP415" i="651"/>
  <c r="AQ468" i="651"/>
  <c r="AM428" i="651"/>
  <c r="AF337" i="651"/>
  <c r="AF282" i="651"/>
  <c r="AF292" i="651"/>
  <c r="AF411" i="651"/>
  <c r="AO500" i="651"/>
  <c r="AP375" i="651"/>
  <c r="AQ375" i="651"/>
  <c r="AF288" i="651"/>
  <c r="AF473" i="651"/>
  <c r="AM347" i="651"/>
  <c r="AM312" i="651"/>
  <c r="AP472" i="651"/>
  <c r="AO322" i="651"/>
  <c r="AO429" i="651"/>
  <c r="AM472" i="651"/>
  <c r="AN433" i="651"/>
  <c r="AM496" i="651"/>
  <c r="AP390" i="651"/>
  <c r="AM264" i="651"/>
  <c r="AF390" i="651"/>
  <c r="AP272" i="651"/>
  <c r="AM456" i="651"/>
  <c r="AF410" i="651"/>
  <c r="AF352" i="651"/>
  <c r="AF497" i="651"/>
  <c r="AF342" i="651"/>
  <c r="AQ500" i="651"/>
  <c r="AF415" i="651"/>
  <c r="AM500" i="651"/>
  <c r="AO415" i="651"/>
  <c r="AN415" i="651"/>
  <c r="AM272" i="651"/>
  <c r="AF333" i="651"/>
  <c r="AF347" i="651"/>
  <c r="AN272" i="651"/>
  <c r="AO375" i="651"/>
  <c r="AF484" i="651"/>
  <c r="AP416" i="651"/>
  <c r="AF363" i="651"/>
  <c r="AF457" i="651"/>
  <c r="AF485" i="651"/>
  <c r="AM429" i="651"/>
  <c r="AO282" i="651"/>
  <c r="AO287" i="651"/>
  <c r="AP264" i="651"/>
  <c r="AP501" i="651"/>
  <c r="AQ297" i="651"/>
  <c r="AF395" i="651"/>
  <c r="AF476" i="651"/>
  <c r="AF312" i="651"/>
  <c r="AP302" i="651"/>
  <c r="AF317" i="651"/>
  <c r="AF428" i="651"/>
  <c r="AF273" i="651"/>
  <c r="AF501" i="651"/>
  <c r="AP428" i="651"/>
  <c r="AF468" i="651"/>
  <c r="AF385" i="651"/>
  <c r="AF480" i="651"/>
  <c r="AF416" i="651"/>
  <c r="AO292" i="651"/>
  <c r="AM273" i="651"/>
  <c r="AF496" i="651"/>
  <c r="AQ464" i="651"/>
  <c r="AP277" i="651"/>
  <c r="AM415" i="651"/>
  <c r="AF332" i="651"/>
  <c r="AM375" i="651"/>
  <c r="AQ395" i="651"/>
  <c r="AM484" i="651"/>
  <c r="AM352" i="651"/>
  <c r="AF461" i="651"/>
  <c r="AQ480" i="651"/>
  <c r="AQ429" i="651"/>
  <c r="AO297" i="651"/>
  <c r="AP357" i="651"/>
  <c r="AO342" i="651"/>
  <c r="AF489" i="651"/>
  <c r="AO456" i="651"/>
  <c r="AO380" i="651"/>
  <c r="AM400" i="651"/>
  <c r="AO352" i="651"/>
  <c r="AF469" i="651"/>
  <c r="AP312" i="651"/>
  <c r="AN400" i="651"/>
  <c r="AQ443" i="651"/>
  <c r="AP352" i="651"/>
  <c r="AO496" i="651"/>
  <c r="AN416" i="651"/>
  <c r="AN322" i="651"/>
  <c r="AM395" i="651"/>
  <c r="AF338" i="651"/>
  <c r="AO443" i="651"/>
  <c r="AP307" i="651"/>
  <c r="AM410" i="651"/>
  <c r="AQ496" i="651"/>
  <c r="AM343" i="651"/>
  <c r="AM89" i="651" s="1"/>
  <c r="AQ488" i="651"/>
  <c r="AM297" i="651"/>
  <c r="AM332" i="651"/>
  <c r="AO488" i="651"/>
  <c r="AM405" i="651"/>
  <c r="AM317" i="651"/>
  <c r="AN277" i="651"/>
  <c r="AF375" i="651"/>
  <c r="AF293" i="651"/>
  <c r="AP342" i="651"/>
  <c r="AP476" i="651"/>
  <c r="AN480" i="651"/>
  <c r="AQ287" i="651"/>
  <c r="AQ484" i="651"/>
  <c r="AQ400" i="651"/>
  <c r="AO501" i="651"/>
  <c r="AO390" i="651"/>
  <c r="AO302" i="651"/>
  <c r="AM287" i="651"/>
  <c r="AF465" i="651"/>
  <c r="AO273" i="651"/>
  <c r="AF391" i="651"/>
  <c r="AF287" i="651"/>
  <c r="AF460" i="651"/>
  <c r="AN375" i="651"/>
  <c r="AF472" i="651"/>
  <c r="AQ415" i="651"/>
  <c r="AF272" i="651"/>
  <c r="AQ428" i="651"/>
  <c r="AN500" i="651"/>
  <c r="AF380" i="651"/>
  <c r="AO312" i="651"/>
  <c r="AQ405" i="651"/>
  <c r="AP391" i="651"/>
  <c r="AP137" i="651" s="1"/>
  <c r="AO395" i="651"/>
  <c r="AM337" i="651"/>
  <c r="AN443" i="651"/>
  <c r="AM488" i="651"/>
  <c r="AO362" i="651"/>
  <c r="AM362" i="651"/>
  <c r="AP282" i="651"/>
  <c r="AP288" i="651"/>
  <c r="AP34" i="651" s="1"/>
  <c r="AN337" i="651"/>
  <c r="AN357" i="651"/>
  <c r="AF386" i="651"/>
  <c r="AP297" i="651"/>
  <c r="AP488" i="651"/>
  <c r="AQ501" i="651"/>
  <c r="AP347" i="651"/>
  <c r="AM292" i="651"/>
  <c r="AP464" i="651"/>
  <c r="AM468" i="651"/>
  <c r="AM438" i="651"/>
  <c r="AN501" i="651"/>
  <c r="AP492" i="651"/>
  <c r="AQ342" i="651"/>
  <c r="AP429" i="651"/>
  <c r="AN332" i="651"/>
  <c r="AP337" i="651"/>
  <c r="AP411" i="651"/>
  <c r="AP157" i="651" s="1"/>
  <c r="AN438" i="651"/>
  <c r="AQ292" i="651"/>
  <c r="AO327" i="651"/>
  <c r="AQ390" i="651"/>
  <c r="AM302" i="651"/>
  <c r="AP332" i="651"/>
  <c r="AF343" i="651"/>
  <c r="AF401" i="651"/>
  <c r="AF477" i="651"/>
  <c r="AM501" i="651"/>
  <c r="AN302" i="651"/>
  <c r="AQ347" i="651"/>
  <c r="AO472" i="651"/>
  <c r="AM277" i="651"/>
  <c r="AO416" i="651"/>
  <c r="AQ307" i="651"/>
  <c r="AO317" i="651"/>
  <c r="AP433" i="651"/>
  <c r="AO484" i="651"/>
  <c r="AO332" i="651"/>
  <c r="AP460" i="651"/>
  <c r="AO410" i="651"/>
  <c r="AQ476" i="651"/>
  <c r="AF434" i="651"/>
  <c r="AO468" i="651"/>
  <c r="AN488" i="651"/>
  <c r="AN287" i="651"/>
  <c r="AM357" i="651"/>
  <c r="AQ465" i="651"/>
  <c r="AQ211" i="651" s="1"/>
  <c r="AQ332" i="651"/>
  <c r="AQ277" i="651"/>
  <c r="AN484" i="651"/>
  <c r="AN476" i="651"/>
  <c r="AF406" i="651"/>
  <c r="AO405" i="651"/>
  <c r="AF308" i="651"/>
  <c r="AF396" i="651"/>
  <c r="AO433" i="651"/>
  <c r="AM460" i="651"/>
  <c r="AM303" i="651"/>
  <c r="AM49" i="651" s="1"/>
  <c r="AO497" i="651"/>
  <c r="AO243" i="651" s="1"/>
  <c r="AM416" i="651"/>
  <c r="AF481" i="651"/>
  <c r="AN405" i="651"/>
  <c r="AN380" i="651"/>
  <c r="AP333" i="651"/>
  <c r="AP79" i="651" s="1"/>
  <c r="AP317" i="651"/>
  <c r="AP322" i="651"/>
  <c r="AM390" i="651"/>
  <c r="AO480" i="651"/>
  <c r="AN342" i="651"/>
  <c r="AQ298" i="651"/>
  <c r="AQ44" i="651" s="1"/>
  <c r="AO476" i="651"/>
  <c r="AQ312" i="651"/>
  <c r="AP292" i="651"/>
  <c r="AN297" i="651"/>
  <c r="AM307" i="651"/>
  <c r="AN496" i="651"/>
  <c r="AO464" i="651"/>
  <c r="AQ385" i="651"/>
  <c r="AO307" i="651"/>
  <c r="AG438" i="651"/>
  <c r="AH415" i="651"/>
  <c r="AG473" i="651"/>
  <c r="AG219" i="651" s="1"/>
  <c r="AF307" i="651"/>
  <c r="AN352" i="651"/>
  <c r="AF313" i="651"/>
  <c r="AP443" i="651"/>
  <c r="AN385" i="651"/>
  <c r="AP303" i="651"/>
  <c r="AP49" i="651" s="1"/>
  <c r="AP327" i="651"/>
  <c r="AF358" i="651"/>
  <c r="AQ357" i="651"/>
  <c r="AP380" i="651"/>
  <c r="AQ433" i="651"/>
  <c r="AO337" i="651"/>
  <c r="AP410" i="651"/>
  <c r="AO460" i="651"/>
  <c r="AM327" i="651"/>
  <c r="AF439" i="651"/>
  <c r="AN464" i="651"/>
  <c r="AN362" i="651"/>
  <c r="AF277" i="651"/>
  <c r="AF493" i="651"/>
  <c r="AH461" i="651"/>
  <c r="AH207" i="651" s="1"/>
  <c r="AH472" i="651"/>
  <c r="AG484" i="651"/>
  <c r="AH312" i="651"/>
  <c r="AH313" i="651"/>
  <c r="AH59" i="651" s="1"/>
  <c r="AG465" i="651"/>
  <c r="AG211" i="651" s="1"/>
  <c r="AM480" i="651"/>
  <c r="AG429" i="651"/>
  <c r="AH456" i="651"/>
  <c r="AG327" i="651"/>
  <c r="AH484" i="651"/>
  <c r="AH375" i="651"/>
  <c r="AG282" i="651"/>
  <c r="AG410" i="651"/>
  <c r="AG343" i="651"/>
  <c r="AG89" i="651" s="1"/>
  <c r="AH318" i="651"/>
  <c r="AH64" i="651" s="1"/>
  <c r="AG297" i="651"/>
  <c r="AG277" i="651"/>
  <c r="AH272" i="651"/>
  <c r="AG322" i="651"/>
  <c r="AG352" i="651"/>
  <c r="AH438" i="651"/>
  <c r="AG363" i="651"/>
  <c r="AG109" i="651" s="1"/>
  <c r="AN307" i="651"/>
  <c r="AF302" i="651"/>
  <c r="AH476" i="651"/>
  <c r="AH460" i="651"/>
  <c r="AG302" i="651"/>
  <c r="AG464" i="651"/>
  <c r="AH362" i="651"/>
  <c r="AG472" i="651"/>
  <c r="AG333" i="651"/>
  <c r="AG79" i="651" s="1"/>
  <c r="AG391" i="651"/>
  <c r="AG137" i="651" s="1"/>
  <c r="AG468" i="651"/>
  <c r="AH287" i="651"/>
  <c r="AM288" i="651"/>
  <c r="AM34" i="651" s="1"/>
  <c r="AQ439" i="651"/>
  <c r="AQ185" i="651" s="1"/>
  <c r="AO381" i="651"/>
  <c r="AO127" i="651" s="1"/>
  <c r="AO439" i="651"/>
  <c r="AO185" i="651" s="1"/>
  <c r="AP278" i="651"/>
  <c r="AP24" i="651" s="1"/>
  <c r="AM323" i="651"/>
  <c r="AM69" i="651" s="1"/>
  <c r="AQ343" i="651"/>
  <c r="AQ89" i="651" s="1"/>
  <c r="AN376" i="651"/>
  <c r="AN122" i="651" s="1"/>
  <c r="AM477" i="651"/>
  <c r="AM223" i="651" s="1"/>
  <c r="AN323" i="651"/>
  <c r="AN69" i="651" s="1"/>
  <c r="AN353" i="651"/>
  <c r="AN99" i="651" s="1"/>
  <c r="AQ303" i="651"/>
  <c r="AQ49" i="651" s="1"/>
  <c r="AN313" i="651"/>
  <c r="AN59" i="651" s="1"/>
  <c r="AN265" i="651"/>
  <c r="AP396" i="651"/>
  <c r="AP142" i="651" s="1"/>
  <c r="AN343" i="651"/>
  <c r="AN89" i="651" s="1"/>
  <c r="AH342" i="651"/>
  <c r="AG396" i="651"/>
  <c r="AG142" i="651" s="1"/>
  <c r="AQ363" i="651"/>
  <c r="AQ109" i="651" s="1"/>
  <c r="AN283" i="651"/>
  <c r="AM265" i="651"/>
  <c r="AM11" i="651" s="1"/>
  <c r="AQ406" i="651"/>
  <c r="AQ152" i="651" s="1"/>
  <c r="AM318" i="651"/>
  <c r="AM64" i="651" s="1"/>
  <c r="AM338" i="651"/>
  <c r="AM84" i="651" s="1"/>
  <c r="AO313" i="651"/>
  <c r="AO59" i="651" s="1"/>
  <c r="AM293" i="651"/>
  <c r="AM39" i="651" s="1"/>
  <c r="AM465" i="651"/>
  <c r="AM211" i="651" s="1"/>
  <c r="AP381" i="651"/>
  <c r="AP127" i="651" s="1"/>
  <c r="AQ461" i="651"/>
  <c r="AQ207" i="651" s="1"/>
  <c r="AP313" i="651"/>
  <c r="AP59" i="651" s="1"/>
  <c r="AO376" i="651"/>
  <c r="AO122" i="651" s="1"/>
  <c r="AP465" i="651"/>
  <c r="AP211" i="651" s="1"/>
  <c r="AH283" i="651"/>
  <c r="AH29" i="651" s="1"/>
  <c r="AH465" i="651"/>
  <c r="AH211" i="651" s="1"/>
  <c r="AH481" i="651"/>
  <c r="AH227" i="651" s="1"/>
  <c r="AH489" i="651"/>
  <c r="AH235" i="651" s="1"/>
  <c r="AQ481" i="651"/>
  <c r="AQ227" i="651" s="1"/>
  <c r="AM481" i="651"/>
  <c r="AM227" i="651" s="1"/>
  <c r="AN428" i="651"/>
  <c r="AP484" i="651"/>
  <c r="AO347" i="651"/>
  <c r="AO385" i="651"/>
  <c r="AO400" i="651"/>
  <c r="AO318" i="651"/>
  <c r="AO64" i="651" s="1"/>
  <c r="AP385" i="651"/>
  <c r="AM322" i="651"/>
  <c r="AN468" i="651"/>
  <c r="AF348" i="651"/>
  <c r="AN410" i="651"/>
  <c r="AQ460" i="651"/>
  <c r="AO277" i="651"/>
  <c r="AQ282" i="651"/>
  <c r="AM476" i="651"/>
  <c r="AM433" i="651"/>
  <c r="AM443" i="651"/>
  <c r="AO492" i="651"/>
  <c r="AQ337" i="651"/>
  <c r="AQ362" i="651"/>
  <c r="AO357" i="651"/>
  <c r="AM492" i="651"/>
  <c r="AQ317" i="651"/>
  <c r="AG272" i="651"/>
  <c r="AF297" i="651"/>
  <c r="AH278" i="651"/>
  <c r="AH24" i="651" s="1"/>
  <c r="AH338" i="651"/>
  <c r="AH84" i="651" s="1"/>
  <c r="AH464" i="651"/>
  <c r="AG443" i="651"/>
  <c r="AG415" i="651"/>
  <c r="AG480" i="651"/>
  <c r="AM385" i="651"/>
  <c r="AH264" i="651"/>
  <c r="AG428" i="651"/>
  <c r="AG496" i="651"/>
  <c r="AH282" i="651"/>
  <c r="AH410" i="651"/>
  <c r="AH501" i="651"/>
  <c r="AG488" i="651"/>
  <c r="AH297" i="651"/>
  <c r="AH457" i="651"/>
  <c r="AH203" i="651" s="1"/>
  <c r="AH380" i="651"/>
  <c r="AH488" i="651"/>
  <c r="AH492" i="651"/>
  <c r="AH277" i="651"/>
  <c r="AH405" i="651"/>
  <c r="AG303" i="651"/>
  <c r="AG49" i="651" s="1"/>
  <c r="AG406" i="651"/>
  <c r="AG152" i="651" s="1"/>
  <c r="AG293" i="651"/>
  <c r="AG39" i="651" s="1"/>
  <c r="AH473" i="651"/>
  <c r="AH219" i="651" s="1"/>
  <c r="AG308" i="651"/>
  <c r="AG54" i="651" s="1"/>
  <c r="AG457" i="651"/>
  <c r="AG203" i="651" s="1"/>
  <c r="AG283" i="651"/>
  <c r="AG29" i="651" s="1"/>
  <c r="AG433" i="651"/>
  <c r="AG390" i="651"/>
  <c r="AG385" i="651"/>
  <c r="AG307" i="651"/>
  <c r="AG288" i="651"/>
  <c r="AG34" i="651" s="1"/>
  <c r="AG489" i="651"/>
  <c r="AG235" i="651" s="1"/>
  <c r="AF488" i="651"/>
  <c r="AF405" i="651"/>
  <c r="AG312" i="651"/>
  <c r="AH347" i="651"/>
  <c r="AG313" i="651"/>
  <c r="AG59" i="651" s="1"/>
  <c r="AH308" i="651"/>
  <c r="AH54" i="651" s="1"/>
  <c r="AG265" i="651"/>
  <c r="AG11" i="651" s="1"/>
  <c r="AG386" i="651"/>
  <c r="AG132" i="651" s="1"/>
  <c r="AH434" i="651"/>
  <c r="AH180" i="651" s="1"/>
  <c r="AF322" i="651"/>
  <c r="AQ313" i="651"/>
  <c r="AQ59" i="651" s="1"/>
  <c r="AQ333" i="651"/>
  <c r="AQ79" i="651" s="1"/>
  <c r="AO298" i="651"/>
  <c r="AO44" i="651" s="1"/>
  <c r="AM353" i="651"/>
  <c r="AM99" i="651" s="1"/>
  <c r="AO363" i="651"/>
  <c r="AO109" i="651" s="1"/>
  <c r="AP323" i="651"/>
  <c r="AP69" i="651" s="1"/>
  <c r="AQ348" i="651"/>
  <c r="AQ94" i="651" s="1"/>
  <c r="AN473" i="651"/>
  <c r="AN219" i="651" s="1"/>
  <c r="AP348" i="651"/>
  <c r="AP94" i="651" s="1"/>
  <c r="AM283" i="651"/>
  <c r="AN465" i="651"/>
  <c r="AN211" i="651" s="1"/>
  <c r="AQ265" i="651"/>
  <c r="AQ11" i="651" s="1"/>
  <c r="AO328" i="651"/>
  <c r="AO74" i="651" s="1"/>
  <c r="AQ485" i="651"/>
  <c r="AQ231" i="651" s="1"/>
  <c r="AO333" i="651"/>
  <c r="AO79" i="651" s="1"/>
  <c r="AO485" i="651"/>
  <c r="AO231" i="651" s="1"/>
  <c r="AN477" i="651"/>
  <c r="AN223" i="651" s="1"/>
  <c r="AQ489" i="651"/>
  <c r="AQ235" i="651" s="1"/>
  <c r="AQ328" i="651"/>
  <c r="AQ74" i="651" s="1"/>
  <c r="AN363" i="651"/>
  <c r="AN109" i="651" s="1"/>
  <c r="AM376" i="651"/>
  <c r="AM122" i="651" s="1"/>
  <c r="AM333" i="651"/>
  <c r="AM79" i="651" s="1"/>
  <c r="AP485" i="651"/>
  <c r="AP231" i="651" s="1"/>
  <c r="AN318" i="651"/>
  <c r="AN64" i="651" s="1"/>
  <c r="AM363" i="651"/>
  <c r="AM109" i="651" s="1"/>
  <c r="AO434" i="651"/>
  <c r="AO180" i="651" s="1"/>
  <c r="AQ391" i="651"/>
  <c r="AQ137" i="651" s="1"/>
  <c r="AO469" i="651"/>
  <c r="AO215" i="651" s="1"/>
  <c r="AP353" i="651"/>
  <c r="AP99" i="651" s="1"/>
  <c r="AN461" i="651"/>
  <c r="AN207" i="651" s="1"/>
  <c r="AM278" i="651"/>
  <c r="AM24" i="651" s="1"/>
  <c r="AG469" i="651"/>
  <c r="AG215" i="651" s="1"/>
  <c r="AH332" i="651"/>
  <c r="AG362" i="651"/>
  <c r="AP343" i="651"/>
  <c r="AP89" i="651" s="1"/>
  <c r="AO401" i="651"/>
  <c r="AO147" i="651" s="1"/>
  <c r="AG400" i="651"/>
  <c r="AG476" i="651"/>
  <c r="AG348" i="651"/>
  <c r="AG94" i="651" s="1"/>
  <c r="AN358" i="651"/>
  <c r="AN104" i="651" s="1"/>
  <c r="AQ493" i="651"/>
  <c r="AQ239" i="651" s="1"/>
  <c r="AO411" i="651"/>
  <c r="AO157" i="651" s="1"/>
  <c r="AQ469" i="651"/>
  <c r="AQ215" i="651" s="1"/>
  <c r="AQ338" i="651"/>
  <c r="AQ84" i="651" s="1"/>
  <c r="AM401" i="651"/>
  <c r="AM147" i="651" s="1"/>
  <c r="AM485" i="651"/>
  <c r="AM231" i="651" s="1"/>
  <c r="AP386" i="651"/>
  <c r="AP132" i="651" s="1"/>
  <c r="AQ411" i="651"/>
  <c r="AQ157" i="651" s="1"/>
  <c r="AO473" i="651"/>
  <c r="AO219" i="651" s="1"/>
  <c r="AN381" i="651"/>
  <c r="AN127" i="651" s="1"/>
  <c r="AM411" i="651"/>
  <c r="AM157" i="651" s="1"/>
  <c r="AN406" i="651"/>
  <c r="AN152" i="651" s="1"/>
  <c r="AN434" i="651"/>
  <c r="AN180" i="651" s="1"/>
  <c r="AQ283" i="651"/>
  <c r="AQ29" i="651" s="1"/>
  <c r="AP376" i="651"/>
  <c r="AP122" i="651" s="1"/>
  <c r="AP338" i="651"/>
  <c r="AP84" i="651" s="1"/>
  <c r="AQ401" i="651"/>
  <c r="AQ147" i="651" s="1"/>
  <c r="AN386" i="651"/>
  <c r="AN132" i="651" s="1"/>
  <c r="AP434" i="651"/>
  <c r="AP180" i="651" s="1"/>
  <c r="AO489" i="651"/>
  <c r="AO235" i="651" s="1"/>
  <c r="AP477" i="651"/>
  <c r="AP223" i="651" s="1"/>
  <c r="AO465" i="651"/>
  <c r="AO211" i="651" s="1"/>
  <c r="AO323" i="651"/>
  <c r="AO69" i="651" s="1"/>
  <c r="AO477" i="651"/>
  <c r="AO223" i="651" s="1"/>
  <c r="AQ457" i="651"/>
  <c r="AQ203" i="651" s="1"/>
  <c r="AO428" i="651"/>
  <c r="AF443" i="651"/>
  <c r="AQ273" i="651"/>
  <c r="AP496" i="651"/>
  <c r="AQ492" i="651"/>
  <c r="AN327" i="651"/>
  <c r="AN395" i="651"/>
  <c r="AF323" i="651"/>
  <c r="AQ322" i="651"/>
  <c r="AN390" i="651"/>
  <c r="AP468" i="651"/>
  <c r="AQ380" i="651"/>
  <c r="AO438" i="651"/>
  <c r="AQ438" i="651"/>
  <c r="AM380" i="651"/>
  <c r="AN317" i="651"/>
  <c r="AF298" i="651"/>
  <c r="AN460" i="651"/>
  <c r="AQ472" i="651"/>
  <c r="AN312" i="651"/>
  <c r="AN492" i="651"/>
  <c r="AF381" i="651"/>
  <c r="AN282" i="651"/>
  <c r="AQ416" i="651"/>
  <c r="AG273" i="651"/>
  <c r="AH411" i="651"/>
  <c r="AH157" i="651" s="1"/>
  <c r="AG401" i="651"/>
  <c r="AG147" i="651" s="1"/>
  <c r="AH363" i="651"/>
  <c r="AH109" i="651" s="1"/>
  <c r="AH500" i="651"/>
  <c r="AG444" i="651"/>
  <c r="AG190" i="651" s="1"/>
  <c r="AG376" i="651"/>
  <c r="AG122" i="651" s="1"/>
  <c r="AH386" i="651"/>
  <c r="AH132" i="651" s="1"/>
  <c r="AG353" i="651"/>
  <c r="AG99" i="651" s="1"/>
  <c r="AF353" i="651"/>
  <c r="AQ410" i="651"/>
  <c r="AG500" i="651"/>
  <c r="AG332" i="651"/>
  <c r="AG395" i="651"/>
  <c r="AH322" i="651"/>
  <c r="AG337" i="651"/>
  <c r="AH444" i="651"/>
  <c r="AH190" i="651" s="1"/>
  <c r="AH302" i="651"/>
  <c r="AH395" i="651"/>
  <c r="AH337" i="651"/>
  <c r="AF492" i="651"/>
  <c r="AG380" i="651"/>
  <c r="AG416" i="651"/>
  <c r="AG287" i="651"/>
  <c r="AF438" i="651"/>
  <c r="AG439" i="651"/>
  <c r="AG185" i="651" s="1"/>
  <c r="AG492" i="651"/>
  <c r="AH292" i="651"/>
  <c r="AG477" i="651"/>
  <c r="AG223" i="651" s="1"/>
  <c r="AN348" i="651"/>
  <c r="AN94" i="651" s="1"/>
  <c r="AO391" i="651"/>
  <c r="AO137" i="651" s="1"/>
  <c r="AN298" i="651"/>
  <c r="AN44" i="651" s="1"/>
  <c r="AN401" i="651"/>
  <c r="AN147" i="651" s="1"/>
  <c r="AQ396" i="651"/>
  <c r="AQ142" i="651" s="1"/>
  <c r="AP469" i="651"/>
  <c r="AP215" i="651" s="1"/>
  <c r="AN457" i="651"/>
  <c r="AN203" i="651" s="1"/>
  <c r="AP481" i="651"/>
  <c r="AP227" i="651" s="1"/>
  <c r="AM381" i="651"/>
  <c r="AM127" i="651" s="1"/>
  <c r="AO348" i="651"/>
  <c r="AO94" i="651" s="1"/>
  <c r="AQ386" i="651"/>
  <c r="AQ132" i="651" s="1"/>
  <c r="AQ288" i="651"/>
  <c r="AQ34" i="651" s="1"/>
  <c r="AP363" i="651"/>
  <c r="AP109" i="651" s="1"/>
  <c r="AP283" i="651"/>
  <c r="AQ293" i="651"/>
  <c r="AQ39" i="651" s="1"/>
  <c r="AO358" i="651"/>
  <c r="AO104" i="651" s="1"/>
  <c r="AG357" i="651"/>
  <c r="AH352" i="651"/>
  <c r="AH307" i="651"/>
  <c r="AQ473" i="651"/>
  <c r="AQ219" i="651" s="1"/>
  <c r="AM328" i="651"/>
  <c r="AM74" i="651" s="1"/>
  <c r="AN333" i="651"/>
  <c r="AN79" i="651" s="1"/>
  <c r="AQ381" i="651"/>
  <c r="AQ127" i="651" s="1"/>
  <c r="AP298" i="651"/>
  <c r="AP44" i="651" s="1"/>
  <c r="AM313" i="651"/>
  <c r="AM59" i="651" s="1"/>
  <c r="AF318" i="651"/>
  <c r="AN347" i="651"/>
  <c r="AM282" i="651"/>
  <c r="AF283" i="651"/>
  <c r="AQ302" i="651"/>
  <c r="AN292" i="651"/>
  <c r="AP287" i="651"/>
  <c r="AP395" i="651"/>
  <c r="AN429" i="651"/>
  <c r="AF278" i="651"/>
  <c r="AF328" i="651"/>
  <c r="AP400" i="651"/>
  <c r="AP405" i="651"/>
  <c r="AQ327" i="651"/>
  <c r="AP480" i="651"/>
  <c r="AP362" i="651"/>
  <c r="AM464" i="651"/>
  <c r="AG501" i="651"/>
  <c r="AF456" i="651"/>
  <c r="AG323" i="651"/>
  <c r="AG69" i="651" s="1"/>
  <c r="AH396" i="651"/>
  <c r="AH142" i="651" s="1"/>
  <c r="AH485" i="651"/>
  <c r="AH231" i="651" s="1"/>
  <c r="AG456" i="651"/>
  <c r="AH385" i="651"/>
  <c r="AG347" i="651"/>
  <c r="AP438" i="651"/>
  <c r="AG342" i="651"/>
  <c r="AH428" i="651"/>
  <c r="AH390" i="651"/>
  <c r="AH273" i="651"/>
  <c r="AH429" i="651"/>
  <c r="AG317" i="651"/>
  <c r="AH357" i="651"/>
  <c r="AH480" i="651"/>
  <c r="AH381" i="651"/>
  <c r="AH127" i="651" s="1"/>
  <c r="AH327" i="651"/>
  <c r="AF444" i="651"/>
  <c r="AH416" i="651"/>
  <c r="AG292" i="651"/>
  <c r="AH317" i="651"/>
  <c r="AF357" i="651"/>
  <c r="AG405" i="651"/>
  <c r="AF433" i="651"/>
  <c r="AG328" i="651"/>
  <c r="AG74" i="651" s="1"/>
  <c r="AH477" i="651"/>
  <c r="AH223" i="651" s="1"/>
  <c r="AG481" i="651"/>
  <c r="AG227" i="651" s="1"/>
  <c r="AH406" i="651"/>
  <c r="AH152" i="651" s="1"/>
  <c r="AG381" i="651"/>
  <c r="AG127" i="651" s="1"/>
  <c r="AH433" i="651"/>
  <c r="AH443" i="651"/>
  <c r="AH288" i="651"/>
  <c r="AH34" i="651" s="1"/>
  <c r="AG264" i="651"/>
  <c r="AF327" i="651"/>
  <c r="AG375" i="651"/>
  <c r="AF429" i="651"/>
  <c r="AG460" i="651"/>
  <c r="AH358" i="651"/>
  <c r="AH104" i="651" s="1"/>
  <c r="AH391" i="651"/>
  <c r="AH137" i="651" s="1"/>
  <c r="AH439" i="651"/>
  <c r="AH185" i="651" s="1"/>
  <c r="AH400" i="651"/>
  <c r="AH493" i="651"/>
  <c r="AH239" i="651" s="1"/>
  <c r="AO303" i="651"/>
  <c r="AO49" i="651" s="1"/>
  <c r="AN485" i="651"/>
  <c r="AN231" i="651" s="1"/>
  <c r="AH353" i="651"/>
  <c r="AH99" i="651" s="1"/>
  <c r="AH333" i="651"/>
  <c r="AH79" i="651" s="1"/>
  <c r="AG411" i="651"/>
  <c r="AG157" i="651" s="1"/>
  <c r="AG338" i="651"/>
  <c r="AG84" i="651" s="1"/>
  <c r="AH497" i="651"/>
  <c r="AH243" i="651" s="1"/>
  <c r="AO353" i="651"/>
  <c r="AO99" i="651" s="1"/>
  <c r="AN444" i="651"/>
  <c r="AN190" i="651" s="1"/>
  <c r="AN308" i="651"/>
  <c r="AN54" i="651" s="1"/>
  <c r="AN497" i="651"/>
  <c r="AN243" i="651" s="1"/>
  <c r="AM473" i="651"/>
  <c r="AM219" i="651" s="1"/>
  <c r="AP444" i="651"/>
  <c r="AP190" i="651" s="1"/>
  <c r="AN293" i="651"/>
  <c r="AN39" i="651" s="1"/>
  <c r="AM489" i="651"/>
  <c r="AM235" i="651" s="1"/>
  <c r="AL265" i="651"/>
  <c r="AL11" i="651" s="1"/>
  <c r="AN396" i="651"/>
  <c r="AN142" i="651" s="1"/>
  <c r="AN481" i="651"/>
  <c r="AN227" i="651" s="1"/>
  <c r="AO481" i="651"/>
  <c r="AO227" i="651" s="1"/>
  <c r="AP265" i="651"/>
  <c r="AP11" i="651" s="1"/>
  <c r="AP308" i="651"/>
  <c r="AP54" i="651" s="1"/>
  <c r="AN439" i="651"/>
  <c r="AN185" i="651" s="1"/>
  <c r="AQ444" i="651"/>
  <c r="AQ190" i="651" s="1"/>
  <c r="AN303" i="651"/>
  <c r="AN49" i="651" s="1"/>
  <c r="AO308" i="651"/>
  <c r="AO54" i="651" s="1"/>
  <c r="AP406" i="651"/>
  <c r="AP152" i="651" s="1"/>
  <c r="AP461" i="651"/>
  <c r="AP207" i="651" s="1"/>
  <c r="AP328" i="651"/>
  <c r="AP74" i="651" s="1"/>
  <c r="AM444" i="651"/>
  <c r="AM190" i="651" s="1"/>
  <c r="AM308" i="651"/>
  <c r="AM54" i="651" s="1"/>
  <c r="AO338" i="651"/>
  <c r="AO84" i="651" s="1"/>
  <c r="AM434" i="651"/>
  <c r="AM180" i="651" s="1"/>
  <c r="AO461" i="651"/>
  <c r="AO207" i="651" s="1"/>
  <c r="AO283" i="651"/>
  <c r="AQ434" i="651"/>
  <c r="AQ180" i="651" s="1"/>
  <c r="AP497" i="651"/>
  <c r="AP243" i="651" s="1"/>
  <c r="AP493" i="651"/>
  <c r="AP239" i="651" s="1"/>
  <c r="AO343" i="651"/>
  <c r="AO89" i="651" s="1"/>
  <c r="AM406" i="651"/>
  <c r="AM152" i="651" s="1"/>
  <c r="AO386" i="651"/>
  <c r="AO132" i="651" s="1"/>
  <c r="AP489" i="651"/>
  <c r="AP235" i="651" s="1"/>
  <c r="AN288" i="651"/>
  <c r="AN34" i="651" s="1"/>
  <c r="AM439" i="651"/>
  <c r="AM185" i="651" s="1"/>
  <c r="AQ497" i="651"/>
  <c r="AQ243" i="651" s="1"/>
  <c r="AQ358" i="651"/>
  <c r="AQ104" i="651" s="1"/>
  <c r="AQ318" i="651"/>
  <c r="AQ64" i="651" s="1"/>
  <c r="AP358" i="651"/>
  <c r="AP104" i="651" s="1"/>
  <c r="AN411" i="651"/>
  <c r="AN157" i="651" s="1"/>
  <c r="AG461" i="651"/>
  <c r="AG207" i="651" s="1"/>
  <c r="AH468" i="651"/>
  <c r="AO396" i="651"/>
  <c r="AO142" i="651" s="1"/>
  <c r="AG497" i="651"/>
  <c r="AG243" i="651" s="1"/>
  <c r="AH496" i="651"/>
  <c r="AQ278" i="651"/>
  <c r="AQ24" i="651" s="1"/>
  <c r="AO288" i="651"/>
  <c r="AO34" i="651" s="1"/>
  <c r="AP293" i="651"/>
  <c r="AP39" i="651" s="1"/>
  <c r="AO406" i="651"/>
  <c r="AO152" i="651" s="1"/>
  <c r="AQ323" i="651"/>
  <c r="AQ69" i="651" s="1"/>
  <c r="AP318" i="651"/>
  <c r="AP64" i="651" s="1"/>
  <c r="AQ353" i="651"/>
  <c r="AQ99" i="651" s="1"/>
  <c r="AM457" i="651"/>
  <c r="AM203" i="651" s="1"/>
  <c r="AO457" i="651"/>
  <c r="AO203" i="651" s="1"/>
  <c r="AQ376" i="651"/>
  <c r="AQ122" i="651" s="1"/>
  <c r="AM358" i="651"/>
  <c r="AM104" i="651" s="1"/>
  <c r="AQ477" i="651"/>
  <c r="AQ223" i="651" s="1"/>
  <c r="AN469" i="651"/>
  <c r="AN215" i="651" s="1"/>
  <c r="AN489" i="651"/>
  <c r="AN235" i="651" s="1"/>
  <c r="AN338" i="651"/>
  <c r="AN84" i="651" s="1"/>
  <c r="AN391" i="651"/>
  <c r="AN137" i="651" s="1"/>
  <c r="AO444" i="651"/>
  <c r="AO190" i="651" s="1"/>
  <c r="AM461" i="651"/>
  <c r="AM207" i="651" s="1"/>
  <c r="AM391" i="651"/>
  <c r="AM137" i="651" s="1"/>
  <c r="AN493" i="651"/>
  <c r="AN239" i="651" s="1"/>
  <c r="AM497" i="651"/>
  <c r="AM243" i="651" s="1"/>
  <c r="AO293" i="651"/>
  <c r="AO39" i="651" s="1"/>
  <c r="AM396" i="651"/>
  <c r="AM142" i="651" s="1"/>
  <c r="AP457" i="651"/>
  <c r="AP203" i="651" s="1"/>
  <c r="AO265" i="651"/>
  <c r="AO11" i="651" s="1"/>
  <c r="AQ308" i="651"/>
  <c r="AQ54" i="651" s="1"/>
  <c r="AM298" i="651"/>
  <c r="AM44" i="651" s="1"/>
  <c r="AO493" i="651"/>
  <c r="AO239" i="651" s="1"/>
  <c r="AP401" i="651"/>
  <c r="AP147" i="651" s="1"/>
  <c r="AN328" i="651"/>
  <c r="AN74" i="651" s="1"/>
  <c r="AH469" i="651"/>
  <c r="AH215" i="651" s="1"/>
  <c r="AG318" i="651"/>
  <c r="AG64" i="651" s="1"/>
  <c r="AH303" i="651"/>
  <c r="AH49" i="651" s="1"/>
  <c r="AG434" i="651"/>
  <c r="AG180" i="651" s="1"/>
  <c r="AH328" i="651"/>
  <c r="AH74" i="651" s="1"/>
  <c r="AH298" i="651"/>
  <c r="AH44" i="651" s="1"/>
  <c r="AG358" i="651"/>
  <c r="AG104" i="651" s="1"/>
  <c r="AG298" i="651"/>
  <c r="AG44" i="651" s="1"/>
  <c r="AM469" i="651"/>
  <c r="AM215" i="651" s="1"/>
  <c r="AO278" i="651"/>
  <c r="AO24" i="651" s="1"/>
  <c r="AN278" i="651"/>
  <c r="AN24" i="651" s="1"/>
  <c r="AP439" i="651"/>
  <c r="AP185" i="651" s="1"/>
  <c r="AH348" i="651"/>
  <c r="AH94" i="651" s="1"/>
  <c r="AH401" i="651"/>
  <c r="AH147" i="651" s="1"/>
  <c r="AH343" i="651"/>
  <c r="AH89" i="651" s="1"/>
  <c r="AH265" i="651"/>
  <c r="AH11" i="651" s="1"/>
  <c r="AG485" i="651"/>
  <c r="AG231" i="651" s="1"/>
  <c r="AG493" i="651"/>
  <c r="AG239" i="651" s="1"/>
  <c r="AM348" i="651"/>
  <c r="AM94" i="651" s="1"/>
  <c r="AM386" i="651"/>
  <c r="AM132" i="651" s="1"/>
  <c r="AH323" i="651"/>
  <c r="AH69" i="651" s="1"/>
  <c r="AH376" i="651"/>
  <c r="AH122" i="651" s="1"/>
  <c r="AP473" i="651"/>
  <c r="AP219" i="651" s="1"/>
  <c r="AM493" i="651"/>
  <c r="AM239" i="651" s="1"/>
  <c r="AH293" i="651"/>
  <c r="AH39" i="651" s="1"/>
  <c r="AG278" i="651"/>
  <c r="AG24" i="651" s="1"/>
  <c r="AN11" i="651" l="1"/>
  <c r="K10" i="651"/>
  <c r="AF359" i="651"/>
  <c r="AF103" i="651"/>
  <c r="AG93" i="651"/>
  <c r="AG95" i="651" s="1"/>
  <c r="AG349" i="651"/>
  <c r="AP226" i="651"/>
  <c r="AP228" i="651" s="1"/>
  <c r="AP482" i="651"/>
  <c r="AN349" i="651"/>
  <c r="AN93" i="651"/>
  <c r="AN95" i="651" s="1"/>
  <c r="AH309" i="651"/>
  <c r="AH53" i="651"/>
  <c r="AH55" i="651" s="1"/>
  <c r="AF440" i="651"/>
  <c r="AF184" i="651"/>
  <c r="AF494" i="651"/>
  <c r="AF238" i="651"/>
  <c r="AH324" i="651"/>
  <c r="AH68" i="651"/>
  <c r="AH70" i="651" s="1"/>
  <c r="AQ412" i="651"/>
  <c r="AQ156" i="651"/>
  <c r="AQ158" i="651" s="1"/>
  <c r="AQ98" i="651"/>
  <c r="AQ100" i="651" s="1"/>
  <c r="AQ354" i="651"/>
  <c r="AF127" i="651"/>
  <c r="AN462" i="651"/>
  <c r="AN206" i="651"/>
  <c r="AN208" i="651" s="1"/>
  <c r="AP470" i="651"/>
  <c r="AP214" i="651"/>
  <c r="AP216" i="651" s="1"/>
  <c r="AN397" i="651"/>
  <c r="AN141" i="651"/>
  <c r="AN143" i="651" s="1"/>
  <c r="AG478" i="651"/>
  <c r="AG222" i="651"/>
  <c r="AG224" i="651" s="1"/>
  <c r="AH349" i="651"/>
  <c r="AH93" i="651"/>
  <c r="AH95" i="651" s="1"/>
  <c r="AG136" i="651"/>
  <c r="AG138" i="651" s="1"/>
  <c r="AG392" i="651"/>
  <c r="AH490" i="651"/>
  <c r="AH234" i="651"/>
  <c r="AH236" i="651" s="1"/>
  <c r="AG234" i="651"/>
  <c r="AG236" i="651" s="1"/>
  <c r="AG490" i="651"/>
  <c r="AG242" i="651"/>
  <c r="AG244" i="651" s="1"/>
  <c r="AG498" i="651"/>
  <c r="AG482" i="651"/>
  <c r="AG226" i="651"/>
  <c r="AG228" i="651" s="1"/>
  <c r="AQ364" i="651"/>
  <c r="AQ108" i="651"/>
  <c r="AQ110" i="651" s="1"/>
  <c r="AM445" i="651"/>
  <c r="AM189" i="651"/>
  <c r="AM191" i="651" s="1"/>
  <c r="AN412" i="651"/>
  <c r="AN156" i="651"/>
  <c r="AN158" i="651" s="1"/>
  <c r="AN470" i="651"/>
  <c r="AN214" i="651"/>
  <c r="AN216" i="651" s="1"/>
  <c r="AO402" i="651"/>
  <c r="AO146" i="651"/>
  <c r="AO148" i="651" s="1"/>
  <c r="AP230" i="651"/>
  <c r="AP232" i="651" s="1"/>
  <c r="AP486" i="651"/>
  <c r="AH289" i="651"/>
  <c r="AH33" i="651"/>
  <c r="AH35" i="651" s="1"/>
  <c r="AG474" i="651"/>
  <c r="AG218" i="651"/>
  <c r="AG220" i="651" s="1"/>
  <c r="AH206" i="651"/>
  <c r="AH208" i="651" s="1"/>
  <c r="AH462" i="651"/>
  <c r="AH367" i="651"/>
  <c r="AH18" i="651"/>
  <c r="AH274" i="651"/>
  <c r="AH486" i="651"/>
  <c r="AH230" i="651"/>
  <c r="AH232" i="651" s="1"/>
  <c r="AM226" i="651"/>
  <c r="AM228" i="651" s="1"/>
  <c r="AM482" i="651"/>
  <c r="AH58" i="651"/>
  <c r="AH60" i="651" s="1"/>
  <c r="AH314" i="651"/>
  <c r="AF239" i="651"/>
  <c r="AF185" i="651"/>
  <c r="AP156" i="651"/>
  <c r="AP158" i="651" s="1"/>
  <c r="AP412" i="651"/>
  <c r="AF59" i="651"/>
  <c r="AO309" i="651"/>
  <c r="AO53" i="651"/>
  <c r="AO55" i="651" s="1"/>
  <c r="AM309" i="651"/>
  <c r="AM53" i="651"/>
  <c r="AM55" i="651" s="1"/>
  <c r="AP294" i="651"/>
  <c r="AP38" i="651"/>
  <c r="AP40" i="651" s="1"/>
  <c r="AO226" i="651"/>
  <c r="AO228" i="651" s="1"/>
  <c r="AO482" i="651"/>
  <c r="AN151" i="651"/>
  <c r="AN153" i="651" s="1"/>
  <c r="AN407" i="651"/>
  <c r="AM162" i="651"/>
  <c r="AM167" i="651" s="1"/>
  <c r="AM421" i="651"/>
  <c r="AO151" i="651"/>
  <c r="AO153" i="651" s="1"/>
  <c r="AO407" i="651"/>
  <c r="AN478" i="651"/>
  <c r="AN222" i="651"/>
  <c r="AN224" i="651" s="1"/>
  <c r="AQ78" i="651"/>
  <c r="AQ80" i="651" s="1"/>
  <c r="AQ334" i="651"/>
  <c r="AM103" i="651"/>
  <c r="AM105" i="651" s="1"/>
  <c r="AM359" i="651"/>
  <c r="AP179" i="651"/>
  <c r="AP181" i="651" s="1"/>
  <c r="AP435" i="651"/>
  <c r="AQ53" i="651"/>
  <c r="AQ55" i="651" s="1"/>
  <c r="AQ309" i="651"/>
  <c r="AN48" i="651"/>
  <c r="AN50" i="651" s="1"/>
  <c r="AN304" i="651"/>
  <c r="AM247" i="651"/>
  <c r="AM253" i="651" s="1"/>
  <c r="AM507" i="651"/>
  <c r="AF147" i="651"/>
  <c r="AN440" i="651"/>
  <c r="AN184" i="651"/>
  <c r="AN186" i="651" s="1"/>
  <c r="AP449" i="651"/>
  <c r="AP175" i="651"/>
  <c r="AP195" i="651" s="1"/>
  <c r="AM470" i="651"/>
  <c r="AM214" i="651"/>
  <c r="AM216" i="651" s="1"/>
  <c r="AM38" i="651"/>
  <c r="AM40" i="651" s="1"/>
  <c r="AM294" i="651"/>
  <c r="AF132" i="651"/>
  <c r="AM364" i="651"/>
  <c r="AM108" i="651"/>
  <c r="AM110" i="651" s="1"/>
  <c r="AM83" i="651"/>
  <c r="AM85" i="651" s="1"/>
  <c r="AM339" i="651"/>
  <c r="AF137" i="651"/>
  <c r="AO304" i="651"/>
  <c r="AO48" i="651"/>
  <c r="AO50" i="651" s="1"/>
  <c r="AF39" i="651"/>
  <c r="AO490" i="651"/>
  <c r="AO234" i="651"/>
  <c r="AO236" i="651" s="1"/>
  <c r="AQ234" i="651"/>
  <c r="AQ236" i="651" s="1"/>
  <c r="AQ490" i="651"/>
  <c r="AQ242" i="651"/>
  <c r="AQ244" i="651" s="1"/>
  <c r="AQ498" i="651"/>
  <c r="AM412" i="651"/>
  <c r="AM156" i="651"/>
  <c r="AM158" i="651" s="1"/>
  <c r="AM397" i="651"/>
  <c r="AM141" i="651"/>
  <c r="AM143" i="651" s="1"/>
  <c r="AP58" i="651"/>
  <c r="AP60" i="651" s="1"/>
  <c r="AP314" i="651"/>
  <c r="AO126" i="651"/>
  <c r="AO128" i="651" s="1"/>
  <c r="AO382" i="651"/>
  <c r="AP103" i="651"/>
  <c r="AP105" i="651" s="1"/>
  <c r="AP359" i="651"/>
  <c r="AQ482" i="651"/>
  <c r="AQ226" i="651"/>
  <c r="AQ228" i="651" s="1"/>
  <c r="AM230" i="651"/>
  <c r="AM232" i="651" s="1"/>
  <c r="AM486" i="651"/>
  <c r="AQ397" i="651"/>
  <c r="AQ141" i="651"/>
  <c r="AQ143" i="651" s="1"/>
  <c r="AM420" i="651"/>
  <c r="AM161" i="651"/>
  <c r="AM417" i="651"/>
  <c r="AF448" i="651"/>
  <c r="AF174" i="651"/>
  <c r="AF430" i="651"/>
  <c r="AF478" i="651"/>
  <c r="AF222" i="651"/>
  <c r="AQ299" i="651"/>
  <c r="AQ43" i="651"/>
  <c r="AQ45" i="651" s="1"/>
  <c r="AO33" i="651"/>
  <c r="AO35" i="651" s="1"/>
  <c r="AO289" i="651"/>
  <c r="AF231" i="651"/>
  <c r="AN18" i="651"/>
  <c r="AN274" i="651"/>
  <c r="AN367" i="651"/>
  <c r="AF354" i="651"/>
  <c r="AF98" i="651"/>
  <c r="AM458" i="651"/>
  <c r="AM202" i="651"/>
  <c r="AF392" i="651"/>
  <c r="AF136" i="651"/>
  <c r="AO324" i="651"/>
  <c r="AO68" i="651"/>
  <c r="AO70" i="651" s="1"/>
  <c r="AP377" i="651"/>
  <c r="AP121" i="651"/>
  <c r="AP123" i="651" s="1"/>
  <c r="AF28" i="651"/>
  <c r="AF284" i="651"/>
  <c r="AF267" i="651"/>
  <c r="AF10" i="651"/>
  <c r="AN368" i="651"/>
  <c r="AN19" i="651"/>
  <c r="AN114" i="651" s="1"/>
  <c r="AM88" i="651"/>
  <c r="AM90" i="651" s="1"/>
  <c r="AM344" i="651"/>
  <c r="AF210" i="651"/>
  <c r="AF466" i="651"/>
  <c r="AQ18" i="651"/>
  <c r="AQ274" i="651"/>
  <c r="AQ367" i="651"/>
  <c r="AN458" i="651"/>
  <c r="AN202" i="651"/>
  <c r="AQ202" i="651"/>
  <c r="AQ458" i="651"/>
  <c r="AH179" i="651"/>
  <c r="AH181" i="651" s="1"/>
  <c r="AH435" i="651"/>
  <c r="AF190" i="651"/>
  <c r="AH392" i="651"/>
  <c r="AH136" i="651"/>
  <c r="AH138" i="651" s="1"/>
  <c r="AG206" i="651"/>
  <c r="AG208" i="651" s="1"/>
  <c r="AG462" i="651"/>
  <c r="AH319" i="651"/>
  <c r="AH63" i="651"/>
  <c r="AH65" i="651" s="1"/>
  <c r="AH448" i="651"/>
  <c r="AH174" i="651"/>
  <c r="AH430" i="651"/>
  <c r="AH131" i="651"/>
  <c r="AH133" i="651" s="1"/>
  <c r="AH387" i="651"/>
  <c r="AM210" i="651"/>
  <c r="AM212" i="651" s="1"/>
  <c r="AM466" i="651"/>
  <c r="AQ329" i="651"/>
  <c r="AQ73" i="651"/>
  <c r="AQ75" i="651" s="1"/>
  <c r="AF24" i="651"/>
  <c r="AN38" i="651"/>
  <c r="AN40" i="651" s="1"/>
  <c r="AN294" i="651"/>
  <c r="AH354" i="651"/>
  <c r="AH98" i="651"/>
  <c r="AH100" i="651" s="1"/>
  <c r="AH294" i="651"/>
  <c r="AH38" i="651"/>
  <c r="AH40" i="651" s="1"/>
  <c r="AG33" i="651"/>
  <c r="AG35" i="651" s="1"/>
  <c r="AG289" i="651"/>
  <c r="AH304" i="651"/>
  <c r="AH48" i="651"/>
  <c r="AH50" i="651" s="1"/>
  <c r="AG141" i="651"/>
  <c r="AG143" i="651" s="1"/>
  <c r="AG397" i="651"/>
  <c r="AF99" i="651"/>
  <c r="AQ421" i="651"/>
  <c r="AQ162" i="651"/>
  <c r="AQ167" i="651" s="1"/>
  <c r="AN494" i="651"/>
  <c r="AN238" i="651"/>
  <c r="AN240" i="651" s="1"/>
  <c r="AF44" i="651"/>
  <c r="AQ126" i="651"/>
  <c r="AQ128" i="651" s="1"/>
  <c r="AQ382" i="651"/>
  <c r="AN392" i="651"/>
  <c r="AN136" i="651"/>
  <c r="AN138" i="651" s="1"/>
  <c r="AN329" i="651"/>
  <c r="AN73" i="651"/>
  <c r="AN75" i="651" s="1"/>
  <c r="AO430" i="651"/>
  <c r="AO448" i="651"/>
  <c r="AO174" i="651"/>
  <c r="AG146" i="651"/>
  <c r="AG148" i="651" s="1"/>
  <c r="AG402" i="651"/>
  <c r="AG364" i="651"/>
  <c r="AG108" i="651"/>
  <c r="AG110" i="651" s="1"/>
  <c r="AG314" i="651"/>
  <c r="AG58" i="651"/>
  <c r="AG60" i="651" s="1"/>
  <c r="AG179" i="651"/>
  <c r="AG181" i="651" s="1"/>
  <c r="AG435" i="651"/>
  <c r="AH151" i="651"/>
  <c r="AH153" i="651" s="1"/>
  <c r="AH407" i="651"/>
  <c r="AH382" i="651"/>
  <c r="AH126" i="651"/>
  <c r="AH128" i="651" s="1"/>
  <c r="AH507" i="651"/>
  <c r="AH247" i="651"/>
  <c r="AH253" i="651" s="1"/>
  <c r="AG448" i="651"/>
  <c r="AG430" i="651"/>
  <c r="AG174" i="651"/>
  <c r="AG161" i="651"/>
  <c r="AG420" i="651"/>
  <c r="AG417" i="651"/>
  <c r="AQ319" i="651"/>
  <c r="AQ63" i="651"/>
  <c r="AQ65" i="651" s="1"/>
  <c r="AQ339" i="651"/>
  <c r="AQ83" i="651"/>
  <c r="AQ85" i="651" s="1"/>
  <c r="AQ284" i="651"/>
  <c r="AQ28" i="651"/>
  <c r="AQ30" i="651" s="1"/>
  <c r="AF94" i="651"/>
  <c r="AP387" i="651"/>
  <c r="AP131" i="651"/>
  <c r="AP133" i="651" s="1"/>
  <c r="AH344" i="651"/>
  <c r="AH88" i="651"/>
  <c r="AH90" i="651" s="1"/>
  <c r="AG470" i="651"/>
  <c r="AG214" i="651"/>
  <c r="AG216" i="651" s="1"/>
  <c r="AH364" i="651"/>
  <c r="AH108" i="651"/>
  <c r="AH110" i="651" s="1"/>
  <c r="AH222" i="651"/>
  <c r="AH224" i="651" s="1"/>
  <c r="AH478" i="651"/>
  <c r="AH184" i="651"/>
  <c r="AH186" i="651" s="1"/>
  <c r="AH440" i="651"/>
  <c r="AG23" i="651"/>
  <c r="AG25" i="651" s="1"/>
  <c r="AG279" i="651"/>
  <c r="AG412" i="651"/>
  <c r="AG156" i="651"/>
  <c r="AG158" i="651" s="1"/>
  <c r="AG329" i="651"/>
  <c r="AG73" i="651"/>
  <c r="AG75" i="651" s="1"/>
  <c r="AG230" i="651"/>
  <c r="AG232" i="651" s="1"/>
  <c r="AG486" i="651"/>
  <c r="AF279" i="651"/>
  <c r="AF23" i="651"/>
  <c r="AM329" i="651"/>
  <c r="AM73" i="651"/>
  <c r="AM75" i="651" s="1"/>
  <c r="AO339" i="651"/>
  <c r="AO83" i="651"/>
  <c r="AO85" i="651" s="1"/>
  <c r="AF104" i="651"/>
  <c r="AN98" i="651"/>
  <c r="AN100" i="651" s="1"/>
  <c r="AN354" i="651"/>
  <c r="AH417" i="651"/>
  <c r="AH161" i="651"/>
  <c r="AH420" i="651"/>
  <c r="AQ387" i="651"/>
  <c r="AQ131" i="651"/>
  <c r="AQ133" i="651" s="1"/>
  <c r="AQ58" i="651"/>
  <c r="AQ60" i="651" s="1"/>
  <c r="AQ314" i="651"/>
  <c r="AM136" i="651"/>
  <c r="AM138" i="651" s="1"/>
  <c r="AM392" i="651"/>
  <c r="AF227" i="651"/>
  <c r="AF142" i="651"/>
  <c r="AN230" i="651"/>
  <c r="AN232" i="651" s="1"/>
  <c r="AN486" i="651"/>
  <c r="AN289" i="651"/>
  <c r="AN33" i="651"/>
  <c r="AN35" i="651" s="1"/>
  <c r="AF180" i="651"/>
  <c r="AP462" i="651"/>
  <c r="AP206" i="651"/>
  <c r="AP208" i="651" s="1"/>
  <c r="AO162" i="651"/>
  <c r="AO167" i="651" s="1"/>
  <c r="AO421" i="651"/>
  <c r="AF223" i="651"/>
  <c r="AF89" i="651"/>
  <c r="AO329" i="651"/>
  <c r="AO73" i="651"/>
  <c r="AO75" i="651" s="1"/>
  <c r="AQ344" i="651"/>
  <c r="AQ88" i="651"/>
  <c r="AQ90" i="651" s="1"/>
  <c r="AM440" i="651"/>
  <c r="AM184" i="651"/>
  <c r="AM186" i="651" s="1"/>
  <c r="AP349" i="651"/>
  <c r="AP93" i="651"/>
  <c r="AP95" i="651" s="1"/>
  <c r="AP28" i="651"/>
  <c r="AP30" i="651" s="1"/>
  <c r="AP284" i="651"/>
  <c r="AO397" i="651"/>
  <c r="AO141" i="651"/>
  <c r="AO143" i="651" s="1"/>
  <c r="AO314" i="651"/>
  <c r="AO58" i="651"/>
  <c r="AO60" i="651" s="1"/>
  <c r="AQ448" i="651"/>
  <c r="AQ174" i="651"/>
  <c r="AQ430" i="651"/>
  <c r="AQ161" i="651"/>
  <c r="AQ420" i="651"/>
  <c r="AQ417" i="651"/>
  <c r="AN377" i="651"/>
  <c r="AN121" i="651"/>
  <c r="AN123" i="651" s="1"/>
  <c r="AO19" i="651"/>
  <c r="AO114" i="651" s="1"/>
  <c r="AO368" i="651"/>
  <c r="AO136" i="651"/>
  <c r="AO138" i="651" s="1"/>
  <c r="AO392" i="651"/>
  <c r="AQ146" i="651"/>
  <c r="AQ148" i="651" s="1"/>
  <c r="AQ402" i="651"/>
  <c r="AN226" i="651"/>
  <c r="AN228" i="651" s="1"/>
  <c r="AN482" i="651"/>
  <c r="AF377" i="651"/>
  <c r="AF121" i="651"/>
  <c r="AN279" i="651"/>
  <c r="AN23" i="651"/>
  <c r="AN25" i="651" s="1"/>
  <c r="AP53" i="651"/>
  <c r="AP55" i="651" s="1"/>
  <c r="AP309" i="651"/>
  <c r="AN324" i="651"/>
  <c r="AN68" i="651"/>
  <c r="AN70" i="651" s="1"/>
  <c r="AP354" i="651"/>
  <c r="AP98" i="651"/>
  <c r="AP100" i="651" s="1"/>
  <c r="AF215" i="651"/>
  <c r="AO202" i="651"/>
  <c r="AO458" i="651"/>
  <c r="AO43" i="651"/>
  <c r="AO45" i="651" s="1"/>
  <c r="AO299" i="651"/>
  <c r="AP279" i="651"/>
  <c r="AP23" i="651"/>
  <c r="AP25" i="651" s="1"/>
  <c r="AM368" i="651"/>
  <c r="AM19" i="651"/>
  <c r="AM114" i="651" s="1"/>
  <c r="AF387" i="651"/>
  <c r="AF131" i="651"/>
  <c r="AF63" i="651"/>
  <c r="AF319" i="651"/>
  <c r="AF397" i="651"/>
  <c r="AF141" i="651"/>
  <c r="AP507" i="651"/>
  <c r="AP247" i="651"/>
  <c r="AP253" i="651" s="1"/>
  <c r="AP10" i="651"/>
  <c r="AP13" i="651" s="1"/>
  <c r="AP267" i="651"/>
  <c r="AO284" i="651"/>
  <c r="AO28" i="651"/>
  <c r="AO30" i="651" s="1"/>
  <c r="AF203" i="651"/>
  <c r="AP421" i="651"/>
  <c r="AP162" i="651"/>
  <c r="AP167" i="651" s="1"/>
  <c r="AF349" i="651"/>
  <c r="AF93" i="651"/>
  <c r="AN417" i="651"/>
  <c r="AN420" i="651"/>
  <c r="AN161" i="651"/>
  <c r="AF417" i="651"/>
  <c r="AF161" i="651"/>
  <c r="AF420" i="651"/>
  <c r="AM10" i="651"/>
  <c r="AM13" i="651" s="1"/>
  <c r="AM267" i="651"/>
  <c r="AN179" i="651"/>
  <c r="AN181" i="651" s="1"/>
  <c r="AN435" i="651"/>
  <c r="AF219" i="651"/>
  <c r="AQ121" i="651"/>
  <c r="AQ123" i="651" s="1"/>
  <c r="AQ377" i="651"/>
  <c r="AO506" i="651"/>
  <c r="AO502" i="651"/>
  <c r="AO246" i="651"/>
  <c r="AF83" i="651"/>
  <c r="AF339" i="651"/>
  <c r="AP458" i="651"/>
  <c r="AP202" i="651"/>
  <c r="AO367" i="651"/>
  <c r="AO274" i="651"/>
  <c r="AO18" i="651"/>
  <c r="AP502" i="651"/>
  <c r="AP506" i="651"/>
  <c r="AP246" i="651"/>
  <c r="AO10" i="651"/>
  <c r="AO13" i="651" s="1"/>
  <c r="AO267" i="651"/>
  <c r="AF122" i="651"/>
  <c r="AH146" i="651"/>
  <c r="AH148" i="651" s="1"/>
  <c r="AH402" i="651"/>
  <c r="AG267" i="651"/>
  <c r="AG10" i="651"/>
  <c r="AG13" i="651" s="1"/>
  <c r="AH73" i="651"/>
  <c r="AH75" i="651" s="1"/>
  <c r="AH329" i="651"/>
  <c r="AF449" i="651"/>
  <c r="AF175" i="651"/>
  <c r="AF435" i="651"/>
  <c r="AF179" i="651"/>
  <c r="AG294" i="651"/>
  <c r="AG38" i="651"/>
  <c r="AG40" i="651" s="1"/>
  <c r="AH449" i="651"/>
  <c r="AH175" i="651"/>
  <c r="AH195" i="651" s="1"/>
  <c r="AG344" i="651"/>
  <c r="AG88" i="651"/>
  <c r="AG90" i="651" s="1"/>
  <c r="AG458" i="651"/>
  <c r="AG202" i="651"/>
  <c r="AF458" i="651"/>
  <c r="AF202" i="651"/>
  <c r="AP364" i="651"/>
  <c r="AP108" i="651"/>
  <c r="AP110" i="651" s="1"/>
  <c r="AP402" i="651"/>
  <c r="AP146" i="651"/>
  <c r="AP148" i="651" s="1"/>
  <c r="AN449" i="651"/>
  <c r="AN175" i="651"/>
  <c r="AN195" i="651" s="1"/>
  <c r="AQ48" i="651"/>
  <c r="AQ50" i="651" s="1"/>
  <c r="AQ304" i="651"/>
  <c r="AM28" i="651"/>
  <c r="AM30" i="651" s="1"/>
  <c r="AM284" i="651"/>
  <c r="AF64" i="651"/>
  <c r="AG359" i="651"/>
  <c r="AG103" i="651"/>
  <c r="AG105" i="651" s="1"/>
  <c r="AG494" i="651"/>
  <c r="AG238" i="651"/>
  <c r="AG240" i="651" s="1"/>
  <c r="AG421" i="651"/>
  <c r="AG162" i="651"/>
  <c r="AG167" i="651" s="1"/>
  <c r="AH339" i="651"/>
  <c r="AH83" i="651"/>
  <c r="AH85" i="651" s="1"/>
  <c r="AG78" i="651"/>
  <c r="AG80" i="651" s="1"/>
  <c r="AG334" i="651"/>
  <c r="AH502" i="651"/>
  <c r="AH246" i="651"/>
  <c r="AH506" i="651"/>
  <c r="AN58" i="651"/>
  <c r="AN60" i="651" s="1"/>
  <c r="AN314" i="651"/>
  <c r="AN319" i="651"/>
  <c r="AN63" i="651"/>
  <c r="AN65" i="651" s="1"/>
  <c r="AQ440" i="651"/>
  <c r="AQ184" i="651"/>
  <c r="AQ186" i="651" s="1"/>
  <c r="AF69" i="651"/>
  <c r="AQ238" i="651"/>
  <c r="AQ240" i="651" s="1"/>
  <c r="AQ494" i="651"/>
  <c r="AQ368" i="651"/>
  <c r="AQ19" i="651"/>
  <c r="AQ114" i="651" s="1"/>
  <c r="AH334" i="651"/>
  <c r="AH78" i="651"/>
  <c r="AH80" i="651" s="1"/>
  <c r="AF407" i="651"/>
  <c r="AF151" i="651"/>
  <c r="AG53" i="651"/>
  <c r="AG55" i="651" s="1"/>
  <c r="AG309" i="651"/>
  <c r="AH279" i="651"/>
  <c r="AH23" i="651"/>
  <c r="AH25" i="651" s="1"/>
  <c r="AH156" i="651"/>
  <c r="AH158" i="651" s="1"/>
  <c r="AH412" i="651"/>
  <c r="AH267" i="651"/>
  <c r="AH10" i="651"/>
  <c r="AH13" i="651" s="1"/>
  <c r="AG445" i="651"/>
  <c r="AG189" i="651"/>
  <c r="AG191" i="651" s="1"/>
  <c r="AF299" i="651"/>
  <c r="AF43" i="651"/>
  <c r="AM494" i="651"/>
  <c r="AM238" i="651"/>
  <c r="AM240" i="651" s="1"/>
  <c r="AO494" i="651"/>
  <c r="AO238" i="651"/>
  <c r="AO240" i="651" s="1"/>
  <c r="AM435" i="651"/>
  <c r="AM179" i="651"/>
  <c r="AM181" i="651" s="1"/>
  <c r="AO279" i="651"/>
  <c r="AO23" i="651"/>
  <c r="AO25" i="651" s="1"/>
  <c r="AM324" i="651"/>
  <c r="AM68" i="651"/>
  <c r="AM70" i="651" s="1"/>
  <c r="AO387" i="651"/>
  <c r="AO131" i="651"/>
  <c r="AO133" i="651" s="1"/>
  <c r="AN448" i="651"/>
  <c r="AN430" i="651"/>
  <c r="AN174" i="651"/>
  <c r="AG466" i="651"/>
  <c r="AG210" i="651"/>
  <c r="AG212" i="651" s="1"/>
  <c r="AF304" i="651"/>
  <c r="AF48" i="651"/>
  <c r="AG98" i="651"/>
  <c r="AG100" i="651" s="1"/>
  <c r="AG354" i="651"/>
  <c r="AG43" i="651"/>
  <c r="AG45" i="651" s="1"/>
  <c r="AG299" i="651"/>
  <c r="AG284" i="651"/>
  <c r="AG28" i="651"/>
  <c r="AG30" i="651" s="1"/>
  <c r="AH202" i="651"/>
  <c r="AH458" i="651"/>
  <c r="AH218" i="651"/>
  <c r="AH220" i="651" s="1"/>
  <c r="AH474" i="651"/>
  <c r="AN364" i="651"/>
  <c r="AN108" i="651"/>
  <c r="AN110" i="651" s="1"/>
  <c r="AP382" i="651"/>
  <c r="AP126" i="651"/>
  <c r="AP128" i="651" s="1"/>
  <c r="AF53" i="651"/>
  <c r="AF309" i="651"/>
  <c r="AG440" i="651"/>
  <c r="AG184" i="651"/>
  <c r="AG186" i="651" s="1"/>
  <c r="AO466" i="651"/>
  <c r="AO210" i="651"/>
  <c r="AO212" i="651" s="1"/>
  <c r="AP68" i="651"/>
  <c r="AP70" i="651" s="1"/>
  <c r="AP324" i="651"/>
  <c r="AM462" i="651"/>
  <c r="AM206" i="651"/>
  <c r="AM208" i="651" s="1"/>
  <c r="AF54" i="651"/>
  <c r="AQ23" i="651"/>
  <c r="AQ25" i="651" s="1"/>
  <c r="AQ279" i="651"/>
  <c r="AN490" i="651"/>
  <c r="AN234" i="651"/>
  <c r="AN236" i="651" s="1"/>
  <c r="AQ222" i="651"/>
  <c r="AQ224" i="651" s="1"/>
  <c r="AQ478" i="651"/>
  <c r="AO334" i="651"/>
  <c r="AO78" i="651"/>
  <c r="AO80" i="651" s="1"/>
  <c r="AM23" i="651"/>
  <c r="AM25" i="651" s="1"/>
  <c r="AM279" i="651"/>
  <c r="AQ93" i="651"/>
  <c r="AQ95" i="651" s="1"/>
  <c r="AQ349" i="651"/>
  <c r="AM48" i="651"/>
  <c r="AM50" i="651" s="1"/>
  <c r="AM304" i="651"/>
  <c r="AQ38" i="651"/>
  <c r="AQ40" i="651" s="1"/>
  <c r="AQ294" i="651"/>
  <c r="AP83" i="651"/>
  <c r="AP85" i="651" s="1"/>
  <c r="AP339" i="651"/>
  <c r="AP494" i="651"/>
  <c r="AP238" i="651"/>
  <c r="AP240" i="651" s="1"/>
  <c r="AP210" i="651"/>
  <c r="AP212" i="651" s="1"/>
  <c r="AP466" i="651"/>
  <c r="AP490" i="651"/>
  <c r="AP234" i="651"/>
  <c r="AP236" i="651" s="1"/>
  <c r="AN359" i="651"/>
  <c r="AN103" i="651"/>
  <c r="AN105" i="651" s="1"/>
  <c r="AO364" i="651"/>
  <c r="AO108" i="651"/>
  <c r="AO110" i="651" s="1"/>
  <c r="AN445" i="651"/>
  <c r="AN189" i="651"/>
  <c r="AN191" i="651" s="1"/>
  <c r="AF126" i="651"/>
  <c r="AF382" i="651"/>
  <c r="AF274" i="651"/>
  <c r="AF18" i="651"/>
  <c r="AF367" i="651"/>
  <c r="AF474" i="651"/>
  <c r="AF218" i="651"/>
  <c r="AF206" i="651"/>
  <c r="AF462" i="651"/>
  <c r="AF211" i="651"/>
  <c r="AO507" i="651"/>
  <c r="AO247" i="651"/>
  <c r="AO253" i="651" s="1"/>
  <c r="AQ486" i="651"/>
  <c r="AQ230" i="651"/>
  <c r="AQ232" i="651" s="1"/>
  <c r="AP222" i="651"/>
  <c r="AP224" i="651" s="1"/>
  <c r="AP478" i="651"/>
  <c r="AM334" i="651"/>
  <c r="AM78" i="651"/>
  <c r="AM80" i="651" s="1"/>
  <c r="AF84" i="651"/>
  <c r="AN421" i="651"/>
  <c r="AN162" i="651"/>
  <c r="AN167" i="651" s="1"/>
  <c r="AQ189" i="651"/>
  <c r="AQ191" i="651" s="1"/>
  <c r="AQ445" i="651"/>
  <c r="AO354" i="651"/>
  <c r="AO98" i="651"/>
  <c r="AO100" i="651" s="1"/>
  <c r="AF235" i="651"/>
  <c r="AF207" i="651"/>
  <c r="AM377" i="651"/>
  <c r="AM121" i="651"/>
  <c r="AM123" i="651" s="1"/>
  <c r="AQ466" i="651"/>
  <c r="AQ210" i="651"/>
  <c r="AQ212" i="651" s="1"/>
  <c r="AO38" i="651"/>
  <c r="AO40" i="651" s="1"/>
  <c r="AO294" i="651"/>
  <c r="AF470" i="651"/>
  <c r="AF214" i="651"/>
  <c r="AF247" i="651"/>
  <c r="AF507" i="651"/>
  <c r="AP48" i="651"/>
  <c r="AP50" i="651" s="1"/>
  <c r="AP304" i="651"/>
  <c r="AM449" i="651"/>
  <c r="AM175" i="651"/>
  <c r="AM195" i="651" s="1"/>
  <c r="AF109" i="651"/>
  <c r="AF230" i="651"/>
  <c r="AF486" i="651"/>
  <c r="AF79" i="651"/>
  <c r="AO420" i="651"/>
  <c r="AO161" i="651"/>
  <c r="AO417" i="651"/>
  <c r="AQ506" i="651"/>
  <c r="AQ502" i="651"/>
  <c r="AQ246" i="651"/>
  <c r="AF243" i="651"/>
  <c r="AF412" i="651"/>
  <c r="AF156" i="651"/>
  <c r="AP18" i="651"/>
  <c r="AP367" i="651"/>
  <c r="AP274" i="651"/>
  <c r="AP136" i="651"/>
  <c r="AP138" i="651" s="1"/>
  <c r="AP392" i="651"/>
  <c r="AM474" i="651"/>
  <c r="AM218" i="651"/>
  <c r="AM220" i="651" s="1"/>
  <c r="AP474" i="651"/>
  <c r="AP218" i="651"/>
  <c r="AP220" i="651" s="1"/>
  <c r="AF34" i="651"/>
  <c r="AF157" i="651"/>
  <c r="AQ470" i="651"/>
  <c r="AQ214" i="651"/>
  <c r="AQ216" i="651" s="1"/>
  <c r="AP420" i="651"/>
  <c r="AP417" i="651"/>
  <c r="AP161" i="651"/>
  <c r="AF364" i="651"/>
  <c r="AF108" i="651"/>
  <c r="AF11" i="651"/>
  <c r="AF246" i="651"/>
  <c r="AF502" i="651"/>
  <c r="AF506" i="651"/>
  <c r="AN474" i="651"/>
  <c r="AN218" i="651"/>
  <c r="AN220" i="651" s="1"/>
  <c r="AN267" i="651"/>
  <c r="AN10" i="651"/>
  <c r="AF329" i="651"/>
  <c r="AF73" i="651"/>
  <c r="AH103" i="651"/>
  <c r="AH105" i="651" s="1"/>
  <c r="AH359" i="651"/>
  <c r="AP289" i="651"/>
  <c r="AP33" i="651"/>
  <c r="AP35" i="651" s="1"/>
  <c r="AG319" i="651"/>
  <c r="AG63" i="651"/>
  <c r="AG65" i="651" s="1"/>
  <c r="AH498" i="651"/>
  <c r="AH242" i="651"/>
  <c r="AH244" i="651" s="1"/>
  <c r="AH214" i="651"/>
  <c r="AH216" i="651" s="1"/>
  <c r="AH470" i="651"/>
  <c r="AG377" i="651"/>
  <c r="AG121" i="651"/>
  <c r="AG123" i="651" s="1"/>
  <c r="AH189" i="651"/>
  <c r="AH191" i="651" s="1"/>
  <c r="AH445" i="651"/>
  <c r="AG407" i="651"/>
  <c r="AG151" i="651"/>
  <c r="AG153" i="651" s="1"/>
  <c r="AH162" i="651"/>
  <c r="AH167" i="651" s="1"/>
  <c r="AH421" i="651"/>
  <c r="AH482" i="651"/>
  <c r="AH226" i="651"/>
  <c r="AH228" i="651" s="1"/>
  <c r="AH368" i="651"/>
  <c r="AH19" i="651"/>
  <c r="AH114" i="651" s="1"/>
  <c r="AP184" i="651"/>
  <c r="AP186" i="651" s="1"/>
  <c r="AP440" i="651"/>
  <c r="AG247" i="651"/>
  <c r="AG253" i="651" s="1"/>
  <c r="AG507" i="651"/>
  <c r="AP407" i="651"/>
  <c r="AP151" i="651"/>
  <c r="AP153" i="651" s="1"/>
  <c r="AF74" i="651"/>
  <c r="AP397" i="651"/>
  <c r="AP141" i="651"/>
  <c r="AP143" i="651" s="1"/>
  <c r="AF29" i="651"/>
  <c r="AT29" i="651" s="1"/>
  <c r="I157" i="139" s="1"/>
  <c r="AG382" i="651"/>
  <c r="AG126" i="651"/>
  <c r="AG128" i="651" s="1"/>
  <c r="AH141" i="651"/>
  <c r="AH143" i="651" s="1"/>
  <c r="AH397" i="651"/>
  <c r="AG339" i="651"/>
  <c r="AG83" i="651"/>
  <c r="AG85" i="651" s="1"/>
  <c r="AG502" i="651"/>
  <c r="AG506" i="651"/>
  <c r="AG246" i="651"/>
  <c r="AG368" i="651"/>
  <c r="AG19" i="651"/>
  <c r="AG114" i="651" s="1"/>
  <c r="AN284" i="651"/>
  <c r="AN28" i="651"/>
  <c r="AN30" i="651" s="1"/>
  <c r="AQ474" i="651"/>
  <c r="AQ218" i="651"/>
  <c r="AQ220" i="651" s="1"/>
  <c r="AM382" i="651"/>
  <c r="AM126" i="651"/>
  <c r="AM128" i="651" s="1"/>
  <c r="AO440" i="651"/>
  <c r="AO184" i="651"/>
  <c r="AO186" i="651" s="1"/>
  <c r="AQ324" i="651"/>
  <c r="AQ68" i="651"/>
  <c r="AQ70" i="651" s="1"/>
  <c r="AP242" i="651"/>
  <c r="AP244" i="651" s="1"/>
  <c r="AP498" i="651"/>
  <c r="AF445" i="651"/>
  <c r="AF189" i="651"/>
  <c r="AF324" i="651"/>
  <c r="AF68" i="651"/>
  <c r="AF490" i="651"/>
  <c r="AF234" i="651"/>
  <c r="AG387" i="651"/>
  <c r="AG131" i="651"/>
  <c r="AG133" i="651" s="1"/>
  <c r="AH494" i="651"/>
  <c r="AH238" i="651"/>
  <c r="AH240" i="651" s="1"/>
  <c r="AH299" i="651"/>
  <c r="AH43" i="651"/>
  <c r="AH45" i="651" s="1"/>
  <c r="AH284" i="651"/>
  <c r="AH28" i="651"/>
  <c r="AH30" i="651" s="1"/>
  <c r="AM387" i="651"/>
  <c r="AM131" i="651"/>
  <c r="AM133" i="651" s="1"/>
  <c r="AH466" i="651"/>
  <c r="AH210" i="651"/>
  <c r="AH212" i="651" s="1"/>
  <c r="AG367" i="651"/>
  <c r="AG18" i="651"/>
  <c r="AG274" i="651"/>
  <c r="AO359" i="651"/>
  <c r="AO103" i="651"/>
  <c r="AO105" i="651" s="1"/>
  <c r="AM478" i="651"/>
  <c r="AM222" i="651"/>
  <c r="AM224" i="651" s="1"/>
  <c r="AQ462" i="651"/>
  <c r="AQ206" i="651"/>
  <c r="AQ208" i="651" s="1"/>
  <c r="AO349" i="651"/>
  <c r="AO93" i="651"/>
  <c r="AO95" i="651" s="1"/>
  <c r="AG304" i="651"/>
  <c r="AG48" i="651"/>
  <c r="AG50" i="651" s="1"/>
  <c r="AN309" i="651"/>
  <c r="AN53" i="651"/>
  <c r="AN55" i="651" s="1"/>
  <c r="AG324" i="651"/>
  <c r="AG68" i="651"/>
  <c r="AG70" i="651" s="1"/>
  <c r="AH121" i="651"/>
  <c r="AH123" i="651" s="1"/>
  <c r="AH377" i="651"/>
  <c r="AG449" i="651"/>
  <c r="AG175" i="651"/>
  <c r="AG195" i="651" s="1"/>
  <c r="AN466" i="651"/>
  <c r="AN210" i="651"/>
  <c r="AN212" i="651" s="1"/>
  <c r="AO206" i="651"/>
  <c r="AO208" i="651" s="1"/>
  <c r="AO462" i="651"/>
  <c r="AQ179" i="651"/>
  <c r="AQ181" i="651" s="1"/>
  <c r="AQ435" i="651"/>
  <c r="AQ359" i="651"/>
  <c r="AQ103" i="651"/>
  <c r="AQ105" i="651" s="1"/>
  <c r="AP329" i="651"/>
  <c r="AP73" i="651"/>
  <c r="AP75" i="651" s="1"/>
  <c r="AN131" i="651"/>
  <c r="AN133" i="651" s="1"/>
  <c r="AN387" i="651"/>
  <c r="AP445" i="651"/>
  <c r="AP189" i="651"/>
  <c r="AP191" i="651" s="1"/>
  <c r="AN498" i="651"/>
  <c r="AN242" i="651"/>
  <c r="AN244" i="651" s="1"/>
  <c r="AN299" i="651"/>
  <c r="AN43" i="651"/>
  <c r="AN45" i="651" s="1"/>
  <c r="AO478" i="651"/>
  <c r="AO222" i="651"/>
  <c r="AO224" i="651" s="1"/>
  <c r="AN344" i="651"/>
  <c r="AN88" i="651"/>
  <c r="AN90" i="651" s="1"/>
  <c r="AP63" i="651"/>
  <c r="AP65" i="651" s="1"/>
  <c r="AP319" i="651"/>
  <c r="AN126" i="651"/>
  <c r="AN128" i="651" s="1"/>
  <c r="AN382" i="651"/>
  <c r="AO435" i="651"/>
  <c r="AO179" i="651"/>
  <c r="AO181" i="651" s="1"/>
  <c r="AF152" i="651"/>
  <c r="AO214" i="651"/>
  <c r="AO216" i="651" s="1"/>
  <c r="AO470" i="651"/>
  <c r="AO156" i="651"/>
  <c r="AO158" i="651" s="1"/>
  <c r="AO412" i="651"/>
  <c r="AO486" i="651"/>
  <c r="AO230" i="651"/>
  <c r="AO232" i="651" s="1"/>
  <c r="AO319" i="651"/>
  <c r="AO63" i="651"/>
  <c r="AO65" i="651" s="1"/>
  <c r="AO218" i="651"/>
  <c r="AO220" i="651" s="1"/>
  <c r="AO474" i="651"/>
  <c r="AP78" i="651"/>
  <c r="AP80" i="651" s="1"/>
  <c r="AP334" i="651"/>
  <c r="AQ392" i="651"/>
  <c r="AQ136" i="651"/>
  <c r="AQ138" i="651" s="1"/>
  <c r="AN334" i="651"/>
  <c r="AN78" i="651"/>
  <c r="AN80" i="651" s="1"/>
  <c r="AN507" i="651"/>
  <c r="AN247" i="651"/>
  <c r="AN253" i="651" s="1"/>
  <c r="AQ507" i="651"/>
  <c r="AQ247" i="651"/>
  <c r="AQ253" i="651" s="1"/>
  <c r="AP299" i="651"/>
  <c r="AP43" i="651"/>
  <c r="AP45" i="651" s="1"/>
  <c r="AN339" i="651"/>
  <c r="AN83" i="651"/>
  <c r="AN85" i="651" s="1"/>
  <c r="AM490" i="651"/>
  <c r="AM234" i="651"/>
  <c r="AM236" i="651" s="1"/>
  <c r="AQ407" i="651"/>
  <c r="AQ151" i="651"/>
  <c r="AQ153" i="651" s="1"/>
  <c r="AN246" i="651"/>
  <c r="AN502" i="651"/>
  <c r="AN506" i="651"/>
  <c r="AF33" i="651"/>
  <c r="AF289" i="651"/>
  <c r="AM33" i="651"/>
  <c r="AM35" i="651" s="1"/>
  <c r="AM289" i="651"/>
  <c r="AQ33" i="651"/>
  <c r="AQ35" i="651" s="1"/>
  <c r="AQ289" i="651"/>
  <c r="AP88" i="651"/>
  <c r="AP90" i="651" s="1"/>
  <c r="AP344" i="651"/>
  <c r="AM319" i="651"/>
  <c r="AM63" i="651"/>
  <c r="AM65" i="651" s="1"/>
  <c r="AM407" i="651"/>
  <c r="AM151" i="651"/>
  <c r="AM153" i="651" s="1"/>
  <c r="AM299" i="651"/>
  <c r="AM43" i="651"/>
  <c r="AM45" i="651" s="1"/>
  <c r="AO189" i="651"/>
  <c r="AO191" i="651" s="1"/>
  <c r="AO445" i="651"/>
  <c r="AO498" i="651"/>
  <c r="AO242" i="651"/>
  <c r="AO244" i="651" s="1"/>
  <c r="AN402" i="651"/>
  <c r="AN146" i="651"/>
  <c r="AN148" i="651" s="1"/>
  <c r="AM146" i="651"/>
  <c r="AM148" i="651" s="1"/>
  <c r="AM402" i="651"/>
  <c r="AO344" i="651"/>
  <c r="AO88" i="651"/>
  <c r="AO90" i="651" s="1"/>
  <c r="AQ175" i="651"/>
  <c r="AQ195" i="651" s="1"/>
  <c r="AQ449" i="651"/>
  <c r="AM98" i="651"/>
  <c r="AM100" i="651" s="1"/>
  <c r="AM354" i="651"/>
  <c r="AF334" i="651"/>
  <c r="AF78" i="651"/>
  <c r="AF242" i="651"/>
  <c r="AF498" i="651"/>
  <c r="AF162" i="651"/>
  <c r="AF421" i="651"/>
  <c r="AF226" i="651"/>
  <c r="AF482" i="651"/>
  <c r="AP448" i="651"/>
  <c r="AP430" i="651"/>
  <c r="AP174" i="651"/>
  <c r="AF368" i="651"/>
  <c r="AF19" i="651"/>
  <c r="AF58" i="651"/>
  <c r="AF314" i="651"/>
  <c r="AO377" i="651"/>
  <c r="AO121" i="651"/>
  <c r="AO123" i="651" s="1"/>
  <c r="AM274" i="651"/>
  <c r="AM367" i="651"/>
  <c r="AM18" i="651"/>
  <c r="AM502" i="651"/>
  <c r="AM246" i="651"/>
  <c r="AM506" i="651"/>
  <c r="AF88" i="651"/>
  <c r="AF344" i="651"/>
  <c r="AM498" i="651"/>
  <c r="AM242" i="651"/>
  <c r="AM244" i="651" s="1"/>
  <c r="AO175" i="651"/>
  <c r="AO195" i="651" s="1"/>
  <c r="AO449" i="651"/>
  <c r="AM314" i="651"/>
  <c r="AM58" i="651"/>
  <c r="AM60" i="651" s="1"/>
  <c r="AM93" i="651"/>
  <c r="AM95" i="651" s="1"/>
  <c r="AM349" i="651"/>
  <c r="AF38" i="651"/>
  <c r="AF294" i="651"/>
  <c r="AM448" i="651"/>
  <c r="AM174" i="651"/>
  <c r="AM430" i="651"/>
  <c r="AF49" i="651"/>
  <c r="AF146" i="651"/>
  <c r="AF402" i="651"/>
  <c r="AL267" i="651"/>
  <c r="AL10" i="651"/>
  <c r="AL13" i="651" s="1"/>
  <c r="AP19" i="651"/>
  <c r="AP114" i="651" s="1"/>
  <c r="AP368" i="651"/>
  <c r="AQ13" i="651"/>
  <c r="AQ267" i="651"/>
  <c r="AN13" i="651" l="1"/>
  <c r="L89" i="651"/>
  <c r="L109" i="651"/>
  <c r="L79" i="651"/>
  <c r="L19" i="651"/>
  <c r="L137" i="651"/>
  <c r="L180" i="651"/>
  <c r="L142" i="651"/>
  <c r="AJ264" i="651"/>
  <c r="L190" i="651"/>
  <c r="L157" i="651"/>
  <c r="L122" i="651"/>
  <c r="K11" i="651"/>
  <c r="K13" i="651" s="1"/>
  <c r="L239" i="651"/>
  <c r="L215" i="651"/>
  <c r="AM451" i="651"/>
  <c r="AO423" i="651"/>
  <c r="AP451" i="651"/>
  <c r="AH423" i="651"/>
  <c r="AH505" i="651"/>
  <c r="AG505" i="651"/>
  <c r="AN505" i="651"/>
  <c r="AM423" i="651"/>
  <c r="AQ505" i="651"/>
  <c r="AM505" i="651"/>
  <c r="AP505" i="651"/>
  <c r="AO505" i="651"/>
  <c r="AF75" i="651"/>
  <c r="AP113" i="651"/>
  <c r="AP20" i="651"/>
  <c r="AP116" i="651" s="1"/>
  <c r="AF158" i="651"/>
  <c r="AF253" i="651"/>
  <c r="AF220" i="651"/>
  <c r="AF113" i="651"/>
  <c r="AF20" i="651"/>
  <c r="AF55" i="651"/>
  <c r="AF153" i="651"/>
  <c r="AH248" i="651"/>
  <c r="AH252" i="651"/>
  <c r="AF204" i="651"/>
  <c r="AG204" i="651"/>
  <c r="AF195" i="651"/>
  <c r="AP252" i="651"/>
  <c r="AP248" i="651"/>
  <c r="AO370" i="651"/>
  <c r="AO248" i="651"/>
  <c r="AO252" i="651"/>
  <c r="AF163" i="651"/>
  <c r="AF166" i="651"/>
  <c r="AF133" i="651"/>
  <c r="AF423" i="651"/>
  <c r="AQ176" i="651"/>
  <c r="AQ197" i="651" s="1"/>
  <c r="AQ194" i="651"/>
  <c r="AG166" i="651"/>
  <c r="AG163" i="651"/>
  <c r="AG169" i="651" s="1"/>
  <c r="AO451" i="651"/>
  <c r="AN204" i="651"/>
  <c r="AF30" i="651"/>
  <c r="AN370" i="651"/>
  <c r="AF224" i="651"/>
  <c r="AF194" i="651"/>
  <c r="AF176" i="651"/>
  <c r="AF228" i="651"/>
  <c r="AF232" i="651"/>
  <c r="AF128" i="651"/>
  <c r="AH204" i="651"/>
  <c r="AF50" i="651"/>
  <c r="AF181" i="651"/>
  <c r="AF143" i="651"/>
  <c r="AF65" i="651"/>
  <c r="AH166" i="651"/>
  <c r="AH163" i="651"/>
  <c r="AH169" i="651" s="1"/>
  <c r="AF25" i="651"/>
  <c r="AG176" i="651"/>
  <c r="AG197" i="651" s="1"/>
  <c r="AG194" i="651"/>
  <c r="AH451" i="651"/>
  <c r="AN113" i="651"/>
  <c r="AN20" i="651"/>
  <c r="AN116" i="651" s="1"/>
  <c r="AH370" i="651"/>
  <c r="AF186" i="651"/>
  <c r="AF114" i="651"/>
  <c r="AF40" i="651"/>
  <c r="AF90" i="651"/>
  <c r="AF35" i="651"/>
  <c r="AG370" i="651"/>
  <c r="AG248" i="651"/>
  <c r="AG252" i="651"/>
  <c r="AF370" i="651"/>
  <c r="AM248" i="651"/>
  <c r="AM252" i="651"/>
  <c r="AM370" i="651"/>
  <c r="AF60" i="651"/>
  <c r="AF167" i="651"/>
  <c r="AF244" i="651"/>
  <c r="AN248" i="651"/>
  <c r="AN252" i="651"/>
  <c r="AG20" i="651"/>
  <c r="AG116" i="651" s="1"/>
  <c r="AG113" i="651"/>
  <c r="AF248" i="651"/>
  <c r="AF252" i="651"/>
  <c r="AP370" i="651"/>
  <c r="AF216" i="651"/>
  <c r="AF208" i="651"/>
  <c r="AN176" i="651"/>
  <c r="AN197" i="651" s="1"/>
  <c r="AN194" i="651"/>
  <c r="AP204" i="651"/>
  <c r="AF85" i="651"/>
  <c r="AO204" i="651"/>
  <c r="AQ166" i="651"/>
  <c r="AQ163" i="651"/>
  <c r="AQ169" i="651" s="1"/>
  <c r="AG451" i="651"/>
  <c r="AO176" i="651"/>
  <c r="AO197" i="651" s="1"/>
  <c r="AO194" i="651"/>
  <c r="AH176" i="651"/>
  <c r="AH197" i="651" s="1"/>
  <c r="AH194" i="651"/>
  <c r="AQ204" i="651"/>
  <c r="AQ370" i="651"/>
  <c r="AF212" i="651"/>
  <c r="AF138" i="651"/>
  <c r="AM204" i="651"/>
  <c r="AF100" i="651"/>
  <c r="AM166" i="651"/>
  <c r="AM163" i="651"/>
  <c r="AM169" i="651" s="1"/>
  <c r="AH20" i="651"/>
  <c r="AH116" i="651" s="1"/>
  <c r="AH113" i="651"/>
  <c r="AF240" i="651"/>
  <c r="AF105" i="651"/>
  <c r="AM20" i="651"/>
  <c r="AM116" i="651" s="1"/>
  <c r="AM113" i="651"/>
  <c r="AF236" i="651"/>
  <c r="AF148" i="651"/>
  <c r="AM176" i="651"/>
  <c r="AM197" i="651" s="1"/>
  <c r="AM194" i="651"/>
  <c r="AP176" i="651"/>
  <c r="AP197" i="651" s="1"/>
  <c r="AP194" i="651"/>
  <c r="AF80" i="651"/>
  <c r="AF70" i="651"/>
  <c r="AF191" i="651"/>
  <c r="AG423" i="651"/>
  <c r="AF110" i="651"/>
  <c r="AP163" i="651"/>
  <c r="AP169" i="651" s="1"/>
  <c r="AP166" i="651"/>
  <c r="AQ252" i="651"/>
  <c r="AQ248" i="651"/>
  <c r="AO163" i="651"/>
  <c r="AO169" i="651" s="1"/>
  <c r="AO166" i="651"/>
  <c r="AN451" i="651"/>
  <c r="AF45" i="651"/>
  <c r="AF505" i="651"/>
  <c r="AO20" i="651"/>
  <c r="AO116" i="651" s="1"/>
  <c r="AO113" i="651"/>
  <c r="AQ423" i="651"/>
  <c r="AN166" i="651"/>
  <c r="AN163" i="651"/>
  <c r="AN169" i="651" s="1"/>
  <c r="AF95" i="651"/>
  <c r="AF123" i="651"/>
  <c r="AN423" i="651"/>
  <c r="AQ451" i="651"/>
  <c r="AQ113" i="651"/>
  <c r="AQ20" i="651"/>
  <c r="AQ116" i="651" s="1"/>
  <c r="AF13" i="651"/>
  <c r="AP423" i="651"/>
  <c r="AF451" i="651"/>
  <c r="L507" i="651" l="1"/>
  <c r="L175" i="651"/>
  <c r="AK493" i="651"/>
  <c r="AK239" i="651" s="1"/>
  <c r="L39" i="651"/>
  <c r="AK396" i="651"/>
  <c r="AK142" i="651" s="1"/>
  <c r="L152" i="651"/>
  <c r="L64" i="651"/>
  <c r="AJ265" i="651"/>
  <c r="L235" i="651"/>
  <c r="L84" i="651"/>
  <c r="L29" i="651"/>
  <c r="AK283" i="651"/>
  <c r="AK376" i="651"/>
  <c r="AK122" i="651" s="1"/>
  <c r="AK444" i="651"/>
  <c r="AK190" i="651" s="1"/>
  <c r="L162" i="651"/>
  <c r="L54" i="651"/>
  <c r="L185" i="651"/>
  <c r="L49" i="651"/>
  <c r="L247" i="651"/>
  <c r="L207" i="651"/>
  <c r="AK273" i="651"/>
  <c r="L219" i="651"/>
  <c r="L127" i="651"/>
  <c r="AK363" i="651"/>
  <c r="AK109" i="651" s="1"/>
  <c r="L34" i="651"/>
  <c r="L243" i="651"/>
  <c r="L44" i="651"/>
  <c r="L69" i="651"/>
  <c r="L59" i="651"/>
  <c r="L104" i="651"/>
  <c r="L74" i="651"/>
  <c r="L99" i="651"/>
  <c r="AK434" i="651"/>
  <c r="AK180" i="651" s="1"/>
  <c r="L147" i="651"/>
  <c r="L231" i="651"/>
  <c r="L132" i="651"/>
  <c r="G10" i="651"/>
  <c r="L203" i="651"/>
  <c r="L24" i="651"/>
  <c r="AK391" i="651"/>
  <c r="AK137" i="651" s="1"/>
  <c r="AK469" i="651"/>
  <c r="AK215" i="651" s="1"/>
  <c r="L211" i="651"/>
  <c r="L94" i="651"/>
  <c r="AK411" i="651"/>
  <c r="AK157" i="651" s="1"/>
  <c r="AK477" i="651"/>
  <c r="AK223" i="651" s="1"/>
  <c r="AJ10" i="651"/>
  <c r="AM508" i="651"/>
  <c r="AG251" i="651"/>
  <c r="AG254" i="651" s="1"/>
  <c r="AN251" i="651"/>
  <c r="AN254" i="651" s="1"/>
  <c r="AO251" i="651"/>
  <c r="AO254" i="651" s="1"/>
  <c r="AP508" i="651"/>
  <c r="AH508" i="651"/>
  <c r="AH251" i="651"/>
  <c r="AH254" i="651" s="1"/>
  <c r="AP251" i="651"/>
  <c r="AP254" i="651" s="1"/>
  <c r="AM251" i="651"/>
  <c r="AM254" i="651" s="1"/>
  <c r="AQ251" i="651"/>
  <c r="AQ254" i="651" s="1"/>
  <c r="AG508" i="651"/>
  <c r="AF251" i="651"/>
  <c r="AQ508" i="651"/>
  <c r="AF508" i="651"/>
  <c r="AO508" i="651"/>
  <c r="AN508" i="651"/>
  <c r="AF169" i="651"/>
  <c r="AF197" i="651"/>
  <c r="AF116" i="651"/>
  <c r="AK333" i="651" l="1"/>
  <c r="AK79" i="651" s="1"/>
  <c r="AK343" i="651"/>
  <c r="AK89" i="651" s="1"/>
  <c r="L114" i="651"/>
  <c r="AJ267" i="651"/>
  <c r="AK348" i="651"/>
  <c r="AK94" i="651" s="1"/>
  <c r="AK386" i="651"/>
  <c r="AK132" i="651" s="1"/>
  <c r="AK401" i="651"/>
  <c r="AK147" i="651" s="1"/>
  <c r="AK416" i="651"/>
  <c r="AK338" i="651"/>
  <c r="AK84" i="651" s="1"/>
  <c r="G11" i="651"/>
  <c r="AK429" i="651"/>
  <c r="AK358" i="651"/>
  <c r="AK104" i="651" s="1"/>
  <c r="AK381" i="651"/>
  <c r="AK127" i="651" s="1"/>
  <c r="AK439" i="651"/>
  <c r="AK185" i="651" s="1"/>
  <c r="L167" i="651"/>
  <c r="L195" i="651"/>
  <c r="AK328" i="651"/>
  <c r="AK74" i="651" s="1"/>
  <c r="AK19" i="651"/>
  <c r="J10" i="651"/>
  <c r="AK313" i="651"/>
  <c r="AK59" i="651" s="1"/>
  <c r="AK473" i="651"/>
  <c r="AK219" i="651" s="1"/>
  <c r="AK308" i="651"/>
  <c r="AK54" i="651" s="1"/>
  <c r="AK318" i="651"/>
  <c r="AK64" i="651" s="1"/>
  <c r="AK293" i="651"/>
  <c r="AK39" i="651" s="1"/>
  <c r="AK485" i="651"/>
  <c r="AK231" i="651" s="1"/>
  <c r="AK497" i="651"/>
  <c r="AK243" i="651" s="1"/>
  <c r="AK457" i="651"/>
  <c r="AK203" i="651" s="1"/>
  <c r="AK461" i="651"/>
  <c r="AK207" i="651" s="1"/>
  <c r="AK298" i="651"/>
  <c r="AK44" i="651" s="1"/>
  <c r="AK501" i="651"/>
  <c r="AK489" i="651"/>
  <c r="AK235" i="651" s="1"/>
  <c r="AJ11" i="651"/>
  <c r="AJ13" i="651" s="1"/>
  <c r="AK303" i="651"/>
  <c r="AK49" i="651" s="1"/>
  <c r="AK465" i="651"/>
  <c r="AK211" i="651" s="1"/>
  <c r="AK481" i="651"/>
  <c r="AK227" i="651" s="1"/>
  <c r="AK288" i="651"/>
  <c r="AK34" i="651" s="1"/>
  <c r="AK278" i="651"/>
  <c r="AK24" i="651" s="1"/>
  <c r="AK353" i="651"/>
  <c r="AK99" i="651" s="1"/>
  <c r="AK323" i="651"/>
  <c r="AK69" i="651" s="1"/>
  <c r="L253" i="651"/>
  <c r="AK406" i="651"/>
  <c r="AK152" i="651" s="1"/>
  <c r="AF254" i="651"/>
  <c r="AK114" i="651" l="1"/>
  <c r="AK507" i="651"/>
  <c r="AK247" i="651"/>
  <c r="AK253" i="651" s="1"/>
  <c r="AK368" i="651"/>
  <c r="G13" i="651"/>
  <c r="J11" i="651"/>
  <c r="J13" i="651" s="1"/>
  <c r="AI264" i="651"/>
  <c r="AK162" i="651"/>
  <c r="AK167" i="651" s="1"/>
  <c r="AK421" i="651"/>
  <c r="AK449" i="651"/>
  <c r="AK175" i="651"/>
  <c r="AK195" i="651" s="1"/>
  <c r="AI265" i="651" l="1"/>
  <c r="AI10" i="651"/>
  <c r="AI11" i="651" l="1"/>
  <c r="AI13" i="651" s="1"/>
  <c r="AI267" i="651"/>
  <c r="I11" i="42" l="1"/>
  <c r="J11" i="42" s="1"/>
  <c r="J13" i="42" s="1"/>
  <c r="E13" i="33"/>
  <c r="F13" i="33" s="1"/>
  <c r="F17" i="33" s="1"/>
  <c r="I13" i="42" l="1"/>
  <c r="H13" i="42"/>
  <c r="L11" i="42"/>
  <c r="E17" i="33"/>
  <c r="C17" i="594" l="1"/>
  <c r="L13" i="42"/>
  <c r="D17" i="594" l="1"/>
  <c r="E17" i="594" s="1"/>
  <c r="G17" i="594" s="1"/>
  <c r="C22" i="594"/>
  <c r="D22" i="594" l="1"/>
  <c r="D25" i="594" s="1"/>
  <c r="E22" i="594"/>
  <c r="E25" i="594" s="1"/>
  <c r="C25" i="594"/>
  <c r="G22" i="594" l="1"/>
  <c r="G25" i="594"/>
  <c r="E13" i="52"/>
  <c r="M74" i="651" l="1"/>
  <c r="M69" i="651"/>
  <c r="M39" i="651"/>
  <c r="H99" i="651"/>
  <c r="H29" i="651"/>
  <c r="K69" i="651"/>
  <c r="K89" i="651"/>
  <c r="AR313" i="651"/>
  <c r="G54" i="651"/>
  <c r="AR308" i="651"/>
  <c r="AR288" i="651"/>
  <c r="AR273" i="651"/>
  <c r="AR283" i="651"/>
  <c r="M94" i="651"/>
  <c r="H54" i="651"/>
  <c r="H49" i="651"/>
  <c r="H39" i="651"/>
  <c r="K99" i="651"/>
  <c r="K74" i="651"/>
  <c r="AR353" i="651"/>
  <c r="G34" i="651"/>
  <c r="AR287" i="651"/>
  <c r="AR303" i="651"/>
  <c r="AR293" i="651"/>
  <c r="M59" i="651"/>
  <c r="AR312" i="651"/>
  <c r="L98" i="651"/>
  <c r="L100" i="651" s="1"/>
  <c r="M44" i="651"/>
  <c r="M54" i="651"/>
  <c r="H24" i="651"/>
  <c r="H44" i="651"/>
  <c r="K94" i="651"/>
  <c r="K104" i="651"/>
  <c r="K24" i="651"/>
  <c r="K109" i="651"/>
  <c r="K39" i="651"/>
  <c r="G99" i="651"/>
  <c r="J93" i="651"/>
  <c r="J34" i="651"/>
  <c r="AR317" i="651"/>
  <c r="H79" i="651"/>
  <c r="AR352" i="651"/>
  <c r="J104" i="651"/>
  <c r="AR282" i="651"/>
  <c r="L108" i="651"/>
  <c r="L110" i="651" s="1"/>
  <c r="M58" i="651"/>
  <c r="G39" i="651"/>
  <c r="AR267" i="651"/>
  <c r="M24" i="651"/>
  <c r="M99" i="651"/>
  <c r="H74" i="651"/>
  <c r="AR328" i="651"/>
  <c r="H48" i="651"/>
  <c r="AR327" i="651"/>
  <c r="J19" i="651"/>
  <c r="M79" i="651"/>
  <c r="M34" i="651"/>
  <c r="H104" i="651"/>
  <c r="K49" i="651"/>
  <c r="J94" i="651"/>
  <c r="K93" i="651"/>
  <c r="AR272" i="651"/>
  <c r="Z323" i="651"/>
  <c r="AL323" i="651" s="1"/>
  <c r="AL69" i="651" s="1"/>
  <c r="H78" i="651"/>
  <c r="AR297" i="651"/>
  <c r="L23" i="651"/>
  <c r="L25" i="651" s="1"/>
  <c r="K59" i="651"/>
  <c r="AR343" i="651"/>
  <c r="G98" i="651"/>
  <c r="AR358" i="651"/>
  <c r="L103" i="651"/>
  <c r="L105" i="651" s="1"/>
  <c r="K78" i="651"/>
  <c r="M64" i="651"/>
  <c r="H109" i="651"/>
  <c r="K54" i="651"/>
  <c r="AR338" i="651"/>
  <c r="AJ303" i="651"/>
  <c r="AJ49" i="651" s="1"/>
  <c r="AR342" i="651"/>
  <c r="K53" i="651"/>
  <c r="AJ333" i="651"/>
  <c r="AJ79" i="651" s="1"/>
  <c r="K79" i="651"/>
  <c r="M29" i="651"/>
  <c r="Z283" i="651"/>
  <c r="M89" i="651"/>
  <c r="K84" i="651"/>
  <c r="K88" i="651"/>
  <c r="M83" i="651"/>
  <c r="J59" i="651"/>
  <c r="AR278" i="651"/>
  <c r="AR348" i="651"/>
  <c r="J58" i="651"/>
  <c r="H93" i="651"/>
  <c r="M84" i="651"/>
  <c r="AR323" i="651"/>
  <c r="AR298" i="651"/>
  <c r="G44" i="651"/>
  <c r="K63" i="651"/>
  <c r="J68" i="651"/>
  <c r="K34" i="651"/>
  <c r="L33" i="651"/>
  <c r="L35" i="651" s="1"/>
  <c r="H38" i="651"/>
  <c r="L83" i="651"/>
  <c r="L85" i="651" s="1"/>
  <c r="H94" i="651"/>
  <c r="G73" i="651"/>
  <c r="J48" i="651"/>
  <c r="M63" i="651"/>
  <c r="J79" i="651"/>
  <c r="H64" i="651"/>
  <c r="K64" i="651"/>
  <c r="K68" i="651"/>
  <c r="K29" i="651"/>
  <c r="G79" i="651"/>
  <c r="AR333" i="651"/>
  <c r="J78" i="651"/>
  <c r="L73" i="651"/>
  <c r="L75" i="651" s="1"/>
  <c r="J69" i="651"/>
  <c r="Z308" i="651"/>
  <c r="AL308" i="651" s="1"/>
  <c r="AL54" i="651" s="1"/>
  <c r="L88" i="651"/>
  <c r="L90" i="651" s="1"/>
  <c r="H34" i="651"/>
  <c r="L11" i="651"/>
  <c r="AR11" i="651" s="1"/>
  <c r="K43" i="651"/>
  <c r="AJ353" i="651"/>
  <c r="AJ99" i="651" s="1"/>
  <c r="AJ283" i="651"/>
  <c r="M93" i="651"/>
  <c r="M78" i="651"/>
  <c r="G69" i="651"/>
  <c r="AR362" i="651"/>
  <c r="J89" i="651"/>
  <c r="J49" i="651"/>
  <c r="L58" i="651"/>
  <c r="L60" i="651" s="1"/>
  <c r="M108" i="651"/>
  <c r="H59" i="651"/>
  <c r="H69" i="651"/>
  <c r="K44" i="651"/>
  <c r="AR357" i="651"/>
  <c r="L43" i="651"/>
  <c r="L45" i="651" s="1"/>
  <c r="K33" i="651"/>
  <c r="H83" i="651"/>
  <c r="H43" i="651"/>
  <c r="H23" i="651"/>
  <c r="H89" i="651"/>
  <c r="AR337" i="651"/>
  <c r="M48" i="651"/>
  <c r="Z348" i="651"/>
  <c r="Z94" i="651" s="1"/>
  <c r="J24" i="651"/>
  <c r="L78" i="651"/>
  <c r="L80" i="651" s="1"/>
  <c r="AR318" i="651"/>
  <c r="G64" i="651"/>
  <c r="L38" i="651"/>
  <c r="L40" i="651" s="1"/>
  <c r="K38" i="651"/>
  <c r="G58" i="651"/>
  <c r="M49" i="651"/>
  <c r="M28" i="651"/>
  <c r="AR277" i="651"/>
  <c r="J99" i="651"/>
  <c r="M53" i="651"/>
  <c r="Z338" i="651"/>
  <c r="Z84" i="651" s="1"/>
  <c r="J63" i="651"/>
  <c r="K23" i="651"/>
  <c r="K48" i="651"/>
  <c r="M109" i="651"/>
  <c r="M103" i="651"/>
  <c r="AR302" i="651"/>
  <c r="Z358" i="651"/>
  <c r="AL358" i="651" s="1"/>
  <c r="AL104" i="651" s="1"/>
  <c r="M104" i="651"/>
  <c r="Z343" i="651"/>
  <c r="AL343" i="651" s="1"/>
  <c r="AL89" i="651" s="1"/>
  <c r="J44" i="651"/>
  <c r="L63" i="651"/>
  <c r="L65" i="651" s="1"/>
  <c r="J74" i="651"/>
  <c r="J43" i="651"/>
  <c r="J109" i="651"/>
  <c r="J98" i="651"/>
  <c r="J88" i="651"/>
  <c r="L68" i="651"/>
  <c r="L70" i="651" s="1"/>
  <c r="H88" i="651"/>
  <c r="K73" i="651"/>
  <c r="H84" i="651"/>
  <c r="J84" i="651"/>
  <c r="L48" i="651"/>
  <c r="L50" i="651" s="1"/>
  <c r="M33" i="651"/>
  <c r="H58" i="651"/>
  <c r="K103" i="651"/>
  <c r="M88" i="651"/>
  <c r="AR332" i="651"/>
  <c r="L53" i="651"/>
  <c r="L55" i="651" s="1"/>
  <c r="M43" i="651"/>
  <c r="J108" i="651"/>
  <c r="K98" i="651"/>
  <c r="Z282" i="651"/>
  <c r="Z28" i="651" s="1"/>
  <c r="Z30" i="651" s="1"/>
  <c r="H108" i="651"/>
  <c r="H33" i="651"/>
  <c r="J39" i="651"/>
  <c r="J64" i="651"/>
  <c r="G94" i="651"/>
  <c r="AJ288" i="651"/>
  <c r="G104" i="651"/>
  <c r="L10" i="651"/>
  <c r="AR10" i="651" s="1"/>
  <c r="AR307" i="651"/>
  <c r="Z313" i="651"/>
  <c r="AR292" i="651"/>
  <c r="J29" i="651"/>
  <c r="Z298" i="651"/>
  <c r="Z44" i="651" s="1"/>
  <c r="AR347" i="651"/>
  <c r="K58" i="651"/>
  <c r="K108" i="651"/>
  <c r="Z363" i="651"/>
  <c r="AL363" i="651" s="1"/>
  <c r="AL109" i="651" s="1"/>
  <c r="AR322" i="651"/>
  <c r="H98" i="651"/>
  <c r="H73" i="651"/>
  <c r="G43" i="651"/>
  <c r="L18" i="651"/>
  <c r="Z318" i="651"/>
  <c r="AL318" i="651" s="1"/>
  <c r="AL64" i="651" s="1"/>
  <c r="J83" i="651"/>
  <c r="J73" i="651"/>
  <c r="AJ343" i="651"/>
  <c r="AJ89" i="651" s="1"/>
  <c r="AJ348" i="651"/>
  <c r="AJ94" i="651" s="1"/>
  <c r="J53" i="651"/>
  <c r="Z328" i="651"/>
  <c r="J38" i="651"/>
  <c r="AI283" i="651"/>
  <c r="G84" i="651"/>
  <c r="K28" i="651"/>
  <c r="G29" i="651"/>
  <c r="G78" i="651"/>
  <c r="G108" i="651"/>
  <c r="G48" i="651"/>
  <c r="H53" i="651"/>
  <c r="G19" i="651"/>
  <c r="J28" i="651"/>
  <c r="M68" i="651"/>
  <c r="AJ313" i="651"/>
  <c r="AJ59" i="651" s="1"/>
  <c r="Z312" i="651"/>
  <c r="AL312" i="651" s="1"/>
  <c r="AL58" i="651" s="1"/>
  <c r="Z333" i="651"/>
  <c r="Z79" i="651" s="1"/>
  <c r="G53" i="651"/>
  <c r="Z303" i="651"/>
  <c r="Z49" i="651" s="1"/>
  <c r="L28" i="651"/>
  <c r="L30" i="651" s="1"/>
  <c r="AR363" i="651"/>
  <c r="Z327" i="651"/>
  <c r="Z332" i="651"/>
  <c r="AL332" i="651" s="1"/>
  <c r="AL78" i="651" s="1"/>
  <c r="H28" i="651"/>
  <c r="G24" i="651"/>
  <c r="G93" i="651"/>
  <c r="AJ323" i="651"/>
  <c r="AJ69" i="651" s="1"/>
  <c r="G88" i="651"/>
  <c r="Z307" i="651"/>
  <c r="AL307" i="651" s="1"/>
  <c r="G74" i="651"/>
  <c r="Z353" i="651"/>
  <c r="Z99" i="651" s="1"/>
  <c r="G23" i="651"/>
  <c r="AJ328" i="651"/>
  <c r="AJ74" i="651" s="1"/>
  <c r="J33" i="651"/>
  <c r="J54" i="651"/>
  <c r="M19" i="651"/>
  <c r="G63" i="651"/>
  <c r="G109" i="651"/>
  <c r="Z322" i="651"/>
  <c r="AL322" i="651" s="1"/>
  <c r="M18" i="651"/>
  <c r="Z287" i="651"/>
  <c r="Z352" i="651"/>
  <c r="AL352" i="651" s="1"/>
  <c r="H68" i="651"/>
  <c r="J23" i="651"/>
  <c r="G103" i="651"/>
  <c r="G59" i="651"/>
  <c r="G83" i="651"/>
  <c r="G49" i="651"/>
  <c r="K19" i="651"/>
  <c r="Z302" i="651"/>
  <c r="AL302" i="651" s="1"/>
  <c r="G28" i="651"/>
  <c r="Z357" i="651"/>
  <c r="K83" i="651"/>
  <c r="Z342" i="651"/>
  <c r="AL342" i="651" s="1"/>
  <c r="G38" i="651"/>
  <c r="H63" i="651"/>
  <c r="J103" i="651"/>
  <c r="H103" i="651"/>
  <c r="AI313" i="651"/>
  <c r="AI59" i="651" s="1"/>
  <c r="G68" i="651"/>
  <c r="G33" i="651"/>
  <c r="Z362" i="651"/>
  <c r="Z108" i="651" s="1"/>
  <c r="H18" i="651"/>
  <c r="AI282" i="651"/>
  <c r="M73" i="651"/>
  <c r="M75" i="651" s="1"/>
  <c r="G89" i="651"/>
  <c r="Z277" i="651"/>
  <c r="Z23" i="651" s="1"/>
  <c r="AI298" i="651"/>
  <c r="AI44" i="651" s="1"/>
  <c r="AI338" i="651"/>
  <c r="AI312" i="651"/>
  <c r="AI58" i="651" s="1"/>
  <c r="AI333" i="651"/>
  <c r="AI79" i="651" s="1"/>
  <c r="AJ338" i="651"/>
  <c r="AJ84" i="651" s="1"/>
  <c r="Z337" i="651"/>
  <c r="Z83" i="651" s="1"/>
  <c r="AI323" i="651"/>
  <c r="AI69" i="651" s="1"/>
  <c r="M98" i="651"/>
  <c r="Z347" i="651"/>
  <c r="Z278" i="651"/>
  <c r="Z24" i="651" s="1"/>
  <c r="H19" i="651"/>
  <c r="AI278" i="651"/>
  <c r="AI24" i="651" s="1"/>
  <c r="AI352" i="651"/>
  <c r="AI98" i="651" s="1"/>
  <c r="AI353" i="651"/>
  <c r="Z273" i="651"/>
  <c r="AL273" i="651" s="1"/>
  <c r="AL19" i="651" s="1"/>
  <c r="AJ273" i="651"/>
  <c r="AJ19" i="651" s="1"/>
  <c r="J18" i="651"/>
  <c r="M38" i="651"/>
  <c r="K18" i="651"/>
  <c r="AI327" i="651"/>
  <c r="AI73" i="651" s="1"/>
  <c r="Z293" i="651"/>
  <c r="Z39" i="651" s="1"/>
  <c r="M23" i="651"/>
  <c r="Z317" i="651"/>
  <c r="Z63" i="651" s="1"/>
  <c r="AR289" i="651"/>
  <c r="AI287" i="651"/>
  <c r="AI33" i="651" s="1"/>
  <c r="Z288" i="651"/>
  <c r="AK312" i="651"/>
  <c r="AR314" i="651"/>
  <c r="AR265" i="651"/>
  <c r="G18" i="651"/>
  <c r="Z297" i="651"/>
  <c r="AL297" i="651" s="1"/>
  <c r="AI337" i="651"/>
  <c r="AI83" i="651" s="1"/>
  <c r="AR264" i="651"/>
  <c r="AS264" i="651"/>
  <c r="AR334" i="651"/>
  <c r="AK332" i="651"/>
  <c r="Z292" i="651"/>
  <c r="AR324" i="651"/>
  <c r="AK322" i="651"/>
  <c r="AK68" i="651" s="1"/>
  <c r="AK70" i="651" s="1"/>
  <c r="L93" i="651"/>
  <c r="L95" i="651" s="1"/>
  <c r="AI307" i="651"/>
  <c r="AI53" i="651" s="1"/>
  <c r="AR319" i="651"/>
  <c r="AJ317" i="651"/>
  <c r="AR354" i="651"/>
  <c r="AJ352" i="651"/>
  <c r="AJ98" i="651" s="1"/>
  <c r="AR304" i="651"/>
  <c r="AK302" i="651"/>
  <c r="AK48" i="651" s="1"/>
  <c r="AK50" i="651" s="1"/>
  <c r="AI293" i="651"/>
  <c r="AI39" i="651" s="1"/>
  <c r="Z272" i="651"/>
  <c r="AL272" i="651" s="1"/>
  <c r="AR309" i="651"/>
  <c r="AK307" i="651"/>
  <c r="AR349" i="651"/>
  <c r="AK347" i="651"/>
  <c r="AR279" i="651"/>
  <c r="AK277" i="651"/>
  <c r="AK279" i="651" s="1"/>
  <c r="AR339" i="651"/>
  <c r="AR364" i="651"/>
  <c r="AR329" i="651"/>
  <c r="AK327" i="651"/>
  <c r="AR284" i="651"/>
  <c r="AK282" i="651"/>
  <c r="AK28" i="651" s="1"/>
  <c r="AK30" i="651" s="1"/>
  <c r="AR299" i="651"/>
  <c r="AK292" i="651"/>
  <c r="AR294" i="651"/>
  <c r="AR344" i="651"/>
  <c r="AK342" i="651"/>
  <c r="AJ342" i="651"/>
  <c r="AJ88" i="651" s="1"/>
  <c r="AI343" i="651"/>
  <c r="AI89" i="651" s="1"/>
  <c r="AR359" i="651"/>
  <c r="AK357" i="651"/>
  <c r="AK103" i="651" s="1"/>
  <c r="AK105" i="651" s="1"/>
  <c r="AR274" i="651"/>
  <c r="AK272" i="651"/>
  <c r="AK274" i="651" s="1"/>
  <c r="AJ272" i="651"/>
  <c r="G50" i="651" l="1"/>
  <c r="J85" i="651"/>
  <c r="M100" i="651"/>
  <c r="K90" i="651"/>
  <c r="J40" i="651"/>
  <c r="K95" i="651"/>
  <c r="J35" i="651"/>
  <c r="G45" i="651"/>
  <c r="K50" i="651"/>
  <c r="G40" i="651"/>
  <c r="J45" i="651"/>
  <c r="K105" i="651"/>
  <c r="K75" i="651"/>
  <c r="J105" i="651"/>
  <c r="K110" i="651"/>
  <c r="H65" i="651"/>
  <c r="H60" i="651"/>
  <c r="J80" i="651"/>
  <c r="M25" i="651"/>
  <c r="M40" i="651"/>
  <c r="J25" i="651"/>
  <c r="K20" i="651"/>
  <c r="J30" i="651"/>
  <c r="K70" i="651"/>
  <c r="AR370" i="651"/>
  <c r="AK337" i="651"/>
  <c r="AK83" i="651" s="1"/>
  <c r="AK85" i="651" s="1"/>
  <c r="AL337" i="651"/>
  <c r="AL83" i="651" s="1"/>
  <c r="AJ298" i="651"/>
  <c r="AJ44" i="651" s="1"/>
  <c r="AS318" i="651"/>
  <c r="AI288" i="651"/>
  <c r="AI34" i="651" s="1"/>
  <c r="AI35" i="651" s="1"/>
  <c r="Z324" i="651"/>
  <c r="AL333" i="651"/>
  <c r="AL79" i="651" s="1"/>
  <c r="AL80" i="651" s="1"/>
  <c r="AJ308" i="651"/>
  <c r="AJ54" i="651" s="1"/>
  <c r="Z89" i="651"/>
  <c r="Z69" i="651"/>
  <c r="AJ327" i="651"/>
  <c r="AJ73" i="651" s="1"/>
  <c r="AJ75" i="651" s="1"/>
  <c r="AK317" i="651"/>
  <c r="AK63" i="651" s="1"/>
  <c r="AK65" i="651" s="1"/>
  <c r="AJ322" i="651"/>
  <c r="AJ68" i="651" s="1"/>
  <c r="AJ70" i="651" s="1"/>
  <c r="AL348" i="651"/>
  <c r="AL94" i="651" s="1"/>
  <c r="AJ282" i="651"/>
  <c r="AJ28" i="651" s="1"/>
  <c r="AJ30" i="651" s="1"/>
  <c r="AJ318" i="651"/>
  <c r="AJ64" i="651" s="1"/>
  <c r="AJ292" i="651"/>
  <c r="AJ38" i="651" s="1"/>
  <c r="AI318" i="651"/>
  <c r="AS348" i="651"/>
  <c r="AJ358" i="651"/>
  <c r="AJ104" i="651" s="1"/>
  <c r="AL282" i="651"/>
  <c r="AS363" i="651"/>
  <c r="AS288" i="651"/>
  <c r="AS283" i="651"/>
  <c r="AJ307" i="651"/>
  <c r="AL353" i="651"/>
  <c r="AL99" i="651" s="1"/>
  <c r="AK23" i="651"/>
  <c r="AK25" i="651" s="1"/>
  <c r="AJ344" i="651"/>
  <c r="AJ90" i="651"/>
  <c r="AT89" i="651"/>
  <c r="I217" i="139" s="1"/>
  <c r="Z85" i="651"/>
  <c r="K80" i="651"/>
  <c r="AR89" i="651"/>
  <c r="M85" i="651"/>
  <c r="K55" i="651"/>
  <c r="M60" i="651"/>
  <c r="AR59" i="651"/>
  <c r="AR88" i="651"/>
  <c r="J75" i="651"/>
  <c r="J100" i="651"/>
  <c r="H95" i="651"/>
  <c r="AT69" i="651"/>
  <c r="I197" i="139" s="1"/>
  <c r="M65" i="651"/>
  <c r="H70" i="651"/>
  <c r="J50" i="651"/>
  <c r="K45" i="651"/>
  <c r="AR49" i="651"/>
  <c r="H35" i="651"/>
  <c r="J60" i="651"/>
  <c r="M105" i="651"/>
  <c r="AR29" i="651"/>
  <c r="AR24" i="651"/>
  <c r="G105" i="651"/>
  <c r="M30" i="651"/>
  <c r="M55" i="651"/>
  <c r="G55" i="651"/>
  <c r="H105" i="651"/>
  <c r="K30" i="651"/>
  <c r="H75" i="651"/>
  <c r="J70" i="651"/>
  <c r="K65" i="651"/>
  <c r="AR104" i="651"/>
  <c r="G65" i="651"/>
  <c r="AR48" i="651"/>
  <c r="AR74" i="651"/>
  <c r="K85" i="651"/>
  <c r="H90" i="651"/>
  <c r="G100" i="651"/>
  <c r="H114" i="651"/>
  <c r="AR39" i="651"/>
  <c r="M35" i="651"/>
  <c r="H40" i="651"/>
  <c r="J20" i="651"/>
  <c r="AK73" i="651"/>
  <c r="AK75" i="651" s="1"/>
  <c r="AK329" i="651"/>
  <c r="AL18" i="651"/>
  <c r="AL20" i="651" s="1"/>
  <c r="AL274" i="651"/>
  <c r="AK58" i="651"/>
  <c r="AK60" i="651" s="1"/>
  <c r="AK314" i="651"/>
  <c r="AL48" i="651"/>
  <c r="AJ302" i="651"/>
  <c r="AJ354" i="651"/>
  <c r="AI317" i="651"/>
  <c r="AI63" i="651" s="1"/>
  <c r="K113" i="651"/>
  <c r="AJ293" i="651"/>
  <c r="AJ39" i="651" s="1"/>
  <c r="G110" i="651"/>
  <c r="G75" i="651"/>
  <c r="AR84" i="651"/>
  <c r="K25" i="651"/>
  <c r="AR69" i="651"/>
  <c r="AR367" i="651"/>
  <c r="H25" i="651"/>
  <c r="K114" i="651"/>
  <c r="Z68" i="651"/>
  <c r="AJ100" i="651"/>
  <c r="AS322" i="651"/>
  <c r="AR108" i="651"/>
  <c r="AR83" i="651"/>
  <c r="H80" i="651"/>
  <c r="AR33" i="651"/>
  <c r="AT343" i="651"/>
  <c r="H110" i="651"/>
  <c r="M95" i="651"/>
  <c r="AL293" i="651"/>
  <c r="AL39" i="651" s="1"/>
  <c r="AL278" i="651"/>
  <c r="AL24" i="651" s="1"/>
  <c r="AI332" i="651"/>
  <c r="AI78" i="651" s="1"/>
  <c r="AI80" i="651" s="1"/>
  <c r="H20" i="651"/>
  <c r="AS44" i="651"/>
  <c r="H172" i="139" s="1"/>
  <c r="M70" i="651"/>
  <c r="AL298" i="651"/>
  <c r="AL44" i="651" s="1"/>
  <c r="K35" i="651"/>
  <c r="M110" i="651"/>
  <c r="G30" i="651"/>
  <c r="AR44" i="651"/>
  <c r="AR19" i="651"/>
  <c r="AR34" i="651"/>
  <c r="H50" i="651"/>
  <c r="AS10" i="651"/>
  <c r="H138" i="139" s="1"/>
  <c r="J110" i="651"/>
  <c r="K40" i="651"/>
  <c r="AS323" i="651"/>
  <c r="AL362" i="651"/>
  <c r="AL108" i="651" s="1"/>
  <c r="AL110" i="651" s="1"/>
  <c r="G90" i="651"/>
  <c r="H30" i="651"/>
  <c r="AL303" i="651"/>
  <c r="AL49" i="651" s="1"/>
  <c r="H100" i="651"/>
  <c r="AR94" i="651"/>
  <c r="K100" i="651"/>
  <c r="AK38" i="651"/>
  <c r="AK40" i="651" s="1"/>
  <c r="AK294" i="651"/>
  <c r="AJ18" i="651"/>
  <c r="AJ274" i="651"/>
  <c r="AK93" i="651"/>
  <c r="AK95" i="651" s="1"/>
  <c r="AK349" i="651"/>
  <c r="AJ312" i="651"/>
  <c r="AI84" i="651"/>
  <c r="AK297" i="651"/>
  <c r="AS308" i="651"/>
  <c r="AJ277" i="651"/>
  <c r="J113" i="651"/>
  <c r="AR18" i="651"/>
  <c r="AK287" i="651"/>
  <c r="AI354" i="651"/>
  <c r="AI99" i="651"/>
  <c r="AK88" i="651"/>
  <c r="AK90" i="651" s="1"/>
  <c r="AK344" i="651"/>
  <c r="AS302" i="651"/>
  <c r="AI302" i="651"/>
  <c r="Z74" i="651"/>
  <c r="AL328" i="651"/>
  <c r="AL74" i="651" s="1"/>
  <c r="AL43" i="651"/>
  <c r="AL68" i="651"/>
  <c r="AL70" i="651" s="1"/>
  <c r="AL324" i="651"/>
  <c r="AS292" i="651"/>
  <c r="AI292" i="651"/>
  <c r="AK53" i="651"/>
  <c r="AK55" i="651" s="1"/>
  <c r="AK309" i="651"/>
  <c r="AJ63" i="651"/>
  <c r="AS277" i="651"/>
  <c r="AI277" i="651"/>
  <c r="AI357" i="651"/>
  <c r="AS357" i="651"/>
  <c r="AK334" i="651"/>
  <c r="AK78" i="651"/>
  <c r="AK80" i="651" s="1"/>
  <c r="AI60" i="651"/>
  <c r="AS332" i="651"/>
  <c r="AK18" i="651"/>
  <c r="AJ357" i="651"/>
  <c r="AI308" i="651"/>
  <c r="AI314" i="651"/>
  <c r="AR109" i="651"/>
  <c r="Z364" i="651"/>
  <c r="AS272" i="651"/>
  <c r="AS342" i="651"/>
  <c r="AI272" i="651"/>
  <c r="AJ337" i="651"/>
  <c r="Z294" i="651"/>
  <c r="AL292" i="651"/>
  <c r="AS362" i="651"/>
  <c r="AI362" i="651"/>
  <c r="AS287" i="651"/>
  <c r="AS273" i="651"/>
  <c r="AR68" i="651"/>
  <c r="G70" i="651"/>
  <c r="M20" i="651"/>
  <c r="M114" i="651"/>
  <c r="AR53" i="651"/>
  <c r="H55" i="651"/>
  <c r="AI339" i="651"/>
  <c r="AS297" i="651"/>
  <c r="AI297" i="651"/>
  <c r="AS347" i="651"/>
  <c r="AI347" i="651"/>
  <c r="AK359" i="651"/>
  <c r="AS343" i="651"/>
  <c r="AK284" i="651"/>
  <c r="AS293" i="651"/>
  <c r="AS39" i="651"/>
  <c r="H167" i="139" s="1"/>
  <c r="AK304" i="651"/>
  <c r="AK352" i="651"/>
  <c r="AT352" i="651" s="1"/>
  <c r="AS307" i="651"/>
  <c r="AS352" i="651"/>
  <c r="Z319" i="651"/>
  <c r="AJ34" i="651"/>
  <c r="H45" i="651"/>
  <c r="AR43" i="651"/>
  <c r="AR73" i="651"/>
  <c r="AJ362" i="651"/>
  <c r="AJ297" i="651"/>
  <c r="AS327" i="651"/>
  <c r="AI284" i="651"/>
  <c r="AI28" i="651"/>
  <c r="AI342" i="651"/>
  <c r="AK362" i="651"/>
  <c r="AJ347" i="651"/>
  <c r="Z367" i="651"/>
  <c r="Z274" i="651"/>
  <c r="AS317" i="651"/>
  <c r="AK324" i="651"/>
  <c r="Z38" i="651"/>
  <c r="Z40" i="651" s="1"/>
  <c r="G113" i="651"/>
  <c r="G20" i="651"/>
  <c r="AL317" i="651"/>
  <c r="AI273" i="651"/>
  <c r="Z18" i="651"/>
  <c r="AI322" i="651"/>
  <c r="AS282" i="651"/>
  <c r="Z48" i="651"/>
  <c r="Z50" i="651" s="1"/>
  <c r="Z304" i="651"/>
  <c r="Z289" i="651"/>
  <c r="Z33" i="651"/>
  <c r="AL287" i="651"/>
  <c r="AI348" i="651"/>
  <c r="AS11" i="651"/>
  <c r="H139" i="139" s="1"/>
  <c r="AS265" i="651"/>
  <c r="AS328" i="651"/>
  <c r="AR93" i="651"/>
  <c r="Z73" i="651"/>
  <c r="AL327" i="651"/>
  <c r="Z329" i="651"/>
  <c r="AS337" i="651"/>
  <c r="AJ287" i="651"/>
  <c r="G35" i="651"/>
  <c r="AR38" i="651"/>
  <c r="AL309" i="651"/>
  <c r="AL53" i="651"/>
  <c r="AL55" i="651" s="1"/>
  <c r="AS358" i="651"/>
  <c r="AI358" i="651"/>
  <c r="AK264" i="651"/>
  <c r="Z25" i="651"/>
  <c r="H113" i="651"/>
  <c r="AL344" i="651"/>
  <c r="AL88" i="651"/>
  <c r="AL90" i="651" s="1"/>
  <c r="Z309" i="651"/>
  <c r="Z53" i="651"/>
  <c r="J114" i="651"/>
  <c r="Z299" i="651"/>
  <c r="Z43" i="651"/>
  <c r="Z45" i="651" s="1"/>
  <c r="AL288" i="651"/>
  <c r="AL34" i="651" s="1"/>
  <c r="AK265" i="651"/>
  <c r="AI328" i="651"/>
  <c r="Z368" i="651"/>
  <c r="Z19" i="651"/>
  <c r="AS278" i="651"/>
  <c r="Z349" i="651"/>
  <c r="Z93" i="651"/>
  <c r="Z95" i="651" s="1"/>
  <c r="AL347" i="651"/>
  <c r="AJ332" i="651"/>
  <c r="Z34" i="651"/>
  <c r="Z344" i="651"/>
  <c r="Z88" i="651"/>
  <c r="Z359" i="651"/>
  <c r="Z103" i="651"/>
  <c r="AL357" i="651"/>
  <c r="G85" i="651"/>
  <c r="AL98" i="651"/>
  <c r="AR23" i="651"/>
  <c r="G25" i="651"/>
  <c r="G95" i="651"/>
  <c r="G114" i="651"/>
  <c r="AL283" i="651"/>
  <c r="AT283" i="651" s="1"/>
  <c r="Z284" i="651"/>
  <c r="AL277" i="651"/>
  <c r="AR28" i="651"/>
  <c r="AS353" i="651"/>
  <c r="AS333" i="651"/>
  <c r="AS338" i="651"/>
  <c r="Z279" i="651"/>
  <c r="AR78" i="651"/>
  <c r="G80" i="651"/>
  <c r="J55" i="651"/>
  <c r="Z339" i="651"/>
  <c r="AT323" i="651"/>
  <c r="AS312" i="651"/>
  <c r="AS298" i="651"/>
  <c r="Z78" i="651"/>
  <c r="Z80" i="651" s="1"/>
  <c r="Z334" i="651"/>
  <c r="AS313" i="651"/>
  <c r="AR103" i="651"/>
  <c r="Z354" i="651"/>
  <c r="Z98" i="651"/>
  <c r="Z100" i="651" s="1"/>
  <c r="M113" i="651"/>
  <c r="AR63" i="651"/>
  <c r="AJ278" i="651"/>
  <c r="AJ24" i="651" s="1"/>
  <c r="M45" i="651"/>
  <c r="L113" i="651"/>
  <c r="L20" i="651"/>
  <c r="L116" i="651" s="1"/>
  <c r="AI363" i="651"/>
  <c r="Z314" i="651"/>
  <c r="Z58" i="651"/>
  <c r="AJ363" i="651"/>
  <c r="AJ109" i="651" s="1"/>
  <c r="AL338" i="651"/>
  <c r="AL84" i="651" s="1"/>
  <c r="AR98" i="651"/>
  <c r="Z59" i="651"/>
  <c r="AL313" i="651"/>
  <c r="AT313" i="651" s="1"/>
  <c r="K60" i="651"/>
  <c r="G60" i="651"/>
  <c r="M80" i="651"/>
  <c r="Z64" i="651"/>
  <c r="Z65" i="651" s="1"/>
  <c r="M90" i="651"/>
  <c r="AR64" i="651"/>
  <c r="Z109" i="651"/>
  <c r="Z110" i="651" s="1"/>
  <c r="AS303" i="651"/>
  <c r="L13" i="651"/>
  <c r="J65" i="651"/>
  <c r="H85" i="651"/>
  <c r="AR99" i="651"/>
  <c r="AR54" i="651"/>
  <c r="J95" i="651"/>
  <c r="Z104" i="651"/>
  <c r="AS104" i="651" s="1"/>
  <c r="H232" i="139" s="1"/>
  <c r="AR58" i="651"/>
  <c r="M50" i="651"/>
  <c r="AR79" i="651"/>
  <c r="AI303" i="651"/>
  <c r="J90" i="651"/>
  <c r="AR368" i="651"/>
  <c r="Z54" i="651"/>
  <c r="AR70" i="651" l="1"/>
  <c r="AR60" i="651"/>
  <c r="AR100" i="651"/>
  <c r="AK339" i="651"/>
  <c r="AT337" i="651"/>
  <c r="AR105" i="651"/>
  <c r="AI289" i="651"/>
  <c r="AT327" i="651"/>
  <c r="AJ329" i="651"/>
  <c r="AT44" i="651"/>
  <c r="I172" i="139" s="1"/>
  <c r="AL284" i="651"/>
  <c r="AK319" i="651"/>
  <c r="AL28" i="651"/>
  <c r="AL30" i="651" s="1"/>
  <c r="AJ294" i="651"/>
  <c r="AT39" i="651"/>
  <c r="I167" i="139" s="1"/>
  <c r="AT79" i="651"/>
  <c r="I207" i="139" s="1"/>
  <c r="AJ309" i="651"/>
  <c r="AT333" i="651"/>
  <c r="AI319" i="651"/>
  <c r="AL334" i="651"/>
  <c r="Z90" i="651"/>
  <c r="AS69" i="651"/>
  <c r="H197" i="139" s="1"/>
  <c r="Z70" i="651"/>
  <c r="H141" i="139"/>
  <c r="AT287" i="651"/>
  <c r="AJ319" i="651"/>
  <c r="AL354" i="651"/>
  <c r="AS304" i="651"/>
  <c r="AJ65" i="651"/>
  <c r="AJ324" i="651"/>
  <c r="AT99" i="651"/>
  <c r="I227" i="139" s="1"/>
  <c r="AT282" i="651"/>
  <c r="AT353" i="651"/>
  <c r="AT318" i="651"/>
  <c r="AI64" i="651"/>
  <c r="AT64" i="651" s="1"/>
  <c r="I192" i="139" s="1"/>
  <c r="AJ284" i="651"/>
  <c r="AL100" i="651"/>
  <c r="AT307" i="651"/>
  <c r="AJ53" i="651"/>
  <c r="AJ55" i="651" s="1"/>
  <c r="AS319" i="651"/>
  <c r="AS354" i="651"/>
  <c r="AL368" i="651"/>
  <c r="AT293" i="651"/>
  <c r="AL367" i="651"/>
  <c r="AT298" i="651"/>
  <c r="AL299" i="651"/>
  <c r="AJ40" i="651"/>
  <c r="AR90" i="651"/>
  <c r="AR30" i="651"/>
  <c r="AR40" i="651"/>
  <c r="AR25" i="651"/>
  <c r="AR75" i="651"/>
  <c r="Z75" i="651"/>
  <c r="AS65" i="651"/>
  <c r="AR110" i="651"/>
  <c r="AS49" i="651"/>
  <c r="H177" i="139" s="1"/>
  <c r="AS34" i="651"/>
  <c r="H162" i="139" s="1"/>
  <c r="AR45" i="651"/>
  <c r="AL45" i="651"/>
  <c r="AS13" i="651"/>
  <c r="AS359" i="651"/>
  <c r="Z55" i="651"/>
  <c r="AR35" i="651"/>
  <c r="AI100" i="651"/>
  <c r="AT34" i="651"/>
  <c r="I162" i="139" s="1"/>
  <c r="AS89" i="651"/>
  <c r="H217" i="139" s="1"/>
  <c r="AI334" i="651"/>
  <c r="AS294" i="651"/>
  <c r="AS54" i="651"/>
  <c r="H182" i="139" s="1"/>
  <c r="AS84" i="651"/>
  <c r="H212" i="139" s="1"/>
  <c r="AJ48" i="651"/>
  <c r="AJ50" i="651" s="1"/>
  <c r="AJ304" i="651"/>
  <c r="AJ367" i="651"/>
  <c r="AL364" i="651"/>
  <c r="J116" i="651"/>
  <c r="Z35" i="651"/>
  <c r="AR50" i="651"/>
  <c r="K116" i="651"/>
  <c r="AS314" i="651"/>
  <c r="AL50" i="651"/>
  <c r="AS334" i="651"/>
  <c r="AL339" i="651"/>
  <c r="Z114" i="651"/>
  <c r="AS299" i="651"/>
  <c r="H116" i="651"/>
  <c r="AS79" i="651"/>
  <c r="H207" i="139" s="1"/>
  <c r="AS324" i="651"/>
  <c r="AS349" i="651"/>
  <c r="AL304" i="651"/>
  <c r="AI49" i="651"/>
  <c r="AT49" i="651" s="1"/>
  <c r="I177" i="139" s="1"/>
  <c r="AT303" i="651"/>
  <c r="AR113" i="651"/>
  <c r="AS33" i="651"/>
  <c r="H161" i="139" s="1"/>
  <c r="AS364" i="651"/>
  <c r="AS58" i="651"/>
  <c r="H186" i="139" s="1"/>
  <c r="AR65" i="651"/>
  <c r="AS73" i="651"/>
  <c r="H201" i="139" s="1"/>
  <c r="AT347" i="651"/>
  <c r="AI349" i="651"/>
  <c r="AI93" i="651"/>
  <c r="AI364" i="651"/>
  <c r="AT362" i="651"/>
  <c r="AI108" i="651"/>
  <c r="AT292" i="651"/>
  <c r="AI294" i="651"/>
  <c r="AI38" i="651"/>
  <c r="AJ58" i="651"/>
  <c r="AJ314" i="651"/>
  <c r="Z60" i="651"/>
  <c r="AJ78" i="651"/>
  <c r="AJ334" i="651"/>
  <c r="AT332" i="651"/>
  <c r="AT328" i="651"/>
  <c r="AI74" i="651"/>
  <c r="AL329" i="651"/>
  <c r="AL73" i="651"/>
  <c r="AT348" i="651"/>
  <c r="AI94" i="651"/>
  <c r="AT94" i="651" s="1"/>
  <c r="I222" i="139" s="1"/>
  <c r="Z113" i="651"/>
  <c r="Z20" i="651"/>
  <c r="AT342" i="651"/>
  <c r="AI88" i="651"/>
  <c r="AI344" i="651"/>
  <c r="AT344" i="651" s="1"/>
  <c r="AI30" i="651"/>
  <c r="AS329" i="651"/>
  <c r="AT288" i="651"/>
  <c r="AS309" i="651"/>
  <c r="AR55" i="651"/>
  <c r="AS98" i="651"/>
  <c r="H226" i="139" s="1"/>
  <c r="AS108" i="651"/>
  <c r="H236" i="139" s="1"/>
  <c r="AS110" i="651"/>
  <c r="AT272" i="651"/>
  <c r="AI18" i="651"/>
  <c r="AI274" i="651"/>
  <c r="AI367" i="651"/>
  <c r="AI48" i="651"/>
  <c r="AI304" i="651"/>
  <c r="AT302" i="651"/>
  <c r="AI23" i="651"/>
  <c r="AI279" i="651"/>
  <c r="AT277" i="651"/>
  <c r="AS68" i="651"/>
  <c r="H196" i="139" s="1"/>
  <c r="AJ20" i="651"/>
  <c r="AR13" i="651"/>
  <c r="AT264" i="651"/>
  <c r="AK10" i="651"/>
  <c r="AK267" i="651"/>
  <c r="AL59" i="651"/>
  <c r="AL314" i="651"/>
  <c r="AL349" i="651"/>
  <c r="AL93" i="651"/>
  <c r="AL95" i="651" s="1"/>
  <c r="AS53" i="651"/>
  <c r="H181" i="139" s="1"/>
  <c r="AJ368" i="651"/>
  <c r="AR114" i="651"/>
  <c r="AL103" i="651"/>
  <c r="AL105" i="651" s="1"/>
  <c r="AL359" i="651"/>
  <c r="AS267" i="651"/>
  <c r="AS284" i="651"/>
  <c r="AL63" i="651"/>
  <c r="AL65" i="651" s="1"/>
  <c r="AL319" i="651"/>
  <c r="AS339" i="651"/>
  <c r="AJ43" i="651"/>
  <c r="AJ45" i="651" s="1"/>
  <c r="AJ299" i="651"/>
  <c r="AT297" i="651"/>
  <c r="AI299" i="651"/>
  <c r="AI43" i="651"/>
  <c r="AS19" i="651"/>
  <c r="H147" i="139" s="1"/>
  <c r="AL38" i="651"/>
  <c r="AL40" i="651" s="1"/>
  <c r="AL294" i="651"/>
  <c r="AS344" i="651"/>
  <c r="AT357" i="651"/>
  <c r="AI359" i="651"/>
  <c r="AI103" i="651"/>
  <c r="AK33" i="651"/>
  <c r="AK35" i="651" s="1"/>
  <c r="AK289" i="651"/>
  <c r="AS64" i="651"/>
  <c r="H192" i="139" s="1"/>
  <c r="AT84" i="651"/>
  <c r="I212" i="139" s="1"/>
  <c r="AI85" i="651"/>
  <c r="AR80" i="651"/>
  <c r="AI324" i="651"/>
  <c r="AI68" i="651"/>
  <c r="AT322" i="651"/>
  <c r="AJ108" i="651"/>
  <c r="AJ110" i="651" s="1"/>
  <c r="AJ364" i="651"/>
  <c r="AJ23" i="651"/>
  <c r="AJ25" i="651" s="1"/>
  <c r="AJ279" i="651"/>
  <c r="AS93" i="651"/>
  <c r="H221" i="139" s="1"/>
  <c r="AS40" i="651"/>
  <c r="AS38" i="651"/>
  <c r="H166" i="139" s="1"/>
  <c r="H168" i="139" s="1"/>
  <c r="AR85" i="651"/>
  <c r="AS94" i="651"/>
  <c r="H222" i="139" s="1"/>
  <c r="AI368" i="651"/>
  <c r="AT273" i="651"/>
  <c r="AI19" i="651"/>
  <c r="AS368" i="651"/>
  <c r="AS103" i="651"/>
  <c r="H231" i="139" s="1"/>
  <c r="H233" i="139" s="1"/>
  <c r="AS50" i="651"/>
  <c r="AS48" i="651"/>
  <c r="H176" i="139" s="1"/>
  <c r="AS59" i="651"/>
  <c r="H187" i="139" s="1"/>
  <c r="AS99" i="651"/>
  <c r="H227" i="139" s="1"/>
  <c r="Z105" i="651"/>
  <c r="AT358" i="651"/>
  <c r="AI104" i="651"/>
  <c r="AT104" i="651" s="1"/>
  <c r="I232" i="139" s="1"/>
  <c r="AT278" i="651"/>
  <c r="AS289" i="651"/>
  <c r="AK108" i="651"/>
  <c r="AK110" i="651" s="1"/>
  <c r="AK364" i="651"/>
  <c r="AS18" i="651"/>
  <c r="H146" i="139" s="1"/>
  <c r="AK98" i="651"/>
  <c r="AK354" i="651"/>
  <c r="AS45" i="651"/>
  <c r="AS43" i="651"/>
  <c r="H171" i="139" s="1"/>
  <c r="H173" i="139" s="1"/>
  <c r="M116" i="651"/>
  <c r="AT312" i="651"/>
  <c r="AK20" i="651"/>
  <c r="AS80" i="651"/>
  <c r="AS279" i="651"/>
  <c r="AK299" i="651"/>
  <c r="AK43" i="651"/>
  <c r="AK45" i="651" s="1"/>
  <c r="AT338" i="651"/>
  <c r="AS83" i="651"/>
  <c r="H211" i="139" s="1"/>
  <c r="AJ93" i="651"/>
  <c r="AJ95" i="651" s="1"/>
  <c r="AJ349" i="651"/>
  <c r="AS63" i="651"/>
  <c r="H191" i="139" s="1"/>
  <c r="AL279" i="651"/>
  <c r="AL23" i="651"/>
  <c r="AJ114" i="651"/>
  <c r="AT265" i="651"/>
  <c r="AK11" i="651"/>
  <c r="AT11" i="651" s="1"/>
  <c r="I139" i="139" s="1"/>
  <c r="AS28" i="651"/>
  <c r="H156" i="139" s="1"/>
  <c r="H158" i="139" s="1"/>
  <c r="AS30" i="651"/>
  <c r="AS88" i="651"/>
  <c r="H216" i="139" s="1"/>
  <c r="AJ103" i="651"/>
  <c r="AJ105" i="651" s="1"/>
  <c r="AJ359" i="651"/>
  <c r="AT363" i="651"/>
  <c r="AI109" i="651"/>
  <c r="AT109" i="651" s="1"/>
  <c r="I237" i="139" s="1"/>
  <c r="AS109" i="651"/>
  <c r="H237" i="139" s="1"/>
  <c r="AR95" i="651"/>
  <c r="AS24" i="651"/>
  <c r="H152" i="139" s="1"/>
  <c r="AT24" i="651"/>
  <c r="I152" i="139" s="1"/>
  <c r="AJ33" i="651"/>
  <c r="AJ289" i="651"/>
  <c r="AS74" i="651"/>
  <c r="H202" i="139" s="1"/>
  <c r="AL289" i="651"/>
  <c r="AL33" i="651"/>
  <c r="AL35" i="651" s="1"/>
  <c r="AS367" i="651"/>
  <c r="AR20" i="651"/>
  <c r="G116" i="651"/>
  <c r="Z370" i="651"/>
  <c r="AL85" i="651"/>
  <c r="AT317" i="651"/>
  <c r="AJ339" i="651"/>
  <c r="AJ83" i="651"/>
  <c r="AT308" i="651"/>
  <c r="AI54" i="651"/>
  <c r="AI309" i="651"/>
  <c r="AK367" i="651"/>
  <c r="AS78" i="651"/>
  <c r="H206" i="139" s="1"/>
  <c r="AS25" i="651"/>
  <c r="AS23" i="651"/>
  <c r="H151" i="139" s="1"/>
  <c r="AI329" i="651"/>
  <c r="AS274" i="651"/>
  <c r="AS100" i="651" l="1"/>
  <c r="AT30" i="651"/>
  <c r="AT284" i="651"/>
  <c r="H198" i="139"/>
  <c r="H183" i="139"/>
  <c r="AT324" i="651"/>
  <c r="AT28" i="651"/>
  <c r="I156" i="139" s="1"/>
  <c r="I158" i="139" s="1"/>
  <c r="AS70" i="651"/>
  <c r="H193" i="139"/>
  <c r="AT368" i="651"/>
  <c r="AS75" i="651"/>
  <c r="AT309" i="651"/>
  <c r="AT319" i="651"/>
  <c r="H218" i="139"/>
  <c r="H203" i="139"/>
  <c r="H153" i="139"/>
  <c r="H178" i="139"/>
  <c r="H242" i="139"/>
  <c r="H228" i="139"/>
  <c r="H208" i="139"/>
  <c r="H148" i="139"/>
  <c r="H241" i="139"/>
  <c r="H188" i="139"/>
  <c r="H163" i="139"/>
  <c r="H213" i="139"/>
  <c r="H223" i="139"/>
  <c r="H238" i="139"/>
  <c r="AT53" i="651"/>
  <c r="I181" i="139" s="1"/>
  <c r="AT354" i="651"/>
  <c r="AI65" i="651"/>
  <c r="AT65" i="651" s="1"/>
  <c r="AT304" i="651"/>
  <c r="AT339" i="651"/>
  <c r="AT314" i="651"/>
  <c r="AS85" i="651"/>
  <c r="AS60" i="651"/>
  <c r="AS95" i="651"/>
  <c r="AT63" i="651"/>
  <c r="I191" i="139" s="1"/>
  <c r="I193" i="139" s="1"/>
  <c r="AS90" i="651"/>
  <c r="AS55" i="651"/>
  <c r="AS114" i="651"/>
  <c r="AJ370" i="651"/>
  <c r="AS105" i="651"/>
  <c r="AT289" i="651"/>
  <c r="AR116" i="651"/>
  <c r="AT103" i="651"/>
  <c r="I231" i="139" s="1"/>
  <c r="I233" i="139" s="1"/>
  <c r="AI105" i="651"/>
  <c r="AT105" i="651" s="1"/>
  <c r="AL60" i="651"/>
  <c r="AT59" i="651"/>
  <c r="I187" i="139" s="1"/>
  <c r="AJ80" i="651"/>
  <c r="AT80" i="651" s="1"/>
  <c r="AT78" i="651"/>
  <c r="I206" i="139" s="1"/>
  <c r="I208" i="139" s="1"/>
  <c r="AT359" i="651"/>
  <c r="AT267" i="651"/>
  <c r="AT329" i="651"/>
  <c r="AJ85" i="651"/>
  <c r="AT85" i="651" s="1"/>
  <c r="AT83" i="651"/>
  <c r="I211" i="139" s="1"/>
  <c r="I213" i="139" s="1"/>
  <c r="AL370" i="651"/>
  <c r="AK100" i="651"/>
  <c r="AT100" i="651" s="1"/>
  <c r="AT98" i="651"/>
  <c r="I226" i="139" s="1"/>
  <c r="I228" i="139" s="1"/>
  <c r="AT19" i="651"/>
  <c r="I147" i="139" s="1"/>
  <c r="AI114" i="651"/>
  <c r="AT43" i="651"/>
  <c r="I171" i="139" s="1"/>
  <c r="I173" i="139" s="1"/>
  <c r="AI45" i="651"/>
  <c r="AT45" i="651" s="1"/>
  <c r="AT10" i="651"/>
  <c r="I138" i="139" s="1"/>
  <c r="I141" i="139" s="1"/>
  <c r="AK13" i="651"/>
  <c r="AL75" i="651"/>
  <c r="AT73" i="651"/>
  <c r="I201" i="139" s="1"/>
  <c r="AT364" i="651"/>
  <c r="AS35" i="651"/>
  <c r="AT108" i="651"/>
  <c r="I236" i="139" s="1"/>
  <c r="I238" i="139" s="1"/>
  <c r="AI110" i="651"/>
  <c r="AT110" i="651" s="1"/>
  <c r="AL25" i="651"/>
  <c r="AL113" i="651"/>
  <c r="AK116" i="651"/>
  <c r="AJ60" i="651"/>
  <c r="AT58" i="651"/>
  <c r="I186" i="139" s="1"/>
  <c r="AK113" i="651"/>
  <c r="AT279" i="651"/>
  <c r="AI90" i="651"/>
  <c r="AT90" i="651" s="1"/>
  <c r="AT88" i="651"/>
  <c r="I216" i="139" s="1"/>
  <c r="I218" i="139" s="1"/>
  <c r="AT74" i="651"/>
  <c r="I202" i="139" s="1"/>
  <c r="AI75" i="651"/>
  <c r="AS370" i="651"/>
  <c r="AT349" i="651"/>
  <c r="AT334" i="651"/>
  <c r="AL114" i="651"/>
  <c r="AJ35" i="651"/>
  <c r="AT35" i="651" s="1"/>
  <c r="AT33" i="651"/>
  <c r="I161" i="139" s="1"/>
  <c r="I163" i="139" s="1"/>
  <c r="AJ113" i="651"/>
  <c r="AT274" i="651"/>
  <c r="AI370" i="651"/>
  <c r="AT54" i="651"/>
  <c r="I182" i="139" s="1"/>
  <c r="AI55" i="651"/>
  <c r="AT55" i="651" s="1"/>
  <c r="AI70" i="651"/>
  <c r="AT70" i="651" s="1"/>
  <c r="AT68" i="651"/>
  <c r="I196" i="139" s="1"/>
  <c r="I198" i="139" s="1"/>
  <c r="AT18" i="651"/>
  <c r="I146" i="139" s="1"/>
  <c r="AI20" i="651"/>
  <c r="AI113" i="651"/>
  <c r="AS113" i="651"/>
  <c r="AT299" i="651"/>
  <c r="AT48" i="651"/>
  <c r="I176" i="139" s="1"/>
  <c r="I178" i="139" s="1"/>
  <c r="AI50" i="651"/>
  <c r="AT50" i="651" s="1"/>
  <c r="AI95" i="651"/>
  <c r="AT95" i="651" s="1"/>
  <c r="AT93" i="651"/>
  <c r="I221" i="139" s="1"/>
  <c r="I223" i="139" s="1"/>
  <c r="AI25" i="651"/>
  <c r="AT23" i="651"/>
  <c r="I151" i="139" s="1"/>
  <c r="I153" i="139" s="1"/>
  <c r="AT38" i="651"/>
  <c r="I166" i="139" s="1"/>
  <c r="I168" i="139" s="1"/>
  <c r="AI40" i="651"/>
  <c r="AT40" i="651" s="1"/>
  <c r="AS20" i="651"/>
  <c r="AK370" i="651"/>
  <c r="AT367" i="651"/>
  <c r="Z116" i="651"/>
  <c r="AT294" i="651"/>
  <c r="AT75" i="651" l="1"/>
  <c r="I203" i="139"/>
  <c r="H244" i="139"/>
  <c r="I188" i="139"/>
  <c r="I183" i="139"/>
  <c r="I241" i="139"/>
  <c r="I148" i="139"/>
  <c r="I242" i="139"/>
  <c r="AT25" i="651"/>
  <c r="AT114" i="651"/>
  <c r="AJ116" i="651"/>
  <c r="AT20" i="651"/>
  <c r="AI116" i="651"/>
  <c r="AT60" i="651"/>
  <c r="AS116" i="651"/>
  <c r="AT370" i="651"/>
  <c r="AT113" i="651"/>
  <c r="AL116" i="651"/>
  <c r="AT13" i="651"/>
  <c r="I244" i="139" l="1"/>
  <c r="AT116" i="651"/>
  <c r="H132" i="651"/>
  <c r="AR380" i="651"/>
  <c r="J157" i="651"/>
  <c r="H137" i="651"/>
  <c r="M132" i="651"/>
  <c r="AR401" i="651"/>
  <c r="J132" i="651"/>
  <c r="H152" i="651"/>
  <c r="AR391" i="651"/>
  <c r="AR381" i="651"/>
  <c r="AR385" i="651"/>
  <c r="AR396" i="651"/>
  <c r="AR406" i="651"/>
  <c r="AR416" i="651"/>
  <c r="J137" i="651"/>
  <c r="H161" i="651"/>
  <c r="M157" i="651"/>
  <c r="L136" i="651"/>
  <c r="L138" i="651" s="1"/>
  <c r="M147" i="651"/>
  <c r="K146" i="651"/>
  <c r="K156" i="651"/>
  <c r="M127" i="651"/>
  <c r="G147" i="651"/>
  <c r="AR411" i="651"/>
  <c r="Z411" i="651"/>
  <c r="AL411" i="651" s="1"/>
  <c r="AL157" i="651" s="1"/>
  <c r="M136" i="651"/>
  <c r="K151" i="651"/>
  <c r="AR386" i="651"/>
  <c r="M122" i="651"/>
  <c r="M152" i="651"/>
  <c r="K157" i="651"/>
  <c r="AR410" i="651"/>
  <c r="L151" i="651"/>
  <c r="L153" i="651" s="1"/>
  <c r="K152" i="651"/>
  <c r="AR390" i="651"/>
  <c r="J122" i="651"/>
  <c r="AR400" i="651"/>
  <c r="H146" i="651"/>
  <c r="J156" i="651"/>
  <c r="Z386" i="651"/>
  <c r="Z132" i="651" s="1"/>
  <c r="L126" i="651"/>
  <c r="L128" i="651" s="1"/>
  <c r="K137" i="651"/>
  <c r="J161" i="651"/>
  <c r="L141" i="651"/>
  <c r="L143" i="651" s="1"/>
  <c r="H122" i="651"/>
  <c r="L131" i="651"/>
  <c r="L133" i="651" s="1"/>
  <c r="H147" i="651"/>
  <c r="G142" i="651"/>
  <c r="K132" i="651"/>
  <c r="L146" i="651"/>
  <c r="L148" i="651" s="1"/>
  <c r="K127" i="651"/>
  <c r="AR415" i="651"/>
  <c r="AR395" i="651"/>
  <c r="G152" i="651"/>
  <c r="H136" i="651"/>
  <c r="L156" i="651"/>
  <c r="H131" i="651"/>
  <c r="M142" i="651"/>
  <c r="M131" i="651"/>
  <c r="Z400" i="651"/>
  <c r="AL400" i="651" s="1"/>
  <c r="AL146" i="651" s="1"/>
  <c r="H142" i="651"/>
  <c r="Z401" i="651"/>
  <c r="AL401" i="651" s="1"/>
  <c r="AL147" i="651" s="1"/>
  <c r="AR376" i="651"/>
  <c r="M156" i="651"/>
  <c r="M162" i="651"/>
  <c r="K161" i="651"/>
  <c r="K162" i="651"/>
  <c r="Z406" i="651"/>
  <c r="AL406" i="651" s="1"/>
  <c r="AL152" i="651" s="1"/>
  <c r="M126" i="651"/>
  <c r="AJ391" i="651"/>
  <c r="AJ137" i="651" s="1"/>
  <c r="Z381" i="651"/>
  <c r="M161" i="651"/>
  <c r="H156" i="651"/>
  <c r="M137" i="651"/>
  <c r="J127" i="651"/>
  <c r="K136" i="651"/>
  <c r="H127" i="651"/>
  <c r="Z390" i="651"/>
  <c r="Z136" i="651" s="1"/>
  <c r="M146" i="651"/>
  <c r="Z405" i="651"/>
  <c r="K142" i="651"/>
  <c r="Z391" i="651"/>
  <c r="Z137" i="651" s="1"/>
  <c r="K122" i="651"/>
  <c r="G132" i="651"/>
  <c r="J147" i="651"/>
  <c r="J162" i="651"/>
  <c r="G127" i="651"/>
  <c r="J146" i="651"/>
  <c r="J136" i="651"/>
  <c r="AR405" i="651"/>
  <c r="M151" i="651"/>
  <c r="M141" i="651"/>
  <c r="G131" i="651"/>
  <c r="H157" i="651"/>
  <c r="J141" i="651"/>
  <c r="H162" i="651"/>
  <c r="J126" i="651"/>
  <c r="K147" i="651"/>
  <c r="H141" i="651"/>
  <c r="K131" i="651"/>
  <c r="AI406" i="651"/>
  <c r="J152" i="651"/>
  <c r="Z415" i="651"/>
  <c r="Z161" i="651" s="1"/>
  <c r="AJ416" i="651"/>
  <c r="AJ162" i="651" s="1"/>
  <c r="L161" i="651"/>
  <c r="L163" i="651" s="1"/>
  <c r="G157" i="651"/>
  <c r="AR375" i="651"/>
  <c r="Z410" i="651"/>
  <c r="K141" i="651"/>
  <c r="K126" i="651"/>
  <c r="J151" i="651"/>
  <c r="G137" i="651"/>
  <c r="AI390" i="651"/>
  <c r="G136" i="651"/>
  <c r="G161" i="651"/>
  <c r="J142" i="651"/>
  <c r="G122" i="651"/>
  <c r="G162" i="651"/>
  <c r="G126" i="651"/>
  <c r="G156" i="651"/>
  <c r="AI405" i="651"/>
  <c r="AI151" i="651" s="1"/>
  <c r="K121" i="651"/>
  <c r="H121" i="651"/>
  <c r="Z376" i="651"/>
  <c r="Z122" i="651" s="1"/>
  <c r="G141" i="651"/>
  <c r="H151" i="651"/>
  <c r="G121" i="651"/>
  <c r="M121" i="651"/>
  <c r="Z416" i="651"/>
  <c r="AL416" i="651" s="1"/>
  <c r="AL162" i="651" s="1"/>
  <c r="Z380" i="651"/>
  <c r="AL380" i="651" s="1"/>
  <c r="L121" i="651"/>
  <c r="L123" i="651" s="1"/>
  <c r="Z395" i="651"/>
  <c r="H126" i="651"/>
  <c r="H128" i="651" s="1"/>
  <c r="AI415" i="651"/>
  <c r="Z385" i="651"/>
  <c r="AL385" i="651" s="1"/>
  <c r="AR392" i="651"/>
  <c r="G151" i="651"/>
  <c r="J131" i="651"/>
  <c r="AR412" i="651"/>
  <c r="AK410" i="651"/>
  <c r="AK156" i="651" s="1"/>
  <c r="AK158" i="651" s="1"/>
  <c r="AR417" i="651"/>
  <c r="AK415" i="651"/>
  <c r="AK417" i="651" s="1"/>
  <c r="AR407" i="651"/>
  <c r="AK405" i="651"/>
  <c r="Z375" i="651"/>
  <c r="AR402" i="651"/>
  <c r="AK400" i="651"/>
  <c r="AK146" i="651" s="1"/>
  <c r="AK148" i="651" s="1"/>
  <c r="G146" i="651"/>
  <c r="AR397" i="651"/>
  <c r="AK395" i="651"/>
  <c r="AK141" i="651" s="1"/>
  <c r="AK143" i="651" s="1"/>
  <c r="AJ395" i="651"/>
  <c r="AJ141" i="651" s="1"/>
  <c r="Z396" i="651"/>
  <c r="Z142" i="651" s="1"/>
  <c r="AR387" i="651"/>
  <c r="AK385" i="651"/>
  <c r="AJ385" i="651"/>
  <c r="AR382" i="651"/>
  <c r="AR377" i="651"/>
  <c r="J121" i="651"/>
  <c r="K138" i="651" l="1"/>
  <c r="J153" i="651"/>
  <c r="M163" i="651"/>
  <c r="H133" i="651"/>
  <c r="K148" i="651"/>
  <c r="J133" i="651"/>
  <c r="H143" i="651"/>
  <c r="J138" i="651"/>
  <c r="H123" i="651"/>
  <c r="AR420" i="651"/>
  <c r="G123" i="651"/>
  <c r="H153" i="651"/>
  <c r="G158" i="651"/>
  <c r="M138" i="651"/>
  <c r="M148" i="651"/>
  <c r="AL396" i="651"/>
  <c r="AL142" i="651" s="1"/>
  <c r="Z377" i="651"/>
  <c r="AJ411" i="651"/>
  <c r="AJ157" i="651" s="1"/>
  <c r="Z121" i="651"/>
  <c r="Z123" i="651" s="1"/>
  <c r="Z407" i="651"/>
  <c r="AJ386" i="651"/>
  <c r="AJ132" i="651" s="1"/>
  <c r="AL386" i="651"/>
  <c r="AL132" i="651" s="1"/>
  <c r="AJ375" i="651"/>
  <c r="AJ121" i="651" s="1"/>
  <c r="AK380" i="651"/>
  <c r="AL391" i="651"/>
  <c r="AL137" i="651" s="1"/>
  <c r="AJ405" i="651"/>
  <c r="AJ151" i="651" s="1"/>
  <c r="AL415" i="651"/>
  <c r="AL161" i="651" s="1"/>
  <c r="AL163" i="651" s="1"/>
  <c r="AK402" i="651"/>
  <c r="Z138" i="651"/>
  <c r="K143" i="651"/>
  <c r="AR156" i="651"/>
  <c r="K167" i="651"/>
  <c r="M167" i="651"/>
  <c r="J158" i="651"/>
  <c r="J128" i="651"/>
  <c r="G153" i="651"/>
  <c r="G133" i="651"/>
  <c r="G167" i="651"/>
  <c r="AR137" i="651"/>
  <c r="AL148" i="651"/>
  <c r="M153" i="651"/>
  <c r="AR122" i="651"/>
  <c r="AR151" i="651"/>
  <c r="AR157" i="651"/>
  <c r="AR161" i="651"/>
  <c r="K128" i="651"/>
  <c r="K133" i="651"/>
  <c r="K153" i="651"/>
  <c r="K123" i="651"/>
  <c r="H138" i="651"/>
  <c r="AR146" i="651"/>
  <c r="J123" i="651"/>
  <c r="M143" i="651"/>
  <c r="AR127" i="651"/>
  <c r="M158" i="651"/>
  <c r="AJ406" i="651"/>
  <c r="AJ152" i="651" s="1"/>
  <c r="Z146" i="651"/>
  <c r="AR136" i="651"/>
  <c r="AL375" i="651"/>
  <c r="AL121" i="651" s="1"/>
  <c r="M128" i="651"/>
  <c r="J163" i="651"/>
  <c r="M123" i="651"/>
  <c r="H167" i="651"/>
  <c r="AR147" i="651"/>
  <c r="H148" i="651"/>
  <c r="AJ410" i="651"/>
  <c r="AJ156" i="651" s="1"/>
  <c r="AR421" i="651"/>
  <c r="AL376" i="651"/>
  <c r="AL122" i="651" s="1"/>
  <c r="AR142" i="651"/>
  <c r="J143" i="651"/>
  <c r="AR162" i="651"/>
  <c r="K158" i="651"/>
  <c r="Z157" i="651"/>
  <c r="M133" i="651"/>
  <c r="AK131" i="651"/>
  <c r="AK133" i="651" s="1"/>
  <c r="AK387" i="651"/>
  <c r="AJ131" i="651"/>
  <c r="AS396" i="651"/>
  <c r="AK375" i="651"/>
  <c r="G148" i="651"/>
  <c r="AS375" i="651"/>
  <c r="AI375" i="651"/>
  <c r="AJ380" i="651"/>
  <c r="AL131" i="651"/>
  <c r="AK151" i="651"/>
  <c r="AK153" i="651" s="1"/>
  <c r="AK407" i="651"/>
  <c r="Z387" i="651"/>
  <c r="Z131" i="651"/>
  <c r="Z133" i="651" s="1"/>
  <c r="AJ415" i="651"/>
  <c r="AL126" i="651"/>
  <c r="AK397" i="651"/>
  <c r="AJ400" i="651"/>
  <c r="AK412" i="651"/>
  <c r="Z382" i="651"/>
  <c r="Z126" i="651"/>
  <c r="Z397" i="651"/>
  <c r="Z141" i="651"/>
  <c r="Z143" i="651" s="1"/>
  <c r="AL395" i="651"/>
  <c r="AK161" i="651"/>
  <c r="AS416" i="651"/>
  <c r="AI416" i="651"/>
  <c r="AR126" i="651"/>
  <c r="G128" i="651"/>
  <c r="Z127" i="651"/>
  <c r="AS127" i="651" s="1"/>
  <c r="H255" i="139" s="1"/>
  <c r="AL381" i="651"/>
  <c r="AL127" i="651" s="1"/>
  <c r="AJ390" i="651"/>
  <c r="AS385" i="651"/>
  <c r="AI385" i="651"/>
  <c r="AS380" i="651"/>
  <c r="AI380" i="651"/>
  <c r="AI396" i="651"/>
  <c r="AI136" i="651"/>
  <c r="AS395" i="651"/>
  <c r="AI395" i="651"/>
  <c r="AS142" i="651"/>
  <c r="H270" i="139" s="1"/>
  <c r="AS386" i="651"/>
  <c r="AS132" i="651"/>
  <c r="H260" i="139" s="1"/>
  <c r="AI386" i="651"/>
  <c r="AI161" i="651"/>
  <c r="Z421" i="651"/>
  <c r="Z162" i="651"/>
  <c r="Z417" i="651"/>
  <c r="AR141" i="651"/>
  <c r="AS122" i="651"/>
  <c r="H250" i="139" s="1"/>
  <c r="AJ376" i="651"/>
  <c r="AR131" i="651"/>
  <c r="AI152" i="651"/>
  <c r="AS415" i="651"/>
  <c r="AI400" i="651"/>
  <c r="AS400" i="651"/>
  <c r="Z420" i="651"/>
  <c r="L158" i="651"/>
  <c r="L169" i="651" s="1"/>
  <c r="L166" i="651"/>
  <c r="AI407" i="651"/>
  <c r="G138" i="651"/>
  <c r="AI411" i="651"/>
  <c r="AS411" i="651"/>
  <c r="AK390" i="651"/>
  <c r="G143" i="651"/>
  <c r="AJ401" i="651"/>
  <c r="AJ147" i="651" s="1"/>
  <c r="AS405" i="651"/>
  <c r="AS381" i="651"/>
  <c r="AS391" i="651"/>
  <c r="AI391" i="651"/>
  <c r="AR121" i="651"/>
  <c r="Z156" i="651"/>
  <c r="Z412" i="651"/>
  <c r="AL410" i="651"/>
  <c r="J148" i="651"/>
  <c r="AS410" i="651"/>
  <c r="AI410" i="651"/>
  <c r="AS390" i="651"/>
  <c r="H166" i="651"/>
  <c r="AI376" i="651"/>
  <c r="AS376" i="651"/>
  <c r="AI381" i="651"/>
  <c r="G163" i="651"/>
  <c r="G166" i="651"/>
  <c r="K166" i="651"/>
  <c r="AS406" i="651"/>
  <c r="M166" i="651"/>
  <c r="AR132" i="651"/>
  <c r="AR152" i="651"/>
  <c r="J167" i="651"/>
  <c r="AI401" i="651"/>
  <c r="AS401" i="651"/>
  <c r="AL402" i="651"/>
  <c r="H158" i="651"/>
  <c r="Z152" i="651"/>
  <c r="Z392" i="651"/>
  <c r="AL390" i="651"/>
  <c r="H163" i="651"/>
  <c r="AL405" i="651"/>
  <c r="Z147" i="651"/>
  <c r="Z402" i="651"/>
  <c r="AJ396" i="651"/>
  <c r="AJ142" i="651" s="1"/>
  <c r="AJ143" i="651" s="1"/>
  <c r="Z151" i="651"/>
  <c r="AR423" i="651"/>
  <c r="J166" i="651"/>
  <c r="K163" i="651"/>
  <c r="AJ381" i="651"/>
  <c r="AJ127" i="651" s="1"/>
  <c r="AR153" i="651" l="1"/>
  <c r="Z148" i="651"/>
  <c r="AJ158" i="651"/>
  <c r="AR123" i="651"/>
  <c r="AS157" i="651"/>
  <c r="H285" i="139" s="1"/>
  <c r="AL133" i="651"/>
  <c r="AT415" i="651"/>
  <c r="AS382" i="651"/>
  <c r="AL417" i="651"/>
  <c r="AJ133" i="651"/>
  <c r="AL387" i="651"/>
  <c r="AJ387" i="651"/>
  <c r="AL167" i="651"/>
  <c r="AS412" i="651"/>
  <c r="AK126" i="651"/>
  <c r="AK128" i="651" s="1"/>
  <c r="AK382" i="651"/>
  <c r="AT405" i="651"/>
  <c r="AJ153" i="651"/>
  <c r="AJ412" i="651"/>
  <c r="AS407" i="651"/>
  <c r="AJ407" i="651"/>
  <c r="AL377" i="651"/>
  <c r="AT406" i="651"/>
  <c r="AL123" i="651"/>
  <c r="J169" i="651"/>
  <c r="K169" i="651"/>
  <c r="AR133" i="651"/>
  <c r="AR167" i="651"/>
  <c r="Z158" i="651"/>
  <c r="AR128" i="651"/>
  <c r="AS147" i="651"/>
  <c r="H275" i="139" s="1"/>
  <c r="AR138" i="651"/>
  <c r="AI420" i="651"/>
  <c r="AS402" i="651"/>
  <c r="AT390" i="651"/>
  <c r="AR163" i="651"/>
  <c r="AS392" i="651"/>
  <c r="AR143" i="651"/>
  <c r="AR148" i="651"/>
  <c r="Z153" i="651"/>
  <c r="H169" i="651"/>
  <c r="AS417" i="651"/>
  <c r="AS152" i="651"/>
  <c r="H280" i="139" s="1"/>
  <c r="Z423" i="651"/>
  <c r="M169" i="651"/>
  <c r="AL397" i="651"/>
  <c r="AL141" i="651"/>
  <c r="AL143" i="651" s="1"/>
  <c r="AT386" i="651"/>
  <c r="AI132" i="651"/>
  <c r="AT132" i="651" s="1"/>
  <c r="I260" i="139" s="1"/>
  <c r="AR158" i="651"/>
  <c r="G169" i="651"/>
  <c r="AS161" i="651"/>
  <c r="Z167" i="651"/>
  <c r="AS121" i="651"/>
  <c r="H249" i="139" s="1"/>
  <c r="AL407" i="651"/>
  <c r="AL151" i="651"/>
  <c r="AT376" i="651"/>
  <c r="AI122" i="651"/>
  <c r="AT410" i="651"/>
  <c r="AI412" i="651"/>
  <c r="AI156" i="651"/>
  <c r="AK136" i="651"/>
  <c r="AK138" i="651" s="1"/>
  <c r="AK392" i="651"/>
  <c r="AS420" i="651"/>
  <c r="AS126" i="651"/>
  <c r="H254" i="139" s="1"/>
  <c r="H256" i="139" s="1"/>
  <c r="AL421" i="651"/>
  <c r="Z128" i="651"/>
  <c r="AJ122" i="651"/>
  <c r="AJ123" i="651" s="1"/>
  <c r="AJ377" i="651"/>
  <c r="AT396" i="651"/>
  <c r="AI142" i="651"/>
  <c r="AT142" i="651" s="1"/>
  <c r="I270" i="139" s="1"/>
  <c r="AS377" i="651"/>
  <c r="AI127" i="651"/>
  <c r="AT127" i="651" s="1"/>
  <c r="I255" i="139" s="1"/>
  <c r="AT381" i="651"/>
  <c r="AI382" i="651"/>
  <c r="AT380" i="651"/>
  <c r="AI126" i="651"/>
  <c r="AJ146" i="651"/>
  <c r="AJ148" i="651" s="1"/>
  <c r="AJ402" i="651"/>
  <c r="AS151" i="651"/>
  <c r="H279" i="139" s="1"/>
  <c r="AL392" i="651"/>
  <c r="AL136" i="651"/>
  <c r="AL138" i="651" s="1"/>
  <c r="AI137" i="651"/>
  <c r="AT137" i="651" s="1"/>
  <c r="I265" i="139" s="1"/>
  <c r="AT391" i="651"/>
  <c r="AI392" i="651"/>
  <c r="Z166" i="651"/>
  <c r="AT152" i="651"/>
  <c r="I280" i="139" s="1"/>
  <c r="AI153" i="651"/>
  <c r="AS387" i="651"/>
  <c r="AS162" i="651"/>
  <c r="H290" i="139" s="1"/>
  <c r="AK420" i="651"/>
  <c r="AL128" i="651"/>
  <c r="AJ397" i="651"/>
  <c r="AL156" i="651"/>
  <c r="AL412" i="651"/>
  <c r="AT395" i="651"/>
  <c r="AI141" i="651"/>
  <c r="AI397" i="651"/>
  <c r="AT375" i="651"/>
  <c r="AI377" i="651"/>
  <c r="AI121" i="651"/>
  <c r="AT416" i="651"/>
  <c r="AI162" i="651"/>
  <c r="AI163" i="651" s="1"/>
  <c r="AI421" i="651"/>
  <c r="AI417" i="651"/>
  <c r="AS397" i="651"/>
  <c r="AS137" i="651"/>
  <c r="H265" i="139" s="1"/>
  <c r="AI157" i="651"/>
  <c r="AT157" i="651" s="1"/>
  <c r="I285" i="139" s="1"/>
  <c r="AT411" i="651"/>
  <c r="AT385" i="651"/>
  <c r="AI387" i="651"/>
  <c r="AI131" i="651"/>
  <c r="AS421" i="651"/>
  <c r="AL382" i="651"/>
  <c r="AT400" i="651"/>
  <c r="AI402" i="651"/>
  <c r="AI146" i="651"/>
  <c r="AJ136" i="651"/>
  <c r="AJ138" i="651" s="1"/>
  <c r="AJ392" i="651"/>
  <c r="AJ421" i="651"/>
  <c r="AS143" i="651"/>
  <c r="AS141" i="651"/>
  <c r="H269" i="139" s="1"/>
  <c r="H271" i="139" s="1"/>
  <c r="AS136" i="651"/>
  <c r="H264" i="139" s="1"/>
  <c r="Z163" i="651"/>
  <c r="AS156" i="651"/>
  <c r="H284" i="139" s="1"/>
  <c r="AK163" i="651"/>
  <c r="AT401" i="651"/>
  <c r="AI147" i="651"/>
  <c r="AT147" i="651" s="1"/>
  <c r="I275" i="139" s="1"/>
  <c r="AR166" i="651"/>
  <c r="AL420" i="651"/>
  <c r="AS146" i="651"/>
  <c r="H274" i="139" s="1"/>
  <c r="AS131" i="651"/>
  <c r="H259" i="139" s="1"/>
  <c r="H261" i="139" s="1"/>
  <c r="AS133" i="651"/>
  <c r="AJ161" i="651"/>
  <c r="AJ420" i="651"/>
  <c r="AJ417" i="651"/>
  <c r="AJ126" i="651"/>
  <c r="AJ128" i="651" s="1"/>
  <c r="AJ382" i="651"/>
  <c r="AK121" i="651"/>
  <c r="AK123" i="651" s="1"/>
  <c r="AK377" i="651"/>
  <c r="H281" i="139" l="1"/>
  <c r="AT407" i="651"/>
  <c r="H286" i="139"/>
  <c r="AT387" i="651"/>
  <c r="H251" i="139"/>
  <c r="H295" i="139"/>
  <c r="H276" i="139"/>
  <c r="H266" i="139"/>
  <c r="AS158" i="651"/>
  <c r="AS148" i="651"/>
  <c r="AK423" i="651"/>
  <c r="AK169" i="651"/>
  <c r="AI138" i="651"/>
  <c r="AT138" i="651" s="1"/>
  <c r="AK166" i="651"/>
  <c r="AS138" i="651"/>
  <c r="AL423" i="651"/>
  <c r="AT402" i="651"/>
  <c r="AS153" i="651"/>
  <c r="AT417" i="651"/>
  <c r="AT420" i="651"/>
  <c r="AS166" i="651"/>
  <c r="AT136" i="651"/>
  <c r="I264" i="139" s="1"/>
  <c r="I266" i="139" s="1"/>
  <c r="Z169" i="651"/>
  <c r="AT412" i="651"/>
  <c r="AT121" i="651"/>
  <c r="I249" i="139" s="1"/>
  <c r="AI123" i="651"/>
  <c r="AL158" i="651"/>
  <c r="AL166" i="651"/>
  <c r="AR169" i="651"/>
  <c r="AT146" i="651"/>
  <c r="I274" i="139" s="1"/>
  <c r="I276" i="139" s="1"/>
  <c r="AI148" i="651"/>
  <c r="AT148" i="651" s="1"/>
  <c r="AT377" i="651"/>
  <c r="AI423" i="651"/>
  <c r="AS423" i="651"/>
  <c r="AS128" i="651"/>
  <c r="AT122" i="651"/>
  <c r="I250" i="139" s="1"/>
  <c r="AJ166" i="651"/>
  <c r="AJ163" i="651"/>
  <c r="AT163" i="651" s="1"/>
  <c r="I291" i="139" s="1"/>
  <c r="AT421" i="651"/>
  <c r="AT392" i="651"/>
  <c r="AL153" i="651"/>
  <c r="AT153" i="651" s="1"/>
  <c r="AT151" i="651"/>
  <c r="I279" i="139" s="1"/>
  <c r="I281" i="139" s="1"/>
  <c r="AT382" i="651"/>
  <c r="AT156" i="651"/>
  <c r="I284" i="139" s="1"/>
  <c r="I286" i="139" s="1"/>
  <c r="AI158" i="651"/>
  <c r="AT131" i="651"/>
  <c r="I259" i="139" s="1"/>
  <c r="I261" i="139" s="1"/>
  <c r="AI133" i="651"/>
  <c r="AT133" i="651" s="1"/>
  <c r="AT161" i="651"/>
  <c r="AT162" i="651"/>
  <c r="I290" i="139" s="1"/>
  <c r="AI167" i="651"/>
  <c r="AT397" i="651"/>
  <c r="AT126" i="651"/>
  <c r="I254" i="139" s="1"/>
  <c r="I256" i="139" s="1"/>
  <c r="AI128" i="651"/>
  <c r="AT128" i="651" s="1"/>
  <c r="AI166" i="651"/>
  <c r="AT141" i="651"/>
  <c r="I269" i="139" s="1"/>
  <c r="I271" i="139" s="1"/>
  <c r="AI143" i="651"/>
  <c r="AT143" i="651" s="1"/>
  <c r="AS167" i="651"/>
  <c r="AJ423" i="651"/>
  <c r="AS123" i="651"/>
  <c r="AS163" i="651"/>
  <c r="H291" i="139" s="1"/>
  <c r="H296" i="139" s="1"/>
  <c r="AJ167" i="651"/>
  <c r="I296" i="139" l="1"/>
  <c r="H292" i="139"/>
  <c r="H298" i="139"/>
  <c r="I292" i="139"/>
  <c r="I295" i="139"/>
  <c r="I251" i="139"/>
  <c r="AT158" i="651"/>
  <c r="AT167" i="651"/>
  <c r="AT166" i="651"/>
  <c r="AL169" i="651"/>
  <c r="AJ169" i="651"/>
  <c r="AI169" i="651"/>
  <c r="AT123" i="651"/>
  <c r="AS169" i="651"/>
  <c r="AT423" i="651"/>
  <c r="I298" i="139" l="1"/>
  <c r="AT169" i="651"/>
  <c r="H180" i="651"/>
  <c r="AR439" i="651"/>
  <c r="M180" i="651"/>
  <c r="K190" i="651"/>
  <c r="K180" i="651"/>
  <c r="AR434" i="651"/>
  <c r="AR444" i="651"/>
  <c r="J180" i="651"/>
  <c r="G185" i="651"/>
  <c r="J189" i="651"/>
  <c r="G180" i="651"/>
  <c r="G190" i="651"/>
  <c r="L184" i="651"/>
  <c r="L186" i="651" s="1"/>
  <c r="M190" i="651"/>
  <c r="AR428" i="651"/>
  <c r="H190" i="651"/>
  <c r="L179" i="651"/>
  <c r="L181" i="651" s="1"/>
  <c r="AR438" i="651"/>
  <c r="M185" i="651"/>
  <c r="H184" i="651"/>
  <c r="AR429" i="651"/>
  <c r="J175" i="651"/>
  <c r="G508" i="651"/>
  <c r="H185" i="651"/>
  <c r="J190" i="651"/>
  <c r="AR443" i="651"/>
  <c r="Z439" i="651"/>
  <c r="Z185" i="651" s="1"/>
  <c r="M179" i="651"/>
  <c r="J185" i="651"/>
  <c r="H175" i="651"/>
  <c r="AR433" i="651"/>
  <c r="K184" i="651"/>
  <c r="Z443" i="651"/>
  <c r="K175" i="651"/>
  <c r="Z429" i="651"/>
  <c r="Z175" i="651" s="1"/>
  <c r="H189" i="651"/>
  <c r="M184" i="651"/>
  <c r="AI434" i="651"/>
  <c r="AI180" i="651" s="1"/>
  <c r="J179" i="651"/>
  <c r="K179" i="651"/>
  <c r="AJ439" i="651"/>
  <c r="AJ185" i="651" s="1"/>
  <c r="K185" i="651"/>
  <c r="M189" i="651"/>
  <c r="G184" i="651"/>
  <c r="J184" i="651"/>
  <c r="M175" i="651"/>
  <c r="G174" i="651"/>
  <c r="G179" i="651"/>
  <c r="J174" i="651"/>
  <c r="L189" i="651"/>
  <c r="L191" i="651" s="1"/>
  <c r="K189" i="651"/>
  <c r="H179" i="651"/>
  <c r="G189" i="651"/>
  <c r="K174" i="651"/>
  <c r="Z438" i="651"/>
  <c r="Z434" i="651"/>
  <c r="G175" i="651"/>
  <c r="M174" i="651"/>
  <c r="AR435" i="651"/>
  <c r="AJ433" i="651"/>
  <c r="AJ179" i="651" s="1"/>
  <c r="Z433" i="651"/>
  <c r="AL433" i="651" s="1"/>
  <c r="Z428" i="651"/>
  <c r="Z174" i="651" s="1"/>
  <c r="Z444" i="651"/>
  <c r="Z190" i="651" s="1"/>
  <c r="H174" i="651"/>
  <c r="L174" i="651"/>
  <c r="AR430" i="651"/>
  <c r="AR445" i="651"/>
  <c r="AR440" i="651"/>
  <c r="AJ438" i="651"/>
  <c r="J181" i="651" l="1"/>
  <c r="M191" i="651"/>
  <c r="M181" i="651"/>
  <c r="M176" i="651"/>
  <c r="H181" i="651"/>
  <c r="J176" i="651"/>
  <c r="AR448" i="651"/>
  <c r="M186" i="651"/>
  <c r="AK428" i="651"/>
  <c r="AK430" i="651" s="1"/>
  <c r="AI428" i="651"/>
  <c r="AI174" i="651" s="1"/>
  <c r="AK433" i="651"/>
  <c r="AK179" i="651" s="1"/>
  <c r="AK181" i="651" s="1"/>
  <c r="Z179" i="651"/>
  <c r="AL439" i="651"/>
  <c r="AL185" i="651" s="1"/>
  <c r="AK438" i="651"/>
  <c r="AI429" i="651"/>
  <c r="AI175" i="651" s="1"/>
  <c r="AL429" i="651"/>
  <c r="AL175" i="651" s="1"/>
  <c r="K195" i="651"/>
  <c r="K191" i="651"/>
  <c r="J195" i="651"/>
  <c r="K194" i="651"/>
  <c r="M195" i="651"/>
  <c r="J186" i="651"/>
  <c r="K181" i="651"/>
  <c r="H191" i="651"/>
  <c r="M194" i="651"/>
  <c r="AJ443" i="651"/>
  <c r="AJ189" i="651" s="1"/>
  <c r="J194" i="651"/>
  <c r="AR185" i="651"/>
  <c r="H186" i="651"/>
  <c r="H194" i="651"/>
  <c r="K176" i="651"/>
  <c r="K186" i="651"/>
  <c r="AL444" i="651"/>
  <c r="AL190" i="651" s="1"/>
  <c r="AJ434" i="651"/>
  <c r="AJ180" i="651" s="1"/>
  <c r="AJ181" i="651" s="1"/>
  <c r="Z430" i="651"/>
  <c r="Z448" i="651"/>
  <c r="AL428" i="651"/>
  <c r="AS443" i="651"/>
  <c r="AI443" i="651"/>
  <c r="AJ444" i="651"/>
  <c r="AK443" i="651"/>
  <c r="AJ428" i="651"/>
  <c r="L194" i="651"/>
  <c r="L176" i="651"/>
  <c r="L197" i="651" s="1"/>
  <c r="H176" i="651"/>
  <c r="G181" i="651"/>
  <c r="AR180" i="651"/>
  <c r="Z176" i="651"/>
  <c r="AS444" i="651"/>
  <c r="AJ440" i="651"/>
  <c r="AJ184" i="651"/>
  <c r="AJ186" i="651" s="1"/>
  <c r="AI444" i="651"/>
  <c r="G186" i="651"/>
  <c r="AR184" i="651"/>
  <c r="AS438" i="651"/>
  <c r="AI438" i="651"/>
  <c r="AL443" i="651"/>
  <c r="Z189" i="651"/>
  <c r="Z191" i="651" s="1"/>
  <c r="Z445" i="651"/>
  <c r="Z435" i="651"/>
  <c r="AJ429" i="651"/>
  <c r="AS434" i="651"/>
  <c r="AL438" i="651"/>
  <c r="Z440" i="651"/>
  <c r="Z184" i="651"/>
  <c r="Z186" i="651" s="1"/>
  <c r="AR174" i="651"/>
  <c r="G194" i="651"/>
  <c r="G176" i="651"/>
  <c r="AS175" i="651"/>
  <c r="H304" i="139" s="1"/>
  <c r="AR190" i="651"/>
  <c r="G191" i="651"/>
  <c r="AS428" i="651"/>
  <c r="AL179" i="651"/>
  <c r="Z180" i="651"/>
  <c r="Z195" i="651" s="1"/>
  <c r="AL434" i="651"/>
  <c r="AL435" i="651" s="1"/>
  <c r="Z449" i="651"/>
  <c r="AS439" i="651"/>
  <c r="AI439" i="651"/>
  <c r="AS174" i="651"/>
  <c r="H303" i="139" s="1"/>
  <c r="AR175" i="651"/>
  <c r="G195" i="651"/>
  <c r="AR451" i="651"/>
  <c r="AS433" i="651"/>
  <c r="AI433" i="651"/>
  <c r="J191" i="651"/>
  <c r="AS429" i="651"/>
  <c r="AR189" i="651"/>
  <c r="AR179" i="651"/>
  <c r="AR449" i="651"/>
  <c r="H195" i="651"/>
  <c r="M197" i="651" l="1"/>
  <c r="AK174" i="651"/>
  <c r="AK176" i="651" s="1"/>
  <c r="AK435" i="651"/>
  <c r="H305" i="139"/>
  <c r="AI430" i="651"/>
  <c r="AS445" i="651"/>
  <c r="AS185" i="651"/>
  <c r="H314" i="139" s="1"/>
  <c r="AT428" i="651"/>
  <c r="AK184" i="651"/>
  <c r="AK186" i="651" s="1"/>
  <c r="AK440" i="651"/>
  <c r="J197" i="651"/>
  <c r="H197" i="651"/>
  <c r="K197" i="651"/>
  <c r="AR186" i="651"/>
  <c r="AR181" i="651"/>
  <c r="AS190" i="651"/>
  <c r="H319" i="139" s="1"/>
  <c r="AR195" i="651"/>
  <c r="AS435" i="651"/>
  <c r="AR194" i="651"/>
  <c r="AS180" i="651"/>
  <c r="H309" i="139" s="1"/>
  <c r="AT434" i="651"/>
  <c r="AS449" i="651"/>
  <c r="AJ435" i="651"/>
  <c r="AT443" i="651"/>
  <c r="AI445" i="651"/>
  <c r="AI189" i="651"/>
  <c r="AT439" i="651"/>
  <c r="AI185" i="651"/>
  <c r="AT185" i="651" s="1"/>
  <c r="I314" i="139" s="1"/>
  <c r="Z181" i="651"/>
  <c r="Z197" i="651" s="1"/>
  <c r="AI449" i="651"/>
  <c r="AT433" i="651"/>
  <c r="AI435" i="651"/>
  <c r="AI179" i="651"/>
  <c r="AL189" i="651"/>
  <c r="AL191" i="651" s="1"/>
  <c r="AL445" i="651"/>
  <c r="Z451" i="651"/>
  <c r="AJ190" i="651"/>
  <c r="AJ191" i="651" s="1"/>
  <c r="AJ445" i="651"/>
  <c r="AR176" i="651"/>
  <c r="G197" i="651"/>
  <c r="AI176" i="651"/>
  <c r="AK189" i="651"/>
  <c r="AK191" i="651" s="1"/>
  <c r="AK445" i="651"/>
  <c r="AJ449" i="651"/>
  <c r="AJ175" i="651"/>
  <c r="AT429" i="651"/>
  <c r="AR191" i="651"/>
  <c r="AS440" i="651"/>
  <c r="AI184" i="651"/>
  <c r="AI440" i="651"/>
  <c r="AT438" i="651"/>
  <c r="AT444" i="651"/>
  <c r="AI190" i="651"/>
  <c r="Z194" i="651"/>
  <c r="AS430" i="651"/>
  <c r="AL174" i="651"/>
  <c r="AL430" i="651"/>
  <c r="AL448" i="651"/>
  <c r="AS179" i="651"/>
  <c r="H308" i="139" s="1"/>
  <c r="AK448" i="651"/>
  <c r="AS448" i="651"/>
  <c r="AL180" i="651"/>
  <c r="AL181" i="651" s="1"/>
  <c r="AL449" i="651"/>
  <c r="AL184" i="651"/>
  <c r="AL186" i="651" s="1"/>
  <c r="AL440" i="651"/>
  <c r="AI448" i="651"/>
  <c r="AS184" i="651"/>
  <c r="H313" i="139" s="1"/>
  <c r="AJ174" i="651"/>
  <c r="AJ448" i="651"/>
  <c r="AJ430" i="651"/>
  <c r="AS189" i="651"/>
  <c r="H318" i="139" s="1"/>
  <c r="AS191" i="651"/>
  <c r="H320" i="139" l="1"/>
  <c r="AS195" i="651"/>
  <c r="AT174" i="651"/>
  <c r="I303" i="139" s="1"/>
  <c r="AT430" i="651"/>
  <c r="H315" i="139"/>
  <c r="H324" i="139"/>
  <c r="H310" i="139"/>
  <c r="H323" i="139"/>
  <c r="AK451" i="651"/>
  <c r="AT440" i="651"/>
  <c r="AI194" i="651"/>
  <c r="AS186" i="651"/>
  <c r="AT449" i="651"/>
  <c r="AT190" i="651"/>
  <c r="I319" i="139" s="1"/>
  <c r="AL451" i="651"/>
  <c r="AT435" i="651"/>
  <c r="AS181" i="651"/>
  <c r="AJ176" i="651"/>
  <c r="AJ197" i="651" s="1"/>
  <c r="AJ194" i="651"/>
  <c r="AJ195" i="651"/>
  <c r="AR197" i="651"/>
  <c r="AI195" i="651"/>
  <c r="AS451" i="651"/>
  <c r="AI186" i="651"/>
  <c r="AT186" i="651" s="1"/>
  <c r="AT184" i="651"/>
  <c r="I313" i="139" s="1"/>
  <c r="I315" i="139" s="1"/>
  <c r="AT175" i="651"/>
  <c r="I304" i="139" s="1"/>
  <c r="AT445" i="651"/>
  <c r="AJ451" i="651"/>
  <c r="AT179" i="651"/>
  <c r="I308" i="139" s="1"/>
  <c r="AI181" i="651"/>
  <c r="AT181" i="651" s="1"/>
  <c r="AL176" i="651"/>
  <c r="AL197" i="651" s="1"/>
  <c r="AL194" i="651"/>
  <c r="AS176" i="651"/>
  <c r="AT189" i="651"/>
  <c r="I318" i="139" s="1"/>
  <c r="AI191" i="651"/>
  <c r="AT191" i="651" s="1"/>
  <c r="AT448" i="651"/>
  <c r="AS194" i="651"/>
  <c r="AK194" i="651"/>
  <c r="AL195" i="651"/>
  <c r="AT180" i="651"/>
  <c r="I309" i="139" s="1"/>
  <c r="AI451" i="651"/>
  <c r="AK197" i="651"/>
  <c r="H326" i="139" l="1"/>
  <c r="I320" i="139"/>
  <c r="I324" i="139"/>
  <c r="I310" i="139"/>
  <c r="I305" i="139"/>
  <c r="I323" i="139"/>
  <c r="AT194" i="651"/>
  <c r="AI197" i="651"/>
  <c r="AT197" i="651" s="1"/>
  <c r="AT176" i="651"/>
  <c r="AS197" i="651"/>
  <c r="AT451" i="651"/>
  <c r="AT195" i="651"/>
  <c r="AR489" i="651"/>
  <c r="K235" i="651"/>
  <c r="J243" i="651"/>
  <c r="K507" i="651"/>
  <c r="AR464" i="651"/>
  <c r="J506" i="651"/>
  <c r="AR497" i="651"/>
  <c r="M234" i="651"/>
  <c r="M235" i="651"/>
  <c r="H211" i="651"/>
  <c r="H207" i="651"/>
  <c r="AR476" i="651"/>
  <c r="L238" i="651"/>
  <c r="L240" i="651" s="1"/>
  <c r="K203" i="651"/>
  <c r="H231" i="651"/>
  <c r="AR472" i="651"/>
  <c r="AR480" i="651"/>
  <c r="AR457" i="651"/>
  <c r="AR485" i="651"/>
  <c r="AR481" i="651"/>
  <c r="G210" i="651"/>
  <c r="H507" i="651"/>
  <c r="AR488" i="651"/>
  <c r="H219" i="651"/>
  <c r="M215" i="651"/>
  <c r="G231" i="651"/>
  <c r="J246" i="651"/>
  <c r="AR465" i="651"/>
  <c r="Z477" i="651"/>
  <c r="AL477" i="651" s="1"/>
  <c r="AL223" i="651" s="1"/>
  <c r="K207" i="651"/>
  <c r="M231" i="651"/>
  <c r="H246" i="651"/>
  <c r="H506" i="651"/>
  <c r="L228" i="651"/>
  <c r="G211" i="651"/>
  <c r="J239" i="651"/>
  <c r="K243" i="651"/>
  <c r="M243" i="651"/>
  <c r="M211" i="651"/>
  <c r="M507" i="651"/>
  <c r="K247" i="651"/>
  <c r="Z489" i="651"/>
  <c r="M247" i="651"/>
  <c r="AR461" i="651"/>
  <c r="J203" i="651"/>
  <c r="AR477" i="651"/>
  <c r="K231" i="651"/>
  <c r="K219" i="651"/>
  <c r="J238" i="651"/>
  <c r="K234" i="651"/>
  <c r="AJ493" i="651"/>
  <c r="AJ239" i="651" s="1"/>
  <c r="K239" i="651"/>
  <c r="G243" i="651"/>
  <c r="L214" i="651"/>
  <c r="L216" i="651" s="1"/>
  <c r="J231" i="651"/>
  <c r="K218" i="651"/>
  <c r="L210" i="651"/>
  <c r="L212" i="651" s="1"/>
  <c r="Z461" i="651"/>
  <c r="Z207" i="651" s="1"/>
  <c r="M207" i="651"/>
  <c r="K211" i="651"/>
  <c r="J235" i="651"/>
  <c r="Z465" i="651"/>
  <c r="AL465" i="651" s="1"/>
  <c r="AL211" i="651" s="1"/>
  <c r="M505" i="651"/>
  <c r="M508" i="651" s="1"/>
  <c r="M242" i="651"/>
  <c r="K215" i="651"/>
  <c r="G506" i="651"/>
  <c r="AR500" i="651"/>
  <c r="AR460" i="651"/>
  <c r="M506" i="651"/>
  <c r="AR469" i="651"/>
  <c r="G215" i="651"/>
  <c r="J234" i="651"/>
  <c r="H505" i="651"/>
  <c r="H508" i="651" s="1"/>
  <c r="AR492" i="651"/>
  <c r="G238" i="651"/>
  <c r="L506" i="651"/>
  <c r="L246" i="651"/>
  <c r="H239" i="651"/>
  <c r="AJ469" i="651"/>
  <c r="AJ215" i="651" s="1"/>
  <c r="J206" i="651"/>
  <c r="M214" i="651"/>
  <c r="J219" i="651"/>
  <c r="M239" i="651"/>
  <c r="AR493" i="651"/>
  <c r="J207" i="651"/>
  <c r="Z496" i="651"/>
  <c r="AL496" i="651" s="1"/>
  <c r="K506" i="651"/>
  <c r="K246" i="651"/>
  <c r="J218" i="651"/>
  <c r="H235" i="651"/>
  <c r="AR456" i="651"/>
  <c r="M206" i="651"/>
  <c r="L206" i="651"/>
  <c r="L208" i="651" s="1"/>
  <c r="K214" i="651"/>
  <c r="J507" i="651"/>
  <c r="Z497" i="651"/>
  <c r="AL497" i="651" s="1"/>
  <c r="AL243" i="651" s="1"/>
  <c r="Z468" i="651"/>
  <c r="AL468" i="651" s="1"/>
  <c r="G203" i="651"/>
  <c r="Z476" i="651"/>
  <c r="G219" i="651"/>
  <c r="AR473" i="651"/>
  <c r="J230" i="651"/>
  <c r="H210" i="651"/>
  <c r="L218" i="651"/>
  <c r="L220" i="651" s="1"/>
  <c r="AJ501" i="651"/>
  <c r="AJ247" i="651" s="1"/>
  <c r="G234" i="651"/>
  <c r="M238" i="651"/>
  <c r="G202" i="651"/>
  <c r="M219" i="651"/>
  <c r="K238" i="651"/>
  <c r="L505" i="651"/>
  <c r="L508" i="651" s="1"/>
  <c r="Z457" i="651"/>
  <c r="AL457" i="651" s="1"/>
  <c r="AL203" i="651" s="1"/>
  <c r="M203" i="651"/>
  <c r="H238" i="651"/>
  <c r="K210" i="651"/>
  <c r="M210" i="651"/>
  <c r="Z464" i="651"/>
  <c r="L242" i="651"/>
  <c r="L244" i="651" s="1"/>
  <c r="Z493" i="651"/>
  <c r="Z239" i="651" s="1"/>
  <c r="G247" i="651"/>
  <c r="AR501" i="651"/>
  <c r="G239" i="651"/>
  <c r="L202" i="651"/>
  <c r="L204" i="651" s="1"/>
  <c r="Z485" i="651"/>
  <c r="Z231" i="651" s="1"/>
  <c r="M246" i="651"/>
  <c r="Z460" i="651"/>
  <c r="Z206" i="651" s="1"/>
  <c r="AR468" i="651"/>
  <c r="Z473" i="651"/>
  <c r="AL473" i="651" s="1"/>
  <c r="AL219" i="651" s="1"/>
  <c r="Z501" i="651"/>
  <c r="AL501" i="651" s="1"/>
  <c r="AL247" i="651" s="1"/>
  <c r="L224" i="651"/>
  <c r="K505" i="651"/>
  <c r="K508" i="651" s="1"/>
  <c r="G214" i="651"/>
  <c r="Z481" i="651"/>
  <c r="Z227" i="651" s="1"/>
  <c r="H230" i="651"/>
  <c r="J242" i="651"/>
  <c r="Z488" i="651"/>
  <c r="Z234" i="651" s="1"/>
  <c r="Z469" i="651"/>
  <c r="AL469" i="651" s="1"/>
  <c r="AL215" i="651" s="1"/>
  <c r="J211" i="651"/>
  <c r="Z492" i="651"/>
  <c r="L234" i="651"/>
  <c r="L236" i="651" s="1"/>
  <c r="J202" i="651"/>
  <c r="H202" i="651"/>
  <c r="J215" i="651"/>
  <c r="G507" i="651"/>
  <c r="Z500" i="651"/>
  <c r="J214" i="651"/>
  <c r="L230" i="651"/>
  <c r="L232" i="651" s="1"/>
  <c r="M230" i="651"/>
  <c r="H214" i="651"/>
  <c r="AI477" i="651"/>
  <c r="H206" i="651"/>
  <c r="Z472" i="651"/>
  <c r="M218" i="651"/>
  <c r="J505" i="651"/>
  <c r="J508" i="651" s="1"/>
  <c r="H203" i="651"/>
  <c r="H243" i="651"/>
  <c r="G207" i="651"/>
  <c r="K242" i="651"/>
  <c r="K244" i="651" s="1"/>
  <c r="K230" i="651"/>
  <c r="K206" i="651"/>
  <c r="Z456" i="651"/>
  <c r="G206" i="651"/>
  <c r="J210" i="651"/>
  <c r="K202" i="651"/>
  <c r="H247" i="651"/>
  <c r="AI469" i="651"/>
  <c r="AI489" i="651"/>
  <c r="AI235" i="651" s="1"/>
  <c r="J247" i="651"/>
  <c r="G218" i="651"/>
  <c r="AI465" i="651"/>
  <c r="AI497" i="651"/>
  <c r="G246" i="651"/>
  <c r="AI500" i="651"/>
  <c r="G235" i="651"/>
  <c r="G230" i="651"/>
  <c r="AR484" i="651"/>
  <c r="H215" i="651"/>
  <c r="M202" i="651"/>
  <c r="AJ500" i="651"/>
  <c r="AR502" i="651"/>
  <c r="H234" i="651"/>
  <c r="AR496" i="651"/>
  <c r="AR490" i="651"/>
  <c r="AK488" i="651"/>
  <c r="AK490" i="651" s="1"/>
  <c r="AR470" i="651"/>
  <c r="AK468" i="651"/>
  <c r="AR466" i="651"/>
  <c r="AI484" i="651"/>
  <c r="Z484" i="651"/>
  <c r="Z230" i="651" s="1"/>
  <c r="G242" i="651"/>
  <c r="H218" i="651"/>
  <c r="H242" i="651"/>
  <c r="AR462" i="651"/>
  <c r="AK484" i="651"/>
  <c r="AK486" i="651" s="1"/>
  <c r="AR486" i="651"/>
  <c r="AR474" i="651"/>
  <c r="Z480" i="651"/>
  <c r="AL480" i="651" s="1"/>
  <c r="AR494" i="651"/>
  <c r="AR482" i="651"/>
  <c r="AR458" i="651"/>
  <c r="AR478" i="651"/>
  <c r="AK476" i="651"/>
  <c r="AR498" i="651"/>
  <c r="AK496" i="651"/>
  <c r="G212" i="651" l="1"/>
  <c r="J220" i="651"/>
  <c r="H244" i="651"/>
  <c r="J232" i="651"/>
  <c r="K232" i="651"/>
  <c r="M220" i="651"/>
  <c r="M216" i="651"/>
  <c r="H228" i="651"/>
  <c r="AR223" i="651"/>
  <c r="M240" i="651"/>
  <c r="M208" i="651"/>
  <c r="I326" i="139"/>
  <c r="Z478" i="651"/>
  <c r="AJ480" i="651"/>
  <c r="AJ226" i="651" s="1"/>
  <c r="AI485" i="651"/>
  <c r="AI231" i="651" s="1"/>
  <c r="AK456" i="651"/>
  <c r="AK202" i="651" s="1"/>
  <c r="AK204" i="651" s="1"/>
  <c r="AR506" i="651"/>
  <c r="AS493" i="651"/>
  <c r="AK500" i="651"/>
  <c r="AK246" i="651" s="1"/>
  <c r="AK248" i="651" s="1"/>
  <c r="AJ497" i="651"/>
  <c r="AJ243" i="651" s="1"/>
  <c r="AL460" i="651"/>
  <c r="AL206" i="651" s="1"/>
  <c r="AJ473" i="651"/>
  <c r="AJ219" i="651" s="1"/>
  <c r="AL493" i="651"/>
  <c r="AL239" i="651" s="1"/>
  <c r="Z226" i="651"/>
  <c r="Z228" i="651" s="1"/>
  <c r="AL476" i="651"/>
  <c r="AL222" i="651" s="1"/>
  <c r="AL224" i="651" s="1"/>
  <c r="AJ481" i="651"/>
  <c r="AJ456" i="651"/>
  <c r="AJ202" i="651" s="1"/>
  <c r="Z232" i="651"/>
  <c r="M248" i="651"/>
  <c r="K216" i="651"/>
  <c r="AR231" i="651"/>
  <c r="J212" i="651"/>
  <c r="K228" i="651"/>
  <c r="J236" i="651"/>
  <c r="K224" i="651"/>
  <c r="K212" i="651"/>
  <c r="J216" i="651"/>
  <c r="J208" i="651"/>
  <c r="J240" i="651"/>
  <c r="J224" i="651"/>
  <c r="H220" i="651"/>
  <c r="M228" i="651"/>
  <c r="K208" i="651"/>
  <c r="K240" i="651"/>
  <c r="M224" i="651"/>
  <c r="AR226" i="651"/>
  <c r="J248" i="651"/>
  <c r="K204" i="651"/>
  <c r="H224" i="651"/>
  <c r="AR207" i="651"/>
  <c r="M232" i="651"/>
  <c r="J228" i="651"/>
  <c r="K220" i="651"/>
  <c r="AS227" i="651"/>
  <c r="H356" i="139" s="1"/>
  <c r="G216" i="651"/>
  <c r="AS473" i="651"/>
  <c r="Z223" i="651"/>
  <c r="AJ460" i="651"/>
  <c r="AR246" i="651"/>
  <c r="AL488" i="651"/>
  <c r="AL234" i="651" s="1"/>
  <c r="AR239" i="651"/>
  <c r="K236" i="651"/>
  <c r="Z203" i="651"/>
  <c r="AS203" i="651" s="1"/>
  <c r="H332" i="139" s="1"/>
  <c r="M244" i="651"/>
  <c r="Z482" i="651"/>
  <c r="AS497" i="651"/>
  <c r="AS469" i="651"/>
  <c r="AJ457" i="651"/>
  <c r="AJ203" i="651" s="1"/>
  <c r="G240" i="651"/>
  <c r="AJ461" i="651"/>
  <c r="AJ207" i="651" s="1"/>
  <c r="AI457" i="651"/>
  <c r="AI203" i="651" s="1"/>
  <c r="M236" i="651"/>
  <c r="Z462" i="651"/>
  <c r="AJ464" i="651"/>
  <c r="AJ210" i="651" s="1"/>
  <c r="AS472" i="651"/>
  <c r="AL481" i="651"/>
  <c r="AL227" i="651" s="1"/>
  <c r="H216" i="651"/>
  <c r="H208" i="651"/>
  <c r="AS485" i="651"/>
  <c r="H232" i="651"/>
  <c r="H240" i="651"/>
  <c r="AS477" i="651"/>
  <c r="AI493" i="651"/>
  <c r="AT469" i="651"/>
  <c r="G208" i="651"/>
  <c r="H204" i="651"/>
  <c r="M212" i="651"/>
  <c r="AJ485" i="651"/>
  <c r="AJ231" i="651" s="1"/>
  <c r="Z215" i="651"/>
  <c r="AJ477" i="651"/>
  <c r="AJ223" i="651" s="1"/>
  <c r="AR235" i="651"/>
  <c r="AR508" i="651"/>
  <c r="AK222" i="651"/>
  <c r="AK224" i="651" s="1"/>
  <c r="AK478" i="651"/>
  <c r="AK480" i="651"/>
  <c r="AS468" i="651"/>
  <c r="AI468" i="651"/>
  <c r="AI456" i="651"/>
  <c r="H253" i="651"/>
  <c r="Z246" i="651"/>
  <c r="Z506" i="651"/>
  <c r="AL500" i="651"/>
  <c r="M253" i="651"/>
  <c r="AK460" i="651"/>
  <c r="AJ488" i="651"/>
  <c r="AK234" i="651"/>
  <c r="AK236" i="651" s="1"/>
  <c r="AL472" i="651"/>
  <c r="Z218" i="651"/>
  <c r="Z474" i="651"/>
  <c r="AR227" i="651"/>
  <c r="AR203" i="651"/>
  <c r="G204" i="651"/>
  <c r="AL498" i="651"/>
  <c r="AL242" i="651"/>
  <c r="AL244" i="651" s="1"/>
  <c r="AS456" i="651"/>
  <c r="Z235" i="651"/>
  <c r="Z236" i="651" s="1"/>
  <c r="AL489" i="651"/>
  <c r="AL235" i="651" s="1"/>
  <c r="AR211" i="651"/>
  <c r="H212" i="651"/>
  <c r="AJ472" i="651"/>
  <c r="AK464" i="651"/>
  <c r="AI488" i="651"/>
  <c r="AS488" i="651"/>
  <c r="AL226" i="651"/>
  <c r="AK242" i="651"/>
  <c r="AK244" i="651" s="1"/>
  <c r="AK498" i="651"/>
  <c r="M204" i="651"/>
  <c r="J204" i="651"/>
  <c r="AR215" i="651"/>
  <c r="Z502" i="651"/>
  <c r="AJ468" i="651"/>
  <c r="AS501" i="651"/>
  <c r="AI501" i="651"/>
  <c r="AI243" i="651"/>
  <c r="AI481" i="651"/>
  <c r="AS481" i="651"/>
  <c r="AK230" i="651"/>
  <c r="AK232" i="651" s="1"/>
  <c r="M252" i="651"/>
  <c r="AI215" i="651"/>
  <c r="AT215" i="651" s="1"/>
  <c r="I344" i="139" s="1"/>
  <c r="AJ484" i="651"/>
  <c r="AJ246" i="651"/>
  <c r="AJ502" i="651"/>
  <c r="Z210" i="651"/>
  <c r="AL464" i="651"/>
  <c r="Z466" i="651"/>
  <c r="AR202" i="651"/>
  <c r="AR505" i="651"/>
  <c r="AS231" i="651"/>
  <c r="H360" i="139" s="1"/>
  <c r="AS489" i="651"/>
  <c r="AK492" i="651"/>
  <c r="G248" i="651"/>
  <c r="G252" i="651"/>
  <c r="AR234" i="651"/>
  <c r="G236" i="651"/>
  <c r="AJ465" i="651"/>
  <c r="AT465" i="651" s="1"/>
  <c r="AK214" i="651"/>
  <c r="AK216" i="651" s="1"/>
  <c r="AK470" i="651"/>
  <c r="AI472" i="651"/>
  <c r="K252" i="651"/>
  <c r="AR218" i="651"/>
  <c r="G220" i="651"/>
  <c r="Z238" i="651"/>
  <c r="Z240" i="651" s="1"/>
  <c r="Z494" i="651"/>
  <c r="AL492" i="651"/>
  <c r="G253" i="651"/>
  <c r="AR247" i="651"/>
  <c r="AI480" i="651"/>
  <c r="AS480" i="651"/>
  <c r="AR242" i="651"/>
  <c r="G244" i="651"/>
  <c r="H252" i="651"/>
  <c r="AJ489" i="651"/>
  <c r="AJ235" i="651" s="1"/>
  <c r="J244" i="651"/>
  <c r="J253" i="651"/>
  <c r="AR230" i="651"/>
  <c r="G232" i="651"/>
  <c r="Z470" i="651"/>
  <c r="AS461" i="651"/>
  <c r="AI461" i="651"/>
  <c r="AJ476" i="651"/>
  <c r="AS464" i="651"/>
  <c r="Z458" i="651"/>
  <c r="Z202" i="651"/>
  <c r="AS476" i="651"/>
  <c r="K248" i="651"/>
  <c r="L252" i="651"/>
  <c r="G228" i="651"/>
  <c r="AS492" i="651"/>
  <c r="J252" i="651"/>
  <c r="AI230" i="651"/>
  <c r="AJ492" i="651"/>
  <c r="H236" i="651"/>
  <c r="AR206" i="651"/>
  <c r="AL456" i="651"/>
  <c r="AI473" i="651"/>
  <c r="AR219" i="651"/>
  <c r="AR210" i="651"/>
  <c r="AS484" i="651"/>
  <c r="AS496" i="651"/>
  <c r="G224" i="651"/>
  <c r="AK472" i="651"/>
  <c r="AI246" i="651"/>
  <c r="AI223" i="651"/>
  <c r="AR243" i="651"/>
  <c r="Z490" i="651"/>
  <c r="L248" i="651"/>
  <c r="L251" i="651" s="1"/>
  <c r="L254" i="651" s="1"/>
  <c r="Z486" i="651"/>
  <c r="H248" i="651"/>
  <c r="Z208" i="651"/>
  <c r="AL470" i="651"/>
  <c r="AL214" i="651"/>
  <c r="AL216" i="651" s="1"/>
  <c r="Z498" i="651"/>
  <c r="Z242" i="651"/>
  <c r="K253" i="651"/>
  <c r="AR238" i="651"/>
  <c r="AS207" i="651"/>
  <c r="H336" i="139" s="1"/>
  <c r="AL484" i="651"/>
  <c r="AJ496" i="651"/>
  <c r="AS500" i="651"/>
  <c r="AI496" i="651"/>
  <c r="AI464" i="651"/>
  <c r="AI476" i="651"/>
  <c r="Z507" i="651"/>
  <c r="AL485" i="651"/>
  <c r="AL231" i="651" s="1"/>
  <c r="Z243" i="651"/>
  <c r="AI211" i="651"/>
  <c r="AS465" i="651"/>
  <c r="AR507" i="651"/>
  <c r="AR214" i="651"/>
  <c r="AI492" i="651"/>
  <c r="Z211" i="651"/>
  <c r="Z247" i="651"/>
  <c r="AL461" i="651"/>
  <c r="AL207" i="651" s="1"/>
  <c r="AS457" i="651"/>
  <c r="Z222" i="651"/>
  <c r="AR222" i="651"/>
  <c r="Z214" i="651"/>
  <c r="Z219" i="651"/>
  <c r="AL236" i="651" l="1"/>
  <c r="AI486" i="651"/>
  <c r="AK458" i="651"/>
  <c r="AK502" i="651"/>
  <c r="AT500" i="651"/>
  <c r="AJ204" i="651"/>
  <c r="AT497" i="651"/>
  <c r="AL478" i="651"/>
  <c r="AL208" i="651"/>
  <c r="AT493" i="651"/>
  <c r="AT203" i="651"/>
  <c r="I332" i="139" s="1"/>
  <c r="AJ227" i="651"/>
  <c r="AJ228" i="651" s="1"/>
  <c r="AJ482" i="651"/>
  <c r="AT457" i="651"/>
  <c r="AT485" i="651"/>
  <c r="AS502" i="651"/>
  <c r="AT477" i="651"/>
  <c r="Z505" i="651"/>
  <c r="Z508" i="651" s="1"/>
  <c r="AI239" i="651"/>
  <c r="AT239" i="651" s="1"/>
  <c r="I368" i="139" s="1"/>
  <c r="AL490" i="651"/>
  <c r="Z244" i="651"/>
  <c r="AT231" i="651"/>
  <c r="I360" i="139" s="1"/>
  <c r="Z216" i="651"/>
  <c r="AR224" i="651"/>
  <c r="AR208" i="651"/>
  <c r="AT223" i="651"/>
  <c r="I352" i="139" s="1"/>
  <c r="AS223" i="651"/>
  <c r="H352" i="139" s="1"/>
  <c r="AT235" i="651"/>
  <c r="I364" i="139" s="1"/>
  <c r="AT243" i="651"/>
  <c r="I372" i="139" s="1"/>
  <c r="AR216" i="651"/>
  <c r="AR240" i="651"/>
  <c r="Z224" i="651"/>
  <c r="AS235" i="651"/>
  <c r="H364" i="139" s="1"/>
  <c r="AS239" i="651"/>
  <c r="H368" i="139" s="1"/>
  <c r="AR220" i="651"/>
  <c r="AS215" i="651"/>
  <c r="H344" i="139" s="1"/>
  <c r="AS246" i="651"/>
  <c r="H375" i="139" s="1"/>
  <c r="AR228" i="651"/>
  <c r="J251" i="651"/>
  <c r="J254" i="651" s="1"/>
  <c r="AS211" i="651"/>
  <c r="H340" i="139" s="1"/>
  <c r="K251" i="651"/>
  <c r="K254" i="651" s="1"/>
  <c r="AJ206" i="651"/>
  <c r="AJ208" i="651" s="1"/>
  <c r="AJ462" i="651"/>
  <c r="M251" i="651"/>
  <c r="M254" i="651" s="1"/>
  <c r="H251" i="651"/>
  <c r="H254" i="651" s="1"/>
  <c r="AS240" i="651"/>
  <c r="AS202" i="651"/>
  <c r="H331" i="139" s="1"/>
  <c r="AJ458" i="651"/>
  <c r="AR232" i="651"/>
  <c r="AS498" i="651"/>
  <c r="Z220" i="651"/>
  <c r="AS507" i="651"/>
  <c r="AS219" i="651"/>
  <c r="H348" i="139" s="1"/>
  <c r="AR212" i="651"/>
  <c r="AL482" i="651"/>
  <c r="AS243" i="651"/>
  <c r="H372" i="139" s="1"/>
  <c r="AL462" i="651"/>
  <c r="AS494" i="651"/>
  <c r="AL228" i="651"/>
  <c r="AS470" i="651"/>
  <c r="AJ230" i="651"/>
  <c r="AJ232" i="651" s="1"/>
  <c r="AJ486" i="651"/>
  <c r="AK462" i="651"/>
  <c r="AK206" i="651"/>
  <c r="AJ242" i="651"/>
  <c r="AJ244" i="651" s="1"/>
  <c r="AJ498" i="651"/>
  <c r="AJ222" i="651"/>
  <c r="AJ224" i="651" s="1"/>
  <c r="AJ478" i="651"/>
  <c r="AI218" i="651"/>
  <c r="AT472" i="651"/>
  <c r="AI474" i="651"/>
  <c r="AI222" i="651"/>
  <c r="AI478" i="651"/>
  <c r="AT476" i="651"/>
  <c r="AK218" i="651"/>
  <c r="AK220" i="651" s="1"/>
  <c r="AK474" i="651"/>
  <c r="AT484" i="651"/>
  <c r="AS482" i="651"/>
  <c r="AL494" i="651"/>
  <c r="AL238" i="651"/>
  <c r="AL240" i="651" s="1"/>
  <c r="AJ248" i="651"/>
  <c r="AK466" i="651"/>
  <c r="AK210" i="651"/>
  <c r="AK212" i="651" s="1"/>
  <c r="AL253" i="651"/>
  <c r="AL202" i="651"/>
  <c r="AL458" i="651"/>
  <c r="AR252" i="651"/>
  <c r="AT464" i="651"/>
  <c r="AI210" i="651"/>
  <c r="AI466" i="651"/>
  <c r="AI242" i="651"/>
  <c r="AI498" i="651"/>
  <c r="AT496" i="651"/>
  <c r="AS462" i="651"/>
  <c r="AT480" i="651"/>
  <c r="AI482" i="651"/>
  <c r="AI226" i="651"/>
  <c r="AS218" i="651"/>
  <c r="H347" i="139" s="1"/>
  <c r="AK494" i="651"/>
  <c r="AK238" i="651"/>
  <c r="AL466" i="651"/>
  <c r="AL210" i="651"/>
  <c r="AL212" i="651" s="1"/>
  <c r="AI247" i="651"/>
  <c r="AI248" i="651" s="1"/>
  <c r="AI507" i="651"/>
  <c r="AI502" i="651"/>
  <c r="AT501" i="651"/>
  <c r="AL474" i="651"/>
  <c r="AL218" i="651"/>
  <c r="AL220" i="651" s="1"/>
  <c r="Z252" i="651"/>
  <c r="Z248" i="651"/>
  <c r="AK226" i="651"/>
  <c r="AK228" i="651" s="1"/>
  <c r="AK482" i="651"/>
  <c r="AS466" i="651"/>
  <c r="AI219" i="651"/>
  <c r="AT219" i="651" s="1"/>
  <c r="I348" i="139" s="1"/>
  <c r="AT473" i="651"/>
  <c r="AS210" i="651"/>
  <c r="H339" i="139" s="1"/>
  <c r="AS238" i="651"/>
  <c r="H367" i="139" s="1"/>
  <c r="AS474" i="651"/>
  <c r="Z212" i="651"/>
  <c r="AS490" i="651"/>
  <c r="AJ474" i="651"/>
  <c r="AJ218" i="651"/>
  <c r="AJ220" i="651" s="1"/>
  <c r="AS486" i="651"/>
  <c r="AS228" i="651"/>
  <c r="AS226" i="651"/>
  <c r="H355" i="139" s="1"/>
  <c r="H357" i="139" s="1"/>
  <c r="AL506" i="651"/>
  <c r="AL246" i="651"/>
  <c r="AT246" i="651" s="1"/>
  <c r="I375" i="139" s="1"/>
  <c r="AL502" i="651"/>
  <c r="Z253" i="651"/>
  <c r="AS222" i="651"/>
  <c r="H351" i="139" s="1"/>
  <c r="AS230" i="651"/>
  <c r="H359" i="139" s="1"/>
  <c r="H361" i="139" s="1"/>
  <c r="AS232" i="651"/>
  <c r="AJ238" i="651"/>
  <c r="AJ240" i="651" s="1"/>
  <c r="AJ494" i="651"/>
  <c r="AT461" i="651"/>
  <c r="AI207" i="651"/>
  <c r="AR244" i="651"/>
  <c r="AS458" i="651"/>
  <c r="AJ211" i="651"/>
  <c r="AJ212" i="651" s="1"/>
  <c r="AJ466" i="651"/>
  <c r="AT488" i="651"/>
  <c r="AI234" i="651"/>
  <c r="AI490" i="651"/>
  <c r="AK506" i="651"/>
  <c r="AI470" i="651"/>
  <c r="AT468" i="651"/>
  <c r="AI214" i="651"/>
  <c r="Z204" i="651"/>
  <c r="AR248" i="651"/>
  <c r="AT481" i="651"/>
  <c r="AI227" i="651"/>
  <c r="AS247" i="651"/>
  <c r="H376" i="139" s="1"/>
  <c r="AR204" i="651"/>
  <c r="AI202" i="651"/>
  <c r="AT456" i="651"/>
  <c r="AI458" i="651"/>
  <c r="AL486" i="651"/>
  <c r="AL230" i="651"/>
  <c r="AL232" i="651" s="1"/>
  <c r="AI494" i="651"/>
  <c r="AT492" i="651"/>
  <c r="AI238" i="651"/>
  <c r="AL507" i="651"/>
  <c r="AS242" i="651"/>
  <c r="H371" i="139" s="1"/>
  <c r="AS478" i="651"/>
  <c r="AI232" i="651"/>
  <c r="AR253" i="651"/>
  <c r="AR236" i="651"/>
  <c r="AJ506" i="651"/>
  <c r="AT489" i="651"/>
  <c r="AJ214" i="651"/>
  <c r="AJ216" i="651" s="1"/>
  <c r="AJ470" i="651"/>
  <c r="AJ507" i="651"/>
  <c r="AS234" i="651"/>
  <c r="H363" i="139" s="1"/>
  <c r="G251" i="651"/>
  <c r="AJ234" i="651"/>
  <c r="AJ236" i="651" s="1"/>
  <c r="AJ490" i="651"/>
  <c r="AS214" i="651"/>
  <c r="H343" i="139" s="1"/>
  <c r="H349" i="139" l="1"/>
  <c r="AT227" i="651"/>
  <c r="I356" i="139" s="1"/>
  <c r="AS244" i="651"/>
  <c r="H365" i="139"/>
  <c r="H341" i="139"/>
  <c r="H369" i="139"/>
  <c r="H377" i="139"/>
  <c r="H381" i="139"/>
  <c r="H353" i="139"/>
  <c r="H373" i="139"/>
  <c r="H345" i="139"/>
  <c r="H333" i="139"/>
  <c r="AT494" i="651"/>
  <c r="AK505" i="651"/>
  <c r="AK508" i="651" s="1"/>
  <c r="AT458" i="651"/>
  <c r="AT482" i="651"/>
  <c r="AL505" i="651"/>
  <c r="AL508" i="651" s="1"/>
  <c r="AS224" i="651"/>
  <c r="AS216" i="651"/>
  <c r="Z251" i="651"/>
  <c r="Z254" i="651" s="1"/>
  <c r="AT232" i="651"/>
  <c r="AS236" i="651"/>
  <c r="AS253" i="651"/>
  <c r="AT230" i="651"/>
  <c r="I359" i="139" s="1"/>
  <c r="I361" i="139" s="1"/>
  <c r="AT470" i="651"/>
  <c r="AS220" i="651"/>
  <c r="AT490" i="651"/>
  <c r="AT498" i="651"/>
  <c r="AT486" i="651"/>
  <c r="AJ505" i="651"/>
  <c r="AJ508" i="651" s="1"/>
  <c r="AS248" i="651"/>
  <c r="AI253" i="651"/>
  <c r="AT247" i="651"/>
  <c r="I376" i="139" s="1"/>
  <c r="AT226" i="651"/>
  <c r="I355" i="139" s="1"/>
  <c r="I357" i="139" s="1"/>
  <c r="AI228" i="651"/>
  <c r="AT228" i="651" s="1"/>
  <c r="AT466" i="651"/>
  <c r="AT210" i="651"/>
  <c r="I339" i="139" s="1"/>
  <c r="AI212" i="651"/>
  <c r="AT212" i="651" s="1"/>
  <c r="AK240" i="651"/>
  <c r="AK252" i="651"/>
  <c r="AS204" i="651"/>
  <c r="AT234" i="651"/>
  <c r="I363" i="139" s="1"/>
  <c r="I365" i="139" s="1"/>
  <c r="AI236" i="651"/>
  <c r="AT236" i="651" s="1"/>
  <c r="AT207" i="651"/>
  <c r="I336" i="139" s="1"/>
  <c r="AT218" i="651"/>
  <c r="I347" i="139" s="1"/>
  <c r="I349" i="139" s="1"/>
  <c r="AI220" i="651"/>
  <c r="AT220" i="651" s="1"/>
  <c r="AT478" i="651"/>
  <c r="AJ251" i="651"/>
  <c r="AJ254" i="651" s="1"/>
  <c r="AR251" i="651"/>
  <c r="G254" i="651"/>
  <c r="AT211" i="651"/>
  <c r="I340" i="139" s="1"/>
  <c r="AT502" i="651"/>
  <c r="AI224" i="651"/>
  <c r="AT224" i="651" s="1"/>
  <c r="AT222" i="651"/>
  <c r="I351" i="139" s="1"/>
  <c r="I353" i="139" s="1"/>
  <c r="AL248" i="651"/>
  <c r="AT248" i="651" s="1"/>
  <c r="AL252" i="651"/>
  <c r="AS212" i="651"/>
  <c r="AJ252" i="651"/>
  <c r="AI240" i="651"/>
  <c r="AT238" i="651"/>
  <c r="I367" i="139" s="1"/>
  <c r="I369" i="139" s="1"/>
  <c r="AT202" i="651"/>
  <c r="I331" i="139" s="1"/>
  <c r="AI204" i="651"/>
  <c r="AI216" i="651"/>
  <c r="AT216" i="651" s="1"/>
  <c r="AT214" i="651"/>
  <c r="I343" i="139" s="1"/>
  <c r="I345" i="139" s="1"/>
  <c r="AT507" i="651"/>
  <c r="AI244" i="651"/>
  <c r="AT244" i="651" s="1"/>
  <c r="AT242" i="651"/>
  <c r="I371" i="139" s="1"/>
  <c r="I373" i="139" s="1"/>
  <c r="AL204" i="651"/>
  <c r="AT474" i="651"/>
  <c r="AK208" i="651"/>
  <c r="AJ253" i="651"/>
  <c r="AR254" i="651" l="1"/>
  <c r="AL251" i="651"/>
  <c r="AL254" i="651" s="1"/>
  <c r="I381" i="139"/>
  <c r="I341" i="139"/>
  <c r="I377" i="139"/>
  <c r="I333" i="139"/>
  <c r="AK251" i="651"/>
  <c r="AK254" i="651" s="1"/>
  <c r="AT240" i="651"/>
  <c r="AT204" i="651"/>
  <c r="AT253" i="651"/>
  <c r="I3" i="33" l="1"/>
  <c r="I13" i="33" s="1"/>
  <c r="I15" i="33" l="1"/>
  <c r="I17" i="33"/>
  <c r="I388" i="139" l="1"/>
  <c r="AI265" i="4" l="1"/>
  <c r="AI274" i="4" s="1"/>
  <c r="AI266" i="4"/>
  <c r="AI275" i="4" s="1"/>
  <c r="AS714" i="651" l="1"/>
  <c r="AS759" i="651" l="1"/>
  <c r="AS760" i="651"/>
  <c r="AI714" i="651"/>
  <c r="AT714" i="651" s="1"/>
  <c r="AS460" i="651"/>
  <c r="AS506" i="651"/>
  <c r="AI460" i="651"/>
  <c r="AI760" i="651" l="1"/>
  <c r="AT760" i="651" s="1"/>
  <c r="AI716" i="651"/>
  <c r="AT716" i="651" s="1"/>
  <c r="AS762" i="651"/>
  <c r="AT763" i="651" s="1"/>
  <c r="AT764" i="651" s="1"/>
  <c r="AT460" i="651"/>
  <c r="AI462" i="651"/>
  <c r="AT462" i="651" s="1"/>
  <c r="AI506" i="651"/>
  <c r="AT506" i="651" s="1"/>
  <c r="AI206" i="651"/>
  <c r="AS252" i="651"/>
  <c r="AS206" i="651"/>
  <c r="H335" i="139" s="1"/>
  <c r="AS208" i="651"/>
  <c r="AS505" i="651"/>
  <c r="AI759" i="651" l="1"/>
  <c r="AT759" i="651" s="1"/>
  <c r="AS508" i="651"/>
  <c r="AS251" i="651"/>
  <c r="AI505" i="651"/>
  <c r="H337" i="139"/>
  <c r="H380" i="139"/>
  <c r="H382" i="139" s="1"/>
  <c r="H383" i="139" s="1"/>
  <c r="AI252" i="651"/>
  <c r="AT252" i="651" s="1"/>
  <c r="AI208" i="651"/>
  <c r="AT208" i="651" s="1"/>
  <c r="AT206" i="651"/>
  <c r="I335" i="139" s="1"/>
  <c r="AI762" i="651" l="1"/>
  <c r="AT762" i="651" s="1"/>
  <c r="AU763" i="651" s="1"/>
  <c r="AU764" i="651" s="1"/>
  <c r="I337" i="139"/>
  <c r="I380" i="139"/>
  <c r="AI508" i="651"/>
  <c r="AT508" i="651" s="1"/>
  <c r="AT505" i="651"/>
  <c r="AI251" i="651"/>
  <c r="AS254" i="651"/>
  <c r="AI254" i="651" l="1"/>
  <c r="AT254" i="651" s="1"/>
  <c r="AT251" i="651"/>
  <c r="I382" i="139"/>
  <c r="I383" i="139" l="1"/>
  <c r="AX234" i="650" l="1"/>
  <c r="AH235" i="650"/>
  <c r="I11" i="649"/>
  <c r="I17" i="649" l="1"/>
  <c r="J11" i="649" l="1"/>
  <c r="J17" i="649" l="1"/>
  <c r="AB906" i="6" l="1"/>
  <c r="AK104" i="650"/>
  <c r="AK79" i="650"/>
  <c r="AK84" i="650"/>
  <c r="AK74" i="650"/>
  <c r="AK121" i="650"/>
  <c r="AK110" i="650"/>
  <c r="U33" i="647" l="1"/>
  <c r="AB37" i="650" l="1"/>
  <c r="AC37" i="650" s="1"/>
  <c r="AD37" i="650" s="1"/>
  <c r="AE37" i="650" s="1"/>
  <c r="AF37" i="650" s="1"/>
  <c r="AG37" i="650" s="1"/>
  <c r="AB36" i="650" l="1"/>
  <c r="AB35" i="650"/>
  <c r="AC35" i="650" l="1"/>
  <c r="AA31" i="647"/>
  <c r="AC36" i="650"/>
  <c r="AA32" i="647"/>
  <c r="AK37" i="650"/>
  <c r="AL37" i="650" s="1"/>
  <c r="AI37" i="650"/>
  <c r="AD36" i="650" l="1"/>
  <c r="AB32" i="647"/>
  <c r="AA33" i="647"/>
  <c r="AD35" i="650"/>
  <c r="AB31" i="647"/>
  <c r="AM37" i="650"/>
  <c r="AE35" i="650" l="1"/>
  <c r="AC31" i="647"/>
  <c r="AB33" i="647"/>
  <c r="AE36" i="650"/>
  <c r="AC32" i="647"/>
  <c r="AN37" i="650"/>
  <c r="AC33" i="647" l="1"/>
  <c r="AF36" i="650"/>
  <c r="AD32" i="647"/>
  <c r="AF35" i="650"/>
  <c r="AD31" i="647"/>
  <c r="AO37" i="650"/>
  <c r="AD33" i="647" l="1"/>
  <c r="AG35" i="650"/>
  <c r="AE31" i="647"/>
  <c r="AG36" i="650"/>
  <c r="AE32" i="647"/>
  <c r="AP37" i="650"/>
  <c r="AF32" i="647" l="1"/>
  <c r="AT32" i="647" s="1"/>
  <c r="AJ36" i="650"/>
  <c r="AK34" i="4" s="1"/>
  <c r="AL34" i="4"/>
  <c r="AK36" i="650"/>
  <c r="AL36" i="650" s="1"/>
  <c r="AG32" i="647" s="1"/>
  <c r="AE33" i="647"/>
  <c r="AF31" i="647"/>
  <c r="AJ35" i="650"/>
  <c r="AL33" i="4"/>
  <c r="AK35" i="650"/>
  <c r="AL35" i="650" s="1"/>
  <c r="AG31" i="647" s="1"/>
  <c r="AQ37" i="650"/>
  <c r="AM36" i="650" l="1"/>
  <c r="AH32" i="647" s="1"/>
  <c r="AK33" i="4"/>
  <c r="AK35" i="4" s="1"/>
  <c r="AJ37" i="650"/>
  <c r="AF33" i="647"/>
  <c r="AT33" i="647" s="1"/>
  <c r="AT31" i="647"/>
  <c r="AM35" i="650"/>
  <c r="AH31" i="647" s="1"/>
  <c r="AL35" i="4"/>
  <c r="AR37" i="650"/>
  <c r="AG33" i="647"/>
  <c r="AH33" i="647" l="1"/>
  <c r="AN36" i="650"/>
  <c r="AI32" i="647" s="1"/>
  <c r="AN35" i="650"/>
  <c r="AI31" i="647" s="1"/>
  <c r="AS37" i="650"/>
  <c r="AI33" i="647" l="1"/>
  <c r="AO36" i="650"/>
  <c r="AJ32" i="647" s="1"/>
  <c r="AO35" i="650"/>
  <c r="AJ31" i="647" s="1"/>
  <c r="AT37" i="650"/>
  <c r="AP36" i="650" l="1"/>
  <c r="AK32" i="647" s="1"/>
  <c r="AJ33" i="647"/>
  <c r="AP35" i="650"/>
  <c r="AK31" i="647" s="1"/>
  <c r="AU37" i="650"/>
  <c r="AK33" i="647" l="1"/>
  <c r="AQ35" i="650"/>
  <c r="AL31" i="647" s="1"/>
  <c r="AQ36" i="650"/>
  <c r="AL32" i="647" s="1"/>
  <c r="AV37" i="650"/>
  <c r="AL33" i="647" l="1"/>
  <c r="AR35" i="650"/>
  <c r="AM31" i="647" s="1"/>
  <c r="AR36" i="650"/>
  <c r="AM32" i="647" s="1"/>
  <c r="AW37" i="650"/>
  <c r="AM33" i="647" l="1"/>
  <c r="AS35" i="650"/>
  <c r="AN31" i="647" s="1"/>
  <c r="AS36" i="650"/>
  <c r="AN32" i="647" s="1"/>
  <c r="AN33" i="647" s="1"/>
  <c r="AY37" i="650"/>
  <c r="AT35" i="650" l="1"/>
  <c r="AO31" i="647" s="1"/>
  <c r="AT36" i="650"/>
  <c r="AO32" i="647" s="1"/>
  <c r="AO33" i="647" l="1"/>
  <c r="AU35" i="650"/>
  <c r="AP31" i="647" s="1"/>
  <c r="AU36" i="650"/>
  <c r="AP32" i="647" s="1"/>
  <c r="AV36" i="650"/>
  <c r="AQ32" i="647" s="1"/>
  <c r="AP33" i="647" l="1"/>
  <c r="AV35" i="650"/>
  <c r="AQ31" i="647" s="1"/>
  <c r="AQ33" i="647" s="1"/>
  <c r="AW36" i="650"/>
  <c r="AR32" i="647" s="1"/>
  <c r="AW35" i="650" l="1"/>
  <c r="AR31" i="647" s="1"/>
  <c r="AR33" i="647" s="1"/>
  <c r="BA36" i="650"/>
  <c r="AM34" i="4" s="1"/>
  <c r="AP34" i="4" s="1"/>
  <c r="AZ34" i="4" s="1"/>
  <c r="BA34" i="4" s="1"/>
  <c r="AU32" i="647"/>
  <c r="AV32" i="647" s="1"/>
  <c r="AN34" i="4"/>
  <c r="AN33" i="4" l="1"/>
  <c r="AN35" i="4" s="1"/>
  <c r="BA35" i="650"/>
  <c r="AM33" i="4" s="1"/>
  <c r="AQ34" i="4"/>
  <c r="F969" i="3" s="1"/>
  <c r="AU969" i="3" s="1"/>
  <c r="AW969" i="3" s="1"/>
  <c r="G985" i="6" s="1"/>
  <c r="AX969" i="3" s="1"/>
  <c r="AM35" i="4"/>
  <c r="AP35" i="4" s="1"/>
  <c r="AP33" i="4"/>
  <c r="AU33" i="647"/>
  <c r="AV33" i="647" s="1"/>
  <c r="AU31" i="647"/>
  <c r="AV31" i="647" s="1"/>
  <c r="BA37" i="650" l="1"/>
  <c r="I985" i="6"/>
  <c r="E985" i="6"/>
  <c r="AQ33" i="4"/>
  <c r="AZ33" i="4"/>
  <c r="BA33" i="4" s="1"/>
  <c r="AQ35" i="4" l="1"/>
  <c r="F968" i="3"/>
  <c r="N985" i="6"/>
  <c r="T985" i="6" s="1"/>
  <c r="M985" i="6"/>
  <c r="Q985" i="6" s="1"/>
  <c r="W985" i="6" s="1"/>
  <c r="AB985" i="6" s="1"/>
  <c r="F970" i="3" l="1"/>
  <c r="AU970" i="3" s="1"/>
  <c r="AW970" i="3" s="1"/>
  <c r="E968" i="3"/>
  <c r="AU968" i="3"/>
  <c r="AW968" i="3" s="1"/>
  <c r="G984" i="6" l="1"/>
  <c r="AX968" i="3" s="1"/>
  <c r="G986" i="6" l="1"/>
  <c r="E984" i="6"/>
  <c r="I984" i="6"/>
  <c r="M984" i="6" l="1"/>
  <c r="I986" i="6"/>
  <c r="N984" i="6"/>
  <c r="E986" i="6"/>
  <c r="AX970" i="3"/>
  <c r="AB42" i="650"/>
  <c r="AC42" i="650" s="1"/>
  <c r="N986" i="6" l="1"/>
  <c r="T984" i="6"/>
  <c r="T986" i="6" s="1"/>
  <c r="AD42" i="650"/>
  <c r="AE42" i="650" s="1"/>
  <c r="AF42" i="650" s="1"/>
  <c r="AG42" i="650" s="1"/>
  <c r="M986" i="6"/>
  <c r="Q984" i="6"/>
  <c r="AB41" i="650"/>
  <c r="AB40" i="650"/>
  <c r="AC40" i="650" l="1"/>
  <c r="AA36" i="647"/>
  <c r="AC41" i="650"/>
  <c r="AA37" i="647"/>
  <c r="Q986" i="6"/>
  <c r="W984" i="6"/>
  <c r="AD41" i="650" l="1"/>
  <c r="AB37" i="647"/>
  <c r="AA38" i="647"/>
  <c r="AD40" i="650"/>
  <c r="AB36" i="647"/>
  <c r="W986" i="6"/>
  <c r="AB986" i="6" s="1"/>
  <c r="AB984" i="6"/>
  <c r="AC36" i="647" l="1"/>
  <c r="AE40" i="650"/>
  <c r="AB38" i="647"/>
  <c r="AE41" i="650"/>
  <c r="AC37" i="647"/>
  <c r="AK42" i="650"/>
  <c r="AL42" i="650" s="1"/>
  <c r="AI42" i="650"/>
  <c r="AF41" i="650" l="1"/>
  <c r="AD37" i="647"/>
  <c r="AF40" i="650"/>
  <c r="AD36" i="647"/>
  <c r="AC38" i="647"/>
  <c r="AM42" i="650"/>
  <c r="AD38" i="647" l="1"/>
  <c r="AG40" i="650"/>
  <c r="AE36" i="647"/>
  <c r="AG41" i="650"/>
  <c r="AE37" i="647"/>
  <c r="AN42" i="650"/>
  <c r="AF37" i="647" l="1"/>
  <c r="AT37" i="647" s="1"/>
  <c r="AJ41" i="650"/>
  <c r="AK39" i="4" s="1"/>
  <c r="AL39" i="4"/>
  <c r="AK41" i="650"/>
  <c r="AL41" i="650" s="1"/>
  <c r="AG37" i="647" s="1"/>
  <c r="AE38" i="647"/>
  <c r="AF36" i="647"/>
  <c r="AJ40" i="650"/>
  <c r="AL38" i="4"/>
  <c r="AK40" i="650"/>
  <c r="AL40" i="650" s="1"/>
  <c r="AG36" i="647" s="1"/>
  <c r="AO42" i="650"/>
  <c r="AM40" i="650" l="1"/>
  <c r="AH36" i="647" s="1"/>
  <c r="AM41" i="650"/>
  <c r="AH37" i="647" s="1"/>
  <c r="AG38" i="647"/>
  <c r="AK38" i="4"/>
  <c r="AK40" i="4" s="1"/>
  <c r="AJ42" i="650"/>
  <c r="AF38" i="647"/>
  <c r="AT38" i="647" s="1"/>
  <c r="AT36" i="647"/>
  <c r="AL40" i="4"/>
  <c r="AP42" i="650"/>
  <c r="AN40" i="650" l="1"/>
  <c r="AI36" i="647" s="1"/>
  <c r="AN41" i="650"/>
  <c r="AI37" i="647" s="1"/>
  <c r="AH38" i="647"/>
  <c r="AQ42" i="650"/>
  <c r="AO41" i="650"/>
  <c r="AJ37" i="647" s="1"/>
  <c r="AI38" i="647" l="1"/>
  <c r="AO40" i="650"/>
  <c r="AJ36" i="647" s="1"/>
  <c r="AJ38" i="647" s="1"/>
  <c r="AP41" i="650"/>
  <c r="AK37" i="647" s="1"/>
  <c r="AR42" i="650"/>
  <c r="AP40" i="650" l="1"/>
  <c r="AK36" i="647" s="1"/>
  <c r="AK38" i="647" s="1"/>
  <c r="AS42" i="650"/>
  <c r="AQ41" i="650"/>
  <c r="AL37" i="647" s="1"/>
  <c r="AQ40" i="650" l="1"/>
  <c r="AL36" i="647" s="1"/>
  <c r="AL38" i="647" s="1"/>
  <c r="AT42" i="650"/>
  <c r="AR41" i="650"/>
  <c r="AM37" i="647" s="1"/>
  <c r="AR40" i="650" l="1"/>
  <c r="AM36" i="647" s="1"/>
  <c r="AM38" i="647" s="1"/>
  <c r="AS41" i="650"/>
  <c r="AN37" i="647" s="1"/>
  <c r="AU42" i="650"/>
  <c r="AS40" i="650" l="1"/>
  <c r="AN36" i="647" s="1"/>
  <c r="AN38" i="647" s="1"/>
  <c r="AT41" i="650"/>
  <c r="AO37" i="647" s="1"/>
  <c r="AV42" i="650"/>
  <c r="AT40" i="650" l="1"/>
  <c r="AO36" i="647" s="1"/>
  <c r="AO38" i="647" s="1"/>
  <c r="AU41" i="650"/>
  <c r="AP37" i="647" s="1"/>
  <c r="AW42" i="650"/>
  <c r="AU40" i="650" l="1"/>
  <c r="AP36" i="647" s="1"/>
  <c r="AP38" i="647" s="1"/>
  <c r="AY42" i="650"/>
  <c r="AV41" i="650"/>
  <c r="AQ37" i="647" s="1"/>
  <c r="AV40" i="650" l="1"/>
  <c r="AQ36" i="647" s="1"/>
  <c r="AQ38" i="647" s="1"/>
  <c r="AW41" i="650"/>
  <c r="AR37" i="647" s="1"/>
  <c r="AW40" i="650" l="1"/>
  <c r="AR36" i="647" s="1"/>
  <c r="AR38" i="647" s="1"/>
  <c r="BA41" i="650"/>
  <c r="AM39" i="4" s="1"/>
  <c r="AP39" i="4" s="1"/>
  <c r="AZ39" i="4" s="1"/>
  <c r="BA39" i="4" s="1"/>
  <c r="AU37" i="647"/>
  <c r="AV37" i="647" s="1"/>
  <c r="AN39" i="4"/>
  <c r="AN38" i="4" l="1"/>
  <c r="BA40" i="650"/>
  <c r="AM38" i="4" s="1"/>
  <c r="AQ39" i="4"/>
  <c r="F974" i="3" s="1"/>
  <c r="AU974" i="3" s="1"/>
  <c r="AW974" i="3" s="1"/>
  <c r="G990" i="6" s="1"/>
  <c r="I990" i="6" s="1"/>
  <c r="BA42" i="650"/>
  <c r="AM40" i="4"/>
  <c r="AP40" i="4" s="1"/>
  <c r="AP38" i="4"/>
  <c r="AU38" i="647"/>
  <c r="AV38" i="647" s="1"/>
  <c r="AU36" i="647"/>
  <c r="AV36" i="647" s="1"/>
  <c r="AN40" i="4"/>
  <c r="AX974" i="3" l="1"/>
  <c r="E990" i="6"/>
  <c r="N990" i="6"/>
  <c r="T990" i="6" s="1"/>
  <c r="M990" i="6"/>
  <c r="Q990" i="6" s="1"/>
  <c r="AZ38" i="4"/>
  <c r="BA38" i="4" s="1"/>
  <c r="AQ38" i="4"/>
  <c r="U27" i="647"/>
  <c r="W990" i="6" l="1"/>
  <c r="AB990" i="6" s="1"/>
  <c r="F973" i="3"/>
  <c r="AQ40" i="4"/>
  <c r="V27" i="647"/>
  <c r="AU973" i="3" l="1"/>
  <c r="AW973" i="3" s="1"/>
  <c r="G989" i="6" s="1"/>
  <c r="E973" i="3"/>
  <c r="F975" i="3"/>
  <c r="AU975" i="3" s="1"/>
  <c r="AW975" i="3" s="1"/>
  <c r="W27" i="647"/>
  <c r="AX973" i="3" l="1"/>
  <c r="E989" i="6"/>
  <c r="G991" i="6"/>
  <c r="E991" i="6" s="1"/>
  <c r="I989" i="6"/>
  <c r="X27" i="647"/>
  <c r="M989" i="6" l="1"/>
  <c r="N989" i="6"/>
  <c r="I991" i="6"/>
  <c r="AX975" i="3"/>
  <c r="Y27" i="647"/>
  <c r="T989" i="6" l="1"/>
  <c r="T991" i="6" s="1"/>
  <c r="N991" i="6"/>
  <c r="M991" i="6"/>
  <c r="Q989" i="6"/>
  <c r="Z27" i="647"/>
  <c r="AB31" i="650"/>
  <c r="AB26" i="650" l="1"/>
  <c r="AC31" i="650"/>
  <c r="Q991" i="6"/>
  <c r="W989" i="6"/>
  <c r="AB23" i="650"/>
  <c r="AB27" i="650"/>
  <c r="AA27" i="647"/>
  <c r="AB148" i="650"/>
  <c r="AB28" i="650"/>
  <c r="AB29" i="650"/>
  <c r="AC29" i="650" s="1"/>
  <c r="AB24" i="650"/>
  <c r="AB25" i="650"/>
  <c r="AC25" i="650" l="1"/>
  <c r="AC24" i="650"/>
  <c r="AC27" i="650"/>
  <c r="AC28" i="650"/>
  <c r="AC23" i="650"/>
  <c r="AB989" i="6"/>
  <c r="W991" i="6"/>
  <c r="AB991" i="6" s="1"/>
  <c r="AC26" i="650"/>
  <c r="AC148" i="650"/>
  <c r="AD31" i="650"/>
  <c r="AB27" i="647"/>
  <c r="AD27" i="650" l="1"/>
  <c r="AD29" i="650"/>
  <c r="AD25" i="650"/>
  <c r="AD23" i="650"/>
  <c r="AD24" i="650"/>
  <c r="AD28" i="650"/>
  <c r="AD26" i="650"/>
  <c r="AE31" i="650"/>
  <c r="AD148" i="650"/>
  <c r="AC27" i="647"/>
  <c r="AE27" i="650" l="1"/>
  <c r="AE28" i="650"/>
  <c r="AE148" i="650"/>
  <c r="AF31" i="650"/>
  <c r="AE25" i="650"/>
  <c r="AE26" i="650"/>
  <c r="AE24" i="650"/>
  <c r="AE23" i="650"/>
  <c r="AE29" i="650"/>
  <c r="AD27" i="647"/>
  <c r="AF23" i="650" l="1"/>
  <c r="AF25" i="650"/>
  <c r="AF26" i="650"/>
  <c r="AF24" i="650"/>
  <c r="AG31" i="650"/>
  <c r="AG148" i="650" s="1"/>
  <c r="AF148" i="650"/>
  <c r="AF28" i="650"/>
  <c r="AF29" i="650"/>
  <c r="AF27" i="650"/>
  <c r="AE27" i="647"/>
  <c r="AG29" i="650" l="1"/>
  <c r="AG23" i="650"/>
  <c r="AG28" i="650"/>
  <c r="AJ28" i="650" s="1"/>
  <c r="AK26" i="4" s="1"/>
  <c r="AG24" i="650"/>
  <c r="AG26" i="650"/>
  <c r="AJ26" i="650" s="1"/>
  <c r="AK24" i="4" s="1"/>
  <c r="AG27" i="650"/>
  <c r="AJ27" i="650" s="1"/>
  <c r="AK25" i="4" s="1"/>
  <c r="AG25" i="650"/>
  <c r="AJ25" i="650" s="1"/>
  <c r="AK23" i="4" s="1"/>
  <c r="AJ24" i="650"/>
  <c r="AK22" i="4" s="1"/>
  <c r="AJ29" i="650"/>
  <c r="AK27" i="4" s="1"/>
  <c r="AJ23" i="650"/>
  <c r="AF27" i="647"/>
  <c r="AI31" i="650"/>
  <c r="AK31" i="650"/>
  <c r="AL31" i="650" s="1"/>
  <c r="AL21" i="4" l="1"/>
  <c r="AK23" i="650"/>
  <c r="AL23" i="4"/>
  <c r="AK25" i="650"/>
  <c r="AG27" i="647"/>
  <c r="AL148" i="650"/>
  <c r="AM31" i="650"/>
  <c r="AI148" i="650"/>
  <c r="AK148" i="650"/>
  <c r="AL27" i="4"/>
  <c r="AK29" i="650"/>
  <c r="AL22" i="4"/>
  <c r="AK24" i="650"/>
  <c r="AJ31" i="650"/>
  <c r="AJ148" i="650" s="1"/>
  <c r="AK21" i="4"/>
  <c r="AL24" i="4"/>
  <c r="AK26" i="650"/>
  <c r="AK27" i="650"/>
  <c r="AL25" i="4"/>
  <c r="AL26" i="4"/>
  <c r="AK28" i="650"/>
  <c r="AH27" i="647" l="1"/>
  <c r="AM148" i="650"/>
  <c r="AN31" i="650"/>
  <c r="AK29" i="4"/>
  <c r="AL23" i="650"/>
  <c r="AM23" i="650" s="1"/>
  <c r="AL29" i="4"/>
  <c r="AL146" i="4" s="1"/>
  <c r="AL27" i="650"/>
  <c r="AM27" i="650" s="1"/>
  <c r="AL24" i="650"/>
  <c r="AM24" i="650" s="1"/>
  <c r="AL26" i="650"/>
  <c r="AM26" i="650" s="1"/>
  <c r="AL25" i="650"/>
  <c r="AM25" i="650" s="1"/>
  <c r="AL28" i="650"/>
  <c r="AM28" i="650" s="1"/>
  <c r="AL29" i="650"/>
  <c r="AM29" i="650" s="1"/>
  <c r="AN25" i="650" l="1"/>
  <c r="AN23" i="650"/>
  <c r="AN28" i="650"/>
  <c r="AN26" i="650"/>
  <c r="AN29" i="650"/>
  <c r="AN24" i="650"/>
  <c r="AI27" i="647"/>
  <c r="AN148" i="650"/>
  <c r="AO31" i="650"/>
  <c r="AK146" i="4"/>
  <c r="AN27" i="650"/>
  <c r="AO29" i="650" l="1"/>
  <c r="AO28" i="650"/>
  <c r="AP31" i="650"/>
  <c r="AJ27" i="647"/>
  <c r="AO148" i="650"/>
  <c r="AO25" i="650"/>
  <c r="AO23" i="650"/>
  <c r="AO26" i="650"/>
  <c r="AO27" i="650"/>
  <c r="AO24" i="650"/>
  <c r="AP29" i="650" l="1"/>
  <c r="AP27" i="650"/>
  <c r="AP26" i="650"/>
  <c r="AP23" i="650"/>
  <c r="AP25" i="650"/>
  <c r="AP24" i="650"/>
  <c r="AK27" i="647"/>
  <c r="AP148" i="650"/>
  <c r="AQ31" i="650"/>
  <c r="AP28" i="650"/>
  <c r="AQ24" i="650" l="1"/>
  <c r="AQ148" i="650"/>
  <c r="AL27" i="647"/>
  <c r="AR31" i="650"/>
  <c r="AQ28" i="650"/>
  <c r="AQ23" i="650"/>
  <c r="AQ25" i="650"/>
  <c r="AQ29" i="650"/>
  <c r="AQ27" i="650"/>
  <c r="AQ26" i="650"/>
  <c r="AR28" i="650" l="1"/>
  <c r="AR26" i="650"/>
  <c r="AR148" i="650"/>
  <c r="AM27" i="647"/>
  <c r="AS31" i="650"/>
  <c r="AR27" i="650"/>
  <c r="AR23" i="650"/>
  <c r="AR24" i="650"/>
  <c r="AR25" i="650"/>
  <c r="AR29" i="650"/>
  <c r="AS23" i="650" l="1"/>
  <c r="AS29" i="650"/>
  <c r="AS25" i="650"/>
  <c r="AS26" i="650"/>
  <c r="AN27" i="647"/>
  <c r="AS148" i="650"/>
  <c r="AT31" i="650"/>
  <c r="AS27" i="650"/>
  <c r="AS24" i="650"/>
  <c r="AS28" i="650"/>
  <c r="AT24" i="650" l="1"/>
  <c r="AT25" i="650"/>
  <c r="AT28" i="650"/>
  <c r="AO27" i="647"/>
  <c r="AT148" i="650"/>
  <c r="AU31" i="650"/>
  <c r="AT23" i="650"/>
  <c r="AT26" i="650"/>
  <c r="AT27" i="650"/>
  <c r="AT29" i="650"/>
  <c r="AU27" i="650" l="1"/>
  <c r="AU148" i="650"/>
  <c r="AV31" i="650"/>
  <c r="AP27" i="647"/>
  <c r="AU24" i="650"/>
  <c r="AU26" i="650"/>
  <c r="AU29" i="650"/>
  <c r="AU28" i="650"/>
  <c r="AU23" i="650"/>
  <c r="AU25" i="650"/>
  <c r="AV25" i="650" l="1"/>
  <c r="AV26" i="650"/>
  <c r="AV28" i="650"/>
  <c r="AV24" i="650"/>
  <c r="AW31" i="650"/>
  <c r="AV148" i="650"/>
  <c r="AQ27" i="647"/>
  <c r="AV23" i="650"/>
  <c r="AV27" i="650"/>
  <c r="AV29" i="650"/>
  <c r="AY31" i="650" l="1"/>
  <c r="AR27" i="647"/>
  <c r="AW148" i="650"/>
  <c r="AW25" i="650"/>
  <c r="AW29" i="650"/>
  <c r="AN27" i="4" s="1"/>
  <c r="AW27" i="650"/>
  <c r="AN25" i="4" s="1"/>
  <c r="AW26" i="650"/>
  <c r="AW24" i="650"/>
  <c r="AW23" i="650"/>
  <c r="AN21" i="4" s="1"/>
  <c r="AW28" i="650"/>
  <c r="AN26" i="4" s="1"/>
  <c r="BA29" i="650" l="1"/>
  <c r="AM27" i="4" s="1"/>
  <c r="AP27" i="4" s="1"/>
  <c r="AQ27" i="4" s="1"/>
  <c r="F962" i="3" s="1"/>
  <c r="BA23" i="650"/>
  <c r="AM21" i="4" s="1"/>
  <c r="AP21" i="4" s="1"/>
  <c r="BA28" i="650"/>
  <c r="AM26" i="4" s="1"/>
  <c r="AP26" i="4" s="1"/>
  <c r="J961" i="3" s="1"/>
  <c r="BA27" i="650"/>
  <c r="AM25" i="4" s="1"/>
  <c r="AP25" i="4" s="1"/>
  <c r="AN24" i="4"/>
  <c r="BA26" i="650"/>
  <c r="AM24" i="4" s="1"/>
  <c r="AP24" i="4" s="1"/>
  <c r="AN23" i="4"/>
  <c r="BA25" i="650"/>
  <c r="AM23" i="4" s="1"/>
  <c r="AP23" i="4" s="1"/>
  <c r="AN22" i="4"/>
  <c r="BA24" i="650"/>
  <c r="AM22" i="4" s="1"/>
  <c r="AP22" i="4" s="1"/>
  <c r="AY148" i="650"/>
  <c r="J962" i="3" l="1"/>
  <c r="AU962" i="3" s="1"/>
  <c r="AW962" i="3" s="1"/>
  <c r="AZ27" i="4"/>
  <c r="BA27" i="4" s="1"/>
  <c r="AZ26" i="4"/>
  <c r="BA26" i="4" s="1"/>
  <c r="AQ26" i="4"/>
  <c r="F961" i="3" s="1"/>
  <c r="AU961" i="3" s="1"/>
  <c r="AW961" i="3" s="1"/>
  <c r="G977" i="6" s="1"/>
  <c r="AQ25" i="4"/>
  <c r="F960" i="3" s="1"/>
  <c r="AZ25" i="4"/>
  <c r="BA25" i="4" s="1"/>
  <c r="J960" i="3"/>
  <c r="AN29" i="4"/>
  <c r="AN146" i="4" s="1"/>
  <c r="J958" i="3"/>
  <c r="AZ23" i="4"/>
  <c r="BA23" i="4" s="1"/>
  <c r="AQ23" i="4"/>
  <c r="F958" i="3" s="1"/>
  <c r="AZ21" i="4"/>
  <c r="BA21" i="4" s="1"/>
  <c r="AQ21" i="4"/>
  <c r="J956" i="3"/>
  <c r="AQ22" i="4"/>
  <c r="F957" i="3" s="1"/>
  <c r="J957" i="3"/>
  <c r="AZ22" i="4"/>
  <c r="BA22" i="4" s="1"/>
  <c r="AQ24" i="4"/>
  <c r="F959" i="3" s="1"/>
  <c r="J959" i="3"/>
  <c r="AZ24" i="4"/>
  <c r="BA24" i="4" s="1"/>
  <c r="BA31" i="650"/>
  <c r="BA148" i="650" s="1"/>
  <c r="AM29" i="4"/>
  <c r="AB20" i="650"/>
  <c r="AC20" i="650" s="1"/>
  <c r="AD20" i="650" s="1"/>
  <c r="AE20" i="650" s="1"/>
  <c r="AF20" i="650" s="1"/>
  <c r="AG20" i="650" s="1"/>
  <c r="AU959" i="3" l="1"/>
  <c r="AW959" i="3" s="1"/>
  <c r="G975" i="6" s="1"/>
  <c r="AX959" i="3" s="1"/>
  <c r="AU958" i="3"/>
  <c r="AW958" i="3" s="1"/>
  <c r="G974" i="6" s="1"/>
  <c r="AX958" i="3" s="1"/>
  <c r="I977" i="6"/>
  <c r="E977" i="6"/>
  <c r="G978" i="6"/>
  <c r="AX962" i="3" s="1"/>
  <c r="F956" i="3"/>
  <c r="AQ29" i="4"/>
  <c r="AM146" i="4"/>
  <c r="AP146" i="4" s="1"/>
  <c r="AP29" i="4"/>
  <c r="AU957" i="3"/>
  <c r="AW957" i="3" s="1"/>
  <c r="J964" i="3"/>
  <c r="J1081" i="3" s="1"/>
  <c r="J1085" i="3" s="1"/>
  <c r="K52" i="5" s="1"/>
  <c r="AX961" i="3"/>
  <c r="AU960" i="3"/>
  <c r="AW960" i="3" s="1"/>
  <c r="G976" i="6" s="1"/>
  <c r="AI20" i="650"/>
  <c r="AK20" i="650"/>
  <c r="AL20" i="650" s="1"/>
  <c r="AM20" i="650" s="1"/>
  <c r="U12" i="647"/>
  <c r="AN20" i="650" l="1"/>
  <c r="AO20" i="650" s="1"/>
  <c r="AP20" i="650" s="1"/>
  <c r="AQ20" i="650" s="1"/>
  <c r="AR20" i="650" s="1"/>
  <c r="AS20" i="650" s="1"/>
  <c r="AT20" i="650" s="1"/>
  <c r="AU20" i="650" s="1"/>
  <c r="AV20" i="650" s="1"/>
  <c r="AW20" i="650" s="1"/>
  <c r="AY20" i="650" s="1"/>
  <c r="F964" i="3"/>
  <c r="F1081" i="3" s="1"/>
  <c r="AU1081" i="3" s="1"/>
  <c r="AU956" i="3"/>
  <c r="AW956" i="3" s="1"/>
  <c r="G972" i="6" s="1"/>
  <c r="AX960" i="3"/>
  <c r="E976" i="6"/>
  <c r="I976" i="6"/>
  <c r="G973" i="6"/>
  <c r="AX957" i="3" s="1"/>
  <c r="I978" i="6"/>
  <c r="E978" i="6"/>
  <c r="I974" i="6"/>
  <c r="E974" i="6"/>
  <c r="N977" i="6"/>
  <c r="U977" i="6" s="1"/>
  <c r="M977" i="6"/>
  <c r="Q977" i="6" s="1"/>
  <c r="W977" i="6" s="1"/>
  <c r="AB977" i="6" s="1"/>
  <c r="AQ146" i="4"/>
  <c r="AZ146" i="4"/>
  <c r="BA146" i="4" s="1"/>
  <c r="F12" i="17"/>
  <c r="E975" i="6"/>
  <c r="I975" i="6"/>
  <c r="U11" i="647"/>
  <c r="V12" i="647"/>
  <c r="H12" i="17" l="1"/>
  <c r="H19" i="17" s="1"/>
  <c r="F19" i="17"/>
  <c r="M978" i="6"/>
  <c r="Q978" i="6" s="1"/>
  <c r="W978" i="6" s="1"/>
  <c r="AB978" i="6" s="1"/>
  <c r="N978" i="6"/>
  <c r="U978" i="6" s="1"/>
  <c r="E973" i="6"/>
  <c r="I973" i="6"/>
  <c r="M976" i="6"/>
  <c r="Q976" i="6" s="1"/>
  <c r="W976" i="6" s="1"/>
  <c r="AB976" i="6" s="1"/>
  <c r="N976" i="6"/>
  <c r="U976" i="6" s="1"/>
  <c r="M975" i="6"/>
  <c r="Q975" i="6" s="1"/>
  <c r="W975" i="6" s="1"/>
  <c r="AB975" i="6" s="1"/>
  <c r="N975" i="6"/>
  <c r="U975" i="6" s="1"/>
  <c r="N974" i="6"/>
  <c r="U974" i="6" s="1"/>
  <c r="M974" i="6"/>
  <c r="Q974" i="6" s="1"/>
  <c r="W974" i="6" s="1"/>
  <c r="AB974" i="6" s="1"/>
  <c r="AX956" i="3"/>
  <c r="G980" i="6"/>
  <c r="E972" i="6"/>
  <c r="I972" i="6"/>
  <c r="AW1081" i="3"/>
  <c r="AU964" i="3"/>
  <c r="W12" i="647"/>
  <c r="V11" i="647"/>
  <c r="V14" i="647" s="1"/>
  <c r="U14" i="647"/>
  <c r="I980" i="6" l="1"/>
  <c r="I1098" i="6" s="1"/>
  <c r="C10" i="50" s="1"/>
  <c r="N972" i="6"/>
  <c r="M972" i="6"/>
  <c r="G1098" i="6"/>
  <c r="E1098" i="6" s="1"/>
  <c r="E980" i="6"/>
  <c r="M973" i="6"/>
  <c r="Q973" i="6" s="1"/>
  <c r="W973" i="6" s="1"/>
  <c r="AB973" i="6" s="1"/>
  <c r="N973" i="6"/>
  <c r="U973" i="6" s="1"/>
  <c r="AW964" i="3"/>
  <c r="AX964" i="3" s="1"/>
  <c r="W11" i="647"/>
  <c r="W14" i="647" s="1"/>
  <c r="X12" i="647"/>
  <c r="M980" i="6" l="1"/>
  <c r="M1098" i="6" s="1"/>
  <c r="Q972" i="6"/>
  <c r="N980" i="6"/>
  <c r="N1098" i="6" s="1"/>
  <c r="U972" i="6"/>
  <c r="U980" i="6" s="1"/>
  <c r="U1098" i="6" s="1"/>
  <c r="U1102" i="6" s="1"/>
  <c r="AX1081" i="3"/>
  <c r="D12" i="50"/>
  <c r="E12" i="50"/>
  <c r="Y12" i="647"/>
  <c r="X11" i="647"/>
  <c r="X14" i="647" s="1"/>
  <c r="F12" i="50" l="1"/>
  <c r="Q980" i="6"/>
  <c r="Q1098" i="6" s="1"/>
  <c r="W1098" i="6" s="1"/>
  <c r="AB1098" i="6" s="1"/>
  <c r="W972" i="6"/>
  <c r="Y11" i="647"/>
  <c r="Z12" i="647"/>
  <c r="AB18" i="650"/>
  <c r="AC18" i="650" s="1"/>
  <c r="AD18" i="650" s="1"/>
  <c r="AE18" i="650" s="1"/>
  <c r="AF18" i="650" s="1"/>
  <c r="AG18" i="650" s="1"/>
  <c r="AB972" i="6" l="1"/>
  <c r="W980" i="6"/>
  <c r="AB980" i="6" s="1"/>
  <c r="AA12" i="647"/>
  <c r="Z11" i="647"/>
  <c r="Z14" i="647" s="1"/>
  <c r="AB17" i="650"/>
  <c r="AC17" i="650" s="1"/>
  <c r="AD17" i="650" s="1"/>
  <c r="AE17" i="650" s="1"/>
  <c r="AF17" i="650" s="1"/>
  <c r="AG17" i="650" s="1"/>
  <c r="Y14" i="647"/>
  <c r="AA11" i="647" l="1"/>
  <c r="AA14" i="647" s="1"/>
  <c r="AB12" i="647"/>
  <c r="AC12" i="647" l="1"/>
  <c r="AB11" i="647"/>
  <c r="AB14" i="647" s="1"/>
  <c r="AC11" i="647" l="1"/>
  <c r="AC14" i="647" s="1"/>
  <c r="AD12" i="647"/>
  <c r="AE12" i="647" l="1"/>
  <c r="AJ18" i="650"/>
  <c r="AD11" i="647"/>
  <c r="AD14" i="647" s="1"/>
  <c r="AE11" i="647" l="1"/>
  <c r="AE14" i="647" s="1"/>
  <c r="AJ17" i="650"/>
  <c r="AF12" i="647"/>
  <c r="AT12" i="647" s="1"/>
  <c r="AK18" i="650"/>
  <c r="AL16" i="4"/>
  <c r="AK16" i="4"/>
  <c r="AJ20" i="650" l="1"/>
  <c r="AK15" i="4"/>
  <c r="AF11" i="647"/>
  <c r="AL15" i="4"/>
  <c r="AK17" i="650"/>
  <c r="AL18" i="650"/>
  <c r="AL18" i="4" l="1"/>
  <c r="AF14" i="647"/>
  <c r="AT14" i="647" s="1"/>
  <c r="AT11" i="647"/>
  <c r="AM18" i="650"/>
  <c r="AG12" i="647"/>
  <c r="AL17" i="650"/>
  <c r="AK18" i="4"/>
  <c r="AH12" i="647" l="1"/>
  <c r="AN18" i="650"/>
  <c r="AG11" i="647"/>
  <c r="AM17" i="650"/>
  <c r="AN17" i="650" s="1"/>
  <c r="AH11" i="647" l="1"/>
  <c r="AH14" i="647" s="1"/>
  <c r="AG14" i="647"/>
  <c r="AI12" i="647"/>
  <c r="AO18" i="650"/>
  <c r="AI11" i="647" l="1"/>
  <c r="AI14" i="647" s="1"/>
  <c r="AO17" i="650"/>
  <c r="AJ12" i="647"/>
  <c r="AP18" i="650"/>
  <c r="AK12" i="647" l="1"/>
  <c r="AQ18" i="650"/>
  <c r="AJ11" i="647"/>
  <c r="AP17" i="650"/>
  <c r="AL12" i="647" l="1"/>
  <c r="AR18" i="650"/>
  <c r="AK11" i="647"/>
  <c r="AK14" i="647" s="1"/>
  <c r="AQ17" i="650"/>
  <c r="AJ14" i="647"/>
  <c r="AL11" i="647" l="1"/>
  <c r="AL14" i="647" s="1"/>
  <c r="AR17" i="650"/>
  <c r="AS18" i="650"/>
  <c r="AM12" i="647"/>
  <c r="AM11" i="647" l="1"/>
  <c r="AS17" i="650"/>
  <c r="AN12" i="647"/>
  <c r="AT18" i="650"/>
  <c r="AO12" i="647" l="1"/>
  <c r="AU18" i="650"/>
  <c r="AN11" i="647"/>
  <c r="AN14" i="647" s="1"/>
  <c r="AT17" i="650"/>
  <c r="AM14" i="647"/>
  <c r="AO11" i="647" l="1"/>
  <c r="AO14" i="647" s="1"/>
  <c r="AU17" i="650"/>
  <c r="AP12" i="647"/>
  <c r="AV18" i="650"/>
  <c r="AQ12" i="647" l="1"/>
  <c r="AW18" i="650"/>
  <c r="BA18" i="650" s="1"/>
  <c r="AV17" i="650"/>
  <c r="AP11" i="647"/>
  <c r="AP14" i="647" s="1"/>
  <c r="AQ11" i="647" l="1"/>
  <c r="AQ14" i="647" s="1"/>
  <c r="AW17" i="650"/>
  <c r="BA17" i="650" s="1"/>
  <c r="AN16" i="4"/>
  <c r="AR12" i="647"/>
  <c r="AU12" i="647" s="1"/>
  <c r="AV12" i="647" s="1"/>
  <c r="AM16" i="4"/>
  <c r="AP16" i="4" s="1"/>
  <c r="AZ16" i="4" l="1"/>
  <c r="BA16" i="4" s="1"/>
  <c r="AQ16" i="4"/>
  <c r="F951" i="3" s="1"/>
  <c r="AU951" i="3" s="1"/>
  <c r="AW951" i="3" s="1"/>
  <c r="G967" i="6" s="1"/>
  <c r="BA20" i="650"/>
  <c r="AM15" i="4"/>
  <c r="AP15" i="4" s="1"/>
  <c r="AR11" i="647"/>
  <c r="AN15" i="4"/>
  <c r="AZ15" i="4" l="1"/>
  <c r="BA15" i="4" s="1"/>
  <c r="AQ15" i="4"/>
  <c r="AX951" i="3"/>
  <c r="E967" i="6"/>
  <c r="I967" i="6"/>
  <c r="AN18" i="4"/>
  <c r="AM18" i="4"/>
  <c r="AP18" i="4" s="1"/>
  <c r="AR14" i="647"/>
  <c r="AU14" i="647" s="1"/>
  <c r="AV14" i="647" s="1"/>
  <c r="AU11" i="647"/>
  <c r="AV11" i="647" s="1"/>
  <c r="AQ18" i="4" l="1"/>
  <c r="F950" i="3"/>
  <c r="M967" i="6"/>
  <c r="Q967" i="6" s="1"/>
  <c r="N967" i="6"/>
  <c r="T967" i="6" s="1"/>
  <c r="W967" i="6" l="1"/>
  <c r="AB967" i="6" s="1"/>
  <c r="F953" i="3"/>
  <c r="AU953" i="3" s="1"/>
  <c r="AW953" i="3" s="1"/>
  <c r="AU950" i="3"/>
  <c r="AW950" i="3" s="1"/>
  <c r="U49" i="647"/>
  <c r="G966" i="6" l="1"/>
  <c r="AX950" i="3" s="1"/>
  <c r="V49" i="647"/>
  <c r="E966" i="6" l="1"/>
  <c r="I966" i="6"/>
  <c r="G969" i="6"/>
  <c r="AB53" i="650"/>
  <c r="AC53" i="650" s="1"/>
  <c r="W49" i="647"/>
  <c r="E969" i="6" l="1"/>
  <c r="AX953" i="3"/>
  <c r="I969" i="6"/>
  <c r="N966" i="6"/>
  <c r="M966" i="6"/>
  <c r="AD53" i="650"/>
  <c r="X49" i="647"/>
  <c r="Y49" i="647" l="1"/>
  <c r="T966" i="6"/>
  <c r="T969" i="6" s="1"/>
  <c r="N969" i="6"/>
  <c r="M969" i="6"/>
  <c r="Q966" i="6"/>
  <c r="AE53" i="650"/>
  <c r="AF53" i="650" s="1"/>
  <c r="AB48" i="650"/>
  <c r="AB52" i="650"/>
  <c r="AC48" i="650" l="1"/>
  <c r="AB44" i="647" s="1"/>
  <c r="AA44" i="647"/>
  <c r="AC52" i="650"/>
  <c r="AB48" i="647" s="1"/>
  <c r="AA48" i="647"/>
  <c r="Z49" i="647"/>
  <c r="Q969" i="6"/>
  <c r="W966" i="6"/>
  <c r="AD48" i="650" l="1"/>
  <c r="AC44" i="647" s="1"/>
  <c r="AD52" i="650"/>
  <c r="AC48" i="647" s="1"/>
  <c r="AB966" i="6"/>
  <c r="W969" i="6"/>
  <c r="AB969" i="6" s="1"/>
  <c r="AG53" i="650"/>
  <c r="AA49" i="647"/>
  <c r="AE52" i="650" l="1"/>
  <c r="AD48" i="647" s="1"/>
  <c r="AE48" i="650"/>
  <c r="AD44" i="647" s="1"/>
  <c r="AB49" i="647"/>
  <c r="AF52" i="650" l="1"/>
  <c r="AE48" i="647" s="1"/>
  <c r="AF48" i="650"/>
  <c r="AE44" i="647" s="1"/>
  <c r="AI53" i="650"/>
  <c r="AK53" i="650"/>
  <c r="AL53" i="650" s="1"/>
  <c r="AD49" i="647"/>
  <c r="AC49" i="647"/>
  <c r="AG52" i="650" l="1"/>
  <c r="AF48" i="647" s="1"/>
  <c r="AG48" i="650"/>
  <c r="AF44" i="647" s="1"/>
  <c r="AM53" i="650"/>
  <c r="AJ52" i="650" l="1"/>
  <c r="AK50" i="4" s="1"/>
  <c r="AJ48" i="650"/>
  <c r="AE49" i="647"/>
  <c r="AT44" i="647"/>
  <c r="AL46" i="4"/>
  <c r="AK48" i="650"/>
  <c r="AN53" i="650"/>
  <c r="AK52" i="650"/>
  <c r="AL50" i="4"/>
  <c r="AJ53" i="650" l="1"/>
  <c r="AK46" i="4"/>
  <c r="AK51" i="4" s="1"/>
  <c r="AL51" i="4"/>
  <c r="AL52" i="650"/>
  <c r="AG48" i="647" s="1"/>
  <c r="AO53" i="650"/>
  <c r="AL48" i="650"/>
  <c r="AG44" i="647" s="1"/>
  <c r="AF49" i="647"/>
  <c r="AT49" i="647" s="1"/>
  <c r="AT48" i="647"/>
  <c r="AM48" i="650" l="1"/>
  <c r="AH44" i="647" s="1"/>
  <c r="AM52" i="650"/>
  <c r="AH48" i="647" s="1"/>
  <c r="AP53" i="650"/>
  <c r="AN52" i="650" l="1"/>
  <c r="AI48" i="647" s="1"/>
  <c r="AG49" i="647"/>
  <c r="AN48" i="650"/>
  <c r="AI44" i="647" s="1"/>
  <c r="AQ53" i="650"/>
  <c r="AO48" i="650" l="1"/>
  <c r="AJ44" i="647" s="1"/>
  <c r="AO52" i="650"/>
  <c r="AJ48" i="647" s="1"/>
  <c r="AR53" i="650"/>
  <c r="AH49" i="647"/>
  <c r="AP48" i="650" l="1"/>
  <c r="AK44" i="647" s="1"/>
  <c r="AP52" i="650"/>
  <c r="AK48" i="647" s="1"/>
  <c r="AI49" i="647"/>
  <c r="AS53" i="650"/>
  <c r="AQ48" i="650" l="1"/>
  <c r="AL44" i="647" s="1"/>
  <c r="AT53" i="650"/>
  <c r="AQ52" i="650"/>
  <c r="AL48" i="647" s="1"/>
  <c r="AJ49" i="647"/>
  <c r="AR52" i="650" l="1"/>
  <c r="AM48" i="647" s="1"/>
  <c r="AK49" i="647"/>
  <c r="AR48" i="650"/>
  <c r="AM44" i="647" s="1"/>
  <c r="AU53" i="650"/>
  <c r="AV53" i="650" l="1"/>
  <c r="AS52" i="650"/>
  <c r="AN48" i="647" s="1"/>
  <c r="AL49" i="647"/>
  <c r="AS48" i="650"/>
  <c r="AN44" i="647" s="1"/>
  <c r="AT52" i="650" l="1"/>
  <c r="AO48" i="647" s="1"/>
  <c r="AM49" i="647"/>
  <c r="AT48" i="650"/>
  <c r="AO44" i="647" s="1"/>
  <c r="AW53" i="650"/>
  <c r="AY53" i="650" l="1"/>
  <c r="AU52" i="650"/>
  <c r="AP48" i="647" s="1"/>
  <c r="AN49" i="647"/>
  <c r="AU48" i="650"/>
  <c r="AP44" i="647" s="1"/>
  <c r="AV52" i="650" l="1"/>
  <c r="AQ48" i="647" s="1"/>
  <c r="AV48" i="650"/>
  <c r="AQ44" i="647" s="1"/>
  <c r="AO49" i="647"/>
  <c r="AW48" i="650" l="1"/>
  <c r="AW52" i="650"/>
  <c r="AQ49" i="647"/>
  <c r="AP49" i="647"/>
  <c r="BA52" i="650" l="1"/>
  <c r="AM50" i="4" s="1"/>
  <c r="AP50" i="4" s="1"/>
  <c r="AR48" i="647"/>
  <c r="BA48" i="650"/>
  <c r="AR44" i="647"/>
  <c r="AU44" i="647" s="1"/>
  <c r="AV44" i="647" s="1"/>
  <c r="AN50" i="4"/>
  <c r="AN46" i="4"/>
  <c r="BA53" i="650" l="1"/>
  <c r="AM46" i="4"/>
  <c r="AP46" i="4" s="1"/>
  <c r="AZ46" i="4" s="1"/>
  <c r="BA46" i="4" s="1"/>
  <c r="AZ50" i="4"/>
  <c r="BA50" i="4" s="1"/>
  <c r="AQ50" i="4"/>
  <c r="AR49" i="647"/>
  <c r="AU49" i="647" s="1"/>
  <c r="AV49" i="647" s="1"/>
  <c r="AU48" i="647"/>
  <c r="AV48" i="647" s="1"/>
  <c r="AN51" i="4"/>
  <c r="AM51" i="4" l="1"/>
  <c r="AP51" i="4" s="1"/>
  <c r="AQ46" i="4"/>
  <c r="F981" i="3" s="1"/>
  <c r="E981" i="3" s="1"/>
  <c r="F985" i="3"/>
  <c r="AU981" i="3" l="1"/>
  <c r="AW981" i="3" s="1"/>
  <c r="G997" i="6" s="1"/>
  <c r="AX981" i="3" s="1"/>
  <c r="AQ51" i="4"/>
  <c r="F986" i="3"/>
  <c r="AU986" i="3" s="1"/>
  <c r="AW986" i="3" s="1"/>
  <c r="AU985" i="3"/>
  <c r="AW985" i="3" s="1"/>
  <c r="G1001" i="6" s="1"/>
  <c r="AX985" i="3" l="1"/>
  <c r="I1001" i="6"/>
  <c r="E1001" i="6"/>
  <c r="G1002" i="6"/>
  <c r="E1002" i="6" s="1"/>
  <c r="E997" i="6"/>
  <c r="I997" i="6"/>
  <c r="U54" i="647"/>
  <c r="V54" i="647"/>
  <c r="AX986" i="3" l="1"/>
  <c r="N997" i="6"/>
  <c r="T997" i="6" s="1"/>
  <c r="M997" i="6"/>
  <c r="Q997" i="6" s="1"/>
  <c r="W997" i="6" s="1"/>
  <c r="AB997" i="6" s="1"/>
  <c r="M1001" i="6"/>
  <c r="N1001" i="6"/>
  <c r="I1002" i="6"/>
  <c r="AB58" i="650"/>
  <c r="AC58" i="650" s="1"/>
  <c r="W54" i="647"/>
  <c r="N1002" i="6" l="1"/>
  <c r="T1001" i="6"/>
  <c r="T1002" i="6" s="1"/>
  <c r="M1002" i="6"/>
  <c r="Q1001" i="6"/>
  <c r="AD58" i="650"/>
  <c r="X54" i="647"/>
  <c r="Q1002" i="6" l="1"/>
  <c r="W1001" i="6"/>
  <c r="AE58" i="650"/>
  <c r="AB57" i="650"/>
  <c r="Y54" i="647"/>
  <c r="AC57" i="650" l="1"/>
  <c r="AB53" i="647" s="1"/>
  <c r="AA53" i="647"/>
  <c r="AF58" i="650"/>
  <c r="AB1001" i="6"/>
  <c r="W1002" i="6"/>
  <c r="AB1002" i="6" s="1"/>
  <c r="Z54" i="647"/>
  <c r="AB56" i="650"/>
  <c r="AD57" i="650" l="1"/>
  <c r="AC53" i="647" s="1"/>
  <c r="AC56" i="650"/>
  <c r="AB52" i="647" s="1"/>
  <c r="AA52" i="647"/>
  <c r="AA54" i="647" s="1"/>
  <c r="AG58" i="650"/>
  <c r="AE57" i="650" l="1"/>
  <c r="AD53" i="647" s="1"/>
  <c r="AD56" i="650"/>
  <c r="AC52" i="647" s="1"/>
  <c r="AB54" i="647"/>
  <c r="AF57" i="650" l="1"/>
  <c r="AE53" i="647" s="1"/>
  <c r="AE56" i="650"/>
  <c r="AD52" i="647" s="1"/>
  <c r="AC54" i="647"/>
  <c r="AK58" i="650"/>
  <c r="AI58" i="650"/>
  <c r="AG57" i="650" l="1"/>
  <c r="AF53" i="647" s="1"/>
  <c r="AF56" i="650"/>
  <c r="AE52" i="647" s="1"/>
  <c r="AL58" i="650"/>
  <c r="AL56" i="650" s="1"/>
  <c r="AG52" i="647" s="1"/>
  <c r="AD54" i="647"/>
  <c r="AJ57" i="650" l="1"/>
  <c r="AK55" i="4" s="1"/>
  <c r="AG56" i="650"/>
  <c r="AF52" i="647" s="1"/>
  <c r="AT53" i="647"/>
  <c r="AK57" i="650"/>
  <c r="AL55" i="4"/>
  <c r="AE54" i="647"/>
  <c r="AM58" i="650"/>
  <c r="AJ56" i="650" l="1"/>
  <c r="AJ58" i="650" s="1"/>
  <c r="AN58" i="650"/>
  <c r="AL54" i="4"/>
  <c r="AM56" i="650"/>
  <c r="AH52" i="647" s="1"/>
  <c r="AL57" i="650"/>
  <c r="AG53" i="647" s="1"/>
  <c r="AK54" i="4" l="1"/>
  <c r="AK56" i="4" s="1"/>
  <c r="AM57" i="650"/>
  <c r="AH53" i="647" s="1"/>
  <c r="AF54" i="647"/>
  <c r="AT54" i="647" s="1"/>
  <c r="AT52" i="647"/>
  <c r="AL56" i="4"/>
  <c r="AO58" i="650"/>
  <c r="AN56" i="650"/>
  <c r="AI52" i="647" s="1"/>
  <c r="AP58" i="650" l="1"/>
  <c r="AO56" i="650"/>
  <c r="AJ52" i="647" s="1"/>
  <c r="AG54" i="647"/>
  <c r="AH54" i="647"/>
  <c r="AN57" i="650"/>
  <c r="AI53" i="647" s="1"/>
  <c r="AI54" i="647" l="1"/>
  <c r="AO57" i="650"/>
  <c r="AJ53" i="647" s="1"/>
  <c r="AP56" i="650"/>
  <c r="AK52" i="647" s="1"/>
  <c r="AQ58" i="650"/>
  <c r="AP57" i="650" l="1"/>
  <c r="AK53" i="647" s="1"/>
  <c r="AR58" i="650"/>
  <c r="AQ56" i="650"/>
  <c r="AL52" i="647" s="1"/>
  <c r="AJ54" i="647"/>
  <c r="AK54" i="647" l="1"/>
  <c r="AQ57" i="650"/>
  <c r="AL53" i="647" s="1"/>
  <c r="AR56" i="650"/>
  <c r="AM52" i="647" s="1"/>
  <c r="AS58" i="650"/>
  <c r="AR57" i="650" l="1"/>
  <c r="AM53" i="647" s="1"/>
  <c r="AT58" i="650"/>
  <c r="AS56" i="650"/>
  <c r="AN52" i="647" s="1"/>
  <c r="AT56" i="650" l="1"/>
  <c r="AO52" i="647" s="1"/>
  <c r="AM54" i="647"/>
  <c r="AS57" i="650"/>
  <c r="AN53" i="647" s="1"/>
  <c r="AU58" i="650"/>
  <c r="AL54" i="647"/>
  <c r="AN54" i="647" l="1"/>
  <c r="AT57" i="650"/>
  <c r="AO53" i="647" s="1"/>
  <c r="AV58" i="650"/>
  <c r="AU56" i="650"/>
  <c r="AP52" i="647" s="1"/>
  <c r="AU57" i="650" l="1"/>
  <c r="AP53" i="647" s="1"/>
  <c r="AW58" i="650"/>
  <c r="AV56" i="650"/>
  <c r="AQ52" i="647" s="1"/>
  <c r="AO54" i="647"/>
  <c r="AY58" i="650" l="1"/>
  <c r="AW56" i="650"/>
  <c r="AP54" i="647"/>
  <c r="AV57" i="650"/>
  <c r="AQ53" i="647" s="1"/>
  <c r="BA56" i="650" l="1"/>
  <c r="AM54" i="4" s="1"/>
  <c r="AP54" i="4" s="1"/>
  <c r="AZ54" i="4" s="1"/>
  <c r="BA54" i="4" s="1"/>
  <c r="AR52" i="647"/>
  <c r="AN54" i="4"/>
  <c r="AQ54" i="647"/>
  <c r="AW57" i="650"/>
  <c r="BA57" i="650" l="1"/>
  <c r="BA58" i="650" s="1"/>
  <c r="AR53" i="647"/>
  <c r="AU53" i="647" s="1"/>
  <c r="AV53" i="647" s="1"/>
  <c r="AN55" i="4"/>
  <c r="AU52" i="647"/>
  <c r="AV52" i="647" s="1"/>
  <c r="AM55" i="4" l="1"/>
  <c r="AP55" i="4" s="1"/>
  <c r="AZ55" i="4" s="1"/>
  <c r="BA55" i="4" s="1"/>
  <c r="AR54" i="647"/>
  <c r="AU54" i="647" s="1"/>
  <c r="AV54" i="647" s="1"/>
  <c r="AN56" i="4"/>
  <c r="AM56" i="4" l="1"/>
  <c r="AP56" i="4" s="1"/>
  <c r="AQ55" i="4"/>
  <c r="AQ56" i="4" s="1"/>
  <c r="F990" i="3" l="1"/>
  <c r="AU990" i="3" s="1"/>
  <c r="AW990" i="3" s="1"/>
  <c r="G1006" i="6" s="1"/>
  <c r="AB63" i="650"/>
  <c r="AC63" i="650" s="1"/>
  <c r="U59" i="647"/>
  <c r="F991" i="3" l="1"/>
  <c r="AU991" i="3" s="1"/>
  <c r="AW991" i="3" s="1"/>
  <c r="V59" i="647"/>
  <c r="AD63" i="650"/>
  <c r="AE63" i="650" s="1"/>
  <c r="AX990" i="3"/>
  <c r="G1007" i="6"/>
  <c r="E1007" i="6" s="1"/>
  <c r="E1006" i="6"/>
  <c r="I1006" i="6"/>
  <c r="AX991" i="3" l="1"/>
  <c r="I1007" i="6"/>
  <c r="M1006" i="6"/>
  <c r="N1006" i="6"/>
  <c r="W59" i="647"/>
  <c r="AF63" i="650" l="1"/>
  <c r="M1007" i="6"/>
  <c r="Q1006" i="6"/>
  <c r="T1006" i="6"/>
  <c r="T1007" i="6" s="1"/>
  <c r="N1007" i="6"/>
  <c r="X59" i="647"/>
  <c r="Q1007" i="6" l="1"/>
  <c r="W1006" i="6"/>
  <c r="AG63" i="650"/>
  <c r="Y59" i="647"/>
  <c r="AB61" i="650"/>
  <c r="AB62" i="650"/>
  <c r="AC62" i="650" l="1"/>
  <c r="AB58" i="647" s="1"/>
  <c r="AA58" i="647"/>
  <c r="AC61" i="650"/>
  <c r="AB57" i="647" s="1"/>
  <c r="AA57" i="647"/>
  <c r="W1007" i="6"/>
  <c r="AB1007" i="6" s="1"/>
  <c r="AB1006" i="6"/>
  <c r="Z59" i="647"/>
  <c r="AD61" i="650" l="1"/>
  <c r="AC57" i="647" s="1"/>
  <c r="AD62" i="650"/>
  <c r="AC58" i="647" s="1"/>
  <c r="AA59" i="647"/>
  <c r="AK63" i="650"/>
  <c r="AL63" i="650" s="1"/>
  <c r="AI63" i="650"/>
  <c r="AE61" i="650" l="1"/>
  <c r="AD57" i="647" s="1"/>
  <c r="AE62" i="650"/>
  <c r="AD58" i="647" s="1"/>
  <c r="AM63" i="650"/>
  <c r="AB59" i="647"/>
  <c r="AF61" i="650" l="1"/>
  <c r="AE57" i="647" s="1"/>
  <c r="AF62" i="650"/>
  <c r="AE58" i="647" s="1"/>
  <c r="AC59" i="647"/>
  <c r="AN63" i="650"/>
  <c r="AG61" i="650" l="1"/>
  <c r="AF57" i="647" s="1"/>
  <c r="AG62" i="650"/>
  <c r="AF58" i="647" s="1"/>
  <c r="AO63" i="650"/>
  <c r="AD59" i="647"/>
  <c r="AJ61" i="650" l="1"/>
  <c r="AK59" i="4" s="1"/>
  <c r="AJ62" i="650"/>
  <c r="AL59" i="4"/>
  <c r="AK61" i="650"/>
  <c r="AP63" i="650"/>
  <c r="AE59" i="647"/>
  <c r="AT58" i="647"/>
  <c r="AL60" i="4"/>
  <c r="AK62" i="650"/>
  <c r="AJ63" i="650" l="1"/>
  <c r="AK60" i="4"/>
  <c r="AK61" i="4" s="1"/>
  <c r="AL61" i="650"/>
  <c r="AG57" i="647" s="1"/>
  <c r="AF59" i="647"/>
  <c r="AT59" i="647" s="1"/>
  <c r="AT57" i="647"/>
  <c r="AL61" i="4"/>
  <c r="AL62" i="650"/>
  <c r="AG58" i="647" s="1"/>
  <c r="AQ63" i="650"/>
  <c r="AR63" i="650" l="1"/>
  <c r="AM62" i="650"/>
  <c r="AH58" i="647" s="1"/>
  <c r="AM61" i="650"/>
  <c r="AH57" i="647" s="1"/>
  <c r="AN61" i="650" l="1"/>
  <c r="AI57" i="647" s="1"/>
  <c r="AS63" i="650"/>
  <c r="AN62" i="650"/>
  <c r="AI58" i="647" s="1"/>
  <c r="AG59" i="647"/>
  <c r="AT63" i="650" l="1"/>
  <c r="AO62" i="650"/>
  <c r="AJ58" i="647" s="1"/>
  <c r="AO61" i="650"/>
  <c r="AJ57" i="647" s="1"/>
  <c r="AH59" i="647"/>
  <c r="AI59" i="647" l="1"/>
  <c r="AP62" i="650"/>
  <c r="AK58" i="647" s="1"/>
  <c r="AU63" i="650"/>
  <c r="AP61" i="650"/>
  <c r="AK57" i="647" s="1"/>
  <c r="AQ62" i="650" l="1"/>
  <c r="AL58" i="647" s="1"/>
  <c r="AV63" i="650"/>
  <c r="AQ61" i="650"/>
  <c r="AL57" i="647" s="1"/>
  <c r="AJ59" i="647"/>
  <c r="AW63" i="650" l="1"/>
  <c r="AR61" i="650"/>
  <c r="AM57" i="647" s="1"/>
  <c r="AR62" i="650"/>
  <c r="AM58" i="647" s="1"/>
  <c r="AK59" i="647"/>
  <c r="AL59" i="647" l="1"/>
  <c r="AS61" i="650"/>
  <c r="AN57" i="647" s="1"/>
  <c r="AY63" i="650"/>
  <c r="AS62" i="650"/>
  <c r="AN58" i="647" s="1"/>
  <c r="AM59" i="647" l="1"/>
  <c r="AT62" i="650"/>
  <c r="AO58" i="647" s="1"/>
  <c r="AT61" i="650"/>
  <c r="AO57" i="647" s="1"/>
  <c r="AU61" i="650" l="1"/>
  <c r="AP57" i="647" s="1"/>
  <c r="AU62" i="650"/>
  <c r="AP58" i="647" s="1"/>
  <c r="AN59" i="647"/>
  <c r="AV62" i="650" l="1"/>
  <c r="AQ58" i="647" s="1"/>
  <c r="AV61" i="650"/>
  <c r="AQ57" i="647" s="1"/>
  <c r="AO59" i="647"/>
  <c r="AP59" i="647" l="1"/>
  <c r="AW61" i="650"/>
  <c r="AW62" i="650"/>
  <c r="BA61" i="650" l="1"/>
  <c r="AM59" i="4" s="1"/>
  <c r="AP59" i="4" s="1"/>
  <c r="AR57" i="647"/>
  <c r="BA62" i="650"/>
  <c r="AM60" i="4" s="1"/>
  <c r="AP60" i="4" s="1"/>
  <c r="AR58" i="647"/>
  <c r="AU58" i="647" s="1"/>
  <c r="AV58" i="647" s="1"/>
  <c r="AN60" i="4"/>
  <c r="AN59" i="4"/>
  <c r="AQ59" i="647"/>
  <c r="BA63" i="650" l="1"/>
  <c r="AQ59" i="4"/>
  <c r="AZ59" i="4"/>
  <c r="BA59" i="4" s="1"/>
  <c r="AZ60" i="4"/>
  <c r="BA60" i="4" s="1"/>
  <c r="AQ60" i="4"/>
  <c r="F995" i="3" s="1"/>
  <c r="AU995" i="3" s="1"/>
  <c r="AW995" i="3" s="1"/>
  <c r="AM61" i="4"/>
  <c r="AP61" i="4" s="1"/>
  <c r="AN61" i="4"/>
  <c r="AR59" i="647"/>
  <c r="AU59" i="647" s="1"/>
  <c r="AV59" i="647" s="1"/>
  <c r="AU57" i="647"/>
  <c r="AV57" i="647" s="1"/>
  <c r="G1011" i="6" l="1"/>
  <c r="AX995" i="3" s="1"/>
  <c r="AQ61" i="4"/>
  <c r="F994" i="3"/>
  <c r="F996" i="3" l="1"/>
  <c r="AU996" i="3" s="1"/>
  <c r="AW996" i="3" s="1"/>
  <c r="AU994" i="3"/>
  <c r="AW994" i="3" s="1"/>
  <c r="G1010" i="6" s="1"/>
  <c r="E1011" i="6"/>
  <c r="I1011" i="6"/>
  <c r="U64" i="647"/>
  <c r="M1011" i="6" l="1"/>
  <c r="Q1011" i="6" s="1"/>
  <c r="N1011" i="6"/>
  <c r="T1011" i="6" s="1"/>
  <c r="AX994" i="3"/>
  <c r="E1010" i="6"/>
  <c r="I1010" i="6"/>
  <c r="G1012" i="6"/>
  <c r="E1012" i="6" s="1"/>
  <c r="V64" i="647"/>
  <c r="W1011" i="6" l="1"/>
  <c r="AB1011" i="6" s="1"/>
  <c r="AX996" i="3"/>
  <c r="I1012" i="6"/>
  <c r="M1010" i="6"/>
  <c r="N1010" i="6"/>
  <c r="Q1010" i="6" l="1"/>
  <c r="M1012" i="6"/>
  <c r="N1012" i="6"/>
  <c r="T1010" i="6"/>
  <c r="T1012" i="6" s="1"/>
  <c r="X64" i="647"/>
  <c r="W64" i="647"/>
  <c r="W1010" i="6" l="1"/>
  <c r="Q1012" i="6"/>
  <c r="AB68" i="650"/>
  <c r="AC68" i="650" s="1"/>
  <c r="Y64" i="647"/>
  <c r="AD68" i="650" l="1"/>
  <c r="W1012" i="6"/>
  <c r="AB1012" i="6" s="1"/>
  <c r="AB1010" i="6"/>
  <c r="AB67" i="650"/>
  <c r="AB66" i="650"/>
  <c r="AC66" i="650" l="1"/>
  <c r="AB62" i="647" s="1"/>
  <c r="AA62" i="647"/>
  <c r="AC67" i="650"/>
  <c r="AB63" i="647" s="1"/>
  <c r="AA63" i="647"/>
  <c r="AE68" i="650"/>
  <c r="Z64" i="647"/>
  <c r="AD66" i="650" l="1"/>
  <c r="AC62" i="647" s="1"/>
  <c r="AD67" i="650"/>
  <c r="AC63" i="647" s="1"/>
  <c r="AF68" i="650"/>
  <c r="AA64" i="647"/>
  <c r="AE66" i="650" l="1"/>
  <c r="AD62" i="647" s="1"/>
  <c r="AE67" i="650"/>
  <c r="AD63" i="647" s="1"/>
  <c r="AG68" i="650"/>
  <c r="AB64" i="647"/>
  <c r="AF66" i="650" l="1"/>
  <c r="AE62" i="647" s="1"/>
  <c r="AF67" i="650"/>
  <c r="AE63" i="647" s="1"/>
  <c r="AC64" i="647"/>
  <c r="AG66" i="650" l="1"/>
  <c r="AF62" i="647" s="1"/>
  <c r="AG67" i="650"/>
  <c r="AF63" i="647" s="1"/>
  <c r="AI68" i="650"/>
  <c r="AK68" i="650"/>
  <c r="AL68" i="650" s="1"/>
  <c r="AD64" i="647"/>
  <c r="AJ67" i="650" l="1"/>
  <c r="AK65" i="4" s="1"/>
  <c r="AJ66" i="650"/>
  <c r="AE64" i="647"/>
  <c r="AT63" i="647"/>
  <c r="AL65" i="4"/>
  <c r="AK67" i="650"/>
  <c r="AK66" i="650"/>
  <c r="AL64" i="4"/>
  <c r="AM68" i="650"/>
  <c r="AJ68" i="650" l="1"/>
  <c r="AK64" i="4"/>
  <c r="AK66" i="4" s="1"/>
  <c r="AN68" i="650"/>
  <c r="AL66" i="4"/>
  <c r="AL67" i="650"/>
  <c r="AG63" i="647" s="1"/>
  <c r="AF64" i="647"/>
  <c r="AT64" i="647" s="1"/>
  <c r="AT62" i="647"/>
  <c r="AL66" i="650"/>
  <c r="AG62" i="647" s="1"/>
  <c r="AM67" i="650" l="1"/>
  <c r="AH63" i="647" s="1"/>
  <c r="AO68" i="650"/>
  <c r="AM66" i="650"/>
  <c r="AH62" i="647" s="1"/>
  <c r="AN66" i="650" l="1"/>
  <c r="AI62" i="647" s="1"/>
  <c r="AN67" i="650"/>
  <c r="AI63" i="647" s="1"/>
  <c r="AP68" i="650"/>
  <c r="AG64" i="647"/>
  <c r="AH64" i="647" l="1"/>
  <c r="AO66" i="650"/>
  <c r="AJ62" i="647" s="1"/>
  <c r="AO67" i="650"/>
  <c r="AJ63" i="647" s="1"/>
  <c r="AQ68" i="650"/>
  <c r="AP66" i="650" l="1"/>
  <c r="AK62" i="647" s="1"/>
  <c r="AI64" i="647"/>
  <c r="AP67" i="650"/>
  <c r="AK63" i="647" s="1"/>
  <c r="AR68" i="650"/>
  <c r="AJ64" i="647" l="1"/>
  <c r="AQ67" i="650"/>
  <c r="AL63" i="647" s="1"/>
  <c r="AQ66" i="650"/>
  <c r="AL62" i="647" s="1"/>
  <c r="AS68" i="650"/>
  <c r="AK64" i="647" l="1"/>
  <c r="AT68" i="650"/>
  <c r="AR66" i="650"/>
  <c r="AM62" i="647" s="1"/>
  <c r="AR67" i="650"/>
  <c r="AM63" i="647" s="1"/>
  <c r="AL64" i="647" l="1"/>
  <c r="AS67" i="650"/>
  <c r="AN63" i="647" s="1"/>
  <c r="AS66" i="650"/>
  <c r="AN62" i="647" s="1"/>
  <c r="AU68" i="650"/>
  <c r="AT67" i="650" l="1"/>
  <c r="AO63" i="647" s="1"/>
  <c r="AV68" i="650"/>
  <c r="AM64" i="647"/>
  <c r="AT66" i="650"/>
  <c r="AO62" i="647" s="1"/>
  <c r="AN64" i="647" l="1"/>
  <c r="AU67" i="650"/>
  <c r="AP63" i="647" s="1"/>
  <c r="AW68" i="650"/>
  <c r="AU66" i="650"/>
  <c r="AP62" i="647" s="1"/>
  <c r="AO64" i="647" l="1"/>
  <c r="AY68" i="650"/>
  <c r="AV67" i="650"/>
  <c r="AQ63" i="647" s="1"/>
  <c r="AV66" i="650"/>
  <c r="AQ62" i="647" s="1"/>
  <c r="AP64" i="647" l="1"/>
  <c r="AW66" i="650"/>
  <c r="AW67" i="650"/>
  <c r="BA67" i="650" l="1"/>
  <c r="AM65" i="4" s="1"/>
  <c r="AP65" i="4" s="1"/>
  <c r="AR63" i="647"/>
  <c r="AU63" i="647" s="1"/>
  <c r="AV63" i="647" s="1"/>
  <c r="BA66" i="650"/>
  <c r="AM64" i="4" s="1"/>
  <c r="AP64" i="4" s="1"/>
  <c r="AR62" i="647"/>
  <c r="AQ64" i="647"/>
  <c r="AN65" i="4"/>
  <c r="AN64" i="4"/>
  <c r="BA68" i="650" l="1"/>
  <c r="AZ64" i="4"/>
  <c r="BA64" i="4" s="1"/>
  <c r="AQ64" i="4"/>
  <c r="AZ65" i="4"/>
  <c r="BA65" i="4" s="1"/>
  <c r="AQ65" i="4"/>
  <c r="F1000" i="3" s="1"/>
  <c r="AU1000" i="3" s="1"/>
  <c r="AW1000" i="3" s="1"/>
  <c r="G1016" i="6" s="1"/>
  <c r="AM66" i="4"/>
  <c r="AP66" i="4" s="1"/>
  <c r="AN66" i="4"/>
  <c r="AR64" i="647"/>
  <c r="AU64" i="647" s="1"/>
  <c r="AV64" i="647" s="1"/>
  <c r="AU62" i="647"/>
  <c r="AV62" i="647" s="1"/>
  <c r="AX1000" i="3" l="1"/>
  <c r="E1016" i="6"/>
  <c r="I1016" i="6"/>
  <c r="AQ66" i="4"/>
  <c r="F999" i="3"/>
  <c r="AU999" i="3" l="1"/>
  <c r="AW999" i="3" s="1"/>
  <c r="F1001" i="3"/>
  <c r="AU1001" i="3" s="1"/>
  <c r="AW1001" i="3" s="1"/>
  <c r="N1016" i="6"/>
  <c r="T1016" i="6" s="1"/>
  <c r="M1016" i="6"/>
  <c r="Q1016" i="6" s="1"/>
  <c r="W1016" i="6" s="1"/>
  <c r="AB1016" i="6" s="1"/>
  <c r="G1015" i="6" l="1"/>
  <c r="AX999" i="3" s="1"/>
  <c r="V69" i="647"/>
  <c r="U69" i="647"/>
  <c r="G1017" i="6" l="1"/>
  <c r="I1015" i="6"/>
  <c r="E1015" i="6"/>
  <c r="I1017" i="6" l="1"/>
  <c r="N1015" i="6"/>
  <c r="M1015" i="6"/>
  <c r="E1017" i="6"/>
  <c r="AX1001" i="3"/>
  <c r="W69" i="647"/>
  <c r="AB73" i="650"/>
  <c r="AC73" i="650" s="1"/>
  <c r="X69" i="647"/>
  <c r="M1017" i="6" l="1"/>
  <c r="Q1015" i="6"/>
  <c r="AD73" i="650"/>
  <c r="N1017" i="6"/>
  <c r="T1015" i="6"/>
  <c r="T1017" i="6" s="1"/>
  <c r="Y69" i="647"/>
  <c r="AB72" i="650"/>
  <c r="AC72" i="650" l="1"/>
  <c r="AB68" i="647" s="1"/>
  <c r="AA68" i="647"/>
  <c r="AE73" i="650"/>
  <c r="W1015" i="6"/>
  <c r="Q1017" i="6"/>
  <c r="AB71" i="650"/>
  <c r="AD72" i="650" l="1"/>
  <c r="AC68" i="647" s="1"/>
  <c r="AC71" i="650"/>
  <c r="AB67" i="647" s="1"/>
  <c r="AA67" i="647"/>
  <c r="AA69" i="647" s="1"/>
  <c r="AB1015" i="6"/>
  <c r="W1017" i="6"/>
  <c r="AB1017" i="6" s="1"/>
  <c r="AF73" i="650"/>
  <c r="Z69" i="647"/>
  <c r="AD71" i="650" l="1"/>
  <c r="AC67" i="647" s="1"/>
  <c r="AE72" i="650"/>
  <c r="AD68" i="647" s="1"/>
  <c r="AG73" i="650"/>
  <c r="AE71" i="650" l="1"/>
  <c r="AD67" i="647" s="1"/>
  <c r="AF72" i="650"/>
  <c r="AE68" i="647" s="1"/>
  <c r="AC69" i="647"/>
  <c r="AB69" i="647"/>
  <c r="AF71" i="650" l="1"/>
  <c r="AE67" i="647" s="1"/>
  <c r="AG72" i="650"/>
  <c r="AF68" i="647" s="1"/>
  <c r="AI73" i="650"/>
  <c r="AK73" i="650"/>
  <c r="AL73" i="650" s="1"/>
  <c r="AD69" i="647"/>
  <c r="AJ72" i="650" l="1"/>
  <c r="AK70" i="4" s="1"/>
  <c r="AG71" i="650"/>
  <c r="AF67" i="647" s="1"/>
  <c r="AT68" i="647"/>
  <c r="AK72" i="650"/>
  <c r="AL70" i="4"/>
  <c r="AM73" i="650"/>
  <c r="AE69" i="647"/>
  <c r="AJ71" i="650" l="1"/>
  <c r="AK69" i="4" s="1"/>
  <c r="AN73" i="650"/>
  <c r="AL72" i="650"/>
  <c r="AG68" i="647" s="1"/>
  <c r="AK71" i="650"/>
  <c r="AL69" i="4"/>
  <c r="AJ73" i="650" l="1"/>
  <c r="AM72" i="650"/>
  <c r="AH68" i="647" s="1"/>
  <c r="AL71" i="4"/>
  <c r="AL71" i="650"/>
  <c r="AG67" i="647" s="1"/>
  <c r="AF69" i="647"/>
  <c r="AT69" i="647" s="1"/>
  <c r="AT67" i="647"/>
  <c r="AK71" i="4"/>
  <c r="AO73" i="650"/>
  <c r="AN72" i="650" l="1"/>
  <c r="AI68" i="647" s="1"/>
  <c r="AM71" i="650"/>
  <c r="AH67" i="647" s="1"/>
  <c r="AP73" i="650"/>
  <c r="AO72" i="650" l="1"/>
  <c r="AJ68" i="647" s="1"/>
  <c r="AQ73" i="650"/>
  <c r="AG69" i="647"/>
  <c r="AH69" i="647"/>
  <c r="AN71" i="650"/>
  <c r="AI67" i="647" s="1"/>
  <c r="AR73" i="650" l="1"/>
  <c r="AP72" i="650"/>
  <c r="AK68" i="647" s="1"/>
  <c r="AI69" i="647"/>
  <c r="AO71" i="650"/>
  <c r="AJ67" i="647" s="1"/>
  <c r="AJ69" i="647" l="1"/>
  <c r="AP71" i="650"/>
  <c r="AK67" i="647" s="1"/>
  <c r="AS73" i="650"/>
  <c r="AQ72" i="650"/>
  <c r="AL68" i="647" s="1"/>
  <c r="AK69" i="647" l="1"/>
  <c r="AQ71" i="650"/>
  <c r="AL67" i="647" s="1"/>
  <c r="AT73" i="650"/>
  <c r="AR72" i="650"/>
  <c r="AM68" i="647" s="1"/>
  <c r="AR71" i="650" l="1"/>
  <c r="AM67" i="647" s="1"/>
  <c r="AU73" i="650"/>
  <c r="AS72" i="650"/>
  <c r="AN68" i="647" s="1"/>
  <c r="AM69" i="647" l="1"/>
  <c r="AS71" i="650"/>
  <c r="AN67" i="647" s="1"/>
  <c r="AT72" i="650"/>
  <c r="AO68" i="647" s="1"/>
  <c r="AV73" i="650"/>
  <c r="AL69" i="647"/>
  <c r="AW73" i="650" l="1"/>
  <c r="AU72" i="650"/>
  <c r="AP68" i="647" s="1"/>
  <c r="AT71" i="650"/>
  <c r="AO67" i="647" s="1"/>
  <c r="AN69" i="647"/>
  <c r="AO69" i="647" l="1"/>
  <c r="AU71" i="650"/>
  <c r="AP67" i="647" s="1"/>
  <c r="AV72" i="650"/>
  <c r="AQ68" i="647" s="1"/>
  <c r="AY73" i="650"/>
  <c r="AW72" i="650" l="1"/>
  <c r="AV71" i="650"/>
  <c r="AQ67" i="647" s="1"/>
  <c r="AP69" i="647"/>
  <c r="BA72" i="650" l="1"/>
  <c r="AM70" i="4" s="1"/>
  <c r="AP70" i="4" s="1"/>
  <c r="AR68" i="647"/>
  <c r="AU68" i="647" s="1"/>
  <c r="AV68" i="647" s="1"/>
  <c r="AQ69" i="647"/>
  <c r="AW71" i="650"/>
  <c r="AN70" i="4"/>
  <c r="BA71" i="650" l="1"/>
  <c r="AM69" i="4" s="1"/>
  <c r="AP69" i="4" s="1"/>
  <c r="AR67" i="647"/>
  <c r="AZ70" i="4"/>
  <c r="BA70" i="4" s="1"/>
  <c r="AQ70" i="4"/>
  <c r="F1005" i="3" s="1"/>
  <c r="AU1005" i="3" s="1"/>
  <c r="AW1005" i="3" s="1"/>
  <c r="AN69" i="4"/>
  <c r="BA73" i="650" l="1"/>
  <c r="G1021" i="6"/>
  <c r="AX1005" i="3" s="1"/>
  <c r="AZ69" i="4"/>
  <c r="BA69" i="4" s="1"/>
  <c r="AQ69" i="4"/>
  <c r="AR69" i="647"/>
  <c r="AU69" i="647" s="1"/>
  <c r="AV69" i="647" s="1"/>
  <c r="AU67" i="647"/>
  <c r="AV67" i="647" s="1"/>
  <c r="AN71" i="4"/>
  <c r="AM71" i="4"/>
  <c r="AP71" i="4" s="1"/>
  <c r="AQ71" i="4" l="1"/>
  <c r="F1004" i="3"/>
  <c r="E1021" i="6"/>
  <c r="I1021" i="6"/>
  <c r="M1021" i="6" l="1"/>
  <c r="Q1021" i="6" s="1"/>
  <c r="N1021" i="6"/>
  <c r="T1021" i="6" s="1"/>
  <c r="F1006" i="3"/>
  <c r="AU1006" i="3" s="1"/>
  <c r="AW1006" i="3" s="1"/>
  <c r="AU1004" i="3"/>
  <c r="AW1004" i="3" s="1"/>
  <c r="G1020" i="6" s="1"/>
  <c r="W1021" i="6" l="1"/>
  <c r="AB1021" i="6" s="1"/>
  <c r="AX1004" i="3"/>
  <c r="G1022" i="6"/>
  <c r="E1022" i="6" s="1"/>
  <c r="I1020" i="6"/>
  <c r="E1020" i="6"/>
  <c r="V74" i="647"/>
  <c r="U74" i="647"/>
  <c r="M1020" i="6" l="1"/>
  <c r="I1022" i="6"/>
  <c r="N1020" i="6"/>
  <c r="AX1006" i="3"/>
  <c r="AB78" i="650"/>
  <c r="AC78" i="650" s="1"/>
  <c r="W74" i="647"/>
  <c r="T1020" i="6" l="1"/>
  <c r="T1022" i="6" s="1"/>
  <c r="N1022" i="6"/>
  <c r="AD78" i="650"/>
  <c r="Q1020" i="6"/>
  <c r="M1022" i="6"/>
  <c r="AB76" i="650"/>
  <c r="AC76" i="650" l="1"/>
  <c r="AB72" i="647" s="1"/>
  <c r="AA72" i="647"/>
  <c r="AE78" i="650"/>
  <c r="Q1022" i="6"/>
  <c r="W1020" i="6"/>
  <c r="X74" i="647"/>
  <c r="Y74" i="647"/>
  <c r="AD76" i="650" l="1"/>
  <c r="AC72" i="647" s="1"/>
  <c r="AB1020" i="6"/>
  <c r="W1022" i="6"/>
  <c r="AB1022" i="6" s="1"/>
  <c r="AF78" i="650"/>
  <c r="Z74" i="647"/>
  <c r="AB77" i="650"/>
  <c r="AE76" i="650" l="1"/>
  <c r="AD72" i="647" s="1"/>
  <c r="AC77" i="650"/>
  <c r="AB73" i="647" s="1"/>
  <c r="AA73" i="647"/>
  <c r="AA74" i="647" s="1"/>
  <c r="AG78" i="650"/>
  <c r="AF76" i="650" l="1"/>
  <c r="AE72" i="647" s="1"/>
  <c r="AD77" i="650"/>
  <c r="AC73" i="647" s="1"/>
  <c r="AB74" i="647"/>
  <c r="AG76" i="650" l="1"/>
  <c r="AF72" i="647" s="1"/>
  <c r="AE77" i="650"/>
  <c r="AD73" i="647" s="1"/>
  <c r="AK78" i="650"/>
  <c r="AL78" i="650" s="1"/>
  <c r="AI78" i="650"/>
  <c r="AC74" i="647"/>
  <c r="AF77" i="650" l="1"/>
  <c r="AE73" i="647" s="1"/>
  <c r="AJ76" i="650"/>
  <c r="AK74" i="4" s="1"/>
  <c r="AG77" i="650"/>
  <c r="AF73" i="647" s="1"/>
  <c r="AL74" i="4"/>
  <c r="AK76" i="650"/>
  <c r="AD74" i="647"/>
  <c r="AM78" i="650"/>
  <c r="AL76" i="650" l="1"/>
  <c r="AG72" i="647" s="1"/>
  <c r="AE74" i="647"/>
  <c r="AN78" i="650"/>
  <c r="AT72" i="647"/>
  <c r="AL75" i="4" l="1"/>
  <c r="AK77" i="650"/>
  <c r="AJ77" i="650"/>
  <c r="AM76" i="650"/>
  <c r="AH72" i="647" s="1"/>
  <c r="AO78" i="650"/>
  <c r="AP78" i="650" l="1"/>
  <c r="AL77" i="650"/>
  <c r="AG73" i="647" s="1"/>
  <c r="AL76" i="4"/>
  <c r="AK75" i="4"/>
  <c r="AJ78" i="650"/>
  <c r="AN76" i="650"/>
  <c r="AI72" i="647" s="1"/>
  <c r="AT73" i="647"/>
  <c r="AF74" i="647"/>
  <c r="AT74" i="647" s="1"/>
  <c r="AO76" i="650" l="1"/>
  <c r="AJ72" i="647" s="1"/>
  <c r="AM77" i="650"/>
  <c r="AH73" i="647" s="1"/>
  <c r="AQ78" i="650"/>
  <c r="AK76" i="4"/>
  <c r="AH74" i="647" l="1"/>
  <c r="AN77" i="650"/>
  <c r="AI73" i="647" s="1"/>
  <c r="AP76" i="650"/>
  <c r="AK72" i="647" s="1"/>
  <c r="AR78" i="650"/>
  <c r="AG74" i="647"/>
  <c r="AO77" i="650" l="1"/>
  <c r="AJ73" i="647" s="1"/>
  <c r="AS78" i="650"/>
  <c r="AQ76" i="650"/>
  <c r="AL72" i="647" s="1"/>
  <c r="AI74" i="647" l="1"/>
  <c r="AR76" i="650"/>
  <c r="AM72" i="647" s="1"/>
  <c r="AT78" i="650"/>
  <c r="AJ74" i="647"/>
  <c r="AP77" i="650"/>
  <c r="AK73" i="647" s="1"/>
  <c r="AK74" i="647" l="1"/>
  <c r="AQ77" i="650"/>
  <c r="AL73" i="647" s="1"/>
  <c r="AU78" i="650"/>
  <c r="AS76" i="650"/>
  <c r="AN72" i="647" s="1"/>
  <c r="AL74" i="647" l="1"/>
  <c r="AR77" i="650"/>
  <c r="AM73" i="647" s="1"/>
  <c r="AT76" i="650"/>
  <c r="AO72" i="647" s="1"/>
  <c r="AV78" i="650"/>
  <c r="AS77" i="650" l="1"/>
  <c r="AN73" i="647" s="1"/>
  <c r="AW78" i="650"/>
  <c r="AU76" i="650"/>
  <c r="AP72" i="647" s="1"/>
  <c r="AV76" i="650" l="1"/>
  <c r="AQ72" i="647" s="1"/>
  <c r="AN74" i="647"/>
  <c r="AT77" i="650"/>
  <c r="AO73" i="647" s="1"/>
  <c r="AY78" i="650"/>
  <c r="AM74" i="647"/>
  <c r="AO74" i="647" l="1"/>
  <c r="AU77" i="650"/>
  <c r="AP73" i="647" s="1"/>
  <c r="AW76" i="650"/>
  <c r="AR72" i="647" s="1"/>
  <c r="AN74" i="4" l="1"/>
  <c r="AP74" i="647"/>
  <c r="AV77" i="650"/>
  <c r="AQ73" i="647" s="1"/>
  <c r="BA76" i="650"/>
  <c r="AQ74" i="647" l="1"/>
  <c r="AW77" i="650"/>
  <c r="AU72" i="647"/>
  <c r="AV72" i="647" s="1"/>
  <c r="AM74" i="4"/>
  <c r="AP74" i="4" s="1"/>
  <c r="BA77" i="650" l="1"/>
  <c r="BA78" i="650" s="1"/>
  <c r="AR73" i="647"/>
  <c r="AZ74" i="4"/>
  <c r="BA74" i="4" s="1"/>
  <c r="AQ74" i="4"/>
  <c r="AN75" i="4"/>
  <c r="AM75" i="4" l="1"/>
  <c r="AP75" i="4" s="1"/>
  <c r="AZ75" i="4" s="1"/>
  <c r="BA75" i="4" s="1"/>
  <c r="F1009" i="3"/>
  <c r="AU73" i="647"/>
  <c r="AV73" i="647" s="1"/>
  <c r="AR74" i="647"/>
  <c r="AU74" i="647" s="1"/>
  <c r="AV74" i="647" s="1"/>
  <c r="AN76" i="4"/>
  <c r="AH85" i="650"/>
  <c r="U149" i="647"/>
  <c r="AM76" i="4" l="1"/>
  <c r="AP76" i="4" s="1"/>
  <c r="AQ75" i="4"/>
  <c r="F1010" i="3" s="1"/>
  <c r="AU1010" i="3" s="1"/>
  <c r="AW1010" i="3" s="1"/>
  <c r="G1026" i="6" s="1"/>
  <c r="AU1009" i="3"/>
  <c r="AW1009" i="3" s="1"/>
  <c r="F1011" i="3" l="1"/>
  <c r="AU1011" i="3" s="1"/>
  <c r="AW1011" i="3" s="1"/>
  <c r="AQ76" i="4"/>
  <c r="I1026" i="6"/>
  <c r="E1026" i="6"/>
  <c r="G1025" i="6"/>
  <c r="AX1009" i="3" s="1"/>
  <c r="AX1010" i="3"/>
  <c r="V149" i="647"/>
  <c r="U150" i="647"/>
  <c r="U79" i="647"/>
  <c r="V150" i="647"/>
  <c r="M1026" i="6" l="1"/>
  <c r="Q1026" i="6" s="1"/>
  <c r="W1026" i="6" s="1"/>
  <c r="AB1026" i="6" s="1"/>
  <c r="N1026" i="6"/>
  <c r="T1026" i="6" s="1"/>
  <c r="E1025" i="6"/>
  <c r="I1025" i="6"/>
  <c r="G1027" i="6"/>
  <c r="W149" i="647"/>
  <c r="V79" i="647"/>
  <c r="V83" i="647" s="1"/>
  <c r="W150" i="647"/>
  <c r="U83" i="647"/>
  <c r="E1027" i="6" l="1"/>
  <c r="AX1011" i="3"/>
  <c r="M1025" i="6"/>
  <c r="N1025" i="6"/>
  <c r="I1027" i="6"/>
  <c r="X79" i="647"/>
  <c r="X83" i="647" s="1"/>
  <c r="AB83" i="650"/>
  <c r="AC83" i="650" s="1"/>
  <c r="W79" i="647"/>
  <c r="X149" i="647"/>
  <c r="Q1025" i="6" l="1"/>
  <c r="M1027" i="6"/>
  <c r="T1025" i="6"/>
  <c r="T1027" i="6" s="1"/>
  <c r="N1027" i="6"/>
  <c r="AD83" i="650"/>
  <c r="AC85" i="650"/>
  <c r="AB85" i="650"/>
  <c r="Y150" i="647"/>
  <c r="AB81" i="650"/>
  <c r="X150" i="647"/>
  <c r="W83" i="647"/>
  <c r="Y149" i="647"/>
  <c r="AC81" i="650" l="1"/>
  <c r="AB77" i="647" s="1"/>
  <c r="AA77" i="647"/>
  <c r="AE83" i="650"/>
  <c r="AD85" i="650"/>
  <c r="W1025" i="6"/>
  <c r="Q1027" i="6"/>
  <c r="Y79" i="647"/>
  <c r="Z150" i="647"/>
  <c r="AB82" i="650"/>
  <c r="AB149" i="650"/>
  <c r="Z149" i="647"/>
  <c r="AC149" i="650" l="1"/>
  <c r="AD81" i="650"/>
  <c r="AC77" i="647" s="1"/>
  <c r="AC82" i="650"/>
  <c r="AB78" i="647" s="1"/>
  <c r="AA78" i="647"/>
  <c r="AB1025" i="6"/>
  <c r="W1027" i="6"/>
  <c r="AB1027" i="6" s="1"/>
  <c r="AE81" i="650"/>
  <c r="AD77" i="647" s="1"/>
  <c r="AF83" i="650"/>
  <c r="AE85" i="650"/>
  <c r="Z79" i="647"/>
  <c r="Z83" i="647" s="1"/>
  <c r="Y83" i="647"/>
  <c r="AB150" i="650"/>
  <c r="AA149" i="647"/>
  <c r="AD149" i="650" l="1"/>
  <c r="AD82" i="650"/>
  <c r="AC78" i="647" s="1"/>
  <c r="AC150" i="650"/>
  <c r="AF81" i="650"/>
  <c r="AE77" i="647" s="1"/>
  <c r="AE149" i="650"/>
  <c r="AG83" i="650"/>
  <c r="AG85" i="650" s="1"/>
  <c r="AF85" i="650"/>
  <c r="AB150" i="647"/>
  <c r="AA150" i="647"/>
  <c r="AA79" i="647"/>
  <c r="AB149" i="647"/>
  <c r="AD150" i="650" l="1"/>
  <c r="AE82" i="650"/>
  <c r="AD78" i="647" s="1"/>
  <c r="AG81" i="650"/>
  <c r="AF149" i="650"/>
  <c r="AB79" i="647"/>
  <c r="AB83" i="647" s="1"/>
  <c r="AC150" i="647"/>
  <c r="AA83" i="647"/>
  <c r="AC149" i="647"/>
  <c r="AE150" i="650" l="1"/>
  <c r="AF82" i="650"/>
  <c r="AE78" i="647" s="1"/>
  <c r="AG149" i="650"/>
  <c r="AF77" i="647"/>
  <c r="AC79" i="647"/>
  <c r="AC83" i="647" s="1"/>
  <c r="AD150" i="647"/>
  <c r="AJ81" i="650"/>
  <c r="AD149" i="647"/>
  <c r="AK85" i="650"/>
  <c r="AK83" i="650"/>
  <c r="AL83" i="650" s="1"/>
  <c r="AI83" i="650"/>
  <c r="AI85" i="650" s="1"/>
  <c r="AF150" i="650" l="1"/>
  <c r="AG82" i="650"/>
  <c r="AG150" i="650" s="1"/>
  <c r="AJ149" i="650"/>
  <c r="AK79" i="4"/>
  <c r="AL79" i="4"/>
  <c r="AK81" i="650"/>
  <c r="AE149" i="647"/>
  <c r="AL85" i="650"/>
  <c r="AM83" i="650"/>
  <c r="AE150" i="647"/>
  <c r="AD79" i="647"/>
  <c r="AJ82" i="650" l="1"/>
  <c r="AK80" i="4" s="1"/>
  <c r="AK81" i="4" s="1"/>
  <c r="AF78" i="647"/>
  <c r="AF79" i="647" s="1"/>
  <c r="AM85" i="650"/>
  <c r="AN83" i="650"/>
  <c r="AI149" i="650"/>
  <c r="AK149" i="650"/>
  <c r="AF149" i="647"/>
  <c r="AT77" i="647"/>
  <c r="AL147" i="4"/>
  <c r="AK147" i="4"/>
  <c r="AE79" i="647"/>
  <c r="AE83" i="647" s="1"/>
  <c r="AL81" i="650"/>
  <c r="AG77" i="647" s="1"/>
  <c r="AD83" i="647"/>
  <c r="AL80" i="4"/>
  <c r="AL148" i="4" s="1"/>
  <c r="AK82" i="650"/>
  <c r="AJ150" i="650" l="1"/>
  <c r="AJ83" i="650"/>
  <c r="AJ85" i="650" s="1"/>
  <c r="AF83" i="647"/>
  <c r="AT83" i="647" s="1"/>
  <c r="AT79" i="647"/>
  <c r="AL81" i="4"/>
  <c r="AL83" i="4" s="1"/>
  <c r="AN85" i="650"/>
  <c r="AO83" i="650"/>
  <c r="AM81" i="650"/>
  <c r="AH77" i="647" s="1"/>
  <c r="AL149" i="650"/>
  <c r="AK83" i="4"/>
  <c r="H44" i="647"/>
  <c r="AT149" i="647"/>
  <c r="AL82" i="650"/>
  <c r="AG78" i="647" s="1"/>
  <c r="AK148" i="4"/>
  <c r="AF150" i="647"/>
  <c r="AT78" i="647"/>
  <c r="AK150" i="650"/>
  <c r="AI150" i="650"/>
  <c r="AG149" i="647" l="1"/>
  <c r="H389" i="139"/>
  <c r="AP83" i="650"/>
  <c r="AO85" i="650"/>
  <c r="AT150" i="647"/>
  <c r="H45" i="647"/>
  <c r="H390" i="139" s="1"/>
  <c r="AL150" i="650"/>
  <c r="AM82" i="650"/>
  <c r="AH78" i="647" s="1"/>
  <c r="AM149" i="650"/>
  <c r="AN81" i="650"/>
  <c r="AI77" i="647" s="1"/>
  <c r="AG150" i="647" l="1"/>
  <c r="AQ83" i="650"/>
  <c r="AP85" i="650"/>
  <c r="AG79" i="647"/>
  <c r="AH149" i="647"/>
  <c r="AH150" i="647"/>
  <c r="AM150" i="650"/>
  <c r="AN82" i="650"/>
  <c r="AI78" i="647" s="1"/>
  <c r="AN149" i="650"/>
  <c r="AO81" i="650"/>
  <c r="AJ77" i="647" s="1"/>
  <c r="AH79" i="647" l="1"/>
  <c r="AH83" i="647" s="1"/>
  <c r="AQ85" i="650"/>
  <c r="AR83" i="650"/>
  <c r="AO149" i="650"/>
  <c r="AP81" i="650"/>
  <c r="AK77" i="647" s="1"/>
  <c r="AG83" i="647"/>
  <c r="AI149" i="647"/>
  <c r="AN150" i="650"/>
  <c r="AI150" i="647"/>
  <c r="AO82" i="650"/>
  <c r="AJ78" i="647" s="1"/>
  <c r="AI79" i="647" l="1"/>
  <c r="AI83" i="647" s="1"/>
  <c r="AR85" i="650"/>
  <c r="AS83" i="650"/>
  <c r="AQ81" i="650"/>
  <c r="AL77" i="647" s="1"/>
  <c r="AP149" i="650"/>
  <c r="AJ149" i="647"/>
  <c r="AJ79" i="647"/>
  <c r="AO150" i="650"/>
  <c r="AP82" i="650"/>
  <c r="AK78" i="647" s="1"/>
  <c r="AJ83" i="647" l="1"/>
  <c r="AS85" i="650"/>
  <c r="AT83" i="650"/>
  <c r="AK150" i="647"/>
  <c r="AP150" i="650"/>
  <c r="AQ82" i="650"/>
  <c r="AL78" i="647" s="1"/>
  <c r="AQ149" i="650"/>
  <c r="AR81" i="650"/>
  <c r="AM77" i="647" s="1"/>
  <c r="AJ150" i="647"/>
  <c r="AK149" i="647"/>
  <c r="AK79" i="647" l="1"/>
  <c r="AK83" i="647" s="1"/>
  <c r="AU83" i="650"/>
  <c r="AT85" i="650"/>
  <c r="AL79" i="647"/>
  <c r="AL83" i="647" s="1"/>
  <c r="AQ150" i="650"/>
  <c r="AR82" i="650"/>
  <c r="AM78" i="647" s="1"/>
  <c r="AL149" i="647"/>
  <c r="AR149" i="650"/>
  <c r="AS81" i="650"/>
  <c r="AN77" i="647" s="1"/>
  <c r="AU85" i="650" l="1"/>
  <c r="AV83" i="650"/>
  <c r="AL150" i="647"/>
  <c r="AS149" i="650"/>
  <c r="AT81" i="650"/>
  <c r="AO77" i="647" s="1"/>
  <c r="AR150" i="650"/>
  <c r="AS82" i="650"/>
  <c r="AN78" i="647" s="1"/>
  <c r="AM150" i="647"/>
  <c r="AM149" i="647"/>
  <c r="AT149" i="650" l="1"/>
  <c r="AU81" i="650"/>
  <c r="AP77" i="647" s="1"/>
  <c r="AM79" i="647"/>
  <c r="AM83" i="647" s="1"/>
  <c r="AN150" i="647"/>
  <c r="AS150" i="650"/>
  <c r="AT82" i="650"/>
  <c r="AO78" i="647" s="1"/>
  <c r="AV85" i="650"/>
  <c r="AW83" i="650"/>
  <c r="AN149" i="647"/>
  <c r="AN79" i="647" l="1"/>
  <c r="AN83" i="647" s="1"/>
  <c r="AO149" i="647"/>
  <c r="AT150" i="650"/>
  <c r="AO150" i="647"/>
  <c r="AU82" i="650"/>
  <c r="AP78" i="647" s="1"/>
  <c r="AU149" i="650"/>
  <c r="AV81" i="650"/>
  <c r="AQ77" i="647" s="1"/>
  <c r="AW85" i="650"/>
  <c r="AY85" i="650" s="1"/>
  <c r="AY83" i="650"/>
  <c r="AP149" i="647" l="1"/>
  <c r="AO79" i="647"/>
  <c r="AO83" i="647" s="1"/>
  <c r="AV149" i="650"/>
  <c r="AW81" i="650"/>
  <c r="AR77" i="647" s="1"/>
  <c r="AP150" i="647"/>
  <c r="AU150" i="650"/>
  <c r="AV82" i="650"/>
  <c r="AQ78" i="647" s="1"/>
  <c r="BA81" i="650" l="1"/>
  <c r="BA149" i="650" s="1"/>
  <c r="AQ149" i="647"/>
  <c r="AW149" i="650"/>
  <c r="AN79" i="4"/>
  <c r="AV150" i="650"/>
  <c r="AQ150" i="647"/>
  <c r="AW82" i="650"/>
  <c r="AP79" i="647"/>
  <c r="AP83" i="647" s="1"/>
  <c r="AM79" i="4" l="1"/>
  <c r="AP79" i="4" s="1"/>
  <c r="AZ79" i="4" s="1"/>
  <c r="BA79" i="4" s="1"/>
  <c r="BA82" i="650"/>
  <c r="BA83" i="650" s="1"/>
  <c r="BA85" i="650" s="1"/>
  <c r="AR78" i="647"/>
  <c r="AQ79" i="647"/>
  <c r="AQ83" i="647" s="1"/>
  <c r="AN147" i="4"/>
  <c r="AR149" i="647"/>
  <c r="AU77" i="647"/>
  <c r="AV77" i="647" s="1"/>
  <c r="AW150" i="650"/>
  <c r="AY150" i="650" s="1"/>
  <c r="AN80" i="4"/>
  <c r="AN148" i="4" s="1"/>
  <c r="AY149" i="650"/>
  <c r="AM147" i="4" l="1"/>
  <c r="AP147" i="4" s="1"/>
  <c r="AZ147" i="4" s="1"/>
  <c r="BA147" i="4" s="1"/>
  <c r="AQ79" i="4"/>
  <c r="F1014" i="3" s="1"/>
  <c r="BA150" i="650"/>
  <c r="AM80" i="4"/>
  <c r="AM148" i="4" s="1"/>
  <c r="AP148" i="4" s="1"/>
  <c r="AN81" i="4"/>
  <c r="AN83" i="4" s="1"/>
  <c r="I44" i="647"/>
  <c r="AU149" i="647"/>
  <c r="AV149" i="647" s="1"/>
  <c r="AR150" i="647"/>
  <c r="AU78" i="647"/>
  <c r="AV78" i="647" s="1"/>
  <c r="AR79" i="647"/>
  <c r="AM81" i="4" l="1"/>
  <c r="AM83" i="4" s="1"/>
  <c r="AP83" i="4" s="1"/>
  <c r="AQ147" i="4"/>
  <c r="AP80" i="4"/>
  <c r="AQ80" i="4" s="1"/>
  <c r="AQ148" i="4"/>
  <c r="AZ148" i="4"/>
  <c r="BA148" i="4" s="1"/>
  <c r="F1082" i="3"/>
  <c r="AU1082" i="3" s="1"/>
  <c r="AW1082" i="3" s="1"/>
  <c r="AU1014" i="3"/>
  <c r="AW1014" i="3" s="1"/>
  <c r="AP81" i="4"/>
  <c r="AR83" i="647"/>
  <c r="AU83" i="647" s="1"/>
  <c r="AV83" i="647" s="1"/>
  <c r="AU79" i="647"/>
  <c r="AV79" i="647" s="1"/>
  <c r="I389" i="139"/>
  <c r="I45" i="647"/>
  <c r="I390" i="139" s="1"/>
  <c r="AU150" i="647"/>
  <c r="AV150" i="647" s="1"/>
  <c r="AZ80" i="4" l="1"/>
  <c r="BA80" i="4" s="1"/>
  <c r="F1015" i="3"/>
  <c r="AQ81" i="4"/>
  <c r="AQ83" i="4" s="1"/>
  <c r="G1030" i="6"/>
  <c r="E1030" i="6" l="1"/>
  <c r="I1030" i="6"/>
  <c r="G1099" i="6"/>
  <c r="AU1015" i="3"/>
  <c r="AW1015" i="3" s="1"/>
  <c r="G1031" i="6" s="1"/>
  <c r="F1083" i="3"/>
  <c r="AU1083" i="3" s="1"/>
  <c r="AW1083" i="3" s="1"/>
  <c r="F1016" i="3"/>
  <c r="AX1014" i="3"/>
  <c r="F1018" i="3" l="1"/>
  <c r="AU1016" i="3"/>
  <c r="AU1018" i="3" s="1"/>
  <c r="AX1015" i="3"/>
  <c r="E1031" i="6"/>
  <c r="G1100" i="6"/>
  <c r="E1100" i="6" s="1"/>
  <c r="I1031" i="6"/>
  <c r="I1099" i="6"/>
  <c r="E10" i="50" s="1"/>
  <c r="E15" i="50" s="1"/>
  <c r="N1030" i="6"/>
  <c r="M1030" i="6"/>
  <c r="E1099" i="6"/>
  <c r="AX1082" i="3"/>
  <c r="G1032" i="6"/>
  <c r="N1031" i="6" l="1"/>
  <c r="N1032" i="6" s="1"/>
  <c r="N1034" i="6" s="1"/>
  <c r="M1031" i="6"/>
  <c r="M1032" i="6" s="1"/>
  <c r="M1034" i="6" s="1"/>
  <c r="I1100" i="6"/>
  <c r="D10" i="50" s="1"/>
  <c r="M1099" i="6"/>
  <c r="Q1030" i="6"/>
  <c r="I1032" i="6"/>
  <c r="I1034" i="6" s="1"/>
  <c r="AW1016" i="3"/>
  <c r="AW1018" i="3" s="1"/>
  <c r="E1032" i="6"/>
  <c r="G1034" i="6"/>
  <c r="E1034" i="6" s="1"/>
  <c r="T1030" i="6"/>
  <c r="N1099" i="6"/>
  <c r="AX1083" i="3"/>
  <c r="F10" i="50" l="1"/>
  <c r="D15" i="50"/>
  <c r="T1099" i="6"/>
  <c r="M1100" i="6"/>
  <c r="Q1031" i="6"/>
  <c r="Q1032" i="6" s="1"/>
  <c r="Q1034" i="6" s="1"/>
  <c r="W1030" i="6"/>
  <c r="Q1099" i="6"/>
  <c r="W1099" i="6" s="1"/>
  <c r="AB1099" i="6" s="1"/>
  <c r="AX1016" i="3"/>
  <c r="AX1018" i="3"/>
  <c r="T1031" i="6"/>
  <c r="T1100" i="6" s="1"/>
  <c r="N1100" i="6"/>
  <c r="AB1030" i="6" l="1"/>
  <c r="T1032" i="6"/>
  <c r="T1034" i="6" s="1"/>
  <c r="Q1100" i="6"/>
  <c r="W1100" i="6" s="1"/>
  <c r="AB1100" i="6" s="1"/>
  <c r="W1031" i="6"/>
  <c r="AB1031" i="6" s="1"/>
  <c r="F15" i="50"/>
  <c r="E18" i="50" s="1"/>
  <c r="N2" i="6" s="1"/>
  <c r="R198" i="4" l="1"/>
  <c r="N198" i="4"/>
  <c r="J198" i="4"/>
  <c r="Q198" i="4"/>
  <c r="M198" i="4"/>
  <c r="I198" i="4"/>
  <c r="P198" i="4"/>
  <c r="L198" i="4"/>
  <c r="H198" i="4"/>
  <c r="S198" i="4"/>
  <c r="F200" i="650" s="1"/>
  <c r="O198" i="4"/>
  <c r="K198" i="4"/>
  <c r="D18" i="50"/>
  <c r="L200" i="650"/>
  <c r="G200" i="650"/>
  <c r="O200" i="650"/>
  <c r="D28" i="594"/>
  <c r="F20" i="33"/>
  <c r="M200" i="650"/>
  <c r="E20" i="33"/>
  <c r="H16" i="42"/>
  <c r="N1166" i="6"/>
  <c r="P200" i="650"/>
  <c r="N1173" i="6"/>
  <c r="F26" i="137"/>
  <c r="I200" i="650"/>
  <c r="N1212" i="6"/>
  <c r="K200" i="650"/>
  <c r="J200" i="650"/>
  <c r="M32" i="595"/>
  <c r="N1159" i="6"/>
  <c r="C28" i="594"/>
  <c r="N200" i="650"/>
  <c r="E26" i="137"/>
  <c r="I16" i="42"/>
  <c r="E28" i="594"/>
  <c r="Q200" i="650"/>
  <c r="J16" i="42"/>
  <c r="N1187" i="6"/>
  <c r="N1112" i="6"/>
  <c r="D20" i="33"/>
  <c r="H200" i="650"/>
  <c r="W1032" i="6"/>
  <c r="H26" i="137" l="1"/>
  <c r="Q843" i="3" s="1"/>
  <c r="Q887" i="3" s="1"/>
  <c r="L16" i="42"/>
  <c r="P843" i="3" s="1"/>
  <c r="P887" i="3" s="1"/>
  <c r="G28" i="594"/>
  <c r="O821" i="3" s="1"/>
  <c r="O831" i="3" s="1"/>
  <c r="N1160" i="6"/>
  <c r="T1159" i="6"/>
  <c r="T1160" i="6" s="1"/>
  <c r="AE200" i="650"/>
  <c r="AU200" i="650" s="1"/>
  <c r="P267" i="650"/>
  <c r="P276" i="650" s="1"/>
  <c r="AD200" i="650"/>
  <c r="AT200" i="650" s="1"/>
  <c r="O267" i="650"/>
  <c r="O276" i="650" s="1"/>
  <c r="AF200" i="650"/>
  <c r="AV200" i="650" s="1"/>
  <c r="Q267" i="650"/>
  <c r="Q276" i="650" s="1"/>
  <c r="V200" i="650"/>
  <c r="AL200" i="650" s="1"/>
  <c r="G267" i="650"/>
  <c r="G276" i="650" s="1"/>
  <c r="Z200" i="650"/>
  <c r="AP200" i="650" s="1"/>
  <c r="K267" i="650"/>
  <c r="K276" i="650" s="1"/>
  <c r="AA200" i="650"/>
  <c r="AQ200" i="650" s="1"/>
  <c r="L267" i="650"/>
  <c r="L276" i="650" s="1"/>
  <c r="T1112" i="6"/>
  <c r="T1113" i="6" s="1"/>
  <c r="N1113" i="6"/>
  <c r="AC200" i="650"/>
  <c r="AS200" i="650" s="1"/>
  <c r="N267" i="650"/>
  <c r="N276" i="650" s="1"/>
  <c r="N1188" i="6"/>
  <c r="T1187" i="6"/>
  <c r="T1188" i="6" s="1"/>
  <c r="N1174" i="6"/>
  <c r="T1173" i="6"/>
  <c r="T1174" i="6" s="1"/>
  <c r="F267" i="650"/>
  <c r="F276" i="650" s="1"/>
  <c r="AY198" i="4"/>
  <c r="R200" i="650"/>
  <c r="T200" i="650" s="1"/>
  <c r="AG198" i="4"/>
  <c r="AI198" i="4"/>
  <c r="F1150" i="6"/>
  <c r="Y200" i="650"/>
  <c r="AO200" i="650" s="1"/>
  <c r="J267" i="650"/>
  <c r="J276" i="650" s="1"/>
  <c r="N1213" i="6"/>
  <c r="T1212" i="6"/>
  <c r="T1213" i="6" s="1"/>
  <c r="I20" i="33"/>
  <c r="M839" i="3" s="1"/>
  <c r="AB1032" i="6"/>
  <c r="W1034" i="6"/>
  <c r="AB1034" i="6" s="1"/>
  <c r="N1167" i="6"/>
  <c r="T1166" i="6"/>
  <c r="T1167" i="6" s="1"/>
  <c r="W200" i="650"/>
  <c r="AM200" i="650" s="1"/>
  <c r="H267" i="650"/>
  <c r="U267" i="650"/>
  <c r="X200" i="650"/>
  <c r="AN200" i="650" s="1"/>
  <c r="I267" i="650"/>
  <c r="I276" i="650" s="1"/>
  <c r="M267" i="650"/>
  <c r="M276" i="650" s="1"/>
  <c r="AB200" i="650"/>
  <c r="AR200" i="650" s="1"/>
  <c r="F18" i="50"/>
  <c r="M2" i="6"/>
  <c r="R199" i="4" l="1"/>
  <c r="N199" i="4"/>
  <c r="J199" i="4"/>
  <c r="Q199" i="4"/>
  <c r="M199" i="4"/>
  <c r="I199" i="4"/>
  <c r="P199" i="4"/>
  <c r="L199" i="4"/>
  <c r="H199" i="4"/>
  <c r="S199" i="4"/>
  <c r="F201" i="650" s="1"/>
  <c r="O199" i="4"/>
  <c r="K199" i="4"/>
  <c r="U276" i="650"/>
  <c r="H276" i="650"/>
  <c r="AG200" i="650"/>
  <c r="R267" i="650"/>
  <c r="R276" i="650" s="1"/>
  <c r="U200" i="650"/>
  <c r="AY265" i="4"/>
  <c r="F1217" i="6"/>
  <c r="T267" i="650"/>
  <c r="T276" i="650" s="1"/>
  <c r="D19" i="33"/>
  <c r="D21" i="33" s="1"/>
  <c r="N201" i="650"/>
  <c r="Q201" i="650"/>
  <c r="C27" i="594"/>
  <c r="C29" i="594" s="1"/>
  <c r="D27" i="594"/>
  <c r="D29" i="594" s="1"/>
  <c r="M1159" i="6"/>
  <c r="J201" i="650"/>
  <c r="E25" i="137"/>
  <c r="E27" i="137" s="1"/>
  <c r="K201" i="650"/>
  <c r="F19" i="33"/>
  <c r="M1187" i="6"/>
  <c r="M201" i="650"/>
  <c r="L201" i="650"/>
  <c r="I15" i="42"/>
  <c r="I17" i="42" s="1"/>
  <c r="M1212" i="6"/>
  <c r="F25" i="137"/>
  <c r="O201" i="650"/>
  <c r="I201" i="650"/>
  <c r="J15" i="42"/>
  <c r="H15" i="42"/>
  <c r="H17" i="42" s="1"/>
  <c r="E19" i="33"/>
  <c r="E21" i="33" s="1"/>
  <c r="M1166" i="6"/>
  <c r="M1173" i="6"/>
  <c r="H201" i="650"/>
  <c r="G201" i="650"/>
  <c r="E27" i="594"/>
  <c r="M1112" i="6"/>
  <c r="P201" i="650"/>
  <c r="M31" i="595"/>
  <c r="M33" i="595" s="1"/>
  <c r="B12" i="595" s="1"/>
  <c r="M887" i="3"/>
  <c r="AG265" i="4"/>
  <c r="AJ198" i="4"/>
  <c r="AY274" i="4" l="1"/>
  <c r="Q1166" i="6"/>
  <c r="M1167" i="6"/>
  <c r="O268" i="650"/>
  <c r="O277" i="650" s="1"/>
  <c r="AD201" i="650"/>
  <c r="AT201" i="650" s="1"/>
  <c r="O202" i="650"/>
  <c r="Z201" i="650"/>
  <c r="AP201" i="650" s="1"/>
  <c r="K268" i="650"/>
  <c r="K277" i="650" s="1"/>
  <c r="K202" i="650"/>
  <c r="AC201" i="650"/>
  <c r="AS201" i="650" s="1"/>
  <c r="N268" i="650"/>
  <c r="N277" i="650" s="1"/>
  <c r="N202" i="650"/>
  <c r="B14" i="595"/>
  <c r="C12" i="595"/>
  <c r="B15" i="595"/>
  <c r="F27" i="137"/>
  <c r="H25" i="137"/>
  <c r="Q842" i="3" s="1"/>
  <c r="AJ200" i="650"/>
  <c r="AK198" i="4" s="1"/>
  <c r="W201" i="650"/>
  <c r="AM201" i="650" s="1"/>
  <c r="H268" i="650"/>
  <c r="U268" i="650"/>
  <c r="H202" i="650"/>
  <c r="Q268" i="650"/>
  <c r="Q277" i="650" s="1"/>
  <c r="AF201" i="650"/>
  <c r="AV201" i="650" s="1"/>
  <c r="Q202" i="650"/>
  <c r="Q1173" i="6"/>
  <c r="M1174" i="6"/>
  <c r="F21" i="33"/>
  <c r="I21" i="33" s="1"/>
  <c r="I19" i="33"/>
  <c r="M838" i="3" s="1"/>
  <c r="AG274" i="4"/>
  <c r="AJ265" i="4"/>
  <c r="AJ274" i="4" s="1"/>
  <c r="AE201" i="650"/>
  <c r="AU201" i="650" s="1"/>
  <c r="P268" i="650"/>
  <c r="P277" i="650" s="1"/>
  <c r="P202" i="650"/>
  <c r="M1213" i="6"/>
  <c r="Q1212" i="6"/>
  <c r="Y201" i="650"/>
  <c r="AO201" i="650" s="1"/>
  <c r="J268" i="650"/>
  <c r="J277" i="650" s="1"/>
  <c r="J202" i="650"/>
  <c r="J17" i="42"/>
  <c r="L17" i="42" s="1"/>
  <c r="L15" i="42"/>
  <c r="P842" i="3" s="1"/>
  <c r="M1160" i="6"/>
  <c r="Q1159" i="6"/>
  <c r="E29" i="594"/>
  <c r="G29" i="594" s="1"/>
  <c r="G27" i="594"/>
  <c r="O820" i="3" s="1"/>
  <c r="AA201" i="650"/>
  <c r="AQ201" i="650" s="1"/>
  <c r="L268" i="650"/>
  <c r="L277" i="650" s="1"/>
  <c r="L202" i="650"/>
  <c r="Q1187" i="6"/>
  <c r="M1188" i="6"/>
  <c r="I268" i="650"/>
  <c r="I277" i="650" s="1"/>
  <c r="X201" i="650"/>
  <c r="AN201" i="650" s="1"/>
  <c r="I202" i="650"/>
  <c r="F202" i="650"/>
  <c r="F272" i="650" s="1"/>
  <c r="F281" i="650" s="1"/>
  <c r="F268" i="650"/>
  <c r="F277" i="650" s="1"/>
  <c r="M1113" i="6"/>
  <c r="Q1112" i="6"/>
  <c r="F1151" i="6"/>
  <c r="AI199" i="4"/>
  <c r="AI200" i="4" s="1"/>
  <c r="AI270" i="4" s="1"/>
  <c r="AI279" i="4" s="1"/>
  <c r="AG199" i="4"/>
  <c r="AY199" i="4"/>
  <c r="R201" i="650"/>
  <c r="T201" i="650" s="1"/>
  <c r="AK200" i="650"/>
  <c r="AL198" i="4"/>
  <c r="AW200" i="650"/>
  <c r="AN198" i="4" s="1"/>
  <c r="G202" i="650"/>
  <c r="V201" i="650"/>
  <c r="AL201" i="650" s="1"/>
  <c r="G268" i="650"/>
  <c r="G277" i="650" s="1"/>
  <c r="M202" i="650"/>
  <c r="M268" i="650"/>
  <c r="M277" i="650" s="1"/>
  <c r="AB201" i="650"/>
  <c r="AR201" i="650" s="1"/>
  <c r="F1226" i="6"/>
  <c r="F1258" i="6" s="1"/>
  <c r="T268" i="650" l="1"/>
  <c r="T277" i="650" s="1"/>
  <c r="T202" i="650"/>
  <c r="T272" i="650" s="1"/>
  <c r="T281" i="650" s="1"/>
  <c r="D12" i="595"/>
  <c r="C15" i="595"/>
  <c r="C14" i="595"/>
  <c r="W1112" i="6"/>
  <c r="AB1112" i="6" s="1"/>
  <c r="Q1113" i="6"/>
  <c r="W1113" i="6" s="1"/>
  <c r="O830" i="3"/>
  <c r="O822" i="3"/>
  <c r="O833" i="3" s="1"/>
  <c r="Q1174" i="6"/>
  <c r="W1174" i="6" s="1"/>
  <c r="W1173" i="6"/>
  <c r="AB1173" i="6" s="1"/>
  <c r="AF202" i="650"/>
  <c r="AV202" i="650" s="1"/>
  <c r="Q272" i="650"/>
  <c r="Q281" i="650" s="1"/>
  <c r="Q844" i="3"/>
  <c r="Q886" i="3"/>
  <c r="Q889" i="3" s="1"/>
  <c r="AJ199" i="4"/>
  <c r="AJ200" i="4" s="1"/>
  <c r="AJ270" i="4" s="1"/>
  <c r="AJ279" i="4" s="1"/>
  <c r="AG266" i="4"/>
  <c r="X202" i="650"/>
  <c r="AN202" i="650" s="1"/>
  <c r="I272" i="650"/>
  <c r="I281" i="650" s="1"/>
  <c r="Q1160" i="6"/>
  <c r="W1160" i="6" s="1"/>
  <c r="W1159" i="6"/>
  <c r="AB1159" i="6" s="1"/>
  <c r="W1212" i="6"/>
  <c r="AB1212" i="6" s="1"/>
  <c r="Q1213" i="6"/>
  <c r="W1213" i="6" s="1"/>
  <c r="AB1213" i="6" s="1"/>
  <c r="P886" i="3"/>
  <c r="P889" i="3" s="1"/>
  <c r="P844" i="3"/>
  <c r="AE202" i="650"/>
  <c r="AU202" i="650" s="1"/>
  <c r="P272" i="650"/>
  <c r="P281" i="650" s="1"/>
  <c r="AC202" i="650"/>
  <c r="AS202" i="650" s="1"/>
  <c r="N272" i="650"/>
  <c r="N281" i="650" s="1"/>
  <c r="Q1188" i="6"/>
  <c r="W1188" i="6" s="1"/>
  <c r="W1187" i="6"/>
  <c r="AB1187" i="6" s="1"/>
  <c r="AB202" i="650"/>
  <c r="AR202" i="650" s="1"/>
  <c r="M272" i="650"/>
  <c r="M281" i="650" s="1"/>
  <c r="BA200" i="650"/>
  <c r="Y202" i="650"/>
  <c r="AO202" i="650" s="1"/>
  <c r="J272" i="650"/>
  <c r="J281" i="650" s="1"/>
  <c r="Q1167" i="6"/>
  <c r="W1167" i="6" s="1"/>
  <c r="W1166" i="6"/>
  <c r="AB1166" i="6" s="1"/>
  <c r="M886" i="3"/>
  <c r="M889" i="3" s="1"/>
  <c r="M840" i="3"/>
  <c r="U277" i="650"/>
  <c r="H277" i="650"/>
  <c r="Z202" i="650"/>
  <c r="AP202" i="650" s="1"/>
  <c r="K272" i="650"/>
  <c r="K281" i="650" s="1"/>
  <c r="AA202" i="650"/>
  <c r="AQ202" i="650" s="1"/>
  <c r="L272" i="650"/>
  <c r="L281" i="650" s="1"/>
  <c r="AD202" i="650"/>
  <c r="AT202" i="650" s="1"/>
  <c r="O272" i="650"/>
  <c r="O281" i="650" s="1"/>
  <c r="V202" i="650"/>
  <c r="AL202" i="650" s="1"/>
  <c r="G272" i="650"/>
  <c r="G281" i="650" s="1"/>
  <c r="F1152" i="6"/>
  <c r="F59" i="2" s="1"/>
  <c r="F1218" i="6"/>
  <c r="R268" i="650"/>
  <c r="R277" i="650" s="1"/>
  <c r="U201" i="650"/>
  <c r="AG201" i="650"/>
  <c r="R202" i="650"/>
  <c r="AY266" i="4"/>
  <c r="AY200" i="4"/>
  <c r="W202" i="650"/>
  <c r="AM202" i="650" s="1"/>
  <c r="U272" i="650"/>
  <c r="H272" i="650"/>
  <c r="F70" i="2" l="1"/>
  <c r="F73" i="2" s="1"/>
  <c r="F76" i="2" s="1"/>
  <c r="R33" i="5"/>
  <c r="R34" i="5" s="1"/>
  <c r="Q892" i="3"/>
  <c r="AY275" i="4"/>
  <c r="AY270" i="4"/>
  <c r="AY279" i="4" s="1"/>
  <c r="J62" i="2"/>
  <c r="L62" i="2" s="1"/>
  <c r="AB1167" i="6"/>
  <c r="AB1188" i="6"/>
  <c r="J66" i="2"/>
  <c r="L66" i="2" s="1"/>
  <c r="AB1113" i="6"/>
  <c r="J52" i="2"/>
  <c r="L52" i="2" s="1"/>
  <c r="AG202" i="650"/>
  <c r="U202" i="650"/>
  <c r="R272" i="650"/>
  <c r="R281" i="650" s="1"/>
  <c r="U281" i="650"/>
  <c r="H281" i="650"/>
  <c r="AM198" i="4"/>
  <c r="AB1174" i="6"/>
  <c r="J63" i="2"/>
  <c r="L63" i="2" s="1"/>
  <c r="G12" i="595"/>
  <c r="D15" i="595"/>
  <c r="G15" i="595" s="1"/>
  <c r="N843" i="3" s="1"/>
  <c r="D14" i="595"/>
  <c r="G14" i="595" s="1"/>
  <c r="N842" i="3" s="1"/>
  <c r="AL199" i="4"/>
  <c r="AL200" i="4" s="1"/>
  <c r="AW201" i="650"/>
  <c r="AN199" i="4" s="1"/>
  <c r="AN200" i="4" s="1"/>
  <c r="AK201" i="650"/>
  <c r="AB1160" i="6"/>
  <c r="J61" i="2"/>
  <c r="L61" i="2" s="1"/>
  <c r="AJ201" i="650"/>
  <c r="AJ266" i="4"/>
  <c r="AJ275" i="4" s="1"/>
  <c r="AG275" i="4"/>
  <c r="O892" i="3"/>
  <c r="P32" i="5"/>
  <c r="F1227" i="6"/>
  <c r="F1259" i="6" s="1"/>
  <c r="F1222" i="6"/>
  <c r="F1231" i="6" s="1"/>
  <c r="F1263" i="6" s="1"/>
  <c r="N33" i="5"/>
  <c r="M892" i="3"/>
  <c r="Q33" i="5"/>
  <c r="Q34" i="5" s="1"/>
  <c r="P892" i="3"/>
  <c r="AB91" i="650"/>
  <c r="AC91" i="650" s="1"/>
  <c r="AD91" i="650" s="1"/>
  <c r="AE91" i="650" s="1"/>
  <c r="AF91" i="650" s="1"/>
  <c r="AG91" i="650" s="1"/>
  <c r="BA201" i="650" l="1"/>
  <c r="AM199" i="4" s="1"/>
  <c r="AM200" i="4" s="1"/>
  <c r="N887" i="3"/>
  <c r="O923" i="3"/>
  <c r="O1220" i="3"/>
  <c r="Q1220" i="3"/>
  <c r="Q923" i="3"/>
  <c r="M1220" i="3"/>
  <c r="M923" i="3"/>
  <c r="N34" i="5"/>
  <c r="P1220" i="3"/>
  <c r="P923" i="3"/>
  <c r="AP198" i="4"/>
  <c r="AK202" i="650"/>
  <c r="AI202" i="650"/>
  <c r="AW202" i="650"/>
  <c r="N886" i="3"/>
  <c r="N844" i="3"/>
  <c r="P34" i="5"/>
  <c r="AJ202" i="650"/>
  <c r="AK199" i="4"/>
  <c r="AK200" i="4" s="1"/>
  <c r="N76" i="2"/>
  <c r="F78" i="2"/>
  <c r="N78" i="2" s="1"/>
  <c r="AK91" i="650"/>
  <c r="AL91" i="650" s="1"/>
  <c r="AM91" i="650" s="1"/>
  <c r="AN91" i="650" s="1"/>
  <c r="AO91" i="650" s="1"/>
  <c r="AP91" i="650" s="1"/>
  <c r="AQ91" i="650" s="1"/>
  <c r="AR91" i="650" s="1"/>
  <c r="AS91" i="650" s="1"/>
  <c r="AT91" i="650" s="1"/>
  <c r="AU91" i="650" s="1"/>
  <c r="AV91" i="650" s="1"/>
  <c r="AW91" i="650" s="1"/>
  <c r="AY91" i="650" s="1"/>
  <c r="AI91" i="650"/>
  <c r="U87" i="647"/>
  <c r="U88" i="647"/>
  <c r="BA202" i="650" l="1"/>
  <c r="AP200" i="4"/>
  <c r="AQ200" i="4" s="1"/>
  <c r="AP199" i="4"/>
  <c r="Q1223" i="3"/>
  <c r="Q1227" i="3" s="1"/>
  <c r="Q1229" i="3" s="1"/>
  <c r="Q1234" i="3" s="1"/>
  <c r="R39" i="5"/>
  <c r="R40" i="5" s="1"/>
  <c r="R43" i="5" s="1"/>
  <c r="R46" i="5" s="1"/>
  <c r="Q933" i="3"/>
  <c r="Q936" i="3" s="1"/>
  <c r="Q939" i="3" s="1"/>
  <c r="AY202" i="650"/>
  <c r="AQ198" i="4"/>
  <c r="F1133" i="3" s="1"/>
  <c r="AU1133" i="3" s="1"/>
  <c r="AZ198" i="4"/>
  <c r="P39" i="5"/>
  <c r="P40" i="5" s="1"/>
  <c r="P43" i="5" s="1"/>
  <c r="P46" i="5" s="1"/>
  <c r="O1223" i="3"/>
  <c r="O1227" i="3" s="1"/>
  <c r="O1229" i="3" s="1"/>
  <c r="O1234" i="3" s="1"/>
  <c r="O933" i="3"/>
  <c r="O936" i="3" s="1"/>
  <c r="O939" i="3" s="1"/>
  <c r="N889" i="3"/>
  <c r="Q39" i="5"/>
  <c r="Q40" i="5" s="1"/>
  <c r="Q43" i="5" s="1"/>
  <c r="Q46" i="5" s="1"/>
  <c r="P933" i="3"/>
  <c r="P936" i="3" s="1"/>
  <c r="P939" i="3" s="1"/>
  <c r="P1223" i="3"/>
  <c r="P1227" i="3" s="1"/>
  <c r="P1229" i="3" s="1"/>
  <c r="P1234" i="3" s="1"/>
  <c r="N39" i="5"/>
  <c r="N40" i="5" s="1"/>
  <c r="N43" i="5" s="1"/>
  <c r="N46" i="5" s="1"/>
  <c r="M1223" i="3"/>
  <c r="M1227" i="3" s="1"/>
  <c r="M1229" i="3" s="1"/>
  <c r="M1234" i="3" s="1"/>
  <c r="M933" i="3"/>
  <c r="M936" i="3" s="1"/>
  <c r="M939" i="3" s="1"/>
  <c r="V88" i="647"/>
  <c r="V87" i="647"/>
  <c r="U89" i="647"/>
  <c r="AZ199" i="4" l="1"/>
  <c r="BA199" i="4" s="1"/>
  <c r="AQ199" i="4"/>
  <c r="F1134" i="3" s="1"/>
  <c r="AU1134" i="3" s="1"/>
  <c r="AW1134" i="3" s="1"/>
  <c r="G1151" i="6" s="1"/>
  <c r="E1151" i="6" s="1"/>
  <c r="V89" i="647"/>
  <c r="N892" i="3"/>
  <c r="O33" i="5"/>
  <c r="BA198" i="4"/>
  <c r="O1241" i="3"/>
  <c r="O1244" i="3"/>
  <c r="P70" i="5"/>
  <c r="P71" i="5" s="1"/>
  <c r="P74" i="5" s="1"/>
  <c r="P1241" i="3"/>
  <c r="P1244" i="3"/>
  <c r="Q70" i="5"/>
  <c r="Q71" i="5" s="1"/>
  <c r="Q74" i="5" s="1"/>
  <c r="AW1133" i="3"/>
  <c r="N70" i="5"/>
  <c r="N71" i="5" s="1"/>
  <c r="N74" i="5" s="1"/>
  <c r="M1244" i="3"/>
  <c r="M1241" i="3"/>
  <c r="R70" i="5"/>
  <c r="R71" i="5" s="1"/>
  <c r="R74" i="5" s="1"/>
  <c r="Q1244" i="3"/>
  <c r="Q1241" i="3"/>
  <c r="W88" i="647"/>
  <c r="W87" i="647"/>
  <c r="AU1135" i="3" l="1"/>
  <c r="Z61" i="5" s="1"/>
  <c r="AZ200" i="4"/>
  <c r="BA200" i="4" s="1"/>
  <c r="F1135" i="3"/>
  <c r="G61" i="5" s="1"/>
  <c r="AA61" i="5" s="1"/>
  <c r="I1151" i="6"/>
  <c r="N1151" i="6" s="1"/>
  <c r="T1151" i="6" s="1"/>
  <c r="AX1134" i="3"/>
  <c r="O34" i="5"/>
  <c r="G1150" i="6"/>
  <c r="AW1135" i="3"/>
  <c r="N923" i="3"/>
  <c r="N1220" i="3"/>
  <c r="W89" i="647"/>
  <c r="X88" i="647"/>
  <c r="X87" i="647"/>
  <c r="M1151" i="6" l="1"/>
  <c r="Q1151" i="6" s="1"/>
  <c r="AB61" i="5"/>
  <c r="X89" i="647"/>
  <c r="AX1133" i="3"/>
  <c r="E1150" i="6"/>
  <c r="G1152" i="6"/>
  <c r="I1150" i="6"/>
  <c r="O39" i="5"/>
  <c r="O40" i="5" s="1"/>
  <c r="O43" i="5" s="1"/>
  <c r="O46" i="5" s="1"/>
  <c r="N1223" i="3"/>
  <c r="N1227" i="3" s="1"/>
  <c r="N1229" i="3" s="1"/>
  <c r="N1234" i="3" s="1"/>
  <c r="N933" i="3"/>
  <c r="N936" i="3" s="1"/>
  <c r="N939" i="3" s="1"/>
  <c r="Y87" i="647"/>
  <c r="Y88" i="647"/>
  <c r="G59" i="2" l="1"/>
  <c r="E1152" i="6"/>
  <c r="W1151" i="6"/>
  <c r="AB1151" i="6" s="1"/>
  <c r="N1244" i="3"/>
  <c r="O70" i="5"/>
  <c r="O71" i="5" s="1"/>
  <c r="O74" i="5" s="1"/>
  <c r="N1241" i="3"/>
  <c r="AX1135" i="3"/>
  <c r="M1150" i="6"/>
  <c r="N1150" i="6"/>
  <c r="I1152" i="6"/>
  <c r="I59" i="2" s="1"/>
  <c r="Z87" i="647"/>
  <c r="AB89" i="650"/>
  <c r="AC89" i="650" s="1"/>
  <c r="AD89" i="650" s="1"/>
  <c r="AE89" i="650" s="1"/>
  <c r="AF89" i="650" s="1"/>
  <c r="AG89" i="650" s="1"/>
  <c r="Z88" i="647"/>
  <c r="AB90" i="650"/>
  <c r="AC90" i="650" s="1"/>
  <c r="AD90" i="650" s="1"/>
  <c r="AE90" i="650" s="1"/>
  <c r="AF90" i="650" s="1"/>
  <c r="AG90" i="650" s="1"/>
  <c r="Y89" i="647"/>
  <c r="Q1150" i="6" l="1"/>
  <c r="M1152" i="6"/>
  <c r="E59" i="2"/>
  <c r="N59" i="2"/>
  <c r="M59" i="2" s="1"/>
  <c r="T1150" i="6"/>
  <c r="T1152" i="6" s="1"/>
  <c r="N1152" i="6"/>
  <c r="Z89" i="647"/>
  <c r="AA88" i="647"/>
  <c r="AA87" i="647"/>
  <c r="AA89" i="647" l="1"/>
  <c r="W1150" i="6"/>
  <c r="AB1150" i="6" s="1"/>
  <c r="Q1152" i="6"/>
  <c r="W1152" i="6" s="1"/>
  <c r="AB87" i="647"/>
  <c r="AB88" i="647"/>
  <c r="J59" i="2" l="1"/>
  <c r="L59" i="2" s="1"/>
  <c r="AB1152" i="6"/>
  <c r="AB89" i="647"/>
  <c r="AC88" i="647"/>
  <c r="AC87" i="647"/>
  <c r="AC89" i="647" l="1"/>
  <c r="AD87" i="647"/>
  <c r="AD88" i="647"/>
  <c r="AE88" i="647" l="1"/>
  <c r="AE87" i="647"/>
  <c r="AJ89" i="650"/>
  <c r="AD89" i="647"/>
  <c r="AE89" i="647" l="1"/>
  <c r="AK87" i="4"/>
  <c r="AF87" i="647"/>
  <c r="AL87" i="4"/>
  <c r="AK89" i="650"/>
  <c r="AL88" i="4"/>
  <c r="AF88" i="647"/>
  <c r="AT88" i="647" s="1"/>
  <c r="AK90" i="650"/>
  <c r="AJ90" i="650"/>
  <c r="AK88" i="4" s="1"/>
  <c r="AL89" i="4" l="1"/>
  <c r="AL90" i="650"/>
  <c r="AL89" i="650"/>
  <c r="AF89" i="647"/>
  <c r="AT89" i="647" s="1"/>
  <c r="AT87" i="647"/>
  <c r="AK89" i="4"/>
  <c r="AJ91" i="650"/>
  <c r="AG87" i="647" l="1"/>
  <c r="AM89" i="650"/>
  <c r="AM90" i="650"/>
  <c r="AG88" i="647"/>
  <c r="AH88" i="647" l="1"/>
  <c r="AN90" i="650"/>
  <c r="AN89" i="650"/>
  <c r="AH87" i="647"/>
  <c r="AG89" i="647"/>
  <c r="AH89" i="647" l="1"/>
  <c r="AI87" i="647"/>
  <c r="AO89" i="650"/>
  <c r="AI88" i="647"/>
  <c r="AO90" i="650"/>
  <c r="AI89" i="647" l="1"/>
  <c r="AJ87" i="647"/>
  <c r="AP89" i="650"/>
  <c r="AP90" i="650"/>
  <c r="AJ88" i="647"/>
  <c r="AQ90" i="650" l="1"/>
  <c r="AK88" i="647"/>
  <c r="AK87" i="647"/>
  <c r="AQ89" i="650"/>
  <c r="AJ89" i="647"/>
  <c r="AK89" i="647" l="1"/>
  <c r="AL87" i="647"/>
  <c r="AR89" i="650"/>
  <c r="AL88" i="647"/>
  <c r="AR90" i="650"/>
  <c r="AM87" i="647" l="1"/>
  <c r="AS89" i="650"/>
  <c r="AL89" i="647"/>
  <c r="AM88" i="647"/>
  <c r="AS90" i="650"/>
  <c r="AM89" i="647" l="1"/>
  <c r="AN88" i="647"/>
  <c r="AT90" i="650"/>
  <c r="AT89" i="650"/>
  <c r="AN87" i="647"/>
  <c r="AN89" i="647" l="1"/>
  <c r="AU89" i="650"/>
  <c r="AO87" i="647"/>
  <c r="AU90" i="650"/>
  <c r="AO88" i="647"/>
  <c r="AO89" i="647" l="1"/>
  <c r="AP88" i="647"/>
  <c r="AV90" i="650"/>
  <c r="AP87" i="647"/>
  <c r="AV89" i="650"/>
  <c r="AP89" i="647" l="1"/>
  <c r="AQ87" i="647"/>
  <c r="AW89" i="650"/>
  <c r="BA89" i="650" s="1"/>
  <c r="AW90" i="650"/>
  <c r="BA90" i="650" s="1"/>
  <c r="AM88" i="4" s="1"/>
  <c r="AP88" i="4" s="1"/>
  <c r="AQ88" i="647"/>
  <c r="AZ88" i="4" l="1"/>
  <c r="BA88" i="4" s="1"/>
  <c r="AQ88" i="4"/>
  <c r="F1023" i="3" s="1"/>
  <c r="AU1023" i="3" s="1"/>
  <c r="AW1023" i="3" s="1"/>
  <c r="G1039" i="6" s="1"/>
  <c r="BA91" i="650"/>
  <c r="AM87" i="4"/>
  <c r="AR88" i="647"/>
  <c r="AU88" i="647" s="1"/>
  <c r="AV88" i="647" s="1"/>
  <c r="AN88" i="4"/>
  <c r="AR87" i="647"/>
  <c r="AN87" i="4"/>
  <c r="AQ89" i="647"/>
  <c r="AN89" i="4" l="1"/>
  <c r="AX1023" i="3"/>
  <c r="E1039" i="6"/>
  <c r="I1039" i="6"/>
  <c r="AM89" i="4"/>
  <c r="AP89" i="4" s="1"/>
  <c r="AQ89" i="4" s="1"/>
  <c r="F1024" i="3" s="1"/>
  <c r="AU1024" i="3" s="1"/>
  <c r="AW1024" i="3" s="1"/>
  <c r="G1040" i="6" s="1"/>
  <c r="AP87" i="4"/>
  <c r="AR89" i="647"/>
  <c r="AU89" i="647" s="1"/>
  <c r="AV89" i="647" s="1"/>
  <c r="AU87" i="647"/>
  <c r="AV87" i="647" s="1"/>
  <c r="AB97" i="650"/>
  <c r="AC97" i="650" s="1"/>
  <c r="AX1024" i="3" l="1"/>
  <c r="I1040" i="6"/>
  <c r="E1040" i="6"/>
  <c r="AD97" i="650"/>
  <c r="AE97" i="650" s="1"/>
  <c r="AF97" i="650" s="1"/>
  <c r="AG97" i="650" s="1"/>
  <c r="AI97" i="650" s="1"/>
  <c r="AQ87" i="4"/>
  <c r="F1022" i="3" s="1"/>
  <c r="AU1022" i="3" s="1"/>
  <c r="AW1022" i="3" s="1"/>
  <c r="G1038" i="6" s="1"/>
  <c r="AZ87" i="4"/>
  <c r="BA87" i="4" s="1"/>
  <c r="M1039" i="6"/>
  <c r="Q1039" i="6" s="1"/>
  <c r="N1039" i="6"/>
  <c r="T1039" i="6" s="1"/>
  <c r="W1039" i="6" l="1"/>
  <c r="AB1039" i="6" s="1"/>
  <c r="AX1022" i="3"/>
  <c r="I1038" i="6"/>
  <c r="E1038" i="6"/>
  <c r="AK97" i="650"/>
  <c r="AL97" i="650" s="1"/>
  <c r="AM97" i="650" s="1"/>
  <c r="AN97" i="650" s="1"/>
  <c r="AO97" i="650" s="1"/>
  <c r="AP97" i="650" s="1"/>
  <c r="AQ97" i="650" s="1"/>
  <c r="AR97" i="650" s="1"/>
  <c r="AS97" i="650" s="1"/>
  <c r="AT97" i="650" s="1"/>
  <c r="AU97" i="650" s="1"/>
  <c r="AV97" i="650" s="1"/>
  <c r="AW97" i="650" s="1"/>
  <c r="AY97" i="650" s="1"/>
  <c r="N1038" i="6" l="1"/>
  <c r="M1038" i="6"/>
  <c r="U95" i="647"/>
  <c r="Q1038" i="6" l="1"/>
  <c r="M1040" i="6"/>
  <c r="Q1040" i="6" s="1"/>
  <c r="N1040" i="6"/>
  <c r="T1040" i="6" s="1"/>
  <c r="T1038" i="6"/>
  <c r="V95" i="647"/>
  <c r="W1040" i="6" l="1"/>
  <c r="AB1040" i="6" s="1"/>
  <c r="W1038" i="6"/>
  <c r="AB1038" i="6" s="1"/>
  <c r="W95" i="647"/>
  <c r="X95" i="647" l="1"/>
  <c r="AB95" i="650" l="1"/>
  <c r="AB94" i="650"/>
  <c r="Y95" i="647"/>
  <c r="AB96" i="650"/>
  <c r="AC96" i="650" l="1"/>
  <c r="AA94" i="647"/>
  <c r="AC94" i="650"/>
  <c r="AA92" i="647"/>
  <c r="AC95" i="650"/>
  <c r="AA93" i="647"/>
  <c r="Z95" i="647"/>
  <c r="AD95" i="650" l="1"/>
  <c r="AB93" i="647"/>
  <c r="AD94" i="650"/>
  <c r="AB92" i="647"/>
  <c r="AD96" i="650"/>
  <c r="AB94" i="647"/>
  <c r="AA95" i="647"/>
  <c r="AE96" i="650" l="1"/>
  <c r="AC94" i="647"/>
  <c r="AE94" i="650"/>
  <c r="AC92" i="647"/>
  <c r="AE95" i="650"/>
  <c r="AC93" i="647"/>
  <c r="AB95" i="647"/>
  <c r="AF95" i="650" l="1"/>
  <c r="AD93" i="647"/>
  <c r="AF94" i="650"/>
  <c r="AD92" i="647"/>
  <c r="AF96" i="650"/>
  <c r="AD94" i="647"/>
  <c r="AC95" i="647"/>
  <c r="AG96" i="650" l="1"/>
  <c r="AF94" i="647" s="1"/>
  <c r="AE94" i="647"/>
  <c r="AG94" i="650"/>
  <c r="AF92" i="647" s="1"/>
  <c r="AE92" i="647"/>
  <c r="AG95" i="650"/>
  <c r="AF93" i="647" s="1"/>
  <c r="AE93" i="647"/>
  <c r="AD95" i="647"/>
  <c r="AJ95" i="650" l="1"/>
  <c r="AK93" i="4" s="1"/>
  <c r="AJ96" i="650"/>
  <c r="AK94" i="4" s="1"/>
  <c r="AJ94" i="650"/>
  <c r="AK92" i="4" s="1"/>
  <c r="AL92" i="4"/>
  <c r="AK94" i="650"/>
  <c r="AE95" i="647"/>
  <c r="AL93" i="4"/>
  <c r="AT93" i="647"/>
  <c r="AK95" i="650"/>
  <c r="AT94" i="647"/>
  <c r="AK96" i="650"/>
  <c r="AL94" i="4"/>
  <c r="AJ97" i="650" l="1"/>
  <c r="AL95" i="4"/>
  <c r="AL96" i="650"/>
  <c r="AG94" i="647" s="1"/>
  <c r="AL94" i="650"/>
  <c r="AG92" i="647" s="1"/>
  <c r="AF95" i="647"/>
  <c r="AT95" i="647" s="1"/>
  <c r="AT92" i="647"/>
  <c r="AL95" i="650"/>
  <c r="AG93" i="647" s="1"/>
  <c r="AK95" i="4"/>
  <c r="AM95" i="650" l="1"/>
  <c r="AH93" i="647" s="1"/>
  <c r="AM96" i="650"/>
  <c r="AH94" i="647" s="1"/>
  <c r="AM94" i="650"/>
  <c r="AH92" i="647" s="1"/>
  <c r="AH95" i="647" l="1"/>
  <c r="AG95" i="647"/>
  <c r="AN96" i="650"/>
  <c r="AI94" i="647" s="1"/>
  <c r="AN95" i="650"/>
  <c r="AI93" i="647" s="1"/>
  <c r="AN94" i="650"/>
  <c r="AI92" i="647" s="1"/>
  <c r="AI95" i="647" l="1"/>
  <c r="AO96" i="650"/>
  <c r="AJ94" i="647" s="1"/>
  <c r="AO95" i="650"/>
  <c r="AJ93" i="647" s="1"/>
  <c r="AO94" i="650"/>
  <c r="AJ92" i="647" s="1"/>
  <c r="AJ95" i="647" l="1"/>
  <c r="AP96" i="650"/>
  <c r="AK94" i="647" s="1"/>
  <c r="AP95" i="650"/>
  <c r="AK93" i="647" s="1"/>
  <c r="AP94" i="650"/>
  <c r="AK92" i="647" s="1"/>
  <c r="AK95" i="647" l="1"/>
  <c r="AQ95" i="650"/>
  <c r="AL93" i="647" s="1"/>
  <c r="AQ94" i="650"/>
  <c r="AL92" i="647" s="1"/>
  <c r="AQ96" i="650"/>
  <c r="AL94" i="647" s="1"/>
  <c r="AL95" i="647" l="1"/>
  <c r="AR95" i="650"/>
  <c r="AM93" i="647" s="1"/>
  <c r="AR96" i="650"/>
  <c r="AM94" i="647" s="1"/>
  <c r="AR94" i="650"/>
  <c r="AM92" i="647" s="1"/>
  <c r="AM95" i="647" l="1"/>
  <c r="AS96" i="650"/>
  <c r="AN94" i="647" s="1"/>
  <c r="AS95" i="650"/>
  <c r="AN93" i="647" s="1"/>
  <c r="AS94" i="650"/>
  <c r="AN92" i="647" s="1"/>
  <c r="AN95" i="647" l="1"/>
  <c r="AT94" i="650"/>
  <c r="AO92" i="647" s="1"/>
  <c r="AT96" i="650"/>
  <c r="AO94" i="647" s="1"/>
  <c r="AT95" i="650"/>
  <c r="AO93" i="647" s="1"/>
  <c r="AO95" i="647" l="1"/>
  <c r="AU95" i="650"/>
  <c r="AP93" i="647" s="1"/>
  <c r="AU96" i="650"/>
  <c r="AP94" i="647" s="1"/>
  <c r="AU94" i="650"/>
  <c r="AP92" i="647" s="1"/>
  <c r="AP95" i="647" l="1"/>
  <c r="AV96" i="650"/>
  <c r="AQ94" i="647" s="1"/>
  <c r="AV95" i="650"/>
  <c r="AQ93" i="647" s="1"/>
  <c r="AV94" i="650"/>
  <c r="AQ92" i="647" s="1"/>
  <c r="AQ95" i="647" l="1"/>
  <c r="AW94" i="650"/>
  <c r="AW95" i="650"/>
  <c r="AW96" i="650"/>
  <c r="AR94" i="647" s="1"/>
  <c r="BA95" i="650" l="1"/>
  <c r="AM93" i="4" s="1"/>
  <c r="AP93" i="4" s="1"/>
  <c r="AQ93" i="4" s="1"/>
  <c r="F1028" i="3" s="1"/>
  <c r="AU1028" i="3" s="1"/>
  <c r="AW1028" i="3" s="1"/>
  <c r="G1044" i="6" s="1"/>
  <c r="AR93" i="647"/>
  <c r="AU93" i="647" s="1"/>
  <c r="AV93" i="647" s="1"/>
  <c r="BA94" i="650"/>
  <c r="AM92" i="4" s="1"/>
  <c r="AP92" i="4" s="1"/>
  <c r="AR92" i="647"/>
  <c r="AN94" i="4"/>
  <c r="AU94" i="647"/>
  <c r="AV94" i="647" s="1"/>
  <c r="AN93" i="4"/>
  <c r="AN92" i="4"/>
  <c r="BA96" i="650"/>
  <c r="AM94" i="4" s="1"/>
  <c r="AP94" i="4" s="1"/>
  <c r="AQ94" i="4" s="1"/>
  <c r="F1029" i="3" s="1"/>
  <c r="AU1029" i="3" s="1"/>
  <c r="AW1029" i="3" s="1"/>
  <c r="AZ93" i="4" l="1"/>
  <c r="BA93" i="4" s="1"/>
  <c r="AR95" i="647"/>
  <c r="AU95" i="647" s="1"/>
  <c r="AV95" i="647" s="1"/>
  <c r="AZ92" i="4"/>
  <c r="BA92" i="4" s="1"/>
  <c r="AQ92" i="4"/>
  <c r="F1027" i="3" s="1"/>
  <c r="AU1027" i="3" s="1"/>
  <c r="AW1027" i="3" s="1"/>
  <c r="AN95" i="4"/>
  <c r="AX1028" i="3"/>
  <c r="E1044" i="6"/>
  <c r="I1044" i="6"/>
  <c r="G1045" i="6"/>
  <c r="AX1029" i="3" s="1"/>
  <c r="AM95" i="4"/>
  <c r="AP95" i="4" s="1"/>
  <c r="AQ95" i="4" s="1"/>
  <c r="F1030" i="3" s="1"/>
  <c r="AU1030" i="3" s="1"/>
  <c r="AW1030" i="3" s="1"/>
  <c r="G1046" i="6" s="1"/>
  <c r="BA97" i="650"/>
  <c r="AU92" i="647"/>
  <c r="AV92" i="647" s="1"/>
  <c r="E1045" i="6" l="1"/>
  <c r="I1045" i="6"/>
  <c r="M1044" i="6"/>
  <c r="Q1044" i="6" s="1"/>
  <c r="W1044" i="6" s="1"/>
  <c r="AB1044" i="6" s="1"/>
  <c r="N1044" i="6"/>
  <c r="T1044" i="6" s="1"/>
  <c r="G1043" i="6"/>
  <c r="AX1027" i="3" s="1"/>
  <c r="AX1030" i="3"/>
  <c r="I1046" i="6"/>
  <c r="E1046" i="6"/>
  <c r="AB103" i="650"/>
  <c r="AC103" i="650" s="1"/>
  <c r="AD103" i="650" s="1"/>
  <c r="AE103" i="650" s="1"/>
  <c r="AF103" i="650" s="1"/>
  <c r="AG103" i="650" s="1"/>
  <c r="E1043" i="6" l="1"/>
  <c r="I1043" i="6"/>
  <c r="M1045" i="6"/>
  <c r="Q1045" i="6" s="1"/>
  <c r="N1045" i="6"/>
  <c r="T1045" i="6" s="1"/>
  <c r="AI103" i="650"/>
  <c r="AK103" i="650"/>
  <c r="AL103" i="650" s="1"/>
  <c r="AM103" i="650" s="1"/>
  <c r="AN103" i="650" s="1"/>
  <c r="AO103" i="650" s="1"/>
  <c r="AP103" i="650" s="1"/>
  <c r="AQ103" i="650" s="1"/>
  <c r="AR103" i="650" s="1"/>
  <c r="AS103" i="650" s="1"/>
  <c r="AT103" i="650" s="1"/>
  <c r="AU103" i="650" s="1"/>
  <c r="AV103" i="650" s="1"/>
  <c r="AW103" i="650" s="1"/>
  <c r="AY103" i="650" s="1"/>
  <c r="W1045" i="6" l="1"/>
  <c r="AB1045" i="6" s="1"/>
  <c r="N1043" i="6"/>
  <c r="M1043" i="6"/>
  <c r="U101" i="647"/>
  <c r="Q1043" i="6" l="1"/>
  <c r="M1046" i="6"/>
  <c r="Q1046" i="6" s="1"/>
  <c r="T1043" i="6"/>
  <c r="N1046" i="6"/>
  <c r="T1046" i="6" s="1"/>
  <c r="V101" i="647"/>
  <c r="W1043" i="6" l="1"/>
  <c r="AB1043" i="6" s="1"/>
  <c r="W1046" i="6"/>
  <c r="AB1046" i="6" s="1"/>
  <c r="W101" i="647"/>
  <c r="X101" i="647" l="1"/>
  <c r="AB100" i="650" l="1"/>
  <c r="AB101" i="650"/>
  <c r="AB102" i="650"/>
  <c r="Y101" i="647"/>
  <c r="AC102" i="650" l="1"/>
  <c r="AA100" i="647"/>
  <c r="AC100" i="650"/>
  <c r="AA98" i="647"/>
  <c r="AC101" i="650"/>
  <c r="AA99" i="647"/>
  <c r="Z101" i="647"/>
  <c r="AD101" i="650" l="1"/>
  <c r="AB99" i="647"/>
  <c r="AD100" i="650"/>
  <c r="AB98" i="647"/>
  <c r="AD102" i="650"/>
  <c r="AB100" i="647"/>
  <c r="AA101" i="647"/>
  <c r="AE101" i="650" l="1"/>
  <c r="AC99" i="647"/>
  <c r="AE102" i="650"/>
  <c r="AC100" i="647"/>
  <c r="AE100" i="650"/>
  <c r="AC98" i="647"/>
  <c r="AB101" i="647"/>
  <c r="AF100" i="650" l="1"/>
  <c r="AD98" i="647"/>
  <c r="AF102" i="650"/>
  <c r="AD100" i="647"/>
  <c r="AF101" i="650"/>
  <c r="AD99" i="647"/>
  <c r="AC101" i="647"/>
  <c r="AG101" i="650" l="1"/>
  <c r="AF99" i="647" s="1"/>
  <c r="AE99" i="647"/>
  <c r="AG102" i="650"/>
  <c r="AF100" i="647" s="1"/>
  <c r="AE100" i="647"/>
  <c r="AG100" i="650"/>
  <c r="AF98" i="647" s="1"/>
  <c r="AE98" i="647"/>
  <c r="AD101" i="647"/>
  <c r="AJ102" i="650" l="1"/>
  <c r="AK100" i="4" s="1"/>
  <c r="AJ101" i="650"/>
  <c r="AK99" i="4" s="1"/>
  <c r="AE101" i="647"/>
  <c r="AL99" i="4"/>
  <c r="AT99" i="647"/>
  <c r="AK101" i="650"/>
  <c r="AL98" i="4"/>
  <c r="AK100" i="650"/>
  <c r="AL100" i="4"/>
  <c r="AT100" i="647"/>
  <c r="AK102" i="650"/>
  <c r="AJ100" i="650"/>
  <c r="AL101" i="650" l="1"/>
  <c r="AG99" i="647" s="1"/>
  <c r="AF101" i="647"/>
  <c r="AT101" i="647" s="1"/>
  <c r="AT98" i="647"/>
  <c r="AJ103" i="650"/>
  <c r="AK98" i="4"/>
  <c r="AL102" i="650"/>
  <c r="AG100" i="647" s="1"/>
  <c r="AL100" i="650"/>
  <c r="AG98" i="647" s="1"/>
  <c r="AL101" i="4"/>
  <c r="AM100" i="650" l="1"/>
  <c r="AH98" i="647" s="1"/>
  <c r="AM101" i="650"/>
  <c r="AH99" i="647" s="1"/>
  <c r="AK101" i="4"/>
  <c r="AM102" i="650"/>
  <c r="AH100" i="647" s="1"/>
  <c r="AN102" i="650" l="1"/>
  <c r="AI100" i="647" s="1"/>
  <c r="AN100" i="650"/>
  <c r="AI98" i="647" s="1"/>
  <c r="AN101" i="650"/>
  <c r="AI99" i="647" s="1"/>
  <c r="AG101" i="647"/>
  <c r="AO102" i="650" l="1"/>
  <c r="AJ100" i="647" s="1"/>
  <c r="AH101" i="647"/>
  <c r="AO101" i="650"/>
  <c r="AJ99" i="647" s="1"/>
  <c r="AO100" i="650"/>
  <c r="AJ98" i="647" s="1"/>
  <c r="AI101" i="647" l="1"/>
  <c r="AP100" i="650"/>
  <c r="AK98" i="647" s="1"/>
  <c r="AP101" i="650"/>
  <c r="AK99" i="647" s="1"/>
  <c r="AP102" i="650"/>
  <c r="AK100" i="647" s="1"/>
  <c r="AJ101" i="647" l="1"/>
  <c r="AQ101" i="650"/>
  <c r="AL99" i="647" s="1"/>
  <c r="AQ100" i="650"/>
  <c r="AL98" i="647" s="1"/>
  <c r="AQ102" i="650"/>
  <c r="AL100" i="647" s="1"/>
  <c r="AK101" i="647" l="1"/>
  <c r="AR100" i="650"/>
  <c r="AM98" i="647" s="1"/>
  <c r="AR101" i="650"/>
  <c r="AM99" i="647" s="1"/>
  <c r="AR102" i="650"/>
  <c r="AM100" i="647" s="1"/>
  <c r="AS101" i="650" l="1"/>
  <c r="AN99" i="647" s="1"/>
  <c r="AL101" i="647"/>
  <c r="AS102" i="650"/>
  <c r="AN100" i="647" s="1"/>
  <c r="AS100" i="650"/>
  <c r="AN98" i="647" s="1"/>
  <c r="AT102" i="650" l="1"/>
  <c r="AO100" i="647" s="1"/>
  <c r="AT100" i="650"/>
  <c r="AO98" i="647" s="1"/>
  <c r="AT101" i="650"/>
  <c r="AO99" i="647" s="1"/>
  <c r="AM101" i="647"/>
  <c r="AN101" i="647" l="1"/>
  <c r="AU102" i="650"/>
  <c r="AP100" i="647" s="1"/>
  <c r="AU101" i="650"/>
  <c r="AP99" i="647" s="1"/>
  <c r="AU100" i="650"/>
  <c r="AP98" i="647" s="1"/>
  <c r="AO101" i="647" l="1"/>
  <c r="AV100" i="650"/>
  <c r="AQ98" i="647" s="1"/>
  <c r="AV102" i="650"/>
  <c r="AQ100" i="647" s="1"/>
  <c r="AV101" i="650"/>
  <c r="AQ99" i="647" s="1"/>
  <c r="AW101" i="650" l="1"/>
  <c r="AP101" i="647"/>
  <c r="AW102" i="650"/>
  <c r="AW100" i="650"/>
  <c r="BA100" i="650" l="1"/>
  <c r="AM98" i="4" s="1"/>
  <c r="AR98" i="647"/>
  <c r="BA101" i="650"/>
  <c r="AM99" i="4" s="1"/>
  <c r="AP99" i="4" s="1"/>
  <c r="AQ99" i="4" s="1"/>
  <c r="F1034" i="3" s="1"/>
  <c r="AU1034" i="3" s="1"/>
  <c r="AW1034" i="3" s="1"/>
  <c r="G1050" i="6" s="1"/>
  <c r="AR99" i="647"/>
  <c r="AU99" i="647" s="1"/>
  <c r="AV99" i="647" s="1"/>
  <c r="BA102" i="650"/>
  <c r="AM100" i="4" s="1"/>
  <c r="AP100" i="4" s="1"/>
  <c r="AZ100" i="4" s="1"/>
  <c r="BA100" i="4" s="1"/>
  <c r="AR100" i="647"/>
  <c r="AU100" i="647" s="1"/>
  <c r="AV100" i="647" s="1"/>
  <c r="AQ101" i="647"/>
  <c r="AN100" i="4"/>
  <c r="AN98" i="4"/>
  <c r="AN99" i="4"/>
  <c r="BA103" i="650" l="1"/>
  <c r="AQ100" i="4"/>
  <c r="F1035" i="3" s="1"/>
  <c r="AU1035" i="3" s="1"/>
  <c r="AW1035" i="3" s="1"/>
  <c r="G1051" i="6" s="1"/>
  <c r="E1051" i="6" s="1"/>
  <c r="AZ99" i="4"/>
  <c r="BA99" i="4" s="1"/>
  <c r="AX1034" i="3"/>
  <c r="E1050" i="6"/>
  <c r="I1050" i="6"/>
  <c r="AM101" i="4"/>
  <c r="AP101" i="4" s="1"/>
  <c r="AQ101" i="4" s="1"/>
  <c r="F1036" i="3" s="1"/>
  <c r="AU1036" i="3" s="1"/>
  <c r="AW1036" i="3" s="1"/>
  <c r="AP98" i="4"/>
  <c r="AR101" i="647"/>
  <c r="AU101" i="647" s="1"/>
  <c r="AV101" i="647" s="1"/>
  <c r="AU98" i="647"/>
  <c r="AV98" i="647" s="1"/>
  <c r="AN101" i="4"/>
  <c r="AB109" i="650"/>
  <c r="AC109" i="650" s="1"/>
  <c r="AD109" i="650" s="1"/>
  <c r="AE109" i="650" s="1"/>
  <c r="AF109" i="650" s="1"/>
  <c r="AG109" i="650" s="1"/>
  <c r="AI109" i="650" s="1"/>
  <c r="I1051" i="6" l="1"/>
  <c r="M1051" i="6" s="1"/>
  <c r="Q1051" i="6" s="1"/>
  <c r="AX1035" i="3"/>
  <c r="G1052" i="6"/>
  <c r="AX1036" i="3" s="1"/>
  <c r="N1050" i="6"/>
  <c r="T1050" i="6" s="1"/>
  <c r="M1050" i="6"/>
  <c r="Q1050" i="6" s="1"/>
  <c r="AZ98" i="4"/>
  <c r="BA98" i="4" s="1"/>
  <c r="AQ98" i="4"/>
  <c r="F1033" i="3" s="1"/>
  <c r="AU1033" i="3" s="1"/>
  <c r="AW1033" i="3" s="1"/>
  <c r="G1049" i="6" s="1"/>
  <c r="AK109" i="650"/>
  <c r="AL109" i="650" s="1"/>
  <c r="AM109" i="650" s="1"/>
  <c r="AN109" i="650" s="1"/>
  <c r="AO109" i="650" s="1"/>
  <c r="AP109" i="650" s="1"/>
  <c r="AQ109" i="650" s="1"/>
  <c r="AR109" i="650" s="1"/>
  <c r="AS109" i="650" s="1"/>
  <c r="AT109" i="650" s="1"/>
  <c r="AU109" i="650" s="1"/>
  <c r="AV109" i="650" s="1"/>
  <c r="AW109" i="650" s="1"/>
  <c r="AY109" i="650" s="1"/>
  <c r="N1051" i="6" l="1"/>
  <c r="T1051" i="6" s="1"/>
  <c r="W1051" i="6"/>
  <c r="AB1051" i="6" s="1"/>
  <c r="W1050" i="6"/>
  <c r="AB1050" i="6" s="1"/>
  <c r="AX1033" i="3"/>
  <c r="I1049" i="6"/>
  <c r="E1049" i="6"/>
  <c r="E1052" i="6"/>
  <c r="I1052" i="6"/>
  <c r="M1049" i="6" l="1"/>
  <c r="N1049" i="6"/>
  <c r="V107" i="647"/>
  <c r="U107" i="647"/>
  <c r="N1052" i="6" l="1"/>
  <c r="T1052" i="6" s="1"/>
  <c r="T1049" i="6"/>
  <c r="M1052" i="6"/>
  <c r="Q1052" i="6" s="1"/>
  <c r="Q1049" i="6"/>
  <c r="W1049" i="6" s="1"/>
  <c r="AB1049" i="6" s="1"/>
  <c r="W1052" i="6" l="1"/>
  <c r="AB1052" i="6" s="1"/>
  <c r="W107" i="647"/>
  <c r="X107" i="647"/>
  <c r="Y107" i="647" l="1"/>
  <c r="AB107" i="650"/>
  <c r="AB108" i="650"/>
  <c r="AC108" i="650" l="1"/>
  <c r="AA106" i="647"/>
  <c r="AC107" i="650"/>
  <c r="AA105" i="647"/>
  <c r="AB106" i="650"/>
  <c r="AD107" i="650" l="1"/>
  <c r="AB105" i="647"/>
  <c r="AC106" i="650"/>
  <c r="AA104" i="647"/>
  <c r="AA107" i="647" s="1"/>
  <c r="AD108" i="650"/>
  <c r="AB106" i="647"/>
  <c r="Z107" i="647"/>
  <c r="AD106" i="650" l="1"/>
  <c r="AB104" i="647"/>
  <c r="AB107" i="647" s="1"/>
  <c r="AE108" i="650"/>
  <c r="AC106" i="647"/>
  <c r="AE107" i="650"/>
  <c r="AC105" i="647"/>
  <c r="AF108" i="650" l="1"/>
  <c r="AD106" i="647"/>
  <c r="AF107" i="650"/>
  <c r="AD105" i="647"/>
  <c r="AE106" i="650"/>
  <c r="AC104" i="647"/>
  <c r="AC107" i="647" s="1"/>
  <c r="AG107" i="650" l="1"/>
  <c r="AL105" i="4" s="1"/>
  <c r="AE105" i="647"/>
  <c r="AF106" i="650"/>
  <c r="AD104" i="647"/>
  <c r="AD107" i="647" s="1"/>
  <c r="AG108" i="650"/>
  <c r="AL106" i="4" s="1"/>
  <c r="AE106" i="647"/>
  <c r="AK107" i="650" l="1"/>
  <c r="AL107" i="650" s="1"/>
  <c r="AG105" i="647" s="1"/>
  <c r="AK108" i="650"/>
  <c r="AL108" i="650" s="1"/>
  <c r="AG106" i="647" s="1"/>
  <c r="AG106" i="650"/>
  <c r="AL104" i="4" s="1"/>
  <c r="AL107" i="4" s="1"/>
  <c r="AE104" i="647"/>
  <c r="AE107" i="647" s="1"/>
  <c r="AF106" i="647"/>
  <c r="AT106" i="647" s="1"/>
  <c r="AJ108" i="650"/>
  <c r="AK106" i="4" s="1"/>
  <c r="AF105" i="647"/>
  <c r="AT105" i="647" s="1"/>
  <c r="AJ107" i="650"/>
  <c r="AK105" i="4" s="1"/>
  <c r="AK106" i="650" l="1"/>
  <c r="AL106" i="650" s="1"/>
  <c r="AG104" i="647" s="1"/>
  <c r="AF104" i="647"/>
  <c r="AT104" i="647" s="1"/>
  <c r="AJ106" i="650"/>
  <c r="AM108" i="650"/>
  <c r="AH106" i="647" s="1"/>
  <c r="AM107" i="650"/>
  <c r="AH105" i="647" s="1"/>
  <c r="AF107" i="647" l="1"/>
  <c r="AT107" i="647" s="1"/>
  <c r="AJ109" i="650"/>
  <c r="AK104" i="4"/>
  <c r="AK107" i="4" s="1"/>
  <c r="AN108" i="650"/>
  <c r="AI106" i="647" s="1"/>
  <c r="AN107" i="650"/>
  <c r="AI105" i="647" s="1"/>
  <c r="AM106" i="650"/>
  <c r="AH104" i="647" s="1"/>
  <c r="AO108" i="650" l="1"/>
  <c r="AJ106" i="647" s="1"/>
  <c r="AH107" i="647"/>
  <c r="AN106" i="650"/>
  <c r="AI104" i="647" s="1"/>
  <c r="AG107" i="647"/>
  <c r="AO107" i="650"/>
  <c r="AJ105" i="647" s="1"/>
  <c r="AP107" i="650" l="1"/>
  <c r="AK105" i="647" s="1"/>
  <c r="AP108" i="650"/>
  <c r="AK106" i="647" s="1"/>
  <c r="AI107" i="647"/>
  <c r="AO106" i="650"/>
  <c r="AJ104" i="647" s="1"/>
  <c r="AJ107" i="647" l="1"/>
  <c r="AP106" i="650"/>
  <c r="AK104" i="647" s="1"/>
  <c r="AQ107" i="650"/>
  <c r="AL105" i="647" s="1"/>
  <c r="AQ108" i="650"/>
  <c r="AL106" i="647" s="1"/>
  <c r="AR107" i="650" l="1"/>
  <c r="AM105" i="647" s="1"/>
  <c r="AR108" i="650"/>
  <c r="AM106" i="647" s="1"/>
  <c r="AQ106" i="650"/>
  <c r="AL104" i="647" s="1"/>
  <c r="AS107" i="650" l="1"/>
  <c r="AN105" i="647" s="1"/>
  <c r="AR106" i="650"/>
  <c r="AM104" i="647" s="1"/>
  <c r="AL107" i="647"/>
  <c r="AK107" i="647"/>
  <c r="AS108" i="650"/>
  <c r="AN106" i="647" s="1"/>
  <c r="AS106" i="650" l="1"/>
  <c r="AN104" i="647" s="1"/>
  <c r="AT108" i="650"/>
  <c r="AO106" i="647" s="1"/>
  <c r="AT107" i="650"/>
  <c r="AO105" i="647" s="1"/>
  <c r="AU108" i="650" l="1"/>
  <c r="AP106" i="647" s="1"/>
  <c r="AU107" i="650"/>
  <c r="AP105" i="647" s="1"/>
  <c r="AM107" i="647"/>
  <c r="AN107" i="647"/>
  <c r="AT106" i="650"/>
  <c r="AO104" i="647" s="1"/>
  <c r="AU106" i="650" l="1"/>
  <c r="AP104" i="647" s="1"/>
  <c r="AO107" i="647"/>
  <c r="AV107" i="650"/>
  <c r="AQ105" i="647" s="1"/>
  <c r="AV108" i="650"/>
  <c r="AQ106" i="647" s="1"/>
  <c r="AW108" i="650" l="1"/>
  <c r="AW107" i="650"/>
  <c r="AP107" i="647"/>
  <c r="AV106" i="650"/>
  <c r="AQ104" i="647" s="1"/>
  <c r="BA107" i="650" l="1"/>
  <c r="AM105" i="4" s="1"/>
  <c r="AP105" i="4" s="1"/>
  <c r="AZ105" i="4" s="1"/>
  <c r="BA105" i="4" s="1"/>
  <c r="AR105" i="647"/>
  <c r="AU105" i="647" s="1"/>
  <c r="AV105" i="647" s="1"/>
  <c r="BA108" i="650"/>
  <c r="AM106" i="4" s="1"/>
  <c r="AP106" i="4" s="1"/>
  <c r="AQ106" i="4" s="1"/>
  <c r="F1041" i="3" s="1"/>
  <c r="AU1041" i="3" s="1"/>
  <c r="AW1041" i="3" s="1"/>
  <c r="G1057" i="6" s="1"/>
  <c r="AR106" i="647"/>
  <c r="AU106" i="647" s="1"/>
  <c r="AV106" i="647" s="1"/>
  <c r="AW106" i="650"/>
  <c r="AQ107" i="647"/>
  <c r="AN105" i="4"/>
  <c r="AN106" i="4"/>
  <c r="AQ105" i="4" l="1"/>
  <c r="F1040" i="3" s="1"/>
  <c r="AU1040" i="3" s="1"/>
  <c r="AW1040" i="3" s="1"/>
  <c r="G1056" i="6" s="1"/>
  <c r="AZ106" i="4"/>
  <c r="BA106" i="4" s="1"/>
  <c r="BA106" i="650"/>
  <c r="AM104" i="4" s="1"/>
  <c r="AR104" i="647"/>
  <c r="AX1041" i="3"/>
  <c r="I1057" i="6"/>
  <c r="E1057" i="6"/>
  <c r="AN104" i="4"/>
  <c r="AN107" i="4" s="1"/>
  <c r="BA109" i="650" l="1"/>
  <c r="E1056" i="6"/>
  <c r="I1056" i="6"/>
  <c r="N1057" i="6"/>
  <c r="T1057" i="6" s="1"/>
  <c r="M1057" i="6"/>
  <c r="Q1057" i="6" s="1"/>
  <c r="AM107" i="4"/>
  <c r="AP107" i="4" s="1"/>
  <c r="AQ107" i="4" s="1"/>
  <c r="F1042" i="3" s="1"/>
  <c r="AU1042" i="3" s="1"/>
  <c r="AW1042" i="3" s="1"/>
  <c r="G1058" i="6" s="1"/>
  <c r="AP104" i="4"/>
  <c r="AX1040" i="3"/>
  <c r="AR107" i="647"/>
  <c r="AU107" i="647" s="1"/>
  <c r="AV107" i="647" s="1"/>
  <c r="AU104" i="647"/>
  <c r="AV104" i="647" s="1"/>
  <c r="AB120" i="650"/>
  <c r="AC120" i="650" s="1"/>
  <c r="AD120" i="650" s="1"/>
  <c r="AE120" i="650" s="1"/>
  <c r="AF120" i="650" s="1"/>
  <c r="AG120" i="650" s="1"/>
  <c r="W1057" i="6" l="1"/>
  <c r="AB1057" i="6" s="1"/>
  <c r="AZ104" i="4"/>
  <c r="BA104" i="4" s="1"/>
  <c r="AQ104" i="4"/>
  <c r="F1039" i="3" s="1"/>
  <c r="AU1039" i="3" s="1"/>
  <c r="AW1039" i="3" s="1"/>
  <c r="AX1042" i="3"/>
  <c r="I1058" i="6"/>
  <c r="E1058" i="6"/>
  <c r="M1056" i="6"/>
  <c r="Q1056" i="6" s="1"/>
  <c r="W1056" i="6" s="1"/>
  <c r="AB1056" i="6" s="1"/>
  <c r="N1056" i="6"/>
  <c r="T1056" i="6" s="1"/>
  <c r="AI120" i="650"/>
  <c r="AK120" i="650"/>
  <c r="AL120" i="650" s="1"/>
  <c r="AM120" i="650" s="1"/>
  <c r="AN120" i="650" s="1"/>
  <c r="AO120" i="650" s="1"/>
  <c r="AP120" i="650" s="1"/>
  <c r="AQ120" i="650" s="1"/>
  <c r="AR120" i="650" s="1"/>
  <c r="AS120" i="650" s="1"/>
  <c r="AT120" i="650" s="1"/>
  <c r="AU120" i="650" s="1"/>
  <c r="AV120" i="650" s="1"/>
  <c r="AW120" i="650" s="1"/>
  <c r="AY120" i="650" s="1"/>
  <c r="G1055" i="6" l="1"/>
  <c r="AX1039" i="3" s="1"/>
  <c r="U118" i="647"/>
  <c r="I1055" i="6" l="1"/>
  <c r="E1055" i="6"/>
  <c r="V118" i="647"/>
  <c r="N1055" i="6" l="1"/>
  <c r="M1055" i="6"/>
  <c r="W118" i="647"/>
  <c r="M1058" i="6" l="1"/>
  <c r="Q1058" i="6" s="1"/>
  <c r="Q1055" i="6"/>
  <c r="T1055" i="6"/>
  <c r="N1058" i="6"/>
  <c r="T1058" i="6" s="1"/>
  <c r="X118" i="647"/>
  <c r="AB119" i="650"/>
  <c r="AC119" i="650" l="1"/>
  <c r="AA117" i="647"/>
  <c r="W1055" i="6"/>
  <c r="AB1055" i="6" s="1"/>
  <c r="W1058" i="6"/>
  <c r="AB1058" i="6" s="1"/>
  <c r="AB117" i="650"/>
  <c r="AC117" i="650" l="1"/>
  <c r="AA115" i="647"/>
  <c r="AD119" i="650"/>
  <c r="AB117" i="647"/>
  <c r="AB118" i="650"/>
  <c r="Z118" i="647"/>
  <c r="Y118" i="647"/>
  <c r="AE119" i="650" l="1"/>
  <c r="AC117" i="647"/>
  <c r="AC118" i="650"/>
  <c r="AA116" i="647"/>
  <c r="AA118" i="647" s="1"/>
  <c r="AD117" i="650"/>
  <c r="AB115" i="647"/>
  <c r="AE117" i="650" l="1"/>
  <c r="AC115" i="647"/>
  <c r="AD118" i="650"/>
  <c r="AB116" i="647"/>
  <c r="AB118" i="647" s="1"/>
  <c r="AF119" i="650"/>
  <c r="AD117" i="647"/>
  <c r="AG119" i="650" l="1"/>
  <c r="AF117" i="647" s="1"/>
  <c r="AE117" i="647"/>
  <c r="AE118" i="650"/>
  <c r="AC116" i="647"/>
  <c r="AC118" i="647" s="1"/>
  <c r="AF117" i="650"/>
  <c r="AD115" i="647"/>
  <c r="AF118" i="650" l="1"/>
  <c r="AD116" i="647"/>
  <c r="AD118" i="647" s="1"/>
  <c r="AG117" i="650"/>
  <c r="AF115" i="647" s="1"/>
  <c r="AE115" i="647"/>
  <c r="AL117" i="4"/>
  <c r="AT117" i="647"/>
  <c r="AK119" i="650"/>
  <c r="AJ119" i="650"/>
  <c r="AK117" i="4" s="1"/>
  <c r="AJ117" i="650" l="1"/>
  <c r="AK115" i="4" s="1"/>
  <c r="AG118" i="650"/>
  <c r="AF116" i="647" s="1"/>
  <c r="AE116" i="647"/>
  <c r="AE118" i="647" s="1"/>
  <c r="AL119" i="650"/>
  <c r="AG117" i="647" s="1"/>
  <c r="AL115" i="4"/>
  <c r="AK117" i="650"/>
  <c r="AJ118" i="650" l="1"/>
  <c r="AK116" i="4" s="1"/>
  <c r="AK118" i="4" s="1"/>
  <c r="AM119" i="650"/>
  <c r="AH117" i="647" s="1"/>
  <c r="AT116" i="647"/>
  <c r="AL116" i="4"/>
  <c r="AL118" i="4" s="1"/>
  <c r="AK118" i="650"/>
  <c r="AL117" i="650"/>
  <c r="AG115" i="647" s="1"/>
  <c r="AT115" i="647"/>
  <c r="AJ120" i="650" l="1"/>
  <c r="AF118" i="647"/>
  <c r="AT118" i="647" s="1"/>
  <c r="AL118" i="650"/>
  <c r="AG116" i="647" s="1"/>
  <c r="AN119" i="650"/>
  <c r="AI117" i="647" s="1"/>
  <c r="AM117" i="650"/>
  <c r="AH115" i="647" s="1"/>
  <c r="AN117" i="650" l="1"/>
  <c r="AI115" i="647" s="1"/>
  <c r="AM118" i="650"/>
  <c r="AH116" i="647" s="1"/>
  <c r="AG118" i="647"/>
  <c r="AO119" i="650"/>
  <c r="AJ117" i="647" s="1"/>
  <c r="AO117" i="650" l="1"/>
  <c r="AJ115" i="647" s="1"/>
  <c r="AN118" i="650"/>
  <c r="AI116" i="647" s="1"/>
  <c r="AP119" i="650"/>
  <c r="AK117" i="647" s="1"/>
  <c r="AH118" i="647" l="1"/>
  <c r="AO118" i="650"/>
  <c r="AJ116" i="647" s="1"/>
  <c r="AP117" i="650"/>
  <c r="AK115" i="647" s="1"/>
  <c r="AQ119" i="650"/>
  <c r="AL117" i="647" s="1"/>
  <c r="AR119" i="650" l="1"/>
  <c r="AM117" i="647" s="1"/>
  <c r="AQ117" i="650"/>
  <c r="AL115" i="647" s="1"/>
  <c r="AP118" i="650"/>
  <c r="AK116" i="647" s="1"/>
  <c r="AJ118" i="647"/>
  <c r="AI118" i="647"/>
  <c r="AR117" i="650" l="1"/>
  <c r="AM115" i="647" s="1"/>
  <c r="AK118" i="647"/>
  <c r="AQ118" i="650"/>
  <c r="AL116" i="647" s="1"/>
  <c r="AS119" i="650"/>
  <c r="AN117" i="647" s="1"/>
  <c r="AT119" i="650" l="1"/>
  <c r="AO117" i="647" s="1"/>
  <c r="AL118" i="647"/>
  <c r="AR118" i="650"/>
  <c r="AM116" i="647" s="1"/>
  <c r="AS117" i="650"/>
  <c r="AN115" i="647" s="1"/>
  <c r="AM118" i="647" l="1"/>
  <c r="AS118" i="650"/>
  <c r="AN116" i="647" s="1"/>
  <c r="AU119" i="650"/>
  <c r="AP117" i="647" s="1"/>
  <c r="AT117" i="650"/>
  <c r="AO115" i="647" s="1"/>
  <c r="AU117" i="650" l="1"/>
  <c r="AP115" i="647" s="1"/>
  <c r="AV119" i="650"/>
  <c r="AQ117" i="647" s="1"/>
  <c r="AN118" i="647"/>
  <c r="AT118" i="650"/>
  <c r="AO116" i="647" s="1"/>
  <c r="AO118" i="647" l="1"/>
  <c r="AU118" i="650"/>
  <c r="AP116" i="647" s="1"/>
  <c r="AW119" i="650"/>
  <c r="AV117" i="650"/>
  <c r="AQ115" i="647" s="1"/>
  <c r="BA119" i="650" l="1"/>
  <c r="AM117" i="4" s="1"/>
  <c r="AP117" i="4" s="1"/>
  <c r="AZ117" i="4" s="1"/>
  <c r="BA117" i="4" s="1"/>
  <c r="AR117" i="647"/>
  <c r="AU117" i="647" s="1"/>
  <c r="AV117" i="647" s="1"/>
  <c r="AW117" i="650"/>
  <c r="AP118" i="647"/>
  <c r="AV118" i="650"/>
  <c r="AQ116" i="647" s="1"/>
  <c r="AN117" i="4"/>
  <c r="BA117" i="650" l="1"/>
  <c r="AM115" i="4" s="1"/>
  <c r="AP115" i="4" s="1"/>
  <c r="AR115" i="647"/>
  <c r="AQ117" i="4"/>
  <c r="F1052" i="3" s="1"/>
  <c r="AU1052" i="3" s="1"/>
  <c r="AW1052" i="3" s="1"/>
  <c r="G1068" i="6" s="1"/>
  <c r="E1068" i="6" s="1"/>
  <c r="AN115" i="4"/>
  <c r="AQ118" i="647"/>
  <c r="AW118" i="650"/>
  <c r="I1068" i="6" l="1"/>
  <c r="N1068" i="6" s="1"/>
  <c r="T1068" i="6" s="1"/>
  <c r="AX1052" i="3"/>
  <c r="BA118" i="650"/>
  <c r="AM116" i="4" s="1"/>
  <c r="AP116" i="4" s="1"/>
  <c r="AQ116" i="4" s="1"/>
  <c r="F1051" i="3" s="1"/>
  <c r="AU1051" i="3" s="1"/>
  <c r="AW1051" i="3" s="1"/>
  <c r="G1067" i="6" s="1"/>
  <c r="AR116" i="647"/>
  <c r="AU116" i="647" s="1"/>
  <c r="AV116" i="647" s="1"/>
  <c r="AQ115" i="4"/>
  <c r="F1050" i="3" s="1"/>
  <c r="AU1050" i="3" s="1"/>
  <c r="AW1050" i="3" s="1"/>
  <c r="AZ115" i="4"/>
  <c r="BA115" i="4" s="1"/>
  <c r="AN116" i="4"/>
  <c r="AN118" i="4" s="1"/>
  <c r="AU115" i="647"/>
  <c r="AV115" i="647" s="1"/>
  <c r="AB126" i="650"/>
  <c r="AC126" i="650" s="1"/>
  <c r="BA120" i="650" l="1"/>
  <c r="M1068" i="6"/>
  <c r="Q1068" i="6" s="1"/>
  <c r="W1068" i="6" s="1"/>
  <c r="AB1068" i="6" s="1"/>
  <c r="AM118" i="4"/>
  <c r="AP118" i="4" s="1"/>
  <c r="AQ118" i="4" s="1"/>
  <c r="F1053" i="3" s="1"/>
  <c r="AU1053" i="3" s="1"/>
  <c r="AW1053" i="3" s="1"/>
  <c r="G1069" i="6" s="1"/>
  <c r="AX1053" i="3" s="1"/>
  <c r="AZ116" i="4"/>
  <c r="BA116" i="4" s="1"/>
  <c r="AD126" i="650"/>
  <c r="G1066" i="6"/>
  <c r="AX1050" i="3" s="1"/>
  <c r="AR118" i="647"/>
  <c r="AU118" i="647" s="1"/>
  <c r="AV118" i="647" s="1"/>
  <c r="AX1051" i="3"/>
  <c r="E1067" i="6"/>
  <c r="I1067" i="6"/>
  <c r="U123" i="647"/>
  <c r="U122" i="647"/>
  <c r="AE126" i="650" l="1"/>
  <c r="AF126" i="650" s="1"/>
  <c r="AG126" i="650" s="1"/>
  <c r="M1067" i="6"/>
  <c r="Q1067" i="6" s="1"/>
  <c r="N1067" i="6"/>
  <c r="T1067" i="6" s="1"/>
  <c r="I1069" i="6"/>
  <c r="E1069" i="6"/>
  <c r="I1066" i="6"/>
  <c r="E1066" i="6"/>
  <c r="V122" i="647"/>
  <c r="V123" i="647"/>
  <c r="U121" i="647"/>
  <c r="W1067" i="6" l="1"/>
  <c r="AB1067" i="6" s="1"/>
  <c r="AI126" i="650"/>
  <c r="AK126" i="650"/>
  <c r="AL126" i="650" s="1"/>
  <c r="AM126" i="650" s="1"/>
  <c r="AN126" i="650" s="1"/>
  <c r="AO126" i="650" s="1"/>
  <c r="AP126" i="650" s="1"/>
  <c r="AQ126" i="650" s="1"/>
  <c r="AR126" i="650" s="1"/>
  <c r="AS126" i="650" s="1"/>
  <c r="AT126" i="650" s="1"/>
  <c r="AU126" i="650" s="1"/>
  <c r="AV126" i="650" s="1"/>
  <c r="AW126" i="650" s="1"/>
  <c r="AY126" i="650" s="1"/>
  <c r="M1066" i="6"/>
  <c r="N1066" i="6"/>
  <c r="U124" i="647"/>
  <c r="W123" i="647"/>
  <c r="W122" i="647"/>
  <c r="V121" i="647"/>
  <c r="V124" i="647" s="1"/>
  <c r="N1069" i="6" l="1"/>
  <c r="T1069" i="6" s="1"/>
  <c r="T1066" i="6"/>
  <c r="M1069" i="6"/>
  <c r="Q1069" i="6" s="1"/>
  <c r="W1069" i="6" s="1"/>
  <c r="AB1069" i="6" s="1"/>
  <c r="Q1066" i="6"/>
  <c r="W1066" i="6" s="1"/>
  <c r="AB1066" i="6" s="1"/>
  <c r="X122" i="647"/>
  <c r="X123" i="647"/>
  <c r="W121" i="647"/>
  <c r="X121" i="647" l="1"/>
  <c r="X124" i="647" s="1"/>
  <c r="Y123" i="647"/>
  <c r="W124" i="647"/>
  <c r="Y122" i="647"/>
  <c r="AB124" i="650" l="1"/>
  <c r="AC124" i="650" s="1"/>
  <c r="AD124" i="650" s="1"/>
  <c r="AE124" i="650" s="1"/>
  <c r="AF124" i="650" s="1"/>
  <c r="AG124" i="650" s="1"/>
  <c r="Z122" i="647"/>
  <c r="Z123" i="647"/>
  <c r="AB125" i="650"/>
  <c r="AC125" i="650" s="1"/>
  <c r="AD125" i="650" s="1"/>
  <c r="AE125" i="650" s="1"/>
  <c r="AF125" i="650" s="1"/>
  <c r="AG125" i="650" s="1"/>
  <c r="Y121" i="647"/>
  <c r="Y124" i="647" l="1"/>
  <c r="AA123" i="647"/>
  <c r="Z121" i="647"/>
  <c r="Z124" i="647" s="1"/>
  <c r="AB123" i="650"/>
  <c r="AC123" i="650" s="1"/>
  <c r="AD123" i="650" s="1"/>
  <c r="AE123" i="650" s="1"/>
  <c r="AF123" i="650" s="1"/>
  <c r="AG123" i="650" s="1"/>
  <c r="AA122" i="647"/>
  <c r="AA121" i="647" l="1"/>
  <c r="AA124" i="647" s="1"/>
  <c r="AB122" i="647"/>
  <c r="AB123" i="647"/>
  <c r="AC123" i="647" l="1"/>
  <c r="AC122" i="647"/>
  <c r="AB121" i="647"/>
  <c r="AB124" i="647" s="1"/>
  <c r="AC121" i="647" l="1"/>
  <c r="AC124" i="647" s="1"/>
  <c r="AD122" i="647"/>
  <c r="AD123" i="647"/>
  <c r="AE123" i="647" l="1"/>
  <c r="AJ125" i="650"/>
  <c r="AK123" i="4" s="1"/>
  <c r="AE122" i="647"/>
  <c r="AJ124" i="650"/>
  <c r="AK122" i="4" s="1"/>
  <c r="AD121" i="647"/>
  <c r="AD124" i="647" s="1"/>
  <c r="AE121" i="647" l="1"/>
  <c r="AE124" i="647" s="1"/>
  <c r="AL122" i="4"/>
  <c r="AF122" i="647"/>
  <c r="AT122" i="647" s="1"/>
  <c r="AK124" i="650"/>
  <c r="AL123" i="4"/>
  <c r="AF123" i="647"/>
  <c r="AT123" i="647" s="1"/>
  <c r="AK125" i="650"/>
  <c r="AF121" i="647" l="1"/>
  <c r="AK123" i="650"/>
  <c r="AL121" i="4"/>
  <c r="AL124" i="4" s="1"/>
  <c r="AL125" i="650"/>
  <c r="AJ123" i="650"/>
  <c r="AL124" i="650"/>
  <c r="AM125" i="650" l="1"/>
  <c r="AG123" i="647"/>
  <c r="AK121" i="4"/>
  <c r="AJ126" i="650"/>
  <c r="AM124" i="650"/>
  <c r="AG122" i="647"/>
  <c r="AL123" i="650"/>
  <c r="AF124" i="647"/>
  <c r="AT124" i="647" s="1"/>
  <c r="AT121" i="647"/>
  <c r="AN124" i="650" l="1"/>
  <c r="AH122" i="647"/>
  <c r="AH123" i="647"/>
  <c r="AN125" i="650"/>
  <c r="AG121" i="647"/>
  <c r="AM123" i="650"/>
  <c r="AK124" i="4"/>
  <c r="AI123" i="647" l="1"/>
  <c r="AO125" i="650"/>
  <c r="AH121" i="647"/>
  <c r="AH124" i="647" s="1"/>
  <c r="AN123" i="650"/>
  <c r="AG124" i="647"/>
  <c r="AI122" i="647"/>
  <c r="AO124" i="650"/>
  <c r="AI121" i="647" l="1"/>
  <c r="AI124" i="647" s="1"/>
  <c r="AO123" i="650"/>
  <c r="AJ123" i="647"/>
  <c r="AP125" i="650"/>
  <c r="AJ122" i="647"/>
  <c r="AP124" i="650"/>
  <c r="AQ124" i="650" l="1"/>
  <c r="AK122" i="647"/>
  <c r="AJ121" i="647"/>
  <c r="AP123" i="650"/>
  <c r="AK123" i="647"/>
  <c r="AQ125" i="650"/>
  <c r="AK121" i="647" l="1"/>
  <c r="AK124" i="647" s="1"/>
  <c r="AQ123" i="650"/>
  <c r="AJ124" i="647"/>
  <c r="AR125" i="650"/>
  <c r="AL123" i="647"/>
  <c r="AL122" i="647"/>
  <c r="AR124" i="650"/>
  <c r="AM122" i="647" l="1"/>
  <c r="AS124" i="650"/>
  <c r="AS125" i="650"/>
  <c r="AM123" i="647"/>
  <c r="AR123" i="650"/>
  <c r="AL121" i="647"/>
  <c r="AN123" i="647" l="1"/>
  <c r="AT125" i="650"/>
  <c r="AS123" i="650"/>
  <c r="AM121" i="647"/>
  <c r="AM124" i="647" s="1"/>
  <c r="AT124" i="650"/>
  <c r="AN122" i="647"/>
  <c r="AL124" i="647"/>
  <c r="AU124" i="650" l="1"/>
  <c r="AO122" i="647"/>
  <c r="AN121" i="647"/>
  <c r="AT123" i="650"/>
  <c r="AO123" i="647"/>
  <c r="AU125" i="650"/>
  <c r="AV125" i="650" l="1"/>
  <c r="AP123" i="647"/>
  <c r="AO121" i="647"/>
  <c r="AO124" i="647" s="1"/>
  <c r="AU123" i="650"/>
  <c r="AN124" i="647"/>
  <c r="AV124" i="650"/>
  <c r="AP122" i="647"/>
  <c r="AV123" i="650" l="1"/>
  <c r="AP121" i="647"/>
  <c r="AP124" i="647" s="1"/>
  <c r="AW124" i="650"/>
  <c r="BA124" i="650" s="1"/>
  <c r="AM122" i="4" s="1"/>
  <c r="AP122" i="4" s="1"/>
  <c r="AQ122" i="647"/>
  <c r="AQ123" i="647"/>
  <c r="AW125" i="650"/>
  <c r="BA125" i="650" s="1"/>
  <c r="AM123" i="4" s="1"/>
  <c r="AP123" i="4" s="1"/>
  <c r="AZ123" i="4" l="1"/>
  <c r="BA123" i="4" s="1"/>
  <c r="AQ123" i="4"/>
  <c r="F1058" i="3" s="1"/>
  <c r="AU1058" i="3" s="1"/>
  <c r="AW1058" i="3" s="1"/>
  <c r="G1074" i="6" s="1"/>
  <c r="AZ122" i="4"/>
  <c r="BA122" i="4" s="1"/>
  <c r="AQ122" i="4"/>
  <c r="F1057" i="3" s="1"/>
  <c r="AU1057" i="3" s="1"/>
  <c r="AW1057" i="3" s="1"/>
  <c r="AN123" i="4"/>
  <c r="AR123" i="647"/>
  <c r="AU123" i="647" s="1"/>
  <c r="AV123" i="647" s="1"/>
  <c r="AN122" i="4"/>
  <c r="AR122" i="647"/>
  <c r="AU122" i="647" s="1"/>
  <c r="AV122" i="647" s="1"/>
  <c r="AQ121" i="647"/>
  <c r="AQ124" i="647" s="1"/>
  <c r="AW123" i="650"/>
  <c r="BA123" i="650" s="1"/>
  <c r="G1073" i="6" l="1"/>
  <c r="AX1057" i="3" s="1"/>
  <c r="AX1058" i="3"/>
  <c r="E1074" i="6"/>
  <c r="I1074" i="6"/>
  <c r="BA126" i="650"/>
  <c r="AM121" i="4"/>
  <c r="AR121" i="647"/>
  <c r="AN121" i="4"/>
  <c r="AN124" i="4" s="1"/>
  <c r="AM124" i="4" l="1"/>
  <c r="AP124" i="4" s="1"/>
  <c r="AQ124" i="4" s="1"/>
  <c r="F1059" i="3" s="1"/>
  <c r="AU1059" i="3" s="1"/>
  <c r="AW1059" i="3" s="1"/>
  <c r="G1075" i="6" s="1"/>
  <c r="AP121" i="4"/>
  <c r="M1074" i="6"/>
  <c r="Q1074" i="6" s="1"/>
  <c r="N1074" i="6"/>
  <c r="T1074" i="6" s="1"/>
  <c r="I1073" i="6"/>
  <c r="E1073" i="6"/>
  <c r="AR124" i="647"/>
  <c r="AU124" i="647" s="1"/>
  <c r="AV124" i="647" s="1"/>
  <c r="AU121" i="647"/>
  <c r="AV121" i="647" s="1"/>
  <c r="AB114" i="650"/>
  <c r="AC114" i="650" s="1"/>
  <c r="W1074" i="6" l="1"/>
  <c r="AB1074" i="6" s="1"/>
  <c r="M1073" i="6"/>
  <c r="Q1073" i="6" s="1"/>
  <c r="N1073" i="6"/>
  <c r="T1073" i="6" s="1"/>
  <c r="AQ121" i="4"/>
  <c r="F1056" i="3" s="1"/>
  <c r="AU1056" i="3" s="1"/>
  <c r="AW1056" i="3" s="1"/>
  <c r="G1072" i="6" s="1"/>
  <c r="AZ121" i="4"/>
  <c r="BA121" i="4" s="1"/>
  <c r="AX1059" i="3"/>
  <c r="E1075" i="6"/>
  <c r="I1075" i="6"/>
  <c r="AD114" i="650"/>
  <c r="AE114" i="650" s="1"/>
  <c r="AF114" i="650" s="1"/>
  <c r="AG114" i="650" s="1"/>
  <c r="AK114" i="650" s="1"/>
  <c r="AL114" i="650" s="1"/>
  <c r="AM114" i="650" s="1"/>
  <c r="AN114" i="650" s="1"/>
  <c r="AO114" i="650" s="1"/>
  <c r="AP114" i="650" s="1"/>
  <c r="AQ114" i="650" s="1"/>
  <c r="AR114" i="650" s="1"/>
  <c r="AS114" i="650" s="1"/>
  <c r="AT114" i="650" s="1"/>
  <c r="AU114" i="650" s="1"/>
  <c r="AV114" i="650" s="1"/>
  <c r="AW114" i="650" s="1"/>
  <c r="AY114" i="650" s="1"/>
  <c r="W1073" i="6" l="1"/>
  <c r="AB1073" i="6" s="1"/>
  <c r="AX1056" i="3"/>
  <c r="E1072" i="6"/>
  <c r="I1072" i="6"/>
  <c r="AI114" i="650"/>
  <c r="M1072" i="6" l="1"/>
  <c r="N1072" i="6"/>
  <c r="V112" i="647"/>
  <c r="U112" i="647"/>
  <c r="T1072" i="6" l="1"/>
  <c r="N1075" i="6"/>
  <c r="T1075" i="6" s="1"/>
  <c r="Q1072" i="6"/>
  <c r="M1075" i="6"/>
  <c r="Q1075" i="6" s="1"/>
  <c r="W1075" i="6" s="1"/>
  <c r="AB1075" i="6" s="1"/>
  <c r="W1072" i="6" l="1"/>
  <c r="AB1072" i="6" s="1"/>
  <c r="X112" i="647"/>
  <c r="W112" i="647"/>
  <c r="AB113" i="650" l="1"/>
  <c r="AC113" i="650" l="1"/>
  <c r="AA111" i="647"/>
  <c r="Y112" i="647"/>
  <c r="Z112" i="647"/>
  <c r="AB112" i="650"/>
  <c r="AC112" i="650" l="1"/>
  <c r="AA110" i="647"/>
  <c r="AA112" i="647" s="1"/>
  <c r="AD113" i="650"/>
  <c r="AB111" i="647"/>
  <c r="AE113" i="650" l="1"/>
  <c r="AC111" i="647"/>
  <c r="AD112" i="650"/>
  <c r="AB110" i="647"/>
  <c r="AB112" i="647" s="1"/>
  <c r="AE112" i="650" l="1"/>
  <c r="AC110" i="647"/>
  <c r="AC112" i="647" s="1"/>
  <c r="AF113" i="650"/>
  <c r="AD111" i="647"/>
  <c r="AG113" i="650" l="1"/>
  <c r="AL111" i="4" s="1"/>
  <c r="AE111" i="647"/>
  <c r="AF112" i="650"/>
  <c r="AD110" i="647"/>
  <c r="AD112" i="647" s="1"/>
  <c r="AK113" i="650" l="1"/>
  <c r="AL113" i="650" s="1"/>
  <c r="AG111" i="647" s="1"/>
  <c r="AG112" i="650"/>
  <c r="AE110" i="647"/>
  <c r="AE112" i="647" s="1"/>
  <c r="AF111" i="647"/>
  <c r="AT111" i="647" s="1"/>
  <c r="AJ113" i="650"/>
  <c r="AK111" i="4" s="1"/>
  <c r="AL110" i="4"/>
  <c r="AL112" i="4" s="1"/>
  <c r="AF110" i="647" l="1"/>
  <c r="AF112" i="647" s="1"/>
  <c r="AT112" i="647" s="1"/>
  <c r="AJ112" i="650"/>
  <c r="AK112" i="650"/>
  <c r="AL112" i="650" s="1"/>
  <c r="AG110" i="647" s="1"/>
  <c r="AM113" i="650"/>
  <c r="AH111" i="647" s="1"/>
  <c r="AT110" i="647" l="1"/>
  <c r="AJ114" i="650"/>
  <c r="AK110" i="4"/>
  <c r="AK112" i="4" s="1"/>
  <c r="AM112" i="650"/>
  <c r="AH110" i="647" s="1"/>
  <c r="AN113" i="650"/>
  <c r="AI111" i="647" s="1"/>
  <c r="AO113" i="650" l="1"/>
  <c r="AJ111" i="647" s="1"/>
  <c r="AN112" i="650"/>
  <c r="AI110" i="647" s="1"/>
  <c r="AH112" i="647"/>
  <c r="AG112" i="647"/>
  <c r="AP113" i="650" l="1"/>
  <c r="AK111" i="647" s="1"/>
  <c r="AO112" i="650"/>
  <c r="AJ110" i="647" s="1"/>
  <c r="AI112" i="647"/>
  <c r="AQ113" i="650" l="1"/>
  <c r="AL111" i="647" s="1"/>
  <c r="AP112" i="650"/>
  <c r="AK110" i="647" s="1"/>
  <c r="AJ112" i="647"/>
  <c r="AK112" i="647" l="1"/>
  <c r="AQ112" i="650"/>
  <c r="AL110" i="647" s="1"/>
  <c r="AR113" i="650"/>
  <c r="AM111" i="647" s="1"/>
  <c r="AL112" i="647" l="1"/>
  <c r="AR112" i="650"/>
  <c r="AM110" i="647" s="1"/>
  <c r="AS113" i="650"/>
  <c r="AN111" i="647" s="1"/>
  <c r="AM112" i="647" l="1"/>
  <c r="AS112" i="650"/>
  <c r="AN110" i="647" s="1"/>
  <c r="AT113" i="650"/>
  <c r="AO111" i="647" s="1"/>
  <c r="AU113" i="650" l="1"/>
  <c r="AP111" i="647" s="1"/>
  <c r="AN112" i="647"/>
  <c r="AT112" i="650"/>
  <c r="AO110" i="647" s="1"/>
  <c r="AO112" i="647" l="1"/>
  <c r="AU112" i="650"/>
  <c r="AP110" i="647" s="1"/>
  <c r="AV113" i="650"/>
  <c r="AQ111" i="647" s="1"/>
  <c r="AW113" i="650" l="1"/>
  <c r="AR111" i="647" s="1"/>
  <c r="AV112" i="650"/>
  <c r="AQ110" i="647" s="1"/>
  <c r="AP112" i="647"/>
  <c r="BA113" i="650" l="1"/>
  <c r="AM111" i="4" s="1"/>
  <c r="AP111" i="4" s="1"/>
  <c r="AZ111" i="4" s="1"/>
  <c r="BA111" i="4" s="1"/>
  <c r="AQ112" i="647"/>
  <c r="AW112" i="650"/>
  <c r="AN111" i="4"/>
  <c r="AU111" i="647"/>
  <c r="AV111" i="647" s="1"/>
  <c r="AQ111" i="4" l="1"/>
  <c r="F1046" i="3" s="1"/>
  <c r="AU1046" i="3" s="1"/>
  <c r="AW1046" i="3" s="1"/>
  <c r="G1062" i="6" s="1"/>
  <c r="AX1046" i="3" s="1"/>
  <c r="BA112" i="650"/>
  <c r="AM110" i="4" s="1"/>
  <c r="AR110" i="647"/>
  <c r="AN110" i="4"/>
  <c r="AN112" i="4" s="1"/>
  <c r="BA114" i="650" l="1"/>
  <c r="AM112" i="4"/>
  <c r="AP112" i="4" s="1"/>
  <c r="AQ112" i="4" s="1"/>
  <c r="F1047" i="3" s="1"/>
  <c r="AU1047" i="3" s="1"/>
  <c r="AW1047" i="3" s="1"/>
  <c r="AP110" i="4"/>
  <c r="E1062" i="6"/>
  <c r="I1062" i="6"/>
  <c r="AR112" i="647"/>
  <c r="AU112" i="647" s="1"/>
  <c r="AV112" i="647" s="1"/>
  <c r="AU110" i="647"/>
  <c r="AV110" i="647" s="1"/>
  <c r="N1062" i="6" l="1"/>
  <c r="T1062" i="6" s="1"/>
  <c r="M1062" i="6"/>
  <c r="Q1062" i="6" s="1"/>
  <c r="W1062" i="6" s="1"/>
  <c r="AB1062" i="6" s="1"/>
  <c r="AQ110" i="4"/>
  <c r="F1045" i="3" s="1"/>
  <c r="AU1045" i="3" s="1"/>
  <c r="AW1045" i="3" s="1"/>
  <c r="G1061" i="6" s="1"/>
  <c r="AZ110" i="4"/>
  <c r="BA110" i="4" s="1"/>
  <c r="G1063" i="6"/>
  <c r="AX1047" i="3" s="1"/>
  <c r="AB132" i="650"/>
  <c r="AC132" i="650" s="1"/>
  <c r="AD132" i="650" l="1"/>
  <c r="AE132" i="650" s="1"/>
  <c r="AF132" i="650" s="1"/>
  <c r="AG132" i="650" s="1"/>
  <c r="AK132" i="650" s="1"/>
  <c r="AL132" i="650" s="1"/>
  <c r="AM132" i="650" s="1"/>
  <c r="AN132" i="650" s="1"/>
  <c r="AO132" i="650" s="1"/>
  <c r="AP132" i="650" s="1"/>
  <c r="AQ132" i="650" s="1"/>
  <c r="AR132" i="650" s="1"/>
  <c r="AS132" i="650" s="1"/>
  <c r="AT132" i="650" s="1"/>
  <c r="AU132" i="650" s="1"/>
  <c r="AV132" i="650" s="1"/>
  <c r="AW132" i="650" s="1"/>
  <c r="AY132" i="650" s="1"/>
  <c r="AX1045" i="3"/>
  <c r="E1061" i="6"/>
  <c r="I1061" i="6"/>
  <c r="I1063" i="6"/>
  <c r="E1063" i="6"/>
  <c r="U130" i="647"/>
  <c r="AI132" i="650" l="1"/>
  <c r="N1061" i="6"/>
  <c r="M1061" i="6"/>
  <c r="U153" i="647"/>
  <c r="Q1061" i="6" l="1"/>
  <c r="M1063" i="6"/>
  <c r="Q1063" i="6" s="1"/>
  <c r="N1063" i="6"/>
  <c r="T1063" i="6" s="1"/>
  <c r="T1061" i="6"/>
  <c r="V130" i="647"/>
  <c r="U167" i="647"/>
  <c r="W1063" i="6" l="1"/>
  <c r="AB1063" i="6" s="1"/>
  <c r="W1061" i="6"/>
  <c r="AB1061" i="6" s="1"/>
  <c r="W130" i="647"/>
  <c r="W153" i="647" s="1"/>
  <c r="W167" i="647" s="1"/>
  <c r="V153" i="647"/>
  <c r="X130" i="647" l="1"/>
  <c r="X153" i="647" s="1"/>
  <c r="X167" i="647" s="1"/>
  <c r="V167" i="647"/>
  <c r="AB131" i="650" l="1"/>
  <c r="AB130" i="650"/>
  <c r="AB129" i="650"/>
  <c r="Y130" i="647"/>
  <c r="Y153" i="647" s="1"/>
  <c r="Y167" i="647" s="1"/>
  <c r="AC129" i="650" l="1"/>
  <c r="AA127" i="647"/>
  <c r="AC130" i="650"/>
  <c r="AA128" i="647"/>
  <c r="AC131" i="650"/>
  <c r="AA129" i="647"/>
  <c r="Z130" i="647"/>
  <c r="AD129" i="650" l="1"/>
  <c r="AB127" i="647"/>
  <c r="AD131" i="650"/>
  <c r="AB129" i="647"/>
  <c r="AD130" i="650"/>
  <c r="AB128" i="647"/>
  <c r="AA130" i="647"/>
  <c r="AA153" i="647" s="1"/>
  <c r="AA167" i="647" s="1"/>
  <c r="Z153" i="647"/>
  <c r="AE130" i="650" l="1"/>
  <c r="AC128" i="647"/>
  <c r="AE131" i="650"/>
  <c r="AC129" i="647"/>
  <c r="AE129" i="650"/>
  <c r="AC127" i="647"/>
  <c r="Z167" i="647"/>
  <c r="AB130" i="647"/>
  <c r="AB153" i="647" s="1"/>
  <c r="AB167" i="647" s="1"/>
  <c r="AF131" i="650" l="1"/>
  <c r="AD129" i="647"/>
  <c r="AF129" i="650"/>
  <c r="AD127" i="647"/>
  <c r="AF130" i="650"/>
  <c r="AD128" i="647"/>
  <c r="AC130" i="647"/>
  <c r="AC153" i="647" s="1"/>
  <c r="AC167" i="647" s="1"/>
  <c r="AG131" i="650" l="1"/>
  <c r="AF129" i="647" s="1"/>
  <c r="AE129" i="647"/>
  <c r="AG130" i="650"/>
  <c r="AF128" i="647" s="1"/>
  <c r="AE128" i="647"/>
  <c r="AG129" i="650"/>
  <c r="AF127" i="647" s="1"/>
  <c r="AE127" i="647"/>
  <c r="AD130" i="647"/>
  <c r="AD153" i="647" s="1"/>
  <c r="AD167" i="647" s="1"/>
  <c r="AJ129" i="650" l="1"/>
  <c r="AK127" i="4" s="1"/>
  <c r="AJ131" i="650"/>
  <c r="AK129" i="4" s="1"/>
  <c r="AE130" i="647"/>
  <c r="AE153" i="647" s="1"/>
  <c r="AE167" i="647" s="1"/>
  <c r="AL127" i="4"/>
  <c r="AK129" i="650"/>
  <c r="AL129" i="4"/>
  <c r="AT129" i="647"/>
  <c r="AK131" i="650"/>
  <c r="AT128" i="647"/>
  <c r="AL128" i="4"/>
  <c r="AK130" i="650"/>
  <c r="AJ130" i="650"/>
  <c r="AK128" i="4" s="1"/>
  <c r="AL131" i="650" l="1"/>
  <c r="AG129" i="647" s="1"/>
  <c r="AF130" i="647"/>
  <c r="AT127" i="647"/>
  <c r="AL130" i="4"/>
  <c r="AK130" i="4"/>
  <c r="AL129" i="650"/>
  <c r="AG127" i="647" s="1"/>
  <c r="AL130" i="650"/>
  <c r="AG128" i="647" s="1"/>
  <c r="AJ132" i="650"/>
  <c r="AM130" i="650" l="1"/>
  <c r="AH128" i="647" s="1"/>
  <c r="AF153" i="647"/>
  <c r="AT130" i="647"/>
  <c r="AM129" i="650"/>
  <c r="AH127" i="647" s="1"/>
  <c r="AM131" i="650"/>
  <c r="AH129" i="647" s="1"/>
  <c r="AN131" i="650" l="1"/>
  <c r="AI129" i="647" s="1"/>
  <c r="AF167" i="647"/>
  <c r="H16" i="647" s="1"/>
  <c r="AT153" i="647"/>
  <c r="AN129" i="650"/>
  <c r="AI127" i="647" s="1"/>
  <c r="AG130" i="647"/>
  <c r="AN130" i="650"/>
  <c r="AI128" i="647" s="1"/>
  <c r="AO129" i="650" l="1"/>
  <c r="AJ127" i="647" s="1"/>
  <c r="AO130" i="650"/>
  <c r="AJ128" i="647" s="1"/>
  <c r="AH130" i="647"/>
  <c r="AH153" i="647" s="1"/>
  <c r="AH167" i="647" s="1"/>
  <c r="AO131" i="650"/>
  <c r="AJ129" i="647" s="1"/>
  <c r="AG153" i="647"/>
  <c r="AG167" i="647" l="1"/>
  <c r="AP130" i="650"/>
  <c r="AK128" i="647" s="1"/>
  <c r="AP129" i="650"/>
  <c r="AK127" i="647" s="1"/>
  <c r="AI130" i="647"/>
  <c r="AI153" i="647" s="1"/>
  <c r="AI167" i="647" s="1"/>
  <c r="AP131" i="650"/>
  <c r="AK129" i="647" s="1"/>
  <c r="AQ130" i="650" l="1"/>
  <c r="AL128" i="647" s="1"/>
  <c r="AQ131" i="650"/>
  <c r="AL129" i="647" s="1"/>
  <c r="AQ129" i="650"/>
  <c r="AL127" i="647" s="1"/>
  <c r="AJ130" i="647"/>
  <c r="AK130" i="647" l="1"/>
  <c r="AK153" i="647" s="1"/>
  <c r="AK167" i="647" s="1"/>
  <c r="AJ153" i="647"/>
  <c r="AR131" i="650"/>
  <c r="AM129" i="647" s="1"/>
  <c r="AR129" i="650"/>
  <c r="AM127" i="647" s="1"/>
  <c r="AR130" i="650"/>
  <c r="AM128" i="647" s="1"/>
  <c r="AL130" i="647" l="1"/>
  <c r="AL153" i="647" s="1"/>
  <c r="AL167" i="647" s="1"/>
  <c r="AS131" i="650"/>
  <c r="AN129" i="647" s="1"/>
  <c r="AS129" i="650"/>
  <c r="AN127" i="647" s="1"/>
  <c r="AS130" i="650"/>
  <c r="AN128" i="647" s="1"/>
  <c r="AJ167" i="647"/>
  <c r="AT129" i="650" l="1"/>
  <c r="AO127" i="647" s="1"/>
  <c r="AT131" i="650"/>
  <c r="AO129" i="647" s="1"/>
  <c r="AT130" i="650"/>
  <c r="AO128" i="647" s="1"/>
  <c r="AM130" i="647"/>
  <c r="AN130" i="647" l="1"/>
  <c r="AN153" i="647" s="1"/>
  <c r="AN167" i="647" s="1"/>
  <c r="AM153" i="647"/>
  <c r="AU130" i="650"/>
  <c r="AP128" i="647" s="1"/>
  <c r="AU131" i="650"/>
  <c r="AP129" i="647" s="1"/>
  <c r="AU129" i="650"/>
  <c r="AP127" i="647" s="1"/>
  <c r="AV129" i="650" l="1"/>
  <c r="AQ127" i="647" s="1"/>
  <c r="AO130" i="647"/>
  <c r="AO153" i="647" s="1"/>
  <c r="AO167" i="647" s="1"/>
  <c r="AV131" i="650"/>
  <c r="AQ129" i="647" s="1"/>
  <c r="AV130" i="650"/>
  <c r="AQ128" i="647" s="1"/>
  <c r="AM167" i="647"/>
  <c r="AW130" i="650" l="1"/>
  <c r="AW131" i="650"/>
  <c r="AR129" i="647" s="1"/>
  <c r="AW129" i="650"/>
  <c r="AR127" i="647" s="1"/>
  <c r="AP130" i="647"/>
  <c r="AP153" i="647" s="1"/>
  <c r="AP167" i="647" s="1"/>
  <c r="BA131" i="650" l="1"/>
  <c r="AM129" i="4" s="1"/>
  <c r="AP129" i="4" s="1"/>
  <c r="AZ129" i="4" s="1"/>
  <c r="BA129" i="4" s="1"/>
  <c r="BA130" i="650"/>
  <c r="AM128" i="4" s="1"/>
  <c r="AP128" i="4" s="1"/>
  <c r="AQ128" i="4" s="1"/>
  <c r="F1063" i="3" s="1"/>
  <c r="AU1063" i="3" s="1"/>
  <c r="AW1063" i="3" s="1"/>
  <c r="AR128" i="647"/>
  <c r="AU128" i="647" s="1"/>
  <c r="AV128" i="647" s="1"/>
  <c r="AN129" i="4"/>
  <c r="AU129" i="647"/>
  <c r="AV129" i="647" s="1"/>
  <c r="AN127" i="4"/>
  <c r="BA129" i="650"/>
  <c r="AN128" i="4"/>
  <c r="AQ130" i="647"/>
  <c r="AQ153" i="647" s="1"/>
  <c r="AZ128" i="4" l="1"/>
  <c r="BA128" i="4" s="1"/>
  <c r="AQ129" i="4"/>
  <c r="F1064" i="3" s="1"/>
  <c r="AU1064" i="3" s="1"/>
  <c r="AW1064" i="3" s="1"/>
  <c r="G1080" i="6" s="1"/>
  <c r="AX1064" i="3" s="1"/>
  <c r="G1079" i="6"/>
  <c r="AX1063" i="3" s="1"/>
  <c r="AQ167" i="647"/>
  <c r="BA132" i="650"/>
  <c r="AM127" i="4"/>
  <c r="AR130" i="647"/>
  <c r="AU127" i="647"/>
  <c r="AV127" i="647" s="1"/>
  <c r="AN130" i="4"/>
  <c r="I1080" i="6" l="1"/>
  <c r="E1080" i="6"/>
  <c r="AM130" i="4"/>
  <c r="AP130" i="4" s="1"/>
  <c r="AQ130" i="4" s="1"/>
  <c r="F1065" i="3" s="1"/>
  <c r="AU1065" i="3" s="1"/>
  <c r="AW1065" i="3" s="1"/>
  <c r="AP127" i="4"/>
  <c r="E1079" i="6"/>
  <c r="I1079" i="6"/>
  <c r="AR153" i="647"/>
  <c r="AU130" i="647"/>
  <c r="AV130" i="647" s="1"/>
  <c r="N1079" i="6" l="1"/>
  <c r="T1079" i="6" s="1"/>
  <c r="M1079" i="6"/>
  <c r="Q1079" i="6" s="1"/>
  <c r="AZ127" i="4"/>
  <c r="BA127" i="4" s="1"/>
  <c r="AQ127" i="4"/>
  <c r="F1062" i="3" s="1"/>
  <c r="AU1062" i="3" s="1"/>
  <c r="AW1062" i="3" s="1"/>
  <c r="G1081" i="6"/>
  <c r="AX1065" i="3" s="1"/>
  <c r="N1080" i="6"/>
  <c r="T1080" i="6" s="1"/>
  <c r="M1080" i="6"/>
  <c r="Q1080" i="6" s="1"/>
  <c r="AR167" i="647"/>
  <c r="I16" i="647" s="1"/>
  <c r="AU153" i="647"/>
  <c r="AV153" i="647" s="1"/>
  <c r="AB137" i="650"/>
  <c r="AC137" i="650" s="1"/>
  <c r="W1079" i="6" l="1"/>
  <c r="AB1079" i="6" s="1"/>
  <c r="W1080" i="6"/>
  <c r="AB1080" i="6" s="1"/>
  <c r="G1078" i="6"/>
  <c r="AX1062" i="3" s="1"/>
  <c r="I1081" i="6"/>
  <c r="E1081" i="6"/>
  <c r="AD137" i="650"/>
  <c r="I1078" i="6" l="1"/>
  <c r="E1078" i="6"/>
  <c r="AE137" i="650"/>
  <c r="N1078" i="6" l="1"/>
  <c r="M1078" i="6"/>
  <c r="AF137" i="650"/>
  <c r="U135" i="647"/>
  <c r="Q1078" i="6" l="1"/>
  <c r="M1081" i="6"/>
  <c r="Q1081" i="6" s="1"/>
  <c r="N1081" i="6"/>
  <c r="T1081" i="6" s="1"/>
  <c r="T1078" i="6"/>
  <c r="AG137" i="650"/>
  <c r="V135" i="647"/>
  <c r="W1081" i="6" l="1"/>
  <c r="AB1081" i="6" s="1"/>
  <c r="W1078" i="6"/>
  <c r="AB1078" i="6" s="1"/>
  <c r="AI137" i="650"/>
  <c r="AK137" i="650"/>
  <c r="AL137" i="650" s="1"/>
  <c r="AM137" i="650" s="1"/>
  <c r="AN137" i="650" s="1"/>
  <c r="AO137" i="650" s="1"/>
  <c r="AP137" i="650" s="1"/>
  <c r="AQ137" i="650" s="1"/>
  <c r="AR137" i="650" s="1"/>
  <c r="AS137" i="650" s="1"/>
  <c r="AT137" i="650" s="1"/>
  <c r="AU137" i="650" s="1"/>
  <c r="AV137" i="650" s="1"/>
  <c r="AW137" i="650" s="1"/>
  <c r="AY137" i="650" s="1"/>
  <c r="W135" i="647"/>
  <c r="X135" i="647" l="1"/>
  <c r="AB135" i="650" l="1"/>
  <c r="AB136" i="650"/>
  <c r="Y135" i="647"/>
  <c r="AC135" i="650" l="1"/>
  <c r="AA133" i="647"/>
  <c r="AC136" i="650"/>
  <c r="AA134" i="647"/>
  <c r="Z135" i="647"/>
  <c r="AA135" i="647" l="1"/>
  <c r="AD135" i="650"/>
  <c r="AB133" i="647"/>
  <c r="AD136" i="650"/>
  <c r="AB134" i="647"/>
  <c r="AB135" i="647" l="1"/>
  <c r="AE135" i="650"/>
  <c r="AC133" i="647"/>
  <c r="AE136" i="650"/>
  <c r="AC134" i="647"/>
  <c r="AC135" i="647" l="1"/>
  <c r="AF135" i="650"/>
  <c r="AD133" i="647"/>
  <c r="AF136" i="650"/>
  <c r="AD134" i="647"/>
  <c r="AG136" i="650" l="1"/>
  <c r="AL134" i="4" s="1"/>
  <c r="AE134" i="647"/>
  <c r="AD135" i="647"/>
  <c r="AG135" i="650"/>
  <c r="AL133" i="4" s="1"/>
  <c r="AE133" i="647"/>
  <c r="AE135" i="647" l="1"/>
  <c r="AK136" i="650"/>
  <c r="AL136" i="650" s="1"/>
  <c r="AG134" i="647" s="1"/>
  <c r="AF133" i="647"/>
  <c r="AT133" i="647" s="1"/>
  <c r="AJ135" i="650"/>
  <c r="AK135" i="650"/>
  <c r="AL135" i="650" s="1"/>
  <c r="AG133" i="647" s="1"/>
  <c r="AF134" i="647"/>
  <c r="AT134" i="647" s="1"/>
  <c r="AJ136" i="650"/>
  <c r="AK134" i="4" s="1"/>
  <c r="AL135" i="4"/>
  <c r="AF135" i="647" l="1"/>
  <c r="AT135" i="647" s="1"/>
  <c r="AJ137" i="650"/>
  <c r="AK133" i="4"/>
  <c r="AK135" i="4" s="1"/>
  <c r="AM135" i="650"/>
  <c r="AH133" i="647" s="1"/>
  <c r="AM136" i="650"/>
  <c r="AH134" i="647" s="1"/>
  <c r="AG135" i="647" l="1"/>
  <c r="AN136" i="650"/>
  <c r="AI134" i="647" s="1"/>
  <c r="AN135" i="650"/>
  <c r="AI133" i="647" s="1"/>
  <c r="AH135" i="647" l="1"/>
  <c r="AO136" i="650"/>
  <c r="AJ134" i="647" s="1"/>
  <c r="AO135" i="650"/>
  <c r="AJ133" i="647" s="1"/>
  <c r="AI135" i="647" l="1"/>
  <c r="AP136" i="650"/>
  <c r="AK134" i="647" s="1"/>
  <c r="AJ135" i="647"/>
  <c r="AP135" i="650"/>
  <c r="AK133" i="647" s="1"/>
  <c r="AQ135" i="650" l="1"/>
  <c r="AL133" i="647" s="1"/>
  <c r="AQ136" i="650"/>
  <c r="AL134" i="647" s="1"/>
  <c r="AK135" i="647" l="1"/>
  <c r="AR135" i="650"/>
  <c r="AM133" i="647" s="1"/>
  <c r="AR136" i="650"/>
  <c r="AM134" i="647" s="1"/>
  <c r="AS136" i="650" l="1"/>
  <c r="AN134" i="647" s="1"/>
  <c r="AS135" i="650"/>
  <c r="AN133" i="647" s="1"/>
  <c r="AL135" i="647"/>
  <c r="AM135" i="647" l="1"/>
  <c r="AT136" i="650"/>
  <c r="AO134" i="647" s="1"/>
  <c r="AT135" i="650"/>
  <c r="AO133" i="647" s="1"/>
  <c r="AN135" i="647" l="1"/>
  <c r="AU136" i="650"/>
  <c r="AP134" i="647" s="1"/>
  <c r="AU135" i="650"/>
  <c r="AP133" i="647" s="1"/>
  <c r="AO135" i="647" l="1"/>
  <c r="AV135" i="650"/>
  <c r="AQ133" i="647" s="1"/>
  <c r="AV136" i="650"/>
  <c r="AQ134" i="647" s="1"/>
  <c r="AW135" i="650" l="1"/>
  <c r="AW136" i="650"/>
  <c r="AP135" i="647"/>
  <c r="BA136" i="650" l="1"/>
  <c r="AM134" i="4" s="1"/>
  <c r="AP134" i="4" s="1"/>
  <c r="AQ134" i="4" s="1"/>
  <c r="F1069" i="3" s="1"/>
  <c r="AU1069" i="3" s="1"/>
  <c r="AW1069" i="3" s="1"/>
  <c r="AR134" i="647"/>
  <c r="AU134" i="647" s="1"/>
  <c r="AV134" i="647" s="1"/>
  <c r="BA135" i="650"/>
  <c r="AM133" i="4" s="1"/>
  <c r="AR133" i="647"/>
  <c r="AQ135" i="647"/>
  <c r="AN134" i="4"/>
  <c r="AN133" i="4"/>
  <c r="BA137" i="650" l="1"/>
  <c r="AZ134" i="4"/>
  <c r="BA134" i="4" s="1"/>
  <c r="AN135" i="4"/>
  <c r="AM135" i="4"/>
  <c r="AP135" i="4" s="1"/>
  <c r="AQ135" i="4" s="1"/>
  <c r="F1070" i="3" s="1"/>
  <c r="AU1070" i="3" s="1"/>
  <c r="AW1070" i="3" s="1"/>
  <c r="G1086" i="6" s="1"/>
  <c r="AP133" i="4"/>
  <c r="G1085" i="6"/>
  <c r="AX1069" i="3" s="1"/>
  <c r="AR135" i="647"/>
  <c r="AU135" i="647" s="1"/>
  <c r="AV135" i="647" s="1"/>
  <c r="AU133" i="647"/>
  <c r="AV133" i="647" s="1"/>
  <c r="AH145" i="650"/>
  <c r="E1085" i="6" l="1"/>
  <c r="I1085" i="6"/>
  <c r="AZ133" i="4"/>
  <c r="BA133" i="4" s="1"/>
  <c r="AQ133" i="4"/>
  <c r="F1068" i="3" s="1"/>
  <c r="AU1068" i="3" s="1"/>
  <c r="AW1068" i="3" s="1"/>
  <c r="G1084" i="6" s="1"/>
  <c r="AX1070" i="3"/>
  <c r="E1086" i="6"/>
  <c r="I1086" i="6"/>
  <c r="N1085" i="6" l="1"/>
  <c r="T1085" i="6" s="1"/>
  <c r="M1085" i="6"/>
  <c r="Q1085" i="6" s="1"/>
  <c r="AX1068" i="3"/>
  <c r="E1084" i="6"/>
  <c r="I1084" i="6"/>
  <c r="U141" i="647"/>
  <c r="W1085" i="6" l="1"/>
  <c r="AB1085" i="6" s="1"/>
  <c r="M1084" i="6"/>
  <c r="N1084" i="6"/>
  <c r="V141" i="647"/>
  <c r="V145" i="647" s="1"/>
  <c r="V151" i="647" s="1"/>
  <c r="V152" i="647" s="1"/>
  <c r="V154" i="647" s="1"/>
  <c r="V166" i="647" s="1"/>
  <c r="V169" i="647" s="1"/>
  <c r="U145" i="647"/>
  <c r="T1084" i="6" l="1"/>
  <c r="N1086" i="6"/>
  <c r="T1086" i="6" s="1"/>
  <c r="Q1084" i="6"/>
  <c r="W1084" i="6" s="1"/>
  <c r="AB1084" i="6" s="1"/>
  <c r="M1086" i="6"/>
  <c r="Q1086" i="6" s="1"/>
  <c r="W1086" i="6" s="1"/>
  <c r="AB1086" i="6" s="1"/>
  <c r="U151" i="647"/>
  <c r="W141" i="647"/>
  <c r="W145" i="647" s="1"/>
  <c r="W151" i="647" s="1"/>
  <c r="W152" i="647" s="1"/>
  <c r="W154" i="647" s="1"/>
  <c r="W166" i="647" s="1"/>
  <c r="W169" i="647" s="1"/>
  <c r="AB143" i="650" l="1"/>
  <c r="AC143" i="650" s="1"/>
  <c r="X141" i="647"/>
  <c r="X145" i="647" s="1"/>
  <c r="X151" i="647" s="1"/>
  <c r="X152" i="647" s="1"/>
  <c r="X154" i="647" s="1"/>
  <c r="X166" i="647" s="1"/>
  <c r="X169" i="647" s="1"/>
  <c r="U152" i="647"/>
  <c r="AD143" i="650" l="1"/>
  <c r="AC145" i="650"/>
  <c r="AC151" i="650" s="1"/>
  <c r="AC152" i="650" s="1"/>
  <c r="Y141" i="647"/>
  <c r="Y145" i="647" s="1"/>
  <c r="Y151" i="647" s="1"/>
  <c r="Y152" i="647" s="1"/>
  <c r="Y154" i="647" s="1"/>
  <c r="Y166" i="647" s="1"/>
  <c r="Y169" i="647" s="1"/>
  <c r="AB140" i="650"/>
  <c r="AB141" i="650"/>
  <c r="AB142" i="650"/>
  <c r="U154" i="647"/>
  <c r="U166" i="647" s="1"/>
  <c r="U169" i="647" s="1"/>
  <c r="AB145" i="650"/>
  <c r="AB151" i="650" s="1"/>
  <c r="AB152" i="650" s="1"/>
  <c r="AC140" i="650" l="1"/>
  <c r="AA138" i="647"/>
  <c r="AC142" i="650"/>
  <c r="AA140" i="647"/>
  <c r="AC141" i="650"/>
  <c r="AA139" i="647"/>
  <c r="AE143" i="650"/>
  <c r="AD145" i="650"/>
  <c r="AD151" i="650" s="1"/>
  <c r="AD152" i="650" s="1"/>
  <c r="Z141" i="647"/>
  <c r="AD142" i="650" l="1"/>
  <c r="AC140" i="647" s="1"/>
  <c r="AB140" i="647"/>
  <c r="AD141" i="650"/>
  <c r="AC139" i="647" s="1"/>
  <c r="AB139" i="647"/>
  <c r="AD140" i="650"/>
  <c r="AC138" i="647" s="1"/>
  <c r="AB138" i="647"/>
  <c r="AF143" i="650"/>
  <c r="AE145" i="650"/>
  <c r="AE151" i="650" s="1"/>
  <c r="AE152" i="650" s="1"/>
  <c r="U171" i="647"/>
  <c r="V158" i="647" s="1"/>
  <c r="V171" i="647" s="1"/>
  <c r="W158" i="647" s="1"/>
  <c r="W171" i="647" s="1"/>
  <c r="X158" i="647" s="1"/>
  <c r="X171" i="647" s="1"/>
  <c r="Y158" i="647" s="1"/>
  <c r="Y171" i="647" s="1"/>
  <c r="Z158" i="647" s="1"/>
  <c r="Z145" i="647"/>
  <c r="AA141" i="647"/>
  <c r="AA145" i="647" s="1"/>
  <c r="AA151" i="647" s="1"/>
  <c r="AA152" i="647" s="1"/>
  <c r="AA154" i="647" s="1"/>
  <c r="AA166" i="647" s="1"/>
  <c r="AA169" i="647" s="1"/>
  <c r="AE140" i="650" l="1"/>
  <c r="AF140" i="650" s="1"/>
  <c r="AE138" i="647" s="1"/>
  <c r="AE142" i="650"/>
  <c r="AD140" i="647" s="1"/>
  <c r="AE141" i="650"/>
  <c r="AD139" i="647" s="1"/>
  <c r="AG143" i="650"/>
  <c r="AG145" i="650" s="1"/>
  <c r="AG151" i="650" s="1"/>
  <c r="AG152" i="650" s="1"/>
  <c r="AF145" i="650"/>
  <c r="AF151" i="650" s="1"/>
  <c r="AF152" i="650" s="1"/>
  <c r="AB141" i="647"/>
  <c r="AB145" i="647" s="1"/>
  <c r="AB151" i="647" s="1"/>
  <c r="AB152" i="647" s="1"/>
  <c r="AB154" i="647" s="1"/>
  <c r="AB166" i="647" s="1"/>
  <c r="AB169" i="647" s="1"/>
  <c r="Z151" i="647"/>
  <c r="AD138" i="647" l="1"/>
  <c r="AF141" i="650"/>
  <c r="AF142" i="650"/>
  <c r="AG140" i="650"/>
  <c r="AF138" i="647" s="1"/>
  <c r="Z152" i="647"/>
  <c r="AC141" i="647"/>
  <c r="AC145" i="647" s="1"/>
  <c r="AE139" i="647" l="1"/>
  <c r="AG141" i="650"/>
  <c r="AF139" i="647" s="1"/>
  <c r="AE140" i="647"/>
  <c r="AG142" i="650"/>
  <c r="AF140" i="647" s="1"/>
  <c r="AC151" i="647"/>
  <c r="Z154" i="647"/>
  <c r="Z166" i="647" s="1"/>
  <c r="Z169" i="647" s="1"/>
  <c r="AI143" i="650"/>
  <c r="AK143" i="650"/>
  <c r="AJ140" i="650"/>
  <c r="AD141" i="647"/>
  <c r="AD145" i="647" s="1"/>
  <c r="AD151" i="647" s="1"/>
  <c r="AD152" i="647" s="1"/>
  <c r="AD154" i="647" s="1"/>
  <c r="AD166" i="647" s="1"/>
  <c r="AD169" i="647" s="1"/>
  <c r="AJ142" i="650" l="1"/>
  <c r="AK140" i="4" s="1"/>
  <c r="AE141" i="647"/>
  <c r="AE145" i="647" s="1"/>
  <c r="AE151" i="647" s="1"/>
  <c r="AE152" i="647" s="1"/>
  <c r="AE154" i="647" s="1"/>
  <c r="AE166" i="647" s="1"/>
  <c r="AE169" i="647" s="1"/>
  <c r="AT139" i="647"/>
  <c r="AL139" i="4"/>
  <c r="AK141" i="650"/>
  <c r="AK145" i="650"/>
  <c r="AL143" i="650"/>
  <c r="AI145" i="650"/>
  <c r="AK138" i="4"/>
  <c r="AL140" i="4"/>
  <c r="AT140" i="647"/>
  <c r="AK142" i="650"/>
  <c r="AJ141" i="650"/>
  <c r="AK139" i="4" s="1"/>
  <c r="AL138" i="4"/>
  <c r="AK140" i="650"/>
  <c r="AC152" i="647"/>
  <c r="Z171" i="647" l="1"/>
  <c r="AA158" i="647" s="1"/>
  <c r="AA171" i="647" s="1"/>
  <c r="AB158" i="647" s="1"/>
  <c r="AB171" i="647" s="1"/>
  <c r="AC158" i="647" s="1"/>
  <c r="AJ143" i="650"/>
  <c r="AJ145" i="650" s="1"/>
  <c r="AJ151" i="650" s="1"/>
  <c r="AJ152" i="650" s="1"/>
  <c r="AC154" i="647"/>
  <c r="AC166" i="647" s="1"/>
  <c r="AC169" i="647" s="1"/>
  <c r="AK151" i="650"/>
  <c r="AI151" i="650"/>
  <c r="AL142" i="650"/>
  <c r="AG140" i="647" s="1"/>
  <c r="AL141" i="650"/>
  <c r="AG139" i="647" s="1"/>
  <c r="AL140" i="650"/>
  <c r="AG138" i="647" s="1"/>
  <c r="AF141" i="647"/>
  <c r="AT138" i="647"/>
  <c r="AL141" i="4"/>
  <c r="AL143" i="4" s="1"/>
  <c r="AL149" i="4" s="1"/>
  <c r="AL150" i="4" s="1"/>
  <c r="AK141" i="4"/>
  <c r="AL145" i="650"/>
  <c r="AL151" i="650" s="1"/>
  <c r="AL152" i="650" s="1"/>
  <c r="AM143" i="650"/>
  <c r="AM141" i="650" l="1"/>
  <c r="AH139" i="647" s="1"/>
  <c r="AK143" i="4"/>
  <c r="AM145" i="650"/>
  <c r="AM151" i="650" s="1"/>
  <c r="AM152" i="650" s="1"/>
  <c r="AN143" i="650"/>
  <c r="AM140" i="650"/>
  <c r="AH138" i="647" s="1"/>
  <c r="AK152" i="650"/>
  <c r="AI152" i="650"/>
  <c r="AI153" i="650" s="1"/>
  <c r="AH152" i="650"/>
  <c r="AM142" i="650"/>
  <c r="AH140" i="647" s="1"/>
  <c r="AF145" i="647"/>
  <c r="AT141" i="647"/>
  <c r="AI154" i="650" l="1"/>
  <c r="AI155" i="650" s="1"/>
  <c r="AN140" i="650"/>
  <c r="AI138" i="647" s="1"/>
  <c r="AN142" i="650"/>
  <c r="AI140" i="647" s="1"/>
  <c r="AK149" i="4"/>
  <c r="AC171" i="647"/>
  <c r="AD158" i="647" s="1"/>
  <c r="AD171" i="647" s="1"/>
  <c r="AE158" i="647" s="1"/>
  <c r="AE171" i="647" s="1"/>
  <c r="AF158" i="647" s="1"/>
  <c r="AN141" i="650"/>
  <c r="AI139" i="647" s="1"/>
  <c r="AG141" i="647"/>
  <c r="AN145" i="650"/>
  <c r="AN151" i="650" s="1"/>
  <c r="AN152" i="650" s="1"/>
  <c r="AO143" i="650"/>
  <c r="AF151" i="647"/>
  <c r="AT145" i="647"/>
  <c r="AO141" i="650" l="1"/>
  <c r="AJ139" i="647" s="1"/>
  <c r="AO142" i="650"/>
  <c r="AJ140" i="647" s="1"/>
  <c r="AK150" i="4"/>
  <c r="AH141" i="647"/>
  <c r="AH145" i="647" s="1"/>
  <c r="AH151" i="647" s="1"/>
  <c r="AH152" i="647" s="1"/>
  <c r="AH154" i="647" s="1"/>
  <c r="AH166" i="647" s="1"/>
  <c r="AH169" i="647" s="1"/>
  <c r="AO145" i="650"/>
  <c r="AO151" i="650" s="1"/>
  <c r="AO152" i="650" s="1"/>
  <c r="AP143" i="650"/>
  <c r="AO140" i="650"/>
  <c r="AJ138" i="647" s="1"/>
  <c r="AF152" i="647"/>
  <c r="AT151" i="647"/>
  <c r="H46" i="647"/>
  <c r="AG145" i="647"/>
  <c r="AP145" i="650" l="1"/>
  <c r="AP151" i="650" s="1"/>
  <c r="AP152" i="650" s="1"/>
  <c r="AQ143" i="650"/>
  <c r="AF154" i="647"/>
  <c r="AT152" i="647"/>
  <c r="AG151" i="647"/>
  <c r="AP141" i="650"/>
  <c r="AK139" i="647" s="1"/>
  <c r="H47" i="647"/>
  <c r="H391" i="139"/>
  <c r="AP142" i="650"/>
  <c r="AK140" i="647" s="1"/>
  <c r="AP140" i="650"/>
  <c r="AK138" i="647" s="1"/>
  <c r="AI141" i="647"/>
  <c r="AJ141" i="647" l="1"/>
  <c r="AJ145" i="647" s="1"/>
  <c r="AJ151" i="647" s="1"/>
  <c r="AJ152" i="647" s="1"/>
  <c r="AJ154" i="647" s="1"/>
  <c r="AJ166" i="647" s="1"/>
  <c r="AJ169" i="647" s="1"/>
  <c r="AQ145" i="650"/>
  <c r="AQ151" i="650" s="1"/>
  <c r="AQ152" i="650" s="1"/>
  <c r="AR143" i="650"/>
  <c r="AQ140" i="650"/>
  <c r="AL138" i="647" s="1"/>
  <c r="AF166" i="647"/>
  <c r="AF169" i="647" s="1"/>
  <c r="H35" i="647"/>
  <c r="H36" i="647" s="1"/>
  <c r="H37" i="647" s="1"/>
  <c r="AQ142" i="650"/>
  <c r="AL140" i="647" s="1"/>
  <c r="AG152" i="647"/>
  <c r="H392" i="139"/>
  <c r="AQ141" i="650"/>
  <c r="AL139" i="647" s="1"/>
  <c r="AI145" i="647"/>
  <c r="H15" i="647" l="1"/>
  <c r="H24" i="647" s="1"/>
  <c r="AR141" i="650"/>
  <c r="AM139" i="647" s="1"/>
  <c r="AR140" i="650"/>
  <c r="AM138" i="647" s="1"/>
  <c r="AI151" i="647"/>
  <c r="AR142" i="650"/>
  <c r="AM140" i="647" s="1"/>
  <c r="AR145" i="650"/>
  <c r="AR151" i="650" s="1"/>
  <c r="AR152" i="650" s="1"/>
  <c r="AS143" i="650"/>
  <c r="AK141" i="647"/>
  <c r="AG154" i="647"/>
  <c r="AG166" i="647" s="1"/>
  <c r="AG169" i="647" s="1"/>
  <c r="H401" i="139"/>
  <c r="H18" i="647" l="1"/>
  <c r="AH184" i="650" s="1"/>
  <c r="AF171" i="647"/>
  <c r="AG158" i="647" s="1"/>
  <c r="H49" i="647"/>
  <c r="AI152" i="647"/>
  <c r="AS140" i="650"/>
  <c r="AN138" i="647" s="1"/>
  <c r="AS145" i="650"/>
  <c r="AS151" i="650" s="1"/>
  <c r="AS152" i="650" s="1"/>
  <c r="AT143" i="650"/>
  <c r="AL141" i="647"/>
  <c r="AL145" i="647" s="1"/>
  <c r="AL151" i="647" s="1"/>
  <c r="AL152" i="647" s="1"/>
  <c r="AL154" i="647" s="1"/>
  <c r="AL166" i="647" s="1"/>
  <c r="AL169" i="647" s="1"/>
  <c r="AS142" i="650"/>
  <c r="AN140" i="647" s="1"/>
  <c r="H428" i="139"/>
  <c r="H430" i="139"/>
  <c r="AS141" i="650"/>
  <c r="AN139" i="647" s="1"/>
  <c r="AK145" i="647"/>
  <c r="V184" i="650" l="1"/>
  <c r="H22" i="647"/>
  <c r="H20" i="647"/>
  <c r="I7" i="647" s="1"/>
  <c r="AK151" i="647"/>
  <c r="AT142" i="650"/>
  <c r="AO140" i="647" s="1"/>
  <c r="H431" i="139"/>
  <c r="AT140" i="650"/>
  <c r="AO138" i="647" s="1"/>
  <c r="AI154" i="647"/>
  <c r="AI166" i="647" s="1"/>
  <c r="AI169" i="647" s="1"/>
  <c r="AM141" i="647"/>
  <c r="AG171" i="647"/>
  <c r="AH158" i="647" s="1"/>
  <c r="AH171" i="647" s="1"/>
  <c r="AI158" i="647" s="1"/>
  <c r="AT141" i="650"/>
  <c r="AO139" i="647" s="1"/>
  <c r="AT145" i="650"/>
  <c r="AT151" i="650" s="1"/>
  <c r="AT152" i="650" s="1"/>
  <c r="AU143" i="650"/>
  <c r="W184" i="650" l="1"/>
  <c r="X184" i="650" s="1"/>
  <c r="Y184" i="650" s="1"/>
  <c r="Z184" i="650" s="1"/>
  <c r="AA184" i="650" s="1"/>
  <c r="V180" i="650"/>
  <c r="V182" i="650"/>
  <c r="V183" i="650"/>
  <c r="V181" i="650"/>
  <c r="AH171" i="650"/>
  <c r="AH170" i="650" s="1"/>
  <c r="V170" i="650" s="1"/>
  <c r="V169" i="650" s="1"/>
  <c r="H26" i="647"/>
  <c r="AI171" i="647"/>
  <c r="AJ158" i="647" s="1"/>
  <c r="AJ171" i="647" s="1"/>
  <c r="AK158" i="647" s="1"/>
  <c r="AM145" i="647"/>
  <c r="AU142" i="650"/>
  <c r="AP140" i="647" s="1"/>
  <c r="AU141" i="650"/>
  <c r="AP139" i="647" s="1"/>
  <c r="AU140" i="650"/>
  <c r="AP138" i="647" s="1"/>
  <c r="AU145" i="650"/>
  <c r="AU151" i="650" s="1"/>
  <c r="AU152" i="650" s="1"/>
  <c r="AV143" i="650"/>
  <c r="AN141" i="647"/>
  <c r="AN145" i="647" s="1"/>
  <c r="AN151" i="647" s="1"/>
  <c r="AN152" i="647" s="1"/>
  <c r="AN154" i="647" s="1"/>
  <c r="AN166" i="647" s="1"/>
  <c r="AN169" i="647" s="1"/>
  <c r="AK152" i="647"/>
  <c r="W181" i="650" l="1"/>
  <c r="X181" i="650" s="1"/>
  <c r="Y181" i="650" s="1"/>
  <c r="Z181" i="650" s="1"/>
  <c r="AA181" i="650" s="1"/>
  <c r="W183" i="650"/>
  <c r="X183" i="650" s="1"/>
  <c r="Y183" i="650" s="1"/>
  <c r="Z183" i="650" s="1"/>
  <c r="AA183" i="650" s="1"/>
  <c r="W182" i="650"/>
  <c r="X182" i="650" s="1"/>
  <c r="Y182" i="650" s="1"/>
  <c r="Z182" i="650" s="1"/>
  <c r="AA182" i="650" s="1"/>
  <c r="W180" i="650"/>
  <c r="X180" i="650" s="1"/>
  <c r="Y180" i="650" s="1"/>
  <c r="Z180" i="650" s="1"/>
  <c r="AA180" i="650" s="1"/>
  <c r="W170" i="650"/>
  <c r="X170" i="650" s="1"/>
  <c r="Y170" i="650" s="1"/>
  <c r="Z170" i="650" s="1"/>
  <c r="AA170" i="650" s="1"/>
  <c r="V167" i="650"/>
  <c r="V166" i="650"/>
  <c r="V188" i="650" s="1"/>
  <c r="V168" i="650"/>
  <c r="V190" i="650" s="1"/>
  <c r="AO141" i="647"/>
  <c r="AO145" i="647" s="1"/>
  <c r="AO151" i="647" s="1"/>
  <c r="AO152" i="647" s="1"/>
  <c r="AO154" i="647" s="1"/>
  <c r="AO166" i="647" s="1"/>
  <c r="AO169" i="647" s="1"/>
  <c r="V191" i="650"/>
  <c r="AK154" i="647"/>
  <c r="AK166" i="647" s="1"/>
  <c r="AK169" i="647" s="1"/>
  <c r="AM151" i="647"/>
  <c r="AV140" i="650"/>
  <c r="AQ138" i="647" s="1"/>
  <c r="AV142" i="650"/>
  <c r="AQ140" i="647" s="1"/>
  <c r="AW143" i="650"/>
  <c r="AV145" i="650"/>
  <c r="AV151" i="650" s="1"/>
  <c r="AV152" i="650" s="1"/>
  <c r="AV141" i="650"/>
  <c r="AQ139" i="647" s="1"/>
  <c r="W169" i="650" l="1"/>
  <c r="X169" i="650" s="1"/>
  <c r="W167" i="650"/>
  <c r="W189" i="650" s="1"/>
  <c r="V189" i="650"/>
  <c r="V194" i="650" s="1"/>
  <c r="W166" i="650"/>
  <c r="X166" i="650" s="1"/>
  <c r="W168" i="650"/>
  <c r="W190" i="650" s="1"/>
  <c r="AW142" i="650"/>
  <c r="AW140" i="650"/>
  <c r="AM152" i="647"/>
  <c r="AP141" i="647"/>
  <c r="AY143" i="650"/>
  <c r="AW145" i="650"/>
  <c r="AW151" i="650" s="1"/>
  <c r="AK171" i="647"/>
  <c r="AL158" i="647" s="1"/>
  <c r="AL171" i="647" s="1"/>
  <c r="AM158" i="647" s="1"/>
  <c r="AW141" i="650"/>
  <c r="W191" i="650" l="1"/>
  <c r="W188" i="650"/>
  <c r="X167" i="650"/>
  <c r="Y167" i="650" s="1"/>
  <c r="X168" i="650"/>
  <c r="Y168" i="650" s="1"/>
  <c r="BA141" i="650"/>
  <c r="AM139" i="4" s="1"/>
  <c r="AP139" i="4" s="1"/>
  <c r="AQ139" i="4" s="1"/>
  <c r="F1074" i="3" s="1"/>
  <c r="AU1074" i="3" s="1"/>
  <c r="AW1074" i="3" s="1"/>
  <c r="AR139" i="647"/>
  <c r="AU139" i="647" s="1"/>
  <c r="AV139" i="647" s="1"/>
  <c r="BA140" i="650"/>
  <c r="AM138" i="4" s="1"/>
  <c r="AR138" i="647"/>
  <c r="BA142" i="650"/>
  <c r="AM140" i="4" s="1"/>
  <c r="AP140" i="4" s="1"/>
  <c r="AQ140" i="4" s="1"/>
  <c r="F1075" i="3" s="1"/>
  <c r="AU1075" i="3" s="1"/>
  <c r="AW1075" i="3" s="1"/>
  <c r="AR140" i="647"/>
  <c r="AU140" i="647" s="1"/>
  <c r="AV140" i="647" s="1"/>
  <c r="Y169" i="650"/>
  <c r="X191" i="650"/>
  <c r="Y166" i="650"/>
  <c r="X188" i="650"/>
  <c r="AM154" i="647"/>
  <c r="AM166" i="647" s="1"/>
  <c r="AM169" i="647" s="1"/>
  <c r="AP145" i="647"/>
  <c r="AY145" i="650"/>
  <c r="AW154" i="650"/>
  <c r="AN139" i="4"/>
  <c r="AN138" i="4"/>
  <c r="AN140" i="4"/>
  <c r="AW152" i="650"/>
  <c r="AY151" i="650"/>
  <c r="AQ141" i="647"/>
  <c r="AQ145" i="647" s="1"/>
  <c r="AQ151" i="647" s="1"/>
  <c r="AQ152" i="647" s="1"/>
  <c r="AQ154" i="647" s="1"/>
  <c r="AQ166" i="647" s="1"/>
  <c r="AQ169" i="647" s="1"/>
  <c r="W194" i="650" l="1"/>
  <c r="X189" i="650"/>
  <c r="X190" i="650"/>
  <c r="BA143" i="650"/>
  <c r="BA145" i="650" s="1"/>
  <c r="BA151" i="650" s="1"/>
  <c r="BA152" i="650" s="1"/>
  <c r="AZ139" i="4"/>
  <c r="BA139" i="4" s="1"/>
  <c r="AZ140" i="4"/>
  <c r="BA140" i="4" s="1"/>
  <c r="G1091" i="6"/>
  <c r="AX1075" i="3" s="1"/>
  <c r="AM141" i="4"/>
  <c r="AP138" i="4"/>
  <c r="G1090" i="6"/>
  <c r="AX1074" i="3" s="1"/>
  <c r="AN141" i="4"/>
  <c r="AN143" i="4" s="1"/>
  <c r="AN149" i="4" s="1"/>
  <c r="AN150" i="4" s="1"/>
  <c r="Z167" i="650"/>
  <c r="Y189" i="650"/>
  <c r="Z166" i="650"/>
  <c r="Y188" i="650"/>
  <c r="Z169" i="650"/>
  <c r="Y191" i="650"/>
  <c r="Z168" i="650"/>
  <c r="Y190" i="650"/>
  <c r="AR141" i="647"/>
  <c r="AU138" i="647"/>
  <c r="AV138" i="647" s="1"/>
  <c r="AY152" i="650"/>
  <c r="AW153" i="650"/>
  <c r="AX152" i="650"/>
  <c r="AM171" i="647"/>
  <c r="AN158" i="647" s="1"/>
  <c r="AN171" i="647" s="1"/>
  <c r="AO158" i="647" s="1"/>
  <c r="AO171" i="647" s="1"/>
  <c r="AP158" i="647" s="1"/>
  <c r="AP151" i="647"/>
  <c r="X194" i="650" l="1"/>
  <c r="AQ138" i="4"/>
  <c r="F1073" i="3" s="1"/>
  <c r="AU1073" i="3" s="1"/>
  <c r="AW1073" i="3" s="1"/>
  <c r="AZ138" i="4"/>
  <c r="BA138" i="4" s="1"/>
  <c r="AM143" i="4"/>
  <c r="AP141" i="4"/>
  <c r="AQ141" i="4" s="1"/>
  <c r="F1076" i="3" s="1"/>
  <c r="I1090" i="6"/>
  <c r="E1090" i="6"/>
  <c r="E1091" i="6"/>
  <c r="I1091" i="6"/>
  <c r="Y194" i="650"/>
  <c r="AA167" i="650"/>
  <c r="AA189" i="650" s="1"/>
  <c r="Z189" i="650"/>
  <c r="AA168" i="650"/>
  <c r="AA190" i="650" s="1"/>
  <c r="Z190" i="650"/>
  <c r="AA169" i="650"/>
  <c r="AA191" i="650" s="1"/>
  <c r="Z191" i="650"/>
  <c r="AA166" i="650"/>
  <c r="AA188" i="650" s="1"/>
  <c r="Z188" i="650"/>
  <c r="AP152" i="647"/>
  <c r="AR145" i="647"/>
  <c r="AU141" i="647"/>
  <c r="AV141" i="647" s="1"/>
  <c r="N1091" i="6" l="1"/>
  <c r="T1091" i="6" s="1"/>
  <c r="M1091" i="6"/>
  <c r="Q1091" i="6" s="1"/>
  <c r="F1078" i="3"/>
  <c r="AU1076" i="3"/>
  <c r="AW1076" i="3" s="1"/>
  <c r="G1092" i="6" s="1"/>
  <c r="AP143" i="4"/>
  <c r="AQ143" i="4" s="1"/>
  <c r="AM149" i="4"/>
  <c r="N1090" i="6"/>
  <c r="T1090" i="6" s="1"/>
  <c r="M1090" i="6"/>
  <c r="Q1090" i="6" s="1"/>
  <c r="G1089" i="6"/>
  <c r="AX1073" i="3" s="1"/>
  <c r="Z194" i="650"/>
  <c r="AA194" i="650"/>
  <c r="AP154" i="647"/>
  <c r="AP166" i="647" s="1"/>
  <c r="AP169" i="647" s="1"/>
  <c r="AR151" i="647"/>
  <c r="AU145" i="647"/>
  <c r="AV145" i="647" s="1"/>
  <c r="W1091" i="6" l="1"/>
  <c r="AB1091" i="6" s="1"/>
  <c r="W1090" i="6"/>
  <c r="AB1090" i="6" s="1"/>
  <c r="F1084" i="3"/>
  <c r="AU1078" i="3"/>
  <c r="AW1078" i="3" s="1"/>
  <c r="AM150" i="4"/>
  <c r="AP150" i="4" s="1"/>
  <c r="AP149" i="4"/>
  <c r="AX1076" i="3"/>
  <c r="E1092" i="6"/>
  <c r="I1092" i="6"/>
  <c r="I1094" i="6" s="1"/>
  <c r="I1101" i="6" s="1"/>
  <c r="I1102" i="6" s="1"/>
  <c r="G1094" i="6"/>
  <c r="E1089" i="6"/>
  <c r="I1089" i="6"/>
  <c r="AR152" i="647"/>
  <c r="AU151" i="647"/>
  <c r="AV151" i="647" s="1"/>
  <c r="I46" i="647"/>
  <c r="AP171" i="647"/>
  <c r="AQ158" i="647" s="1"/>
  <c r="AQ171" i="647" s="1"/>
  <c r="AR158" i="647" s="1"/>
  <c r="I50" i="2" l="1"/>
  <c r="AQ150" i="4"/>
  <c r="AZ150" i="4"/>
  <c r="BA150" i="4" s="1"/>
  <c r="AX1078" i="3"/>
  <c r="E1094" i="6"/>
  <c r="G1101" i="6"/>
  <c r="AQ149" i="4"/>
  <c r="AZ149" i="4"/>
  <c r="BA149" i="4" s="1"/>
  <c r="N1089" i="6"/>
  <c r="M1089" i="6"/>
  <c r="AU1084" i="3"/>
  <c r="F1085" i="3"/>
  <c r="G52" i="5" s="1"/>
  <c r="AA52" i="5" s="1"/>
  <c r="AR154" i="647"/>
  <c r="AU152" i="647"/>
  <c r="I47" i="647"/>
  <c r="I391" i="139"/>
  <c r="AW1084" i="3" l="1"/>
  <c r="AW1085" i="3" s="1"/>
  <c r="AU1085" i="3"/>
  <c r="Z52" i="5" s="1"/>
  <c r="AB52" i="5" s="1"/>
  <c r="T1089" i="6"/>
  <c r="N1092" i="6"/>
  <c r="M1092" i="6"/>
  <c r="Q1089" i="6"/>
  <c r="W1089" i="6" s="1"/>
  <c r="AB1089" i="6" s="1"/>
  <c r="E1101" i="6"/>
  <c r="G1102" i="6"/>
  <c r="I392" i="139"/>
  <c r="AR166" i="647"/>
  <c r="AR169" i="647" s="1"/>
  <c r="I35" i="647"/>
  <c r="I36" i="647" s="1"/>
  <c r="I37" i="647" s="1"/>
  <c r="AV152" i="647"/>
  <c r="AU154" i="647"/>
  <c r="E1102" i="6" l="1"/>
  <c r="G50" i="2"/>
  <c r="N1094" i="6"/>
  <c r="N1101" i="6" s="1"/>
  <c r="N1102" i="6" s="1"/>
  <c r="T1092" i="6"/>
  <c r="T1094" i="6" s="1"/>
  <c r="T1101" i="6" s="1"/>
  <c r="T1102" i="6" s="1"/>
  <c r="Q1092" i="6"/>
  <c r="M1094" i="6"/>
  <c r="M1101" i="6" s="1"/>
  <c r="M1102" i="6" s="1"/>
  <c r="AX1084" i="3"/>
  <c r="AX1085" i="3"/>
  <c r="I401" i="139"/>
  <c r="I18" i="647"/>
  <c r="AX184" i="650" s="1"/>
  <c r="I15" i="647"/>
  <c r="AR171" i="647" l="1"/>
  <c r="E50" i="2"/>
  <c r="N50" i="2"/>
  <c r="M50" i="2" s="1"/>
  <c r="Q1094" i="6"/>
  <c r="Q1101" i="6" s="1"/>
  <c r="W1092" i="6"/>
  <c r="I428" i="139"/>
  <c r="I430" i="139"/>
  <c r="I24" i="647"/>
  <c r="I20" i="647"/>
  <c r="I22" i="647"/>
  <c r="W1094" i="6" l="1"/>
  <c r="AB1094" i="6" s="1"/>
  <c r="AB1092" i="6"/>
  <c r="Q1102" i="6"/>
  <c r="W1102" i="6" s="1"/>
  <c r="W1101" i="6"/>
  <c r="AB1101" i="6" s="1"/>
  <c r="I431" i="139"/>
  <c r="I26" i="647"/>
  <c r="AX171" i="650"/>
  <c r="AB1102" i="6" l="1"/>
  <c r="J50" i="2"/>
  <c r="L50" i="2" s="1"/>
  <c r="AB170" i="650" l="1"/>
  <c r="AC170" i="650" s="1"/>
  <c r="AD170" i="650" s="1"/>
  <c r="AE170" i="650" s="1"/>
  <c r="AF170" i="650" s="1"/>
  <c r="AG170" i="650" s="1"/>
  <c r="AB168" i="650" l="1"/>
  <c r="AC168" i="650" s="1"/>
  <c r="AI170" i="650"/>
  <c r="AK170" i="650"/>
  <c r="AD168" i="650" l="1"/>
  <c r="AB169" i="650"/>
  <c r="AC169" i="650" s="1"/>
  <c r="AD169" i="650" l="1"/>
  <c r="AE168" i="650"/>
  <c r="AF168" i="650" l="1"/>
  <c r="AE169" i="650"/>
  <c r="AF169" i="650" l="1"/>
  <c r="AG168" i="650"/>
  <c r="AB167" i="650"/>
  <c r="AC167" i="650" s="1"/>
  <c r="AB166" i="650"/>
  <c r="AC166" i="650" s="1"/>
  <c r="AD167" i="650" l="1"/>
  <c r="AD166" i="650"/>
  <c r="AL166" i="4"/>
  <c r="AK168" i="650"/>
  <c r="AJ168" i="650"/>
  <c r="AK166" i="4" s="1"/>
  <c r="AG169" i="650"/>
  <c r="AE166" i="650" l="1"/>
  <c r="AK169" i="650"/>
  <c r="AL167" i="4"/>
  <c r="AJ169" i="650"/>
  <c r="AK167" i="4" s="1"/>
  <c r="AE167" i="650"/>
  <c r="AF166" i="650" l="1"/>
  <c r="AF167" i="650"/>
  <c r="AG167" i="650" l="1"/>
  <c r="AG166" i="650"/>
  <c r="AJ166" i="650" l="1"/>
  <c r="AJ167" i="650"/>
  <c r="AL164" i="4" l="1"/>
  <c r="AK166" i="650"/>
  <c r="AJ170" i="650"/>
  <c r="AK164" i="4"/>
  <c r="AK165" i="4"/>
  <c r="AL165" i="4"/>
  <c r="AK167" i="650"/>
  <c r="AL168" i="4" l="1"/>
  <c r="AK168" i="4"/>
  <c r="AB177" i="650" l="1"/>
  <c r="AC177" i="650" s="1"/>
  <c r="AD177" i="650" l="1"/>
  <c r="AE177" i="650" s="1"/>
  <c r="AF177" i="650" s="1"/>
  <c r="AG177" i="650" s="1"/>
  <c r="AI177" i="650" s="1"/>
  <c r="AK177" i="650" l="1"/>
  <c r="AX170" i="650" s="1"/>
  <c r="AL170" i="650" s="1"/>
  <c r="AL177" i="650" l="1"/>
  <c r="AM177" i="650" s="1"/>
  <c r="AN177" i="650" s="1"/>
  <c r="AO177" i="650" s="1"/>
  <c r="AP177" i="650" s="1"/>
  <c r="AQ177" i="650" s="1"/>
  <c r="AR177" i="650" s="1"/>
  <c r="AS177" i="650" s="1"/>
  <c r="AT177" i="650" s="1"/>
  <c r="AU177" i="650" s="1"/>
  <c r="AV177" i="650" s="1"/>
  <c r="AW177" i="650" s="1"/>
  <c r="AY177" i="650" s="1"/>
  <c r="AL168" i="650"/>
  <c r="AM170" i="650"/>
  <c r="AN170" i="650" s="1"/>
  <c r="AO170" i="650" s="1"/>
  <c r="AP170" i="650" s="1"/>
  <c r="AQ170" i="650" s="1"/>
  <c r="AR170" i="650" s="1"/>
  <c r="AS170" i="650" s="1"/>
  <c r="AT170" i="650" s="1"/>
  <c r="AU170" i="650" s="1"/>
  <c r="AV170" i="650" s="1"/>
  <c r="AW170" i="650" s="1"/>
  <c r="AL167" i="650"/>
  <c r="AL166" i="650"/>
  <c r="AL169" i="650"/>
  <c r="AM168" i="650" l="1"/>
  <c r="AN168" i="650" s="1"/>
  <c r="AO168" i="650" s="1"/>
  <c r="AP168" i="650" s="1"/>
  <c r="AQ168" i="650" s="1"/>
  <c r="AR168" i="650" s="1"/>
  <c r="AS168" i="650" s="1"/>
  <c r="AT168" i="650" s="1"/>
  <c r="AU168" i="650" s="1"/>
  <c r="AV168" i="650" s="1"/>
  <c r="AW168" i="650" s="1"/>
  <c r="AN166" i="4" s="1"/>
  <c r="AM167" i="650"/>
  <c r="AM169" i="650"/>
  <c r="AN169" i="650" s="1"/>
  <c r="AO169" i="650" s="1"/>
  <c r="AP169" i="650" s="1"/>
  <c r="AQ169" i="650" s="1"/>
  <c r="AR169" i="650" s="1"/>
  <c r="AS169" i="650" s="1"/>
  <c r="AT169" i="650" s="1"/>
  <c r="AU169" i="650" s="1"/>
  <c r="AV169" i="650" s="1"/>
  <c r="AW169" i="650" s="1"/>
  <c r="AN167" i="4" s="1"/>
  <c r="AM166" i="650"/>
  <c r="AY170" i="650"/>
  <c r="AY173" i="650"/>
  <c r="AN167" i="650" l="1"/>
  <c r="BA169" i="650"/>
  <c r="AM167" i="4" s="1"/>
  <c r="AP167" i="4" s="1"/>
  <c r="AN166" i="650"/>
  <c r="BA168" i="650"/>
  <c r="AM166" i="4" s="1"/>
  <c r="AP166" i="4" s="1"/>
  <c r="AQ167" i="4" l="1"/>
  <c r="F1102" i="3" s="1"/>
  <c r="AU1102" i="3" s="1"/>
  <c r="AW1102" i="3" s="1"/>
  <c r="G1119" i="6" s="1"/>
  <c r="AZ167" i="4"/>
  <c r="BA167" i="4" s="1"/>
  <c r="AQ166" i="4"/>
  <c r="F1101" i="3" s="1"/>
  <c r="AU1101" i="3" s="1"/>
  <c r="AW1101" i="3" s="1"/>
  <c r="G1118" i="6" s="1"/>
  <c r="AZ166" i="4"/>
  <c r="BA166" i="4" s="1"/>
  <c r="AB176" i="650"/>
  <c r="AC176" i="650" s="1"/>
  <c r="AD176" i="650" s="1"/>
  <c r="AE176" i="650" s="1"/>
  <c r="AF176" i="650" s="1"/>
  <c r="AG176" i="650" s="1"/>
  <c r="AO166" i="650"/>
  <c r="AB174" i="650"/>
  <c r="AC174" i="650" s="1"/>
  <c r="AD174" i="650" s="1"/>
  <c r="AE174" i="650" s="1"/>
  <c r="AF174" i="650" s="1"/>
  <c r="AG174" i="650" s="1"/>
  <c r="AO167" i="650"/>
  <c r="AX1101" i="3" l="1"/>
  <c r="I1118" i="6"/>
  <c r="E1118" i="6"/>
  <c r="AX1102" i="3"/>
  <c r="I1119" i="6"/>
  <c r="E1119" i="6"/>
  <c r="AB173" i="650"/>
  <c r="AC173" i="650" s="1"/>
  <c r="AD173" i="650" s="1"/>
  <c r="AE173" i="650" s="1"/>
  <c r="AF173" i="650" s="1"/>
  <c r="AG173" i="650" s="1"/>
  <c r="AP166" i="650"/>
  <c r="AP167" i="650"/>
  <c r="AB175" i="650"/>
  <c r="AC175" i="650" s="1"/>
  <c r="AD175" i="650" s="1"/>
  <c r="AE175" i="650" s="1"/>
  <c r="AF175" i="650" s="1"/>
  <c r="AG175" i="650" s="1"/>
  <c r="M1118" i="6" l="1"/>
  <c r="Q1118" i="6" s="1"/>
  <c r="N1118" i="6"/>
  <c r="T1118" i="6" s="1"/>
  <c r="N1119" i="6"/>
  <c r="T1119" i="6" s="1"/>
  <c r="M1119" i="6"/>
  <c r="Q1119" i="6" s="1"/>
  <c r="W1119" i="6" s="1"/>
  <c r="AB1119" i="6" s="1"/>
  <c r="AQ166" i="650"/>
  <c r="AQ167" i="650"/>
  <c r="W1118" i="6" l="1"/>
  <c r="AB1118" i="6" s="1"/>
  <c r="AR167" i="650"/>
  <c r="AR166" i="650"/>
  <c r="AS167" i="650" l="1"/>
  <c r="AS166" i="650"/>
  <c r="AT166" i="650" l="1"/>
  <c r="AJ176" i="650"/>
  <c r="AT167" i="650"/>
  <c r="AJ174" i="650"/>
  <c r="AJ189" i="650" l="1"/>
  <c r="AK172" i="4"/>
  <c r="AK176" i="650"/>
  <c r="AL174" i="4"/>
  <c r="AJ191" i="650"/>
  <c r="AK174" i="4"/>
  <c r="AJ175" i="650"/>
  <c r="AU167" i="650"/>
  <c r="AL172" i="4"/>
  <c r="AK174" i="650"/>
  <c r="AJ173" i="650"/>
  <c r="AU166" i="650"/>
  <c r="AJ190" i="650" l="1"/>
  <c r="AK173" i="4"/>
  <c r="AL174" i="650"/>
  <c r="AV167" i="650"/>
  <c r="AV166" i="650"/>
  <c r="AJ177" i="650"/>
  <c r="AJ188" i="650"/>
  <c r="AK171" i="4"/>
  <c r="AL176" i="650"/>
  <c r="AL171" i="4"/>
  <c r="AK173" i="650"/>
  <c r="AK175" i="650"/>
  <c r="AL173" i="4"/>
  <c r="AM174" i="650" l="1"/>
  <c r="AW166" i="650"/>
  <c r="BA166" i="650" s="1"/>
  <c r="AK175" i="4"/>
  <c r="AL173" i="650"/>
  <c r="AW167" i="650"/>
  <c r="BA167" i="650" s="1"/>
  <c r="AL175" i="4"/>
  <c r="AM176" i="650"/>
  <c r="AL175" i="650"/>
  <c r="AJ194" i="650"/>
  <c r="AM165" i="4" l="1"/>
  <c r="AP165" i="4" s="1"/>
  <c r="AN174" i="650"/>
  <c r="AN176" i="650"/>
  <c r="AM164" i="4"/>
  <c r="AP164" i="4" s="1"/>
  <c r="BA170" i="650"/>
  <c r="AN164" i="4"/>
  <c r="AM175" i="650"/>
  <c r="AN165" i="4"/>
  <c r="AM173" i="650"/>
  <c r="AZ164" i="4" l="1"/>
  <c r="BA164" i="4" s="1"/>
  <c r="AQ164" i="4"/>
  <c r="F1099" i="3" s="1"/>
  <c r="F22" i="17"/>
  <c r="H22" i="17" s="1"/>
  <c r="J1099" i="3" s="1"/>
  <c r="J1103" i="3" s="1"/>
  <c r="K55" i="5" s="1"/>
  <c r="AZ165" i="4"/>
  <c r="BA165" i="4" s="1"/>
  <c r="AQ165" i="4"/>
  <c r="F1100" i="3" s="1"/>
  <c r="AU1100" i="3" s="1"/>
  <c r="AW1100" i="3" s="1"/>
  <c r="AM168" i="4"/>
  <c r="AP168" i="4" s="1"/>
  <c r="AN168" i="4"/>
  <c r="AO174" i="650"/>
  <c r="AN173" i="650"/>
  <c r="AN175" i="650"/>
  <c r="AO176" i="650"/>
  <c r="AQ168" i="4" l="1"/>
  <c r="AZ168" i="4"/>
  <c r="BA168" i="4" s="1"/>
  <c r="G1117" i="6"/>
  <c r="AX1100" i="3" s="1"/>
  <c r="F1103" i="3"/>
  <c r="G55" i="5" s="1"/>
  <c r="AA55" i="5" s="1"/>
  <c r="AU1099" i="3"/>
  <c r="AP176" i="650"/>
  <c r="AO173" i="650"/>
  <c r="AO175" i="650"/>
  <c r="AP174" i="650"/>
  <c r="AU1103" i="3" l="1"/>
  <c r="Z55" i="5" s="1"/>
  <c r="AB55" i="5" s="1"/>
  <c r="AW1099" i="3"/>
  <c r="E1117" i="6"/>
  <c r="I1117" i="6"/>
  <c r="AP175" i="650"/>
  <c r="AQ176" i="650"/>
  <c r="AP173" i="650"/>
  <c r="AQ174" i="650"/>
  <c r="N1117" i="6" l="1"/>
  <c r="T1117" i="6" s="1"/>
  <c r="T1120" i="6" s="1"/>
  <c r="M1117" i="6"/>
  <c r="Q1117" i="6" s="1"/>
  <c r="W1117" i="6" s="1"/>
  <c r="AB1117" i="6" s="1"/>
  <c r="AW1103" i="3"/>
  <c r="G1116" i="6"/>
  <c r="AR174" i="650"/>
  <c r="AQ173" i="650"/>
  <c r="AQ175" i="650"/>
  <c r="AR176" i="650"/>
  <c r="AX1099" i="3" l="1"/>
  <c r="G1120" i="6"/>
  <c r="E1116" i="6"/>
  <c r="I1116" i="6"/>
  <c r="AR175" i="650"/>
  <c r="AR173" i="650"/>
  <c r="AS174" i="650"/>
  <c r="AS176" i="650"/>
  <c r="AX1103" i="3" l="1"/>
  <c r="G53" i="2"/>
  <c r="E1120" i="6"/>
  <c r="N1116" i="6"/>
  <c r="M1116" i="6"/>
  <c r="I1120" i="6"/>
  <c r="AT174" i="650"/>
  <c r="AT176" i="650"/>
  <c r="AS175" i="650"/>
  <c r="AS173" i="650"/>
  <c r="I53" i="2" l="1"/>
  <c r="E53" i="2" s="1"/>
  <c r="N1120" i="6"/>
  <c r="U1116" i="6"/>
  <c r="U1120" i="6" s="1"/>
  <c r="N53" i="2"/>
  <c r="M1120" i="6"/>
  <c r="Q1116" i="6"/>
  <c r="AT175" i="650"/>
  <c r="AT173" i="650"/>
  <c r="AU176" i="650"/>
  <c r="AU174" i="650"/>
  <c r="M53" i="2" l="1"/>
  <c r="W1116" i="6"/>
  <c r="AB1116" i="6" s="1"/>
  <c r="Q1120" i="6"/>
  <c r="AV174" i="650"/>
  <c r="AV176" i="650"/>
  <c r="AU173" i="650"/>
  <c r="AU175" i="650"/>
  <c r="Q1121" i="6" l="1"/>
  <c r="W1120" i="6"/>
  <c r="AV175" i="650"/>
  <c r="AV173" i="650"/>
  <c r="AW174" i="650"/>
  <c r="BA174" i="650" s="1"/>
  <c r="AW176" i="650"/>
  <c r="BA176" i="650" s="1"/>
  <c r="AB1120" i="6" l="1"/>
  <c r="J53" i="2"/>
  <c r="L53" i="2" s="1"/>
  <c r="AW173" i="650"/>
  <c r="BA173" i="650" s="1"/>
  <c r="BA191" i="650"/>
  <c r="AM174" i="4"/>
  <c r="AP174" i="4" s="1"/>
  <c r="AM172" i="4"/>
  <c r="AP172" i="4" s="1"/>
  <c r="BA189" i="650"/>
  <c r="AW175" i="650"/>
  <c r="BA175" i="650" s="1"/>
  <c r="AN174" i="4"/>
  <c r="AN172" i="4"/>
  <c r="AZ172" i="4" l="1"/>
  <c r="BA172" i="4" s="1"/>
  <c r="AQ172" i="4"/>
  <c r="F1107" i="3" s="1"/>
  <c r="AU1107" i="3" s="1"/>
  <c r="AW1107" i="3" s="1"/>
  <c r="G1124" i="6" s="1"/>
  <c r="AZ174" i="4"/>
  <c r="BA174" i="4" s="1"/>
  <c r="AQ174" i="4"/>
  <c r="F1109" i="3" s="1"/>
  <c r="AU1109" i="3" s="1"/>
  <c r="AW1109" i="3" s="1"/>
  <c r="G1126" i="6" s="1"/>
  <c r="AM173" i="4"/>
  <c r="AP173" i="4" s="1"/>
  <c r="BA190" i="650"/>
  <c r="AN173" i="4"/>
  <c r="AN171" i="4"/>
  <c r="AM171" i="4"/>
  <c r="AP171" i="4" s="1"/>
  <c r="BA177" i="650"/>
  <c r="BA188" i="650"/>
  <c r="AX1109" i="3" l="1"/>
  <c r="E1126" i="6"/>
  <c r="I1126" i="6"/>
  <c r="AZ171" i="4"/>
  <c r="BA171" i="4" s="1"/>
  <c r="AQ171" i="4"/>
  <c r="F1106" i="3" s="1"/>
  <c r="F23" i="17"/>
  <c r="AQ173" i="4"/>
  <c r="F1108" i="3" s="1"/>
  <c r="AU1108" i="3" s="1"/>
  <c r="AW1108" i="3" s="1"/>
  <c r="AZ173" i="4"/>
  <c r="BA173" i="4" s="1"/>
  <c r="AX1107" i="3"/>
  <c r="I1124" i="6"/>
  <c r="E1124" i="6"/>
  <c r="AN175" i="4"/>
  <c r="BA194" i="650"/>
  <c r="AM175" i="4"/>
  <c r="AP175" i="4" s="1"/>
  <c r="AZ175" i="4" l="1"/>
  <c r="BA175" i="4" s="1"/>
  <c r="AQ175" i="4"/>
  <c r="G1125" i="6"/>
  <c r="AX1108" i="3" s="1"/>
  <c r="N1126" i="6"/>
  <c r="T1126" i="6" s="1"/>
  <c r="M1126" i="6"/>
  <c r="Q1126" i="6" s="1"/>
  <c r="W1126" i="6" s="1"/>
  <c r="AB1126" i="6" s="1"/>
  <c r="N1124" i="6"/>
  <c r="T1124" i="6" s="1"/>
  <c r="M1124" i="6"/>
  <c r="Q1124" i="6" s="1"/>
  <c r="W1124" i="6" s="1"/>
  <c r="AB1124" i="6" s="1"/>
  <c r="F30" i="17"/>
  <c r="H23" i="17"/>
  <c r="F1110" i="3"/>
  <c r="G56" i="5" s="1"/>
  <c r="AB184" i="650"/>
  <c r="AC184" i="650" s="1"/>
  <c r="AD184" i="650" s="1"/>
  <c r="AE184" i="650" s="1"/>
  <c r="AF184" i="650" s="1"/>
  <c r="AG184" i="650" s="1"/>
  <c r="E1125" i="6" l="1"/>
  <c r="I1125" i="6"/>
  <c r="H30" i="17"/>
  <c r="H33" i="17" s="1"/>
  <c r="J1106" i="3"/>
  <c r="AI184" i="650"/>
  <c r="AK184" i="650"/>
  <c r="AL184" i="650" s="1"/>
  <c r="AM184" i="650" s="1"/>
  <c r="AN184" i="650" s="1"/>
  <c r="AO184" i="650" s="1"/>
  <c r="AP184" i="650" s="1"/>
  <c r="AQ184" i="650" s="1"/>
  <c r="AR184" i="650" s="1"/>
  <c r="AS184" i="650" s="1"/>
  <c r="AT184" i="650" s="1"/>
  <c r="AU184" i="650" s="1"/>
  <c r="AV184" i="650" s="1"/>
  <c r="AW184" i="650" s="1"/>
  <c r="J1110" i="3" l="1"/>
  <c r="J1121" i="3"/>
  <c r="J1208" i="3" s="1"/>
  <c r="J1238" i="3" s="1"/>
  <c r="AU1106" i="3"/>
  <c r="M1125" i="6"/>
  <c r="Q1125" i="6" s="1"/>
  <c r="W1125" i="6" s="1"/>
  <c r="AB1125" i="6" s="1"/>
  <c r="N1125" i="6"/>
  <c r="T1125" i="6" s="1"/>
  <c r="T1127" i="6" s="1"/>
  <c r="AL194" i="650"/>
  <c r="AU1110" i="3" l="1"/>
  <c r="Z56" i="5" s="1"/>
  <c r="AW1106" i="3"/>
  <c r="K56" i="5"/>
  <c r="J1127" i="3"/>
  <c r="J1214" i="3" s="1"/>
  <c r="J1244" i="3" s="1"/>
  <c r="AM194" i="650"/>
  <c r="K58" i="5" l="1"/>
  <c r="K74" i="5" s="1"/>
  <c r="AA56" i="5"/>
  <c r="G1123" i="6"/>
  <c r="AW1110" i="3"/>
  <c r="AB182" i="650"/>
  <c r="AC182" i="650" s="1"/>
  <c r="AB180" i="650"/>
  <c r="AC180" i="650" s="1"/>
  <c r="AB183" i="650"/>
  <c r="AC183" i="650" s="1"/>
  <c r="AN194" i="650"/>
  <c r="AB181" i="650"/>
  <c r="AC181" i="650" s="1"/>
  <c r="AB56" i="5" l="1"/>
  <c r="AB58" i="5" s="1"/>
  <c r="AA58" i="5"/>
  <c r="E1123" i="6"/>
  <c r="G1127" i="6"/>
  <c r="AX1110" i="3" s="1"/>
  <c r="I1123" i="6"/>
  <c r="AX1106" i="3"/>
  <c r="AD181" i="650"/>
  <c r="AC189" i="650"/>
  <c r="AD183" i="650"/>
  <c r="AC191" i="650"/>
  <c r="AD180" i="650"/>
  <c r="AC188" i="650"/>
  <c r="AD182" i="650"/>
  <c r="AC190" i="650"/>
  <c r="AB189" i="650"/>
  <c r="AB191" i="650"/>
  <c r="AB190" i="650"/>
  <c r="AB188" i="650"/>
  <c r="M1123" i="6" l="1"/>
  <c r="N1123" i="6"/>
  <c r="I1127" i="6"/>
  <c r="I54" i="2" s="1"/>
  <c r="E1127" i="6"/>
  <c r="G54" i="2"/>
  <c r="N54" i="2" s="1"/>
  <c r="AC194" i="650"/>
  <c r="AE180" i="650"/>
  <c r="AD188" i="650"/>
  <c r="AE183" i="650"/>
  <c r="AD191" i="650"/>
  <c r="AE181" i="650"/>
  <c r="AD189" i="650"/>
  <c r="AE182" i="650"/>
  <c r="AD190" i="650"/>
  <c r="AB194" i="650"/>
  <c r="AP194" i="650"/>
  <c r="E54" i="2" l="1"/>
  <c r="N1127" i="6"/>
  <c r="U1123" i="6"/>
  <c r="U1127" i="6" s="1"/>
  <c r="M54" i="2"/>
  <c r="M1127" i="6"/>
  <c r="Q1123" i="6"/>
  <c r="AF181" i="650"/>
  <c r="AE189" i="650"/>
  <c r="AF183" i="650"/>
  <c r="AE191" i="650"/>
  <c r="AD194" i="650"/>
  <c r="AF182" i="650"/>
  <c r="AE190" i="650"/>
  <c r="AF180" i="650"/>
  <c r="AE188" i="650"/>
  <c r="AQ194" i="650"/>
  <c r="Q1127" i="6" l="1"/>
  <c r="W1127" i="6" s="1"/>
  <c r="W1123" i="6"/>
  <c r="AB1123" i="6" s="1"/>
  <c r="AG181" i="650"/>
  <c r="AG189" i="650" s="1"/>
  <c r="AF189" i="650"/>
  <c r="AG180" i="650"/>
  <c r="AG188" i="650" s="1"/>
  <c r="AF188" i="650"/>
  <c r="AG182" i="650"/>
  <c r="AG190" i="650" s="1"/>
  <c r="AF190" i="650"/>
  <c r="AE194" i="650"/>
  <c r="AG183" i="650"/>
  <c r="AG191" i="650" s="1"/>
  <c r="AF191" i="650"/>
  <c r="AB1127" i="6" l="1"/>
  <c r="J54" i="2"/>
  <c r="L54" i="2" s="1"/>
  <c r="AJ181" i="650"/>
  <c r="AK179" i="4" s="1"/>
  <c r="AK187" i="4" s="1"/>
  <c r="AJ183" i="650"/>
  <c r="AK181" i="4" s="1"/>
  <c r="AK189" i="4" s="1"/>
  <c r="AJ182" i="650"/>
  <c r="AK180" i="4" s="1"/>
  <c r="AK188" i="4" s="1"/>
  <c r="AF194" i="650"/>
  <c r="AG194" i="650"/>
  <c r="AJ180" i="650"/>
  <c r="AK178" i="4" s="1"/>
  <c r="AL179" i="4"/>
  <c r="AL187" i="4" s="1"/>
  <c r="AK181" i="650"/>
  <c r="AL178" i="4"/>
  <c r="AK180" i="650"/>
  <c r="AL180" i="4"/>
  <c r="AL188" i="4" s="1"/>
  <c r="AK182" i="650"/>
  <c r="AK183" i="650"/>
  <c r="AL181" i="4"/>
  <c r="AL189" i="4" s="1"/>
  <c r="AJ184" i="650" l="1"/>
  <c r="AL180" i="650"/>
  <c r="AK191" i="650"/>
  <c r="AI191" i="650"/>
  <c r="AL182" i="4"/>
  <c r="AL186" i="4"/>
  <c r="AL183" i="650"/>
  <c r="AL181" i="650"/>
  <c r="AK190" i="650"/>
  <c r="AI190" i="650"/>
  <c r="AK189" i="650"/>
  <c r="AI189" i="650"/>
  <c r="AL182" i="650"/>
  <c r="AK188" i="650"/>
  <c r="AI188" i="650"/>
  <c r="AK186" i="4"/>
  <c r="AK182" i="4"/>
  <c r="AK192" i="4" l="1"/>
  <c r="AM180" i="650"/>
  <c r="AL188" i="650"/>
  <c r="AL190" i="650"/>
  <c r="AM182" i="650"/>
  <c r="AK194" i="650"/>
  <c r="AI194" i="650"/>
  <c r="AM181" i="650"/>
  <c r="AL189" i="650"/>
  <c r="AL191" i="650"/>
  <c r="AM183" i="650"/>
  <c r="AL192" i="4"/>
  <c r="AM191" i="650" l="1"/>
  <c r="AN183" i="650"/>
  <c r="AN181" i="650"/>
  <c r="AM189" i="650"/>
  <c r="AM190" i="650"/>
  <c r="AN182" i="650"/>
  <c r="AN180" i="650"/>
  <c r="AM188" i="650"/>
  <c r="AN188" i="650" l="1"/>
  <c r="AO180" i="650"/>
  <c r="AN191" i="650"/>
  <c r="AO183" i="650"/>
  <c r="AN189" i="650"/>
  <c r="AO181" i="650"/>
  <c r="AN190" i="650"/>
  <c r="AO182" i="650"/>
  <c r="AP182" i="650" l="1"/>
  <c r="AO190" i="650"/>
  <c r="AO188" i="650"/>
  <c r="AP180" i="650"/>
  <c r="AP183" i="650"/>
  <c r="AO191" i="650"/>
  <c r="AP181" i="650"/>
  <c r="AO189" i="650"/>
  <c r="AQ183" i="650" l="1"/>
  <c r="AP191" i="650"/>
  <c r="AP189" i="650"/>
  <c r="AQ181" i="650"/>
  <c r="AP188" i="650"/>
  <c r="AQ180" i="650"/>
  <c r="AP190" i="650"/>
  <c r="AQ182" i="650"/>
  <c r="AO194" i="650"/>
  <c r="AQ191" i="650" l="1"/>
  <c r="AR183" i="650"/>
  <c r="AQ189" i="650"/>
  <c r="AR181" i="650"/>
  <c r="AR182" i="650"/>
  <c r="AQ190" i="650"/>
  <c r="AQ188" i="650"/>
  <c r="AR180" i="650"/>
  <c r="AR191" i="650" l="1"/>
  <c r="AS183" i="650"/>
  <c r="AR190" i="650"/>
  <c r="AS182" i="650"/>
  <c r="AR188" i="650"/>
  <c r="AS180" i="650"/>
  <c r="AR189" i="650"/>
  <c r="AS181" i="650"/>
  <c r="AT181" i="650" l="1"/>
  <c r="AS189" i="650"/>
  <c r="AS191" i="650"/>
  <c r="AT183" i="650"/>
  <c r="AS188" i="650"/>
  <c r="AT180" i="650"/>
  <c r="AR194" i="650"/>
  <c r="AT182" i="650"/>
  <c r="AS190" i="650"/>
  <c r="AT190" i="650" l="1"/>
  <c r="AU182" i="650"/>
  <c r="AS194" i="650"/>
  <c r="AU181" i="650"/>
  <c r="AT189" i="650"/>
  <c r="AT191" i="650"/>
  <c r="AU183" i="650"/>
  <c r="AT188" i="650"/>
  <c r="AU180" i="650"/>
  <c r="AU189" i="650" l="1"/>
  <c r="AV181" i="650"/>
  <c r="AU191" i="650"/>
  <c r="AV183" i="650"/>
  <c r="AU190" i="650"/>
  <c r="AV182" i="650"/>
  <c r="AT194" i="650"/>
  <c r="AU188" i="650"/>
  <c r="AV180" i="650"/>
  <c r="AV188" i="650" l="1"/>
  <c r="AW180" i="650"/>
  <c r="BA180" i="650" s="1"/>
  <c r="AU194" i="650"/>
  <c r="AV189" i="650"/>
  <c r="AW181" i="650"/>
  <c r="BA181" i="650" s="1"/>
  <c r="AM179" i="4" s="1"/>
  <c r="AV190" i="650"/>
  <c r="AW182" i="650"/>
  <c r="BA182" i="650" s="1"/>
  <c r="AM180" i="4" s="1"/>
  <c r="AW183" i="650"/>
  <c r="BA183" i="650" s="1"/>
  <c r="AM181" i="4" s="1"/>
  <c r="AV191" i="650"/>
  <c r="AM188" i="4" l="1"/>
  <c r="AP188" i="4" s="1"/>
  <c r="AP180" i="4"/>
  <c r="AM189" i="4"/>
  <c r="AP189" i="4" s="1"/>
  <c r="AP181" i="4"/>
  <c r="AM187" i="4"/>
  <c r="AP187" i="4" s="1"/>
  <c r="AP179" i="4"/>
  <c r="AW191" i="650"/>
  <c r="AN181" i="4"/>
  <c r="AN189" i="4" s="1"/>
  <c r="AW189" i="650"/>
  <c r="AN179" i="4"/>
  <c r="AN187" i="4" s="1"/>
  <c r="AN178" i="4"/>
  <c r="AW188" i="650"/>
  <c r="AW190" i="650"/>
  <c r="AN180" i="4"/>
  <c r="AN188" i="4" s="1"/>
  <c r="AM178" i="4"/>
  <c r="AP178" i="4" s="1"/>
  <c r="BA184" i="650"/>
  <c r="AV194" i="650"/>
  <c r="AZ179" i="4" l="1"/>
  <c r="BA179" i="4" s="1"/>
  <c r="AQ179" i="4"/>
  <c r="F1114" i="3" s="1"/>
  <c r="AZ187" i="4"/>
  <c r="BA187" i="4" s="1"/>
  <c r="AQ187" i="4"/>
  <c r="AZ189" i="4"/>
  <c r="BA189" i="4" s="1"/>
  <c r="AQ189" i="4"/>
  <c r="AZ178" i="4"/>
  <c r="BA178" i="4" s="1"/>
  <c r="AQ178" i="4"/>
  <c r="F1113" i="3" s="1"/>
  <c r="AQ181" i="4"/>
  <c r="F1116" i="3" s="1"/>
  <c r="AZ181" i="4"/>
  <c r="BA181" i="4" s="1"/>
  <c r="AQ180" i="4"/>
  <c r="F1115" i="3" s="1"/>
  <c r="AZ180" i="4"/>
  <c r="BA180" i="4" s="1"/>
  <c r="AZ188" i="4"/>
  <c r="BA188" i="4" s="1"/>
  <c r="AQ188" i="4"/>
  <c r="AY190" i="650"/>
  <c r="AY277" i="650" s="1"/>
  <c r="AY188" i="650"/>
  <c r="AY275" i="650" s="1"/>
  <c r="AW194" i="650"/>
  <c r="AN182" i="4"/>
  <c r="AN186" i="4"/>
  <c r="AY191" i="650"/>
  <c r="AY278" i="650" s="1"/>
  <c r="AY189" i="650"/>
  <c r="AY276" i="650" s="1"/>
  <c r="AM186" i="4"/>
  <c r="AP186" i="4" s="1"/>
  <c r="AM182" i="4"/>
  <c r="AP182" i="4" s="1"/>
  <c r="AQ182" i="4" l="1"/>
  <c r="AZ182" i="4"/>
  <c r="BA182" i="4" s="1"/>
  <c r="F1123" i="3"/>
  <c r="AU1115" i="3"/>
  <c r="F1121" i="3"/>
  <c r="AU1113" i="3"/>
  <c r="F1117" i="3"/>
  <c r="AU1114" i="3"/>
  <c r="F1122" i="3"/>
  <c r="AZ186" i="4"/>
  <c r="BA186" i="4" s="1"/>
  <c r="AQ186" i="4"/>
  <c r="F1124" i="3"/>
  <c r="AU1116" i="3"/>
  <c r="AM192" i="4"/>
  <c r="AP192" i="4" s="1"/>
  <c r="AY194" i="650"/>
  <c r="AN192" i="4"/>
  <c r="AZ192" i="4" l="1"/>
  <c r="BA192" i="4" s="1"/>
  <c r="AQ192" i="4"/>
  <c r="AU1122" i="3"/>
  <c r="AW1114" i="3"/>
  <c r="F1127" i="3"/>
  <c r="G57" i="5"/>
  <c r="G58" i="5" s="1"/>
  <c r="AU1124" i="3"/>
  <c r="AW1116" i="3"/>
  <c r="AW1115" i="3"/>
  <c r="AU1123" i="3"/>
  <c r="AU1121" i="3"/>
  <c r="AW1113" i="3"/>
  <c r="AU1117" i="3"/>
  <c r="AB206" i="650"/>
  <c r="AC206" i="650" s="1"/>
  <c r="AC205" i="650" l="1"/>
  <c r="AD206" i="650"/>
  <c r="AW1124" i="3"/>
  <c r="G1133" i="6"/>
  <c r="G1131" i="6"/>
  <c r="AW1122" i="3"/>
  <c r="AU1127" i="3"/>
  <c r="Z57" i="5"/>
  <c r="Z58" i="5" s="1"/>
  <c r="AW1121" i="3"/>
  <c r="AW1117" i="3"/>
  <c r="G1130" i="6"/>
  <c r="AW1123" i="3"/>
  <c r="G1132" i="6"/>
  <c r="AB205" i="650"/>
  <c r="AD205" i="650" l="1"/>
  <c r="AE206" i="650"/>
  <c r="I1131" i="6"/>
  <c r="G1139" i="6"/>
  <c r="E1139" i="6" s="1"/>
  <c r="I1133" i="6"/>
  <c r="G1141" i="6"/>
  <c r="AW1127" i="3"/>
  <c r="G1140" i="6"/>
  <c r="I1132" i="6"/>
  <c r="G1138" i="6"/>
  <c r="I1130" i="6"/>
  <c r="G1134" i="6"/>
  <c r="AX1117" i="3" l="1"/>
  <c r="AE205" i="650"/>
  <c r="AF206" i="650"/>
  <c r="AX1122" i="3"/>
  <c r="N1130" i="6"/>
  <c r="I1138" i="6"/>
  <c r="I1134" i="6"/>
  <c r="M1130" i="6"/>
  <c r="N1133" i="6"/>
  <c r="I1141" i="6"/>
  <c r="M1133" i="6"/>
  <c r="G55" i="2"/>
  <c r="G56" i="2" s="1"/>
  <c r="G1144" i="6"/>
  <c r="E1144" i="6" s="1"/>
  <c r="AX1123" i="3"/>
  <c r="E1140" i="6"/>
  <c r="AX1124" i="3"/>
  <c r="E1141" i="6"/>
  <c r="AX1121" i="3"/>
  <c r="E1138" i="6"/>
  <c r="M1132" i="6"/>
  <c r="I1140" i="6"/>
  <c r="N1132" i="6"/>
  <c r="M1131" i="6"/>
  <c r="N1131" i="6"/>
  <c r="I1139" i="6"/>
  <c r="AF205" i="650" l="1"/>
  <c r="AG206" i="650"/>
  <c r="AX1127" i="3"/>
  <c r="N56" i="2"/>
  <c r="Q1133" i="6"/>
  <c r="M1141" i="6"/>
  <c r="N1141" i="6"/>
  <c r="T1133" i="6"/>
  <c r="T1141" i="6" s="1"/>
  <c r="N1140" i="6"/>
  <c r="T1132" i="6"/>
  <c r="T1140" i="6" s="1"/>
  <c r="I55" i="2"/>
  <c r="I56" i="2" s="1"/>
  <c r="E56" i="2" s="1"/>
  <c r="I1144" i="6"/>
  <c r="N1139" i="6"/>
  <c r="T1131" i="6"/>
  <c r="M1134" i="6"/>
  <c r="M1144" i="6" s="1"/>
  <c r="Q1130" i="6"/>
  <c r="M1138" i="6"/>
  <c r="M1139" i="6"/>
  <c r="Q1131" i="6"/>
  <c r="M1140" i="6"/>
  <c r="Q1132" i="6"/>
  <c r="U1130" i="6"/>
  <c r="N1134" i="6"/>
  <c r="N1144" i="6" s="1"/>
  <c r="N1138" i="6"/>
  <c r="AG205" i="650" l="1"/>
  <c r="AK206" i="650"/>
  <c r="AL206" i="650" s="1"/>
  <c r="AI206" i="650"/>
  <c r="U1134" i="6"/>
  <c r="U1144" i="6" s="1"/>
  <c r="U1138" i="6"/>
  <c r="T1134" i="6"/>
  <c r="T1144" i="6" s="1"/>
  <c r="T1139" i="6"/>
  <c r="Q1140" i="6"/>
  <c r="W1140" i="6" s="1"/>
  <c r="AB1140" i="6" s="1"/>
  <c r="W1132" i="6"/>
  <c r="AB1132" i="6" s="1"/>
  <c r="Q1141" i="6"/>
  <c r="W1141" i="6" s="1"/>
  <c r="AB1141" i="6" s="1"/>
  <c r="W1133" i="6"/>
  <c r="AB1133" i="6" s="1"/>
  <c r="Q1134" i="6"/>
  <c r="W1130" i="6"/>
  <c r="AB1130" i="6" s="1"/>
  <c r="Q1138" i="6"/>
  <c r="W1138" i="6" s="1"/>
  <c r="AB1138" i="6" s="1"/>
  <c r="W1131" i="6"/>
  <c r="AB1131" i="6" s="1"/>
  <c r="Q1139" i="6"/>
  <c r="W1139" i="6" s="1"/>
  <c r="AB1139" i="6" s="1"/>
  <c r="M56" i="2"/>
  <c r="AL205" i="650" l="1"/>
  <c r="AM206" i="650"/>
  <c r="AJ205" i="650"/>
  <c r="AK205" i="650"/>
  <c r="AL203" i="4"/>
  <c r="AL204" i="4" s="1"/>
  <c r="W1134" i="6"/>
  <c r="Q1144" i="6"/>
  <c r="W1144" i="6" s="1"/>
  <c r="AB1144" i="6" s="1"/>
  <c r="AJ206" i="650" l="1"/>
  <c r="AK203" i="4"/>
  <c r="AN206" i="650"/>
  <c r="AM205" i="650"/>
  <c r="AB1134" i="6"/>
  <c r="J55" i="2"/>
  <c r="AK204" i="4" l="1"/>
  <c r="AO206" i="650"/>
  <c r="AN205" i="650"/>
  <c r="L55" i="2"/>
  <c r="L56" i="2" s="1"/>
  <c r="J56" i="2"/>
  <c r="AP206" i="650" l="1"/>
  <c r="AO205" i="650"/>
  <c r="AP205" i="650" l="1"/>
  <c r="AQ206" i="650"/>
  <c r="AR206" i="650" l="1"/>
  <c r="AQ205" i="650"/>
  <c r="AS206" i="650" l="1"/>
  <c r="AR205" i="650"/>
  <c r="AS205" i="650" l="1"/>
  <c r="AT206" i="650"/>
  <c r="AU206" i="650" l="1"/>
  <c r="AT205" i="650"/>
  <c r="AU205" i="650" l="1"/>
  <c r="AV206" i="650"/>
  <c r="AW206" i="650" l="1"/>
  <c r="AV205" i="650"/>
  <c r="AB234" i="650"/>
  <c r="AC234" i="650" s="1"/>
  <c r="AD234" i="650" s="1"/>
  <c r="AE234" i="650" s="1"/>
  <c r="AF234" i="650" s="1"/>
  <c r="AG234" i="650" s="1"/>
  <c r="AY206" i="650" l="1"/>
  <c r="AW205" i="650"/>
  <c r="AI234" i="650"/>
  <c r="AK234" i="650"/>
  <c r="AL234" i="650" s="1"/>
  <c r="AM234" i="650" s="1"/>
  <c r="AN234" i="650" s="1"/>
  <c r="AO234" i="650" s="1"/>
  <c r="AP234" i="650" s="1"/>
  <c r="AQ234" i="650" s="1"/>
  <c r="AR234" i="650" s="1"/>
  <c r="AS234" i="650" s="1"/>
  <c r="AT234" i="650" s="1"/>
  <c r="AU234" i="650" s="1"/>
  <c r="AV234" i="650" s="1"/>
  <c r="AW234" i="650" s="1"/>
  <c r="AY234" i="650" s="1"/>
  <c r="BA205" i="650" l="1"/>
  <c r="AN203" i="4"/>
  <c r="AN204" i="4" s="1"/>
  <c r="AB232" i="650"/>
  <c r="AC232" i="650" s="1"/>
  <c r="AD232" i="650" s="1"/>
  <c r="AE232" i="650" s="1"/>
  <c r="AF232" i="650" s="1"/>
  <c r="AG232" i="650" s="1"/>
  <c r="AM203" i="4" l="1"/>
  <c r="BA206" i="650"/>
  <c r="AB233" i="650"/>
  <c r="AC233" i="650" s="1"/>
  <c r="AD233" i="650" s="1"/>
  <c r="AE233" i="650" s="1"/>
  <c r="AF233" i="650" s="1"/>
  <c r="AG233" i="650" s="1"/>
  <c r="AM204" i="4" l="1"/>
  <c r="AP204" i="4" s="1"/>
  <c r="AZ204" i="4" s="1"/>
  <c r="BA204" i="4" s="1"/>
  <c r="AP203" i="4"/>
  <c r="AJ232" i="650"/>
  <c r="AZ203" i="4" l="1"/>
  <c r="BA203" i="4" s="1"/>
  <c r="AQ203" i="4"/>
  <c r="AJ233" i="650"/>
  <c r="AJ234" i="650" s="1"/>
  <c r="AL230" i="4"/>
  <c r="AK232" i="650"/>
  <c r="AK230" i="4"/>
  <c r="AQ204" i="4" l="1"/>
  <c r="F1138" i="3"/>
  <c r="AK231" i="4"/>
  <c r="AK232" i="4" s="1"/>
  <c r="AL232" i="650"/>
  <c r="AL231" i="4"/>
  <c r="AL232" i="4" s="1"/>
  <c r="AK233" i="650"/>
  <c r="AU1138" i="3" l="1"/>
  <c r="F1139" i="3"/>
  <c r="G62" i="5" s="1"/>
  <c r="AA62" i="5" s="1"/>
  <c r="AM232" i="650"/>
  <c r="AL233" i="650"/>
  <c r="AU1139" i="3" l="1"/>
  <c r="Z62" i="5" s="1"/>
  <c r="AB62" i="5" s="1"/>
  <c r="AW1138" i="3"/>
  <c r="AN232" i="650"/>
  <c r="AM233" i="650"/>
  <c r="AW1139" i="3" l="1"/>
  <c r="AX1139" i="3" s="1"/>
  <c r="AX1138" i="3"/>
  <c r="AO232" i="650"/>
  <c r="AN233" i="650"/>
  <c r="AP232" i="650" l="1"/>
  <c r="AO233" i="650"/>
  <c r="AQ232" i="650" l="1"/>
  <c r="AP233" i="650"/>
  <c r="AQ233" i="650" l="1"/>
  <c r="AR232" i="650"/>
  <c r="AS232" i="650" l="1"/>
  <c r="AR233" i="650"/>
  <c r="AS233" i="650" l="1"/>
  <c r="AT232" i="650"/>
  <c r="AT233" i="650" l="1"/>
  <c r="AU232" i="650"/>
  <c r="AV232" i="650" l="1"/>
  <c r="AU233" i="650"/>
  <c r="AV233" i="650" l="1"/>
  <c r="AW232" i="650"/>
  <c r="BA232" i="650" s="1"/>
  <c r="AM230" i="4" l="1"/>
  <c r="AP230" i="4" s="1"/>
  <c r="AN230" i="4"/>
  <c r="AW233" i="650"/>
  <c r="BA233" i="650" s="1"/>
  <c r="BA234" i="650" s="1"/>
  <c r="AZ230" i="4" l="1"/>
  <c r="AQ230" i="4"/>
  <c r="F1165" i="3" s="1"/>
  <c r="AN231" i="4"/>
  <c r="AN232" i="4" s="1"/>
  <c r="AM231" i="4"/>
  <c r="AP231" i="4" s="1"/>
  <c r="AU1165" i="3" l="1"/>
  <c r="AQ231" i="4"/>
  <c r="F1166" i="3" s="1"/>
  <c r="AU1166" i="3" s="1"/>
  <c r="AW1166" i="3" s="1"/>
  <c r="G1183" i="6" s="1"/>
  <c r="AZ231" i="4"/>
  <c r="BA231" i="4" s="1"/>
  <c r="BA230" i="4"/>
  <c r="AM232" i="4"/>
  <c r="AP232" i="4" s="1"/>
  <c r="AQ232" i="4" s="1"/>
  <c r="AB245" i="650"/>
  <c r="AC245" i="650" s="1"/>
  <c r="AD245" i="650" s="1"/>
  <c r="AE245" i="650" s="1"/>
  <c r="AF245" i="650" s="1"/>
  <c r="AG245" i="650" s="1"/>
  <c r="BA232" i="4" l="1"/>
  <c r="AX1166" i="3"/>
  <c r="I1183" i="6"/>
  <c r="E1183" i="6"/>
  <c r="AZ232" i="4"/>
  <c r="F1167" i="3"/>
  <c r="G66" i="5" s="1"/>
  <c r="AA66" i="5" s="1"/>
  <c r="AU1167" i="3"/>
  <c r="Z66" i="5" s="1"/>
  <c r="AW1165" i="3"/>
  <c r="AI245" i="650"/>
  <c r="AK245" i="650"/>
  <c r="AL245" i="650" s="1"/>
  <c r="AM245" i="650" s="1"/>
  <c r="AN245" i="650" s="1"/>
  <c r="AO245" i="650" s="1"/>
  <c r="AP245" i="650" s="1"/>
  <c r="AQ245" i="650" s="1"/>
  <c r="AR245" i="650" s="1"/>
  <c r="AS245" i="650" s="1"/>
  <c r="AT245" i="650" s="1"/>
  <c r="AU245" i="650" s="1"/>
  <c r="AV245" i="650" s="1"/>
  <c r="AW245" i="650" s="1"/>
  <c r="AY245" i="650" s="1"/>
  <c r="AB66" i="5" l="1"/>
  <c r="N1183" i="6"/>
  <c r="M1183" i="6"/>
  <c r="AW1167" i="3"/>
  <c r="G1182" i="6"/>
  <c r="AB243" i="650"/>
  <c r="AC243" i="650" s="1"/>
  <c r="AD243" i="650" s="1"/>
  <c r="AE243" i="650" s="1"/>
  <c r="AF243" i="650" s="1"/>
  <c r="AG243" i="650" s="1"/>
  <c r="AB241" i="650"/>
  <c r="AC241" i="650" s="1"/>
  <c r="AD241" i="650" s="1"/>
  <c r="AE241" i="650" s="1"/>
  <c r="AF241" i="650" s="1"/>
  <c r="AG241" i="650" s="1"/>
  <c r="AB242" i="650"/>
  <c r="AC242" i="650" s="1"/>
  <c r="AD242" i="650" s="1"/>
  <c r="AE242" i="650" s="1"/>
  <c r="AF242" i="650" s="1"/>
  <c r="AG242" i="650" s="1"/>
  <c r="M1184" i="6" l="1"/>
  <c r="Q1183" i="6"/>
  <c r="W1183" i="6" s="1"/>
  <c r="AB1183" i="6" s="1"/>
  <c r="AX1165" i="3"/>
  <c r="G1184" i="6"/>
  <c r="E1182" i="6"/>
  <c r="I1182" i="6"/>
  <c r="T1183" i="6"/>
  <c r="N1184" i="6"/>
  <c r="AB244" i="650"/>
  <c r="AC244" i="650" s="1"/>
  <c r="AD244" i="650" s="1"/>
  <c r="AE244" i="650" s="1"/>
  <c r="AF244" i="650" s="1"/>
  <c r="AG244" i="650" s="1"/>
  <c r="AX1167" i="3" l="1"/>
  <c r="E1184" i="6"/>
  <c r="G65" i="2"/>
  <c r="I1184" i="6"/>
  <c r="I65" i="2" s="1"/>
  <c r="N1182" i="6"/>
  <c r="T1182" i="6" s="1"/>
  <c r="T1184" i="6" s="1"/>
  <c r="M1182" i="6"/>
  <c r="Q1182" i="6" s="1"/>
  <c r="AJ242" i="650"/>
  <c r="AJ241" i="650"/>
  <c r="N65" i="2" l="1"/>
  <c r="M65" i="2" s="1"/>
  <c r="E65" i="2"/>
  <c r="Q1184" i="6"/>
  <c r="W1184" i="6" s="1"/>
  <c r="W1182" i="6"/>
  <c r="AB1182" i="6" s="1"/>
  <c r="AJ244" i="650"/>
  <c r="AK240" i="4"/>
  <c r="AK243" i="650"/>
  <c r="AL241" i="4"/>
  <c r="AI243" i="650"/>
  <c r="AI268" i="650" s="1"/>
  <c r="AI277" i="650" s="1"/>
  <c r="AJ243" i="650"/>
  <c r="AL240" i="4"/>
  <c r="AK242" i="650"/>
  <c r="AI242" i="650"/>
  <c r="AI267" i="650" s="1"/>
  <c r="AI276" i="650" s="1"/>
  <c r="AK239" i="4"/>
  <c r="AI241" i="650"/>
  <c r="AI266" i="650" s="1"/>
  <c r="AI275" i="650" s="1"/>
  <c r="AK241" i="650"/>
  <c r="AL239" i="4"/>
  <c r="J65" i="2" l="1"/>
  <c r="L65" i="2" s="1"/>
  <c r="AB1184" i="6"/>
  <c r="AJ245" i="650"/>
  <c r="AL243" i="650"/>
  <c r="AL241" i="650"/>
  <c r="AK241" i="4"/>
  <c r="AI244" i="650"/>
  <c r="AI269" i="650" s="1"/>
  <c r="AI278" i="650" s="1"/>
  <c r="AK244" i="650"/>
  <c r="AL242" i="4"/>
  <c r="AL243" i="4" s="1"/>
  <c r="AL242" i="650"/>
  <c r="AK242" i="4"/>
  <c r="AK243" i="4" l="1"/>
  <c r="AM241" i="650"/>
  <c r="AM243" i="650"/>
  <c r="AM242" i="650"/>
  <c r="AL244" i="650"/>
  <c r="AN242" i="650" l="1"/>
  <c r="AN243" i="650"/>
  <c r="AM244" i="650"/>
  <c r="AN241" i="650"/>
  <c r="AN244" i="650" l="1"/>
  <c r="AO243" i="650"/>
  <c r="AO241" i="650"/>
  <c r="AO242" i="650"/>
  <c r="AP242" i="650" l="1"/>
  <c r="AP241" i="650"/>
  <c r="AO244" i="650"/>
  <c r="AP243" i="650"/>
  <c r="AQ241" i="650" l="1"/>
  <c r="AP244" i="650"/>
  <c r="AQ243" i="650"/>
  <c r="AQ242" i="650"/>
  <c r="AQ244" i="650" l="1"/>
  <c r="AR242" i="650"/>
  <c r="AR241" i="650"/>
  <c r="AR243" i="650"/>
  <c r="AS243" i="650" l="1"/>
  <c r="AS241" i="650"/>
  <c r="AR244" i="650"/>
  <c r="AS242" i="650"/>
  <c r="AT243" i="650" l="1"/>
  <c r="AT241" i="650"/>
  <c r="AT242" i="650"/>
  <c r="AS244" i="650"/>
  <c r="AU242" i="650" l="1"/>
  <c r="AT244" i="650"/>
  <c r="AU243" i="650"/>
  <c r="AU241" i="650"/>
  <c r="AU244" i="650" l="1"/>
  <c r="AV242" i="650"/>
  <c r="AV241" i="650"/>
  <c r="AV243" i="650"/>
  <c r="AW241" i="650" l="1"/>
  <c r="BA241" i="650" s="1"/>
  <c r="AW243" i="650"/>
  <c r="BA243" i="650" s="1"/>
  <c r="AV244" i="650"/>
  <c r="AW242" i="650"/>
  <c r="BA242" i="650" s="1"/>
  <c r="AW244" i="650" l="1"/>
  <c r="BA244" i="650" s="1"/>
  <c r="BA245" i="650" s="1"/>
  <c r="AM239" i="4"/>
  <c r="AP239" i="4" s="1"/>
  <c r="AM241" i="4"/>
  <c r="AP241" i="4" s="1"/>
  <c r="AN240" i="4"/>
  <c r="AN239" i="4"/>
  <c r="AN241" i="4"/>
  <c r="AM240" i="4"/>
  <c r="AP240" i="4" s="1"/>
  <c r="AQ239" i="4" l="1"/>
  <c r="AZ239" i="4"/>
  <c r="BA239" i="4" s="1"/>
  <c r="AQ241" i="4"/>
  <c r="F1176" i="3" s="1"/>
  <c r="AU1176" i="3" s="1"/>
  <c r="AW1176" i="3" s="1"/>
  <c r="AZ241" i="4"/>
  <c r="BA241" i="4" s="1"/>
  <c r="AZ240" i="4"/>
  <c r="BA240" i="4" s="1"/>
  <c r="AQ240" i="4"/>
  <c r="F1175" i="3" s="1"/>
  <c r="AU1175" i="3" s="1"/>
  <c r="AW1175" i="3" s="1"/>
  <c r="G1192" i="6" s="1"/>
  <c r="AM242" i="4"/>
  <c r="AP242" i="4" s="1"/>
  <c r="AN242" i="4"/>
  <c r="AN243" i="4" s="1"/>
  <c r="AQ242" i="4" l="1"/>
  <c r="F1177" i="3" s="1"/>
  <c r="AU1177" i="3" s="1"/>
  <c r="AW1177" i="3" s="1"/>
  <c r="AZ242" i="4"/>
  <c r="BA242" i="4" s="1"/>
  <c r="AX1175" i="3"/>
  <c r="I1192" i="6"/>
  <c r="E1192" i="6"/>
  <c r="G1193" i="6"/>
  <c r="AX1176" i="3" s="1"/>
  <c r="F1174" i="3"/>
  <c r="AM243" i="4"/>
  <c r="AP243" i="4" s="1"/>
  <c r="AZ243" i="4" s="1"/>
  <c r="BA243" i="4" s="1"/>
  <c r="AB217" i="650"/>
  <c r="AC217" i="650" s="1"/>
  <c r="AD217" i="650" s="1"/>
  <c r="AE217" i="650" s="1"/>
  <c r="AF217" i="650" s="1"/>
  <c r="AG217" i="650" s="1"/>
  <c r="AQ243" i="4" l="1"/>
  <c r="G1194" i="6"/>
  <c r="AX1177" i="3" s="1"/>
  <c r="AU1174" i="3"/>
  <c r="F1178" i="3"/>
  <c r="G68" i="5" s="1"/>
  <c r="AA68" i="5" s="1"/>
  <c r="M1192" i="6"/>
  <c r="Q1192" i="6" s="1"/>
  <c r="W1192" i="6" s="1"/>
  <c r="AB1192" i="6" s="1"/>
  <c r="N1192" i="6"/>
  <c r="T1192" i="6" s="1"/>
  <c r="E1193" i="6"/>
  <c r="I1193" i="6"/>
  <c r="AI217" i="650"/>
  <c r="AK217" i="650"/>
  <c r="AL217" i="650" s="1"/>
  <c r="AM217" i="650" s="1"/>
  <c r="AN217" i="650" s="1"/>
  <c r="AO217" i="650" s="1"/>
  <c r="AP217" i="650" s="1"/>
  <c r="AQ217" i="650" s="1"/>
  <c r="AR217" i="650" s="1"/>
  <c r="AS217" i="650" s="1"/>
  <c r="AT217" i="650" s="1"/>
  <c r="AU217" i="650" s="1"/>
  <c r="AV217" i="650" s="1"/>
  <c r="AW217" i="650" s="1"/>
  <c r="AY217" i="650" s="1"/>
  <c r="AB224" i="650"/>
  <c r="AC224" i="650" s="1"/>
  <c r="AD224" i="650" s="1"/>
  <c r="AE224" i="650" s="1"/>
  <c r="AF224" i="650" s="1"/>
  <c r="AG224" i="650" s="1"/>
  <c r="N1193" i="6" l="1"/>
  <c r="T1193" i="6" s="1"/>
  <c r="M1193" i="6"/>
  <c r="Q1193" i="6" s="1"/>
  <c r="W1193" i="6" s="1"/>
  <c r="AB1193" i="6" s="1"/>
  <c r="AW1174" i="3"/>
  <c r="AU1178" i="3"/>
  <c r="Z68" i="5" s="1"/>
  <c r="AB68" i="5" s="1"/>
  <c r="I1194" i="6"/>
  <c r="E1194" i="6"/>
  <c r="AK224" i="650"/>
  <c r="AL224" i="650" s="1"/>
  <c r="AM224" i="650" s="1"/>
  <c r="AN224" i="650" s="1"/>
  <c r="AO224" i="650" s="1"/>
  <c r="AP224" i="650" s="1"/>
  <c r="AQ224" i="650" s="1"/>
  <c r="AR224" i="650" s="1"/>
  <c r="AS224" i="650" s="1"/>
  <c r="AT224" i="650" s="1"/>
  <c r="AU224" i="650" s="1"/>
  <c r="AV224" i="650" s="1"/>
  <c r="AW224" i="650" s="1"/>
  <c r="AY224" i="650" s="1"/>
  <c r="AI224" i="650"/>
  <c r="G1191" i="6" l="1"/>
  <c r="AX1174" i="3" s="1"/>
  <c r="AW1178" i="3"/>
  <c r="M1194" i="6"/>
  <c r="Q1194" i="6" s="1"/>
  <c r="W1194" i="6" s="1"/>
  <c r="AB1194" i="6" s="1"/>
  <c r="N1194" i="6"/>
  <c r="T1194" i="6" s="1"/>
  <c r="T1195" i="6" s="1"/>
  <c r="I1191" i="6" l="1"/>
  <c r="E1191" i="6"/>
  <c r="G1195" i="6"/>
  <c r="E1195" i="6" l="1"/>
  <c r="G67" i="2"/>
  <c r="N1191" i="6"/>
  <c r="M1191" i="6"/>
  <c r="I1195" i="6"/>
  <c r="I67" i="2" s="1"/>
  <c r="AX1178" i="3"/>
  <c r="Q1191" i="6" l="1"/>
  <c r="M1195" i="6"/>
  <c r="U1191" i="6"/>
  <c r="U1195" i="6" s="1"/>
  <c r="N1195" i="6"/>
  <c r="N67" i="2"/>
  <c r="M67" i="2" s="1"/>
  <c r="E67" i="2"/>
  <c r="W1191" i="6" l="1"/>
  <c r="AB1191" i="6" s="1"/>
  <c r="Q1195" i="6"/>
  <c r="W1195" i="6" s="1"/>
  <c r="J67" i="2" l="1"/>
  <c r="L67" i="2" s="1"/>
  <c r="AB1195" i="6"/>
  <c r="H14" i="657" l="1"/>
  <c r="H20" i="657"/>
  <c r="R749" i="3"/>
  <c r="R716" i="3" l="1"/>
  <c r="R752" i="3" s="1"/>
  <c r="S30" i="5" l="1"/>
  <c r="R892" i="3"/>
  <c r="S34" i="5" l="1"/>
  <c r="R1220" i="3"/>
  <c r="R923" i="3"/>
  <c r="S39" i="5" l="1"/>
  <c r="R1223" i="3"/>
  <c r="R933" i="3"/>
  <c r="R936" i="3" l="1"/>
  <c r="S40" i="5"/>
  <c r="S43" i="5" s="1"/>
  <c r="S46" i="5" s="1"/>
  <c r="R1227" i="3"/>
  <c r="R1229" i="3" l="1"/>
  <c r="R939" i="3"/>
  <c r="R1234" i="3" l="1"/>
  <c r="S70" i="5" l="1"/>
  <c r="R1241" i="3"/>
  <c r="R1244" i="3"/>
  <c r="S71" i="5" l="1"/>
  <c r="S74" i="5" s="1"/>
  <c r="K428" i="139" l="1"/>
  <c r="L428" i="139" s="1"/>
  <c r="K121" i="139"/>
  <c r="L121" i="139" s="1"/>
  <c r="K89" i="139"/>
  <c r="L89" i="139" s="1"/>
  <c r="K324" i="139"/>
  <c r="L324" i="139" s="1"/>
  <c r="K100" i="139"/>
  <c r="L100" i="139" s="1"/>
  <c r="K110" i="139"/>
  <c r="L110" i="139" s="1"/>
  <c r="K63" i="139"/>
  <c r="L63" i="139" s="1"/>
  <c r="K99" i="139"/>
  <c r="L99" i="139" s="1"/>
  <c r="K83" i="139"/>
  <c r="L83" i="139" s="1"/>
  <c r="K54" i="139"/>
  <c r="L54" i="139" s="1"/>
  <c r="K183" i="139"/>
  <c r="L183" i="139" s="1"/>
  <c r="K349" i="139"/>
  <c r="L349" i="139" s="1"/>
  <c r="K35" i="139"/>
  <c r="L35" i="139" s="1"/>
  <c r="K45" i="139"/>
  <c r="L45" i="139" s="1"/>
  <c r="K129" i="139"/>
  <c r="K65" i="139"/>
  <c r="L65" i="139" s="1"/>
  <c r="K310" i="139"/>
  <c r="L310" i="139" s="1"/>
  <c r="K38" i="139"/>
  <c r="L38" i="139" s="1"/>
  <c r="K272" i="139"/>
  <c r="K90" i="139"/>
  <c r="L90" i="139" s="1"/>
  <c r="K353" i="139"/>
  <c r="L353" i="139" s="1"/>
  <c r="K25" i="139"/>
  <c r="K380" i="139"/>
  <c r="L380" i="139" s="1"/>
  <c r="K261" i="139"/>
  <c r="L261" i="139" s="1"/>
  <c r="K43" i="139"/>
  <c r="L43" i="139" s="1"/>
  <c r="K377" i="139"/>
  <c r="L377" i="139" s="1"/>
  <c r="K153" i="139"/>
  <c r="L153" i="139" s="1"/>
  <c r="K109" i="139"/>
  <c r="L109" i="139" s="1"/>
  <c r="K22" i="139"/>
  <c r="L22" i="139" s="1"/>
  <c r="K93" i="139"/>
  <c r="L93" i="139" s="1"/>
  <c r="K392" i="139"/>
  <c r="L392" i="139" s="1"/>
  <c r="K315" i="139"/>
  <c r="L315" i="139" s="1"/>
  <c r="K281" i="139"/>
  <c r="L281" i="139" s="1"/>
  <c r="K124" i="139"/>
  <c r="L124" i="139" s="1"/>
  <c r="K28" i="139"/>
  <c r="L28" i="139" s="1"/>
  <c r="K55" i="139"/>
  <c r="L55" i="139" s="1"/>
  <c r="K296" i="139"/>
  <c r="L296" i="139" s="1"/>
  <c r="K103" i="139"/>
  <c r="L103" i="139" s="1"/>
  <c r="K23" i="139"/>
  <c r="L23" i="139" s="1"/>
  <c r="K58" i="139"/>
  <c r="L58" i="139" s="1"/>
  <c r="K266" i="139"/>
  <c r="L266" i="139" s="1"/>
  <c r="K85" i="139"/>
  <c r="L85" i="139" s="1"/>
  <c r="K425" i="139"/>
  <c r="L425" i="139" s="1"/>
  <c r="K126" i="139"/>
  <c r="L126" i="139" s="1"/>
  <c r="K48" i="139"/>
  <c r="L48" i="139" s="1"/>
  <c r="K16" i="139"/>
  <c r="L16" i="139" s="1"/>
  <c r="K32" i="139"/>
  <c r="L32" i="139" s="1"/>
  <c r="K52" i="139"/>
  <c r="K47" i="139"/>
  <c r="K244" i="139"/>
  <c r="L244" i="139" s="1"/>
  <c r="K141" i="139"/>
  <c r="L141" i="139" s="1"/>
  <c r="K80" i="139"/>
  <c r="L80" i="139" s="1"/>
  <c r="K326" i="139"/>
  <c r="L326" i="139" s="1"/>
  <c r="K369" i="139"/>
  <c r="L369" i="139" s="1"/>
  <c r="K333" i="139"/>
  <c r="L333" i="139" s="1"/>
  <c r="K203" i="139"/>
  <c r="L203" i="139" s="1"/>
  <c r="K361" i="139"/>
  <c r="L361" i="139" s="1"/>
  <c r="K208" i="139"/>
  <c r="L208" i="139" s="1"/>
  <c r="K298" i="139"/>
  <c r="L298" i="139" s="1"/>
  <c r="K20" i="139"/>
  <c r="K79" i="139"/>
  <c r="L79" i="139" s="1"/>
  <c r="K295" i="139"/>
  <c r="L295" i="139" s="1"/>
  <c r="K276" i="139"/>
  <c r="L276" i="139" s="1"/>
  <c r="K305" i="139"/>
  <c r="L305" i="139" s="1"/>
  <c r="K60" i="139"/>
  <c r="L60" i="139" s="1"/>
  <c r="K337" i="139"/>
  <c r="L337" i="139" s="1"/>
  <c r="K122" i="139"/>
  <c r="K120" i="139"/>
  <c r="L120" i="139" s="1"/>
  <c r="K233" i="139"/>
  <c r="L233" i="139" s="1"/>
  <c r="K64" i="139"/>
  <c r="L64" i="139" s="1"/>
  <c r="K74" i="139"/>
  <c r="L74" i="139" s="1"/>
  <c r="K40" i="139"/>
  <c r="L40" i="139" s="1"/>
  <c r="K345" i="139"/>
  <c r="L345" i="139" s="1"/>
  <c r="K158" i="139"/>
  <c r="L158" i="139" s="1"/>
  <c r="K242" i="139"/>
  <c r="L242" i="139" s="1"/>
  <c r="K198" i="139"/>
  <c r="L198" i="139" s="1"/>
  <c r="K243" i="139"/>
  <c r="K251" i="139"/>
  <c r="L251" i="139" s="1"/>
  <c r="K273" i="139"/>
  <c r="K94" i="139"/>
  <c r="L94" i="139" s="1"/>
  <c r="K373" i="139"/>
  <c r="L373" i="139" s="1"/>
  <c r="K178" i="139"/>
  <c r="L178" i="139" s="1"/>
  <c r="K31" i="139"/>
  <c r="L31" i="139" s="1"/>
  <c r="K114" i="139"/>
  <c r="L114" i="139" s="1"/>
  <c r="K125" i="139"/>
  <c r="L125" i="139" s="1"/>
  <c r="K78" i="139"/>
  <c r="L78" i="139" s="1"/>
  <c r="K365" i="139"/>
  <c r="L365" i="139" s="1"/>
  <c r="K409" i="139"/>
  <c r="L409" i="139" s="1"/>
  <c r="K280" i="139"/>
  <c r="C25" i="20" s="1"/>
  <c r="K95" i="139"/>
  <c r="L95" i="139" s="1"/>
  <c r="K256" i="139"/>
  <c r="L256" i="139" s="1"/>
  <c r="K104" i="139"/>
  <c r="L104" i="139" s="1"/>
  <c r="K105" i="139"/>
  <c r="L105" i="139" s="1"/>
  <c r="K21" i="139"/>
  <c r="L21" i="139" s="1"/>
  <c r="K61" i="139"/>
  <c r="K119" i="139"/>
  <c r="L119" i="139" s="1"/>
  <c r="K401" i="139"/>
  <c r="L401" i="139" s="1"/>
  <c r="K34" i="139"/>
  <c r="L34" i="139" s="1"/>
  <c r="K112" i="139"/>
  <c r="K73" i="139"/>
  <c r="L73" i="139" s="1"/>
  <c r="K56" i="139"/>
  <c r="K275" i="139"/>
  <c r="L275" i="139" s="1"/>
  <c r="G783" i="3" s="1"/>
  <c r="AU783" i="3" s="1"/>
  <c r="AW783" i="3" s="1"/>
  <c r="K193" i="139"/>
  <c r="L193" i="139" s="1"/>
  <c r="K173" i="139"/>
  <c r="L173" i="139" s="1"/>
  <c r="K291" i="139"/>
  <c r="L291" i="139" s="1"/>
  <c r="K118" i="139"/>
  <c r="L118" i="139" s="1"/>
  <c r="K70" i="139"/>
  <c r="L70" i="139" s="1"/>
  <c r="K36" i="139"/>
  <c r="K430" i="139"/>
  <c r="L430" i="139" s="1"/>
  <c r="K223" i="139"/>
  <c r="L223" i="139" s="1"/>
  <c r="K357" i="139"/>
  <c r="L357" i="139" s="1"/>
  <c r="K49" i="139"/>
  <c r="L49" i="139" s="1"/>
  <c r="K228" i="139"/>
  <c r="L228" i="139" s="1"/>
  <c r="K253" i="139"/>
  <c r="K168" i="139"/>
  <c r="L168" i="139" s="1"/>
  <c r="K381" i="139"/>
  <c r="L381" i="139" s="1"/>
  <c r="K163" i="139"/>
  <c r="L163" i="139" s="1"/>
  <c r="K213" i="139"/>
  <c r="L213" i="139" s="1"/>
  <c r="K292" i="139"/>
  <c r="L292" i="139" s="1"/>
  <c r="K84" i="139"/>
  <c r="L84" i="139" s="1"/>
  <c r="K140" i="139"/>
  <c r="K132" i="139"/>
  <c r="K96" i="139"/>
  <c r="K211" i="139"/>
  <c r="L211" i="139" s="1"/>
  <c r="G719" i="3" s="1"/>
  <c r="K341" i="139"/>
  <c r="L341" i="139" s="1"/>
  <c r="K26" i="139"/>
  <c r="L26" i="139" s="1"/>
  <c r="K411" i="139"/>
  <c r="L411" i="139" s="1"/>
  <c r="K98" i="139"/>
  <c r="L98" i="139" s="1"/>
  <c r="K421" i="139"/>
  <c r="L421" i="139" s="1"/>
  <c r="K33" i="139"/>
  <c r="L33" i="139" s="1"/>
  <c r="K41" i="139"/>
  <c r="K77" i="139"/>
  <c r="K27" i="139"/>
  <c r="L27" i="139" s="1"/>
  <c r="K383" i="139"/>
  <c r="K18" i="139"/>
  <c r="L18" i="139" s="1"/>
  <c r="K107" i="139"/>
  <c r="K382" i="139"/>
  <c r="L382" i="139" s="1"/>
  <c r="K42" i="139"/>
  <c r="K17" i="139"/>
  <c r="L17" i="139" s="1"/>
  <c r="K81" i="139"/>
  <c r="K69" i="139"/>
  <c r="L69" i="139" s="1"/>
  <c r="K50" i="139"/>
  <c r="L50" i="139" s="1"/>
  <c r="K123" i="139"/>
  <c r="L123" i="139" s="1"/>
  <c r="K115" i="139"/>
  <c r="L115" i="139" s="1"/>
  <c r="K128" i="139"/>
  <c r="L128" i="139" s="1"/>
  <c r="K323" i="139"/>
  <c r="L323" i="139" s="1"/>
  <c r="K111" i="139"/>
  <c r="K188" i="139"/>
  <c r="L188" i="139" s="1"/>
  <c r="K72" i="139"/>
  <c r="K131" i="139"/>
  <c r="K400" i="139"/>
  <c r="L400" i="139" s="1"/>
  <c r="K286" i="139"/>
  <c r="L286" i="139" s="1"/>
  <c r="K86" i="139"/>
  <c r="K88" i="139"/>
  <c r="L88" i="139" s="1"/>
  <c r="K399" i="139"/>
  <c r="L399" i="139" s="1"/>
  <c r="K113" i="139"/>
  <c r="L113" i="139" s="1"/>
  <c r="K53" i="139"/>
  <c r="L53" i="139" s="1"/>
  <c r="K264" i="139"/>
  <c r="L264" i="139" s="1"/>
  <c r="G772" i="3" s="1"/>
  <c r="K218" i="139"/>
  <c r="L218" i="139" s="1"/>
  <c r="K238" i="139"/>
  <c r="L238" i="139" s="1"/>
  <c r="K68" i="139"/>
  <c r="L68" i="139" s="1"/>
  <c r="K108" i="139"/>
  <c r="L108" i="139" s="1"/>
  <c r="K423" i="139"/>
  <c r="L423" i="139" s="1"/>
  <c r="K285" i="139"/>
  <c r="K59" i="139"/>
  <c r="L59" i="139" s="1"/>
  <c r="K39" i="139"/>
  <c r="L39" i="139" s="1"/>
  <c r="K75" i="139"/>
  <c r="L75" i="139" s="1"/>
  <c r="K67" i="139"/>
  <c r="K71" i="139"/>
  <c r="K44" i="139"/>
  <c r="L44" i="139" s="1"/>
  <c r="K201" i="139"/>
  <c r="L201" i="139" s="1"/>
  <c r="G709" i="3" s="1"/>
  <c r="AU709" i="3" s="1"/>
  <c r="K279" i="139"/>
  <c r="E24" i="20" s="1"/>
  <c r="K148" i="139"/>
  <c r="L148" i="139" s="1"/>
  <c r="K57" i="139"/>
  <c r="K241" i="139"/>
  <c r="L241" i="139" s="1"/>
  <c r="K127" i="139"/>
  <c r="L127" i="139" s="1"/>
  <c r="K320" i="139"/>
  <c r="L320" i="139" s="1"/>
  <c r="K259" i="139"/>
  <c r="L259" i="139" s="1"/>
  <c r="G767" i="3" s="1"/>
  <c r="K271" i="139"/>
  <c r="L271" i="139" s="1"/>
  <c r="K252" i="139"/>
  <c r="K30" i="139"/>
  <c r="K106" i="139"/>
  <c r="K254" i="139"/>
  <c r="L254" i="139" s="1"/>
  <c r="G762" i="3" s="1"/>
  <c r="K408" i="139"/>
  <c r="L408" i="139" s="1"/>
  <c r="G920" i="3" s="1"/>
  <c r="AU920" i="3" s="1"/>
  <c r="AW920" i="3" s="1"/>
  <c r="K181" i="139"/>
  <c r="L181" i="139" s="1"/>
  <c r="G689" i="3" s="1"/>
  <c r="AU689" i="3" s="1"/>
  <c r="K51" i="139"/>
  <c r="K351" i="139"/>
  <c r="L351" i="139" s="1"/>
  <c r="G858" i="3" s="1"/>
  <c r="K274" i="139"/>
  <c r="L274" i="139" s="1"/>
  <c r="G782" i="3" s="1"/>
  <c r="AU782" i="3" s="1"/>
  <c r="K46" i="139"/>
  <c r="K417" i="139"/>
  <c r="L417" i="139" s="1"/>
  <c r="G929" i="3" s="1"/>
  <c r="AU929" i="3" s="1"/>
  <c r="AW929" i="3" s="1"/>
  <c r="K91" i="139"/>
  <c r="K206" i="139"/>
  <c r="L206" i="139" s="1"/>
  <c r="G714" i="3" s="1"/>
  <c r="K191" i="139"/>
  <c r="L191" i="139" s="1"/>
  <c r="G699" i="3" s="1"/>
  <c r="AU699" i="3" s="1"/>
  <c r="K176" i="139"/>
  <c r="L176" i="139" s="1"/>
  <c r="G684" i="3" s="1"/>
  <c r="K102" i="139"/>
  <c r="K87" i="139"/>
  <c r="K221" i="139"/>
  <c r="L221" i="139" s="1"/>
  <c r="G729" i="3" s="1"/>
  <c r="K171" i="139"/>
  <c r="L171" i="139" s="1"/>
  <c r="G679" i="3" s="1"/>
  <c r="K196" i="139"/>
  <c r="L196" i="139" s="1"/>
  <c r="G704" i="3" s="1"/>
  <c r="AU704" i="3" s="1"/>
  <c r="K161" i="139"/>
  <c r="L161" i="139" s="1"/>
  <c r="G669" i="3" s="1"/>
  <c r="K231" i="139"/>
  <c r="L231" i="139" s="1"/>
  <c r="G739" i="3" s="1"/>
  <c r="AU739" i="3" s="1"/>
  <c r="AW739" i="3" s="1"/>
  <c r="K82" i="139"/>
  <c r="K364" i="139"/>
  <c r="L364" i="139" s="1"/>
  <c r="G871" i="3" s="1"/>
  <c r="AU871" i="3" s="1"/>
  <c r="AW871" i="3" s="1"/>
  <c r="AX871" i="3" s="1"/>
  <c r="K92" i="139"/>
  <c r="K405" i="139"/>
  <c r="L405" i="139" s="1"/>
  <c r="G917" i="3" s="1"/>
  <c r="AU917" i="3" s="1"/>
  <c r="AW917" i="3" s="1"/>
  <c r="K97" i="139"/>
  <c r="K270" i="139"/>
  <c r="L270" i="139" s="1"/>
  <c r="G778" i="3" s="1"/>
  <c r="AU778" i="3" s="1"/>
  <c r="AW778" i="3" s="1"/>
  <c r="K371" i="139"/>
  <c r="L371" i="139" s="1"/>
  <c r="G878" i="3" s="1"/>
  <c r="AU878" i="3" s="1"/>
  <c r="AW878" i="3" s="1"/>
  <c r="K376" i="139"/>
  <c r="L376" i="139" s="1"/>
  <c r="G883" i="3" s="1"/>
  <c r="AU883" i="3" s="1"/>
  <c r="AW883" i="3" s="1"/>
  <c r="K290" i="139"/>
  <c r="L290" i="139" s="1"/>
  <c r="G798" i="3" s="1"/>
  <c r="K331" i="139"/>
  <c r="L331" i="139" s="1"/>
  <c r="G838" i="3" s="1"/>
  <c r="K260" i="139"/>
  <c r="L260" i="139" s="1"/>
  <c r="G768" i="3" s="1"/>
  <c r="AU768" i="3" s="1"/>
  <c r="AW768" i="3" s="1"/>
  <c r="K284" i="139"/>
  <c r="E29" i="20" s="1"/>
  <c r="K255" i="139"/>
  <c r="L255" i="139" s="1"/>
  <c r="G763" i="3" s="1"/>
  <c r="AU763" i="3" s="1"/>
  <c r="AW763" i="3" s="1"/>
  <c r="K407" i="139"/>
  <c r="L407" i="139" s="1"/>
  <c r="G919" i="3" s="1"/>
  <c r="AU919" i="3" s="1"/>
  <c r="AW919" i="3" s="1"/>
  <c r="K101" i="139"/>
  <c r="K157" i="139"/>
  <c r="L157" i="139" s="1"/>
  <c r="G665" i="3" s="1"/>
  <c r="AU665" i="3" s="1"/>
  <c r="AW665" i="3" s="1"/>
  <c r="K187" i="139"/>
  <c r="L187" i="139" s="1"/>
  <c r="G695" i="3" s="1"/>
  <c r="AU695" i="3" s="1"/>
  <c r="AW695" i="3" s="1"/>
  <c r="G696" i="6" s="1"/>
  <c r="K303" i="139"/>
  <c r="L303" i="139" s="1"/>
  <c r="G810" i="3" s="1"/>
  <c r="K192" i="139"/>
  <c r="L192" i="139" s="1"/>
  <c r="G700" i="3" s="1"/>
  <c r="AU700" i="3" s="1"/>
  <c r="AW700" i="3" s="1"/>
  <c r="K151" i="139"/>
  <c r="L151" i="139" s="1"/>
  <c r="G659" i="3" s="1"/>
  <c r="K391" i="139"/>
  <c r="L391" i="139" s="1"/>
  <c r="G903" i="3" s="1"/>
  <c r="AU903" i="3" s="1"/>
  <c r="AW903" i="3" s="1"/>
  <c r="K167" i="139"/>
  <c r="L167" i="139" s="1"/>
  <c r="G675" i="3" s="1"/>
  <c r="AU675" i="3" s="1"/>
  <c r="AW675" i="3" s="1"/>
  <c r="K309" i="139"/>
  <c r="L309" i="139" s="1"/>
  <c r="G816" i="3" s="1"/>
  <c r="AU816" i="3" s="1"/>
  <c r="AW816" i="3" s="1"/>
  <c r="K363" i="139"/>
  <c r="L363" i="139" s="1"/>
  <c r="G870" i="3" s="1"/>
  <c r="K227" i="139"/>
  <c r="L227" i="139" s="1"/>
  <c r="G735" i="3" s="1"/>
  <c r="AU735" i="3" s="1"/>
  <c r="AW735" i="3" s="1"/>
  <c r="G736" i="6" s="1"/>
  <c r="K359" i="139"/>
  <c r="L359" i="139" s="1"/>
  <c r="G866" i="3" s="1"/>
  <c r="K352" i="139"/>
  <c r="L352" i="139" s="1"/>
  <c r="G859" i="3" s="1"/>
  <c r="K37" i="139"/>
  <c r="K308" i="139"/>
  <c r="L308" i="139" s="1"/>
  <c r="G815" i="3" s="1"/>
  <c r="AU815" i="3" s="1"/>
  <c r="K406" i="139"/>
  <c r="L406" i="139" s="1"/>
  <c r="G918" i="3" s="1"/>
  <c r="AU918" i="3" s="1"/>
  <c r="AW918" i="3" s="1"/>
  <c r="G931" i="6" s="1"/>
  <c r="K146" i="139"/>
  <c r="L146" i="139" s="1"/>
  <c r="G654" i="3" s="1"/>
  <c r="AU654" i="3" s="1"/>
  <c r="AW654" i="3" s="1"/>
  <c r="K344" i="139"/>
  <c r="L344" i="139" s="1"/>
  <c r="G851" i="3" s="1"/>
  <c r="AU851" i="3" s="1"/>
  <c r="AW851" i="3" s="1"/>
  <c r="K367" i="139"/>
  <c r="L367" i="139" s="1"/>
  <c r="G874" i="3" s="1"/>
  <c r="K19" i="139"/>
  <c r="K249" i="139"/>
  <c r="L249" i="139" s="1"/>
  <c r="G757" i="3" s="1"/>
  <c r="K207" i="139"/>
  <c r="L207" i="139" s="1"/>
  <c r="G715" i="3" s="1"/>
  <c r="AU715" i="3" s="1"/>
  <c r="AW715" i="3" s="1"/>
  <c r="K76" i="139"/>
  <c r="K117" i="139"/>
  <c r="K368" i="139"/>
  <c r="L368" i="139" s="1"/>
  <c r="G875" i="3" s="1"/>
  <c r="AU875" i="3" s="1"/>
  <c r="AW875" i="3" s="1"/>
  <c r="K313" i="139"/>
  <c r="L313" i="139" s="1"/>
  <c r="G820" i="3" s="1"/>
  <c r="K133" i="139"/>
  <c r="K226" i="139"/>
  <c r="L226" i="139" s="1"/>
  <c r="G734" i="3" s="1"/>
  <c r="K236" i="139"/>
  <c r="L236" i="139" s="1"/>
  <c r="G744" i="3" s="1"/>
  <c r="K304" i="139"/>
  <c r="L304" i="139" s="1"/>
  <c r="G811" i="3" s="1"/>
  <c r="K269" i="139"/>
  <c r="L269" i="139" s="1"/>
  <c r="G777" i="3" s="1"/>
  <c r="K186" i="139"/>
  <c r="L186" i="139" s="1"/>
  <c r="G694" i="3" s="1"/>
  <c r="K340" i="139"/>
  <c r="L340" i="139" s="1"/>
  <c r="G847" i="3" s="1"/>
  <c r="AU847" i="3" s="1"/>
  <c r="AW847" i="3" s="1"/>
  <c r="K355" i="139"/>
  <c r="L355" i="139" s="1"/>
  <c r="G862" i="3" s="1"/>
  <c r="K217" i="139"/>
  <c r="L217" i="139" s="1"/>
  <c r="G725" i="3" s="1"/>
  <c r="AU725" i="3" s="1"/>
  <c r="AW725" i="3" s="1"/>
  <c r="G726" i="6" s="1"/>
  <c r="K415" i="139"/>
  <c r="L415" i="139" s="1"/>
  <c r="G927" i="3" s="1"/>
  <c r="AU927" i="3" s="1"/>
  <c r="AW927" i="3" s="1"/>
  <c r="K162" i="139"/>
  <c r="L162" i="139" s="1"/>
  <c r="G670" i="3" s="1"/>
  <c r="AU670" i="3" s="1"/>
  <c r="AW670" i="3" s="1"/>
  <c r="K356" i="139"/>
  <c r="L356" i="139" s="1"/>
  <c r="G863" i="3" s="1"/>
  <c r="AU863" i="3" s="1"/>
  <c r="AW863" i="3" s="1"/>
  <c r="K360" i="139"/>
  <c r="L360" i="139" s="1"/>
  <c r="G867" i="3" s="1"/>
  <c r="AU867" i="3" s="1"/>
  <c r="AW867" i="3" s="1"/>
  <c r="K314" i="139"/>
  <c r="L314" i="139" s="1"/>
  <c r="G821" i="3" s="1"/>
  <c r="AU821" i="3" s="1"/>
  <c r="AW821" i="3" s="1"/>
  <c r="K419" i="139"/>
  <c r="L419" i="139" s="1"/>
  <c r="G931" i="3" s="1"/>
  <c r="AU931" i="3" s="1"/>
  <c r="AW931" i="3" s="1"/>
  <c r="K318" i="139"/>
  <c r="L318" i="139" s="1"/>
  <c r="G825" i="3" s="1"/>
  <c r="K29" i="139"/>
  <c r="K177" i="139"/>
  <c r="L177" i="139" s="1"/>
  <c r="G685" i="3" s="1"/>
  <c r="AU685" i="3" s="1"/>
  <c r="AW685" i="3" s="1"/>
  <c r="K319" i="139"/>
  <c r="L319" i="139" s="1"/>
  <c r="G826" i="3" s="1"/>
  <c r="AU826" i="3" s="1"/>
  <c r="AW826" i="3" s="1"/>
  <c r="G827" i="6" s="1"/>
  <c r="K413" i="139"/>
  <c r="L413" i="139" s="1"/>
  <c r="G925" i="3" s="1"/>
  <c r="AU925" i="3" s="1"/>
  <c r="AW925" i="3" s="1"/>
  <c r="K182" i="139"/>
  <c r="L182" i="139" s="1"/>
  <c r="G690" i="3" s="1"/>
  <c r="AU690" i="3" s="1"/>
  <c r="AW690" i="3" s="1"/>
  <c r="K212" i="139"/>
  <c r="L212" i="139" s="1"/>
  <c r="G720" i="3" s="1"/>
  <c r="AU720" i="3" s="1"/>
  <c r="AW720" i="3" s="1"/>
  <c r="K398" i="139"/>
  <c r="L398" i="139" s="1"/>
  <c r="G910" i="3" s="1"/>
  <c r="AU910" i="3" s="1"/>
  <c r="AW910" i="3" s="1"/>
  <c r="K336" i="139"/>
  <c r="L336" i="139" s="1"/>
  <c r="G843" i="3" s="1"/>
  <c r="AU843" i="3" s="1"/>
  <c r="AW843" i="3" s="1"/>
  <c r="K396" i="139"/>
  <c r="L396" i="139" s="1"/>
  <c r="G908" i="3" s="1"/>
  <c r="AU908" i="3" s="1"/>
  <c r="AW908" i="3" s="1"/>
  <c r="K232" i="139"/>
  <c r="L232" i="139" s="1"/>
  <c r="G740" i="3" s="1"/>
  <c r="AU740" i="3" s="1"/>
  <c r="AW740" i="3" s="1"/>
  <c r="K375" i="139"/>
  <c r="L375" i="139" s="1"/>
  <c r="G882" i="3" s="1"/>
  <c r="K216" i="139"/>
  <c r="L216" i="139" s="1"/>
  <c r="G724" i="3" s="1"/>
  <c r="K62" i="139"/>
  <c r="K250" i="139"/>
  <c r="L250" i="139" s="1"/>
  <c r="G758" i="3" s="1"/>
  <c r="AU758" i="3" s="1"/>
  <c r="AW758" i="3" s="1"/>
  <c r="K147" i="139"/>
  <c r="L147" i="139" s="1"/>
  <c r="G655" i="3" s="1"/>
  <c r="K66" i="139"/>
  <c r="K347" i="139"/>
  <c r="L347" i="139" s="1"/>
  <c r="G854" i="3" s="1"/>
  <c r="K390" i="139"/>
  <c r="L390" i="139" s="1"/>
  <c r="G902" i="3" s="1"/>
  <c r="AU902" i="3" s="1"/>
  <c r="AW902" i="3" s="1"/>
  <c r="K138" i="139"/>
  <c r="L138" i="139" s="1"/>
  <c r="G646" i="3" s="1"/>
  <c r="K397" i="139"/>
  <c r="L397" i="139" s="1"/>
  <c r="G909" i="3" s="1"/>
  <c r="AU909" i="3" s="1"/>
  <c r="AW909" i="3" s="1"/>
  <c r="AX909" i="3" s="1"/>
  <c r="K343" i="139"/>
  <c r="L343" i="139" s="1"/>
  <c r="G850" i="3" s="1"/>
  <c r="K335" i="139"/>
  <c r="L335" i="139" s="1"/>
  <c r="G842" i="3" s="1"/>
  <c r="K339" i="139"/>
  <c r="L339" i="139" s="1"/>
  <c r="G846" i="3" s="1"/>
  <c r="AU846" i="3" s="1"/>
  <c r="AW846" i="3" s="1"/>
  <c r="K130" i="139"/>
  <c r="K388" i="139"/>
  <c r="L388" i="139" s="1"/>
  <c r="G900" i="3" s="1"/>
  <c r="AU900" i="3" s="1"/>
  <c r="K395" i="139"/>
  <c r="L395" i="139" s="1"/>
  <c r="G907" i="3" s="1"/>
  <c r="K156" i="139"/>
  <c r="L156" i="139" s="1"/>
  <c r="G664" i="3" s="1"/>
  <c r="AU664" i="3" s="1"/>
  <c r="K265" i="139"/>
  <c r="L265" i="139" s="1"/>
  <c r="G773" i="3" s="1"/>
  <c r="AU773" i="3" s="1"/>
  <c r="AW773" i="3" s="1"/>
  <c r="K237" i="139"/>
  <c r="L237" i="139" s="1"/>
  <c r="G745" i="3" s="1"/>
  <c r="AU745" i="3" s="1"/>
  <c r="AW745" i="3" s="1"/>
  <c r="G746" i="6" s="1"/>
  <c r="K372" i="139"/>
  <c r="L372" i="139" s="1"/>
  <c r="G879" i="3" s="1"/>
  <c r="AU879" i="3" s="1"/>
  <c r="AW879" i="3" s="1"/>
  <c r="K389" i="139"/>
  <c r="L389" i="139" s="1"/>
  <c r="G901" i="3" s="1"/>
  <c r="AU901" i="3" s="1"/>
  <c r="AW901" i="3" s="1"/>
  <c r="K166" i="139"/>
  <c r="L166" i="139" s="1"/>
  <c r="G674" i="3" s="1"/>
  <c r="K348" i="139"/>
  <c r="L348" i="139" s="1"/>
  <c r="G855" i="3" s="1"/>
  <c r="AU855" i="3" s="1"/>
  <c r="AW855" i="3" s="1"/>
  <c r="K222" i="139"/>
  <c r="L222" i="139" s="1"/>
  <c r="G730" i="3" s="1"/>
  <c r="AU730" i="3" s="1"/>
  <c r="AW730" i="3" s="1"/>
  <c r="K172" i="139"/>
  <c r="L172" i="139" s="1"/>
  <c r="G680" i="3" s="1"/>
  <c r="AU680" i="3" s="1"/>
  <c r="AW680" i="3" s="1"/>
  <c r="G681" i="6" s="1"/>
  <c r="K139" i="139"/>
  <c r="L139" i="139" s="1"/>
  <c r="G647" i="3" s="1"/>
  <c r="AU647" i="3" s="1"/>
  <c r="AW647" i="3" s="1"/>
  <c r="G648" i="6" s="1"/>
  <c r="K152" i="139"/>
  <c r="L152" i="139" s="1"/>
  <c r="G660" i="3" s="1"/>
  <c r="AU660" i="3" s="1"/>
  <c r="AW660" i="3" s="1"/>
  <c r="K197" i="139"/>
  <c r="L197" i="139" s="1"/>
  <c r="G705" i="3" s="1"/>
  <c r="AU705" i="3" s="1"/>
  <c r="AW705" i="3" s="1"/>
  <c r="K202" i="139"/>
  <c r="L202" i="139" s="1"/>
  <c r="G710" i="3" s="1"/>
  <c r="AU710" i="3" s="1"/>
  <c r="AW710" i="3" s="1"/>
  <c r="K332" i="139"/>
  <c r="L332" i="139" s="1"/>
  <c r="G839" i="3" s="1"/>
  <c r="AU839" i="3" s="1"/>
  <c r="AW839" i="3" s="1"/>
  <c r="L383" i="139" l="1"/>
  <c r="F12" i="667"/>
  <c r="G746" i="3"/>
  <c r="G784" i="6"/>
  <c r="AX783" i="3" s="1"/>
  <c r="AW782" i="3"/>
  <c r="AU784" i="3"/>
  <c r="L284" i="139"/>
  <c r="G792" i="3" s="1"/>
  <c r="AU666" i="3"/>
  <c r="D29" i="20"/>
  <c r="G774" i="3"/>
  <c r="G676" i="3"/>
  <c r="AU744" i="3"/>
  <c r="AU746" i="3" s="1"/>
  <c r="G649" i="3"/>
  <c r="H29" i="5" s="1"/>
  <c r="AA29" i="5" s="1"/>
  <c r="AU646" i="3"/>
  <c r="AW646" i="3" s="1"/>
  <c r="G647" i="6" s="1"/>
  <c r="G686" i="3"/>
  <c r="AU684" i="3"/>
  <c r="AW684" i="3" s="1"/>
  <c r="D24" i="20"/>
  <c r="G844" i="3"/>
  <c r="AU844" i="3" s="1"/>
  <c r="AW844" i="3" s="1"/>
  <c r="G846" i="6" s="1"/>
  <c r="E846" i="6" s="1"/>
  <c r="G784" i="3"/>
  <c r="AU772" i="3"/>
  <c r="AU774" i="3" s="1"/>
  <c r="K431" i="139"/>
  <c r="L431" i="139" s="1"/>
  <c r="L131" i="139"/>
  <c r="G864" i="3"/>
  <c r="AU864" i="3" s="1"/>
  <c r="AW864" i="3" s="1"/>
  <c r="G696" i="3"/>
  <c r="G731" i="6"/>
  <c r="G915" i="6"/>
  <c r="AX902" i="3" s="1"/>
  <c r="G840" i="6"/>
  <c r="E681" i="6"/>
  <c r="I681" i="6"/>
  <c r="AU724" i="3"/>
  <c r="G726" i="3"/>
  <c r="AX910" i="3"/>
  <c r="G923" i="6"/>
  <c r="G938" i="6"/>
  <c r="AX925" i="3" s="1"/>
  <c r="G822" i="3"/>
  <c r="AU820" i="3"/>
  <c r="G855" i="6"/>
  <c r="AX851" i="3" s="1"/>
  <c r="G676" i="6"/>
  <c r="AU659" i="3"/>
  <c r="G661" i="3"/>
  <c r="G830" i="3"/>
  <c r="AU810" i="3"/>
  <c r="G812" i="3"/>
  <c r="G932" i="6"/>
  <c r="AX919" i="3" s="1"/>
  <c r="G886" i="3"/>
  <c r="AU838" i="3"/>
  <c r="AW838" i="3" s="1"/>
  <c r="G840" i="3"/>
  <c r="AU840" i="3" s="1"/>
  <c r="AW840" i="3" s="1"/>
  <c r="G889" i="6"/>
  <c r="AW921" i="3"/>
  <c r="G930" i="6"/>
  <c r="G706" i="6"/>
  <c r="AX705" i="3" s="1"/>
  <c r="G914" i="6"/>
  <c r="AX901" i="3" s="1"/>
  <c r="G849" i="6"/>
  <c r="AU850" i="3"/>
  <c r="AW850" i="3" s="1"/>
  <c r="G852" i="3"/>
  <c r="AU852" i="3" s="1"/>
  <c r="AW852" i="3" s="1"/>
  <c r="AU854" i="3"/>
  <c r="AW854" i="3" s="1"/>
  <c r="G856" i="3"/>
  <c r="AU856" i="3" s="1"/>
  <c r="AW856" i="3" s="1"/>
  <c r="AX908" i="3"/>
  <c r="G921" i="6"/>
  <c r="G721" i="6"/>
  <c r="AX720" i="3" s="1"/>
  <c r="G822" i="6"/>
  <c r="G940" i="6"/>
  <c r="AX927" i="3" s="1"/>
  <c r="G885" i="6"/>
  <c r="AX875" i="3" s="1"/>
  <c r="G872" i="3"/>
  <c r="AU872" i="3" s="1"/>
  <c r="AW872" i="3" s="1"/>
  <c r="AU870" i="3"/>
  <c r="AW870" i="3" s="1"/>
  <c r="E696" i="6"/>
  <c r="I696" i="6"/>
  <c r="G666" i="6"/>
  <c r="AX665" i="3" s="1"/>
  <c r="G711" i="6"/>
  <c r="AX710" i="3" s="1"/>
  <c r="G661" i="6"/>
  <c r="AX660" i="3" s="1"/>
  <c r="AU904" i="3"/>
  <c r="AW900" i="3"/>
  <c r="G845" i="6"/>
  <c r="G691" i="6"/>
  <c r="AX690" i="3" s="1"/>
  <c r="G827" i="3"/>
  <c r="AU825" i="3"/>
  <c r="G850" i="6"/>
  <c r="AX847" i="3" s="1"/>
  <c r="G655" i="6"/>
  <c r="AX654" i="3" s="1"/>
  <c r="AU859" i="3"/>
  <c r="AW859" i="3" s="1"/>
  <c r="G887" i="3"/>
  <c r="AU887" i="3" s="1"/>
  <c r="AW887" i="3" s="1"/>
  <c r="E736" i="6"/>
  <c r="I736" i="6"/>
  <c r="G817" i="6"/>
  <c r="G779" i="6"/>
  <c r="AU701" i="3"/>
  <c r="AW699" i="3"/>
  <c r="G750" i="3"/>
  <c r="AU655" i="3"/>
  <c r="AU656" i="3" s="1"/>
  <c r="G686" i="6"/>
  <c r="G944" i="6"/>
  <c r="AX931" i="3" s="1"/>
  <c r="G875" i="6"/>
  <c r="G671" i="6"/>
  <c r="G716" i="6"/>
  <c r="AX715" i="3" s="1"/>
  <c r="G876" i="3"/>
  <c r="AU876" i="3" s="1"/>
  <c r="AW876" i="3" s="1"/>
  <c r="AU874" i="3"/>
  <c r="AW874" i="3" s="1"/>
  <c r="AU817" i="3"/>
  <c r="AW815" i="3"/>
  <c r="G764" i="6"/>
  <c r="G769" i="6"/>
  <c r="G895" i="6"/>
  <c r="AX883" i="3" s="1"/>
  <c r="AU706" i="3"/>
  <c r="AW704" i="3"/>
  <c r="E746" i="6"/>
  <c r="I746" i="6"/>
  <c r="G890" i="6"/>
  <c r="AU741" i="3"/>
  <c r="G774" i="6"/>
  <c r="G764" i="3"/>
  <c r="AU762" i="3"/>
  <c r="AU711" i="3"/>
  <c r="AW709" i="3"/>
  <c r="AX647" i="3"/>
  <c r="G884" i="3"/>
  <c r="AU884" i="3" s="1"/>
  <c r="AW884" i="3" s="1"/>
  <c r="AX826" i="3"/>
  <c r="AX745" i="3"/>
  <c r="G779" i="3"/>
  <c r="AU777" i="3"/>
  <c r="AU757" i="3"/>
  <c r="G759" i="3"/>
  <c r="AX918" i="3"/>
  <c r="AU866" i="3"/>
  <c r="AW866" i="3" s="1"/>
  <c r="G868" i="3"/>
  <c r="AU868" i="3" s="1"/>
  <c r="AW868" i="3" s="1"/>
  <c r="AX695" i="3"/>
  <c r="AU798" i="3"/>
  <c r="G799" i="3"/>
  <c r="AW741" i="3"/>
  <c r="G740" i="6"/>
  <c r="G681" i="3"/>
  <c r="AU679" i="3"/>
  <c r="G731" i="3"/>
  <c r="AU729" i="3"/>
  <c r="G942" i="6"/>
  <c r="G860" i="3"/>
  <c r="AU860" i="3" s="1"/>
  <c r="AW860" i="3" s="1"/>
  <c r="G933" i="6"/>
  <c r="AX920" i="3" s="1"/>
  <c r="G769" i="3"/>
  <c r="AU767" i="3"/>
  <c r="G921" i="3"/>
  <c r="G666" i="3"/>
  <c r="AX680" i="3"/>
  <c r="G711" i="3"/>
  <c r="G848" i="3"/>
  <c r="AU848" i="3" s="1"/>
  <c r="AW848" i="3" s="1"/>
  <c r="G922" i="6"/>
  <c r="AU842" i="3"/>
  <c r="AW842" i="3" s="1"/>
  <c r="G656" i="3"/>
  <c r="AU694" i="3"/>
  <c r="G880" i="6"/>
  <c r="G691" i="3"/>
  <c r="G749" i="3"/>
  <c r="D30" i="20"/>
  <c r="E30" i="20"/>
  <c r="C30" i="20"/>
  <c r="L285" i="139"/>
  <c r="G793" i="3" s="1"/>
  <c r="G741" i="3"/>
  <c r="G701" i="3"/>
  <c r="E648" i="6"/>
  <c r="I648" i="6"/>
  <c r="E726" i="6"/>
  <c r="I726" i="6"/>
  <c r="G741" i="6"/>
  <c r="G916" i="6"/>
  <c r="E827" i="6"/>
  <c r="I827" i="6"/>
  <c r="E931" i="6"/>
  <c r="I931" i="6"/>
  <c r="AU921" i="3"/>
  <c r="Z38" i="5" s="1"/>
  <c r="G880" i="3"/>
  <c r="AU880" i="3" s="1"/>
  <c r="AW880" i="3" s="1"/>
  <c r="G671" i="3"/>
  <c r="AU669" i="3"/>
  <c r="G716" i="3"/>
  <c r="AU714" i="3"/>
  <c r="AU691" i="3"/>
  <c r="AW689" i="3"/>
  <c r="G911" i="3"/>
  <c r="AU907" i="3"/>
  <c r="G803" i="3"/>
  <c r="AX725" i="3"/>
  <c r="G831" i="3"/>
  <c r="AU811" i="3"/>
  <c r="G736" i="3"/>
  <c r="AU734" i="3"/>
  <c r="AX735" i="3"/>
  <c r="G701" i="6"/>
  <c r="AX700" i="3" s="1"/>
  <c r="G870" i="6"/>
  <c r="G860" i="6"/>
  <c r="AU674" i="3"/>
  <c r="AW664" i="3"/>
  <c r="G904" i="3"/>
  <c r="G759" i="6"/>
  <c r="AX758" i="3" s="1"/>
  <c r="AU862" i="3"/>
  <c r="AW862" i="3" s="1"/>
  <c r="G817" i="3"/>
  <c r="AU882" i="3"/>
  <c r="AW882" i="3" s="1"/>
  <c r="G706" i="3"/>
  <c r="AU858" i="3"/>
  <c r="AW858" i="3" s="1"/>
  <c r="G721" i="3"/>
  <c r="AU719" i="3"/>
  <c r="C29" i="20"/>
  <c r="C24" i="20"/>
  <c r="C26" i="20" s="1"/>
  <c r="L279" i="139"/>
  <c r="G787" i="3" s="1"/>
  <c r="L280" i="139"/>
  <c r="G788" i="3" s="1"/>
  <c r="D25" i="20"/>
  <c r="E25" i="20"/>
  <c r="F13" i="667" l="1"/>
  <c r="F28" i="667" s="1"/>
  <c r="F27" i="667"/>
  <c r="G24" i="20"/>
  <c r="L787" i="3" s="1"/>
  <c r="AU787" i="3" s="1"/>
  <c r="G29" i="20"/>
  <c r="L792" i="3" s="1"/>
  <c r="AW772" i="3"/>
  <c r="AW774" i="3" s="1"/>
  <c r="AW744" i="3"/>
  <c r="AW746" i="3" s="1"/>
  <c r="AU686" i="3"/>
  <c r="D31" i="20"/>
  <c r="G794" i="3"/>
  <c r="E26" i="20"/>
  <c r="G25" i="20"/>
  <c r="L788" i="3" s="1"/>
  <c r="C31" i="20"/>
  <c r="C33" i="20" s="1"/>
  <c r="E31" i="20"/>
  <c r="G30" i="20"/>
  <c r="L793" i="3" s="1"/>
  <c r="G783" i="6"/>
  <c r="AX782" i="3" s="1"/>
  <c r="AW784" i="3"/>
  <c r="E784" i="6"/>
  <c r="I784" i="6"/>
  <c r="G871" i="6"/>
  <c r="E871" i="6" s="1"/>
  <c r="D26" i="20"/>
  <c r="G913" i="3"/>
  <c r="AU913" i="3" s="1"/>
  <c r="AW649" i="3"/>
  <c r="AU649" i="3"/>
  <c r="Z29" i="5" s="1"/>
  <c r="AB29" i="5" s="1"/>
  <c r="E666" i="6"/>
  <c r="I666" i="6"/>
  <c r="G881" i="6"/>
  <c r="E881" i="6" s="1"/>
  <c r="G859" i="6"/>
  <c r="G854" i="6"/>
  <c r="G841" i="6"/>
  <c r="E841" i="6" s="1"/>
  <c r="I932" i="6"/>
  <c r="E932" i="6"/>
  <c r="E923" i="6"/>
  <c r="I923" i="6"/>
  <c r="N681" i="6"/>
  <c r="T681" i="6" s="1"/>
  <c r="M681" i="6"/>
  <c r="Q681" i="6" s="1"/>
  <c r="W681" i="6" s="1"/>
  <c r="AB681" i="6" s="1"/>
  <c r="I915" i="6"/>
  <c r="E915" i="6"/>
  <c r="E731" i="6"/>
  <c r="I731" i="6"/>
  <c r="AU721" i="3"/>
  <c r="AW719" i="3"/>
  <c r="E647" i="6"/>
  <c r="G650" i="6"/>
  <c r="I647" i="6"/>
  <c r="E860" i="6"/>
  <c r="I860" i="6"/>
  <c r="AU831" i="3"/>
  <c r="AW811" i="3"/>
  <c r="AW691" i="3"/>
  <c r="G690" i="6"/>
  <c r="AU671" i="3"/>
  <c r="AW669" i="3"/>
  <c r="N931" i="6"/>
  <c r="T931" i="6" s="1"/>
  <c r="M931" i="6"/>
  <c r="Q931" i="6" s="1"/>
  <c r="W931" i="6" s="1"/>
  <c r="AB931" i="6" s="1"/>
  <c r="E916" i="6"/>
  <c r="I916" i="6"/>
  <c r="N726" i="6"/>
  <c r="T726" i="6" s="1"/>
  <c r="M726" i="6"/>
  <c r="Q726" i="6" s="1"/>
  <c r="W726" i="6" s="1"/>
  <c r="AB726" i="6" s="1"/>
  <c r="E880" i="6"/>
  <c r="AX873" i="3"/>
  <c r="I880" i="6"/>
  <c r="G844" i="6"/>
  <c r="AX842" i="3" s="1"/>
  <c r="G685" i="6"/>
  <c r="AX684" i="3" s="1"/>
  <c r="AW686" i="3"/>
  <c r="AU681" i="3"/>
  <c r="AW679" i="3"/>
  <c r="AX868" i="3"/>
  <c r="G876" i="6"/>
  <c r="AW757" i="3"/>
  <c r="AU759" i="3"/>
  <c r="AW711" i="3"/>
  <c r="G710" i="6"/>
  <c r="AX709" i="3" s="1"/>
  <c r="AU764" i="3"/>
  <c r="AW762" i="3"/>
  <c r="AX855" i="3"/>
  <c r="E764" i="6"/>
  <c r="I764" i="6"/>
  <c r="G886" i="6"/>
  <c r="E886" i="6" s="1"/>
  <c r="E671" i="6"/>
  <c r="I671" i="6"/>
  <c r="E779" i="6"/>
  <c r="I779" i="6"/>
  <c r="I822" i="6"/>
  <c r="E822" i="6"/>
  <c r="E849" i="6"/>
  <c r="I849" i="6"/>
  <c r="E889" i="6"/>
  <c r="I889" i="6"/>
  <c r="AU886" i="3"/>
  <c r="AW886" i="3" s="1"/>
  <c r="G889" i="3"/>
  <c r="AU830" i="3"/>
  <c r="AU812" i="3"/>
  <c r="AW810" i="3"/>
  <c r="E676" i="6"/>
  <c r="I676" i="6"/>
  <c r="AU822" i="3"/>
  <c r="AW820" i="3"/>
  <c r="E840" i="6"/>
  <c r="I840" i="6"/>
  <c r="G789" i="3"/>
  <c r="AU749" i="3"/>
  <c r="E870" i="6"/>
  <c r="I870" i="6"/>
  <c r="AU911" i="3"/>
  <c r="AW907" i="3"/>
  <c r="AX903" i="3"/>
  <c r="E922" i="6"/>
  <c r="I922" i="6"/>
  <c r="AU769" i="3"/>
  <c r="AW767" i="3"/>
  <c r="G866" i="6"/>
  <c r="E866" i="6" s="1"/>
  <c r="AX866" i="3"/>
  <c r="G874" i="6"/>
  <c r="G802" i="3"/>
  <c r="AW706" i="3"/>
  <c r="G705" i="6"/>
  <c r="E769" i="6"/>
  <c r="I769" i="6"/>
  <c r="AW817" i="3"/>
  <c r="G816" i="6"/>
  <c r="AX815" i="3" s="1"/>
  <c r="E875" i="6"/>
  <c r="I875" i="6"/>
  <c r="E686" i="6"/>
  <c r="I686" i="6"/>
  <c r="AW701" i="3"/>
  <c r="G700" i="6"/>
  <c r="E817" i="6"/>
  <c r="I817" i="6"/>
  <c r="AU827" i="3"/>
  <c r="AW825" i="3"/>
  <c r="I845" i="6"/>
  <c r="E845" i="6"/>
  <c r="E661" i="6"/>
  <c r="I661" i="6"/>
  <c r="AX870" i="3"/>
  <c r="G879" i="6"/>
  <c r="E940" i="6"/>
  <c r="I940" i="6"/>
  <c r="E721" i="6"/>
  <c r="I721" i="6"/>
  <c r="G861" i="6"/>
  <c r="E861" i="6" s="1"/>
  <c r="G856" i="6"/>
  <c r="E856" i="6" s="1"/>
  <c r="E914" i="6"/>
  <c r="I914" i="6"/>
  <c r="E930" i="6"/>
  <c r="G934" i="6"/>
  <c r="AX921" i="3" s="1"/>
  <c r="I930" i="6"/>
  <c r="AX878" i="3"/>
  <c r="AX675" i="3"/>
  <c r="E938" i="6"/>
  <c r="AX937" i="3"/>
  <c r="I938" i="6"/>
  <c r="AW724" i="3"/>
  <c r="AU726" i="3"/>
  <c r="AX839" i="3"/>
  <c r="AX844" i="3"/>
  <c r="G864" i="6"/>
  <c r="G894" i="6"/>
  <c r="AX882" i="3" s="1"/>
  <c r="G869" i="6"/>
  <c r="AX862" i="3" s="1"/>
  <c r="G665" i="6"/>
  <c r="AX664" i="3" s="1"/>
  <c r="AW666" i="3"/>
  <c r="AX863" i="3"/>
  <c r="AU736" i="3"/>
  <c r="AW734" i="3"/>
  <c r="AU716" i="3"/>
  <c r="AW714" i="3"/>
  <c r="G891" i="6"/>
  <c r="E891" i="6" s="1"/>
  <c r="N827" i="6"/>
  <c r="T827" i="6" s="1"/>
  <c r="M827" i="6"/>
  <c r="Q827" i="6" s="1"/>
  <c r="W827" i="6" s="1"/>
  <c r="AB827" i="6" s="1"/>
  <c r="E741" i="6"/>
  <c r="I741" i="6"/>
  <c r="N648" i="6"/>
  <c r="T648" i="6" s="1"/>
  <c r="M648" i="6"/>
  <c r="Q648" i="6" s="1"/>
  <c r="W648" i="6" s="1"/>
  <c r="AB648" i="6" s="1"/>
  <c r="AU696" i="3"/>
  <c r="AW694" i="3"/>
  <c r="G851" i="6"/>
  <c r="E851" i="6" s="1"/>
  <c r="I942" i="6"/>
  <c r="E942" i="6"/>
  <c r="AU731" i="3"/>
  <c r="AW729" i="3"/>
  <c r="E740" i="6"/>
  <c r="I740" i="6"/>
  <c r="G742" i="6"/>
  <c r="E742" i="6" s="1"/>
  <c r="AU799" i="3"/>
  <c r="AW798" i="3"/>
  <c r="AU779" i="3"/>
  <c r="AW777" i="3"/>
  <c r="G896" i="6"/>
  <c r="E774" i="6"/>
  <c r="I774" i="6"/>
  <c r="E890" i="6"/>
  <c r="I890" i="6"/>
  <c r="M746" i="6"/>
  <c r="Q746" i="6" s="1"/>
  <c r="W746" i="6" s="1"/>
  <c r="AB746" i="6" s="1"/>
  <c r="N746" i="6"/>
  <c r="T746" i="6" s="1"/>
  <c r="AX768" i="3"/>
  <c r="E716" i="6"/>
  <c r="I716" i="6"/>
  <c r="AX685" i="3"/>
  <c r="AX816" i="3"/>
  <c r="G865" i="6"/>
  <c r="AX843" i="3"/>
  <c r="E759" i="6"/>
  <c r="I759" i="6"/>
  <c r="AU676" i="3"/>
  <c r="AW674" i="3"/>
  <c r="E701" i="6"/>
  <c r="I701" i="6"/>
  <c r="AU803" i="3"/>
  <c r="AX740" i="3"/>
  <c r="G752" i="3"/>
  <c r="H38" i="5"/>
  <c r="AA38" i="5" s="1"/>
  <c r="AB38" i="5" s="1"/>
  <c r="G1222" i="3"/>
  <c r="AU1222" i="3" s="1"/>
  <c r="AW1222" i="3" s="1"/>
  <c r="E933" i="6"/>
  <c r="I933" i="6"/>
  <c r="AX929" i="3"/>
  <c r="AX739" i="3"/>
  <c r="AX773" i="3"/>
  <c r="AX879" i="3"/>
  <c r="AX646" i="3"/>
  <c r="I895" i="6"/>
  <c r="E895" i="6"/>
  <c r="AX763" i="3"/>
  <c r="G884" i="6"/>
  <c r="AX874" i="3" s="1"/>
  <c r="AX670" i="3"/>
  <c r="I944" i="6"/>
  <c r="E944" i="6"/>
  <c r="AU750" i="3"/>
  <c r="AW655" i="3"/>
  <c r="AX778" i="3"/>
  <c r="N736" i="6"/>
  <c r="T736" i="6" s="1"/>
  <c r="M736" i="6"/>
  <c r="Q736" i="6" s="1"/>
  <c r="W736" i="6" s="1"/>
  <c r="AB736" i="6" s="1"/>
  <c r="E655" i="6"/>
  <c r="I655" i="6"/>
  <c r="E850" i="6"/>
  <c r="I850" i="6"/>
  <c r="E691" i="6"/>
  <c r="I691" i="6"/>
  <c r="AW904" i="3"/>
  <c r="G913" i="6"/>
  <c r="E711" i="6"/>
  <c r="I711" i="6"/>
  <c r="N696" i="6"/>
  <c r="T696" i="6" s="1"/>
  <c r="M696" i="6"/>
  <c r="Q696" i="6" s="1"/>
  <c r="W696" i="6" s="1"/>
  <c r="AB696" i="6" s="1"/>
  <c r="E885" i="6"/>
  <c r="I885" i="6"/>
  <c r="AX821" i="3"/>
  <c r="E921" i="6"/>
  <c r="I921" i="6"/>
  <c r="AX846" i="3"/>
  <c r="E706" i="6"/>
  <c r="I706" i="6"/>
  <c r="AX917" i="3"/>
  <c r="G839" i="6"/>
  <c r="G833" i="3"/>
  <c r="AU661" i="3"/>
  <c r="AW659" i="3"/>
  <c r="E855" i="6"/>
  <c r="I855" i="6"/>
  <c r="AX730" i="3"/>
  <c r="L789" i="3" l="1"/>
  <c r="L802" i="3"/>
  <c r="G773" i="6"/>
  <c r="AX772" i="3" s="1"/>
  <c r="G745" i="6"/>
  <c r="AX744" i="3" s="1"/>
  <c r="G31" i="20"/>
  <c r="AU792" i="3"/>
  <c r="AW792" i="3" s="1"/>
  <c r="G793" i="6" s="1"/>
  <c r="L794" i="3"/>
  <c r="AW787" i="3"/>
  <c r="G26" i="20"/>
  <c r="D33" i="20"/>
  <c r="G805" i="3"/>
  <c r="H31" i="5" s="1"/>
  <c r="H37" i="5"/>
  <c r="AA37" i="5" s="1"/>
  <c r="AU793" i="3"/>
  <c r="AX860" i="3"/>
  <c r="AX864" i="3"/>
  <c r="E33" i="20"/>
  <c r="M784" i="6"/>
  <c r="Q784" i="6" s="1"/>
  <c r="W784" i="6" s="1"/>
  <c r="AB784" i="6" s="1"/>
  <c r="N784" i="6"/>
  <c r="T784" i="6" s="1"/>
  <c r="I783" i="6"/>
  <c r="E783" i="6"/>
  <c r="G785" i="6"/>
  <c r="E785" i="6" s="1"/>
  <c r="AU788" i="3"/>
  <c r="AX840" i="3"/>
  <c r="AU752" i="3"/>
  <c r="Z30" i="5" s="1"/>
  <c r="AX852" i="3"/>
  <c r="N855" i="6"/>
  <c r="T855" i="6" s="1"/>
  <c r="M855" i="6"/>
  <c r="Q855" i="6" s="1"/>
  <c r="W855" i="6" s="1"/>
  <c r="AB855" i="6" s="1"/>
  <c r="H32" i="5"/>
  <c r="AA32" i="5" s="1"/>
  <c r="AU833" i="3"/>
  <c r="N706" i="6"/>
  <c r="T706" i="6" s="1"/>
  <c r="M706" i="6"/>
  <c r="Q706" i="6" s="1"/>
  <c r="W706" i="6" s="1"/>
  <c r="AB706" i="6" s="1"/>
  <c r="E913" i="6"/>
  <c r="G917" i="6"/>
  <c r="AX904" i="3" s="1"/>
  <c r="I913" i="6"/>
  <c r="N895" i="6"/>
  <c r="M895" i="6"/>
  <c r="H30" i="5"/>
  <c r="N759" i="6"/>
  <c r="M759" i="6"/>
  <c r="E865" i="6"/>
  <c r="I865" i="6"/>
  <c r="N716" i="6"/>
  <c r="T716" i="6" s="1"/>
  <c r="M716" i="6"/>
  <c r="Q716" i="6" s="1"/>
  <c r="W716" i="6" s="1"/>
  <c r="AB716" i="6" s="1"/>
  <c r="M774" i="6"/>
  <c r="Q774" i="6" s="1"/>
  <c r="W774" i="6" s="1"/>
  <c r="AB774" i="6" s="1"/>
  <c r="N774" i="6"/>
  <c r="T774" i="6" s="1"/>
  <c r="E864" i="6"/>
  <c r="I864" i="6"/>
  <c r="M845" i="6"/>
  <c r="Q845" i="6" s="1"/>
  <c r="W845" i="6" s="1"/>
  <c r="AB845" i="6" s="1"/>
  <c r="N845" i="6"/>
  <c r="T845" i="6" s="1"/>
  <c r="N817" i="6"/>
  <c r="T817" i="6" s="1"/>
  <c r="M817" i="6"/>
  <c r="Q817" i="6" s="1"/>
  <c r="W817" i="6" s="1"/>
  <c r="AB817" i="6" s="1"/>
  <c r="AW913" i="3"/>
  <c r="Z37" i="5"/>
  <c r="I891" i="6"/>
  <c r="N889" i="6"/>
  <c r="M889" i="6"/>
  <c r="I690" i="6"/>
  <c r="G692" i="6"/>
  <c r="E692" i="6" s="1"/>
  <c r="E690" i="6"/>
  <c r="E650" i="6"/>
  <c r="G27" i="2"/>
  <c r="N915" i="6"/>
  <c r="T915" i="6" s="1"/>
  <c r="M915" i="6"/>
  <c r="Q915" i="6" s="1"/>
  <c r="W915" i="6" s="1"/>
  <c r="AB915" i="6" s="1"/>
  <c r="N666" i="6"/>
  <c r="T666" i="6" s="1"/>
  <c r="M666" i="6"/>
  <c r="Q666" i="6" s="1"/>
  <c r="W666" i="6" s="1"/>
  <c r="AB666" i="6" s="1"/>
  <c r="E839" i="6"/>
  <c r="I839" i="6"/>
  <c r="G660" i="6"/>
  <c r="AX659" i="3" s="1"/>
  <c r="AW661" i="3"/>
  <c r="AW749" i="3"/>
  <c r="AX838" i="3"/>
  <c r="N885" i="6"/>
  <c r="T885" i="6" s="1"/>
  <c r="M885" i="6"/>
  <c r="Q885" i="6" s="1"/>
  <c r="W885" i="6" s="1"/>
  <c r="AB885" i="6" s="1"/>
  <c r="N711" i="6"/>
  <c r="T711" i="6" s="1"/>
  <c r="M711" i="6"/>
  <c r="Q711" i="6" s="1"/>
  <c r="W711" i="6" s="1"/>
  <c r="AB711" i="6" s="1"/>
  <c r="AX900" i="3"/>
  <c r="AW750" i="3"/>
  <c r="G656" i="6"/>
  <c r="AW656" i="3"/>
  <c r="G900" i="6"/>
  <c r="AW676" i="3"/>
  <c r="G675" i="6"/>
  <c r="AX674" i="3" s="1"/>
  <c r="N890" i="6"/>
  <c r="T890" i="6" s="1"/>
  <c r="M890" i="6"/>
  <c r="Q890" i="6" s="1"/>
  <c r="W890" i="6" s="1"/>
  <c r="AB890" i="6" s="1"/>
  <c r="E896" i="6"/>
  <c r="G902" i="6"/>
  <c r="AW799" i="3"/>
  <c r="G799" i="6"/>
  <c r="AW803" i="3"/>
  <c r="I934" i="6"/>
  <c r="N930" i="6"/>
  <c r="M930" i="6"/>
  <c r="E700" i="6"/>
  <c r="G702" i="6"/>
  <c r="E702" i="6" s="1"/>
  <c r="I700" i="6"/>
  <c r="E705" i="6"/>
  <c r="G707" i="6"/>
  <c r="E707" i="6" s="1"/>
  <c r="I705" i="6"/>
  <c r="M870" i="6"/>
  <c r="Q870" i="6" s="1"/>
  <c r="W870" i="6" s="1"/>
  <c r="AB870" i="6" s="1"/>
  <c r="N870" i="6"/>
  <c r="T870" i="6" s="1"/>
  <c r="H33" i="5"/>
  <c r="AA33" i="5" s="1"/>
  <c r="AU889" i="3"/>
  <c r="I851" i="6"/>
  <c r="M849" i="6"/>
  <c r="N849" i="6"/>
  <c r="M822" i="6"/>
  <c r="Q822" i="6" s="1"/>
  <c r="W822" i="6" s="1"/>
  <c r="AB822" i="6" s="1"/>
  <c r="N822" i="6"/>
  <c r="T822" i="6" s="1"/>
  <c r="AW681" i="3"/>
  <c r="G680" i="6"/>
  <c r="AX679" i="3" s="1"/>
  <c r="N916" i="6"/>
  <c r="T916" i="6" s="1"/>
  <c r="M916" i="6"/>
  <c r="Q916" i="6" s="1"/>
  <c r="W916" i="6" s="1"/>
  <c r="AB916" i="6" s="1"/>
  <c r="AW671" i="3"/>
  <c r="G670" i="6"/>
  <c r="AX669" i="3" s="1"/>
  <c r="AX689" i="3"/>
  <c r="M932" i="6"/>
  <c r="Q932" i="6" s="1"/>
  <c r="W932" i="6" s="1"/>
  <c r="AB932" i="6" s="1"/>
  <c r="N932" i="6"/>
  <c r="T932" i="6" s="1"/>
  <c r="E854" i="6"/>
  <c r="I854" i="6"/>
  <c r="N921" i="6"/>
  <c r="T921" i="6" s="1"/>
  <c r="M921" i="6"/>
  <c r="Q921" i="6" s="1"/>
  <c r="W921" i="6" s="1"/>
  <c r="AB921" i="6" s="1"/>
  <c r="M691" i="6"/>
  <c r="Q691" i="6" s="1"/>
  <c r="W691" i="6" s="1"/>
  <c r="AB691" i="6" s="1"/>
  <c r="N691" i="6"/>
  <c r="T691" i="6" s="1"/>
  <c r="M655" i="6"/>
  <c r="N655" i="6"/>
  <c r="E884" i="6"/>
  <c r="I884" i="6"/>
  <c r="N933" i="6"/>
  <c r="T933" i="6" s="1"/>
  <c r="M933" i="6"/>
  <c r="Q933" i="6" s="1"/>
  <c r="W933" i="6" s="1"/>
  <c r="AB933" i="6" s="1"/>
  <c r="AX649" i="3"/>
  <c r="AX884" i="3"/>
  <c r="AW731" i="3"/>
  <c r="G730" i="6"/>
  <c r="AX729" i="3" s="1"/>
  <c r="AX848" i="3"/>
  <c r="G715" i="6"/>
  <c r="AW716" i="3"/>
  <c r="E869" i="6"/>
  <c r="I869" i="6"/>
  <c r="AX858" i="3"/>
  <c r="E934" i="6"/>
  <c r="G36" i="2"/>
  <c r="G1239" i="6"/>
  <c r="E1239" i="6" s="1"/>
  <c r="N721" i="6"/>
  <c r="T721" i="6" s="1"/>
  <c r="M721" i="6"/>
  <c r="Q721" i="6" s="1"/>
  <c r="W721" i="6" s="1"/>
  <c r="AB721" i="6" s="1"/>
  <c r="I879" i="6"/>
  <c r="E879" i="6"/>
  <c r="AX699" i="3"/>
  <c r="M875" i="6"/>
  <c r="Q875" i="6" s="1"/>
  <c r="W875" i="6" s="1"/>
  <c r="AB875" i="6" s="1"/>
  <c r="N875" i="6"/>
  <c r="T875" i="6" s="1"/>
  <c r="AX704" i="3"/>
  <c r="N922" i="6"/>
  <c r="T922" i="6" s="1"/>
  <c r="M922" i="6"/>
  <c r="Q922" i="6" s="1"/>
  <c r="W922" i="6" s="1"/>
  <c r="AB922" i="6" s="1"/>
  <c r="G821" i="6"/>
  <c r="AX820" i="3" s="1"/>
  <c r="AW822" i="3"/>
  <c r="AW812" i="3"/>
  <c r="AW830" i="3"/>
  <c r="G811" i="6"/>
  <c r="M779" i="6"/>
  <c r="Q779" i="6" s="1"/>
  <c r="W779" i="6" s="1"/>
  <c r="AB779" i="6" s="1"/>
  <c r="N779" i="6"/>
  <c r="T779" i="6" s="1"/>
  <c r="AX876" i="3"/>
  <c r="AW764" i="3"/>
  <c r="G763" i="6"/>
  <c r="AX762" i="3" s="1"/>
  <c r="AX869" i="3"/>
  <c r="E876" i="6"/>
  <c r="E844" i="6"/>
  <c r="I844" i="6"/>
  <c r="AW831" i="3"/>
  <c r="G812" i="6"/>
  <c r="AX811" i="3" s="1"/>
  <c r="N647" i="6"/>
  <c r="M647" i="6"/>
  <c r="I650" i="6"/>
  <c r="AW721" i="3"/>
  <c r="G720" i="6"/>
  <c r="AX719" i="3" s="1"/>
  <c r="N923" i="6"/>
  <c r="T923" i="6" s="1"/>
  <c r="M923" i="6"/>
  <c r="Q923" i="6" s="1"/>
  <c r="W923" i="6" s="1"/>
  <c r="AB923" i="6" s="1"/>
  <c r="AX850" i="3"/>
  <c r="AX872" i="3"/>
  <c r="N701" i="6"/>
  <c r="T701" i="6" s="1"/>
  <c r="M701" i="6"/>
  <c r="Q701" i="6" s="1"/>
  <c r="W701" i="6" s="1"/>
  <c r="AB701" i="6" s="1"/>
  <c r="G778" i="6"/>
  <c r="AX777" i="3" s="1"/>
  <c r="AW779" i="3"/>
  <c r="G725" i="6"/>
  <c r="AX724" i="3" s="1"/>
  <c r="AW726" i="3"/>
  <c r="M769" i="6"/>
  <c r="Q769" i="6" s="1"/>
  <c r="W769" i="6" s="1"/>
  <c r="AB769" i="6" s="1"/>
  <c r="N769" i="6"/>
  <c r="T769" i="6" s="1"/>
  <c r="G920" i="6"/>
  <c r="AX907" i="3" s="1"/>
  <c r="AW911" i="3"/>
  <c r="E859" i="6"/>
  <c r="I859" i="6"/>
  <c r="M850" i="6"/>
  <c r="Q850" i="6" s="1"/>
  <c r="W850" i="6" s="1"/>
  <c r="AB850" i="6" s="1"/>
  <c r="N850" i="6"/>
  <c r="T850" i="6" s="1"/>
  <c r="AX859" i="3"/>
  <c r="I742" i="6"/>
  <c r="N740" i="6"/>
  <c r="M740" i="6"/>
  <c r="AW696" i="3"/>
  <c r="G695" i="6"/>
  <c r="AX694" i="3" s="1"/>
  <c r="M741" i="6"/>
  <c r="Q741" i="6" s="1"/>
  <c r="W741" i="6" s="1"/>
  <c r="AB741" i="6" s="1"/>
  <c r="N741" i="6"/>
  <c r="T741" i="6" s="1"/>
  <c r="AX880" i="3"/>
  <c r="G735" i="6"/>
  <c r="AW736" i="3"/>
  <c r="E665" i="6"/>
  <c r="G667" i="6"/>
  <c r="E667" i="6" s="1"/>
  <c r="I665" i="6"/>
  <c r="G899" i="6"/>
  <c r="E899" i="6" s="1"/>
  <c r="E894" i="6"/>
  <c r="I894" i="6"/>
  <c r="M914" i="6"/>
  <c r="Q914" i="6" s="1"/>
  <c r="W914" i="6" s="1"/>
  <c r="AB914" i="6" s="1"/>
  <c r="N914" i="6"/>
  <c r="T914" i="6" s="1"/>
  <c r="AX856" i="3"/>
  <c r="N661" i="6"/>
  <c r="T661" i="6" s="1"/>
  <c r="M661" i="6"/>
  <c r="Q661" i="6" s="1"/>
  <c r="W661" i="6" s="1"/>
  <c r="AB661" i="6" s="1"/>
  <c r="G826" i="6"/>
  <c r="AW827" i="3"/>
  <c r="M686" i="6"/>
  <c r="Q686" i="6" s="1"/>
  <c r="W686" i="6" s="1"/>
  <c r="AB686" i="6" s="1"/>
  <c r="N686" i="6"/>
  <c r="T686" i="6" s="1"/>
  <c r="E816" i="6"/>
  <c r="I816" i="6"/>
  <c r="G818" i="6"/>
  <c r="E818" i="6" s="1"/>
  <c r="E874" i="6"/>
  <c r="I874" i="6"/>
  <c r="AX867" i="3"/>
  <c r="G768" i="6"/>
  <c r="AW769" i="3"/>
  <c r="N840" i="6"/>
  <c r="T840" i="6" s="1"/>
  <c r="M840" i="6"/>
  <c r="Q840" i="6" s="1"/>
  <c r="W840" i="6" s="1"/>
  <c r="AB840" i="6" s="1"/>
  <c r="N676" i="6"/>
  <c r="T676" i="6" s="1"/>
  <c r="M676" i="6"/>
  <c r="Q676" i="6" s="1"/>
  <c r="W676" i="6" s="1"/>
  <c r="AB676" i="6" s="1"/>
  <c r="N671" i="6"/>
  <c r="T671" i="6" s="1"/>
  <c r="M671" i="6"/>
  <c r="Q671" i="6" s="1"/>
  <c r="W671" i="6" s="1"/>
  <c r="AB671" i="6" s="1"/>
  <c r="N764" i="6"/>
  <c r="T764" i="6" s="1"/>
  <c r="M764" i="6"/>
  <c r="Q764" i="6" s="1"/>
  <c r="W764" i="6" s="1"/>
  <c r="AB764" i="6" s="1"/>
  <c r="E710" i="6"/>
  <c r="G712" i="6"/>
  <c r="E712" i="6" s="1"/>
  <c r="I710" i="6"/>
  <c r="AW759" i="3"/>
  <c r="G758" i="6"/>
  <c r="AX741" i="3"/>
  <c r="E685" i="6"/>
  <c r="I685" i="6"/>
  <c r="G687" i="6"/>
  <c r="E687" i="6" s="1"/>
  <c r="N880" i="6"/>
  <c r="T880" i="6" s="1"/>
  <c r="M880" i="6"/>
  <c r="Q880" i="6" s="1"/>
  <c r="W880" i="6" s="1"/>
  <c r="AB880" i="6" s="1"/>
  <c r="N860" i="6"/>
  <c r="T860" i="6" s="1"/>
  <c r="M860" i="6"/>
  <c r="Q860" i="6" s="1"/>
  <c r="W860" i="6" s="1"/>
  <c r="AB860" i="6" s="1"/>
  <c r="N731" i="6"/>
  <c r="T731" i="6" s="1"/>
  <c r="M731" i="6"/>
  <c r="Q731" i="6" s="1"/>
  <c r="W731" i="6" s="1"/>
  <c r="AB731" i="6" s="1"/>
  <c r="AX854" i="3"/>
  <c r="L805" i="3" l="1"/>
  <c r="L892" i="3" s="1"/>
  <c r="L923" i="3" s="1"/>
  <c r="E773" i="6"/>
  <c r="G747" i="6"/>
  <c r="E747" i="6" s="1"/>
  <c r="I745" i="6"/>
  <c r="I747" i="6" s="1"/>
  <c r="I773" i="6"/>
  <c r="I775" i="6" s="1"/>
  <c r="E745" i="6"/>
  <c r="G775" i="6"/>
  <c r="E775" i="6" s="1"/>
  <c r="AW802" i="3"/>
  <c r="AU802" i="3"/>
  <c r="G33" i="20"/>
  <c r="G788" i="6"/>
  <c r="AX787" i="3" s="1"/>
  <c r="AX784" i="3"/>
  <c r="G892" i="3"/>
  <c r="M783" i="6"/>
  <c r="I785" i="6"/>
  <c r="N783" i="6"/>
  <c r="AX792" i="3"/>
  <c r="E793" i="6"/>
  <c r="I793" i="6"/>
  <c r="AW788" i="3"/>
  <c r="AU789" i="3"/>
  <c r="AW793" i="3"/>
  <c r="AU794" i="3"/>
  <c r="AX1222" i="3"/>
  <c r="AX691" i="3"/>
  <c r="AX706" i="3"/>
  <c r="E768" i="6"/>
  <c r="G770" i="6"/>
  <c r="E770" i="6" s="1"/>
  <c r="I768" i="6"/>
  <c r="M650" i="6"/>
  <c r="Q647" i="6"/>
  <c r="G831" i="6"/>
  <c r="E831" i="6" s="1"/>
  <c r="E811" i="6"/>
  <c r="G813" i="6"/>
  <c r="AX812" i="3" s="1"/>
  <c r="I811" i="6"/>
  <c r="M934" i="6"/>
  <c r="Q930" i="6"/>
  <c r="E799" i="6"/>
  <c r="I799" i="6"/>
  <c r="G800" i="6"/>
  <c r="AX799" i="3" s="1"/>
  <c r="E656" i="6"/>
  <c r="I656" i="6"/>
  <c r="G751" i="6"/>
  <c r="E751" i="6" s="1"/>
  <c r="G657" i="6"/>
  <c r="AX656" i="3" s="1"/>
  <c r="E758" i="6"/>
  <c r="G760" i="6"/>
  <c r="E760" i="6" s="1"/>
  <c r="I758" i="6"/>
  <c r="I712" i="6"/>
  <c r="N710" i="6"/>
  <c r="M710" i="6"/>
  <c r="E826" i="6"/>
  <c r="G828" i="6"/>
  <c r="E828" i="6" s="1"/>
  <c r="I826" i="6"/>
  <c r="I812" i="6"/>
  <c r="E812" i="6"/>
  <c r="G832" i="6"/>
  <c r="E832" i="6" s="1"/>
  <c r="AX817" i="3"/>
  <c r="G717" i="6"/>
  <c r="E717" i="6" s="1"/>
  <c r="E715" i="6"/>
  <c r="I715" i="6"/>
  <c r="T655" i="6"/>
  <c r="I856" i="6"/>
  <c r="M854" i="6"/>
  <c r="N854" i="6"/>
  <c r="T849" i="6"/>
  <c r="T851" i="6" s="1"/>
  <c r="N851" i="6"/>
  <c r="I707" i="6"/>
  <c r="M705" i="6"/>
  <c r="N705" i="6"/>
  <c r="I1239" i="6"/>
  <c r="C22" i="12"/>
  <c r="C58" i="12" s="1"/>
  <c r="I36" i="2"/>
  <c r="E36" i="2" s="1"/>
  <c r="E900" i="6"/>
  <c r="AX887" i="3"/>
  <c r="AX655" i="3"/>
  <c r="N865" i="6"/>
  <c r="T865" i="6" s="1"/>
  <c r="M865" i="6"/>
  <c r="Q865" i="6" s="1"/>
  <c r="W865" i="6" s="1"/>
  <c r="AB865" i="6" s="1"/>
  <c r="I900" i="6"/>
  <c r="I687" i="6"/>
  <c r="M685" i="6"/>
  <c r="N685" i="6"/>
  <c r="AX757" i="3"/>
  <c r="M874" i="6"/>
  <c r="I876" i="6"/>
  <c r="N874" i="6"/>
  <c r="AX825" i="3"/>
  <c r="T917" i="6"/>
  <c r="E920" i="6"/>
  <c r="G924" i="6"/>
  <c r="E924" i="6" s="1"/>
  <c r="I920" i="6"/>
  <c r="AX701" i="3"/>
  <c r="I27" i="2"/>
  <c r="E27" i="2" s="1"/>
  <c r="AX886" i="3"/>
  <c r="I881" i="6"/>
  <c r="N879" i="6"/>
  <c r="M879" i="6"/>
  <c r="N36" i="2"/>
  <c r="I871" i="6"/>
  <c r="M869" i="6"/>
  <c r="N869" i="6"/>
  <c r="AX714" i="3"/>
  <c r="Q655" i="6"/>
  <c r="E670" i="6"/>
  <c r="I670" i="6"/>
  <c r="G672" i="6"/>
  <c r="E672" i="6" s="1"/>
  <c r="AX711" i="3"/>
  <c r="M851" i="6"/>
  <c r="Q849" i="6"/>
  <c r="G31" i="2"/>
  <c r="E902" i="6"/>
  <c r="E675" i="6"/>
  <c r="I675" i="6"/>
  <c r="G677" i="6"/>
  <c r="E677" i="6" s="1"/>
  <c r="AW752" i="3"/>
  <c r="G662" i="6"/>
  <c r="E662" i="6" s="1"/>
  <c r="E660" i="6"/>
  <c r="I660" i="6"/>
  <c r="G750" i="6"/>
  <c r="E750" i="6" s="1"/>
  <c r="N27" i="2"/>
  <c r="AB37" i="5"/>
  <c r="I866" i="6"/>
  <c r="M864" i="6"/>
  <c r="N864" i="6"/>
  <c r="AA30" i="5"/>
  <c r="H34" i="5"/>
  <c r="M913" i="6"/>
  <c r="N913" i="6"/>
  <c r="I917" i="6"/>
  <c r="I667" i="6"/>
  <c r="N665" i="6"/>
  <c r="M665" i="6"/>
  <c r="E735" i="6"/>
  <c r="G737" i="6"/>
  <c r="E737" i="6" s="1"/>
  <c r="I735" i="6"/>
  <c r="M742" i="6"/>
  <c r="Q740" i="6"/>
  <c r="I861" i="6"/>
  <c r="N859" i="6"/>
  <c r="M859" i="6"/>
  <c r="E720" i="6"/>
  <c r="I720" i="6"/>
  <c r="G722" i="6"/>
  <c r="E722" i="6" s="1"/>
  <c r="N884" i="6"/>
  <c r="M884" i="6"/>
  <c r="I886" i="6"/>
  <c r="E680" i="6"/>
  <c r="G682" i="6"/>
  <c r="E682" i="6" s="1"/>
  <c r="I680" i="6"/>
  <c r="M690" i="6"/>
  <c r="I692" i="6"/>
  <c r="N690" i="6"/>
  <c r="M891" i="6"/>
  <c r="Q889" i="6"/>
  <c r="Q759" i="6"/>
  <c r="Q895" i="6"/>
  <c r="E917" i="6"/>
  <c r="AW833" i="3"/>
  <c r="Z32" i="5"/>
  <c r="AB32" i="5" s="1"/>
  <c r="AX767" i="3"/>
  <c r="M816" i="6"/>
  <c r="I818" i="6"/>
  <c r="N816" i="6"/>
  <c r="I899" i="6"/>
  <c r="I896" i="6"/>
  <c r="N894" i="6"/>
  <c r="M894" i="6"/>
  <c r="AX734" i="3"/>
  <c r="E695" i="6"/>
  <c r="G697" i="6"/>
  <c r="E697" i="6" s="1"/>
  <c r="I695" i="6"/>
  <c r="N742" i="6"/>
  <c r="T740" i="6"/>
  <c r="T742" i="6" s="1"/>
  <c r="G727" i="6"/>
  <c r="E727" i="6" s="1"/>
  <c r="E725" i="6"/>
  <c r="I725" i="6"/>
  <c r="E778" i="6"/>
  <c r="G780" i="6"/>
  <c r="E780" i="6" s="1"/>
  <c r="I778" i="6"/>
  <c r="N650" i="6"/>
  <c r="T647" i="6"/>
  <c r="T650" i="6" s="1"/>
  <c r="I846" i="6"/>
  <c r="N844" i="6"/>
  <c r="M844" i="6"/>
  <c r="I763" i="6"/>
  <c r="E763" i="6"/>
  <c r="G765" i="6"/>
  <c r="E765" i="6" s="1"/>
  <c r="AX810" i="3"/>
  <c r="G823" i="6"/>
  <c r="E823" i="6" s="1"/>
  <c r="E821" i="6"/>
  <c r="I821" i="6"/>
  <c r="E730" i="6"/>
  <c r="I730" i="6"/>
  <c r="G732" i="6"/>
  <c r="E732" i="6" s="1"/>
  <c r="T924" i="6"/>
  <c r="Z33" i="5"/>
  <c r="AB33" i="5" s="1"/>
  <c r="AW889" i="3"/>
  <c r="AX889" i="3" s="1"/>
  <c r="I702" i="6"/>
  <c r="M700" i="6"/>
  <c r="N700" i="6"/>
  <c r="N934" i="6"/>
  <c r="T930" i="6"/>
  <c r="T934" i="6" s="1"/>
  <c r="AX798" i="3"/>
  <c r="I841" i="6"/>
  <c r="N839" i="6"/>
  <c r="M839" i="6"/>
  <c r="AX686" i="3"/>
  <c r="N891" i="6"/>
  <c r="T889" i="6"/>
  <c r="T891" i="6" s="1"/>
  <c r="AX666" i="3"/>
  <c r="T759" i="6"/>
  <c r="T895" i="6"/>
  <c r="AB30" i="5" l="1"/>
  <c r="AU892" i="3"/>
  <c r="AU923" i="3" s="1"/>
  <c r="L1220" i="3"/>
  <c r="AX746" i="3"/>
  <c r="M31" i="5"/>
  <c r="M34" i="5" s="1"/>
  <c r="AX774" i="3"/>
  <c r="M745" i="6"/>
  <c r="Q745" i="6" s="1"/>
  <c r="N745" i="6"/>
  <c r="T745" i="6" s="1"/>
  <c r="T747" i="6" s="1"/>
  <c r="N773" i="6"/>
  <c r="N775" i="6" s="1"/>
  <c r="M773" i="6"/>
  <c r="M775" i="6" s="1"/>
  <c r="G803" i="6"/>
  <c r="E803" i="6" s="1"/>
  <c r="I788" i="6"/>
  <c r="N788" i="6" s="1"/>
  <c r="E788" i="6"/>
  <c r="N900" i="6"/>
  <c r="G923" i="3"/>
  <c r="G933" i="3" s="1"/>
  <c r="AX716" i="3"/>
  <c r="G1220" i="3"/>
  <c r="L1223" i="3"/>
  <c r="M39" i="5"/>
  <c r="M40" i="5" s="1"/>
  <c r="L933" i="3"/>
  <c r="L936" i="3" s="1"/>
  <c r="L939" i="3" s="1"/>
  <c r="G789" i="6"/>
  <c r="AW789" i="3"/>
  <c r="AX749" i="3"/>
  <c r="M793" i="6"/>
  <c r="N793" i="6"/>
  <c r="T783" i="6"/>
  <c r="T785" i="6" s="1"/>
  <c r="N785" i="6"/>
  <c r="M36" i="2"/>
  <c r="G794" i="6"/>
  <c r="AX793" i="3" s="1"/>
  <c r="AW794" i="3"/>
  <c r="AX681" i="3"/>
  <c r="AU805" i="3"/>
  <c r="Z31" i="5" s="1"/>
  <c r="Q783" i="6"/>
  <c r="M785" i="6"/>
  <c r="AX750" i="3"/>
  <c r="AX676" i="3"/>
  <c r="AX721" i="3"/>
  <c r="T900" i="6"/>
  <c r="AX731" i="3"/>
  <c r="AX831" i="3"/>
  <c r="AX661" i="3"/>
  <c r="G926" i="6"/>
  <c r="AX830" i="3"/>
  <c r="I732" i="6"/>
  <c r="M730" i="6"/>
  <c r="N730" i="6"/>
  <c r="M841" i="6"/>
  <c r="Q839" i="6"/>
  <c r="N702" i="6"/>
  <c r="T700" i="6"/>
  <c r="T702" i="6" s="1"/>
  <c r="M846" i="6"/>
  <c r="Q844" i="6"/>
  <c r="N899" i="6"/>
  <c r="T894" i="6"/>
  <c r="N896" i="6"/>
  <c r="N818" i="6"/>
  <c r="T816" i="6"/>
  <c r="T818" i="6" s="1"/>
  <c r="W895" i="6"/>
  <c r="Q900" i="6"/>
  <c r="N692" i="6"/>
  <c r="T690" i="6"/>
  <c r="T692" i="6" s="1"/>
  <c r="N886" i="6"/>
  <c r="T884" i="6"/>
  <c r="T886" i="6" s="1"/>
  <c r="AX726" i="3"/>
  <c r="Q742" i="6"/>
  <c r="W742" i="6" s="1"/>
  <c r="AB742" i="6" s="1"/>
  <c r="W740" i="6"/>
  <c r="AB740" i="6" s="1"/>
  <c r="M917" i="6"/>
  <c r="Q913" i="6"/>
  <c r="M866" i="6"/>
  <c r="Q864" i="6"/>
  <c r="I677" i="6"/>
  <c r="N675" i="6"/>
  <c r="M675" i="6"/>
  <c r="N871" i="6"/>
  <c r="T869" i="6"/>
  <c r="T871" i="6" s="1"/>
  <c r="T874" i="6"/>
  <c r="T876" i="6" s="1"/>
  <c r="N876" i="6"/>
  <c r="M707" i="6"/>
  <c r="Q705" i="6"/>
  <c r="N856" i="6"/>
  <c r="T854" i="6"/>
  <c r="T856" i="6" s="1"/>
  <c r="AX696" i="3"/>
  <c r="Q710" i="6"/>
  <c r="M712" i="6"/>
  <c r="I751" i="6"/>
  <c r="N656" i="6"/>
  <c r="M656" i="6"/>
  <c r="I657" i="6"/>
  <c r="E800" i="6"/>
  <c r="M1239" i="6"/>
  <c r="N1239" i="6" s="1"/>
  <c r="AX779" i="3"/>
  <c r="N841" i="6"/>
  <c r="T839" i="6"/>
  <c r="T841" i="6" s="1"/>
  <c r="M702" i="6"/>
  <c r="Q700" i="6"/>
  <c r="I823" i="6"/>
  <c r="N821" i="6"/>
  <c r="M821" i="6"/>
  <c r="N846" i="6"/>
  <c r="T844" i="6"/>
  <c r="T846" i="6" s="1"/>
  <c r="I902" i="6"/>
  <c r="M900" i="6"/>
  <c r="M861" i="6"/>
  <c r="Q859" i="6"/>
  <c r="M667" i="6"/>
  <c r="Q665" i="6"/>
  <c r="AX759" i="3"/>
  <c r="W849" i="6"/>
  <c r="AB849" i="6" s="1"/>
  <c r="Q851" i="6"/>
  <c r="W851" i="6" s="1"/>
  <c r="AB851" i="6" s="1"/>
  <c r="I672" i="6"/>
  <c r="N670" i="6"/>
  <c r="M670" i="6"/>
  <c r="M871" i="6"/>
  <c r="Q869" i="6"/>
  <c r="M881" i="6"/>
  <c r="Q879" i="6"/>
  <c r="AX736" i="3"/>
  <c r="N687" i="6"/>
  <c r="T685" i="6"/>
  <c r="T687" i="6" s="1"/>
  <c r="M856" i="6"/>
  <c r="Q854" i="6"/>
  <c r="N826" i="6"/>
  <c r="I828" i="6"/>
  <c r="M826" i="6"/>
  <c r="T710" i="6"/>
  <c r="T712" i="6" s="1"/>
  <c r="N712" i="6"/>
  <c r="I800" i="6"/>
  <c r="M799" i="6"/>
  <c r="N799" i="6"/>
  <c r="AX822" i="3"/>
  <c r="I770" i="6"/>
  <c r="N768" i="6"/>
  <c r="M768" i="6"/>
  <c r="I727" i="6"/>
  <c r="N725" i="6"/>
  <c r="M725" i="6"/>
  <c r="M818" i="6"/>
  <c r="Q816" i="6"/>
  <c r="W759" i="6"/>
  <c r="AB759" i="6" s="1"/>
  <c r="W889" i="6"/>
  <c r="AB889" i="6" s="1"/>
  <c r="Q891" i="6"/>
  <c r="W891" i="6" s="1"/>
  <c r="AB891" i="6" s="1"/>
  <c r="M692" i="6"/>
  <c r="Q690" i="6"/>
  <c r="N720" i="6"/>
  <c r="I722" i="6"/>
  <c r="M720" i="6"/>
  <c r="T859" i="6"/>
  <c r="T861" i="6" s="1"/>
  <c r="N861" i="6"/>
  <c r="I737" i="6"/>
  <c r="N735" i="6"/>
  <c r="M735" i="6"/>
  <c r="N667" i="6"/>
  <c r="T665" i="6"/>
  <c r="T667" i="6" s="1"/>
  <c r="C20" i="12"/>
  <c r="C56" i="12" s="1"/>
  <c r="I662" i="6"/>
  <c r="M660" i="6"/>
  <c r="N660" i="6"/>
  <c r="I750" i="6"/>
  <c r="N881" i="6"/>
  <c r="T879" i="6"/>
  <c r="T881" i="6" s="1"/>
  <c r="N920" i="6"/>
  <c r="M920" i="6"/>
  <c r="I924" i="6"/>
  <c r="C21" i="12" s="1"/>
  <c r="C57" i="12" s="1"/>
  <c r="T926" i="6"/>
  <c r="M876" i="6"/>
  <c r="Q874" i="6"/>
  <c r="M687" i="6"/>
  <c r="Q685" i="6"/>
  <c r="I717" i="6"/>
  <c r="M715" i="6"/>
  <c r="N715" i="6"/>
  <c r="I832" i="6"/>
  <c r="N812" i="6"/>
  <c r="M812" i="6"/>
  <c r="G753" i="6"/>
  <c r="AX752" i="3" s="1"/>
  <c r="E657" i="6"/>
  <c r="I831" i="6"/>
  <c r="N811" i="6"/>
  <c r="M811" i="6"/>
  <c r="I813" i="6"/>
  <c r="W647" i="6"/>
  <c r="AB647" i="6" s="1"/>
  <c r="Q650" i="6"/>
  <c r="AX671" i="3"/>
  <c r="I765" i="6"/>
  <c r="N763" i="6"/>
  <c r="M763" i="6"/>
  <c r="I780" i="6"/>
  <c r="M778" i="6"/>
  <c r="N778" i="6"/>
  <c r="I697" i="6"/>
  <c r="N695" i="6"/>
  <c r="M695" i="6"/>
  <c r="M899" i="6"/>
  <c r="Q894" i="6"/>
  <c r="M896" i="6"/>
  <c r="AX827" i="3"/>
  <c r="I682" i="6"/>
  <c r="N680" i="6"/>
  <c r="M680" i="6"/>
  <c r="M886" i="6"/>
  <c r="Q884" i="6"/>
  <c r="N917" i="6"/>
  <c r="U913" i="6"/>
  <c r="U917" i="6" s="1"/>
  <c r="N866" i="6"/>
  <c r="T864" i="6"/>
  <c r="T866" i="6" s="1"/>
  <c r="M27" i="2"/>
  <c r="N31" i="2"/>
  <c r="W655" i="6"/>
  <c r="AB655" i="6" s="1"/>
  <c r="AX769" i="3"/>
  <c r="N707" i="6"/>
  <c r="T705" i="6"/>
  <c r="T707" i="6" s="1"/>
  <c r="AX764" i="3"/>
  <c r="AX911" i="3"/>
  <c r="N758" i="6"/>
  <c r="I760" i="6"/>
  <c r="M758" i="6"/>
  <c r="W930" i="6"/>
  <c r="AB930" i="6" s="1"/>
  <c r="Q934" i="6"/>
  <c r="E813" i="6"/>
  <c r="G834" i="6"/>
  <c r="AX913" i="3" l="1"/>
  <c r="I31" i="2"/>
  <c r="E31" i="2" s="1"/>
  <c r="AU1220" i="3"/>
  <c r="AW1220" i="3" s="1"/>
  <c r="AW892" i="3"/>
  <c r="L1227" i="3"/>
  <c r="L1229" i="3" s="1"/>
  <c r="L1234" i="3" s="1"/>
  <c r="M70" i="5" s="1"/>
  <c r="M71" i="5" s="1"/>
  <c r="M74" i="5" s="1"/>
  <c r="M43" i="5"/>
  <c r="M46" i="5" s="1"/>
  <c r="AA31" i="5"/>
  <c r="M747" i="6"/>
  <c r="N747" i="6"/>
  <c r="Q773" i="6"/>
  <c r="Q775" i="6" s="1"/>
  <c r="W775" i="6" s="1"/>
  <c r="AB775" i="6" s="1"/>
  <c r="T773" i="6"/>
  <c r="T775" i="6" s="1"/>
  <c r="AX802" i="3"/>
  <c r="H39" i="5"/>
  <c r="AA39" i="5" s="1"/>
  <c r="AA40" i="5" s="1"/>
  <c r="M788" i="6"/>
  <c r="R788" i="6" s="1"/>
  <c r="I803" i="6"/>
  <c r="G1223" i="3"/>
  <c r="G1227" i="3" s="1"/>
  <c r="G35" i="2"/>
  <c r="N35" i="2" s="1"/>
  <c r="E926" i="6"/>
  <c r="Z39" i="5"/>
  <c r="Z40" i="5" s="1"/>
  <c r="AW923" i="3"/>
  <c r="G936" i="6" s="1"/>
  <c r="W783" i="6"/>
  <c r="AB783" i="6" s="1"/>
  <c r="Q785" i="6"/>
  <c r="W785" i="6" s="1"/>
  <c r="AB785" i="6" s="1"/>
  <c r="U788" i="6"/>
  <c r="I789" i="6"/>
  <c r="E789" i="6"/>
  <c r="G790" i="6"/>
  <c r="E790" i="6" s="1"/>
  <c r="Z34" i="5"/>
  <c r="I794" i="6"/>
  <c r="E794" i="6"/>
  <c r="G795" i="6"/>
  <c r="AX794" i="3" s="1"/>
  <c r="G804" i="6"/>
  <c r="U793" i="6"/>
  <c r="G936" i="3"/>
  <c r="AU933" i="3"/>
  <c r="AW933" i="3" s="1"/>
  <c r="AW805" i="3"/>
  <c r="I926" i="6"/>
  <c r="R793" i="6"/>
  <c r="AX788" i="3"/>
  <c r="M902" i="6"/>
  <c r="I834" i="6"/>
  <c r="T763" i="6"/>
  <c r="T765" i="6" s="1"/>
  <c r="N765" i="6"/>
  <c r="T811" i="6"/>
  <c r="N831" i="6"/>
  <c r="N813" i="6"/>
  <c r="N662" i="6"/>
  <c r="T660" i="6"/>
  <c r="N750" i="6"/>
  <c r="W690" i="6"/>
  <c r="AB690" i="6" s="1"/>
  <c r="Q692" i="6"/>
  <c r="W692" i="6" s="1"/>
  <c r="AB692" i="6" s="1"/>
  <c r="M727" i="6"/>
  <c r="Q725" i="6"/>
  <c r="N828" i="6"/>
  <c r="T826" i="6"/>
  <c r="T828" i="6" s="1"/>
  <c r="W879" i="6"/>
  <c r="AB879" i="6" s="1"/>
  <c r="Q881" i="6"/>
  <c r="W881" i="6" s="1"/>
  <c r="AB881" i="6" s="1"/>
  <c r="W884" i="6"/>
  <c r="AB884" i="6" s="1"/>
  <c r="Q886" i="6"/>
  <c r="W886" i="6" s="1"/>
  <c r="AB886" i="6" s="1"/>
  <c r="N780" i="6"/>
  <c r="T778" i="6"/>
  <c r="T780" i="6" s="1"/>
  <c r="Q818" i="6"/>
  <c r="W818" i="6" s="1"/>
  <c r="AB818" i="6" s="1"/>
  <c r="W816" i="6"/>
  <c r="AB816" i="6" s="1"/>
  <c r="M800" i="6"/>
  <c r="Q799" i="6"/>
  <c r="M804" i="6"/>
  <c r="M828" i="6"/>
  <c r="Q826" i="6"/>
  <c r="Q871" i="6"/>
  <c r="W871" i="6" s="1"/>
  <c r="AB871" i="6" s="1"/>
  <c r="W869" i="6"/>
  <c r="AB869" i="6" s="1"/>
  <c r="Q861" i="6"/>
  <c r="W861" i="6" s="1"/>
  <c r="AB861" i="6" s="1"/>
  <c r="W859" i="6"/>
  <c r="AB859" i="6" s="1"/>
  <c r="W700" i="6"/>
  <c r="AB700" i="6" s="1"/>
  <c r="Q702" i="6"/>
  <c r="W702" i="6" s="1"/>
  <c r="AB702" i="6" s="1"/>
  <c r="W705" i="6"/>
  <c r="AB705" i="6" s="1"/>
  <c r="Q707" i="6"/>
  <c r="W707" i="6" s="1"/>
  <c r="AB707" i="6" s="1"/>
  <c r="N677" i="6"/>
  <c r="T675" i="6"/>
  <c r="T677" i="6" s="1"/>
  <c r="W913" i="6"/>
  <c r="AB913" i="6" s="1"/>
  <c r="Q917" i="6"/>
  <c r="W745" i="6"/>
  <c r="AB745" i="6" s="1"/>
  <c r="Q747" i="6"/>
  <c r="W747" i="6" s="1"/>
  <c r="AB747" i="6" s="1"/>
  <c r="N732" i="6"/>
  <c r="T730" i="6"/>
  <c r="T732" i="6" s="1"/>
  <c r="E834" i="6"/>
  <c r="G30" i="2"/>
  <c r="M760" i="6"/>
  <c r="Q758" i="6"/>
  <c r="M697" i="6"/>
  <c r="Q695" i="6"/>
  <c r="Q778" i="6"/>
  <c r="M780" i="6"/>
  <c r="M765" i="6"/>
  <c r="Q763" i="6"/>
  <c r="M831" i="6"/>
  <c r="M813" i="6"/>
  <c r="Q811" i="6"/>
  <c r="G28" i="2"/>
  <c r="E753" i="6"/>
  <c r="N717" i="6"/>
  <c r="T715" i="6"/>
  <c r="T717" i="6" s="1"/>
  <c r="W874" i="6"/>
  <c r="AB874" i="6" s="1"/>
  <c r="Q876" i="6"/>
  <c r="W876" i="6" s="1"/>
  <c r="AB876" i="6" s="1"/>
  <c r="M924" i="6"/>
  <c r="M926" i="6" s="1"/>
  <c r="Q920" i="6"/>
  <c r="N722" i="6"/>
  <c r="T720" i="6"/>
  <c r="T722" i="6" s="1"/>
  <c r="AX833" i="3"/>
  <c r="M823" i="6"/>
  <c r="Q821" i="6"/>
  <c r="I753" i="6"/>
  <c r="M732" i="6"/>
  <c r="Q730" i="6"/>
  <c r="M682" i="6"/>
  <c r="Q680" i="6"/>
  <c r="N697" i="6"/>
  <c r="T695" i="6"/>
  <c r="T697" i="6" s="1"/>
  <c r="W650" i="6"/>
  <c r="M832" i="6"/>
  <c r="Q812" i="6"/>
  <c r="M717" i="6"/>
  <c r="Q715" i="6"/>
  <c r="N924" i="6"/>
  <c r="N926" i="6" s="1"/>
  <c r="U920" i="6"/>
  <c r="U924" i="6" s="1"/>
  <c r="U926" i="6" s="1"/>
  <c r="M737" i="6"/>
  <c r="Q735" i="6"/>
  <c r="M770" i="6"/>
  <c r="Q768" i="6"/>
  <c r="M672" i="6"/>
  <c r="Q670" i="6"/>
  <c r="W665" i="6"/>
  <c r="AB665" i="6" s="1"/>
  <c r="Q667" i="6"/>
  <c r="W667" i="6" s="1"/>
  <c r="AB667" i="6" s="1"/>
  <c r="N823" i="6"/>
  <c r="T821" i="6"/>
  <c r="T823" i="6" s="1"/>
  <c r="M751" i="6"/>
  <c r="Q656" i="6"/>
  <c r="M657" i="6"/>
  <c r="Q712" i="6"/>
  <c r="W712" i="6" s="1"/>
  <c r="AB712" i="6" s="1"/>
  <c r="W710" i="6"/>
  <c r="AB710" i="6" s="1"/>
  <c r="W864" i="6"/>
  <c r="AB864" i="6" s="1"/>
  <c r="Q866" i="6"/>
  <c r="W866" i="6" s="1"/>
  <c r="AB866" i="6" s="1"/>
  <c r="N902" i="6"/>
  <c r="Q846" i="6"/>
  <c r="W846" i="6" s="1"/>
  <c r="AB846" i="6" s="1"/>
  <c r="W844" i="6"/>
  <c r="AB844" i="6" s="1"/>
  <c r="W839" i="6"/>
  <c r="AB839" i="6" s="1"/>
  <c r="Q841" i="6"/>
  <c r="W841" i="6" s="1"/>
  <c r="AB841" i="6" s="1"/>
  <c r="D22" i="12"/>
  <c r="W934" i="6"/>
  <c r="N803" i="6"/>
  <c r="N760" i="6"/>
  <c r="T758" i="6"/>
  <c r="N682" i="6"/>
  <c r="T680" i="6"/>
  <c r="T682" i="6" s="1"/>
  <c r="W894" i="6"/>
  <c r="Q899" i="6"/>
  <c r="Q896" i="6"/>
  <c r="N832" i="6"/>
  <c r="T812" i="6"/>
  <c r="T832" i="6" s="1"/>
  <c r="W685" i="6"/>
  <c r="AB685" i="6" s="1"/>
  <c r="Q687" i="6"/>
  <c r="W687" i="6" s="1"/>
  <c r="AB687" i="6" s="1"/>
  <c r="M662" i="6"/>
  <c r="Q660" i="6"/>
  <c r="M750" i="6"/>
  <c r="N737" i="6"/>
  <c r="T735" i="6"/>
  <c r="T737" i="6" s="1"/>
  <c r="M722" i="6"/>
  <c r="Q720" i="6"/>
  <c r="N727" i="6"/>
  <c r="T725" i="6"/>
  <c r="T727" i="6" s="1"/>
  <c r="N770" i="6"/>
  <c r="T768" i="6"/>
  <c r="T770" i="6" s="1"/>
  <c r="T799" i="6"/>
  <c r="N800" i="6"/>
  <c r="N804" i="6"/>
  <c r="Q856" i="6"/>
  <c r="W856" i="6" s="1"/>
  <c r="AB856" i="6" s="1"/>
  <c r="W854" i="6"/>
  <c r="AB854" i="6" s="1"/>
  <c r="T670" i="6"/>
  <c r="T672" i="6" s="1"/>
  <c r="N672" i="6"/>
  <c r="N751" i="6"/>
  <c r="T656" i="6"/>
  <c r="N657" i="6"/>
  <c r="M677" i="6"/>
  <c r="Q675" i="6"/>
  <c r="AB895" i="6"/>
  <c r="W900" i="6"/>
  <c r="AB900" i="6" s="1"/>
  <c r="T899" i="6"/>
  <c r="T896" i="6"/>
  <c r="T902" i="6" s="1"/>
  <c r="AB31" i="5" l="1"/>
  <c r="AB34" i="5" s="1"/>
  <c r="AA34" i="5"/>
  <c r="AA43" i="5"/>
  <c r="AA46" i="5" s="1"/>
  <c r="M31" i="2"/>
  <c r="I30" i="2"/>
  <c r="E30" i="2" s="1"/>
  <c r="I35" i="2"/>
  <c r="E35" i="2" s="1"/>
  <c r="AX923" i="3"/>
  <c r="L1244" i="3"/>
  <c r="L1241" i="3"/>
  <c r="W773" i="6"/>
  <c r="AB773" i="6" s="1"/>
  <c r="H40" i="5"/>
  <c r="H43" i="5" s="1"/>
  <c r="H46" i="5" s="1"/>
  <c r="M803" i="6"/>
  <c r="AU1223" i="3"/>
  <c r="AW1223" i="3" s="1"/>
  <c r="G1229" i="3"/>
  <c r="G1234" i="3" s="1"/>
  <c r="AU1227" i="3"/>
  <c r="AW1227" i="3" s="1"/>
  <c r="AX789" i="3"/>
  <c r="G950" i="6"/>
  <c r="E950" i="6" s="1"/>
  <c r="C38" i="12"/>
  <c r="G37" i="2"/>
  <c r="E936" i="6"/>
  <c r="G1240" i="6"/>
  <c r="E1240" i="6" s="1"/>
  <c r="Z43" i="5"/>
  <c r="Z46" i="5" s="1"/>
  <c r="AB39" i="5"/>
  <c r="AB40" i="5" s="1"/>
  <c r="AB43" i="5" s="1"/>
  <c r="AB46" i="5" s="1"/>
  <c r="M794" i="6"/>
  <c r="N794" i="6"/>
  <c r="I795" i="6"/>
  <c r="I804" i="6"/>
  <c r="E804" i="6"/>
  <c r="AX803" i="3"/>
  <c r="N789" i="6"/>
  <c r="M789" i="6"/>
  <c r="I790" i="6"/>
  <c r="R803" i="6"/>
  <c r="G939" i="3"/>
  <c r="AU939" i="3" s="1"/>
  <c r="AW939" i="3" s="1"/>
  <c r="AU936" i="3"/>
  <c r="AW936" i="3" s="1"/>
  <c r="E795" i="6"/>
  <c r="G806" i="6"/>
  <c r="U803" i="6"/>
  <c r="N834" i="6"/>
  <c r="W675" i="6"/>
  <c r="AB675" i="6" s="1"/>
  <c r="Q677" i="6"/>
  <c r="W677" i="6" s="1"/>
  <c r="AB677" i="6" s="1"/>
  <c r="W720" i="6"/>
  <c r="AB720" i="6" s="1"/>
  <c r="Q722" i="6"/>
  <c r="W722" i="6" s="1"/>
  <c r="AB722" i="6" s="1"/>
  <c r="W896" i="6"/>
  <c r="AB896" i="6" s="1"/>
  <c r="Q902" i="6"/>
  <c r="W902" i="6" s="1"/>
  <c r="W656" i="6"/>
  <c r="AB656" i="6" s="1"/>
  <c r="Q751" i="6"/>
  <c r="W751" i="6" s="1"/>
  <c r="AB751" i="6" s="1"/>
  <c r="Q657" i="6"/>
  <c r="D20" i="12"/>
  <c r="W917" i="6"/>
  <c r="N753" i="6"/>
  <c r="AB894" i="6"/>
  <c r="W899" i="6"/>
  <c r="AB899" i="6" s="1"/>
  <c r="T760" i="6"/>
  <c r="T803" i="6"/>
  <c r="W670" i="6"/>
  <c r="AB670" i="6" s="1"/>
  <c r="Q672" i="6"/>
  <c r="W672" i="6" s="1"/>
  <c r="AB672" i="6" s="1"/>
  <c r="I28" i="2"/>
  <c r="W811" i="6"/>
  <c r="AB811" i="6" s="1"/>
  <c r="Q831" i="6"/>
  <c r="W831" i="6" s="1"/>
  <c r="AB831" i="6" s="1"/>
  <c r="Q813" i="6"/>
  <c r="N30" i="2"/>
  <c r="T662" i="6"/>
  <c r="T750" i="6"/>
  <c r="T831" i="6"/>
  <c r="T813" i="6"/>
  <c r="T834" i="6" s="1"/>
  <c r="T751" i="6"/>
  <c r="T657" i="6"/>
  <c r="T800" i="6"/>
  <c r="T804" i="6"/>
  <c r="D58" i="12"/>
  <c r="F58" i="12" s="1"/>
  <c r="F22" i="12"/>
  <c r="M753" i="6"/>
  <c r="W768" i="6"/>
  <c r="AB768" i="6" s="1"/>
  <c r="Q770" i="6"/>
  <c r="W770" i="6" s="1"/>
  <c r="AB770" i="6" s="1"/>
  <c r="W812" i="6"/>
  <c r="AB812" i="6" s="1"/>
  <c r="Q832" i="6"/>
  <c r="W832" i="6" s="1"/>
  <c r="AB832" i="6" s="1"/>
  <c r="Q732" i="6"/>
  <c r="W732" i="6" s="1"/>
  <c r="AB732" i="6" s="1"/>
  <c r="W730" i="6"/>
  <c r="AB730" i="6" s="1"/>
  <c r="W821" i="6"/>
  <c r="AB821" i="6" s="1"/>
  <c r="Q823" i="6"/>
  <c r="W823" i="6" s="1"/>
  <c r="AB823" i="6" s="1"/>
  <c r="M834" i="6"/>
  <c r="Q803" i="6"/>
  <c r="W758" i="6"/>
  <c r="Q760" i="6"/>
  <c r="W760" i="6" s="1"/>
  <c r="AB760" i="6" s="1"/>
  <c r="Q800" i="6"/>
  <c r="W799" i="6"/>
  <c r="AB799" i="6" s="1"/>
  <c r="Q804" i="6"/>
  <c r="W804" i="6" s="1"/>
  <c r="AB804" i="6" s="1"/>
  <c r="Q727" i="6"/>
  <c r="W727" i="6" s="1"/>
  <c r="AB727" i="6" s="1"/>
  <c r="W725" i="6"/>
  <c r="AB725" i="6" s="1"/>
  <c r="Q780" i="6"/>
  <c r="W780" i="6" s="1"/>
  <c r="AB780" i="6" s="1"/>
  <c r="W778" i="6"/>
  <c r="AB778" i="6" s="1"/>
  <c r="W826" i="6"/>
  <c r="AB826" i="6" s="1"/>
  <c r="Q828" i="6"/>
  <c r="W828" i="6" s="1"/>
  <c r="AB828" i="6" s="1"/>
  <c r="W660" i="6"/>
  <c r="AB660" i="6" s="1"/>
  <c r="Q662" i="6"/>
  <c r="W662" i="6" s="1"/>
  <c r="AB662" i="6" s="1"/>
  <c r="Q750" i="6"/>
  <c r="W750" i="6" s="1"/>
  <c r="AB750" i="6" s="1"/>
  <c r="AB934" i="6"/>
  <c r="J36" i="2"/>
  <c r="L36" i="2" s="1"/>
  <c r="E22" i="12"/>
  <c r="E58" i="12" s="1"/>
  <c r="W735" i="6"/>
  <c r="AB735" i="6" s="1"/>
  <c r="Q737" i="6"/>
  <c r="W737" i="6" s="1"/>
  <c r="AB737" i="6" s="1"/>
  <c r="W715" i="6"/>
  <c r="AB715" i="6" s="1"/>
  <c r="Q717" i="6"/>
  <c r="W717" i="6" s="1"/>
  <c r="AB717" i="6" s="1"/>
  <c r="AB650" i="6"/>
  <c r="J27" i="2"/>
  <c r="W680" i="6"/>
  <c r="AB680" i="6" s="1"/>
  <c r="Q682" i="6"/>
  <c r="W682" i="6" s="1"/>
  <c r="AB682" i="6" s="1"/>
  <c r="W920" i="6"/>
  <c r="AB920" i="6" s="1"/>
  <c r="Q924" i="6"/>
  <c r="Q926" i="6" s="1"/>
  <c r="N28" i="2"/>
  <c r="Q765" i="6"/>
  <c r="W765" i="6" s="1"/>
  <c r="AB765" i="6" s="1"/>
  <c r="W763" i="6"/>
  <c r="AB763" i="6" s="1"/>
  <c r="W695" i="6"/>
  <c r="AB695" i="6" s="1"/>
  <c r="Q697" i="6"/>
  <c r="W697" i="6" s="1"/>
  <c r="AB697" i="6" s="1"/>
  <c r="M35" i="2" l="1"/>
  <c r="M30" i="2"/>
  <c r="AU1229" i="3"/>
  <c r="AW1229" i="3" s="1"/>
  <c r="AW1235" i="3" s="1"/>
  <c r="AX933" i="3"/>
  <c r="G38" i="2"/>
  <c r="G953" i="6"/>
  <c r="E953" i="6" s="1"/>
  <c r="AX1223" i="3"/>
  <c r="T806" i="6"/>
  <c r="U794" i="6"/>
  <c r="U795" i="6" s="1"/>
  <c r="N795" i="6"/>
  <c r="AX805" i="3"/>
  <c r="G29" i="2"/>
  <c r="G32" i="2" s="1"/>
  <c r="G905" i="6"/>
  <c r="E806" i="6"/>
  <c r="R794" i="6"/>
  <c r="R795" i="6" s="1"/>
  <c r="M795" i="6"/>
  <c r="AU1234" i="3"/>
  <c r="H70" i="5"/>
  <c r="G1241" i="3"/>
  <c r="G1244" i="3"/>
  <c r="R789" i="6"/>
  <c r="R790" i="6" s="1"/>
  <c r="M790" i="6"/>
  <c r="U789" i="6"/>
  <c r="U790" i="6" s="1"/>
  <c r="N790" i="6"/>
  <c r="I806" i="6"/>
  <c r="E28" i="2"/>
  <c r="M28" i="2"/>
  <c r="AB758" i="6"/>
  <c r="W803" i="6"/>
  <c r="AB803" i="6" s="1"/>
  <c r="W657" i="6"/>
  <c r="AB657" i="6" s="1"/>
  <c r="Q753" i="6"/>
  <c r="AB917" i="6"/>
  <c r="E20" i="12"/>
  <c r="E56" i="12" s="1"/>
  <c r="Q806" i="6"/>
  <c r="W806" i="6" s="1"/>
  <c r="W800" i="6"/>
  <c r="AB800" i="6" s="1"/>
  <c r="W926" i="6"/>
  <c r="D21" i="12"/>
  <c r="W924" i="6"/>
  <c r="L27" i="2"/>
  <c r="T753" i="6"/>
  <c r="W813" i="6"/>
  <c r="AB813" i="6" s="1"/>
  <c r="Q834" i="6"/>
  <c r="W834" i="6" s="1"/>
  <c r="D56" i="12"/>
  <c r="F56" i="12" s="1"/>
  <c r="F20" i="12"/>
  <c r="AB902" i="6"/>
  <c r="J31" i="2"/>
  <c r="L31" i="2" s="1"/>
  <c r="AU1235" i="3" l="1"/>
  <c r="U806" i="6"/>
  <c r="U905" i="6" s="1"/>
  <c r="U936" i="6" s="1"/>
  <c r="U950" i="6" s="1"/>
  <c r="U953" i="6" s="1"/>
  <c r="U956" i="6" s="1"/>
  <c r="G956" i="6"/>
  <c r="AX939" i="3" s="1"/>
  <c r="AX936" i="3"/>
  <c r="T905" i="6"/>
  <c r="R806" i="6"/>
  <c r="R905" i="6" s="1"/>
  <c r="R936" i="6" s="1"/>
  <c r="R950" i="6" s="1"/>
  <c r="R953" i="6" s="1"/>
  <c r="R956" i="6" s="1"/>
  <c r="H71" i="5"/>
  <c r="H74" i="5" s="1"/>
  <c r="AA70" i="5"/>
  <c r="N29" i="2"/>
  <c r="AW1234" i="3"/>
  <c r="Z70" i="5"/>
  <c r="M806" i="6"/>
  <c r="M905" i="6" s="1"/>
  <c r="M1237" i="6" s="1"/>
  <c r="N806" i="6"/>
  <c r="N905" i="6" s="1"/>
  <c r="E19" i="12" s="1"/>
  <c r="E29" i="12" s="1"/>
  <c r="I29" i="2"/>
  <c r="I32" i="2" s="1"/>
  <c r="I905" i="6"/>
  <c r="AX892" i="3"/>
  <c r="G1237" i="6"/>
  <c r="E905" i="6"/>
  <c r="AB834" i="6"/>
  <c r="J30" i="2"/>
  <c r="L30" i="2" s="1"/>
  <c r="AB926" i="6"/>
  <c r="J35" i="2"/>
  <c r="AB806" i="6"/>
  <c r="J29" i="2"/>
  <c r="F21" i="12"/>
  <c r="D57" i="12"/>
  <c r="F57" i="12" s="1"/>
  <c r="W753" i="6"/>
  <c r="Q905" i="6"/>
  <c r="AB924" i="6"/>
  <c r="E21" i="12"/>
  <c r="E57" i="12" s="1"/>
  <c r="E956" i="6" l="1"/>
  <c r="M29" i="2"/>
  <c r="E55" i="12"/>
  <c r="E59" i="12" s="1"/>
  <c r="G41" i="2"/>
  <c r="N32" i="2"/>
  <c r="M32" i="2" s="1"/>
  <c r="E32" i="2"/>
  <c r="C19" i="12"/>
  <c r="I1237" i="6"/>
  <c r="N1237" i="6" s="1"/>
  <c r="G1253" i="6"/>
  <c r="E1237" i="6"/>
  <c r="AX1220" i="3"/>
  <c r="G1246" i="6"/>
  <c r="AB70" i="5"/>
  <c r="E29" i="2"/>
  <c r="W905" i="6"/>
  <c r="AB905" i="6" s="1"/>
  <c r="D19" i="12"/>
  <c r="AB753" i="6"/>
  <c r="J28" i="2"/>
  <c r="L35" i="2"/>
  <c r="AX1234" i="3" l="1"/>
  <c r="E1253" i="6"/>
  <c r="G69" i="2"/>
  <c r="G44" i="2"/>
  <c r="AX1227" i="3"/>
  <c r="E1246" i="6"/>
  <c r="G1248" i="6"/>
  <c r="C55" i="12"/>
  <c r="C59" i="12" s="1"/>
  <c r="C29" i="12"/>
  <c r="L28" i="2"/>
  <c r="J32" i="2"/>
  <c r="F19" i="12"/>
  <c r="D29" i="12"/>
  <c r="D55" i="12"/>
  <c r="E1248" i="6" l="1"/>
  <c r="G1254" i="6"/>
  <c r="AX1229" i="3"/>
  <c r="F29" i="12"/>
  <c r="F55" i="12"/>
  <c r="D59" i="12"/>
  <c r="E1254" i="6" l="1"/>
  <c r="AX1235" i="3"/>
  <c r="F59" i="12"/>
  <c r="M44" i="648" l="1"/>
  <c r="M47" i="648" s="1"/>
  <c r="M15" i="648" s="1"/>
  <c r="N15" i="648" s="1"/>
  <c r="N25" i="648" l="1"/>
  <c r="S15" i="648"/>
  <c r="S26" i="648" s="1"/>
  <c r="G39" i="648" s="1"/>
  <c r="R15" i="648"/>
  <c r="T28" i="648"/>
  <c r="G37" i="648" l="1"/>
  <c r="G35" i="648"/>
  <c r="G38" i="648"/>
  <c r="G36" i="648"/>
  <c r="AH259" i="650"/>
  <c r="I39" i="648"/>
  <c r="T15" i="648"/>
  <c r="T26" i="648" s="1"/>
  <c r="R26" i="648"/>
  <c r="G32" i="648" s="1"/>
  <c r="G41" i="648" s="1"/>
  <c r="G31" i="648" l="1"/>
  <c r="G29" i="648"/>
  <c r="G30" i="648"/>
  <c r="G28" i="648"/>
  <c r="I32" i="648"/>
  <c r="AH252" i="650"/>
  <c r="V252" i="650" s="1"/>
  <c r="V259" i="650"/>
  <c r="AH262" i="650" l="1"/>
  <c r="V257" i="650"/>
  <c r="W259" i="650"/>
  <c r="V256" i="650"/>
  <c r="V255" i="650"/>
  <c r="V258" i="650"/>
  <c r="V272" i="650"/>
  <c r="V281" i="650" s="1"/>
  <c r="V251" i="650"/>
  <c r="V250" i="650"/>
  <c r="V248" i="650"/>
  <c r="V249" i="650"/>
  <c r="W252" i="650"/>
  <c r="X252" i="650" s="1"/>
  <c r="Y252" i="650" s="1"/>
  <c r="Z252" i="650" s="1"/>
  <c r="AA252" i="650" s="1"/>
  <c r="AB252" i="650" s="1"/>
  <c r="AC252" i="650" s="1"/>
  <c r="AD252" i="650" s="1"/>
  <c r="AE252" i="650" s="1"/>
  <c r="AF252" i="650" s="1"/>
  <c r="AG252" i="650" s="1"/>
  <c r="V269" i="650" l="1"/>
  <c r="V278" i="650" s="1"/>
  <c r="W251" i="650"/>
  <c r="W256" i="650"/>
  <c r="V267" i="650"/>
  <c r="V276" i="650" s="1"/>
  <c r="W249" i="650"/>
  <c r="X259" i="650"/>
  <c r="W272" i="650"/>
  <c r="W281" i="650" s="1"/>
  <c r="V266" i="650"/>
  <c r="V275" i="650" s="1"/>
  <c r="W248" i="650"/>
  <c r="W258" i="650"/>
  <c r="W257" i="650"/>
  <c r="V268" i="650"/>
  <c r="V277" i="650" s="1"/>
  <c r="W250" i="650"/>
  <c r="W255" i="650"/>
  <c r="AI252" i="650"/>
  <c r="AK252" i="650"/>
  <c r="X255" i="650" l="1"/>
  <c r="X257" i="650"/>
  <c r="X258" i="650"/>
  <c r="X249" i="650"/>
  <c r="W267" i="650"/>
  <c r="W276" i="650" s="1"/>
  <c r="X251" i="650"/>
  <c r="W269" i="650"/>
  <c r="W278" i="650" s="1"/>
  <c r="Y259" i="650"/>
  <c r="X272" i="650"/>
  <c r="X281" i="650" s="1"/>
  <c r="X256" i="650"/>
  <c r="X248" i="650"/>
  <c r="W266" i="650"/>
  <c r="W275" i="650" s="1"/>
  <c r="X250" i="650"/>
  <c r="W268" i="650"/>
  <c r="W277" i="650" s="1"/>
  <c r="Y257" i="650" l="1"/>
  <c r="Y258" i="650"/>
  <c r="Y255" i="650"/>
  <c r="X268" i="650"/>
  <c r="X277" i="650" s="1"/>
  <c r="Y250" i="650"/>
  <c r="Y256" i="650"/>
  <c r="X267" i="650"/>
  <c r="X276" i="650" s="1"/>
  <c r="Y249" i="650"/>
  <c r="X266" i="650"/>
  <c r="X275" i="650" s="1"/>
  <c r="Y248" i="650"/>
  <c r="Y272" i="650"/>
  <c r="Y281" i="650" s="1"/>
  <c r="Z259" i="650"/>
  <c r="X269" i="650"/>
  <c r="X278" i="650" s="1"/>
  <c r="Y251" i="650"/>
  <c r="Z258" i="650" l="1"/>
  <c r="Z255" i="650"/>
  <c r="Z256" i="650"/>
  <c r="AA259" i="650"/>
  <c r="Z272" i="650"/>
  <c r="Z281" i="650" s="1"/>
  <c r="Z257" i="650"/>
  <c r="Z251" i="650"/>
  <c r="Y269" i="650"/>
  <c r="Y278" i="650" s="1"/>
  <c r="Y266" i="650"/>
  <c r="Y275" i="650" s="1"/>
  <c r="Z248" i="650"/>
  <c r="Y267" i="650"/>
  <c r="Y276" i="650" s="1"/>
  <c r="Z249" i="650"/>
  <c r="Y268" i="650"/>
  <c r="Y277" i="650" s="1"/>
  <c r="Z250" i="650"/>
  <c r="AA258" i="650" l="1"/>
  <c r="AA256" i="650"/>
  <c r="AA251" i="650"/>
  <c r="Z269" i="650"/>
  <c r="Z278" i="650" s="1"/>
  <c r="AA250" i="650"/>
  <c r="Z268" i="650"/>
  <c r="Z277" i="650" s="1"/>
  <c r="AA248" i="650"/>
  <c r="Z266" i="650"/>
  <c r="Z275" i="650" s="1"/>
  <c r="AA255" i="650"/>
  <c r="AA272" i="650"/>
  <c r="AA281" i="650" s="1"/>
  <c r="AB259" i="650"/>
  <c r="Z267" i="650"/>
  <c r="Z276" i="650" s="1"/>
  <c r="AA249" i="650"/>
  <c r="AA257" i="650"/>
  <c r="AC259" i="650" l="1"/>
  <c r="AB272" i="650"/>
  <c r="AB281" i="650" s="1"/>
  <c r="AA268" i="650"/>
  <c r="AA277" i="650" s="1"/>
  <c r="AB250" i="650"/>
  <c r="AB257" i="650"/>
  <c r="AA266" i="650"/>
  <c r="AA275" i="650" s="1"/>
  <c r="AB248" i="650"/>
  <c r="AB256" i="650"/>
  <c r="AA267" i="650"/>
  <c r="AA276" i="650" s="1"/>
  <c r="AB249" i="650"/>
  <c r="AB255" i="650"/>
  <c r="AA269" i="650"/>
  <c r="AA278" i="650" s="1"/>
  <c r="AB251" i="650"/>
  <c r="AB258" i="650"/>
  <c r="AC255" i="650" l="1"/>
  <c r="AC258" i="650"/>
  <c r="AC251" i="650"/>
  <c r="AB269" i="650"/>
  <c r="AB278" i="650" s="1"/>
  <c r="AC256" i="650"/>
  <c r="AC250" i="650"/>
  <c r="AB268" i="650"/>
  <c r="AB277" i="650" s="1"/>
  <c r="AC248" i="650"/>
  <c r="AB266" i="650"/>
  <c r="AB275" i="650" s="1"/>
  <c r="AC249" i="650"/>
  <c r="AB267" i="650"/>
  <c r="AB276" i="650" s="1"/>
  <c r="AC257" i="650"/>
  <c r="AC272" i="650"/>
  <c r="AC281" i="650" s="1"/>
  <c r="AD259" i="650"/>
  <c r="AD257" i="650" l="1"/>
  <c r="AD258" i="650"/>
  <c r="AD249" i="650"/>
  <c r="AC267" i="650"/>
  <c r="AC276" i="650" s="1"/>
  <c r="AD248" i="650"/>
  <c r="AC266" i="650"/>
  <c r="AC275" i="650" s="1"/>
  <c r="AD250" i="650"/>
  <c r="AC268" i="650"/>
  <c r="AC277" i="650" s="1"/>
  <c r="AE259" i="650"/>
  <c r="AD272" i="650"/>
  <c r="AD281" i="650" s="1"/>
  <c r="AD255" i="650"/>
  <c r="AD256" i="650"/>
  <c r="AD251" i="650"/>
  <c r="AC269" i="650"/>
  <c r="AC278" i="650" s="1"/>
  <c r="AE272" i="650" l="1"/>
  <c r="AE281" i="650" s="1"/>
  <c r="AF259" i="650"/>
  <c r="AE250" i="650"/>
  <c r="AD268" i="650"/>
  <c r="AD277" i="650" s="1"/>
  <c r="AE255" i="650"/>
  <c r="AE248" i="650"/>
  <c r="AD266" i="650"/>
  <c r="AD275" i="650" s="1"/>
  <c r="AE251" i="650"/>
  <c r="AD269" i="650"/>
  <c r="AD278" i="650" s="1"/>
  <c r="AE256" i="650"/>
  <c r="AF256" i="650" s="1"/>
  <c r="AE257" i="650"/>
  <c r="AE258" i="650"/>
  <c r="AE249" i="650"/>
  <c r="AD267" i="650"/>
  <c r="AD276" i="650" s="1"/>
  <c r="AF258" i="650" l="1"/>
  <c r="AF249" i="650"/>
  <c r="AE267" i="650"/>
  <c r="AE276" i="650" s="1"/>
  <c r="AF250" i="650"/>
  <c r="AE268" i="650"/>
  <c r="AE277" i="650" s="1"/>
  <c r="AG259" i="650"/>
  <c r="AG256" i="650" s="1"/>
  <c r="AF272" i="650"/>
  <c r="AF281" i="650" s="1"/>
  <c r="AF257" i="650"/>
  <c r="AF255" i="650"/>
  <c r="AF251" i="650"/>
  <c r="AE269" i="650"/>
  <c r="AE278" i="650" s="1"/>
  <c r="AF248" i="650"/>
  <c r="AE266" i="650"/>
  <c r="AE275" i="650" s="1"/>
  <c r="AL254" i="4" l="1"/>
  <c r="AK256" i="650"/>
  <c r="AJ256" i="650"/>
  <c r="AK254" i="4" s="1"/>
  <c r="AG251" i="650"/>
  <c r="AJ251" i="650" s="1"/>
  <c r="AF269" i="650"/>
  <c r="AF278" i="650" s="1"/>
  <c r="AG258" i="650"/>
  <c r="AG255" i="650"/>
  <c r="AJ255" i="650" s="1"/>
  <c r="AG249" i="650"/>
  <c r="AF267" i="650"/>
  <c r="AF276" i="650" s="1"/>
  <c r="N44" i="648"/>
  <c r="AG248" i="650"/>
  <c r="AF266" i="650"/>
  <c r="AF275" i="650" s="1"/>
  <c r="AG257" i="650"/>
  <c r="AG250" i="650"/>
  <c r="AF268" i="650"/>
  <c r="AF277" i="650" s="1"/>
  <c r="AG272" i="650"/>
  <c r="AK259" i="650"/>
  <c r="AI259" i="650"/>
  <c r="AI272" i="650" s="1"/>
  <c r="AI281" i="650" s="1"/>
  <c r="AL248" i="4" l="1"/>
  <c r="AK250" i="650"/>
  <c r="AK248" i="650"/>
  <c r="AL246" i="4"/>
  <c r="AK249" i="4"/>
  <c r="N47" i="648"/>
  <c r="O44" i="648"/>
  <c r="AK253" i="4"/>
  <c r="AG269" i="650"/>
  <c r="AK258" i="650"/>
  <c r="AL256" i="4"/>
  <c r="AJ258" i="650"/>
  <c r="AK256" i="4" s="1"/>
  <c r="AP256" i="4" s="1"/>
  <c r="AJ249" i="650"/>
  <c r="AK249" i="650"/>
  <c r="AL247" i="4"/>
  <c r="AL265" i="4" s="1"/>
  <c r="AL274" i="4" s="1"/>
  <c r="AG281" i="650"/>
  <c r="AK281" i="650" s="1"/>
  <c r="AK272" i="650"/>
  <c r="AG268" i="650"/>
  <c r="AK257" i="650"/>
  <c r="AL255" i="4"/>
  <c r="AJ257" i="650"/>
  <c r="AK255" i="4" s="1"/>
  <c r="AJ250" i="650"/>
  <c r="AJ248" i="650"/>
  <c r="AJ266" i="650" s="1"/>
  <c r="AJ275" i="650" s="1"/>
  <c r="AG266" i="650"/>
  <c r="AL253" i="4"/>
  <c r="AK255" i="650"/>
  <c r="AK251" i="650"/>
  <c r="AL249" i="4"/>
  <c r="AG267" i="650"/>
  <c r="AL266" i="4" l="1"/>
  <c r="AL275" i="4" s="1"/>
  <c r="AL257" i="4"/>
  <c r="AL267" i="4"/>
  <c r="AL276" i="4" s="1"/>
  <c r="AK248" i="4"/>
  <c r="AK266" i="4" s="1"/>
  <c r="AJ268" i="650"/>
  <c r="AJ277" i="650" s="1"/>
  <c r="AG277" i="650"/>
  <c r="AK277" i="650" s="1"/>
  <c r="AK268" i="650"/>
  <c r="O47" i="648"/>
  <c r="O15" i="648"/>
  <c r="P15" i="648" s="1"/>
  <c r="AG276" i="650"/>
  <c r="AK276" i="650" s="1"/>
  <c r="AK267" i="650"/>
  <c r="AK257" i="4"/>
  <c r="AP257" i="4" s="1"/>
  <c r="AP255" i="4"/>
  <c r="AK247" i="4"/>
  <c r="AK265" i="4" s="1"/>
  <c r="AJ267" i="650"/>
  <c r="AJ276" i="650" s="1"/>
  <c r="AK246" i="4"/>
  <c r="AK264" i="4" s="1"/>
  <c r="AJ252" i="650"/>
  <c r="AG278" i="650"/>
  <c r="AK278" i="650" s="1"/>
  <c r="AK269" i="650"/>
  <c r="AL250" i="4"/>
  <c r="AL264" i="4"/>
  <c r="AL273" i="4" s="1"/>
  <c r="AQ256" i="4"/>
  <c r="F1191" i="3" s="1"/>
  <c r="AU1191" i="3" s="1"/>
  <c r="AW1191" i="3" s="1"/>
  <c r="AZ256" i="4"/>
  <c r="BA256" i="4" s="1"/>
  <c r="AJ259" i="650"/>
  <c r="AJ269" i="650"/>
  <c r="AJ278" i="650" s="1"/>
  <c r="AG275" i="650"/>
  <c r="AK275" i="650" s="1"/>
  <c r="AK266" i="650"/>
  <c r="AK267" i="4"/>
  <c r="AL270" i="4" l="1"/>
  <c r="AL279" i="4" s="1"/>
  <c r="AL277" i="4"/>
  <c r="AJ272" i="650"/>
  <c r="AJ281" i="650" s="1"/>
  <c r="AQ257" i="4"/>
  <c r="AZ257" i="4"/>
  <c r="BA257" i="4" s="1"/>
  <c r="AK276" i="4"/>
  <c r="AP267" i="4"/>
  <c r="AK250" i="4"/>
  <c r="AK274" i="4"/>
  <c r="AP265" i="4"/>
  <c r="AZ255" i="4"/>
  <c r="BA255" i="4" s="1"/>
  <c r="AQ255" i="4"/>
  <c r="F1190" i="3" s="1"/>
  <c r="AU1190" i="3" s="1"/>
  <c r="AW1190" i="3" s="1"/>
  <c r="G1208" i="6"/>
  <c r="AX1191" i="3" s="1"/>
  <c r="V15" i="648"/>
  <c r="V26" i="648" s="1"/>
  <c r="H39" i="648" s="1"/>
  <c r="U15" i="648"/>
  <c r="W28" i="648"/>
  <c r="P25" i="648"/>
  <c r="AK273" i="4"/>
  <c r="AK270" i="4"/>
  <c r="AP264" i="4"/>
  <c r="AK275" i="4"/>
  <c r="AP266" i="4"/>
  <c r="H37" i="648" l="1"/>
  <c r="H35" i="648"/>
  <c r="H38" i="648"/>
  <c r="H36" i="648"/>
  <c r="E1208" i="6"/>
  <c r="I1208" i="6"/>
  <c r="AK277" i="4"/>
  <c r="J39" i="648"/>
  <c r="AX259" i="650"/>
  <c r="AL259" i="650" s="1"/>
  <c r="AK279" i="4"/>
  <c r="AP270" i="4"/>
  <c r="W15" i="648"/>
  <c r="W26" i="648" s="1"/>
  <c r="U26" i="648"/>
  <c r="H32" i="648" s="1"/>
  <c r="H41" i="648" s="1"/>
  <c r="G1207" i="6"/>
  <c r="AX1190" i="3" s="1"/>
  <c r="H31" i="648" l="1"/>
  <c r="H29" i="648"/>
  <c r="H30" i="648"/>
  <c r="H28" i="648"/>
  <c r="I1207" i="6"/>
  <c r="E1207" i="6"/>
  <c r="M1208" i="6"/>
  <c r="Q1208" i="6" s="1"/>
  <c r="W1208" i="6" s="1"/>
  <c r="AB1208" i="6" s="1"/>
  <c r="N1208" i="6"/>
  <c r="T1208" i="6" s="1"/>
  <c r="J32" i="648"/>
  <c r="AX252" i="650"/>
  <c r="AM259" i="650"/>
  <c r="AL256" i="650"/>
  <c r="AL255" i="650"/>
  <c r="AL258" i="650"/>
  <c r="AL257" i="650"/>
  <c r="AM257" i="650" l="1"/>
  <c r="AM258" i="650"/>
  <c r="AM255" i="650"/>
  <c r="AM256" i="650"/>
  <c r="AN259" i="650"/>
  <c r="AX262" i="650"/>
  <c r="AL252" i="650"/>
  <c r="N1207" i="6"/>
  <c r="T1207" i="6" s="1"/>
  <c r="M1207" i="6"/>
  <c r="Q1207" i="6" s="1"/>
  <c r="W1207" i="6" s="1"/>
  <c r="AB1207" i="6" s="1"/>
  <c r="AN256" i="650" l="1"/>
  <c r="AO259" i="650"/>
  <c r="AN255" i="650"/>
  <c r="AM252" i="650"/>
  <c r="AL249" i="650"/>
  <c r="AL250" i="650"/>
  <c r="AL251" i="650"/>
  <c r="AL248" i="650"/>
  <c r="AL272" i="650"/>
  <c r="AL281" i="650" s="1"/>
  <c r="AN258" i="650"/>
  <c r="AO258" i="650" s="1"/>
  <c r="AN257" i="650"/>
  <c r="AM250" i="650" l="1"/>
  <c r="AL268" i="650"/>
  <c r="AL277" i="650" s="1"/>
  <c r="AM249" i="650"/>
  <c r="AL267" i="650"/>
  <c r="AL276" i="650" s="1"/>
  <c r="AP259" i="650"/>
  <c r="AN252" i="650"/>
  <c r="AM272" i="650"/>
  <c r="AM281" i="650" s="1"/>
  <c r="AO256" i="650"/>
  <c r="AO257" i="650"/>
  <c r="AM251" i="650"/>
  <c r="AL269" i="650"/>
  <c r="AL278" i="650" s="1"/>
  <c r="AO255" i="650"/>
  <c r="AM248" i="650"/>
  <c r="AL266" i="650"/>
  <c r="AL275" i="650" s="1"/>
  <c r="AP257" i="650" l="1"/>
  <c r="AQ259" i="650"/>
  <c r="AP255" i="650"/>
  <c r="AN250" i="650"/>
  <c r="AM268" i="650"/>
  <c r="AM277" i="650" s="1"/>
  <c r="AN251" i="650"/>
  <c r="AM269" i="650"/>
  <c r="AM278" i="650" s="1"/>
  <c r="AO252" i="650"/>
  <c r="AN272" i="650"/>
  <c r="AN281" i="650" s="1"/>
  <c r="AN249" i="650"/>
  <c r="AM267" i="650"/>
  <c r="AM276" i="650" s="1"/>
  <c r="AN248" i="650"/>
  <c r="AM266" i="650"/>
  <c r="AM275" i="650" s="1"/>
  <c r="AP256" i="650"/>
  <c r="AQ256" i="650" s="1"/>
  <c r="AP258" i="650"/>
  <c r="AQ258" i="650" l="1"/>
  <c r="AQ255" i="650"/>
  <c r="AO249" i="650"/>
  <c r="AN267" i="650"/>
  <c r="AN276" i="650" s="1"/>
  <c r="AO251" i="650"/>
  <c r="AN269" i="650"/>
  <c r="AN278" i="650" s="1"/>
  <c r="AR259" i="650"/>
  <c r="AO248" i="650"/>
  <c r="AN266" i="650"/>
  <c r="AN275" i="650" s="1"/>
  <c r="AP252" i="650"/>
  <c r="AO272" i="650"/>
  <c r="AO281" i="650" s="1"/>
  <c r="AO250" i="650"/>
  <c r="AN268" i="650"/>
  <c r="AN277" i="650" s="1"/>
  <c r="AQ257" i="650"/>
  <c r="AR258" i="650" l="1"/>
  <c r="AR257" i="650"/>
  <c r="AQ252" i="650"/>
  <c r="AP272" i="650"/>
  <c r="AP281" i="650" s="1"/>
  <c r="AP250" i="650"/>
  <c r="AO268" i="650"/>
  <c r="AO277" i="650" s="1"/>
  <c r="AS259" i="650"/>
  <c r="AP249" i="650"/>
  <c r="AO267" i="650"/>
  <c r="AO276" i="650" s="1"/>
  <c r="AR256" i="650"/>
  <c r="AP248" i="650"/>
  <c r="AO266" i="650"/>
  <c r="AO275" i="650" s="1"/>
  <c r="AP251" i="650"/>
  <c r="AO269" i="650"/>
  <c r="AO278" i="650" s="1"/>
  <c r="AR255" i="650"/>
  <c r="AT259" i="650" l="1"/>
  <c r="AS256" i="650"/>
  <c r="AS257" i="650"/>
  <c r="AR252" i="650"/>
  <c r="AQ272" i="650"/>
  <c r="AQ281" i="650" s="1"/>
  <c r="AS255" i="650"/>
  <c r="AQ248" i="650"/>
  <c r="AP266" i="650"/>
  <c r="AP275" i="650" s="1"/>
  <c r="AQ250" i="650"/>
  <c r="AP268" i="650"/>
  <c r="AP277" i="650" s="1"/>
  <c r="AQ251" i="650"/>
  <c r="AP269" i="650"/>
  <c r="AP278" i="650" s="1"/>
  <c r="AQ249" i="650"/>
  <c r="AP267" i="650"/>
  <c r="AP276" i="650" s="1"/>
  <c r="AS258" i="650"/>
  <c r="AT255" i="650" l="1"/>
  <c r="AT256" i="650"/>
  <c r="AR249" i="650"/>
  <c r="AQ267" i="650"/>
  <c r="AQ276" i="650" s="1"/>
  <c r="AR250" i="650"/>
  <c r="AQ268" i="650"/>
  <c r="AQ277" i="650" s="1"/>
  <c r="AU259" i="650"/>
  <c r="AT258" i="650"/>
  <c r="AR251" i="650"/>
  <c r="AQ269" i="650"/>
  <c r="AQ278" i="650" s="1"/>
  <c r="AR248" i="650"/>
  <c r="AQ266" i="650"/>
  <c r="AQ275" i="650" s="1"/>
  <c r="AT257" i="650"/>
  <c r="AS252" i="650"/>
  <c r="AR272" i="650"/>
  <c r="AR281" i="650" s="1"/>
  <c r="AV259" i="650" l="1"/>
  <c r="AS251" i="650"/>
  <c r="AR269" i="650"/>
  <c r="AR278" i="650" s="1"/>
  <c r="AS248" i="650"/>
  <c r="AR266" i="650"/>
  <c r="AR275" i="650" s="1"/>
  <c r="AT252" i="650"/>
  <c r="AS272" i="650"/>
  <c r="AS281" i="650" s="1"/>
  <c r="AS249" i="650"/>
  <c r="AR267" i="650"/>
  <c r="AR276" i="650" s="1"/>
  <c r="AU257" i="650"/>
  <c r="AU256" i="650"/>
  <c r="AU258" i="650"/>
  <c r="AS250" i="650"/>
  <c r="AR268" i="650"/>
  <c r="AR277" i="650" s="1"/>
  <c r="AU255" i="650"/>
  <c r="AV255" i="650" l="1"/>
  <c r="AV256" i="650"/>
  <c r="AV258" i="650"/>
  <c r="AV257" i="650"/>
  <c r="AU252" i="650"/>
  <c r="AT272" i="650"/>
  <c r="AT281" i="650" s="1"/>
  <c r="AT251" i="650"/>
  <c r="AS269" i="650"/>
  <c r="AS278" i="650" s="1"/>
  <c r="AT250" i="650"/>
  <c r="AS268" i="650"/>
  <c r="AS277" i="650" s="1"/>
  <c r="AT249" i="650"/>
  <c r="AS267" i="650"/>
  <c r="AS276" i="650" s="1"/>
  <c r="AT248" i="650"/>
  <c r="AS266" i="650"/>
  <c r="AS275" i="650" s="1"/>
  <c r="AW259" i="650"/>
  <c r="AW256" i="650" l="1"/>
  <c r="AN254" i="4" s="1"/>
  <c r="AV252" i="650"/>
  <c r="AU272" i="650"/>
  <c r="AU281" i="650" s="1"/>
  <c r="AW258" i="650"/>
  <c r="AU251" i="650"/>
  <c r="AT269" i="650"/>
  <c r="AT278" i="650" s="1"/>
  <c r="AU250" i="650"/>
  <c r="AT268" i="650"/>
  <c r="AT277" i="650" s="1"/>
  <c r="AY259" i="650"/>
  <c r="AU249" i="650"/>
  <c r="AT267" i="650"/>
  <c r="AT276" i="650" s="1"/>
  <c r="AW257" i="650"/>
  <c r="AU248" i="650"/>
  <c r="AT266" i="650"/>
  <c r="AT275" i="650" s="1"/>
  <c r="AW255" i="650"/>
  <c r="BA256" i="650" l="1"/>
  <c r="AM254" i="4" s="1"/>
  <c r="AP254" i="4" s="1"/>
  <c r="AQ254" i="4" s="1"/>
  <c r="F1189" i="3" s="1"/>
  <c r="AU1189" i="3" s="1"/>
  <c r="AW1189" i="3" s="1"/>
  <c r="G1206" i="6" s="1"/>
  <c r="AV248" i="650"/>
  <c r="AU266" i="650"/>
  <c r="AU275" i="650" s="1"/>
  <c r="AW252" i="650"/>
  <c r="AV272" i="650"/>
  <c r="AV281" i="650" s="1"/>
  <c r="AV251" i="650"/>
  <c r="AU269" i="650"/>
  <c r="AU278" i="650" s="1"/>
  <c r="BA255" i="650"/>
  <c r="AN253" i="4"/>
  <c r="BA258" i="650"/>
  <c r="AM256" i="4" s="1"/>
  <c r="AN256" i="4"/>
  <c r="AV249" i="650"/>
  <c r="AU267" i="650"/>
  <c r="AU276" i="650" s="1"/>
  <c r="AV250" i="650"/>
  <c r="AU268" i="650"/>
  <c r="AU277" i="650" s="1"/>
  <c r="BA257" i="650"/>
  <c r="AM255" i="4" s="1"/>
  <c r="AN255" i="4"/>
  <c r="AZ254" i="4" l="1"/>
  <c r="BA254" i="4" s="1"/>
  <c r="AX1189" i="3"/>
  <c r="I1206" i="6"/>
  <c r="E1206" i="6"/>
  <c r="AW250" i="650"/>
  <c r="AV268" i="650"/>
  <c r="AV277" i="650" s="1"/>
  <c r="AW249" i="650"/>
  <c r="AV267" i="650"/>
  <c r="AV276" i="650" s="1"/>
  <c r="AM253" i="4"/>
  <c r="AP253" i="4" s="1"/>
  <c r="BA259" i="650"/>
  <c r="AY252" i="650"/>
  <c r="AY272" i="650" s="1"/>
  <c r="AY281" i="650" s="1"/>
  <c r="AW272" i="650"/>
  <c r="AW281" i="650" s="1"/>
  <c r="AW251" i="650"/>
  <c r="AV269" i="650"/>
  <c r="AV278" i="650" s="1"/>
  <c r="AN257" i="4"/>
  <c r="AW248" i="650"/>
  <c r="AV266" i="650"/>
  <c r="AV275" i="650" s="1"/>
  <c r="AM257" i="4" l="1"/>
  <c r="BA249" i="650"/>
  <c r="AN247" i="4"/>
  <c r="AN265" i="4" s="1"/>
  <c r="AN274" i="4" s="1"/>
  <c r="AW267" i="650"/>
  <c r="AW276" i="650" s="1"/>
  <c r="BA250" i="650"/>
  <c r="AN248" i="4"/>
  <c r="AN266" i="4" s="1"/>
  <c r="AN275" i="4" s="1"/>
  <c r="AW268" i="650"/>
  <c r="AW277" i="650" s="1"/>
  <c r="BA251" i="650"/>
  <c r="AN249" i="4"/>
  <c r="AN267" i="4" s="1"/>
  <c r="AN276" i="4" s="1"/>
  <c r="AW269" i="650"/>
  <c r="AW278" i="650" s="1"/>
  <c r="BA248" i="650"/>
  <c r="AN246" i="4"/>
  <c r="AW266" i="650"/>
  <c r="AW275" i="650" s="1"/>
  <c r="N1206" i="6"/>
  <c r="T1206" i="6" s="1"/>
  <c r="T1209" i="6" s="1"/>
  <c r="M1206" i="6"/>
  <c r="Q1206" i="6" s="1"/>
  <c r="W1206" i="6" s="1"/>
  <c r="AB1206" i="6" s="1"/>
  <c r="AQ253" i="4"/>
  <c r="F1188" i="3" s="1"/>
  <c r="AZ253" i="4"/>
  <c r="BA253" i="4" s="1"/>
  <c r="AU1188" i="3" l="1"/>
  <c r="F1192" i="3"/>
  <c r="AM247" i="4"/>
  <c r="BA267" i="650"/>
  <c r="BA276" i="650" s="1"/>
  <c r="AN250" i="4"/>
  <c r="AN270" i="4" s="1"/>
  <c r="AN279" i="4" s="1"/>
  <c r="AN264" i="4"/>
  <c r="AN273" i="4" s="1"/>
  <c r="AN277" i="4" s="1"/>
  <c r="AM248" i="4"/>
  <c r="BA268" i="650"/>
  <c r="BA277" i="650" s="1"/>
  <c r="AM246" i="4"/>
  <c r="BA252" i="650"/>
  <c r="BA272" i="650" s="1"/>
  <c r="BA281" i="650" s="1"/>
  <c r="BA266" i="650"/>
  <c r="BA275" i="650" s="1"/>
  <c r="AM249" i="4"/>
  <c r="BA269" i="650"/>
  <c r="BA278" i="650" s="1"/>
  <c r="AW1188" i="3" l="1"/>
  <c r="AU1192" i="3"/>
  <c r="AP249" i="4"/>
  <c r="AM267" i="4"/>
  <c r="AM276" i="4" s="1"/>
  <c r="AP276" i="4" s="1"/>
  <c r="AP248" i="4"/>
  <c r="AM266" i="4"/>
  <c r="AM275" i="4" s="1"/>
  <c r="AP275" i="4" s="1"/>
  <c r="AP247" i="4"/>
  <c r="AM265" i="4"/>
  <c r="AM274" i="4" s="1"/>
  <c r="AP274" i="4" s="1"/>
  <c r="AP246" i="4"/>
  <c r="AM250" i="4"/>
  <c r="AM264" i="4"/>
  <c r="AM273" i="4" s="1"/>
  <c r="AP273" i="4" l="1"/>
  <c r="AM277" i="4"/>
  <c r="AP277" i="4" s="1"/>
  <c r="AQ247" i="4"/>
  <c r="AZ247" i="4"/>
  <c r="AP250" i="4"/>
  <c r="AM270" i="4"/>
  <c r="AM279" i="4" s="1"/>
  <c r="AP279" i="4" s="1"/>
  <c r="AZ279" i="4" s="1"/>
  <c r="AZ246" i="4"/>
  <c r="AQ246" i="4"/>
  <c r="AZ249" i="4"/>
  <c r="AQ249" i="4"/>
  <c r="AQ248" i="4"/>
  <c r="AZ248" i="4"/>
  <c r="G1205" i="6"/>
  <c r="AX1188" i="3" s="1"/>
  <c r="AW1192" i="3"/>
  <c r="BA246" i="4" l="1"/>
  <c r="AZ264" i="4"/>
  <c r="F1184" i="3"/>
  <c r="AQ267" i="4"/>
  <c r="AQ276" i="4" s="1"/>
  <c r="I1205" i="6"/>
  <c r="E1205" i="6"/>
  <c r="G1209" i="6"/>
  <c r="E1209" i="6" s="1"/>
  <c r="BA249" i="4"/>
  <c r="AZ267" i="4"/>
  <c r="AZ250" i="4"/>
  <c r="BA250" i="4" s="1"/>
  <c r="AQ250" i="4"/>
  <c r="AQ270" i="4" s="1"/>
  <c r="BA248" i="4"/>
  <c r="AZ266" i="4"/>
  <c r="F1181" i="3"/>
  <c r="AQ264" i="4"/>
  <c r="AQ273" i="4" s="1"/>
  <c r="BA247" i="4"/>
  <c r="AZ265" i="4"/>
  <c r="F1183" i="3"/>
  <c r="AQ266" i="4"/>
  <c r="AQ275" i="4" s="1"/>
  <c r="F1182" i="3"/>
  <c r="AQ265" i="4"/>
  <c r="AQ274" i="4" s="1"/>
  <c r="AX1192" i="3" l="1"/>
  <c r="AU1183" i="3"/>
  <c r="F1201" i="3"/>
  <c r="F1210" i="3" s="1"/>
  <c r="F1240" i="3" s="1"/>
  <c r="AU1240" i="3" s="1"/>
  <c r="AW1240" i="3" s="1"/>
  <c r="AZ273" i="4"/>
  <c r="BA273" i="4" s="1"/>
  <c r="BA264" i="4"/>
  <c r="AZ270" i="4"/>
  <c r="AZ274" i="4"/>
  <c r="BA274" i="4" s="1"/>
  <c r="BA265" i="4"/>
  <c r="AZ276" i="4"/>
  <c r="BA276" i="4" s="1"/>
  <c r="BA267" i="4"/>
  <c r="N1205" i="6"/>
  <c r="M1205" i="6"/>
  <c r="I1209" i="6"/>
  <c r="AU1182" i="3"/>
  <c r="F1200" i="3"/>
  <c r="F1209" i="3" s="1"/>
  <c r="F1239" i="3" s="1"/>
  <c r="AU1239" i="3" s="1"/>
  <c r="AW1239" i="3" s="1"/>
  <c r="AQ277" i="4"/>
  <c r="AQ279" i="4"/>
  <c r="BA279" i="4" s="1"/>
  <c r="BA270" i="4"/>
  <c r="AU1184" i="3"/>
  <c r="F1202" i="3"/>
  <c r="F1211" i="3" s="1"/>
  <c r="F1241" i="3" s="1"/>
  <c r="F1185" i="3"/>
  <c r="AU1181" i="3"/>
  <c r="F1199" i="3"/>
  <c r="F1208" i="3" s="1"/>
  <c r="F1238" i="3" s="1"/>
  <c r="AU1238" i="3" s="1"/>
  <c r="AW1238" i="3" s="1"/>
  <c r="BA266" i="4"/>
  <c r="AZ275" i="4"/>
  <c r="BA275" i="4" s="1"/>
  <c r="Q1205" i="6" l="1"/>
  <c r="M1209" i="6"/>
  <c r="AW1184" i="3"/>
  <c r="AU1202" i="3"/>
  <c r="AU1211" i="3" s="1"/>
  <c r="AU1241" i="3" s="1"/>
  <c r="AW1181" i="3"/>
  <c r="AU1185" i="3"/>
  <c r="AU1199" i="3"/>
  <c r="AU1208" i="3" s="1"/>
  <c r="AW1182" i="3"/>
  <c r="AU1200" i="3"/>
  <c r="AU1209" i="3" s="1"/>
  <c r="F1205" i="3"/>
  <c r="F1214" i="3" s="1"/>
  <c r="F1244" i="3" s="1"/>
  <c r="AU1244" i="3" s="1"/>
  <c r="AW1244" i="3" s="1"/>
  <c r="G69" i="5"/>
  <c r="U1205" i="6"/>
  <c r="U1209" i="6" s="1"/>
  <c r="N1209" i="6"/>
  <c r="AW1183" i="3"/>
  <c r="AU1201" i="3"/>
  <c r="AU1210" i="3" s="1"/>
  <c r="AA69" i="5" l="1"/>
  <c r="AA71" i="5" s="1"/>
  <c r="AA74" i="5" s="1"/>
  <c r="G71" i="5"/>
  <c r="G74" i="5" s="1"/>
  <c r="Z69" i="5"/>
  <c r="AU1205" i="3"/>
  <c r="AU1214" i="3" s="1"/>
  <c r="G1201" i="6"/>
  <c r="AX1184" i="3" s="1"/>
  <c r="AW1202" i="3"/>
  <c r="AW1185" i="3"/>
  <c r="G1198" i="6"/>
  <c r="AX1181" i="3" s="1"/>
  <c r="AW1199" i="3"/>
  <c r="G1200" i="6"/>
  <c r="AX1183" i="3" s="1"/>
  <c r="AW1201" i="3"/>
  <c r="G1199" i="6"/>
  <c r="AW1200" i="3"/>
  <c r="W1205" i="6"/>
  <c r="AB1205" i="6" s="1"/>
  <c r="Q1209" i="6"/>
  <c r="W1209" i="6" s="1"/>
  <c r="AW1208" i="3" l="1"/>
  <c r="AB69" i="5"/>
  <c r="AB71" i="5" s="1"/>
  <c r="AB74" i="5" s="1"/>
  <c r="Z71" i="5"/>
  <c r="Z74" i="5" s="1"/>
  <c r="E1201" i="6"/>
  <c r="I1201" i="6"/>
  <c r="G1219" i="6"/>
  <c r="AX1182" i="3"/>
  <c r="E1199" i="6"/>
  <c r="I1199" i="6"/>
  <c r="G1217" i="6"/>
  <c r="AX1200" i="3" s="1"/>
  <c r="AW1211" i="3"/>
  <c r="AB1209" i="6"/>
  <c r="AW1210" i="3"/>
  <c r="E1198" i="6"/>
  <c r="G1202" i="6"/>
  <c r="AX1185" i="3" s="1"/>
  <c r="I1198" i="6"/>
  <c r="G1216" i="6"/>
  <c r="AX1199" i="3" s="1"/>
  <c r="AW1209" i="3"/>
  <c r="E1200" i="6"/>
  <c r="I1200" i="6"/>
  <c r="G1218" i="6"/>
  <c r="AW1205" i="3"/>
  <c r="E1202" i="6" l="1"/>
  <c r="G68" i="2"/>
  <c r="E1219" i="6"/>
  <c r="G1228" i="6"/>
  <c r="AX1211" i="3" s="1"/>
  <c r="E1218" i="6"/>
  <c r="G1227" i="6"/>
  <c r="AW1214" i="3"/>
  <c r="I1202" i="6"/>
  <c r="I68" i="2" s="1"/>
  <c r="N1198" i="6"/>
  <c r="M1198" i="6"/>
  <c r="I1216" i="6"/>
  <c r="AW1241" i="3"/>
  <c r="G1226" i="6"/>
  <c r="AX1209" i="3" s="1"/>
  <c r="E1217" i="6"/>
  <c r="N1199" i="6"/>
  <c r="M1199" i="6"/>
  <c r="I1217" i="6"/>
  <c r="M1201" i="6"/>
  <c r="N1201" i="6"/>
  <c r="I1219" i="6"/>
  <c r="N1200" i="6"/>
  <c r="M1200" i="6"/>
  <c r="I1218" i="6"/>
  <c r="E1216" i="6"/>
  <c r="G1225" i="6"/>
  <c r="AX1208" i="3" s="1"/>
  <c r="G1222" i="6"/>
  <c r="AX1201" i="3"/>
  <c r="AX1202" i="3"/>
  <c r="D25" i="50" l="1"/>
  <c r="I1227" i="6"/>
  <c r="I1259" i="6" s="1"/>
  <c r="T1199" i="6"/>
  <c r="N1217" i="6"/>
  <c r="N1226" i="6" s="1"/>
  <c r="N1258" i="6" s="1"/>
  <c r="Q1198" i="6"/>
  <c r="M1202" i="6"/>
  <c r="M1216" i="6"/>
  <c r="E1222" i="6"/>
  <c r="G1231" i="6"/>
  <c r="Q1201" i="6"/>
  <c r="M1219" i="6"/>
  <c r="M1228" i="6" s="1"/>
  <c r="U1198" i="6"/>
  <c r="N1202" i="6"/>
  <c r="N1216" i="6"/>
  <c r="E1227" i="6"/>
  <c r="G1259" i="6"/>
  <c r="E68" i="2"/>
  <c r="N68" i="2"/>
  <c r="M68" i="2" s="1"/>
  <c r="G70" i="2"/>
  <c r="E1225" i="6"/>
  <c r="G1257" i="6"/>
  <c r="I1226" i="6"/>
  <c r="I1258" i="6" s="1"/>
  <c r="E25" i="50"/>
  <c r="I1228" i="6"/>
  <c r="B25" i="50"/>
  <c r="Q1199" i="6"/>
  <c r="M1217" i="6"/>
  <c r="M1226" i="6" s="1"/>
  <c r="M1258" i="6" s="1"/>
  <c r="G1258" i="6"/>
  <c r="E1226" i="6"/>
  <c r="I1225" i="6"/>
  <c r="I1257" i="6" s="1"/>
  <c r="C25" i="50" s="1"/>
  <c r="I1222" i="6"/>
  <c r="I1231" i="6" s="1"/>
  <c r="AX1205" i="3"/>
  <c r="E1228" i="6"/>
  <c r="G1260" i="6"/>
  <c r="E1260" i="6" s="1"/>
  <c r="T1201" i="6"/>
  <c r="T1219" i="6" s="1"/>
  <c r="T1228" i="6" s="1"/>
  <c r="N1219" i="6"/>
  <c r="N1228" i="6" s="1"/>
  <c r="Q1200" i="6"/>
  <c r="M1218" i="6"/>
  <c r="M1227" i="6" s="1"/>
  <c r="M1259" i="6" s="1"/>
  <c r="T1200" i="6"/>
  <c r="T1218" i="6" s="1"/>
  <c r="T1227" i="6" s="1"/>
  <c r="T1259" i="6" s="1"/>
  <c r="N1218" i="6"/>
  <c r="N1227" i="6" s="1"/>
  <c r="N1259" i="6" s="1"/>
  <c r="AX1210" i="3"/>
  <c r="T1202" i="6" l="1"/>
  <c r="T1217" i="6"/>
  <c r="W1200" i="6"/>
  <c r="AB1200" i="6" s="1"/>
  <c r="Q1218" i="6"/>
  <c r="E29" i="50"/>
  <c r="D29" i="50"/>
  <c r="W1199" i="6"/>
  <c r="AB1199" i="6" s="1"/>
  <c r="Q1217" i="6"/>
  <c r="N1225" i="6"/>
  <c r="N1257" i="6" s="1"/>
  <c r="N1222" i="6"/>
  <c r="N1231" i="6" s="1"/>
  <c r="W1201" i="6"/>
  <c r="AB1201" i="6" s="1"/>
  <c r="Q1219" i="6"/>
  <c r="D27" i="50"/>
  <c r="E27" i="50"/>
  <c r="F25" i="50"/>
  <c r="AX1214" i="3"/>
  <c r="E1231" i="6"/>
  <c r="G1263" i="6"/>
  <c r="W1198" i="6"/>
  <c r="AB1198" i="6" s="1"/>
  <c r="Q1202" i="6"/>
  <c r="W1202" i="6" s="1"/>
  <c r="Q1216" i="6"/>
  <c r="E1258" i="6"/>
  <c r="AX1239" i="3"/>
  <c r="E1259" i="6"/>
  <c r="AX1240" i="3"/>
  <c r="U1202" i="6"/>
  <c r="U1216" i="6"/>
  <c r="C23" i="12"/>
  <c r="C30" i="12" s="1"/>
  <c r="C32" i="12" s="1"/>
  <c r="C33" i="12" s="1"/>
  <c r="C34" i="12" s="1"/>
  <c r="C35" i="12" s="1"/>
  <c r="C39" i="12" s="1"/>
  <c r="H936" i="6" s="1"/>
  <c r="G73" i="2"/>
  <c r="M1225" i="6"/>
  <c r="M1257" i="6" s="1"/>
  <c r="M1222" i="6"/>
  <c r="M1231" i="6" s="1"/>
  <c r="AX1241" i="3"/>
  <c r="E1257" i="6"/>
  <c r="AX1238" i="3"/>
  <c r="E32" i="50" l="1"/>
  <c r="F29" i="50"/>
  <c r="E1263" i="6"/>
  <c r="AX1244" i="3"/>
  <c r="H950" i="6"/>
  <c r="H953" i="6" s="1"/>
  <c r="H956" i="6" s="1"/>
  <c r="I936" i="6"/>
  <c r="H37" i="2"/>
  <c r="H1240" i="6"/>
  <c r="H1246" i="6" s="1"/>
  <c r="H1248" i="6" s="1"/>
  <c r="H1253" i="6" s="1"/>
  <c r="T1226" i="6"/>
  <c r="T1258" i="6" s="1"/>
  <c r="T1222" i="6"/>
  <c r="T1231" i="6" s="1"/>
  <c r="U1225" i="6"/>
  <c r="U1257" i="6" s="1"/>
  <c r="U1222" i="6"/>
  <c r="U1231" i="6" s="1"/>
  <c r="U1263" i="6" s="1"/>
  <c r="Q1225" i="6"/>
  <c r="W1216" i="6"/>
  <c r="AB1216" i="6" s="1"/>
  <c r="Q1222" i="6"/>
  <c r="F27" i="50"/>
  <c r="D32" i="50"/>
  <c r="F32" i="50" s="1"/>
  <c r="D35" i="50" s="1"/>
  <c r="AB1202" i="6"/>
  <c r="J68" i="2"/>
  <c r="Q1228" i="6"/>
  <c r="W1219" i="6"/>
  <c r="AB1219" i="6" s="1"/>
  <c r="Q1226" i="6"/>
  <c r="W1217" i="6"/>
  <c r="AB1217" i="6" s="1"/>
  <c r="W1218" i="6"/>
  <c r="AB1218" i="6" s="1"/>
  <c r="Q1227" i="6"/>
  <c r="E35" i="50" l="1"/>
  <c r="N3" i="6" s="1"/>
  <c r="L68" i="2"/>
  <c r="I37" i="2"/>
  <c r="I38" i="2" s="1"/>
  <c r="I41" i="2" s="1"/>
  <c r="I44" i="2" s="1"/>
  <c r="I1240" i="6"/>
  <c r="I1246" i="6" s="1"/>
  <c r="I1248" i="6" s="1"/>
  <c r="I1253" i="6" s="1"/>
  <c r="I950" i="6"/>
  <c r="I953" i="6" s="1"/>
  <c r="I956" i="6" s="1"/>
  <c r="W1226" i="6"/>
  <c r="AB1226" i="6" s="1"/>
  <c r="Q1258" i="6"/>
  <c r="W1258" i="6" s="1"/>
  <c r="AB1258" i="6" s="1"/>
  <c r="W1222" i="6"/>
  <c r="AB1222" i="6" s="1"/>
  <c r="Q1231" i="6"/>
  <c r="W1227" i="6"/>
  <c r="AB1227" i="6" s="1"/>
  <c r="Q1259" i="6"/>
  <c r="W1259" i="6" s="1"/>
  <c r="AB1259" i="6" s="1"/>
  <c r="H1260" i="6"/>
  <c r="H1263" i="6"/>
  <c r="H69" i="2"/>
  <c r="W1228" i="6"/>
  <c r="AB1228" i="6" s="1"/>
  <c r="M3" i="6"/>
  <c r="Q1257" i="6"/>
  <c r="W1257" i="6" s="1"/>
  <c r="AB1257" i="6" s="1"/>
  <c r="W1225" i="6"/>
  <c r="AB1225" i="6" s="1"/>
  <c r="H38" i="2"/>
  <c r="N37" i="2"/>
  <c r="F35" i="50" l="1"/>
  <c r="E37" i="2"/>
  <c r="M37" i="2"/>
  <c r="N38" i="2"/>
  <c r="M38" i="2" s="1"/>
  <c r="H41" i="2"/>
  <c r="E38" i="2"/>
  <c r="H70" i="2"/>
  <c r="N69" i="2"/>
  <c r="I69" i="2"/>
  <c r="I70" i="2" s="1"/>
  <c r="I73" i="2" s="1"/>
  <c r="I76" i="2" s="1"/>
  <c r="I1263" i="6"/>
  <c r="I1260" i="6"/>
  <c r="W1231" i="6"/>
  <c r="D23" i="12"/>
  <c r="C42" i="12" l="1"/>
  <c r="M76" i="2"/>
  <c r="I78" i="2"/>
  <c r="M78" i="2" s="1"/>
  <c r="N41" i="2"/>
  <c r="M41" i="2" s="1"/>
  <c r="H44" i="2"/>
  <c r="E41" i="2"/>
  <c r="D30" i="12"/>
  <c r="AB1231" i="6"/>
  <c r="E23" i="12"/>
  <c r="M69" i="2"/>
  <c r="H73" i="2"/>
  <c r="N73" i="2" s="1"/>
  <c r="M73" i="2" s="1"/>
  <c r="N70" i="2"/>
  <c r="M70" i="2" s="1"/>
  <c r="C61" i="12"/>
  <c r="C63" i="12" s="1"/>
  <c r="C65" i="12" s="1"/>
  <c r="C67" i="12" s="1"/>
  <c r="C69" i="12" s="1"/>
  <c r="C71" i="12" s="1"/>
  <c r="C75" i="12" s="1"/>
  <c r="C41" i="12"/>
  <c r="C45" i="12" s="1"/>
  <c r="C47" i="12" s="1"/>
  <c r="C9" i="1" l="1"/>
  <c r="F23" i="12"/>
  <c r="E30" i="12"/>
  <c r="E32" i="12" s="1"/>
  <c r="E33" i="12" s="1"/>
  <c r="E34" i="12" s="1"/>
  <c r="E35" i="12" s="1"/>
  <c r="N936" i="6" s="1"/>
  <c r="F30" i="12"/>
  <c r="D32" i="12"/>
  <c r="N44" i="2"/>
  <c r="M44" i="2" s="1"/>
  <c r="E44" i="2"/>
  <c r="E75" i="2" s="1"/>
  <c r="C43" i="12"/>
  <c r="C49" i="12" s="1"/>
  <c r="C51" i="12" s="1"/>
  <c r="T936" i="6" l="1"/>
  <c r="T950" i="6" s="1"/>
  <c r="T953" i="6" s="1"/>
  <c r="T956" i="6" s="1"/>
  <c r="E43" i="12" s="1"/>
  <c r="N1240" i="6"/>
  <c r="N1246" i="6" s="1"/>
  <c r="N1248" i="6" s="1"/>
  <c r="N1253" i="6" s="1"/>
  <c r="N950" i="6"/>
  <c r="N953" i="6" s="1"/>
  <c r="N956" i="6" s="1"/>
  <c r="F32" i="12"/>
  <c r="D33" i="12"/>
  <c r="F33" i="12" s="1"/>
  <c r="D34" i="12" l="1"/>
  <c r="D35" i="12" s="1"/>
  <c r="T1253" i="6"/>
  <c r="N1260" i="6"/>
  <c r="N1263" i="6"/>
  <c r="F34" i="12" l="1"/>
  <c r="T1260" i="6"/>
  <c r="T1263" i="6"/>
  <c r="F35" i="12"/>
  <c r="M936" i="6"/>
  <c r="M1240" i="6" l="1"/>
  <c r="M1246" i="6" s="1"/>
  <c r="M1248" i="6" s="1"/>
  <c r="M1253" i="6" s="1"/>
  <c r="Q936" i="6"/>
  <c r="M950" i="6"/>
  <c r="M953" i="6" s="1"/>
  <c r="M956" i="6" s="1"/>
  <c r="E61" i="12"/>
  <c r="E63" i="12" s="1"/>
  <c r="E65" i="12" s="1"/>
  <c r="E67" i="12" s="1"/>
  <c r="E69" i="12" s="1"/>
  <c r="E71" i="12" s="1"/>
  <c r="E75" i="12" s="1"/>
  <c r="E41" i="12"/>
  <c r="Q950" i="6" l="1"/>
  <c r="W936" i="6"/>
  <c r="E45" i="12"/>
  <c r="E47" i="12" s="1"/>
  <c r="E49" i="12" s="1"/>
  <c r="E51" i="12" s="1"/>
  <c r="E42" i="12"/>
  <c r="Q1253" i="6"/>
  <c r="M1260" i="6"/>
  <c r="M1263" i="6"/>
  <c r="D61" i="12" s="1"/>
  <c r="AB936" i="6" l="1"/>
  <c r="J37" i="2"/>
  <c r="W1253" i="6"/>
  <c r="Q1260" i="6"/>
  <c r="W1260" i="6" s="1"/>
  <c r="AB1260" i="6" s="1"/>
  <c r="Q1263" i="6"/>
  <c r="Q953" i="6"/>
  <c r="W950" i="6"/>
  <c r="AB950" i="6" s="1"/>
  <c r="F61" i="12"/>
  <c r="D63" i="12"/>
  <c r="AB1253" i="6" l="1"/>
  <c r="J69" i="2"/>
  <c r="Q956" i="6"/>
  <c r="W956" i="6" s="1"/>
  <c r="W953" i="6"/>
  <c r="AB953" i="6" s="1"/>
  <c r="J38" i="2"/>
  <c r="J41" i="2" s="1"/>
  <c r="J44" i="2" s="1"/>
  <c r="F63" i="12"/>
  <c r="D65" i="12"/>
  <c r="D41" i="12"/>
  <c r="W1263" i="6"/>
  <c r="AB1263" i="6" s="1"/>
  <c r="F65" i="12" l="1"/>
  <c r="D67" i="12"/>
  <c r="F67" i="12" s="1"/>
  <c r="D43" i="12"/>
  <c r="AB956" i="6"/>
  <c r="L69" i="2"/>
  <c r="L70" i="2" s="1"/>
  <c r="L73" i="2" s="1"/>
  <c r="L44" i="2" s="1"/>
  <c r="K44" i="2" s="1"/>
  <c r="K13" i="2" s="1"/>
  <c r="J70" i="2"/>
  <c r="J73" i="2" s="1"/>
  <c r="J76" i="2" s="1"/>
  <c r="J78" i="2" s="1"/>
  <c r="F4" i="1" s="1"/>
  <c r="F41" i="12"/>
  <c r="D45" i="12"/>
  <c r="D69" i="12" l="1"/>
  <c r="D71" i="12" s="1"/>
  <c r="F45" i="12"/>
  <c r="D47" i="12"/>
  <c r="F47" i="12" s="1"/>
  <c r="D42" i="12"/>
  <c r="F42" i="12" s="1"/>
  <c r="F43" i="12"/>
  <c r="L13" i="2"/>
  <c r="K29" i="2"/>
  <c r="K37" i="2" s="1"/>
  <c r="K18" i="2"/>
  <c r="F2" i="1"/>
  <c r="F69" i="12" l="1"/>
  <c r="D49" i="12"/>
  <c r="D51" i="12" s="1"/>
  <c r="F51" i="12" s="1"/>
  <c r="K38" i="2"/>
  <c r="L37" i="2"/>
  <c r="L38" i="2" s="1"/>
  <c r="D75" i="12"/>
  <c r="F75" i="12" s="1"/>
  <c r="F71" i="12"/>
  <c r="L18" i="2"/>
  <c r="I1188" i="710"/>
  <c r="L29" i="2"/>
  <c r="L32" i="2" s="1"/>
  <c r="K32" i="2"/>
  <c r="F49" i="12" l="1"/>
  <c r="L41" i="2"/>
  <c r="K41" i="2"/>
</calcChain>
</file>

<file path=xl/comments1.xml><?xml version="1.0" encoding="utf-8"?>
<comments xmlns="http://schemas.openxmlformats.org/spreadsheetml/2006/main">
  <authors>
    <author>Jordan Stephenson</author>
  </authors>
  <commentList>
    <comment ref="AU518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Use Comp. Sta. Fuel 873</t>
        </r>
      </text>
    </comment>
  </commentList>
</comments>
</file>

<file path=xl/comments2.xml><?xml version="1.0" encoding="utf-8"?>
<comments xmlns="http://schemas.openxmlformats.org/spreadsheetml/2006/main">
  <authors>
    <author>Austin</author>
  </authors>
  <commentList>
    <comment ref="T14" authorId="0" shapeId="0">
      <text>
        <r>
          <rPr>
            <b/>
            <sz val="8"/>
            <color indexed="81"/>
            <rFont val="Tahoma"/>
            <family val="2"/>
          </rPr>
          <t>Austin:</t>
        </r>
        <r>
          <rPr>
            <sz val="8"/>
            <color indexed="81"/>
            <rFont val="Tahoma"/>
            <family val="2"/>
          </rPr>
          <t xml:space="preserve">
Nondepreciable gas plant</t>
        </r>
      </text>
    </comment>
    <comment ref="T89" authorId="0" shapeId="0">
      <text>
        <r>
          <rPr>
            <b/>
            <sz val="8"/>
            <color indexed="81"/>
            <rFont val="Tahoma"/>
            <family val="2"/>
          </rPr>
          <t>Austin:</t>
        </r>
        <r>
          <rPr>
            <sz val="8"/>
            <color indexed="81"/>
            <rFont val="Tahoma"/>
            <family val="2"/>
          </rPr>
          <t xml:space="preserve">
Nondepreciable gas plant</t>
        </r>
      </text>
    </comment>
  </commentList>
</comments>
</file>

<file path=xl/comments3.xml><?xml version="1.0" encoding="utf-8"?>
<comments xmlns="http://schemas.openxmlformats.org/spreadsheetml/2006/main">
  <authors>
    <author>clifft1</author>
  </authors>
  <commentList>
    <comment ref="M11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2017 END BALANCE TRUE UP AND BOOKED IN JAN 2018 BUSINESS (SAP FERC MODULE)</t>
        </r>
      </text>
    </comment>
    <comment ref="M12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2017 END BALANCE TRUE UP AND BOOKED IN JAN 2018 BUSINESS (SAP FERC MODULE)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M19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Pending decision</t>
        </r>
      </text>
    </comment>
    <comment ref="O19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Pending decision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per 2018 tax provision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2017 ENDING BALANCE</t>
        </r>
      </text>
    </comment>
    <comment ref="E29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2018 TAX PROVISION ALLOCATION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clifft1:</t>
        </r>
        <r>
          <rPr>
            <sz val="9"/>
            <color indexed="81"/>
            <rFont val="Tahoma"/>
            <family val="2"/>
          </rPr>
          <t xml:space="preserve">
PER 282 ALLOCATION %
</t>
        </r>
      </text>
    </comment>
  </commentList>
</comments>
</file>

<file path=xl/comments4.xml><?xml version="1.0" encoding="utf-8"?>
<comments xmlns="http://schemas.openxmlformats.org/spreadsheetml/2006/main">
  <authors>
    <author>Jordan Stephenson</author>
  </authors>
  <commentList>
    <comment ref="AW1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Use RATES_QGC_INCENTIVE, include 402 and 403 transaction, run for QGC and CORP, paste results to appropriate location</t>
        </r>
      </text>
    </comment>
    <comment ref="AK52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Investigate payout % related to financial goals under 2017 payment plan.</t>
        </r>
      </text>
    </comment>
    <comment ref="AQ57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table for 2018 from Donna Page</t>
        </r>
      </text>
    </comment>
  </commentList>
</comments>
</file>

<file path=xl/sharedStrings.xml><?xml version="1.0" encoding="utf-8"?>
<sst xmlns="http://schemas.openxmlformats.org/spreadsheetml/2006/main" count="38457" uniqueCount="1601">
  <si>
    <t>904.0</t>
  </si>
  <si>
    <t>904.1</t>
  </si>
  <si>
    <t>904.2</t>
  </si>
  <si>
    <t>State Tax Rates</t>
  </si>
  <si>
    <t>F-4</t>
  </si>
  <si>
    <t>INC</t>
  </si>
  <si>
    <t>Advertising</t>
  </si>
  <si>
    <t>Account</t>
  </si>
  <si>
    <t>Calculation of Allocation Factors</t>
  </si>
  <si>
    <t>Incentive Compensation</t>
  </si>
  <si>
    <t>FT-E</t>
  </si>
  <si>
    <t>District Gas &amp; Pretax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</si>
  <si>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</si>
  <si>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</si>
  <si>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</si>
  <si>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</si>
  <si>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</si>
  <si>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</si>
  <si>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</si>
  <si>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</si>
  <si>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</si>
  <si>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</si>
  <si>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</si>
  <si>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</si>
  <si>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</si>
  <si>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</si>
  <si>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</si>
  <si>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</si>
  <si>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</si>
  <si>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</si>
  <si>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</si>
  <si>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</si>
  <si>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</si>
  <si>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</si>
  <si>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</si>
  <si>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</si>
  <si>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</si>
  <si>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FT-1L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</si>
  <si>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</si>
  <si>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</si>
  <si>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</si>
  <si>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</si>
  <si>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</si>
  <si>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</si>
  <si>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</si>
  <si>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</si>
  <si>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</si>
  <si>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</si>
  <si>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</si>
  <si>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</si>
  <si>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</si>
  <si>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</si>
  <si>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</si>
  <si>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</si>
  <si>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</si>
  <si>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</si>
  <si>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\1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</si>
  <si>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</si>
  <si>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</si>
  <si>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</si>
  <si>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</si>
  <si>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</si>
  <si>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</si>
  <si>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</si>
  <si>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</si>
  <si>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</si>
  <si>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</si>
  <si>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</si>
  <si>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</si>
  <si>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</si>
  <si>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Workpaper B</t>
  </si>
  <si>
    <t>Questar Gas</t>
  </si>
  <si>
    <t>Questar Pipeline</t>
  </si>
  <si>
    <t>Wexpro Plant Adjustment</t>
  </si>
  <si>
    <t>Underground Storage</t>
  </si>
  <si>
    <t>Advertising Adjustment</t>
  </si>
  <si>
    <t>399</t>
  </si>
  <si>
    <t>TEMPERATURE ADJUSTED INPUT DATA FROM REVRUN SYSTEM</t>
  </si>
  <si>
    <t>12-Month</t>
  </si>
  <si>
    <t>Date File Run</t>
  </si>
  <si>
    <t>Time File Run</t>
  </si>
  <si>
    <t>GS-UPC in Dth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</si>
  <si>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</si>
  <si>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</si>
  <si>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</si>
  <si>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</si>
  <si>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</si>
  <si>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</si>
  <si>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</si>
  <si>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</si>
  <si>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</si>
  <si>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</si>
  <si>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</si>
  <si>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</si>
  <si>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</si>
  <si>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</si>
  <si>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</si>
  <si>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</si>
  <si>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Line Descr</t>
  </si>
  <si>
    <t>Date</t>
  </si>
  <si>
    <t>Unit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</si>
  <si>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</si>
  <si>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</si>
  <si>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</si>
  <si>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</si>
  <si>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</si>
  <si>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</si>
  <si>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</si>
  <si>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</si>
  <si>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DTH</t>
  </si>
  <si>
    <t>Direct</t>
  </si>
  <si>
    <t>Charges</t>
  </si>
  <si>
    <t>Type</t>
  </si>
  <si>
    <t>To QGC</t>
  </si>
  <si>
    <t>DSM</t>
  </si>
  <si>
    <t>Allocated to QGC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</si>
  <si>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</si>
  <si>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</si>
  <si>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</si>
  <si>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</si>
  <si>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</si>
  <si>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</si>
  <si>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 xml:space="preserve">Total AMIP </t>
  </si>
  <si>
    <t>TOTAL PIPE</t>
  </si>
  <si>
    <t>QGC Cost Of Capital Scenarios</t>
  </si>
  <si>
    <t>Weights</t>
  </si>
  <si>
    <t>Costs (Rates)</t>
  </si>
  <si>
    <t>FT-2C</t>
  </si>
  <si>
    <t>Utah Allocation</t>
  </si>
  <si>
    <t>Wyoming Allocation</t>
  </si>
  <si>
    <t>Ledger</t>
  </si>
  <si>
    <t>ACTUALS</t>
  </si>
  <si>
    <t>Expense</t>
  </si>
  <si>
    <t xml:space="preserve">     Percent to QGC</t>
  </si>
  <si>
    <t xml:space="preserve">     Total to QGC</t>
  </si>
  <si>
    <t>Workpaper 2</t>
  </si>
  <si>
    <t>Donations and Memberships Adjustment</t>
  </si>
  <si>
    <t>Questar Corporation Allocated</t>
  </si>
  <si>
    <t>O&amp;M Goals</t>
  </si>
  <si>
    <t>Total AMIP Dollar Payout</t>
  </si>
  <si>
    <t>Total PIPE % Payout</t>
  </si>
  <si>
    <t>% Payout</t>
  </si>
  <si>
    <t xml:space="preserve"> $ Payout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</si>
  <si>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</si>
  <si>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</si>
  <si>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</si>
  <si>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</si>
  <si>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</si>
  <si>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</si>
  <si>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</si>
  <si>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</si>
  <si>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</si>
  <si>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</si>
  <si>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</si>
  <si>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Contributions in Aid of Construction</t>
  </si>
  <si>
    <t xml:space="preserve">Utah Taxpayers Association </t>
  </si>
  <si>
    <t>Commodity</t>
  </si>
  <si>
    <t>Accum Deferred IncomeTaxes(QRS&amp; Sec 29 Cr)</t>
  </si>
  <si>
    <t>282-6-8</t>
  </si>
  <si>
    <t>ADJUSTMENT CALCULATION</t>
  </si>
  <si>
    <t>Capital Structure</t>
  </si>
  <si>
    <t>Company and Allocation Amounts</t>
  </si>
  <si>
    <t>Calculations</t>
  </si>
  <si>
    <t>NET CHARGE OFFS</t>
  </si>
  <si>
    <t>Average Bad Debt Removal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</si>
  <si>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</si>
  <si>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</si>
  <si>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</si>
  <si>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</si>
  <si>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</si>
  <si>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</si>
  <si>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</si>
  <si>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</si>
  <si>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</si>
  <si>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</si>
  <si>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Operating Goals</t>
  </si>
  <si>
    <t>See Workpaper B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</si>
  <si>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</si>
  <si>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</si>
  <si>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</si>
  <si>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</si>
  <si>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</si>
  <si>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</si>
  <si>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</si>
  <si>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</si>
  <si>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</si>
  <si>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</si>
  <si>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Billed From QC to QGC</t>
  </si>
  <si>
    <t>To QC</t>
  </si>
  <si>
    <t>(B+D)</t>
  </si>
  <si>
    <t>3 Year Average</t>
  </si>
  <si>
    <t xml:space="preserve">Bad Debt </t>
  </si>
  <si>
    <t>Ratio</t>
  </si>
  <si>
    <t>PROJECTED</t>
  </si>
  <si>
    <t>REVENUE  ADJUSTMENT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</si>
  <si>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</si>
  <si>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</si>
  <si>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</si>
  <si>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</si>
  <si>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</si>
  <si>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</si>
  <si>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</si>
  <si>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</si>
  <si>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</si>
  <si>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</si>
  <si>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</si>
  <si>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</si>
  <si>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</si>
  <si>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</si>
  <si>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Program: 03/27/08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</si>
  <si>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</si>
  <si>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</si>
  <si>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</si>
  <si>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</si>
  <si>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</si>
  <si>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</si>
  <si>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</si>
  <si>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</si>
  <si>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</si>
  <si>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</si>
  <si>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</si>
  <si>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</si>
  <si>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</si>
  <si>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</si>
  <si>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</si>
  <si>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</si>
  <si>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</si>
  <si>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</si>
  <si>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</si>
  <si>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</si>
  <si>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</si>
  <si>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</si>
  <si>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</si>
  <si>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</si>
  <si>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</si>
  <si>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</si>
  <si>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</si>
  <si>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</si>
  <si>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</si>
  <si>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</si>
  <si>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</si>
  <si>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</si>
  <si>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</si>
  <si>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</si>
  <si>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</si>
  <si>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</si>
  <si>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</si>
  <si>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</si>
  <si>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</si>
  <si>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</si>
  <si>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</si>
  <si>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</si>
  <si>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</si>
  <si>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</si>
  <si>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</si>
  <si>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</si>
  <si>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</si>
  <si>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</si>
  <si>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</si>
  <si>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</si>
  <si>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</si>
  <si>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</si>
  <si>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</si>
  <si>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</si>
  <si>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</si>
  <si>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</si>
  <si>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</si>
  <si>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</si>
  <si>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</si>
  <si>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</si>
  <si>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</si>
  <si>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</si>
  <si>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</si>
  <si>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</si>
  <si>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</si>
  <si>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</si>
  <si>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</si>
  <si>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Disallow</t>
  </si>
  <si>
    <t>Contributions in Aid  of Construction</t>
  </si>
  <si>
    <t>This Scenario</t>
  </si>
  <si>
    <t>Asset Retirement Costs</t>
  </si>
  <si>
    <t>Earn Code</t>
  </si>
  <si>
    <t>AM1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</si>
  <si>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</si>
  <si>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</si>
  <si>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</si>
  <si>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</si>
  <si>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</si>
  <si>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</si>
  <si>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</si>
  <si>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</si>
  <si>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</si>
  <si>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</si>
  <si>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</si>
  <si>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</si>
  <si>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</si>
  <si>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</si>
  <si>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</si>
  <si>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</si>
  <si>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</si>
  <si>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</si>
  <si>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Amount Expensed to 921 Account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</si>
  <si>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</si>
  <si>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</si>
  <si>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</si>
  <si>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</si>
  <si>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</si>
  <si>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</si>
  <si>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</si>
  <si>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</si>
  <si>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</si>
  <si>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</si>
  <si>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</si>
  <si>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</si>
  <si>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</si>
  <si>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</si>
  <si>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</si>
  <si>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</si>
  <si>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</si>
  <si>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</si>
  <si>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</si>
  <si>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</si>
  <si>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</si>
  <si>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</si>
  <si>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</si>
  <si>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</si>
  <si>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</si>
  <si>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</si>
  <si>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</si>
  <si>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</si>
  <si>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</si>
  <si>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</si>
  <si>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</si>
  <si>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</si>
  <si>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</si>
  <si>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</si>
  <si>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</si>
  <si>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</si>
  <si>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</si>
  <si>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</si>
  <si>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</si>
  <si>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</si>
  <si>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</si>
  <si>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</si>
  <si>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</si>
  <si>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</si>
  <si>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1010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</si>
  <si>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</si>
  <si>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</si>
  <si>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</si>
  <si>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</si>
  <si>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</si>
  <si>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</si>
  <si>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Journal ID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</si>
  <si>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</si>
  <si>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</si>
  <si>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</si>
  <si>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</si>
  <si>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</si>
  <si>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</si>
  <si>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</si>
  <si>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</si>
  <si>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</si>
  <si>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</si>
  <si>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</si>
  <si>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</si>
  <si>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</si>
  <si>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</si>
  <si>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</si>
  <si>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</si>
  <si>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AVERAGE INCENTIVE CALCULATION</t>
  </si>
  <si>
    <t>388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</si>
  <si>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</si>
  <si>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</si>
  <si>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</si>
  <si>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</si>
  <si>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</si>
  <si>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</si>
  <si>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</si>
  <si>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</si>
  <si>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</si>
  <si>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</si>
  <si>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</si>
  <si>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</si>
  <si>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</si>
  <si>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</si>
  <si>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</si>
  <si>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</si>
  <si>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</si>
  <si>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</si>
  <si>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Difference</t>
  </si>
  <si>
    <t>Maint of Meas. &amp; Reg. Station Equipment</t>
  </si>
  <si>
    <t>Maintenance of Services</t>
  </si>
  <si>
    <t>Other Operations</t>
  </si>
  <si>
    <t>0011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</si>
  <si>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</si>
  <si>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</si>
  <si>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</si>
  <si>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</si>
  <si>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</si>
  <si>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</si>
  <si>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2/</t>
  </si>
  <si>
    <t>Supervision</t>
  </si>
  <si>
    <t>Meter Reading Expense</t>
  </si>
  <si>
    <t>Customer Records Expense</t>
  </si>
  <si>
    <t>Collection Expense</t>
  </si>
  <si>
    <t>Interest Exp - Customer Security Deposits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</si>
  <si>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</si>
  <si>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</si>
  <si>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</si>
  <si>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</si>
  <si>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</si>
  <si>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</si>
  <si>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</si>
  <si>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</si>
  <si>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</si>
  <si>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</si>
  <si>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</si>
  <si>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</si>
  <si>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</si>
  <si>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</si>
  <si>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</si>
  <si>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</si>
  <si>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</si>
  <si>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</si>
  <si>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</si>
  <si>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</si>
  <si>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</si>
  <si>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</si>
  <si>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</si>
  <si>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</si>
  <si>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</si>
  <si>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</si>
  <si>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</si>
  <si>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</si>
  <si>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</si>
  <si>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</si>
  <si>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</si>
  <si>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</si>
  <si>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</si>
  <si>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CORP AMIP (Financial Goals)</t>
  </si>
  <si>
    <t>CORP AMIP (O&amp;M Goals)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</si>
  <si>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</si>
  <si>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</si>
  <si>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</si>
  <si>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</si>
  <si>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</si>
  <si>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</si>
  <si>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</si>
  <si>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</si>
  <si>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</si>
  <si>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</si>
  <si>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</si>
  <si>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</si>
  <si>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</si>
  <si>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</si>
  <si>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Workpaper A</t>
  </si>
  <si>
    <t>Total Utah Revenue</t>
  </si>
  <si>
    <t>Total Utah Dth</t>
  </si>
  <si>
    <t>Idaho</t>
  </si>
  <si>
    <t>Total Disallowed QC Sporting Events Expense</t>
  </si>
  <si>
    <t>Total Idaho Revenue</t>
  </si>
  <si>
    <t>Total Idaho Dth</t>
  </si>
  <si>
    <t xml:space="preserve"> (To Commodity Costs) </t>
  </si>
  <si>
    <t>Workpaper 1</t>
  </si>
  <si>
    <t>WY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</si>
  <si>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</si>
  <si>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</si>
  <si>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</si>
  <si>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</si>
  <si>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</si>
  <si>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</si>
  <si>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</si>
  <si>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</si>
  <si>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</si>
  <si>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</si>
  <si>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Adjustment (Accrual Less 5 Yr Average Actual Payments)</t>
  </si>
  <si>
    <t>Accum Deferred Income Taxes - Federal</t>
  </si>
  <si>
    <t>Accum Deferred Income Taxes - State</t>
  </si>
  <si>
    <t>Accum Deferred IncomeTaxes - Sec 29 Cr</t>
  </si>
  <si>
    <t>Co</t>
  </si>
  <si>
    <t>Cost of Service - Including Gas Costs</t>
  </si>
  <si>
    <t>Gas Purchase Expenses</t>
  </si>
  <si>
    <t>Operation &amp; Maintenance Expenses</t>
  </si>
  <si>
    <t>Taxes - Excluding Income Taxes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</si>
  <si>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</si>
  <si>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</si>
  <si>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</si>
  <si>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</si>
  <si>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</si>
  <si>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</si>
  <si>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</si>
  <si>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</si>
  <si>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</si>
  <si>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</si>
  <si>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</si>
  <si>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</si>
  <si>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</si>
  <si>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</si>
  <si>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</si>
  <si>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</si>
  <si>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</si>
  <si>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</si>
  <si>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</si>
  <si>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</si>
  <si>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</si>
  <si>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</si>
  <si>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</si>
  <si>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</si>
  <si>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</si>
  <si>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</si>
  <si>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</si>
  <si>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</si>
  <si>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</si>
  <si>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</si>
  <si>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</si>
  <si>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</si>
  <si>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</si>
  <si>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</si>
  <si>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</si>
  <si>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</si>
  <si>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</si>
  <si>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CORP AMIP (Financial Goals) %</t>
  </si>
  <si>
    <t>CORP AMIP (O&amp;M Goals) %</t>
  </si>
  <si>
    <t xml:space="preserve"> Disallowed Allocation</t>
  </si>
  <si>
    <t>SWITCH</t>
  </si>
  <si>
    <t>AVERAGE (1)</t>
  </si>
  <si>
    <t>ACTUAL(2)</t>
  </si>
  <si>
    <t>3-YR Average</t>
  </si>
  <si>
    <t>Promotional Advertising-Dealer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</si>
  <si>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</si>
  <si>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</si>
  <si>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</si>
  <si>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</si>
  <si>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</si>
  <si>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</si>
  <si>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</si>
  <si>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</si>
  <si>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</si>
  <si>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</si>
  <si>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</si>
  <si>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</si>
  <si>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</si>
  <si>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</si>
  <si>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</si>
  <si>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</si>
  <si>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</si>
  <si>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</si>
  <si>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</si>
  <si>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</si>
  <si>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</si>
  <si>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</si>
  <si>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</si>
  <si>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</si>
  <si>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</si>
  <si>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</si>
  <si>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</si>
  <si>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</si>
  <si>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</si>
  <si>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</si>
  <si>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</si>
  <si>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</si>
  <si>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</si>
  <si>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</si>
  <si>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</si>
  <si>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</si>
  <si>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</si>
  <si>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</si>
  <si>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</si>
  <si>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</si>
  <si>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</si>
  <si>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</si>
  <si>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</si>
  <si>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</si>
  <si>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</si>
  <si>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</si>
  <si>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</si>
  <si>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</si>
  <si>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</si>
  <si>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</si>
  <si>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</si>
  <si>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</si>
  <si>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</si>
  <si>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</si>
  <si>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</si>
  <si>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</si>
  <si>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</si>
  <si>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</si>
  <si>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</si>
  <si>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</si>
  <si>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</si>
  <si>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</si>
  <si>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</si>
  <si>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</si>
  <si>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Allowed $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</si>
  <si>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</si>
  <si>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</si>
  <si>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</si>
  <si>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</si>
  <si>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</si>
  <si>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</si>
  <si>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</si>
  <si>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</si>
  <si>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</si>
  <si>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</si>
  <si>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</si>
  <si>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</si>
  <si>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Input</t>
  </si>
  <si>
    <t>TSE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</si>
  <si>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</si>
  <si>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</si>
  <si>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</si>
  <si>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</si>
  <si>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</si>
  <si>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</si>
  <si>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</si>
  <si>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</si>
  <si>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</si>
  <si>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</si>
  <si>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</si>
  <si>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</si>
  <si>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</si>
  <si>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</si>
  <si>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</si>
  <si>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</si>
  <si>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</si>
  <si>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</si>
  <si>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</si>
  <si>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</si>
  <si>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</si>
  <si>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</si>
  <si>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</si>
  <si>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</si>
  <si>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</si>
  <si>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</si>
  <si>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</si>
  <si>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ISE</t>
  </si>
  <si>
    <t>Reserve Accrual</t>
  </si>
  <si>
    <t>Removal of Financial Based Payouts</t>
  </si>
  <si>
    <t>Payout</t>
  </si>
  <si>
    <t>TOTAL WEXPRO PLANT ADJUSTMENT</t>
  </si>
  <si>
    <t>Utah Adjustment</t>
  </si>
  <si>
    <t>Wyoming Adjustment</t>
  </si>
  <si>
    <t>Dept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</si>
  <si>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</si>
  <si>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</si>
  <si>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</si>
  <si>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</si>
  <si>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</si>
  <si>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</si>
  <si>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</si>
  <si>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</si>
  <si>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</si>
  <si>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</si>
  <si>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</si>
  <si>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</si>
  <si>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</si>
  <si>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</si>
  <si>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</si>
  <si>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</si>
  <si>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</si>
  <si>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</si>
  <si>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</si>
  <si>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</si>
  <si>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</si>
  <si>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</si>
  <si>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</si>
  <si>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Questar Gas Company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</si>
  <si>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</si>
  <si>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</si>
  <si>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</si>
  <si>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</si>
  <si>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</si>
  <si>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</si>
  <si>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</si>
  <si>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</si>
  <si>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</si>
  <si>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</si>
  <si>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</si>
  <si>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Check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</si>
  <si>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</si>
  <si>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</si>
  <si>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</si>
  <si>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</si>
  <si>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</si>
  <si>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</si>
  <si>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</si>
  <si>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</si>
  <si>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</si>
  <si>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</si>
  <si>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</si>
  <si>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</si>
  <si>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</si>
  <si>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</si>
  <si>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</si>
  <si>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</si>
  <si>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</si>
  <si>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</si>
  <si>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</si>
  <si>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</si>
  <si>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</si>
  <si>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</si>
  <si>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</si>
  <si>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</si>
  <si>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</si>
  <si>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</si>
  <si>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</si>
  <si>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</si>
  <si>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</si>
  <si>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</si>
  <si>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</si>
  <si>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</si>
  <si>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</si>
  <si>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</si>
  <si>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</si>
  <si>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</si>
  <si>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</si>
  <si>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YEAR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</si>
  <si>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</si>
  <si>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</si>
  <si>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</si>
  <si>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</si>
  <si>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</si>
  <si>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AM4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</si>
  <si>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</si>
  <si>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</si>
  <si>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</si>
  <si>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</si>
  <si>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</si>
  <si>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</si>
  <si>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</si>
  <si>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</si>
  <si>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</si>
  <si>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</si>
  <si>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</si>
  <si>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</si>
  <si>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</si>
  <si>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</si>
  <si>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</si>
  <si>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</si>
  <si>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</si>
  <si>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</si>
  <si>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</si>
  <si>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</si>
  <si>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</si>
  <si>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</si>
  <si>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</si>
  <si>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</si>
  <si>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</si>
  <si>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</si>
  <si>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</si>
  <si>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</si>
  <si>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</si>
  <si>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</si>
  <si>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</si>
  <si>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</si>
  <si>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</si>
  <si>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</si>
  <si>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</si>
  <si>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</si>
  <si>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</si>
  <si>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</si>
  <si>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</si>
  <si>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</si>
  <si>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</si>
  <si>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GSW</t>
  </si>
  <si>
    <t>H</t>
  </si>
  <si>
    <t>(G)</t>
  </si>
  <si>
    <t>HOT</t>
  </si>
  <si>
    <t>920000</t>
  </si>
  <si>
    <t>921000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</si>
  <si>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</si>
  <si>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</si>
  <si>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</si>
  <si>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</si>
  <si>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</si>
  <si>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</si>
  <si>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</si>
  <si>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</si>
  <si>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</si>
  <si>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</si>
  <si>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</si>
  <si>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</si>
  <si>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</si>
  <si>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</si>
  <si>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</si>
  <si>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CORP PIPE (O&amp;M Goals)</t>
  </si>
  <si>
    <t>CORP PIPE FINANCIAL GOALS</t>
  </si>
  <si>
    <t>CORP PIPE FINANCIAL GOALS %</t>
  </si>
  <si>
    <t>CORP PIPE (O&amp;M Goals) %</t>
  </si>
  <si>
    <t>Total Gas Plant In Service</t>
  </si>
  <si>
    <t>07</t>
  </si>
  <si>
    <t>01</t>
  </si>
  <si>
    <t>Sum Amount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</si>
  <si>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</si>
  <si>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</si>
  <si>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</si>
  <si>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</si>
  <si>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</si>
  <si>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</si>
  <si>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</si>
  <si>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</si>
  <si>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</si>
  <si>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</si>
  <si>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</si>
  <si>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</si>
  <si>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</si>
  <si>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</si>
  <si>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</si>
  <si>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</si>
  <si>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</si>
  <si>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</si>
  <si>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</si>
  <si>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</si>
  <si>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</si>
  <si>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</si>
  <si>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</si>
  <si>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</si>
  <si>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</si>
  <si>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</si>
  <si>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</si>
  <si>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</si>
  <si>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</si>
  <si>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</si>
  <si>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</si>
  <si>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</si>
  <si>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</si>
  <si>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</si>
  <si>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</si>
  <si>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</si>
  <si>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</si>
  <si>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</si>
  <si>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</si>
  <si>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</si>
  <si>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3-Wexpro'!A1</t>
  </si>
  <si>
    <t>% Applicable to QGC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</si>
  <si>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</si>
  <si>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</si>
  <si>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</si>
  <si>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</si>
  <si>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</si>
  <si>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</si>
  <si>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</si>
  <si>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</si>
  <si>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</si>
  <si>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</si>
  <si>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</si>
  <si>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</si>
  <si>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</si>
  <si>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</si>
  <si>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</si>
  <si>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</si>
  <si>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</si>
  <si>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</si>
  <si>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</si>
  <si>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ACTUAL</t>
  </si>
  <si>
    <t>Change</t>
  </si>
  <si>
    <t>909004 Total</t>
  </si>
  <si>
    <t>909005 Total</t>
  </si>
  <si>
    <t>921000 Total</t>
  </si>
  <si>
    <t>923000 Total</t>
  </si>
  <si>
    <t>930102 Total</t>
  </si>
  <si>
    <t>930101 Total</t>
  </si>
  <si>
    <t>930100 Total</t>
  </si>
  <si>
    <t>510</t>
  </si>
  <si>
    <t>920</t>
  </si>
  <si>
    <t>Utah Bad Debt</t>
  </si>
  <si>
    <t>Gas Plant In Seryice</t>
  </si>
  <si>
    <t>Structures &amp; Improyements</t>
  </si>
  <si>
    <t>Seryices</t>
  </si>
  <si>
    <t>Gas Plant in Seryice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</si>
  <si>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</si>
  <si>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</si>
  <si>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</si>
  <si>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</si>
  <si>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</si>
  <si>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</si>
  <si>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</si>
  <si>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</si>
  <si>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</si>
  <si>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</si>
  <si>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</si>
  <si>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</si>
  <si>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</si>
  <si>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</si>
  <si>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error</t>
  </si>
  <si>
    <t>Allocated GSS</t>
  </si>
  <si>
    <t>F-S</t>
  </si>
  <si>
    <t>CHECKS MUST BE (0)</t>
  </si>
  <si>
    <t>RESULTING TOTAL</t>
  </si>
  <si>
    <t>FT1</t>
  </si>
  <si>
    <t>3YR Average UT DNG Bad Debt</t>
  </si>
  <si>
    <t>WY Distribution Non Gas Rev</t>
  </si>
  <si>
    <t>3 YR Average WY DNG Bad Debt</t>
  </si>
  <si>
    <t>Bad Debt %</t>
  </si>
  <si>
    <t>TSP</t>
  </si>
  <si>
    <t>Donations</t>
  </si>
  <si>
    <t xml:space="preserve">Total </t>
  </si>
  <si>
    <t>Energy Solutions Arena</t>
  </si>
  <si>
    <t>Utah Jazz</t>
  </si>
  <si>
    <t>NICHOLAS &amp; COMPANY INC</t>
  </si>
  <si>
    <t>Query: Corp_Advertising</t>
  </si>
  <si>
    <t>Query: QGC Direct Advertising</t>
  </si>
  <si>
    <t>AMIP Incentive</t>
  </si>
  <si>
    <t>AMIP II Incentive</t>
  </si>
  <si>
    <t>Incentive Paid_Less Safety</t>
  </si>
  <si>
    <t>INS</t>
  </si>
  <si>
    <t>Incentive Paid_Safety Only</t>
  </si>
  <si>
    <t>Total Incentive Expense</t>
  </si>
  <si>
    <t>Total AMIP Expense</t>
  </si>
  <si>
    <t xml:space="preserve">Total PIPE </t>
  </si>
  <si>
    <t>Oper Unit</t>
  </si>
  <si>
    <t>Historical 12 Months</t>
  </si>
  <si>
    <t>Projected</t>
  </si>
  <si>
    <t>Clearing</t>
  </si>
  <si>
    <t>Percentage</t>
  </si>
  <si>
    <t>Total Incentives</t>
  </si>
  <si>
    <t>Event Tickets</t>
  </si>
  <si>
    <t>Total Expenses</t>
  </si>
  <si>
    <t>Total Disallowed QGC Sporting Events Expense</t>
  </si>
  <si>
    <t>Wyoming Adjusment</t>
  </si>
  <si>
    <t>SPORTING EVENT TICKETS</t>
  </si>
  <si>
    <t>QGC Direct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</si>
  <si>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</si>
  <si>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</si>
  <si>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</si>
  <si>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</si>
  <si>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</si>
  <si>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</si>
  <si>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</si>
  <si>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1070</t>
  </si>
  <si>
    <t>Energy Efficiency Accounting Adjustment</t>
  </si>
  <si>
    <t>3 Factor</t>
  </si>
  <si>
    <t>Combined</t>
  </si>
  <si>
    <t>Ave Investment</t>
  </si>
  <si>
    <t>Ave State Rate</t>
  </si>
  <si>
    <t>TOTAL QGC ADJUSTMENTS</t>
  </si>
  <si>
    <t>Total Corporate Payout</t>
  </si>
  <si>
    <t>Excluded amount</t>
  </si>
  <si>
    <t>ALLOCATED SHARED SERVICES</t>
  </si>
  <si>
    <t>531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</si>
  <si>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</si>
  <si>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</si>
  <si>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</si>
  <si>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</si>
  <si>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</si>
  <si>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</si>
  <si>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</si>
  <si>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</si>
  <si>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</si>
  <si>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</si>
  <si>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</si>
  <si>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</si>
  <si>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</si>
  <si>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</si>
  <si>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</si>
  <si>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</si>
  <si>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</si>
  <si>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</si>
  <si>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</si>
  <si>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</si>
  <si>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</si>
  <si>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</si>
  <si>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</si>
  <si>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# OF CUST CHECK (MUST BE (0)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</si>
  <si>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</si>
  <si>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</si>
  <si>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</si>
  <si>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</si>
  <si>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</si>
  <si>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</si>
  <si>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</si>
  <si>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</si>
  <si>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</si>
  <si>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</si>
  <si>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</si>
  <si>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</si>
  <si>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</si>
  <si>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</si>
  <si>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</si>
  <si>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</si>
  <si>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</si>
  <si>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</si>
  <si>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</si>
  <si>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</si>
  <si>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402</t>
  </si>
  <si>
    <t>Sum of Oth Earns 2011</t>
  </si>
  <si>
    <t>GRAND TOTAL</t>
  </si>
  <si>
    <t>4420</t>
  </si>
  <si>
    <t>KEMMERER GAZETTE</t>
  </si>
  <si>
    <t>ROCKET MINER NEWSPAPER</t>
  </si>
  <si>
    <t>UINTA COUNTY HERALD</t>
  </si>
  <si>
    <t>RAWLINS DAILY TIMES</t>
  </si>
  <si>
    <t>PINEDALE ROUNDUP</t>
  </si>
  <si>
    <t>930101</t>
  </si>
  <si>
    <t>Expense Adjustment</t>
  </si>
  <si>
    <t>12 Months Ended</t>
  </si>
  <si>
    <t>Inflation Rates</t>
  </si>
  <si>
    <t>USED</t>
  </si>
  <si>
    <t>%,FACCOUNT,TQGCACCTS,V810000,V810001</t>
  </si>
  <si>
    <t>%,FACCOUNT,TQGCACCTS,V812000,V812001</t>
  </si>
  <si>
    <t>%,FACCOUNT,TQGCACCTS,N870</t>
  </si>
  <si>
    <t>%,FACCOUNT,TQGCACCTS,N871</t>
  </si>
  <si>
    <t>%,FACCOUNT,TQGCACCTS,N872</t>
  </si>
  <si>
    <t>%,FACCOUNT,TQGCACCTS,N873</t>
  </si>
  <si>
    <t>%,FACCOUNT,TQGCACCTS,N874</t>
  </si>
  <si>
    <t>%,FACCOUNT,TQGCACCTS,N875</t>
  </si>
  <si>
    <t>%,FACCOUNT,TQGCACCTS,N878</t>
  </si>
  <si>
    <t>%,FACCOUNT,TQGCACCTS,N879</t>
  </si>
  <si>
    <t>%,FACCOUNT,TQGCACCTS,N880</t>
  </si>
  <si>
    <t>%,FACCOUNT,TQGCACCTS,N881</t>
  </si>
  <si>
    <t>%,FACCOUNT,TQGCACCTS,N885</t>
  </si>
  <si>
    <t>%,FACCOUNT,TQGCACCTS,N886</t>
  </si>
  <si>
    <t>%,FACCOUNT,TQGCACCTS,N887</t>
  </si>
  <si>
    <t>%,FACCOUNT,TQGCACCTS,N888</t>
  </si>
  <si>
    <t>%,FACCOUNT,TQGCACCTS,N889</t>
  </si>
  <si>
    <t>%,FACCOUNT,TQGCACCTS,N892</t>
  </si>
  <si>
    <t>%,FACCOUNT,TQGCACCTS,N893</t>
  </si>
  <si>
    <t>%,FACCOUNT,TQGCACCTS,V894001</t>
  </si>
  <si>
    <t>%,FACCOUNT,TQGCACCTS,V894000,V894002</t>
  </si>
  <si>
    <t>%,FACCOUNT,TQGCACCTS,N901</t>
  </si>
  <si>
    <t>%,FACCOUNT,TQGCACCTS,N902</t>
  </si>
  <si>
    <t>%,FACCOUNT,TQGCACCTS,V903001</t>
  </si>
  <si>
    <t>%,FACCOUNT,TQGCACCTS,V903002</t>
  </si>
  <si>
    <t>%,FACCOUNT,TQGCACCTS,V903003</t>
  </si>
  <si>
    <t>%,FACCOUNT,TQGCACCTS,V904000</t>
  </si>
  <si>
    <t>%,FACCOUNT,TQGCACCTS,V904001</t>
  </si>
  <si>
    <t>%,FACCOUNT,TQGCACCTS,V904002</t>
  </si>
  <si>
    <t>%,FACCOUNT,TQGCACCTS,N905</t>
  </si>
  <si>
    <t>%,FACCOUNT,TQGCACCTS,N907</t>
  </si>
  <si>
    <t>%,FACCOUNT,TQGCACCTS,N908</t>
  </si>
  <si>
    <t>%,FACCOUNT,TQGCACCTS,N909</t>
  </si>
  <si>
    <t>%,FACCOUNT,TQGCACCTS,N910</t>
  </si>
  <si>
    <t>%,FACCOUNT,TQGCACCTS,N920</t>
  </si>
  <si>
    <t>%,FACCOUNT,TQGCACCTS,N921</t>
  </si>
  <si>
    <t>%,FACCOUNT,TQGCACCTS,N922</t>
  </si>
  <si>
    <t>%,FACCOUNT,TQGCACCTS,N923</t>
  </si>
  <si>
    <t>%,FACCOUNT,TQGCACCTS,N924</t>
  </si>
  <si>
    <t>%,FACCOUNT,TQGCACCTS,N925</t>
  </si>
  <si>
    <t>%,FACCOUNT,TQGCACCTS,N926</t>
  </si>
  <si>
    <t>Regulatory Commision Expense</t>
  </si>
  <si>
    <t>%,FACCOUNT,TQGCACCTS,N928</t>
  </si>
  <si>
    <t>%,FACCOUNT,V930100</t>
  </si>
  <si>
    <t>%,FACCOUNT,V930200,V930203</t>
  </si>
  <si>
    <t>%,FACCOUNT,TQGCACCTS,N931</t>
  </si>
  <si>
    <t>%,FACCOUNT,TQGCACCTS,N932</t>
  </si>
  <si>
    <t>Total Utah Distribution</t>
  </si>
  <si>
    <t>Total Wyoming Distribution</t>
  </si>
  <si>
    <t>UTILITY OPERATING EXPENSES - LABOR</t>
  </si>
  <si>
    <t>OPERATION AND MAINTENANCE EXPENSES - LABOR</t>
  </si>
  <si>
    <t>UTILITY OPERATING EXPENSES - NONLABOR</t>
  </si>
  <si>
    <t>OPERATION AND MAINTENANCE EXPENSES - NONLABOR</t>
  </si>
  <si>
    <t>WORKING Capital</t>
  </si>
  <si>
    <t>Accum Prov for Amortization of Gas Plant in Service</t>
  </si>
  <si>
    <t>Accum Prov for Depreciation of Gas Plant in Service</t>
  </si>
  <si>
    <t>Completed Construction Not Classified - Gas</t>
  </si>
  <si>
    <t>Gas Plant Held for Future Use</t>
  </si>
  <si>
    <t>108+111</t>
  </si>
  <si>
    <t>101+106</t>
  </si>
  <si>
    <t>CHECK</t>
  </si>
  <si>
    <t>Figures</t>
  </si>
  <si>
    <t>Period Ended</t>
  </si>
  <si>
    <t>Capital Increase</t>
  </si>
  <si>
    <t>Booked</t>
  </si>
  <si>
    <t>13-Month Avg</t>
  </si>
  <si>
    <t xml:space="preserve">Year End </t>
  </si>
  <si>
    <t>Capital Expenditures</t>
  </si>
  <si>
    <t>Total CWIP</t>
  </si>
  <si>
    <t>at year-end</t>
  </si>
  <si>
    <t>Remaining in 106/107</t>
  </si>
  <si>
    <t>106/107 to close</t>
  </si>
  <si>
    <t>Retirements</t>
  </si>
  <si>
    <t>FERC ACCOUNT</t>
  </si>
  <si>
    <t>Actuals from Questar Gas financial records.</t>
  </si>
  <si>
    <t>Contributions for Mains - Ending Balance</t>
  </si>
  <si>
    <t>Cancellation of expired agreements</t>
  </si>
  <si>
    <t>Refunds</t>
  </si>
  <si>
    <t>Beginning balance</t>
  </si>
  <si>
    <t>Deferral - Accts. 2820 / 2821</t>
  </si>
  <si>
    <t>Total Tax Depreciation</t>
  </si>
  <si>
    <t xml:space="preserve">         Estimated Tax Depreciation </t>
  </si>
  <si>
    <t>Account 255000 (ITC)</t>
  </si>
  <si>
    <t>Accts. 282000 - 282108  Ending Balance</t>
  </si>
  <si>
    <t xml:space="preserve">    Est.  Amort. of  Loss on Debt. Reacq.</t>
  </si>
  <si>
    <t xml:space="preserve">    Est.  Stock based comp.</t>
  </si>
  <si>
    <t xml:space="preserve">    Est.  Developed Software</t>
  </si>
  <si>
    <t xml:space="preserve">    Est. Contribution in Aid Constr. </t>
  </si>
  <si>
    <t xml:space="preserve">    Est. Repairs Expense</t>
  </si>
  <si>
    <t xml:space="preserve">    Est. Bad Debt Expense</t>
  </si>
  <si>
    <t xml:space="preserve">  Timing Differences - </t>
  </si>
  <si>
    <t>Deferred Tax (Tax Depr. over / (under) Book Depr.)</t>
  </si>
  <si>
    <t>Acct. 282100  Beg. Balance</t>
  </si>
  <si>
    <t>Acct. 282000  Beg. Balance</t>
  </si>
  <si>
    <t>Acct. 190009  Beg. Balance</t>
  </si>
  <si>
    <t>Acct. 190008  Beg. Balance</t>
  </si>
  <si>
    <t>HIST SPREAD</t>
  </si>
  <si>
    <t>WYOMING 282 ADJUSTMENT DETAIL</t>
  </si>
  <si>
    <t>Estimated</t>
  </si>
  <si>
    <t>TAX ANALYSIS FOR UTAH RATE CASE</t>
  </si>
  <si>
    <t>QUESTAR GAS COMPANY</t>
  </si>
  <si>
    <t>Projected Deferral  Tax Account Balances</t>
  </si>
  <si>
    <t>Questar Gas Co.</t>
  </si>
  <si>
    <t>Total Depreciation EXPENSE 403 &amp; 404</t>
  </si>
  <si>
    <t>Ending 108/111 Balance</t>
  </si>
  <si>
    <t>Dismantling</t>
  </si>
  <si>
    <t>Proceeds</t>
  </si>
  <si>
    <t>Loss on Disposition of Assets</t>
  </si>
  <si>
    <t>Gain on Disposition of Assets</t>
  </si>
  <si>
    <t>Intercompany Transfers</t>
  </si>
  <si>
    <t>Beginning Balance</t>
  </si>
  <si>
    <t>Total (including amortization of reserve variance)</t>
  </si>
  <si>
    <t>Total Depreciation expense</t>
  </si>
  <si>
    <t>Reserve Variance (General)</t>
  </si>
  <si>
    <t>Reserve Variance (Distribution)</t>
  </si>
  <si>
    <t>Amount Charged to Clearing</t>
  </si>
  <si>
    <t>Depreciation and Amoritization Expense</t>
  </si>
  <si>
    <t>Depreciation Rates</t>
  </si>
  <si>
    <t>Forecast</t>
  </si>
  <si>
    <t>Year-to-Year % change</t>
  </si>
  <si>
    <t>Total Labor/Labor Overhead Expensed</t>
  </si>
  <si>
    <t>Total Labor Expensed</t>
  </si>
  <si>
    <t>Other Expense</t>
  </si>
  <si>
    <t>Allocated Charges</t>
  </si>
  <si>
    <t>Incentive Accrual Expense</t>
  </si>
  <si>
    <t>Labor Expense</t>
  </si>
  <si>
    <t>Energy Efficiency</t>
  </si>
  <si>
    <t>Inflation Factors</t>
  </si>
  <si>
    <t>Test Year</t>
  </si>
  <si>
    <t xml:space="preserve">Base Year      </t>
  </si>
  <si>
    <t>Capital</t>
  </si>
  <si>
    <t>Other</t>
  </si>
  <si>
    <t>Acc 921 Inflation Factor</t>
  </si>
  <si>
    <t>(B</t>
  </si>
  <si>
    <t>224</t>
  </si>
  <si>
    <t>254</t>
  </si>
  <si>
    <t>Other Regulatory Liabilities</t>
  </si>
  <si>
    <t>December only Depreciation EXPENSE 403 &amp; 404</t>
  </si>
  <si>
    <t>403 Depreciation Expense</t>
  </si>
  <si>
    <t>% DEVELOPMENT</t>
  </si>
  <si>
    <t>Adv Exp - Parade of Homes</t>
  </si>
  <si>
    <t>Row Labels</t>
  </si>
  <si>
    <t>Line Description</t>
  </si>
  <si>
    <t>Line</t>
  </si>
  <si>
    <t>Actual 2012</t>
  </si>
  <si>
    <t>510B</t>
  </si>
  <si>
    <t>Sum of Oth Earns2012</t>
  </si>
  <si>
    <t>CORP PIPE</t>
  </si>
  <si>
    <t>909003 Total</t>
  </si>
  <si>
    <t>EXORO GROUP</t>
  </si>
  <si>
    <t>2012 Legal Payment</t>
  </si>
  <si>
    <t>Gross receipts taxes</t>
  </si>
  <si>
    <t>Property taxes</t>
  </si>
  <si>
    <t>Payroll taxes</t>
  </si>
  <si>
    <t>Utility revenue franchise taxes</t>
  </si>
  <si>
    <t>Total taxes other than income taxes</t>
  </si>
  <si>
    <t>3/</t>
  </si>
  <si>
    <t>CHECQ</t>
  </si>
  <si>
    <t>UTILITy RATE BASE</t>
  </si>
  <si>
    <t>NET UTILITy PLANT</t>
  </si>
  <si>
    <t>Complete Construction Not yet Classified</t>
  </si>
  <si>
    <t>Accum Proy For Deprec - Gas Plant In Syc</t>
  </si>
  <si>
    <t>Accum Proy For Amort &amp; Depl - Gas Plant In Syc</t>
  </si>
  <si>
    <t>Change Year/Year</t>
  </si>
  <si>
    <t>YE</t>
  </si>
  <si>
    <t>Early Retirement Expense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</si>
  <si>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</si>
  <si>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</si>
  <si>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</si>
  <si>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</si>
  <si>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</si>
  <si>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</si>
  <si>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</si>
  <si>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</si>
  <si>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</si>
  <si>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</si>
  <si>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</si>
  <si>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</si>
  <si>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</si>
  <si>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Dismantling (3yr avg %)</t>
  </si>
  <si>
    <t>Proceeds (3yr avg%)</t>
  </si>
  <si>
    <t>Budget</t>
  </si>
  <si>
    <t xml:space="preserve"> 400</t>
  </si>
  <si>
    <t xml:space="preserve"> 402</t>
  </si>
  <si>
    <t xml:space="preserve"> 403</t>
  </si>
  <si>
    <t>560</t>
  </si>
  <si>
    <t>561</t>
  </si>
  <si>
    <t>Acct. 282000</t>
  </si>
  <si>
    <t>Acct. 282100</t>
  </si>
  <si>
    <t>Allocation between accounts 282000 and 2821000</t>
  </si>
  <si>
    <t>Base Year-12 Months</t>
  </si>
  <si>
    <t>Test Year-12 Months</t>
  </si>
  <si>
    <t>Incentive Inflation Rate</t>
  </si>
  <si>
    <t>2013 Legal Payment</t>
  </si>
  <si>
    <t>2014 Legal Payment</t>
  </si>
  <si>
    <t>Land rights:</t>
  </si>
  <si>
    <t>% of total in Land rights:</t>
  </si>
  <si>
    <t>100% Sales</t>
  </si>
  <si>
    <t>2XSales</t>
  </si>
  <si>
    <t>Pension Expense</t>
  </si>
  <si>
    <t>Other Labor Overhead Expense</t>
  </si>
  <si>
    <t>Adjustment Amount</t>
  </si>
  <si>
    <t>Optional Adjustment 2</t>
  </si>
  <si>
    <t>Optional Adjustment 3</t>
  </si>
  <si>
    <t>Optional Adjustment 4</t>
  </si>
  <si>
    <t>Optional Adjustment 5</t>
  </si>
  <si>
    <t>Optional Adjustment 6</t>
  </si>
  <si>
    <t>Optional Adjustment 7</t>
  </si>
  <si>
    <t>Optional Adjustment 8</t>
  </si>
  <si>
    <t>Optional Adjustment 9</t>
  </si>
  <si>
    <t>Optional Adjustment 10</t>
  </si>
  <si>
    <t>Optional Adjustment 11</t>
  </si>
  <si>
    <t>Optional Adjustment 12</t>
  </si>
  <si>
    <t>Optional Adjustment 13</t>
  </si>
  <si>
    <t>Optional Adjustment 14</t>
  </si>
  <si>
    <t>Optional Adjustment 15</t>
  </si>
  <si>
    <t>Optional Adjustment 16</t>
  </si>
  <si>
    <t>Optional Adjustment 17</t>
  </si>
  <si>
    <t>Optional Adjustment 18</t>
  </si>
  <si>
    <t>Optional Adjustment 19</t>
  </si>
  <si>
    <t>Optional Adjustment 20</t>
  </si>
  <si>
    <t>Optional Adjustment 21</t>
  </si>
  <si>
    <t>Optional Adjustment 22</t>
  </si>
  <si>
    <t>Optional Adjustment 23</t>
  </si>
  <si>
    <t>Optional Adjustment 24</t>
  </si>
  <si>
    <t>Optional Adjustment 25</t>
  </si>
  <si>
    <t>Optional Adjustment 26</t>
  </si>
  <si>
    <t>Optional Adjustment 27</t>
  </si>
  <si>
    <t>Original Adjustment</t>
  </si>
  <si>
    <t>Update Adjustment</t>
  </si>
  <si>
    <t>Updated Adj</t>
  </si>
  <si>
    <t>Rate Base Forecast</t>
  </si>
  <si>
    <t>Other Regulatory Liabilities ARC</t>
  </si>
  <si>
    <t>QGC Expense Dec 2015</t>
  </si>
  <si>
    <t>Energy Efficiency 2017</t>
  </si>
  <si>
    <t>Utah Bad Debt 2017</t>
  </si>
  <si>
    <t>CORP - Performance Share &amp; Cash (Transaction 403)</t>
  </si>
  <si>
    <t>CORP Bonus (Transaction 402)</t>
  </si>
  <si>
    <t>520</t>
  </si>
  <si>
    <t>Actual 2013</t>
  </si>
  <si>
    <t>Actual 2014</t>
  </si>
  <si>
    <t>Actual 2015</t>
  </si>
  <si>
    <t>Regular incentive program is transaction 402.</t>
  </si>
  <si>
    <t>Allocated Through Distrigas</t>
  </si>
  <si>
    <t>Total AMIP and PIPE Allowed with Overheads (Line 6 + Line 14)</t>
  </si>
  <si>
    <t>From Donna P</t>
  </si>
  <si>
    <t>Payments in 2014 for 2013 Incentive</t>
  </si>
  <si>
    <t>Other incentives are transaction 403.</t>
  </si>
  <si>
    <t>1/ 100% of PIPE is based on operating goals.</t>
  </si>
  <si>
    <t>Payments in 2015 for 2014 Incentive</t>
  </si>
  <si>
    <t>Payments in 2016 for 2015 Incentive</t>
  </si>
  <si>
    <t>Change in mains and services policy in 2014 ended contributions in this account</t>
  </si>
  <si>
    <t>Average of actual five years (rounded)</t>
  </si>
  <si>
    <t>Cust advances for indust/reimbursable projects</t>
  </si>
  <si>
    <t>2015 Legal Payment</t>
  </si>
  <si>
    <t>5057</t>
  </si>
  <si>
    <t>0600</t>
  </si>
  <si>
    <t>5500</t>
  </si>
  <si>
    <t>CORP G&amp;A ALLOCATION-HR</t>
  </si>
  <si>
    <t>V CHOCOLATES RETAIL</t>
  </si>
  <si>
    <t>1465</t>
  </si>
  <si>
    <t>FINANCIAL ADVERTISING ADJUSTMENT</t>
  </si>
  <si>
    <t>Total QC General Advertising Expenses</t>
  </si>
  <si>
    <t>Total QC Institutional Advertising</t>
  </si>
  <si>
    <t>Total Corporate Financial Advertising</t>
  </si>
  <si>
    <t>UTAH BUSINESS MAGAZINE</t>
  </si>
  <si>
    <t>CORP G&amp;A ALLOCATION-DISTRIGAS</t>
  </si>
  <si>
    <t>CORP G&amp;A ALLOCATION-NEW DISGAS</t>
  </si>
  <si>
    <t>CNG Tax Credit 2015</t>
  </si>
  <si>
    <t>(Dr.) / Cr.</t>
  </si>
  <si>
    <t>2015 CASE</t>
  </si>
  <si>
    <t>Adjustment (Moved to 254)</t>
  </si>
  <si>
    <t>2012 Study</t>
  </si>
  <si>
    <t>106 ending balance</t>
  </si>
  <si>
    <t>107 ending balance</t>
  </si>
  <si>
    <t>% of capital expenditures remaining in 106 at Y/E</t>
  </si>
  <si>
    <t>% of capital expenditures remaining in 107 at Y/E</t>
  </si>
  <si>
    <t>AVG RB DEC 2017</t>
  </si>
  <si>
    <t>YE RB DEC 2017</t>
  </si>
  <si>
    <t>change</t>
  </si>
  <si>
    <t>Less Expensed UT DNG Bad Debt</t>
  </si>
  <si>
    <t>Less Expensed WY DNG Bad Debt</t>
  </si>
  <si>
    <t>UT Distribution Non Gas Rev (Includes Energy Eff.)</t>
  </si>
  <si>
    <t>For depreciation purposes, 106 amounts are included in 101 forecast</t>
  </si>
  <si>
    <t>Remaining in 107</t>
  </si>
  <si>
    <t xml:space="preserve">Inflation Factor </t>
  </si>
  <si>
    <t>921 Inflation:</t>
  </si>
  <si>
    <t>Contributions Received</t>
  </si>
  <si>
    <t>3/ Reflects the projected increase in labor</t>
  </si>
  <si>
    <t>Annual Change</t>
  </si>
  <si>
    <t>(Updated Oct 2015)</t>
  </si>
  <si>
    <t>(Updated October 2015)</t>
  </si>
  <si>
    <t>Ending 254 Balance</t>
  </si>
  <si>
    <t>Q1 Forecast: 3 months actual/9 months forecast from MDR B.4</t>
  </si>
  <si>
    <t>Q1 Forecast</t>
  </si>
  <si>
    <t>Estimated Book Depr. (Forecast)</t>
  </si>
  <si>
    <t>Total 2017</t>
  </si>
  <si>
    <t>HISTORICAL BOOKED SYSTEM REVENUES (GREY BACK)</t>
  </si>
  <si>
    <t>052-Mains - Other</t>
  </si>
  <si>
    <t>022-Distribution Measure &amp; Regulat</t>
  </si>
  <si>
    <t>023-Feeder Lines</t>
  </si>
  <si>
    <t>025-Distribution Mains</t>
  </si>
  <si>
    <t>026-Distribution Services</t>
  </si>
  <si>
    <t>027-Meters</t>
  </si>
  <si>
    <t>053-Services - Other</t>
  </si>
  <si>
    <t>054-Meters - Conversions</t>
  </si>
  <si>
    <t>033-Transportation Equipment</t>
  </si>
  <si>
    <t>038-Communication &amp; Telemetering</t>
  </si>
  <si>
    <t>042-Filling Stations and Plants</t>
  </si>
  <si>
    <t>043-Computer System Software</t>
  </si>
  <si>
    <t>044-Computer Equipment</t>
  </si>
  <si>
    <t>080-Retirement Projects</t>
  </si>
  <si>
    <t>086-Accounts Receivable Projects</t>
  </si>
  <si>
    <t>057-Telecom Non Construction</t>
  </si>
  <si>
    <t>085-UDOT Accounts Receivable</t>
  </si>
  <si>
    <t>Labor Adjustment-ROO</t>
  </si>
  <si>
    <t>Labor Annualization Calculations</t>
  </si>
  <si>
    <t xml:space="preserve">Base Pay </t>
  </si>
  <si>
    <t xml:space="preserve">Actual </t>
  </si>
  <si>
    <t>Including Allowed Time</t>
  </si>
  <si>
    <t>Intercompany &amp; Allocated Charges</t>
  </si>
  <si>
    <t>Total Base Labor</t>
  </si>
  <si>
    <t>Total Labor</t>
  </si>
  <si>
    <t>Total Base Labor Expensed</t>
  </si>
  <si>
    <t>Overhead Components</t>
  </si>
  <si>
    <t>Other Than Payroll Taxes</t>
  </si>
  <si>
    <t>Pension Plan</t>
  </si>
  <si>
    <t>Heathcare</t>
  </si>
  <si>
    <t>401K</t>
  </si>
  <si>
    <t>Post Retirement</t>
  </si>
  <si>
    <t>Allowed Time</t>
  </si>
  <si>
    <t>Total Overhead</t>
  </si>
  <si>
    <t>Overhead Expensed</t>
  </si>
  <si>
    <t xml:space="preserve">Total Labor &amp; Overhead </t>
  </si>
  <si>
    <t>Total Labor &amp; Overhead Expensed</t>
  </si>
  <si>
    <t>Expense / Capitalization Ratio</t>
  </si>
  <si>
    <t>\1 Average 12 Months Ending Dec 2011-Dec 2015 Capitalization Ratio</t>
  </si>
  <si>
    <t>\2 Actual 12 Months Ending Dec 2015 Capitalization Ratio</t>
  </si>
  <si>
    <t>Labor Adjustment</t>
  </si>
  <si>
    <t>Increase</t>
  </si>
  <si>
    <t>6 Month</t>
  </si>
  <si>
    <t>As of November Accounting Combines short term and long term DIT in account 282</t>
  </si>
  <si>
    <t>AVG Projected Rev 2018 with CET</t>
  </si>
  <si>
    <t>2016-01-31</t>
  </si>
  <si>
    <t>2016-09-30</t>
  </si>
  <si>
    <t>2016-02-29</t>
  </si>
  <si>
    <t>2016-11-30</t>
  </si>
  <si>
    <t>2016-03-31</t>
  </si>
  <si>
    <t>2016-04-30</t>
  </si>
  <si>
    <t>2016-05-31</t>
  </si>
  <si>
    <t>2016-10-31</t>
  </si>
  <si>
    <t>2016-12-31</t>
  </si>
  <si>
    <t>Holland and Hart</t>
  </si>
  <si>
    <t>NES Inc</t>
  </si>
  <si>
    <t xml:space="preserve">Wyoming Taxpayers Association </t>
  </si>
  <si>
    <t>Golf Tournament</t>
  </si>
  <si>
    <t>Utah Foundation</t>
  </si>
  <si>
    <t>2016 Legal Payment</t>
  </si>
  <si>
    <t>Legal Accruals for 12 Months Ended Dec 2016</t>
  </si>
  <si>
    <t>Energy Efficiency 2018</t>
  </si>
  <si>
    <t>QGC DIRECT ADVERTISING JAN TO DEC 2016</t>
  </si>
  <si>
    <t>CORP  ADVERTISING JAN TO DEC 2016</t>
  </si>
  <si>
    <t>930100</t>
  </si>
  <si>
    <t>SUBLETTE EXAMINER</t>
  </si>
  <si>
    <t>RAINBOW NEON SIGN COMPANY</t>
  </si>
  <si>
    <t>PONY EXPRESS DAYS RODEO COMMIT</t>
  </si>
  <si>
    <t>Actual 2016</t>
  </si>
  <si>
    <t>Payments in 2017 for 2016 Incentive</t>
  </si>
  <si>
    <t/>
  </si>
  <si>
    <t>QGC</t>
  </si>
  <si>
    <t xml:space="preserve">Escalation Factor </t>
  </si>
  <si>
    <t>YE CAP STR</t>
  </si>
  <si>
    <t>AVG CAP STR</t>
  </si>
  <si>
    <t>Notes - Long Term</t>
  </si>
  <si>
    <t>ORDERED CAP STR 13-057-05</t>
  </si>
  <si>
    <t>13-057-05 Ordered CAP STR</t>
  </si>
  <si>
    <t>AVG RB DEC 2018</t>
  </si>
  <si>
    <t>YE RB DEC 2018</t>
  </si>
  <si>
    <t>thru  Dec. 31, 2018</t>
  </si>
  <si>
    <t>Utah Bad Debt 2018</t>
  </si>
  <si>
    <t>Utah O&amp;M %</t>
  </si>
  <si>
    <t>Wyoming O&amp;M %</t>
  </si>
  <si>
    <t>1/ Forecast amounts for 2017 reflect 2017 estimates being booked for the year.</t>
  </si>
  <si>
    <t>2/ Reflects the five-year average change of 2012-2016</t>
  </si>
  <si>
    <t>Actual amounts for 2011 through 2016 are from Questar Gas financial records</t>
  </si>
  <si>
    <t>2016 Investment</t>
  </si>
  <si>
    <t>Nondepreciable Plant</t>
  </si>
  <si>
    <t>Ordered</t>
  </si>
  <si>
    <t>Dominion Energy Utah</t>
  </si>
  <si>
    <t>Dominion Energy</t>
  </si>
  <si>
    <t>DEC 2017 Adjusted Avg  Results</t>
  </si>
  <si>
    <t>DEC 2018 Adjusted Avg  Results</t>
  </si>
  <si>
    <t>Total Corp AMIP and PIPE Plan Disallowed</t>
  </si>
  <si>
    <t>Corp Management and Employee Incentive Plans</t>
  </si>
  <si>
    <t>Corporation</t>
  </si>
  <si>
    <t>DEU Incentives 2017</t>
  </si>
  <si>
    <t>DEU Incentives 2018</t>
  </si>
  <si>
    <t>Booked Rev 2017</t>
  </si>
  <si>
    <t>AVG RB DEC 2019</t>
  </si>
  <si>
    <t>YE RB DEC 2019</t>
  </si>
  <si>
    <t>AVG Projected Rev 2019 with CET</t>
  </si>
  <si>
    <t>Energy Efficiency 2019</t>
  </si>
  <si>
    <t>Total 2018</t>
  </si>
  <si>
    <t>Amounts were adjusted using the Global Insight Inflation factors of 1.7% for 2018 and 2019.</t>
  </si>
  <si>
    <t xml:space="preserve"> Incentive Accrual (Transaction 402)</t>
  </si>
  <si>
    <t xml:space="preserve"> - Performance Share &amp; Cash (Transaction 403)</t>
  </si>
  <si>
    <t>Accrue  Incentive</t>
  </si>
  <si>
    <t>Per Mike Rawlins, there were none in 2017.</t>
  </si>
  <si>
    <t>AIP</t>
  </si>
  <si>
    <t>520C</t>
  </si>
  <si>
    <t>17 Bonus Accrual</t>
  </si>
  <si>
    <t xml:space="preserve"> Corporation Incentive Pay Adjustment</t>
  </si>
  <si>
    <t>Company Incentive Pay Adjustment</t>
  </si>
  <si>
    <t>12 Mos. Ending  Dec. 2017</t>
  </si>
  <si>
    <t>Actual Payout for 2017 (Paid in Feb 2018)</t>
  </si>
  <si>
    <t xml:space="preserve">  Management Incentive Plan (AMIP)</t>
  </si>
  <si>
    <t>Bonus related to  Financial Goals &amp; Affiliates</t>
  </si>
  <si>
    <t>Adjust  Incentive</t>
  </si>
  <si>
    <t xml:space="preserve">Bonus related to  O&amp;M Goals </t>
  </si>
  <si>
    <t>Long Term Incentive Plan (2017)</t>
  </si>
  <si>
    <t>510F</t>
  </si>
  <si>
    <t>Pushdown Corp AIP accrual</t>
  </si>
  <si>
    <t>PIPE Bonus related to  Financial Goals &amp; Affiliates</t>
  </si>
  <si>
    <t xml:space="preserve">PIPE Bonus related to  O&amp;M Goals </t>
  </si>
  <si>
    <t xml:space="preserve"> Employee Incentive Plan (PIPE)</t>
  </si>
  <si>
    <t xml:space="preserve"> AMIP (Financial Goals)</t>
  </si>
  <si>
    <t>Allocated to Company</t>
  </si>
  <si>
    <t xml:space="preserve"> AMIP (O&amp;M Goals)</t>
  </si>
  <si>
    <t xml:space="preserve">     Percent to Company</t>
  </si>
  <si>
    <t xml:space="preserve">     Total to Company</t>
  </si>
  <si>
    <t xml:space="preserve"> AMIP (Financial Goals)%</t>
  </si>
  <si>
    <t xml:space="preserve"> AMIP (O&amp;M Goals)%</t>
  </si>
  <si>
    <t xml:space="preserve"> PIPE (Financial Goals)</t>
  </si>
  <si>
    <t xml:space="preserve"> PIPE (O&amp;M Goals)</t>
  </si>
  <si>
    <t xml:space="preserve"> PIPE (Financial Goals)%</t>
  </si>
  <si>
    <t xml:space="preserve"> PIPE (O&amp;M Goals)%</t>
  </si>
  <si>
    <t>Total related to  O&amp;M Goals</t>
  </si>
  <si>
    <t xml:space="preserve"> PIPE (FINANCIAL GOALS PAYOUT)%</t>
  </si>
  <si>
    <t xml:space="preserve"> PIPE (OPERATIONAL GOALS PAYOUT)%</t>
  </si>
  <si>
    <t>TOTAL  PIPE (GOALS PAYOUT)%</t>
  </si>
  <si>
    <t>Leave this section the same</t>
  </si>
  <si>
    <t>Sporting Events 2017</t>
  </si>
  <si>
    <t>Total Corp Outside Services</t>
  </si>
  <si>
    <t>Advertising 2017</t>
  </si>
  <si>
    <t>Donations &amp; Membership 2017</t>
  </si>
  <si>
    <t>Reserve Accrual 2017</t>
  </si>
  <si>
    <t>Distrigas 2017</t>
  </si>
  <si>
    <t>LONG-TERM DEBT COST %</t>
  </si>
  <si>
    <t>Transition Costs</t>
  </si>
  <si>
    <t>DES charges to Company</t>
  </si>
  <si>
    <t>Jan to March 2018</t>
  </si>
  <si>
    <t>From Mike Rawlins</t>
  </si>
  <si>
    <t>March</t>
  </si>
  <si>
    <t>YTD</t>
  </si>
  <si>
    <t>Total Allocated Corporate Expense Jan-March 2018</t>
  </si>
  <si>
    <t>Accounts</t>
  </si>
  <si>
    <t>Variance</t>
  </si>
  <si>
    <t>YTD Actual</t>
  </si>
  <si>
    <t>Less: Incentives</t>
  </si>
  <si>
    <t xml:space="preserve">            8504081  Allocate-Payroll Ta</t>
  </si>
  <si>
    <t>Net Corporate Overhead Expense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</si>
  <si>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</si>
  <si>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</si>
  <si>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</si>
  <si>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</si>
  <si>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</si>
  <si>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</si>
  <si>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</si>
  <si>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</si>
  <si>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>Total 3 months DES overhead expense</t>
  </si>
  <si>
    <t xml:space="preserve">            8509210  Alloc-A&amp;G-Off Suppl</t>
  </si>
  <si>
    <t xml:space="preserve">            8509211  Alloc-A&amp;G-Interest</t>
  </si>
  <si>
    <t>Annualized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</si>
  <si>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</si>
  <si>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</si>
  <si>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</si>
  <si>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</si>
  <si>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</si>
  <si>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</si>
  <si>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</si>
  <si>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</si>
  <si>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</si>
  <si>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</si>
  <si>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</si>
  <si>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</si>
  <si>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</si>
  <si>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</si>
  <si>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</si>
  <si>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</si>
  <si>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</si>
  <si>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</si>
  <si>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</si>
  <si>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</si>
  <si>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</si>
  <si>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</si>
  <si>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</si>
  <si>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</si>
  <si>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</si>
  <si>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</si>
  <si>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</si>
  <si>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</si>
  <si>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</si>
  <si>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</si>
  <si>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</si>
  <si>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</si>
  <si>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</si>
  <si>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</si>
  <si>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</si>
  <si>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</si>
  <si>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</si>
  <si>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</si>
  <si>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</si>
  <si>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Expense 2017</t>
  </si>
  <si>
    <t>Western Gas Distribution</t>
  </si>
  <si>
    <t>Capital Budget Forecast</t>
  </si>
  <si>
    <t>Growth</t>
  </si>
  <si>
    <t>023-Feeder Lines (FL Tracker)</t>
  </si>
  <si>
    <t>052-Mains - Other (BL Tracker)</t>
  </si>
  <si>
    <t>042-LNG Plant</t>
  </si>
  <si>
    <t>052-Mains - Other (Southern System Expansion)</t>
  </si>
  <si>
    <t>Total Growth</t>
  </si>
  <si>
    <t>Maintenance</t>
  </si>
  <si>
    <t>024-Distribution Compressor Plants</t>
  </si>
  <si>
    <t>031-Offices Buildings and Residences</t>
  </si>
  <si>
    <t>032-Furniture and Office Equipment</t>
  </si>
  <si>
    <t>036-Tools and Work Equipment</t>
  </si>
  <si>
    <t>Total Maintenance</t>
  </si>
  <si>
    <t>2017 Actual</t>
  </si>
  <si>
    <t>12/31/2017</t>
  </si>
  <si>
    <t>2018 CASE</t>
  </si>
  <si>
    <t>2019 CASE</t>
  </si>
  <si>
    <t>Federal Tax Rate</t>
  </si>
  <si>
    <t>Sporting Events 2018</t>
  </si>
  <si>
    <t>Advertising 2018</t>
  </si>
  <si>
    <t>Donations &amp; Membership 2018</t>
  </si>
  <si>
    <t>Reserve Accrual 2018</t>
  </si>
  <si>
    <t>Expense 2018</t>
  </si>
  <si>
    <t>Expense 2019</t>
  </si>
  <si>
    <t>Utah Bad Debt 2019</t>
  </si>
  <si>
    <t>Sporting Events 2019</t>
  </si>
  <si>
    <t>DEU Incentives 2019</t>
  </si>
  <si>
    <t>Advertising 2019</t>
  </si>
  <si>
    <t>Donations &amp; Membership 2019</t>
  </si>
  <si>
    <t>Reserve Accrual 2019</t>
  </si>
  <si>
    <t>Amortizes the 2017 ending balance less refunds based on the prior five-year Contributions Received balances (rounded)</t>
  </si>
  <si>
    <t>5 Year Avg</t>
  </si>
  <si>
    <t>Beginning Balance (excluding 115 account)</t>
  </si>
  <si>
    <t>Ending 108/111 Balance (excludes 115 account)</t>
  </si>
  <si>
    <t>Jan - Dec 19</t>
  </si>
  <si>
    <t>921 Inflation Factor</t>
  </si>
  <si>
    <t>Corporate Overhead 2017</t>
  </si>
  <si>
    <t>Corporate Overhead 2018</t>
  </si>
  <si>
    <t>Corporate Overhead 2019</t>
  </si>
  <si>
    <t>DEC 2019 Adjusted Avg  Results</t>
  </si>
  <si>
    <t>Affiliated Labor (560) 1/</t>
  </si>
  <si>
    <t>Affiliated Labor Overhead (561) 2/</t>
  </si>
  <si>
    <t>Less: Corporate Labor &amp; Overhead included in Labor Adjustment</t>
  </si>
  <si>
    <t>1/ All but $614,927 portion of the 2018 expense is from DES.</t>
  </si>
  <si>
    <t>2/ All but $269,308 portion of the 2018 expense is from DES.</t>
  </si>
  <si>
    <t>2018 Forecast</t>
  </si>
  <si>
    <t>2017 Actuals</t>
  </si>
  <si>
    <t>Adjust for Corporate Incentive</t>
  </si>
  <si>
    <t>YE True Up</t>
  </si>
  <si>
    <t>in Jan 2018</t>
  </si>
  <si>
    <t>Acct. 190000  Beg. Balance</t>
  </si>
  <si>
    <t>RVX010</t>
  </si>
  <si>
    <t>FAR060</t>
  </si>
  <si>
    <t>FAC060</t>
  </si>
  <si>
    <t>BNX080</t>
  </si>
  <si>
    <t>SCS010</t>
  </si>
  <si>
    <t>FROM 2+10 FORECAST</t>
  </si>
  <si>
    <t>SUM</t>
  </si>
  <si>
    <t>EDIT AMORTIZATION</t>
  </si>
  <si>
    <t>FEDERAL - 190008</t>
  </si>
  <si>
    <t>FEDERAL</t>
  </si>
  <si>
    <t>282 ALLOCATION %</t>
  </si>
  <si>
    <t>Gross Up in 190008</t>
  </si>
  <si>
    <t>Represents FED Gross Up</t>
  </si>
  <si>
    <t xml:space="preserve">FEDERAL - 190008 </t>
  </si>
  <si>
    <t>STATE - 190009</t>
  </si>
  <si>
    <t>STATE</t>
  </si>
  <si>
    <t>Gross Up in 283000</t>
  </si>
  <si>
    <t>Reclass amount from 283 to 190</t>
  </si>
  <si>
    <t>EDIT AMORTIZATION - REG LIAB 254</t>
  </si>
  <si>
    <t>Reg Liab</t>
  </si>
  <si>
    <t>Regulatory Liability - Excess Deferred Income Taxes - Amortization</t>
  </si>
  <si>
    <t>JAN-FEB Tax Accrual Amount</t>
  </si>
  <si>
    <t>Included in 2018</t>
  </si>
  <si>
    <t>Included in 2019 Revrun</t>
  </si>
  <si>
    <t>Hot Column</t>
  </si>
  <si>
    <t>2017 Transition</t>
  </si>
  <si>
    <t>2018 Transition</t>
  </si>
  <si>
    <t>2019 Transition</t>
  </si>
  <si>
    <t>Distrigas 2015</t>
  </si>
  <si>
    <t>Distrigas 2016</t>
  </si>
  <si>
    <t>Utah - Dec 2017 Adjusted Avg Results</t>
  </si>
  <si>
    <t>12 Months Ended : Dec-2017</t>
  </si>
  <si>
    <t>2016 Data</t>
  </si>
  <si>
    <t>Tickets Used for Employee Recognition - % Calculation 2017</t>
  </si>
  <si>
    <t>12 Mos Dec-2017</t>
  </si>
  <si>
    <t>2018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</si>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</sst>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#,##0.0000_);\(#,##0.0000\)"/>
    <numFmt numFmtId="176" formatCode="mmmm\-yy"/>
    <numFmt numFmtId="177" formatCode="dd\-mmm\-yy"/>
    <numFmt numFmtId="178" formatCode="#,##0.000000_);\(#,##0.000000\)"/>
    <numFmt numFmtId="179" formatCode="_(&quot;$&quot;* #,##0_);_(&quot;$&quot;* \(#,##0\);_(&quot;$&quot;* &quot;-&quot;??_);_(@_)"/>
    <numFmt numFmtId="180" formatCode="&quot;$&quot;#,##0"/>
    <numFmt numFmtId="181" formatCode="mmmm\ d\,\ yyyy\ \ \ h:mm\ AM/PM"/>
    <numFmt numFmtId="182" formatCode="0.0000000%"/>
    <numFmt numFmtId="183" formatCode="[$-409]mmm\-yy;@"/>
    <numFmt numFmtId="184" formatCode="_(* #,##0.0000_);_(* \(#,##0.0000\);_(* &quot;-&quot;??_);_(@_)"/>
    <numFmt numFmtId="185" formatCode="[$-409]d\-mmm\-yyyy;@"/>
    <numFmt numFmtId="186" formatCode="0.000000000000000%"/>
    <numFmt numFmtId="187" formatCode="[$-409]mmmm\-yy;@"/>
    <numFmt numFmtId="188" formatCode="0.000"/>
    <numFmt numFmtId="189" formatCode="[$-409]dd\-mmm\-yy;@"/>
    <numFmt numFmtId="190" formatCode="&quot;$&quot;#,##0.00"/>
    <numFmt numFmtId="191" formatCode="#,##0_);\(#,##0\);&quot; &quot;"/>
    <numFmt numFmtId="192" formatCode="_(* #,##0.0000000_);_(* \(#,##0.0000000\);_(* &quot;-&quot;??_);_(@_)"/>
    <numFmt numFmtId="193" formatCode="0.00000"/>
  </numFmts>
  <fonts count="7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0"/>
      <name val="Arial"/>
      <family val="2"/>
      <charset val="161"/>
    </font>
    <font>
      <sz val="10"/>
      <name val="Arial Unicode MS"/>
      <family val="2"/>
    </font>
    <font>
      <b/>
      <sz val="16"/>
      <name val="Arial"/>
      <family val="2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b/>
      <sz val="14"/>
      <name val="Arial"/>
      <family val="2"/>
    </font>
    <font>
      <b/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sz val="8"/>
      <name val="Helv"/>
    </font>
    <font>
      <b/>
      <sz val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11"/>
      <name val="Arial"/>
      <family val="2"/>
    </font>
    <font>
      <b/>
      <sz val="20"/>
      <name val="Arial"/>
      <family val="2"/>
    </font>
    <font>
      <sz val="10"/>
      <name val="Helv"/>
    </font>
    <font>
      <sz val="10"/>
      <name val="Arial Narrow"/>
      <family val="2"/>
    </font>
    <font>
      <sz val="11"/>
      <name val="Arial"/>
      <family val="2"/>
    </font>
    <font>
      <b/>
      <sz val="18"/>
      <name val="Arial"/>
      <family val="2"/>
    </font>
    <font>
      <sz val="12"/>
      <name val="Helv"/>
    </font>
    <font>
      <i/>
      <sz val="10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7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1F497D"/>
      <name val="Calibri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Arial"/>
      <family val="2"/>
      <charset val="16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OAK"/>
    </font>
    <font>
      <b/>
      <sz val="11"/>
      <color rgb="FF000000"/>
      <name val="Calibri"/>
      <family val="2"/>
    </font>
    <font>
      <sz val="8"/>
      <color theme="1"/>
      <name val="Calibri"/>
      <family val="2"/>
    </font>
    <font>
      <sz val="10"/>
      <color rgb="FF000000"/>
      <name val="Calibri"/>
      <family val="2"/>
    </font>
    <font>
      <b/>
      <sz val="8"/>
      <color rgb="FF000000"/>
      <name val="Calibri"/>
      <family val="2"/>
    </font>
    <font>
      <sz val="10"/>
      <color theme="0" tint="-0.14999847407452621"/>
      <name val="Arial"/>
      <family val="2"/>
    </font>
    <font>
      <b/>
      <u val="singleAccounting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lightGray">
        <fgColor indexed="8"/>
        <bgColor indexed="47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double">
        <color indexed="8"/>
      </bottom>
      <diagonal/>
    </border>
    <border>
      <left/>
      <right style="medium">
        <color indexed="64"/>
      </right>
      <top style="thin">
        <color indexed="8"/>
      </top>
      <bottom style="double">
        <color indexed="8"/>
      </bottom>
      <diagonal/>
    </border>
  </borders>
  <cellStyleXfs count="131">
    <xf numFmtId="0" fontId="0" fillId="0" borderId="0"/>
    <xf numFmtId="43" fontId="5" fillId="0" borderId="0" applyFont="0" applyFill="0" applyBorder="0" applyProtection="0"/>
    <xf numFmtId="43" fontId="3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" fillId="0" borderId="0" applyFont="0" applyFill="0" applyBorder="0" applyProtection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13" fillId="0" borderId="1">
      <alignment horizontal="center"/>
    </xf>
    <xf numFmtId="0" fontId="13" fillId="0" borderId="1">
      <alignment horizontal="center"/>
    </xf>
    <xf numFmtId="0" fontId="13" fillId="0" borderId="1">
      <alignment horizontal="center"/>
    </xf>
    <xf numFmtId="0" fontId="13" fillId="0" borderId="1">
      <alignment horizontal="center"/>
    </xf>
    <xf numFmtId="0" fontId="13" fillId="0" borderId="1">
      <alignment horizontal="center"/>
    </xf>
    <xf numFmtId="0" fontId="37" fillId="0" borderId="1">
      <alignment horizontal="center"/>
    </xf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12" fillId="2" borderId="0" applyNumberFormat="0" applyFont="0" applyBorder="0" applyAlignment="0" applyProtection="0"/>
    <xf numFmtId="0" fontId="12" fillId="2" borderId="0" applyNumberFormat="0" applyFont="0" applyBorder="0" applyAlignment="0" applyProtection="0"/>
    <xf numFmtId="0" fontId="12" fillId="2" borderId="0" applyNumberFormat="0" applyFont="0" applyBorder="0" applyAlignment="0" applyProtection="0"/>
    <xf numFmtId="0" fontId="12" fillId="2" borderId="0" applyNumberFormat="0" applyFont="0" applyBorder="0" applyAlignment="0" applyProtection="0"/>
    <xf numFmtId="0" fontId="12" fillId="2" borderId="0" applyNumberFormat="0" applyFont="0" applyBorder="0" applyAlignment="0" applyProtection="0"/>
    <xf numFmtId="0" fontId="36" fillId="2" borderId="0" applyNumberFormat="0" applyFont="0" applyBorder="0" applyAlignment="0" applyProtection="0"/>
    <xf numFmtId="0" fontId="40" fillId="0" borderId="0"/>
    <xf numFmtId="0" fontId="40" fillId="0" borderId="0" applyNumberFormat="0" applyFont="0" applyFill="0" applyBorder="0" applyAlignment="0" applyProtection="0">
      <alignment horizontal="left"/>
    </xf>
    <xf numFmtId="15" fontId="40" fillId="0" borderId="0" applyFont="0" applyFill="0" applyBorder="0" applyAlignment="0" applyProtection="0"/>
    <xf numFmtId="4" fontId="40" fillId="0" borderId="0" applyFont="0" applyFill="0" applyBorder="0" applyAlignment="0" applyProtection="0"/>
    <xf numFmtId="0" fontId="41" fillId="0" borderId="1">
      <alignment horizontal="center"/>
    </xf>
    <xf numFmtId="3" fontId="40" fillId="0" borderId="0" applyFont="0" applyFill="0" applyBorder="0" applyAlignment="0" applyProtection="0"/>
    <xf numFmtId="0" fontId="40" fillId="2" borderId="0" applyNumberFormat="0" applyFont="0" applyBorder="0" applyAlignment="0" applyProtection="0"/>
    <xf numFmtId="40" fontId="1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0" fontId="43" fillId="0" borderId="1">
      <alignment horizontal="center"/>
    </xf>
    <xf numFmtId="3" fontId="42" fillId="0" borderId="0" applyFont="0" applyFill="0" applyBorder="0" applyAlignment="0" applyProtection="0"/>
    <xf numFmtId="0" fontId="42" fillId="2" borderId="0" applyNumberFormat="0" applyFont="0" applyBorder="0" applyAlignment="0" applyProtection="0"/>
    <xf numFmtId="0" fontId="5" fillId="0" borderId="0"/>
    <xf numFmtId="0" fontId="5" fillId="0" borderId="0"/>
    <xf numFmtId="0" fontId="49" fillId="0" borderId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13" fillId="0" borderId="65">
      <alignment horizontal="center"/>
    </xf>
    <xf numFmtId="9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13" fillId="0" borderId="65">
      <alignment horizontal="center"/>
    </xf>
    <xf numFmtId="0" fontId="13" fillId="0" borderId="65">
      <alignment horizontal="center"/>
    </xf>
    <xf numFmtId="0" fontId="13" fillId="0" borderId="65">
      <alignment horizontal="center"/>
    </xf>
    <xf numFmtId="0" fontId="13" fillId="0" borderId="65">
      <alignment horizontal="center"/>
    </xf>
    <xf numFmtId="0" fontId="13" fillId="0" borderId="65">
      <alignment horizontal="center"/>
    </xf>
    <xf numFmtId="0" fontId="13" fillId="0" borderId="65">
      <alignment horizontal="center"/>
    </xf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2" fillId="2" borderId="0" applyNumberFormat="0" applyFont="0" applyBorder="0" applyAlignment="0" applyProtection="0"/>
    <xf numFmtId="0" fontId="12" fillId="2" borderId="0" applyNumberFormat="0" applyFont="0" applyBorder="0" applyAlignment="0" applyProtection="0"/>
    <xf numFmtId="0" fontId="12" fillId="0" borderId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13" fillId="0" borderId="65">
      <alignment horizontal="center"/>
    </xf>
    <xf numFmtId="3" fontId="12" fillId="0" borderId="0" applyFont="0" applyFill="0" applyBorder="0" applyAlignment="0" applyProtection="0"/>
    <xf numFmtId="0" fontId="12" fillId="2" borderId="0" applyNumberFormat="0" applyFont="0" applyBorder="0" applyAlignment="0" applyProtection="0"/>
    <xf numFmtId="0" fontId="12" fillId="0" borderId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13" fillId="0" borderId="65">
      <alignment horizontal="center"/>
    </xf>
    <xf numFmtId="3" fontId="12" fillId="0" borderId="0" applyFont="0" applyFill="0" applyBorder="0" applyAlignment="0" applyProtection="0"/>
    <xf numFmtId="0" fontId="12" fillId="2" borderId="0" applyNumberFormat="0" applyFont="0" applyBorder="0" applyAlignment="0" applyProtection="0"/>
    <xf numFmtId="43" fontId="5" fillId="0" borderId="0" applyFont="0" applyFill="0" applyBorder="0" applyProtection="0"/>
    <xf numFmtId="0" fontId="55" fillId="3" borderId="77" applyNumberFormat="0" applyFont="0" applyAlignment="0" applyProtection="0"/>
    <xf numFmtId="0" fontId="3" fillId="0" borderId="0"/>
    <xf numFmtId="187" fontId="12" fillId="0" borderId="0"/>
    <xf numFmtId="0" fontId="5" fillId="0" borderId="0"/>
    <xf numFmtId="0" fontId="2" fillId="0" borderId="0"/>
    <xf numFmtId="44" fontId="2" fillId="0" borderId="0" applyFont="0" applyFill="0" applyBorder="0" applyAlignment="0" applyProtection="0"/>
    <xf numFmtId="0" fontId="49" fillId="0" borderId="0"/>
    <xf numFmtId="0" fontId="1" fillId="11" borderId="0" applyNumberFormat="0" applyBorder="0" applyAlignment="0" applyProtection="0"/>
  </cellStyleXfs>
  <cellXfs count="1585">
    <xf numFmtId="0" fontId="0" fillId="0" borderId="0" xfId="0"/>
    <xf numFmtId="0" fontId="0" fillId="0" borderId="0" xfId="0" applyFill="1"/>
    <xf numFmtId="172" fontId="6" fillId="0" borderId="0" xfId="1" applyNumberFormat="1" applyFont="1" applyFill="1" applyBorder="1" applyAlignment="1">
      <alignment horizontal="left"/>
    </xf>
    <xf numFmtId="37" fontId="0" fillId="0" borderId="0" xfId="0" applyNumberFormat="1" applyFill="1"/>
    <xf numFmtId="37" fontId="6" fillId="0" borderId="0" xfId="1" quotePrefix="1" applyNumberFormat="1" applyFont="1" applyFill="1" applyBorder="1" applyAlignment="1">
      <alignment horizontal="center"/>
    </xf>
    <xf numFmtId="37" fontId="6" fillId="0" borderId="0" xfId="1" applyNumberFormat="1" applyFont="1" applyFill="1"/>
    <xf numFmtId="17" fontId="6" fillId="0" borderId="1" xfId="1" applyNumberFormat="1" applyFont="1" applyFill="1" applyBorder="1" applyAlignment="1">
      <alignment horizontal="center"/>
    </xf>
    <xf numFmtId="10" fontId="6" fillId="0" borderId="0" xfId="17" applyNumberFormat="1" applyFont="1" applyFill="1"/>
    <xf numFmtId="0" fontId="6" fillId="0" borderId="0" xfId="0" quotePrefix="1" applyFont="1" applyFill="1" applyAlignment="1">
      <alignment horizontal="left"/>
    </xf>
    <xf numFmtId="164" fontId="0" fillId="0" borderId="0" xfId="1" applyNumberFormat="1" applyFont="1" applyFill="1"/>
    <xf numFmtId="164" fontId="0" fillId="0" borderId="0" xfId="1" applyNumberFormat="1" applyFont="1" applyFill="1" applyBorder="1"/>
    <xf numFmtId="0" fontId="0" fillId="0" borderId="0" xfId="0" applyFill="1" applyBorder="1"/>
    <xf numFmtId="17" fontId="6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/>
    <xf numFmtId="164" fontId="6" fillId="0" borderId="0" xfId="1" applyNumberFormat="1" applyFont="1" applyFill="1"/>
    <xf numFmtId="0" fontId="5" fillId="0" borderId="0" xfId="0" applyFont="1" applyFill="1"/>
    <xf numFmtId="37" fontId="6" fillId="0" borderId="0" xfId="1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/>
    <xf numFmtId="0" fontId="6" fillId="0" borderId="1" xfId="0" applyFont="1" applyFill="1" applyBorder="1"/>
    <xf numFmtId="17" fontId="0" fillId="0" borderId="0" xfId="0" applyNumberFormat="1" applyFill="1"/>
    <xf numFmtId="0" fontId="0" fillId="0" borderId="1" xfId="0" applyFill="1" applyBorder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/>
    <xf numFmtId="37" fontId="6" fillId="0" borderId="0" xfId="1" quotePrefix="1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center"/>
    </xf>
    <xf numFmtId="37" fontId="6" fillId="0" borderId="1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5" fillId="0" borderId="0" xfId="0" applyNumberFormat="1" applyFont="1" applyFill="1" applyAlignment="1">
      <alignment horizontal="right"/>
    </xf>
    <xf numFmtId="37" fontId="5" fillId="0" borderId="0" xfId="0" applyNumberFormat="1" applyFont="1" applyFill="1"/>
    <xf numFmtId="0" fontId="6" fillId="0" borderId="12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164" fontId="6" fillId="0" borderId="0" xfId="1" applyNumberFormat="1" applyFont="1" applyFill="1" applyBorder="1"/>
    <xf numFmtId="164" fontId="6" fillId="0" borderId="0" xfId="1" applyNumberFormat="1" applyFont="1" applyFill="1" applyAlignment="1"/>
    <xf numFmtId="37" fontId="6" fillId="0" borderId="0" xfId="1" applyNumberFormat="1" applyFont="1" applyFill="1" applyBorder="1" applyAlignment="1">
      <alignment horizontal="left"/>
    </xf>
    <xf numFmtId="49" fontId="6" fillId="0" borderId="0" xfId="1" applyNumberFormat="1" applyFont="1" applyFill="1"/>
    <xf numFmtId="37" fontId="6" fillId="0" borderId="0" xfId="0" applyNumberFormat="1" applyFont="1" applyFill="1"/>
    <xf numFmtId="0" fontId="6" fillId="0" borderId="0" xfId="0" applyFont="1" applyFill="1" applyAlignment="1"/>
    <xf numFmtId="0" fontId="6" fillId="0" borderId="0" xfId="0" applyNumberFormat="1" applyFont="1" applyFill="1" applyBorder="1" applyAlignment="1">
      <alignment horizontal="right"/>
    </xf>
    <xf numFmtId="164" fontId="6" fillId="0" borderId="15" xfId="1" applyNumberFormat="1" applyFont="1" applyFill="1" applyBorder="1"/>
    <xf numFmtId="164" fontId="6" fillId="0" borderId="15" xfId="1" applyNumberFormat="1" applyFont="1" applyFill="1" applyBorder="1" applyAlignment="1">
      <alignment horizontal="center"/>
    </xf>
    <xf numFmtId="37" fontId="6" fillId="0" borderId="15" xfId="1" applyNumberFormat="1" applyFont="1" applyFill="1" applyBorder="1" applyAlignment="1">
      <alignment horizontal="center"/>
    </xf>
    <xf numFmtId="0" fontId="5" fillId="0" borderId="0" xfId="0" quotePrefix="1" applyNumberFormat="1" applyFont="1" applyFill="1" applyAlignment="1">
      <alignment horizontal="left"/>
    </xf>
    <xf numFmtId="0" fontId="6" fillId="0" borderId="0" xfId="0" applyNumberFormat="1" applyFont="1" applyFill="1"/>
    <xf numFmtId="10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Border="1"/>
    <xf numFmtId="49" fontId="6" fillId="0" borderId="1" xfId="1" applyNumberFormat="1" applyFont="1" applyFill="1" applyBorder="1"/>
    <xf numFmtId="164" fontId="6" fillId="0" borderId="1" xfId="1" applyNumberFormat="1" applyFont="1" applyFill="1" applyBorder="1"/>
    <xf numFmtId="0" fontId="6" fillId="0" borderId="0" xfId="1" applyNumberFormat="1" applyFont="1" applyFill="1"/>
    <xf numFmtId="17" fontId="6" fillId="0" borderId="0" xfId="0" applyNumberFormat="1" applyFont="1" applyFill="1" applyAlignment="1">
      <alignment horizontal="center"/>
    </xf>
    <xf numFmtId="0" fontId="6" fillId="0" borderId="1" xfId="0" applyNumberFormat="1" applyFont="1" applyFill="1" applyBorder="1"/>
    <xf numFmtId="0" fontId="5" fillId="0" borderId="0" xfId="0" applyNumberFormat="1" applyFont="1" applyFill="1" applyAlignment="1">
      <alignment horizontal="centerContinuous"/>
    </xf>
    <xf numFmtId="37" fontId="7" fillId="0" borderId="0" xfId="1" applyNumberFormat="1" applyFont="1" applyFill="1" applyBorder="1" applyAlignment="1">
      <alignment horizontal="left"/>
    </xf>
    <xf numFmtId="17" fontId="6" fillId="0" borderId="20" xfId="1" applyNumberFormat="1" applyFont="1" applyFill="1" applyBorder="1" applyAlignment="1">
      <alignment horizontal="center"/>
    </xf>
    <xf numFmtId="37" fontId="11" fillId="0" borderId="1" xfId="1" applyNumberFormat="1" applyFont="1" applyFill="1" applyBorder="1" applyAlignment="1">
      <alignment horizontal="left"/>
    </xf>
    <xf numFmtId="37" fontId="11" fillId="0" borderId="1" xfId="1" applyNumberFormat="1" applyFont="1" applyFill="1" applyBorder="1" applyAlignment="1">
      <alignment horizontal="center"/>
    </xf>
    <xf numFmtId="37" fontId="11" fillId="0" borderId="22" xfId="1" applyNumberFormat="1" applyFont="1" applyFill="1" applyBorder="1" applyAlignment="1">
      <alignment horizontal="center"/>
    </xf>
    <xf numFmtId="37" fontId="11" fillId="0" borderId="1" xfId="1" applyNumberFormat="1" applyFont="1" applyFill="1" applyBorder="1" applyAlignment="1">
      <alignment horizontal="center" wrapText="1"/>
    </xf>
    <xf numFmtId="49" fontId="6" fillId="0" borderId="0" xfId="1" applyNumberFormat="1" applyFont="1" applyFill="1" applyBorder="1"/>
    <xf numFmtId="37" fontId="6" fillId="0" borderId="0" xfId="1" applyNumberFormat="1" applyFont="1" applyFill="1" applyBorder="1"/>
    <xf numFmtId="0" fontId="6" fillId="0" borderId="0" xfId="1" applyNumberFormat="1" applyFont="1" applyFill="1" applyBorder="1"/>
    <xf numFmtId="49" fontId="6" fillId="0" borderId="0" xfId="1" applyNumberFormat="1" applyFont="1" applyFill="1" applyBorder="1" applyAlignment="1">
      <alignment horizontal="left"/>
    </xf>
    <xf numFmtId="164" fontId="6" fillId="0" borderId="20" xfId="1" applyNumberFormat="1" applyFont="1" applyFill="1" applyBorder="1"/>
    <xf numFmtId="164" fontId="6" fillId="0" borderId="22" xfId="1" applyNumberFormat="1" applyFont="1" applyFill="1" applyBorder="1"/>
    <xf numFmtId="181" fontId="6" fillId="0" borderId="0" xfId="0" applyNumberFormat="1" applyFont="1" applyFill="1" applyAlignment="1">
      <alignment horizontal="left"/>
    </xf>
    <xf numFmtId="166" fontId="6" fillId="0" borderId="0" xfId="17" applyNumberFormat="1" applyFont="1" applyFill="1"/>
    <xf numFmtId="166" fontId="6" fillId="0" borderId="0" xfId="1" applyNumberFormat="1" applyFont="1" applyFill="1"/>
    <xf numFmtId="10" fontId="6" fillId="0" borderId="0" xfId="1" applyNumberFormat="1" applyFont="1" applyFill="1"/>
    <xf numFmtId="17" fontId="6" fillId="0" borderId="0" xfId="0" quotePrefix="1" applyNumberFormat="1" applyFont="1" applyFill="1" applyAlignment="1">
      <alignment horizontal="left"/>
    </xf>
    <xf numFmtId="164" fontId="6" fillId="0" borderId="3" xfId="1" applyNumberFormat="1" applyFont="1" applyFill="1" applyBorder="1"/>
    <xf numFmtId="176" fontId="6" fillId="0" borderId="1" xfId="1" applyNumberFormat="1" applyFont="1" applyFill="1" applyBorder="1" applyAlignment="1">
      <alignment horizontal="center"/>
    </xf>
    <xf numFmtId="49" fontId="6" fillId="0" borderId="0" xfId="1" applyNumberFormat="1" applyFont="1" applyFill="1" applyAlignment="1">
      <alignment horizontal="left"/>
    </xf>
    <xf numFmtId="49" fontId="6" fillId="0" borderId="0" xfId="1" quotePrefix="1" applyNumberFormat="1" applyFont="1" applyFill="1" applyAlignment="1">
      <alignment horizontal="left"/>
    </xf>
    <xf numFmtId="0" fontId="6" fillId="0" borderId="0" xfId="1" quotePrefix="1" applyNumberFormat="1" applyFont="1" applyFill="1" applyAlignment="1">
      <alignment horizontal="left"/>
    </xf>
    <xf numFmtId="0" fontId="6" fillId="0" borderId="0" xfId="1" applyNumberFormat="1" applyFont="1" applyFill="1" applyAlignment="1">
      <alignment horizontal="left"/>
    </xf>
    <xf numFmtId="166" fontId="6" fillId="0" borderId="0" xfId="0" applyNumberFormat="1" applyFont="1" applyFill="1" applyBorder="1" applyAlignment="1">
      <alignment horizontal="center"/>
    </xf>
    <xf numFmtId="17" fontId="6" fillId="0" borderId="0" xfId="1" applyNumberFormat="1" applyFont="1" applyFill="1" applyAlignment="1">
      <alignment horizontal="left"/>
    </xf>
    <xf numFmtId="37" fontId="9" fillId="0" borderId="0" xfId="1" applyNumberFormat="1" applyFont="1" applyFill="1" applyAlignment="1">
      <alignment horizontal="center"/>
    </xf>
    <xf numFmtId="37" fontId="6" fillId="0" borderId="0" xfId="1" applyNumberFormat="1" applyFont="1" applyFill="1" applyAlignment="1">
      <alignment horizontal="center" wrapText="1"/>
    </xf>
    <xf numFmtId="37" fontId="9" fillId="0" borderId="1" xfId="1" applyNumberFormat="1" applyFont="1" applyFill="1" applyBorder="1" applyAlignment="1">
      <alignment horizontal="center" wrapText="1"/>
    </xf>
    <xf numFmtId="37" fontId="6" fillId="0" borderId="1" xfId="0" applyNumberFormat="1" applyFont="1" applyFill="1" applyBorder="1"/>
    <xf numFmtId="37" fontId="6" fillId="0" borderId="0" xfId="0" quotePrefix="1" applyNumberFormat="1" applyFont="1" applyFill="1" applyBorder="1" applyAlignment="1">
      <alignment horizontal="left"/>
    </xf>
    <xf numFmtId="168" fontId="6" fillId="0" borderId="0" xfId="0" quotePrefix="1" applyNumberFormat="1" applyFont="1" applyFill="1" applyBorder="1" applyAlignment="1">
      <alignment horizontal="right"/>
    </xf>
    <xf numFmtId="168" fontId="6" fillId="0" borderId="0" xfId="0" applyNumberFormat="1" applyFont="1" applyFill="1" applyBorder="1" applyAlignment="1">
      <alignment horizontal="right"/>
    </xf>
    <xf numFmtId="49" fontId="6" fillId="0" borderId="0" xfId="1" applyNumberFormat="1" applyFont="1" applyFill="1" applyAlignment="1"/>
    <xf numFmtId="37" fontId="6" fillId="0" borderId="0" xfId="0" applyNumberFormat="1" applyFont="1" applyFill="1" applyBorder="1" applyAlignment="1">
      <alignment horizontal="center"/>
    </xf>
    <xf numFmtId="37" fontId="6" fillId="0" borderId="0" xfId="0" quotePrefix="1" applyNumberFormat="1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6" fillId="0" borderId="0" xfId="0" applyNumberFormat="1" applyFont="1" applyFill="1" applyAlignment="1">
      <alignment horizontal="left"/>
    </xf>
    <xf numFmtId="164" fontId="6" fillId="0" borderId="0" xfId="1" quotePrefix="1" applyNumberFormat="1" applyFont="1" applyFill="1" applyAlignment="1">
      <alignment horizontal="center"/>
    </xf>
    <xf numFmtId="43" fontId="6" fillId="0" borderId="1" xfId="1" quotePrefix="1" applyNumberFormat="1" applyFont="1" applyFill="1" applyBorder="1" applyAlignment="1">
      <alignment horizontal="left"/>
    </xf>
    <xf numFmtId="43" fontId="6" fillId="0" borderId="0" xfId="1" quotePrefix="1" applyNumberFormat="1" applyFont="1" applyFill="1" applyAlignment="1">
      <alignment horizontal="left"/>
    </xf>
    <xf numFmtId="43" fontId="6" fillId="0" borderId="0" xfId="1" applyNumberFormat="1" applyFont="1" applyFill="1"/>
    <xf numFmtId="43" fontId="6" fillId="0" borderId="1" xfId="1" applyNumberFormat="1" applyFont="1" applyFill="1" applyBorder="1"/>
    <xf numFmtId="164" fontId="5" fillId="0" borderId="0" xfId="0" applyNumberFormat="1" applyFont="1" applyFill="1"/>
    <xf numFmtId="183" fontId="6" fillId="0" borderId="1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0" fontId="17" fillId="0" borderId="0" xfId="0" applyFont="1" applyFill="1"/>
    <xf numFmtId="37" fontId="6" fillId="0" borderId="0" xfId="1" applyNumberFormat="1" applyFont="1" applyFill="1" applyBorder="1" applyAlignment="1">
      <alignment horizontal="right"/>
    </xf>
    <xf numFmtId="10" fontId="5" fillId="0" borderId="0" xfId="0" applyNumberFormat="1" applyFont="1" applyFill="1"/>
    <xf numFmtId="164" fontId="5" fillId="0" borderId="0" xfId="1" applyNumberFormat="1" applyFont="1" applyFill="1"/>
    <xf numFmtId="0" fontId="6" fillId="0" borderId="14" xfId="0" applyFont="1" applyFill="1" applyBorder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9" fontId="6" fillId="0" borderId="0" xfId="0" quotePrefix="1" applyNumberFormat="1" applyFont="1" applyFill="1" applyBorder="1" applyAlignment="1">
      <alignment horizontal="left"/>
    </xf>
    <xf numFmtId="164" fontId="5" fillId="0" borderId="0" xfId="1" applyNumberFormat="1" applyFont="1" applyFill="1" applyBorder="1"/>
    <xf numFmtId="0" fontId="17" fillId="0" borderId="0" xfId="0" quotePrefix="1" applyNumberFormat="1" applyFont="1" applyFill="1" applyBorder="1" applyAlignment="1">
      <alignment horizontal="left"/>
    </xf>
    <xf numFmtId="164" fontId="6" fillId="0" borderId="0" xfId="1" quotePrefix="1" applyNumberFormat="1" applyFont="1" applyFill="1" applyAlignment="1">
      <alignment horizontal="left"/>
    </xf>
    <xf numFmtId="17" fontId="6" fillId="0" borderId="1" xfId="1" quotePrefix="1" applyNumberFormat="1" applyFont="1" applyFill="1" applyBorder="1" applyAlignment="1">
      <alignment horizontal="center"/>
    </xf>
    <xf numFmtId="0" fontId="6" fillId="0" borderId="14" xfId="0" quotePrefix="1" applyFont="1" applyFill="1" applyBorder="1" applyAlignment="1">
      <alignment horizontal="left"/>
    </xf>
    <xf numFmtId="0" fontId="6" fillId="0" borderId="16" xfId="0" applyFont="1" applyFill="1" applyBorder="1" applyAlignment="1">
      <alignment horizontal="left"/>
    </xf>
    <xf numFmtId="37" fontId="17" fillId="0" borderId="0" xfId="0" applyNumberFormat="1" applyFont="1" applyFill="1" applyBorder="1"/>
    <xf numFmtId="37" fontId="5" fillId="0" borderId="0" xfId="1" applyNumberFormat="1" applyFont="1" applyFill="1" applyAlignment="1">
      <alignment horizontal="left"/>
    </xf>
    <xf numFmtId="37" fontId="5" fillId="0" borderId="0" xfId="1" applyNumberFormat="1" applyFont="1" applyFill="1"/>
    <xf numFmtId="37" fontId="6" fillId="0" borderId="0" xfId="1" applyNumberFormat="1" applyFont="1" applyFill="1" applyAlignment="1"/>
    <xf numFmtId="37" fontId="5" fillId="0" borderId="0" xfId="1" applyNumberFormat="1" applyFont="1" applyFill="1" applyBorder="1"/>
    <xf numFmtId="37" fontId="5" fillId="0" borderId="0" xfId="1" quotePrefix="1" applyNumberFormat="1" applyFont="1" applyFill="1" applyBorder="1" applyAlignment="1">
      <alignment horizontal="right"/>
    </xf>
    <xf numFmtId="164" fontId="5" fillId="0" borderId="0" xfId="1" applyNumberFormat="1" applyFont="1" applyFill="1" applyAlignment="1">
      <alignment horizontal="center"/>
    </xf>
    <xf numFmtId="164" fontId="5" fillId="0" borderId="0" xfId="1" quotePrefix="1" applyNumberFormat="1" applyFont="1" applyFill="1" applyAlignment="1">
      <alignment horizontal="left"/>
    </xf>
    <xf numFmtId="10" fontId="5" fillId="0" borderId="0" xfId="17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37" fontId="6" fillId="0" borderId="0" xfId="1" quotePrefix="1" applyNumberFormat="1" applyFont="1" applyFill="1" applyAlignment="1"/>
    <xf numFmtId="37" fontId="6" fillId="0" borderId="0" xfId="0" applyNumberFormat="1" applyFont="1" applyFill="1" applyBorder="1" applyAlignment="1">
      <alignment horizontal="left"/>
    </xf>
    <xf numFmtId="37" fontId="6" fillId="0" borderId="0" xfId="1" quotePrefix="1" applyNumberFormat="1" applyFont="1" applyFill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37" fontId="6" fillId="0" borderId="1" xfId="1" applyNumberFormat="1" applyFont="1" applyFill="1" applyBorder="1" applyAlignment="1">
      <alignment horizontal="right"/>
    </xf>
    <xf numFmtId="49" fontId="5" fillId="0" borderId="0" xfId="0" applyNumberFormat="1" applyFont="1" applyFill="1"/>
    <xf numFmtId="49" fontId="6" fillId="0" borderId="0" xfId="1" applyNumberFormat="1" applyFont="1" applyFill="1" applyAlignment="1">
      <alignment horizontal="right"/>
    </xf>
    <xf numFmtId="49" fontId="6" fillId="0" borderId="0" xfId="0" quotePrefix="1" applyNumberFormat="1" applyFont="1" applyFill="1" applyAlignment="1" applyProtection="1">
      <alignment horizontal="right"/>
    </xf>
    <xf numFmtId="49" fontId="6" fillId="0" borderId="0" xfId="0" applyNumberFormat="1" applyFont="1" applyFill="1" applyBorder="1" applyAlignment="1">
      <alignment horizontal="right"/>
    </xf>
    <xf numFmtId="37" fontId="5" fillId="0" borderId="7" xfId="1" applyNumberFormat="1" applyFont="1" applyFill="1" applyBorder="1"/>
    <xf numFmtId="37" fontId="5" fillId="0" borderId="7" xfId="1" quotePrefix="1" applyNumberFormat="1" applyFont="1" applyFill="1" applyBorder="1" applyAlignment="1">
      <alignment horizontal="right"/>
    </xf>
    <xf numFmtId="37" fontId="5" fillId="0" borderId="0" xfId="1" applyNumberFormat="1" applyFont="1" applyFill="1" applyBorder="1" applyAlignment="1">
      <alignment horizontal="right"/>
    </xf>
    <xf numFmtId="49" fontId="5" fillId="0" borderId="0" xfId="1" applyNumberFormat="1" applyFont="1" applyFill="1" applyBorder="1" applyAlignment="1">
      <alignment horizontal="left"/>
    </xf>
    <xf numFmtId="49" fontId="5" fillId="0" borderId="0" xfId="1" quotePrefix="1" applyNumberFormat="1" applyFont="1" applyFill="1" applyBorder="1" applyAlignment="1">
      <alignment horizontal="left"/>
    </xf>
    <xf numFmtId="49" fontId="5" fillId="0" borderId="0" xfId="1" applyNumberFormat="1" applyFont="1" applyFill="1" applyAlignment="1">
      <alignment horizontal="left"/>
    </xf>
    <xf numFmtId="37" fontId="5" fillId="0" borderId="3" xfId="1" applyNumberFormat="1" applyFont="1" applyFill="1" applyBorder="1"/>
    <xf numFmtId="170" fontId="5" fillId="0" borderId="0" xfId="1" quotePrefix="1" applyNumberFormat="1" applyFont="1" applyFill="1" applyBorder="1" applyAlignment="1">
      <alignment horizontal="right"/>
    </xf>
    <xf numFmtId="37" fontId="6" fillId="0" borderId="0" xfId="1" applyNumberFormat="1" applyFont="1" applyFill="1" applyBorder="1" applyAlignment="1">
      <alignment horizontal="center" wrapText="1"/>
    </xf>
    <xf numFmtId="164" fontId="21" fillId="0" borderId="0" xfId="1" applyNumberFormat="1" applyFont="1" applyFill="1" applyAlignment="1">
      <alignment horizontal="center"/>
    </xf>
    <xf numFmtId="0" fontId="22" fillId="0" borderId="0" xfId="0" applyFont="1" applyFill="1"/>
    <xf numFmtId="0" fontId="21" fillId="0" borderId="0" xfId="0" applyFont="1" applyFill="1" applyAlignment="1">
      <alignment horizontal="center"/>
    </xf>
    <xf numFmtId="37" fontId="21" fillId="0" borderId="0" xfId="1" applyNumberFormat="1" applyFont="1" applyFill="1" applyBorder="1" applyAlignment="1">
      <alignment horizontal="center"/>
    </xf>
    <xf numFmtId="17" fontId="23" fillId="0" borderId="0" xfId="1" applyNumberFormat="1" applyFont="1" applyFill="1" applyBorder="1" applyAlignment="1">
      <alignment horizontal="center"/>
    </xf>
    <xf numFmtId="0" fontId="24" fillId="0" borderId="0" xfId="0" applyFont="1" applyFill="1"/>
    <xf numFmtId="37" fontId="23" fillId="0" borderId="1" xfId="1" quotePrefix="1" applyNumberFormat="1" applyFont="1" applyFill="1" applyBorder="1" applyAlignment="1">
      <alignment horizontal="center"/>
    </xf>
    <xf numFmtId="37" fontId="24" fillId="0" borderId="0" xfId="1" applyNumberFormat="1" applyFont="1" applyFill="1" applyBorder="1"/>
    <xf numFmtId="37" fontId="24" fillId="0" borderId="19" xfId="1" applyNumberFormat="1" applyFont="1" applyFill="1" applyBorder="1"/>
    <xf numFmtId="37" fontId="24" fillId="0" borderId="4" xfId="1" applyNumberFormat="1" applyFont="1" applyFill="1" applyBorder="1"/>
    <xf numFmtId="37" fontId="24" fillId="0" borderId="1" xfId="1" applyNumberFormat="1" applyFont="1" applyFill="1" applyBorder="1"/>
    <xf numFmtId="37" fontId="24" fillId="0" borderId="26" xfId="1" applyNumberFormat="1" applyFont="1" applyFill="1" applyBorder="1"/>
    <xf numFmtId="37" fontId="24" fillId="0" borderId="7" xfId="1" applyNumberFormat="1" applyFont="1" applyFill="1" applyBorder="1"/>
    <xf numFmtId="37" fontId="24" fillId="0" borderId="11" xfId="1" applyNumberFormat="1" applyFont="1" applyFill="1" applyBorder="1"/>
    <xf numFmtId="37" fontId="24" fillId="0" borderId="27" xfId="1" applyNumberFormat="1" applyFont="1" applyFill="1" applyBorder="1"/>
    <xf numFmtId="37" fontId="24" fillId="0" borderId="0" xfId="1" quotePrefix="1" applyNumberFormat="1" applyFont="1" applyFill="1" applyBorder="1" applyAlignment="1">
      <alignment horizontal="right"/>
    </xf>
    <xf numFmtId="37" fontId="23" fillId="0" borderId="0" xfId="1" applyNumberFormat="1" applyFont="1" applyFill="1" applyBorder="1"/>
    <xf numFmtId="49" fontId="6" fillId="0" borderId="0" xfId="1" applyNumberFormat="1" applyFont="1" applyFill="1" applyAlignment="1">
      <alignment wrapText="1"/>
    </xf>
    <xf numFmtId="164" fontId="6" fillId="0" borderId="0" xfId="1" applyNumberFormat="1" applyFont="1" applyFill="1" applyAlignment="1">
      <alignment wrapText="1"/>
    </xf>
    <xf numFmtId="37" fontId="6" fillId="0" borderId="0" xfId="0" applyNumberFormat="1" applyFont="1" applyFill="1" applyAlignment="1">
      <alignment horizontal="center" wrapText="1"/>
    </xf>
    <xf numFmtId="183" fontId="6" fillId="0" borderId="0" xfId="0" applyNumberFormat="1" applyFont="1" applyFill="1" applyAlignment="1">
      <alignment horizontal="center"/>
    </xf>
    <xf numFmtId="0" fontId="6" fillId="0" borderId="0" xfId="0" quotePrefix="1" applyFont="1" applyFill="1" applyAlignment="1">
      <alignment horizontal="left" wrapText="1"/>
    </xf>
    <xf numFmtId="0" fontId="6" fillId="0" borderId="1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0" fontId="24" fillId="0" borderId="1" xfId="0" applyFont="1" applyFill="1" applyBorder="1"/>
    <xf numFmtId="164" fontId="5" fillId="0" borderId="0" xfId="1" applyNumberFormat="1" applyFont="1" applyFill="1" applyAlignment="1">
      <alignment horizontal="left"/>
    </xf>
    <xf numFmtId="164" fontId="5" fillId="0" borderId="0" xfId="1" applyNumberFormat="1" applyFont="1" applyFill="1" applyBorder="1" applyAlignment="1">
      <alignment horizontal="left"/>
    </xf>
    <xf numFmtId="10" fontId="6" fillId="0" borderId="0" xfId="17" applyNumberFormat="1" applyFont="1" applyFill="1" applyBorder="1" applyAlignment="1">
      <alignment horizontal="center"/>
    </xf>
    <xf numFmtId="3" fontId="5" fillId="0" borderId="0" xfId="0" applyNumberFormat="1" applyFont="1" applyFill="1" applyAlignment="1">
      <alignment horizontal="right"/>
    </xf>
    <xf numFmtId="38" fontId="5" fillId="0" borderId="0" xfId="0" applyNumberFormat="1" applyFont="1" applyFill="1" applyAlignment="1">
      <alignment horizontal="right"/>
    </xf>
    <xf numFmtId="17" fontId="5" fillId="0" borderId="0" xfId="0" applyNumberFormat="1" applyFont="1" applyFill="1"/>
    <xf numFmtId="10" fontId="5" fillId="0" borderId="0" xfId="17" applyNumberFormat="1" applyFont="1" applyFill="1" applyBorder="1"/>
    <xf numFmtId="3" fontId="5" fillId="0" borderId="0" xfId="0" applyNumberFormat="1" applyFont="1" applyFill="1" applyBorder="1" applyAlignment="1">
      <alignment horizontal="right"/>
    </xf>
    <xf numFmtId="167" fontId="6" fillId="0" borderId="0" xfId="0" quotePrefix="1" applyNumberFormat="1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left"/>
    </xf>
    <xf numFmtId="0" fontId="19" fillId="0" borderId="0" xfId="0" quotePrefix="1" applyFont="1" applyFill="1" applyBorder="1" applyAlignment="1">
      <alignment horizontal="left"/>
    </xf>
    <xf numFmtId="37" fontId="24" fillId="0" borderId="1" xfId="0" applyNumberFormat="1" applyFont="1" applyFill="1" applyBorder="1"/>
    <xf numFmtId="37" fontId="6" fillId="0" borderId="33" xfId="0" applyNumberFormat="1" applyFont="1" applyFill="1" applyBorder="1" applyAlignment="1">
      <alignment horizontal="center"/>
    </xf>
    <xf numFmtId="10" fontId="6" fillId="0" borderId="33" xfId="17" applyNumberFormat="1" applyFont="1" applyFill="1" applyBorder="1" applyAlignment="1">
      <alignment horizontal="center"/>
    </xf>
    <xf numFmtId="37" fontId="6" fillId="0" borderId="2" xfId="0" quotePrefix="1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 wrapText="1"/>
    </xf>
    <xf numFmtId="37" fontId="6" fillId="0" borderId="13" xfId="1" quotePrefix="1" applyNumberFormat="1" applyFont="1" applyFill="1" applyBorder="1" applyAlignment="1">
      <alignment horizontal="center"/>
    </xf>
    <xf numFmtId="0" fontId="6" fillId="0" borderId="24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37" fontId="5" fillId="0" borderId="0" xfId="0" applyNumberFormat="1" applyFont="1" applyFill="1" applyBorder="1"/>
    <xf numFmtId="0" fontId="9" fillId="0" borderId="25" xfId="0" applyFont="1" applyFill="1" applyBorder="1" applyAlignment="1"/>
    <xf numFmtId="0" fontId="9" fillId="0" borderId="3" xfId="0" applyFont="1" applyFill="1" applyBorder="1" applyAlignment="1"/>
    <xf numFmtId="0" fontId="9" fillId="0" borderId="39" xfId="0" applyFont="1" applyFill="1" applyBorder="1" applyAlignment="1"/>
    <xf numFmtId="0" fontId="9" fillId="0" borderId="31" xfId="0" applyFont="1" applyFill="1" applyBorder="1" applyAlignment="1"/>
    <xf numFmtId="0" fontId="9" fillId="0" borderId="17" xfId="0" applyFont="1" applyFill="1" applyBorder="1" applyAlignment="1">
      <alignment horizontal="center"/>
    </xf>
    <xf numFmtId="0" fontId="9" fillId="0" borderId="3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/>
    <xf numFmtId="177" fontId="5" fillId="0" borderId="0" xfId="0" applyNumberFormat="1" applyFont="1" applyFill="1" applyAlignment="1">
      <alignment horizontal="left"/>
    </xf>
    <xf numFmtId="21" fontId="5" fillId="0" borderId="0" xfId="0" applyNumberFormat="1" applyFont="1" applyFill="1" applyAlignment="1">
      <alignment horizontal="left"/>
    </xf>
    <xf numFmtId="14" fontId="5" fillId="0" borderId="0" xfId="0" applyNumberFormat="1" applyFont="1" applyFill="1" applyBorder="1" applyAlignment="1">
      <alignment horizontal="left"/>
    </xf>
    <xf numFmtId="19" fontId="5" fillId="0" borderId="0" xfId="0" applyNumberFormat="1" applyFont="1" applyFill="1" applyBorder="1" applyAlignment="1">
      <alignment horizontal="left"/>
    </xf>
    <xf numFmtId="10" fontId="5" fillId="0" borderId="0" xfId="17" applyNumberFormat="1" applyFont="1" applyFill="1"/>
    <xf numFmtId="37" fontId="5" fillId="0" borderId="0" xfId="0" quotePrefix="1" applyNumberFormat="1" applyFont="1" applyFill="1" applyAlignment="1">
      <alignment horizontal="left"/>
    </xf>
    <xf numFmtId="37" fontId="5" fillId="0" borderId="0" xfId="0" applyNumberFormat="1" applyFont="1" applyFill="1" applyAlignment="1">
      <alignment horizontal="center"/>
    </xf>
    <xf numFmtId="37" fontId="5" fillId="0" borderId="1" xfId="0" applyNumberFormat="1" applyFont="1" applyFill="1" applyBorder="1"/>
    <xf numFmtId="37" fontId="5" fillId="0" borderId="7" xfId="0" applyNumberFormat="1" applyFont="1" applyFill="1" applyBorder="1"/>
    <xf numFmtId="37" fontId="5" fillId="0" borderId="11" xfId="0" applyNumberFormat="1" applyFont="1" applyFill="1" applyBorder="1"/>
    <xf numFmtId="166" fontId="5" fillId="0" borderId="0" xfId="17" applyNumberFormat="1" applyFont="1" applyFill="1"/>
    <xf numFmtId="0" fontId="6" fillId="0" borderId="1" xfId="0" applyFont="1" applyFill="1" applyBorder="1" applyAlignment="1">
      <alignment horizontal="center" wrapText="1"/>
    </xf>
    <xf numFmtId="164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/>
    <xf numFmtId="0" fontId="5" fillId="0" borderId="0" xfId="0" quotePrefix="1" applyFont="1" applyFill="1" applyAlignment="1">
      <alignment horizontal="left"/>
    </xf>
    <xf numFmtId="164" fontId="5" fillId="0" borderId="4" xfId="1" applyNumberFormat="1" applyFont="1" applyFill="1" applyBorder="1"/>
    <xf numFmtId="0" fontId="6" fillId="0" borderId="24" xfId="0" applyFont="1" applyFill="1" applyBorder="1" applyAlignment="1">
      <alignment horizontal="center"/>
    </xf>
    <xf numFmtId="0" fontId="5" fillId="0" borderId="0" xfId="1" applyNumberFormat="1" applyFont="1" applyFill="1" applyAlignment="1">
      <alignment horizontal="left"/>
    </xf>
    <xf numFmtId="43" fontId="5" fillId="0" borderId="0" xfId="1" applyFont="1" applyFill="1" applyBorder="1"/>
    <xf numFmtId="0" fontId="13" fillId="0" borderId="0" xfId="0" applyFont="1" applyFill="1"/>
    <xf numFmtId="0" fontId="6" fillId="0" borderId="2" xfId="0" applyFont="1" applyFill="1" applyBorder="1"/>
    <xf numFmtId="0" fontId="6" fillId="0" borderId="33" xfId="0" quotePrefix="1" applyFont="1" applyFill="1" applyBorder="1" applyAlignment="1">
      <alignment horizontal="center"/>
    </xf>
    <xf numFmtId="0" fontId="6" fillId="0" borderId="13" xfId="0" applyFont="1" applyFill="1" applyBorder="1"/>
    <xf numFmtId="41" fontId="5" fillId="0" borderId="0" xfId="1" applyNumberFormat="1" applyFont="1" applyFill="1" applyBorder="1"/>
    <xf numFmtId="166" fontId="5" fillId="0" borderId="0" xfId="17" applyNumberFormat="1" applyFont="1" applyFill="1" applyBorder="1"/>
    <xf numFmtId="5" fontId="5" fillId="0" borderId="0" xfId="0" applyNumberFormat="1" applyFont="1" applyFill="1" applyBorder="1"/>
    <xf numFmtId="0" fontId="5" fillId="0" borderId="0" xfId="0" applyFont="1"/>
    <xf numFmtId="0" fontId="6" fillId="0" borderId="14" xfId="0" applyFont="1" applyFill="1" applyBorder="1"/>
    <xf numFmtId="37" fontId="24" fillId="0" borderId="0" xfId="1" applyNumberFormat="1" applyFont="1" applyFill="1" applyBorder="1" applyAlignment="1">
      <alignment horizontal="center"/>
    </xf>
    <xf numFmtId="164" fontId="6" fillId="0" borderId="1" xfId="1" applyNumberFormat="1" applyFont="1" applyFill="1" applyBorder="1" applyAlignment="1"/>
    <xf numFmtId="0" fontId="5" fillId="0" borderId="13" xfId="0" applyFont="1" applyFill="1" applyBorder="1"/>
    <xf numFmtId="0" fontId="5" fillId="0" borderId="33" xfId="0" applyFont="1" applyFill="1" applyBorder="1"/>
    <xf numFmtId="49" fontId="5" fillId="0" borderId="0" xfId="1" applyNumberFormat="1" applyFont="1" applyFill="1"/>
    <xf numFmtId="3" fontId="5" fillId="0" borderId="0" xfId="0" applyNumberFormat="1" applyFont="1" applyFill="1" applyBorder="1"/>
    <xf numFmtId="37" fontId="5" fillId="0" borderId="0" xfId="0" applyNumberFormat="1" applyFont="1" applyFill="1" applyBorder="1" applyAlignment="1">
      <alignment horizontal="right"/>
    </xf>
    <xf numFmtId="164" fontId="6" fillId="0" borderId="24" xfId="1" applyNumberFormat="1" applyFont="1" applyFill="1" applyBorder="1" applyAlignment="1">
      <alignment horizontal="center"/>
    </xf>
    <xf numFmtId="0" fontId="5" fillId="0" borderId="0" xfId="1" applyNumberFormat="1" applyFont="1" applyFill="1" applyBorder="1"/>
    <xf numFmtId="164" fontId="5" fillId="0" borderId="0" xfId="1" quotePrefix="1" applyNumberFormat="1" applyFont="1" applyFill="1" applyBorder="1" applyAlignment="1">
      <alignment horizontal="left"/>
    </xf>
    <xf numFmtId="37" fontId="5" fillId="0" borderId="0" xfId="1" quotePrefix="1" applyNumberFormat="1" applyFont="1" applyFill="1" applyAlignment="1">
      <alignment horizontal="right"/>
    </xf>
    <xf numFmtId="37" fontId="5" fillId="0" borderId="0" xfId="1" applyNumberFormat="1" applyFont="1" applyFill="1" applyAlignment="1">
      <alignment horizontal="right"/>
    </xf>
    <xf numFmtId="37" fontId="5" fillId="0" borderId="4" xfId="1" applyNumberFormat="1" applyFont="1" applyFill="1" applyBorder="1"/>
    <xf numFmtId="37" fontId="5" fillId="0" borderId="1" xfId="1" applyNumberFormat="1" applyFont="1" applyFill="1" applyBorder="1"/>
    <xf numFmtId="172" fontId="5" fillId="0" borderId="0" xfId="1" applyNumberFormat="1" applyFont="1" applyFill="1" applyAlignment="1">
      <alignment horizontal="center"/>
    </xf>
    <xf numFmtId="49" fontId="5" fillId="0" borderId="0" xfId="1" quotePrefix="1" applyNumberFormat="1" applyFont="1" applyFill="1" applyAlignment="1">
      <alignment horizontal="left"/>
    </xf>
    <xf numFmtId="37" fontId="5" fillId="0" borderId="0" xfId="1" quotePrefix="1" applyNumberFormat="1" applyFont="1" applyFill="1" applyBorder="1" applyAlignment="1">
      <alignment horizontal="center"/>
    </xf>
    <xf numFmtId="37" fontId="5" fillId="0" borderId="0" xfId="1" applyNumberFormat="1" applyFont="1" applyFill="1" applyBorder="1" applyAlignment="1">
      <alignment horizontal="center"/>
    </xf>
    <xf numFmtId="37" fontId="5" fillId="0" borderId="7" xfId="1" applyNumberFormat="1" applyFont="1" applyFill="1" applyBorder="1" applyAlignment="1">
      <alignment horizontal="right"/>
    </xf>
    <xf numFmtId="37" fontId="5" fillId="0" borderId="4" xfId="1" applyNumberFormat="1" applyFont="1" applyFill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70" fontId="5" fillId="0" borderId="0" xfId="1" applyNumberFormat="1" applyFont="1" applyFill="1" applyBorder="1"/>
    <xf numFmtId="168" fontId="5" fillId="0" borderId="0" xfId="0" applyNumberFormat="1" applyFont="1" applyFill="1" applyBorder="1"/>
    <xf numFmtId="177" fontId="5" fillId="0" borderId="0" xfId="0" quotePrefix="1" applyNumberFormat="1" applyFont="1" applyFill="1" applyAlignment="1">
      <alignment horizontal="left"/>
    </xf>
    <xf numFmtId="19" fontId="5" fillId="0" borderId="0" xfId="0" applyNumberFormat="1" applyFont="1" applyFill="1" applyAlignment="1">
      <alignment horizontal="left"/>
    </xf>
    <xf numFmtId="5" fontId="5" fillId="0" borderId="0" xfId="1" applyNumberFormat="1" applyFont="1" applyFill="1" applyAlignment="1">
      <alignment horizontal="right"/>
    </xf>
    <xf numFmtId="5" fontId="5" fillId="0" borderId="0" xfId="1" applyNumberFormat="1" applyFont="1" applyFill="1" applyBorder="1" applyAlignment="1">
      <alignment horizontal="right"/>
    </xf>
    <xf numFmtId="0" fontId="5" fillId="0" borderId="0" xfId="1" applyNumberFormat="1" applyFont="1" applyFill="1" applyAlignment="1">
      <alignment horizontal="center"/>
    </xf>
    <xf numFmtId="0" fontId="30" fillId="0" borderId="14" xfId="0" applyFont="1" applyFill="1" applyBorder="1" applyAlignment="1">
      <alignment horizontal="left"/>
    </xf>
    <xf numFmtId="0" fontId="10" fillId="0" borderId="14" xfId="0" applyFont="1" applyFill="1" applyBorder="1" applyAlignment="1">
      <alignment horizontal="left"/>
    </xf>
    <xf numFmtId="164" fontId="5" fillId="0" borderId="0" xfId="1" applyNumberFormat="1" applyFont="1" applyFill="1" applyAlignment="1"/>
    <xf numFmtId="37" fontId="5" fillId="0" borderId="0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37" fontId="5" fillId="0" borderId="11" xfId="1" applyNumberFormat="1" applyFont="1" applyFill="1" applyBorder="1"/>
    <xf numFmtId="37" fontId="5" fillId="0" borderId="7" xfId="1" applyNumberFormat="1" applyFont="1" applyFill="1" applyBorder="1" applyAlignment="1">
      <alignment horizontal="center"/>
    </xf>
    <xf numFmtId="37" fontId="6" fillId="0" borderId="0" xfId="1" applyNumberFormat="1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right"/>
    </xf>
    <xf numFmtId="10" fontId="5" fillId="0" borderId="0" xfId="17" applyNumberFormat="1" applyFont="1" applyFill="1" applyAlignment="1">
      <alignment horizontal="center"/>
    </xf>
    <xf numFmtId="37" fontId="5" fillId="0" borderId="1" xfId="1" applyNumberFormat="1" applyFont="1" applyFill="1" applyBorder="1" applyAlignment="1">
      <alignment horizontal="right"/>
    </xf>
    <xf numFmtId="164" fontId="5" fillId="0" borderId="4" xfId="1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5" fillId="0" borderId="0" xfId="0" quotePrefix="1" applyFont="1" applyFill="1" applyBorder="1" applyAlignment="1">
      <alignment horizontal="left"/>
    </xf>
    <xf numFmtId="0" fontId="5" fillId="0" borderId="11" xfId="0" applyFont="1" applyFill="1" applyBorder="1"/>
    <xf numFmtId="0" fontId="5" fillId="0" borderId="0" xfId="0" applyFont="1" applyFill="1" applyAlignment="1"/>
    <xf numFmtId="37" fontId="5" fillId="0" borderId="0" xfId="0" applyNumberFormat="1" applyFont="1" applyFill="1" applyAlignment="1"/>
    <xf numFmtId="0" fontId="5" fillId="0" borderId="0" xfId="0" applyFont="1" applyFill="1" applyBorder="1" applyAlignment="1"/>
    <xf numFmtId="37" fontId="5" fillId="0" borderId="15" xfId="1" applyNumberFormat="1" applyFont="1" applyFill="1" applyBorder="1"/>
    <xf numFmtId="164" fontId="5" fillId="0" borderId="15" xfId="1" applyNumberFormat="1" applyFont="1" applyFill="1" applyBorder="1"/>
    <xf numFmtId="0" fontId="5" fillId="0" borderId="0" xfId="0" quotePrefix="1" applyFont="1" applyFill="1"/>
    <xf numFmtId="37" fontId="11" fillId="0" borderId="0" xfId="1" applyNumberFormat="1" applyFont="1" applyFill="1" applyBorder="1" applyAlignment="1">
      <alignment horizontal="center" wrapText="1"/>
    </xf>
    <xf numFmtId="0" fontId="12" fillId="0" borderId="0" xfId="22" applyFont="1" applyFill="1" applyAlignment="1"/>
    <xf numFmtId="167" fontId="5" fillId="0" borderId="0" xfId="0" applyNumberFormat="1" applyFont="1" applyFill="1" applyBorder="1"/>
    <xf numFmtId="167" fontId="5" fillId="0" borderId="0" xfId="17" applyNumberFormat="1" applyFont="1" applyFill="1" applyBorder="1"/>
    <xf numFmtId="49" fontId="6" fillId="0" borderId="2" xfId="1" applyNumberFormat="1" applyFont="1" applyFill="1" applyBorder="1" applyAlignment="1">
      <alignment horizontal="center"/>
    </xf>
    <xf numFmtId="17" fontId="6" fillId="0" borderId="33" xfId="17" applyNumberFormat="1" applyFont="1" applyFill="1" applyBorder="1" applyAlignment="1">
      <alignment horizontal="center"/>
    </xf>
    <xf numFmtId="17" fontId="6" fillId="0" borderId="13" xfId="17" applyNumberFormat="1" applyFont="1" applyFill="1" applyBorder="1" applyAlignment="1">
      <alignment horizontal="center"/>
    </xf>
    <xf numFmtId="43" fontId="5" fillId="0" borderId="0" xfId="0" applyNumberFormat="1" applyFont="1" applyFill="1"/>
    <xf numFmtId="10" fontId="5" fillId="0" borderId="13" xfId="17" quotePrefix="1" applyNumberFormat="1" applyFont="1" applyFill="1" applyBorder="1" applyAlignment="1">
      <alignment horizontal="center"/>
    </xf>
    <xf numFmtId="170" fontId="5" fillId="0" borderId="13" xfId="0" applyNumberFormat="1" applyFont="1" applyFill="1" applyBorder="1" applyAlignment="1">
      <alignment horizontal="center"/>
    </xf>
    <xf numFmtId="171" fontId="5" fillId="0" borderId="13" xfId="17" quotePrefix="1" applyNumberFormat="1" applyFont="1" applyFill="1" applyBorder="1" applyAlignment="1">
      <alignment horizontal="center"/>
    </xf>
    <xf numFmtId="10" fontId="5" fillId="0" borderId="33" xfId="17" quotePrefix="1" applyNumberFormat="1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4" xfId="0" quotePrefix="1" applyFont="1" applyFill="1" applyBorder="1" applyAlignment="1">
      <alignment horizontal="center"/>
    </xf>
    <xf numFmtId="0" fontId="5" fillId="0" borderId="15" xfId="0" quotePrefix="1" applyFont="1" applyFill="1" applyBorder="1" applyAlignment="1">
      <alignment horizontal="center"/>
    </xf>
    <xf numFmtId="37" fontId="5" fillId="0" borderId="33" xfId="1" quotePrefix="1" applyNumberFormat="1" applyFont="1" applyFill="1" applyBorder="1" applyAlignment="1">
      <alignment horizontal="center"/>
    </xf>
    <xf numFmtId="37" fontId="5" fillId="0" borderId="13" xfId="1" quotePrefix="1" applyNumberFormat="1" applyFont="1" applyFill="1" applyBorder="1" applyAlignment="1">
      <alignment horizontal="left"/>
    </xf>
    <xf numFmtId="0" fontId="20" fillId="0" borderId="0" xfId="6" applyFont="1" applyFill="1" applyAlignment="1" applyProtection="1">
      <alignment horizontal="left"/>
    </xf>
    <xf numFmtId="10" fontId="5" fillId="0" borderId="0" xfId="2" applyNumberFormat="1" applyFont="1" applyFill="1"/>
    <xf numFmtId="164" fontId="5" fillId="0" borderId="0" xfId="2" applyNumberFormat="1" applyFont="1" applyFill="1"/>
    <xf numFmtId="164" fontId="6" fillId="0" borderId="0" xfId="2" applyNumberFormat="1" applyFont="1" applyFill="1" applyAlignment="1">
      <alignment horizontal="left"/>
    </xf>
    <xf numFmtId="37" fontId="6" fillId="0" borderId="0" xfId="2" quotePrefix="1" applyNumberFormat="1" applyFont="1" applyFill="1" applyAlignment="1">
      <alignment horizontal="left"/>
    </xf>
    <xf numFmtId="37" fontId="5" fillId="0" borderId="15" xfId="0" applyNumberFormat="1" applyFont="1" applyFill="1" applyBorder="1"/>
    <xf numFmtId="0" fontId="7" fillId="0" borderId="0" xfId="0" applyFont="1" applyFill="1"/>
    <xf numFmtId="0" fontId="5" fillId="0" borderId="0" xfId="0" applyNumberFormat="1" applyFont="1" applyFill="1" applyBorder="1"/>
    <xf numFmtId="37" fontId="5" fillId="0" borderId="13" xfId="0" applyNumberFormat="1" applyFont="1" applyFill="1" applyBorder="1"/>
    <xf numFmtId="0" fontId="5" fillId="0" borderId="0" xfId="0" quotePrefix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43" fontId="10" fillId="0" borderId="0" xfId="1" applyFont="1" applyFill="1" applyBorder="1"/>
    <xf numFmtId="0" fontId="10" fillId="0" borderId="0" xfId="0" applyFont="1" applyFill="1" applyBorder="1"/>
    <xf numFmtId="164" fontId="6" fillId="0" borderId="0" xfId="1" quotePrefix="1" applyNumberFormat="1" applyFont="1" applyFill="1" applyAlignment="1">
      <alignment horizontal="center" wrapText="1"/>
    </xf>
    <xf numFmtId="49" fontId="6" fillId="0" borderId="1" xfId="1" applyNumberFormat="1" applyFont="1" applyFill="1" applyBorder="1" applyAlignment="1">
      <alignment horizontal="center" wrapText="1"/>
    </xf>
    <xf numFmtId="164" fontId="35" fillId="0" borderId="0" xfId="1" applyNumberFormat="1" applyFont="1" applyFill="1" applyAlignment="1">
      <alignment horizontal="center"/>
    </xf>
    <xf numFmtId="0" fontId="31" fillId="0" borderId="0" xfId="0" applyFont="1" applyFill="1"/>
    <xf numFmtId="4" fontId="13" fillId="0" borderId="0" xfId="0" applyNumberFormat="1" applyFont="1" applyFill="1" applyAlignment="1">
      <alignment horizontal="right"/>
    </xf>
    <xf numFmtId="10" fontId="6" fillId="0" borderId="0" xfId="0" applyNumberFormat="1" applyFont="1" applyFill="1"/>
    <xf numFmtId="0" fontId="5" fillId="0" borderId="14" xfId="0" applyNumberFormat="1" applyFont="1" applyFill="1" applyBorder="1"/>
    <xf numFmtId="0" fontId="5" fillId="0" borderId="15" xfId="0" applyNumberFormat="1" applyFont="1" applyFill="1" applyBorder="1"/>
    <xf numFmtId="37" fontId="6" fillId="0" borderId="24" xfId="1" applyNumberFormat="1" applyFont="1" applyFill="1" applyBorder="1" applyAlignment="1">
      <alignment horizontal="center" wrapText="1"/>
    </xf>
    <xf numFmtId="10" fontId="5" fillId="0" borderId="14" xfId="0" applyNumberFormat="1" applyFont="1" applyFill="1" applyBorder="1" applyAlignment="1">
      <alignment horizontal="center"/>
    </xf>
    <xf numFmtId="4" fontId="12" fillId="0" borderId="0" xfId="0" applyNumberFormat="1" applyFont="1" applyFill="1" applyAlignment="1">
      <alignment horizontal="right"/>
    </xf>
    <xf numFmtId="10" fontId="5" fillId="0" borderId="11" xfId="0" applyNumberFormat="1" applyFont="1" applyFill="1" applyBorder="1"/>
    <xf numFmtId="0" fontId="18" fillId="0" borderId="45" xfId="0" applyFont="1" applyFill="1" applyBorder="1"/>
    <xf numFmtId="0" fontId="18" fillId="0" borderId="46" xfId="0" applyFont="1" applyFill="1" applyBorder="1"/>
    <xf numFmtId="43" fontId="18" fillId="0" borderId="46" xfId="1" applyFont="1" applyFill="1" applyBorder="1"/>
    <xf numFmtId="43" fontId="18" fillId="0" borderId="0" xfId="1" applyFont="1" applyFill="1" applyBorder="1"/>
    <xf numFmtId="43" fontId="18" fillId="0" borderId="0" xfId="1" applyFont="1" applyFill="1"/>
    <xf numFmtId="0" fontId="15" fillId="0" borderId="13" xfId="20" applyFont="1" applyFill="1" applyBorder="1" applyAlignment="1"/>
    <xf numFmtId="0" fontId="18" fillId="0" borderId="47" xfId="0" applyFont="1" applyFill="1" applyBorder="1"/>
    <xf numFmtId="0" fontId="5" fillId="0" borderId="0" xfId="0" applyNumberFormat="1" applyFont="1" applyFill="1" applyBorder="1" applyAlignment="1">
      <alignment horizontal="center"/>
    </xf>
    <xf numFmtId="0" fontId="5" fillId="0" borderId="17" xfId="0" applyNumberFormat="1" applyFont="1" applyFill="1" applyBorder="1"/>
    <xf numFmtId="10" fontId="5" fillId="0" borderId="15" xfId="0" quotePrefix="1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wrapText="1"/>
    </xf>
    <xf numFmtId="164" fontId="6" fillId="0" borderId="0" xfId="0" applyNumberFormat="1" applyFont="1" applyFill="1"/>
    <xf numFmtId="49" fontId="5" fillId="0" borderId="0" xfId="1" applyNumberFormat="1" applyFont="1" applyFill="1" applyBorder="1"/>
    <xf numFmtId="164" fontId="5" fillId="0" borderId="20" xfId="1" applyNumberFormat="1" applyFont="1" applyFill="1" applyBorder="1"/>
    <xf numFmtId="37" fontId="5" fillId="0" borderId="0" xfId="0" applyNumberFormat="1" applyFont="1" applyFill="1" applyProtection="1"/>
    <xf numFmtId="3" fontId="5" fillId="0" borderId="11" xfId="0" applyNumberFormat="1" applyFont="1" applyFill="1" applyBorder="1"/>
    <xf numFmtId="0" fontId="13" fillId="0" borderId="39" xfId="0" applyFont="1" applyFill="1" applyBorder="1"/>
    <xf numFmtId="0" fontId="7" fillId="0" borderId="30" xfId="0" applyFont="1" applyFill="1" applyBorder="1" applyAlignment="1">
      <alignment horizontal="center" wrapText="1"/>
    </xf>
    <xf numFmtId="0" fontId="13" fillId="0" borderId="14" xfId="0" applyFont="1" applyFill="1" applyBorder="1"/>
    <xf numFmtId="0" fontId="13" fillId="0" borderId="15" xfId="0" applyFont="1" applyFill="1" applyBorder="1"/>
    <xf numFmtId="0" fontId="7" fillId="0" borderId="14" xfId="0" applyFont="1" applyFill="1" applyBorder="1"/>
    <xf numFmtId="0" fontId="7" fillId="0" borderId="15" xfId="0" applyFont="1" applyFill="1" applyBorder="1"/>
    <xf numFmtId="0" fontId="7" fillId="0" borderId="16" xfId="0" applyFont="1" applyFill="1" applyBorder="1"/>
    <xf numFmtId="0" fontId="7" fillId="0" borderId="24" xfId="0" applyFont="1" applyFill="1" applyBorder="1"/>
    <xf numFmtId="0" fontId="13" fillId="0" borderId="16" xfId="0" applyFont="1" applyFill="1" applyBorder="1"/>
    <xf numFmtId="0" fontId="13" fillId="0" borderId="24" xfId="0" applyFont="1" applyFill="1" applyBorder="1"/>
    <xf numFmtId="0" fontId="13" fillId="0" borderId="25" xfId="0" applyFont="1" applyFill="1" applyBorder="1"/>
    <xf numFmtId="0" fontId="13" fillId="0" borderId="17" xfId="0" applyFont="1" applyFill="1" applyBorder="1"/>
    <xf numFmtId="0" fontId="7" fillId="0" borderId="16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15" fillId="0" borderId="3" xfId="0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wrapText="1"/>
    </xf>
    <xf numFmtId="0" fontId="7" fillId="0" borderId="31" xfId="0" applyFont="1" applyFill="1" applyBorder="1" applyAlignment="1">
      <alignment horizontal="center"/>
    </xf>
    <xf numFmtId="0" fontId="13" fillId="0" borderId="0" xfId="0" applyFont="1" applyFill="1" applyBorder="1"/>
    <xf numFmtId="0" fontId="7" fillId="0" borderId="0" xfId="0" applyFont="1" applyFill="1" applyBorder="1"/>
    <xf numFmtId="0" fontId="7" fillId="0" borderId="1" xfId="0" applyFont="1" applyFill="1" applyBorder="1"/>
    <xf numFmtId="0" fontId="13" fillId="0" borderId="1" xfId="0" applyFont="1" applyFill="1" applyBorder="1"/>
    <xf numFmtId="164" fontId="7" fillId="0" borderId="0" xfId="0" applyNumberFormat="1" applyFont="1" applyFill="1" applyBorder="1"/>
    <xf numFmtId="164" fontId="7" fillId="0" borderId="15" xfId="0" applyNumberFormat="1" applyFont="1" applyFill="1" applyBorder="1"/>
    <xf numFmtId="0" fontId="13" fillId="0" borderId="3" xfId="0" applyFont="1" applyFill="1" applyBorder="1"/>
    <xf numFmtId="0" fontId="7" fillId="0" borderId="1" xfId="0" applyFont="1" applyFill="1" applyBorder="1" applyAlignment="1">
      <alignment horizontal="center"/>
    </xf>
    <xf numFmtId="164" fontId="7" fillId="0" borderId="1" xfId="0" applyNumberFormat="1" applyFont="1" applyFill="1" applyBorder="1"/>
    <xf numFmtId="164" fontId="7" fillId="0" borderId="24" xfId="0" applyNumberFormat="1" applyFont="1" applyFill="1" applyBorder="1"/>
    <xf numFmtId="164" fontId="13" fillId="0" borderId="0" xfId="0" applyNumberFormat="1" applyFont="1" applyFill="1" applyBorder="1"/>
    <xf numFmtId="164" fontId="13" fillId="0" borderId="15" xfId="0" applyNumberFormat="1" applyFont="1" applyFill="1" applyBorder="1"/>
    <xf numFmtId="37" fontId="13" fillId="0" borderId="0" xfId="0" applyNumberFormat="1" applyFont="1" applyFill="1"/>
    <xf numFmtId="164" fontId="13" fillId="0" borderId="13" xfId="66" applyNumberFormat="1" applyFont="1" applyFill="1" applyBorder="1"/>
    <xf numFmtId="164" fontId="13" fillId="0" borderId="33" xfId="66" applyNumberFormat="1" applyFont="1" applyFill="1" applyBorder="1"/>
    <xf numFmtId="164" fontId="13" fillId="0" borderId="12" xfId="66" applyNumberFormat="1" applyFont="1" applyFill="1" applyBorder="1"/>
    <xf numFmtId="164" fontId="12" fillId="0" borderId="0" xfId="66" applyNumberFormat="1" applyFont="1" applyFill="1"/>
    <xf numFmtId="37" fontId="6" fillId="0" borderId="33" xfId="1" applyNumberFormat="1" applyFont="1" applyFill="1" applyBorder="1" applyAlignment="1">
      <alignment horizontal="center" wrapText="1"/>
    </xf>
    <xf numFmtId="0" fontId="5" fillId="0" borderId="25" xfId="0" quotePrefix="1" applyNumberFormat="1" applyFont="1" applyFill="1" applyBorder="1" applyAlignment="1">
      <alignment horizontal="center"/>
    </xf>
    <xf numFmtId="43" fontId="12" fillId="0" borderId="0" xfId="1" applyFont="1" applyFill="1"/>
    <xf numFmtId="0" fontId="18" fillId="0" borderId="49" xfId="0" applyFont="1" applyFill="1" applyBorder="1"/>
    <xf numFmtId="0" fontId="18" fillId="0" borderId="50" xfId="0" applyFont="1" applyFill="1" applyBorder="1"/>
    <xf numFmtId="0" fontId="18" fillId="0" borderId="51" xfId="0" applyFont="1" applyFill="1" applyBorder="1"/>
    <xf numFmtId="43" fontId="18" fillId="0" borderId="51" xfId="1" applyFont="1" applyFill="1" applyBorder="1"/>
    <xf numFmtId="0" fontId="18" fillId="0" borderId="14" xfId="0" applyFont="1" applyFill="1" applyBorder="1"/>
    <xf numFmtId="43" fontId="18" fillId="0" borderId="52" xfId="1" applyFont="1" applyFill="1" applyBorder="1"/>
    <xf numFmtId="0" fontId="18" fillId="0" borderId="53" xfId="0" applyFont="1" applyFill="1" applyBorder="1"/>
    <xf numFmtId="0" fontId="18" fillId="0" borderId="54" xfId="0" applyFont="1" applyFill="1" applyBorder="1"/>
    <xf numFmtId="43" fontId="18" fillId="0" borderId="55" xfId="1" applyFont="1" applyFill="1" applyBorder="1"/>
    <xf numFmtId="43" fontId="18" fillId="0" borderId="56" xfId="1" applyFont="1" applyFill="1" applyBorder="1"/>
    <xf numFmtId="43" fontId="18" fillId="0" borderId="57" xfId="1" applyFont="1" applyFill="1" applyBorder="1"/>
    <xf numFmtId="37" fontId="5" fillId="0" borderId="0" xfId="0" applyNumberFormat="1" applyFont="1" applyFill="1" applyBorder="1" applyProtection="1"/>
    <xf numFmtId="17" fontId="14" fillId="0" borderId="0" xfId="0" applyNumberFormat="1" applyFont="1" applyFill="1" applyAlignment="1"/>
    <xf numFmtId="17" fontId="6" fillId="0" borderId="1" xfId="0" applyNumberFormat="1" applyFont="1" applyFill="1" applyBorder="1" applyAlignment="1">
      <alignment horizontal="center" wrapText="1"/>
    </xf>
    <xf numFmtId="0" fontId="6" fillId="0" borderId="1" xfId="1" applyNumberFormat="1" applyFont="1" applyFill="1" applyBorder="1"/>
    <xf numFmtId="10" fontId="5" fillId="0" borderId="7" xfId="17" applyNumberFormat="1" applyFont="1" applyFill="1" applyBorder="1" applyAlignment="1">
      <alignment horizontal="right"/>
    </xf>
    <xf numFmtId="10" fontId="5" fillId="0" borderId="0" xfId="17" applyNumberFormat="1" applyFont="1" applyFill="1" applyBorder="1" applyAlignment="1">
      <alignment horizontal="right"/>
    </xf>
    <xf numFmtId="0" fontId="5" fillId="0" borderId="0" xfId="1" quotePrefix="1" applyNumberFormat="1" applyFont="1" applyFill="1" applyAlignment="1">
      <alignment horizontal="left"/>
    </xf>
    <xf numFmtId="43" fontId="5" fillId="0" borderId="0" xfId="1" applyNumberFormat="1" applyFont="1" applyFill="1" applyBorder="1"/>
    <xf numFmtId="43" fontId="5" fillId="0" borderId="0" xfId="1" applyNumberFormat="1" applyFont="1" applyFill="1" applyBorder="1" applyAlignment="1">
      <alignment horizontal="right"/>
    </xf>
    <xf numFmtId="17" fontId="14" fillId="0" borderId="0" xfId="0" applyNumberFormat="1" applyFont="1" applyFill="1" applyAlignment="1">
      <alignment horizontal="center"/>
    </xf>
    <xf numFmtId="17" fontId="14" fillId="0" borderId="0" xfId="0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164" fontId="5" fillId="0" borderId="7" xfId="1" applyNumberFormat="1" applyFont="1" applyFill="1" applyBorder="1"/>
    <xf numFmtId="37" fontId="5" fillId="0" borderId="11" xfId="1" applyNumberFormat="1" applyFont="1" applyFill="1" applyBorder="1" applyAlignment="1">
      <alignment horizontal="right"/>
    </xf>
    <xf numFmtId="164" fontId="5" fillId="0" borderId="11" xfId="1" applyNumberFormat="1" applyFont="1" applyFill="1" applyBorder="1"/>
    <xf numFmtId="164" fontId="6" fillId="0" borderId="11" xfId="1" applyNumberFormat="1" applyFont="1" applyFill="1" applyBorder="1"/>
    <xf numFmtId="43" fontId="6" fillId="0" borderId="0" xfId="1" applyNumberFormat="1" applyFont="1" applyFill="1" applyBorder="1"/>
    <xf numFmtId="43" fontId="6" fillId="0" borderId="0" xfId="1" applyNumberFormat="1" applyFont="1" applyFill="1" applyBorder="1" applyAlignment="1">
      <alignment horizontal="right"/>
    </xf>
    <xf numFmtId="0" fontId="44" fillId="0" borderId="0" xfId="0" quotePrefix="1" applyFont="1" applyFill="1" applyAlignment="1">
      <alignment horizontal="left"/>
    </xf>
    <xf numFmtId="0" fontId="44" fillId="0" borderId="0" xfId="0" applyFont="1" applyFill="1" applyAlignment="1">
      <alignment horizontal="left"/>
    </xf>
    <xf numFmtId="10" fontId="5" fillId="0" borderId="0" xfId="1" applyNumberFormat="1" applyFont="1" applyFill="1" applyBorder="1"/>
    <xf numFmtId="183" fontId="45" fillId="0" borderId="0" xfId="0" applyNumberFormat="1" applyFont="1" applyFill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5" fillId="0" borderId="0" xfId="74" applyFont="1" applyFill="1"/>
    <xf numFmtId="0" fontId="6" fillId="0" borderId="0" xfId="74" applyFont="1" applyFill="1" applyAlignment="1">
      <alignment horizontal="center"/>
    </xf>
    <xf numFmtId="0" fontId="5" fillId="0" borderId="0" xfId="75" applyFont="1" applyFill="1"/>
    <xf numFmtId="3" fontId="6" fillId="0" borderId="0" xfId="74" applyNumberFormat="1" applyFont="1" applyFill="1" applyAlignment="1">
      <alignment horizontal="center"/>
    </xf>
    <xf numFmtId="10" fontId="5" fillId="0" borderId="1" xfId="17" applyNumberFormat="1" applyFont="1" applyFill="1" applyBorder="1"/>
    <xf numFmtId="37" fontId="48" fillId="0" borderId="0" xfId="0" applyNumberFormat="1" applyFont="1" applyFill="1" applyBorder="1" applyProtection="1"/>
    <xf numFmtId="164" fontId="48" fillId="0" borderId="0" xfId="1" applyNumberFormat="1" applyFont="1" applyFill="1"/>
    <xf numFmtId="0" fontId="48" fillId="0" borderId="0" xfId="0" applyFont="1" applyFill="1" applyBorder="1" applyAlignment="1">
      <alignment horizontal="centerContinuous"/>
    </xf>
    <xf numFmtId="0" fontId="5" fillId="0" borderId="11" xfId="0" quotePrefix="1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164" fontId="17" fillId="0" borderId="0" xfId="1" applyNumberFormat="1" applyFont="1" applyFill="1" applyBorder="1"/>
    <xf numFmtId="37" fontId="5" fillId="0" borderId="0" xfId="0" applyNumberFormat="1" applyFont="1" applyFill="1" applyBorder="1" applyAlignment="1" applyProtection="1">
      <alignment horizontal="centerContinuous"/>
    </xf>
    <xf numFmtId="37" fontId="5" fillId="0" borderId="0" xfId="0" applyNumberFormat="1" applyFont="1" applyFill="1" applyAlignment="1" applyProtection="1">
      <alignment horizontal="center"/>
    </xf>
    <xf numFmtId="10" fontId="5" fillId="0" borderId="0" xfId="17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37" fontId="5" fillId="0" borderId="0" xfId="0" quotePrefix="1" applyNumberFormat="1" applyFont="1" applyFill="1" applyBorder="1" applyAlignment="1" applyProtection="1">
      <alignment horizontal="center"/>
    </xf>
    <xf numFmtId="37" fontId="6" fillId="0" borderId="0" xfId="0" applyNumberFormat="1" applyFont="1" applyFill="1" applyBorder="1" applyAlignment="1" applyProtection="1">
      <alignment horizontal="center"/>
    </xf>
    <xf numFmtId="37" fontId="6" fillId="0" borderId="0" xfId="0" applyNumberFormat="1" applyFont="1" applyFill="1" applyAlignment="1" applyProtection="1">
      <alignment horizontal="center"/>
    </xf>
    <xf numFmtId="37" fontId="5" fillId="0" borderId="9" xfId="0" applyNumberFormat="1" applyFont="1" applyFill="1" applyBorder="1" applyProtection="1"/>
    <xf numFmtId="37" fontId="6" fillId="0" borderId="0" xfId="0" quotePrefix="1" applyNumberFormat="1" applyFont="1" applyFill="1" applyAlignment="1" applyProtection="1">
      <alignment horizontal="center"/>
    </xf>
    <xf numFmtId="39" fontId="5" fillId="0" borderId="0" xfId="0" applyNumberFormat="1" applyFont="1" applyFill="1" applyProtection="1"/>
    <xf numFmtId="17" fontId="5" fillId="0" borderId="0" xfId="0" quotePrefix="1" applyNumberFormat="1" applyFont="1" applyFill="1" applyBorder="1" applyAlignment="1">
      <alignment horizontal="center"/>
    </xf>
    <xf numFmtId="0" fontId="20" fillId="0" borderId="0" xfId="0" applyFont="1" applyFill="1"/>
    <xf numFmtId="15" fontId="5" fillId="0" borderId="0" xfId="0" quotePrefix="1" applyNumberFormat="1" applyFont="1" applyFill="1" applyAlignment="1">
      <alignment horizontal="centerContinuous"/>
    </xf>
    <xf numFmtId="0" fontId="10" fillId="0" borderId="0" xfId="0" applyFont="1" applyFill="1"/>
    <xf numFmtId="37" fontId="6" fillId="0" borderId="7" xfId="1" applyNumberFormat="1" applyFont="1" applyFill="1" applyBorder="1"/>
    <xf numFmtId="37" fontId="20" fillId="0" borderId="0" xfId="1" applyNumberFormat="1" applyFont="1" applyFill="1" applyBorder="1"/>
    <xf numFmtId="10" fontId="20" fillId="0" borderId="0" xfId="17" applyNumberFormat="1" applyFont="1" applyFill="1"/>
    <xf numFmtId="37" fontId="20" fillId="0" borderId="7" xfId="1" applyNumberFormat="1" applyFont="1" applyFill="1" applyBorder="1"/>
    <xf numFmtId="164" fontId="20" fillId="0" borderId="0" xfId="1" applyNumberFormat="1" applyFont="1" applyFill="1" applyBorder="1"/>
    <xf numFmtId="164" fontId="20" fillId="0" borderId="0" xfId="1" applyNumberFormat="1" applyFont="1" applyFill="1"/>
    <xf numFmtId="0" fontId="30" fillId="0" borderId="0" xfId="0" applyFont="1" applyFill="1"/>
    <xf numFmtId="43" fontId="10" fillId="0" borderId="0" xfId="0" applyNumberFormat="1" applyFont="1" applyFill="1"/>
    <xf numFmtId="43" fontId="9" fillId="0" borderId="0" xfId="1" applyFont="1" applyFill="1"/>
    <xf numFmtId="0" fontId="9" fillId="0" borderId="0" xfId="0" applyFont="1" applyFill="1"/>
    <xf numFmtId="43" fontId="10" fillId="0" borderId="4" xfId="1" applyFont="1" applyFill="1" applyBorder="1"/>
    <xf numFmtId="43" fontId="10" fillId="0" borderId="0" xfId="1" applyFont="1" applyFill="1"/>
    <xf numFmtId="14" fontId="9" fillId="0" borderId="1" xfId="0" applyNumberFormat="1" applyFont="1" applyFill="1" applyBorder="1" applyAlignment="1">
      <alignment horizontal="center"/>
    </xf>
    <xf numFmtId="164" fontId="50" fillId="0" borderId="0" xfId="1" applyNumberFormat="1" applyFont="1" applyFill="1"/>
    <xf numFmtId="164" fontId="5" fillId="0" borderId="28" xfId="1" applyNumberFormat="1" applyFont="1" applyFill="1" applyBorder="1" applyProtection="1"/>
    <xf numFmtId="164" fontId="5" fillId="0" borderId="48" xfId="1" applyNumberFormat="1" applyFont="1" applyFill="1" applyBorder="1" applyProtection="1"/>
    <xf numFmtId="49" fontId="5" fillId="0" borderId="0" xfId="1" applyNumberFormat="1" applyFont="1" applyFill="1" applyAlignment="1">
      <alignment horizontal="center"/>
    </xf>
    <xf numFmtId="164" fontId="7" fillId="0" borderId="2" xfId="1" applyNumberFormat="1" applyFont="1" applyFill="1" applyBorder="1" applyAlignment="1">
      <alignment horizontal="center" wrapText="1"/>
    </xf>
    <xf numFmtId="164" fontId="13" fillId="0" borderId="13" xfId="1" applyNumberFormat="1" applyFont="1" applyFill="1" applyBorder="1"/>
    <xf numFmtId="164" fontId="7" fillId="0" borderId="13" xfId="1" applyNumberFormat="1" applyFont="1" applyFill="1" applyBorder="1"/>
    <xf numFmtId="164" fontId="7" fillId="0" borderId="33" xfId="1" applyNumberFormat="1" applyFont="1" applyFill="1" applyBorder="1"/>
    <xf numFmtId="164" fontId="13" fillId="0" borderId="33" xfId="1" applyNumberFormat="1" applyFont="1" applyFill="1" applyBorder="1"/>
    <xf numFmtId="164" fontId="13" fillId="0" borderId="12" xfId="1" applyNumberFormat="1" applyFont="1" applyFill="1" applyBorder="1"/>
    <xf numFmtId="164" fontId="7" fillId="0" borderId="33" xfId="1" applyNumberFormat="1" applyFont="1" applyFill="1" applyBorder="1" applyAlignment="1">
      <alignment horizontal="center"/>
    </xf>
    <xf numFmtId="164" fontId="7" fillId="0" borderId="0" xfId="1" applyNumberFormat="1" applyFont="1" applyFill="1" applyBorder="1"/>
    <xf numFmtId="37" fontId="6" fillId="0" borderId="0" xfId="0" quotePrefix="1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 wrapText="1"/>
    </xf>
    <xf numFmtId="5" fontId="5" fillId="0" borderId="0" xfId="0" applyNumberFormat="1" applyFont="1" applyFill="1"/>
    <xf numFmtId="39" fontId="6" fillId="0" borderId="3" xfId="0" applyNumberFormat="1" applyFont="1" applyFill="1" applyBorder="1" applyAlignment="1">
      <alignment horizontal="center"/>
    </xf>
    <xf numFmtId="39" fontId="6" fillId="0" borderId="3" xfId="0" applyNumberFormat="1" applyFont="1" applyFill="1" applyBorder="1" applyAlignment="1" applyProtection="1">
      <alignment horizontal="center"/>
    </xf>
    <xf numFmtId="43" fontId="5" fillId="0" borderId="0" xfId="1" applyFont="1" applyFill="1"/>
    <xf numFmtId="0" fontId="5" fillId="0" borderId="7" xfId="0" applyFont="1" applyFill="1" applyBorder="1"/>
    <xf numFmtId="43" fontId="5" fillId="0" borderId="7" xfId="1" applyNumberFormat="1" applyFont="1" applyFill="1" applyBorder="1"/>
    <xf numFmtId="43" fontId="5" fillId="0" borderId="0" xfId="0" quotePrefix="1" applyNumberFormat="1" applyFont="1" applyFill="1" applyAlignment="1">
      <alignment horizontal="left"/>
    </xf>
    <xf numFmtId="0" fontId="5" fillId="0" borderId="0" xfId="17" applyNumberFormat="1" applyFont="1" applyFill="1" applyAlignment="1">
      <alignment horizontal="left"/>
    </xf>
    <xf numFmtId="43" fontId="5" fillId="0" borderId="0" xfId="0" quotePrefix="1" applyNumberFormat="1" applyFont="1" applyFill="1" applyBorder="1" applyAlignment="1">
      <alignment horizontal="left"/>
    </xf>
    <xf numFmtId="43" fontId="5" fillId="0" borderId="0" xfId="0" applyNumberFormat="1" applyFont="1" applyFill="1" applyBorder="1" applyAlignment="1">
      <alignment horizontal="left"/>
    </xf>
    <xf numFmtId="43" fontId="5" fillId="0" borderId="20" xfId="0" quotePrefix="1" applyNumberFormat="1" applyFont="1" applyFill="1" applyBorder="1" applyAlignment="1">
      <alignment horizontal="left"/>
    </xf>
    <xf numFmtId="43" fontId="5" fillId="0" borderId="0" xfId="0" applyNumberFormat="1" applyFont="1" applyFill="1" applyBorder="1"/>
    <xf numFmtId="43" fontId="6" fillId="0" borderId="0" xfId="1" quotePrefix="1" applyNumberFormat="1" applyFont="1" applyFill="1" applyBorder="1" applyAlignment="1">
      <alignment horizontal="left"/>
    </xf>
    <xf numFmtId="43" fontId="5" fillId="0" borderId="0" xfId="1" applyNumberFormat="1" applyFont="1" applyFill="1"/>
    <xf numFmtId="0" fontId="5" fillId="0" borderId="0" xfId="0" quotePrefix="1" applyFont="1" applyFill="1" applyBorder="1" applyAlignment="1">
      <alignment horizontal="center"/>
    </xf>
    <xf numFmtId="0" fontId="17" fillId="0" borderId="0" xfId="0" applyFont="1" applyFill="1" applyAlignment="1">
      <alignment horizontal="left"/>
    </xf>
    <xf numFmtId="166" fontId="10" fillId="0" borderId="0" xfId="17" applyNumberFormat="1" applyFont="1" applyFill="1"/>
    <xf numFmtId="164" fontId="6" fillId="0" borderId="0" xfId="80" applyNumberFormat="1" applyFont="1" applyFill="1" applyAlignment="1"/>
    <xf numFmtId="164" fontId="6" fillId="0" borderId="0" xfId="80" applyNumberFormat="1" applyFont="1" applyFill="1"/>
    <xf numFmtId="49" fontId="5" fillId="0" borderId="0" xfId="80" applyNumberFormat="1" applyFont="1" applyFill="1" applyAlignment="1">
      <alignment horizontal="center"/>
    </xf>
    <xf numFmtId="164" fontId="5" fillId="0" borderId="0" xfId="80" applyNumberFormat="1" applyFont="1" applyFill="1" applyAlignment="1">
      <alignment horizontal="center"/>
    </xf>
    <xf numFmtId="49" fontId="6" fillId="0" borderId="0" xfId="80" applyNumberFormat="1" applyFont="1" applyFill="1" applyAlignment="1">
      <alignment wrapText="1"/>
    </xf>
    <xf numFmtId="164" fontId="6" fillId="0" borderId="0" xfId="80" applyNumberFormat="1" applyFont="1" applyFill="1" applyAlignment="1">
      <alignment wrapText="1"/>
    </xf>
    <xf numFmtId="164" fontId="6" fillId="0" borderId="1" xfId="80" applyNumberFormat="1" applyFont="1" applyFill="1" applyBorder="1"/>
    <xf numFmtId="164" fontId="5" fillId="0" borderId="28" xfId="80" applyNumberFormat="1" applyFont="1" applyFill="1" applyBorder="1" applyProtection="1"/>
    <xf numFmtId="164" fontId="7" fillId="0" borderId="2" xfId="80" applyNumberFormat="1" applyFont="1" applyFill="1" applyBorder="1" applyAlignment="1">
      <alignment horizontal="center" wrapText="1"/>
    </xf>
    <xf numFmtId="164" fontId="13" fillId="0" borderId="13" xfId="80" applyNumberFormat="1" applyFont="1" applyFill="1" applyBorder="1"/>
    <xf numFmtId="164" fontId="7" fillId="0" borderId="13" xfId="80" applyNumberFormat="1" applyFont="1" applyFill="1" applyBorder="1"/>
    <xf numFmtId="164" fontId="7" fillId="0" borderId="33" xfId="80" applyNumberFormat="1" applyFont="1" applyFill="1" applyBorder="1"/>
    <xf numFmtId="164" fontId="13" fillId="0" borderId="33" xfId="80" applyNumberFormat="1" applyFont="1" applyFill="1" applyBorder="1"/>
    <xf numFmtId="164" fontId="13" fillId="0" borderId="12" xfId="80" applyNumberFormat="1" applyFont="1" applyFill="1" applyBorder="1"/>
    <xf numFmtId="164" fontId="7" fillId="0" borderId="33" xfId="80" applyNumberFormat="1" applyFont="1" applyFill="1" applyBorder="1" applyAlignment="1">
      <alignment horizontal="center"/>
    </xf>
    <xf numFmtId="164" fontId="7" fillId="0" borderId="0" xfId="80" applyNumberFormat="1" applyFont="1" applyFill="1" applyBorder="1"/>
    <xf numFmtId="10" fontId="6" fillId="0" borderId="0" xfId="17" applyNumberFormat="1" applyFont="1" applyFill="1" applyAlignment="1">
      <alignment horizontal="left"/>
    </xf>
    <xf numFmtId="0" fontId="8" fillId="0" borderId="0" xfId="6" applyFill="1" applyAlignment="1" applyProtection="1">
      <alignment horizontal="left"/>
    </xf>
    <xf numFmtId="17" fontId="14" fillId="0" borderId="0" xfId="0" applyNumberFormat="1" applyFont="1" applyFill="1" applyAlignment="1">
      <alignment horizontal="left"/>
    </xf>
    <xf numFmtId="10" fontId="5" fillId="0" borderId="0" xfId="1" applyNumberFormat="1" applyFont="1" applyFill="1" applyBorder="1" applyAlignment="1">
      <alignment horizontal="left"/>
    </xf>
    <xf numFmtId="0" fontId="5" fillId="0" borderId="11" xfId="0" applyFont="1" applyFill="1" applyBorder="1" applyAlignment="1">
      <alignment horizontal="center"/>
    </xf>
    <xf numFmtId="0" fontId="18" fillId="0" borderId="0" xfId="0" applyFont="1" applyFill="1" applyBorder="1"/>
    <xf numFmtId="0" fontId="12" fillId="0" borderId="0" xfId="20" applyFont="1" applyFill="1" applyBorder="1" applyAlignment="1"/>
    <xf numFmtId="4" fontId="12" fillId="0" borderId="0" xfId="34" applyFont="1" applyFill="1" applyBorder="1"/>
    <xf numFmtId="15" fontId="12" fillId="0" borderId="0" xfId="27" quotePrefix="1" applyFont="1" applyFill="1" applyBorder="1"/>
    <xf numFmtId="0" fontId="13" fillId="0" borderId="0" xfId="20" applyFont="1" applyFill="1" applyBorder="1" applyAlignment="1"/>
    <xf numFmtId="164" fontId="5" fillId="0" borderId="65" xfId="1" applyNumberFormat="1" applyFont="1" applyFill="1" applyBorder="1"/>
    <xf numFmtId="164" fontId="5" fillId="0" borderId="0" xfId="1" applyNumberFormat="1" applyFont="1"/>
    <xf numFmtId="164" fontId="50" fillId="0" borderId="0" xfId="1" applyNumberFormat="1" applyFont="1" applyFill="1" applyAlignment="1">
      <alignment horizontal="right"/>
    </xf>
    <xf numFmtId="10" fontId="10" fillId="0" borderId="0" xfId="17" applyNumberFormat="1" applyFont="1" applyFill="1"/>
    <xf numFmtId="10" fontId="5" fillId="0" borderId="0" xfId="0" applyNumberFormat="1" applyFont="1" applyFill="1" applyBorder="1" applyAlignment="1">
      <alignment horizontal="center"/>
    </xf>
    <xf numFmtId="0" fontId="5" fillId="0" borderId="12" xfId="0" quotePrefix="1" applyNumberFormat="1" applyFont="1" applyFill="1" applyBorder="1" applyAlignment="1">
      <alignment horizontal="center"/>
    </xf>
    <xf numFmtId="0" fontId="5" fillId="0" borderId="13" xfId="0" applyNumberFormat="1" applyFont="1" applyFill="1" applyBorder="1"/>
    <xf numFmtId="0" fontId="5" fillId="0" borderId="17" xfId="0" quotePrefix="1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0" fontId="5" fillId="0" borderId="0" xfId="76" applyFont="1" applyFill="1"/>
    <xf numFmtId="0" fontId="5" fillId="0" borderId="0" xfId="76" applyFont="1" applyFill="1" applyAlignment="1">
      <alignment horizontal="left" indent="1"/>
    </xf>
    <xf numFmtId="10" fontId="5" fillId="0" borderId="0" xfId="77" applyNumberFormat="1" applyFont="1" applyFill="1"/>
    <xf numFmtId="165" fontId="5" fillId="0" borderId="0" xfId="17" applyNumberFormat="1" applyFont="1" applyFill="1"/>
    <xf numFmtId="37" fontId="5" fillId="0" borderId="0" xfId="76" applyNumberFormat="1" applyFont="1" applyFill="1"/>
    <xf numFmtId="39" fontId="5" fillId="0" borderId="0" xfId="76" applyNumberFormat="1" applyFont="1" applyFill="1"/>
    <xf numFmtId="164" fontId="5" fillId="0" borderId="0" xfId="76" applyNumberFormat="1" applyFont="1" applyFill="1"/>
    <xf numFmtId="17" fontId="6" fillId="0" borderId="65" xfId="1" applyNumberFormat="1" applyFont="1" applyFill="1" applyBorder="1" applyAlignment="1">
      <alignment horizontal="center"/>
    </xf>
    <xf numFmtId="43" fontId="10" fillId="0" borderId="0" xfId="17" applyNumberFormat="1" applyFont="1" applyFill="1"/>
    <xf numFmtId="0" fontId="53" fillId="0" borderId="0" xfId="0" applyFont="1" applyFill="1"/>
    <xf numFmtId="37" fontId="6" fillId="0" borderId="0" xfId="0" quotePrefix="1" applyNumberFormat="1" applyFont="1" applyFill="1" applyAlignment="1">
      <alignment horizontal="center" wrapText="1"/>
    </xf>
    <xf numFmtId="10" fontId="5" fillId="0" borderId="1" xfId="0" applyNumberFormat="1" applyFont="1" applyFill="1" applyBorder="1"/>
    <xf numFmtId="164" fontId="5" fillId="0" borderId="0" xfId="1" quotePrefix="1" applyNumberFormat="1" applyFont="1" applyFill="1" applyAlignment="1">
      <alignment horizontal="center"/>
    </xf>
    <xf numFmtId="0" fontId="6" fillId="0" borderId="0" xfId="0" quotePrefix="1" applyNumberFormat="1" applyFont="1" applyFill="1" applyAlignment="1">
      <alignment horizontal="left"/>
    </xf>
    <xf numFmtId="0" fontId="6" fillId="0" borderId="0" xfId="0" applyNumberFormat="1" applyFont="1" applyFill="1" applyBorder="1"/>
    <xf numFmtId="164" fontId="5" fillId="0" borderId="19" xfId="1" applyNumberFormat="1" applyFont="1" applyFill="1" applyBorder="1"/>
    <xf numFmtId="43" fontId="5" fillId="0" borderId="0" xfId="82" applyNumberFormat="1" applyFont="1" applyFill="1" applyBorder="1"/>
    <xf numFmtId="43" fontId="5" fillId="0" borderId="0" xfId="82" quotePrefix="1" applyNumberFormat="1" applyFont="1" applyFill="1" applyBorder="1" applyAlignment="1">
      <alignment horizontal="left"/>
    </xf>
    <xf numFmtId="43" fontId="5" fillId="0" borderId="67" xfId="82" applyNumberFormat="1" applyFont="1" applyFill="1" applyBorder="1"/>
    <xf numFmtId="43" fontId="5" fillId="0" borderId="73" xfId="82" applyNumberFormat="1" applyFont="1" applyFill="1" applyBorder="1"/>
    <xf numFmtId="43" fontId="5" fillId="0" borderId="72" xfId="82" applyNumberFormat="1" applyFont="1" applyFill="1" applyBorder="1"/>
    <xf numFmtId="43" fontId="5" fillId="0" borderId="67" xfId="82" quotePrefix="1" applyNumberFormat="1" applyFont="1" applyFill="1" applyBorder="1" applyAlignment="1">
      <alignment horizontal="left"/>
    </xf>
    <xf numFmtId="43" fontId="5" fillId="0" borderId="67" xfId="0" quotePrefix="1" applyNumberFormat="1" applyFont="1" applyFill="1" applyBorder="1" applyAlignment="1">
      <alignment horizontal="left"/>
    </xf>
    <xf numFmtId="43" fontId="5" fillId="0" borderId="0" xfId="82" applyFont="1" applyFill="1" applyBorder="1"/>
    <xf numFmtId="43" fontId="5" fillId="0" borderId="67" xfId="82" applyFont="1" applyFill="1" applyBorder="1"/>
    <xf numFmtId="17" fontId="6" fillId="0" borderId="65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center"/>
    </xf>
    <xf numFmtId="14" fontId="9" fillId="0" borderId="58" xfId="0" applyNumberFormat="1" applyFont="1" applyFill="1" applyBorder="1" applyAlignment="1">
      <alignment horizontal="center"/>
    </xf>
    <xf numFmtId="0" fontId="5" fillId="0" borderId="58" xfId="0" applyFont="1" applyFill="1" applyBorder="1"/>
    <xf numFmtId="0" fontId="9" fillId="0" borderId="58" xfId="0" applyFont="1" applyFill="1" applyBorder="1" applyAlignment="1"/>
    <xf numFmtId="0" fontId="10" fillId="0" borderId="58" xfId="0" applyFont="1" applyFill="1" applyBorder="1"/>
    <xf numFmtId="0" fontId="54" fillId="0" borderId="0" xfId="0" applyFont="1" applyFill="1"/>
    <xf numFmtId="0" fontId="5" fillId="0" borderId="0" xfId="8" applyFont="1" applyFill="1"/>
    <xf numFmtId="3" fontId="5" fillId="0" borderId="19" xfId="0" applyNumberFormat="1" applyFont="1" applyFill="1" applyBorder="1"/>
    <xf numFmtId="164" fontId="5" fillId="0" borderId="0" xfId="66" applyNumberFormat="1" applyFont="1" applyFill="1"/>
    <xf numFmtId="164" fontId="5" fillId="0" borderId="0" xfId="74" applyNumberFormat="1" applyFont="1" applyFill="1"/>
    <xf numFmtId="0" fontId="5" fillId="0" borderId="1" xfId="0" applyFont="1" applyFill="1" applyBorder="1" applyAlignment="1">
      <alignment horizontal="center"/>
    </xf>
    <xf numFmtId="0" fontId="5" fillId="0" borderId="78" xfId="0" applyFont="1" applyFill="1" applyBorder="1"/>
    <xf numFmtId="164" fontId="5" fillId="0" borderId="0" xfId="78" applyNumberFormat="1" applyFont="1" applyFill="1" applyBorder="1"/>
    <xf numFmtId="0" fontId="6" fillId="0" borderId="78" xfId="0" applyFont="1" applyFill="1" applyBorder="1" applyAlignment="1">
      <alignment horizontal="center"/>
    </xf>
    <xf numFmtId="37" fontId="5" fillId="0" borderId="66" xfId="1" applyNumberFormat="1" applyFont="1" applyFill="1" applyBorder="1"/>
    <xf numFmtId="0" fontId="5" fillId="0" borderId="0" xfId="0" applyFont="1" applyFill="1" applyAlignment="1">
      <alignment horizontal="right"/>
    </xf>
    <xf numFmtId="185" fontId="5" fillId="0" borderId="48" xfId="0" applyNumberFormat="1" applyFont="1" applyFill="1" applyBorder="1" applyAlignment="1">
      <alignment horizontal="center"/>
    </xf>
    <xf numFmtId="185" fontId="5" fillId="0" borderId="0" xfId="0" applyNumberFormat="1" applyFont="1" applyFill="1" applyBorder="1" applyAlignment="1">
      <alignment horizontal="center"/>
    </xf>
    <xf numFmtId="37" fontId="11" fillId="0" borderId="65" xfId="1" applyNumberFormat="1" applyFont="1" applyFill="1" applyBorder="1" applyAlignment="1">
      <alignment horizontal="left"/>
    </xf>
    <xf numFmtId="0" fontId="6" fillId="0" borderId="65" xfId="0" applyFont="1" applyBorder="1"/>
    <xf numFmtId="37" fontId="5" fillId="0" borderId="66" xfId="1" applyNumberFormat="1" applyFont="1" applyFill="1" applyBorder="1" applyAlignment="1">
      <alignment horizontal="right"/>
    </xf>
    <xf numFmtId="37" fontId="5" fillId="0" borderId="66" xfId="1" quotePrefix="1" applyNumberFormat="1" applyFont="1" applyFill="1" applyBorder="1" applyAlignment="1">
      <alignment horizontal="right"/>
    </xf>
    <xf numFmtId="37" fontId="5" fillId="0" borderId="65" xfId="1" applyNumberFormat="1" applyFont="1" applyFill="1" applyBorder="1" applyAlignment="1">
      <alignment horizontal="right"/>
    </xf>
    <xf numFmtId="37" fontId="6" fillId="0" borderId="65" xfId="1" applyNumberFormat="1" applyFont="1" applyFill="1" applyBorder="1" applyAlignment="1">
      <alignment horizontal="right"/>
    </xf>
    <xf numFmtId="164" fontId="6" fillId="0" borderId="65" xfId="1" applyNumberFormat="1" applyFont="1" applyBorder="1"/>
    <xf numFmtId="37" fontId="6" fillId="0" borderId="1" xfId="1" applyNumberFormat="1" applyFont="1" applyFill="1" applyBorder="1" applyAlignment="1">
      <alignment horizontal="center"/>
    </xf>
    <xf numFmtId="0" fontId="6" fillId="0" borderId="0" xfId="0" quotePrefix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72" fontId="6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49" fontId="6" fillId="0" borderId="1" xfId="1" applyNumberFormat="1" applyFont="1" applyFill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0" fontId="6" fillId="0" borderId="0" xfId="1" applyNumberFormat="1" applyFont="1" applyFill="1" applyAlignment="1"/>
    <xf numFmtId="0" fontId="6" fillId="0" borderId="0" xfId="1" applyNumberFormat="1" applyFont="1" applyFill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4" fontId="6" fillId="0" borderId="0" xfId="1" applyNumberFormat="1" applyFont="1" applyFill="1" applyAlignment="1">
      <alignment horizontal="left"/>
    </xf>
    <xf numFmtId="0" fontId="6" fillId="0" borderId="0" xfId="0" applyFont="1" applyFill="1" applyBorder="1" applyAlignment="1">
      <alignment horizontal="center"/>
    </xf>
    <xf numFmtId="37" fontId="6" fillId="0" borderId="0" xfId="1" quotePrefix="1" applyNumberFormat="1" applyFont="1" applyFill="1" applyAlignment="1">
      <alignment horizontal="left"/>
    </xf>
    <xf numFmtId="37" fontId="6" fillId="0" borderId="0" xfId="1" quotePrefix="1" applyNumberFormat="1" applyFont="1" applyFill="1" applyAlignment="1">
      <alignment horizontal="center"/>
    </xf>
    <xf numFmtId="37" fontId="6" fillId="0" borderId="0" xfId="1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7" fontId="6" fillId="0" borderId="0" xfId="1" applyNumberFormat="1" applyFont="1" applyFill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171" fontId="5" fillId="0" borderId="0" xfId="17" quotePrefix="1" applyNumberFormat="1" applyFont="1" applyFill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17" fontId="6" fillId="0" borderId="33" xfId="17" quotePrefix="1" applyNumberFormat="1" applyFont="1" applyFill="1" applyBorder="1" applyAlignment="1">
      <alignment horizontal="center"/>
    </xf>
    <xf numFmtId="10" fontId="5" fillId="0" borderId="13" xfId="17" applyNumberFormat="1" applyFont="1" applyFill="1" applyBorder="1" applyAlignment="1">
      <alignment horizontal="center"/>
    </xf>
    <xf numFmtId="37" fontId="6" fillId="0" borderId="13" xfId="1" applyNumberFormat="1" applyFont="1" applyFill="1" applyBorder="1" applyAlignment="1">
      <alignment horizontal="center" wrapText="1"/>
    </xf>
    <xf numFmtId="37" fontId="6" fillId="0" borderId="33" xfId="1" quotePrefix="1" applyNumberFormat="1" applyFont="1" applyFill="1" applyBorder="1" applyAlignment="1">
      <alignment horizontal="center" wrapText="1"/>
    </xf>
    <xf numFmtId="171" fontId="6" fillId="0" borderId="2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12" xfId="17" quotePrefix="1" applyNumberFormat="1" applyFont="1" applyFill="1" applyBorder="1" applyAlignment="1">
      <alignment horizontal="center"/>
    </xf>
    <xf numFmtId="37" fontId="5" fillId="0" borderId="12" xfId="1" quotePrefix="1" applyNumberFormat="1" applyFont="1" applyFill="1" applyBorder="1" applyAlignment="1">
      <alignment horizontal="center"/>
    </xf>
    <xf numFmtId="0" fontId="5" fillId="0" borderId="65" xfId="0" applyFont="1" applyFill="1" applyBorder="1"/>
    <xf numFmtId="37" fontId="5" fillId="0" borderId="33" xfId="1" quotePrefix="1" applyNumberFormat="1" applyFont="1" applyFill="1" applyBorder="1" applyAlignment="1">
      <alignment horizontal="left"/>
    </xf>
    <xf numFmtId="0" fontId="20" fillId="0" borderId="65" xfId="6" applyFont="1" applyFill="1" applyBorder="1" applyAlignment="1" applyProtection="1">
      <alignment horizontal="left"/>
    </xf>
    <xf numFmtId="37" fontId="6" fillId="0" borderId="33" xfId="1" quotePrefix="1" applyNumberFormat="1" applyFont="1" applyFill="1" applyBorder="1" applyAlignment="1">
      <alignment horizontal="center"/>
    </xf>
    <xf numFmtId="37" fontId="6" fillId="0" borderId="33" xfId="1" applyNumberFormat="1" applyFont="1" applyFill="1" applyBorder="1" applyAlignment="1">
      <alignment horizontal="center"/>
    </xf>
    <xf numFmtId="17" fontId="6" fillId="0" borderId="1" xfId="1" applyNumberFormat="1" applyFont="1" applyFill="1" applyBorder="1" applyAlignment="1"/>
    <xf numFmtId="37" fontId="5" fillId="0" borderId="0" xfId="1" applyNumberFormat="1" applyFont="1" applyFill="1" applyBorder="1" applyAlignment="1"/>
    <xf numFmtId="0" fontId="6" fillId="0" borderId="11" xfId="0" applyFont="1" applyFill="1" applyBorder="1" applyAlignment="1"/>
    <xf numFmtId="37" fontId="5" fillId="0" borderId="0" xfId="0" applyNumberFormat="1" applyFont="1" applyFill="1" applyBorder="1" applyAlignment="1"/>
    <xf numFmtId="37" fontId="5" fillId="0" borderId="11" xfId="1" applyNumberFormat="1" applyFont="1" applyFill="1" applyBorder="1" applyAlignment="1"/>
    <xf numFmtId="164" fontId="5" fillId="0" borderId="0" xfId="1" applyNumberFormat="1" applyFont="1" applyFill="1" applyBorder="1" applyAlignment="1"/>
    <xf numFmtId="164" fontId="5" fillId="0" borderId="41" xfId="1" applyNumberFormat="1" applyFont="1" applyFill="1" applyBorder="1" applyAlignment="1"/>
    <xf numFmtId="37" fontId="5" fillId="0" borderId="7" xfId="1" applyNumberFormat="1" applyFont="1" applyFill="1" applyBorder="1" applyAlignment="1"/>
    <xf numFmtId="37" fontId="5" fillId="0" borderId="4" xfId="1" applyNumberFormat="1" applyFont="1" applyFill="1" applyBorder="1" applyAlignment="1">
      <alignment horizontal="center"/>
    </xf>
    <xf numFmtId="37" fontId="5" fillId="0" borderId="4" xfId="1" applyNumberFormat="1" applyFont="1" applyFill="1" applyBorder="1" applyAlignment="1"/>
    <xf numFmtId="164" fontId="5" fillId="0" borderId="4" xfId="1" applyNumberFormat="1" applyFont="1" applyFill="1" applyBorder="1" applyAlignment="1"/>
    <xf numFmtId="43" fontId="5" fillId="0" borderId="0" xfId="0" applyNumberFormat="1" applyFont="1" applyFill="1" applyBorder="1" applyAlignment="1">
      <alignment horizontal="center"/>
    </xf>
    <xf numFmtId="37" fontId="5" fillId="0" borderId="68" xfId="0" applyNumberFormat="1" applyFont="1" applyFill="1" applyBorder="1"/>
    <xf numFmtId="10" fontId="5" fillId="0" borderId="11" xfId="17" applyNumberFormat="1" applyFont="1" applyFill="1" applyBorder="1"/>
    <xf numFmtId="43" fontId="5" fillId="0" borderId="0" xfId="1" applyFont="1" applyFill="1" applyBorder="1" applyAlignment="1">
      <alignment horizontal="left"/>
    </xf>
    <xf numFmtId="37" fontId="5" fillId="0" borderId="70" xfId="1" applyNumberFormat="1" applyFont="1" applyFill="1" applyBorder="1"/>
    <xf numFmtId="10" fontId="5" fillId="0" borderId="7" xfId="17" applyNumberFormat="1" applyFont="1" applyFill="1" applyBorder="1"/>
    <xf numFmtId="10" fontId="5" fillId="0" borderId="4" xfId="17" applyNumberFormat="1" applyFont="1" applyFill="1" applyBorder="1"/>
    <xf numFmtId="37" fontId="5" fillId="0" borderId="65" xfId="1" applyNumberFormat="1" applyFont="1" applyFill="1" applyBorder="1"/>
    <xf numFmtId="43" fontId="6" fillId="0" borderId="0" xfId="0" applyNumberFormat="1" applyFont="1" applyFill="1" applyBorder="1" applyAlignment="1">
      <alignment horizontal="left"/>
    </xf>
    <xf numFmtId="165" fontId="5" fillId="0" borderId="0" xfId="17" applyNumberFormat="1" applyFont="1" applyFill="1" applyBorder="1"/>
    <xf numFmtId="0" fontId="5" fillId="0" borderId="0" xfId="17" applyNumberFormat="1" applyFont="1" applyFill="1" applyBorder="1"/>
    <xf numFmtId="43" fontId="6" fillId="0" borderId="0" xfId="1" applyNumberFormat="1" applyFont="1" applyFill="1" applyBorder="1" applyAlignment="1">
      <alignment horizontal="center"/>
    </xf>
    <xf numFmtId="164" fontId="5" fillId="0" borderId="17" xfId="1" applyNumberFormat="1" applyFont="1" applyFill="1" applyBorder="1"/>
    <xf numFmtId="164" fontId="5" fillId="0" borderId="24" xfId="1" applyNumberFormat="1" applyFont="1" applyFill="1" applyBorder="1"/>
    <xf numFmtId="164" fontId="5" fillId="0" borderId="0" xfId="80" applyNumberFormat="1" applyFont="1" applyFill="1"/>
    <xf numFmtId="0" fontId="5" fillId="0" borderId="63" xfId="0" applyFont="1" applyFill="1" applyBorder="1"/>
    <xf numFmtId="0" fontId="5" fillId="0" borderId="20" xfId="0" applyFont="1" applyFill="1" applyBorder="1"/>
    <xf numFmtId="37" fontId="5" fillId="0" borderId="69" xfId="0" applyNumberFormat="1" applyFont="1" applyFill="1" applyBorder="1" applyProtection="1"/>
    <xf numFmtId="0" fontId="34" fillId="0" borderId="0" xfId="0" applyFont="1" applyFill="1" applyAlignment="1">
      <alignment horizontal="centerContinuous"/>
    </xf>
    <xf numFmtId="37" fontId="52" fillId="0" borderId="0" xfId="0" applyNumberFormat="1" applyFont="1" applyFill="1" applyBorder="1" applyProtection="1"/>
    <xf numFmtId="43" fontId="5" fillId="0" borderId="0" xfId="0" applyNumberFormat="1" applyFont="1" applyFill="1" applyAlignment="1">
      <alignment horizontal="left"/>
    </xf>
    <xf numFmtId="43" fontId="5" fillId="0" borderId="73" xfId="0" applyNumberFormat="1" applyFont="1" applyFill="1" applyBorder="1"/>
    <xf numFmtId="43" fontId="5" fillId="0" borderId="72" xfId="0" applyNumberFormat="1" applyFont="1" applyFill="1" applyBorder="1"/>
    <xf numFmtId="0" fontId="5" fillId="0" borderId="64" xfId="0" applyFont="1" applyFill="1" applyBorder="1"/>
    <xf numFmtId="0" fontId="50" fillId="0" borderId="0" xfId="0" applyFont="1" applyFill="1"/>
    <xf numFmtId="0" fontId="51" fillId="0" borderId="0" xfId="0" applyFont="1" applyFill="1"/>
    <xf numFmtId="0" fontId="50" fillId="0" borderId="0" xfId="0" applyFont="1" applyFill="1" applyAlignment="1">
      <alignment horizontal="center"/>
    </xf>
    <xf numFmtId="0" fontId="5" fillId="0" borderId="58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28" xfId="0" quotePrefix="1" applyFont="1" applyFill="1" applyBorder="1" applyAlignment="1">
      <alignment horizontal="center" vertical="top" wrapText="1"/>
    </xf>
    <xf numFmtId="0" fontId="5" fillId="0" borderId="28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wrapText="1"/>
    </xf>
    <xf numFmtId="164" fontId="6" fillId="0" borderId="0" xfId="66" applyNumberFormat="1" applyFont="1" applyFill="1" applyAlignment="1"/>
    <xf numFmtId="164" fontId="6" fillId="0" borderId="0" xfId="66" applyNumberFormat="1" applyFont="1" applyFill="1"/>
    <xf numFmtId="37" fontId="5" fillId="0" borderId="0" xfId="66" applyNumberFormat="1" applyFont="1" applyFill="1" applyAlignment="1"/>
    <xf numFmtId="37" fontId="5" fillId="0" borderId="0" xfId="66" applyNumberFormat="1" applyFont="1" applyFill="1" applyAlignment="1">
      <alignment horizontal="left"/>
    </xf>
    <xf numFmtId="14" fontId="5" fillId="0" borderId="0" xfId="0" applyNumberFormat="1" applyFont="1" applyFill="1" applyAlignment="1">
      <alignment horizontal="left"/>
    </xf>
    <xf numFmtId="37" fontId="5" fillId="0" borderId="0" xfId="66" applyNumberFormat="1" applyFont="1" applyFill="1"/>
    <xf numFmtId="49" fontId="5" fillId="0" borderId="0" xfId="66" applyNumberFormat="1" applyFont="1" applyFill="1" applyAlignment="1">
      <alignment horizontal="center"/>
    </xf>
    <xf numFmtId="164" fontId="5" fillId="0" borderId="0" xfId="66" applyNumberFormat="1" applyFont="1" applyFill="1" applyAlignment="1">
      <alignment horizontal="center"/>
    </xf>
    <xf numFmtId="0" fontId="5" fillId="0" borderId="21" xfId="0" applyFont="1" applyFill="1" applyBorder="1"/>
    <xf numFmtId="49" fontId="6" fillId="0" borderId="0" xfId="66" applyNumberFormat="1" applyFont="1" applyFill="1" applyAlignment="1">
      <alignment wrapText="1"/>
    </xf>
    <xf numFmtId="164" fontId="6" fillId="0" borderId="0" xfId="66" applyNumberFormat="1" applyFont="1" applyFill="1" applyAlignment="1">
      <alignment wrapText="1"/>
    </xf>
    <xf numFmtId="164" fontId="6" fillId="0" borderId="1" xfId="66" applyNumberFormat="1" applyFont="1" applyFill="1" applyBorder="1"/>
    <xf numFmtId="0" fontId="5" fillId="0" borderId="1" xfId="0" applyFont="1" applyFill="1" applyBorder="1"/>
    <xf numFmtId="0" fontId="5" fillId="0" borderId="25" xfId="0" applyFont="1" applyFill="1" applyBorder="1"/>
    <xf numFmtId="0" fontId="5" fillId="0" borderId="3" xfId="0" applyFont="1" applyFill="1" applyBorder="1"/>
    <xf numFmtId="0" fontId="5" fillId="0" borderId="3" xfId="0" applyFont="1" applyFill="1" applyBorder="1" applyAlignment="1">
      <alignment horizontal="center" wrapText="1"/>
    </xf>
    <xf numFmtId="0" fontId="5" fillId="0" borderId="17" xfId="0" applyFont="1" applyFill="1" applyBorder="1" applyAlignment="1">
      <alignment horizontal="center" wrapText="1"/>
    </xf>
    <xf numFmtId="164" fontId="5" fillId="0" borderId="28" xfId="66" applyNumberFormat="1" applyFont="1" applyFill="1" applyBorder="1" applyProtection="1"/>
    <xf numFmtId="0" fontId="5" fillId="0" borderId="17" xfId="0" applyFont="1" applyFill="1" applyBorder="1"/>
    <xf numFmtId="0" fontId="5" fillId="0" borderId="15" xfId="0" applyFont="1" applyFill="1" applyBorder="1"/>
    <xf numFmtId="49" fontId="5" fillId="0" borderId="0" xfId="66" applyNumberFormat="1" applyFont="1" applyFill="1"/>
    <xf numFmtId="164" fontId="5" fillId="0" borderId="0" xfId="0" applyNumberFormat="1" applyFont="1" applyFill="1" applyBorder="1"/>
    <xf numFmtId="164" fontId="5" fillId="0" borderId="15" xfId="0" applyNumberFormat="1" applyFont="1" applyFill="1" applyBorder="1"/>
    <xf numFmtId="0" fontId="6" fillId="0" borderId="16" xfId="0" applyFont="1" applyFill="1" applyBorder="1"/>
    <xf numFmtId="164" fontId="5" fillId="0" borderId="1" xfId="0" applyNumberFormat="1" applyFont="1" applyFill="1" applyBorder="1"/>
    <xf numFmtId="164" fontId="5" fillId="0" borderId="24" xfId="0" applyNumberFormat="1" applyFont="1" applyFill="1" applyBorder="1"/>
    <xf numFmtId="164" fontId="5" fillId="0" borderId="48" xfId="66" applyNumberFormat="1" applyFont="1" applyFill="1" applyBorder="1" applyProtection="1"/>
    <xf numFmtId="164" fontId="6" fillId="0" borderId="0" xfId="0" applyNumberFormat="1" applyFont="1" applyFill="1" applyBorder="1"/>
    <xf numFmtId="164" fontId="6" fillId="0" borderId="15" xfId="0" applyNumberFormat="1" applyFont="1" applyFill="1" applyBorder="1"/>
    <xf numFmtId="0" fontId="5" fillId="0" borderId="24" xfId="0" applyFont="1" applyFill="1" applyBorder="1"/>
    <xf numFmtId="0" fontId="6" fillId="0" borderId="16" xfId="0" applyFont="1" applyFill="1" applyBorder="1" applyAlignment="1">
      <alignment horizontal="center"/>
    </xf>
    <xf numFmtId="164" fontId="6" fillId="0" borderId="1" xfId="0" applyNumberFormat="1" applyFont="1" applyFill="1" applyBorder="1"/>
    <xf numFmtId="164" fontId="6" fillId="0" borderId="24" xfId="0" applyNumberFormat="1" applyFont="1" applyFill="1" applyBorder="1"/>
    <xf numFmtId="0" fontId="6" fillId="0" borderId="30" xfId="0" applyFont="1" applyFill="1" applyBorder="1" applyAlignment="1">
      <alignment horizontal="center" wrapText="1"/>
    </xf>
    <xf numFmtId="164" fontId="6" fillId="0" borderId="2" xfId="66" applyNumberFormat="1" applyFont="1" applyFill="1" applyBorder="1" applyAlignment="1">
      <alignment horizontal="center" wrapText="1"/>
    </xf>
    <xf numFmtId="0" fontId="6" fillId="0" borderId="15" xfId="0" applyFont="1" applyFill="1" applyBorder="1"/>
    <xf numFmtId="164" fontId="6" fillId="0" borderId="13" xfId="66" applyNumberFormat="1" applyFont="1" applyFill="1" applyBorder="1"/>
    <xf numFmtId="0" fontId="6" fillId="0" borderId="24" xfId="0" applyFont="1" applyFill="1" applyBorder="1"/>
    <xf numFmtId="164" fontId="6" fillId="0" borderId="33" xfId="66" applyNumberFormat="1" applyFont="1" applyFill="1" applyBorder="1"/>
    <xf numFmtId="164" fontId="6" fillId="0" borderId="33" xfId="66" applyNumberFormat="1" applyFont="1" applyFill="1" applyBorder="1" applyAlignment="1">
      <alignment horizontal="center"/>
    </xf>
    <xf numFmtId="164" fontId="6" fillId="0" borderId="0" xfId="66" applyNumberFormat="1" applyFont="1" applyFill="1" applyBorder="1"/>
    <xf numFmtId="164" fontId="6" fillId="0" borderId="25" xfId="1" applyNumberFormat="1" applyFont="1" applyFill="1" applyBorder="1" applyAlignment="1">
      <alignment horizontal="left"/>
    </xf>
    <xf numFmtId="164" fontId="6" fillId="0" borderId="14" xfId="1" applyNumberFormat="1" applyFont="1" applyFill="1" applyBorder="1" applyAlignment="1">
      <alignment horizontal="left"/>
    </xf>
    <xf numFmtId="10" fontId="5" fillId="0" borderId="15" xfId="17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horizontal="center"/>
    </xf>
    <xf numFmtId="0" fontId="5" fillId="0" borderId="14" xfId="0" applyFont="1" applyFill="1" applyBorder="1"/>
    <xf numFmtId="0" fontId="6" fillId="0" borderId="65" xfId="0" applyFont="1" applyFill="1" applyBorder="1" applyAlignment="1">
      <alignment horizontal="center"/>
    </xf>
    <xf numFmtId="10" fontId="5" fillId="0" borderId="70" xfId="17" applyNumberFormat="1" applyFont="1" applyFill="1" applyBorder="1" applyAlignment="1">
      <alignment horizontal="center"/>
    </xf>
    <xf numFmtId="10" fontId="5" fillId="0" borderId="75" xfId="17" applyNumberFormat="1" applyFont="1" applyFill="1" applyBorder="1" applyAlignment="1">
      <alignment horizontal="center"/>
    </xf>
    <xf numFmtId="0" fontId="5" fillId="0" borderId="16" xfId="0" applyFont="1" applyFill="1" applyBorder="1"/>
    <xf numFmtId="0" fontId="5" fillId="0" borderId="65" xfId="0" quotePrefix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10" fontId="5" fillId="0" borderId="70" xfId="17" applyNumberFormat="1" applyFont="1" applyFill="1" applyBorder="1" applyAlignment="1">
      <alignment horizontal="right"/>
    </xf>
    <xf numFmtId="10" fontId="5" fillId="0" borderId="0" xfId="17" applyNumberFormat="1" applyFont="1" applyFill="1" applyAlignment="1">
      <alignment horizontal="right"/>
    </xf>
    <xf numFmtId="43" fontId="6" fillId="0" borderId="0" xfId="1" quotePrefix="1" applyNumberFormat="1" applyFont="1" applyFill="1" applyBorder="1" applyAlignment="1">
      <alignment horizontal="center"/>
    </xf>
    <xf numFmtId="43" fontId="6" fillId="0" borderId="65" xfId="1" quotePrefix="1" applyNumberFormat="1" applyFont="1" applyFill="1" applyBorder="1" applyAlignment="1">
      <alignment horizontal="left"/>
    </xf>
    <xf numFmtId="183" fontId="6" fillId="0" borderId="65" xfId="1" quotePrefix="1" applyNumberFormat="1" applyFont="1" applyFill="1" applyBorder="1" applyAlignment="1">
      <alignment horizontal="center"/>
    </xf>
    <xf numFmtId="43" fontId="5" fillId="0" borderId="0" xfId="1" applyNumberFormat="1" applyFont="1" applyFill="1" applyAlignment="1">
      <alignment horizontal="left"/>
    </xf>
    <xf numFmtId="43" fontId="5" fillId="0" borderId="0" xfId="1" quotePrefix="1" applyNumberFormat="1" applyFont="1" applyFill="1" applyAlignment="1">
      <alignment horizontal="left"/>
    </xf>
    <xf numFmtId="164" fontId="6" fillId="0" borderId="70" xfId="1" applyNumberFormat="1" applyFont="1" applyFill="1" applyBorder="1" applyAlignment="1">
      <alignment horizontal="left" indent="1"/>
    </xf>
    <xf numFmtId="164" fontId="6" fillId="0" borderId="0" xfId="1" applyNumberFormat="1" applyFont="1" applyFill="1" applyBorder="1" applyAlignment="1">
      <alignment horizontal="left" indent="1"/>
    </xf>
    <xf numFmtId="10" fontId="14" fillId="0" borderId="0" xfId="17" applyNumberFormat="1" applyFont="1" applyFill="1" applyBorder="1" applyAlignment="1">
      <alignment horizontal="right"/>
    </xf>
    <xf numFmtId="43" fontId="6" fillId="0" borderId="65" xfId="1" applyNumberFormat="1" applyFont="1" applyFill="1" applyBorder="1"/>
    <xf numFmtId="0" fontId="5" fillId="0" borderId="0" xfId="0" quotePrefix="1" applyFont="1" applyFill="1" applyAlignment="1">
      <alignment horizontal="center"/>
    </xf>
    <xf numFmtId="43" fontId="5" fillId="0" borderId="4" xfId="1" applyNumberFormat="1" applyFont="1" applyFill="1" applyBorder="1"/>
    <xf numFmtId="9" fontId="5" fillId="0" borderId="0" xfId="17" applyFont="1" applyFill="1"/>
    <xf numFmtId="39" fontId="5" fillId="0" borderId="0" xfId="0" applyNumberFormat="1" applyFont="1" applyFill="1"/>
    <xf numFmtId="0" fontId="7" fillId="0" borderId="0" xfId="0" applyFont="1" applyFill="1" applyAlignment="1">
      <alignment vertical="top" indent="1"/>
    </xf>
    <xf numFmtId="37" fontId="5" fillId="0" borderId="0" xfId="1" quotePrefix="1" applyNumberFormat="1" applyFont="1" applyFill="1" applyAlignment="1">
      <alignment horizontal="center"/>
    </xf>
    <xf numFmtId="0" fontId="56" fillId="0" borderId="0" xfId="0" applyFont="1" applyFill="1"/>
    <xf numFmtId="166" fontId="5" fillId="0" borderId="0" xfId="1" applyNumberFormat="1" applyFont="1" applyFill="1"/>
    <xf numFmtId="168" fontId="5" fillId="0" borderId="0" xfId="17" applyNumberFormat="1" applyFont="1" applyFill="1" applyBorder="1" applyAlignment="1">
      <alignment horizontal="center"/>
    </xf>
    <xf numFmtId="168" fontId="5" fillId="0" borderId="0" xfId="17" quotePrefix="1" applyNumberFormat="1" applyFont="1" applyFill="1" applyBorder="1" applyAlignment="1">
      <alignment horizontal="center"/>
    </xf>
    <xf numFmtId="164" fontId="5" fillId="0" borderId="15" xfId="1" applyNumberFormat="1" applyFont="1" applyFill="1" applyBorder="1" applyAlignment="1">
      <alignment horizontal="center"/>
    </xf>
    <xf numFmtId="172" fontId="5" fillId="0" borderId="15" xfId="1" applyNumberFormat="1" applyFont="1" applyFill="1" applyBorder="1"/>
    <xf numFmtId="164" fontId="5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left"/>
    </xf>
    <xf numFmtId="168" fontId="5" fillId="0" borderId="1" xfId="17" applyNumberFormat="1" applyFont="1" applyFill="1" applyBorder="1" applyAlignment="1">
      <alignment horizontal="center"/>
    </xf>
    <xf numFmtId="0" fontId="5" fillId="0" borderId="0" xfId="0" applyFont="1" applyFill="1" applyProtection="1"/>
    <xf numFmtId="0" fontId="5" fillId="0" borderId="0" xfId="0" quotePrefix="1" applyFont="1" applyFill="1" applyAlignment="1" applyProtection="1">
      <alignment horizontal="left"/>
    </xf>
    <xf numFmtId="37" fontId="5" fillId="0" borderId="7" xfId="1" quotePrefix="1" applyNumberFormat="1" applyFont="1" applyFill="1" applyBorder="1" applyAlignment="1">
      <alignment horizontal="center"/>
    </xf>
    <xf numFmtId="37" fontId="5" fillId="0" borderId="1" xfId="1" applyNumberFormat="1" applyFont="1" applyFill="1" applyBorder="1" applyAlignment="1">
      <alignment horizontal="center"/>
    </xf>
    <xf numFmtId="37" fontId="5" fillId="0" borderId="23" xfId="1" applyNumberFormat="1" applyFont="1" applyFill="1" applyBorder="1"/>
    <xf numFmtId="37" fontId="5" fillId="0" borderId="21" xfId="1" applyNumberFormat="1" applyFont="1" applyFill="1" applyBorder="1"/>
    <xf numFmtId="169" fontId="5" fillId="0" borderId="0" xfId="0" applyNumberFormat="1" applyFont="1" applyFill="1"/>
    <xf numFmtId="37" fontId="5" fillId="0" borderId="3" xfId="1" applyNumberFormat="1" applyFont="1" applyFill="1" applyBorder="1" applyAlignment="1">
      <alignment horizontal="center"/>
    </xf>
    <xf numFmtId="170" fontId="5" fillId="0" borderId="15" xfId="1" applyNumberFormat="1" applyFont="1" applyFill="1" applyBorder="1"/>
    <xf numFmtId="170" fontId="5" fillId="0" borderId="0" xfId="1" applyNumberFormat="1" applyFont="1" applyFill="1" applyBorder="1" applyAlignment="1">
      <alignment horizontal="center"/>
    </xf>
    <xf numFmtId="49" fontId="5" fillId="0" borderId="0" xfId="0" applyNumberFormat="1" applyFont="1" applyFill="1" applyBorder="1"/>
    <xf numFmtId="37" fontId="5" fillId="0" borderId="20" xfId="1" applyNumberFormat="1" applyFont="1" applyFill="1" applyBorder="1"/>
    <xf numFmtId="37" fontId="5" fillId="0" borderId="0" xfId="1" applyNumberFormat="1" applyFont="1" applyFill="1" applyBorder="1" applyAlignment="1">
      <alignment horizontal="left"/>
    </xf>
    <xf numFmtId="0" fontId="5" fillId="0" borderId="66" xfId="0" applyFont="1" applyFill="1" applyBorder="1"/>
    <xf numFmtId="164" fontId="5" fillId="0" borderId="20" xfId="1" applyNumberFormat="1" applyFont="1" applyFill="1" applyBorder="1" applyAlignment="1">
      <alignment horizontal="center"/>
    </xf>
    <xf numFmtId="164" fontId="5" fillId="0" borderId="11" xfId="0" applyNumberFormat="1" applyFont="1" applyFill="1" applyBorder="1"/>
    <xf numFmtId="0" fontId="5" fillId="0" borderId="4" xfId="0" applyFont="1" applyFill="1" applyBorder="1"/>
    <xf numFmtId="37" fontId="5" fillId="0" borderId="0" xfId="1" applyNumberFormat="1" applyFont="1" applyFill="1" applyAlignment="1"/>
    <xf numFmtId="0" fontId="5" fillId="0" borderId="0" xfId="0" applyNumberFormat="1" applyFont="1" applyFill="1" applyAlignment="1">
      <alignment horizontal="center" wrapText="1"/>
    </xf>
    <xf numFmtId="37" fontId="5" fillId="0" borderId="0" xfId="1" applyNumberFormat="1" applyFont="1" applyFill="1" applyAlignment="1">
      <alignment wrapText="1"/>
    </xf>
    <xf numFmtId="0" fontId="5" fillId="0" borderId="15" xfId="0" applyFont="1" applyFill="1" applyBorder="1" applyAlignment="1">
      <alignment wrapText="1"/>
    </xf>
    <xf numFmtId="17" fontId="5" fillId="0" borderId="0" xfId="0" applyNumberFormat="1" applyFont="1" applyFill="1" applyAlignment="1">
      <alignment horizontal="center"/>
    </xf>
    <xf numFmtId="164" fontId="7" fillId="0" borderId="0" xfId="1" applyNumberFormat="1" applyFont="1" applyFill="1"/>
    <xf numFmtId="0" fontId="7" fillId="0" borderId="0" xfId="0" applyFont="1" applyFill="1" applyAlignment="1">
      <alignment horizontal="right"/>
    </xf>
    <xf numFmtId="37" fontId="5" fillId="0" borderId="0" xfId="0" applyNumberFormat="1" applyFont="1" applyFill="1" applyAlignment="1">
      <alignment horizontal="right"/>
    </xf>
    <xf numFmtId="164" fontId="5" fillId="0" borderId="21" xfId="1" applyNumberFormat="1" applyFont="1" applyFill="1" applyBorder="1"/>
    <xf numFmtId="43" fontId="5" fillId="0" borderId="0" xfId="0" applyNumberFormat="1" applyFont="1" applyFill="1" applyAlignment="1">
      <alignment horizontal="right"/>
    </xf>
    <xf numFmtId="43" fontId="58" fillId="0" borderId="0" xfId="1" applyNumberFormat="1" applyFont="1" applyFill="1" applyBorder="1" applyAlignment="1">
      <alignment horizontal="left"/>
    </xf>
    <xf numFmtId="184" fontId="5" fillId="0" borderId="0" xfId="0" applyNumberFormat="1" applyFont="1" applyFill="1"/>
    <xf numFmtId="164" fontId="58" fillId="0" borderId="0" xfId="0" applyNumberFormat="1" applyFont="1" applyFill="1"/>
    <xf numFmtId="164" fontId="58" fillId="0" borderId="0" xfId="1" applyNumberFormat="1" applyFont="1" applyFill="1" applyBorder="1" applyAlignment="1">
      <alignment horizontal="left"/>
    </xf>
    <xf numFmtId="164" fontId="58" fillId="0" borderId="0" xfId="1" applyNumberFormat="1" applyFont="1" applyFill="1" applyBorder="1"/>
    <xf numFmtId="0" fontId="58" fillId="0" borderId="0" xfId="0" applyFont="1" applyFill="1"/>
    <xf numFmtId="164" fontId="5" fillId="0" borderId="67" xfId="1" applyNumberFormat="1" applyFont="1" applyFill="1" applyBorder="1"/>
    <xf numFmtId="164" fontId="5" fillId="0" borderId="0" xfId="17" applyNumberFormat="1" applyFont="1" applyFill="1" applyBorder="1"/>
    <xf numFmtId="183" fontId="5" fillId="0" borderId="0" xfId="0" applyNumberFormat="1" applyFont="1" applyFill="1"/>
    <xf numFmtId="0" fontId="5" fillId="0" borderId="1" xfId="0" quotePrefix="1" applyFont="1" applyFill="1" applyBorder="1" applyAlignment="1">
      <alignment horizontal="center"/>
    </xf>
    <xf numFmtId="37" fontId="5" fillId="0" borderId="7" xfId="0" applyNumberFormat="1" applyFont="1" applyFill="1" applyBorder="1" applyAlignment="1">
      <alignment horizontal="right"/>
    </xf>
    <xf numFmtId="164" fontId="5" fillId="0" borderId="0" xfId="1" applyNumberFormat="1" applyFont="1" applyFill="1" applyProtection="1"/>
    <xf numFmtId="0" fontId="5" fillId="0" borderId="25" xfId="0" applyFont="1" applyFill="1" applyBorder="1" applyAlignment="1">
      <alignment horizontal="left"/>
    </xf>
    <xf numFmtId="39" fontId="5" fillId="0" borderId="3" xfId="0" applyNumberFormat="1" applyFont="1" applyFill="1" applyBorder="1" applyProtection="1"/>
    <xf numFmtId="39" fontId="5" fillId="0" borderId="3" xfId="0" applyNumberFormat="1" applyFont="1" applyFill="1" applyBorder="1" applyAlignment="1" applyProtection="1">
      <alignment horizontal="center"/>
    </xf>
    <xf numFmtId="0" fontId="5" fillId="0" borderId="14" xfId="0" applyFont="1" applyFill="1" applyBorder="1" applyAlignment="1">
      <alignment horizontal="left"/>
    </xf>
    <xf numFmtId="164" fontId="5" fillId="0" borderId="0" xfId="1" quotePrefix="1" applyNumberFormat="1" applyFont="1" applyFill="1" applyBorder="1"/>
    <xf numFmtId="0" fontId="5" fillId="0" borderId="16" xfId="0" applyFont="1" applyFill="1" applyBorder="1" applyAlignment="1">
      <alignment horizontal="left"/>
    </xf>
    <xf numFmtId="43" fontId="5" fillId="0" borderId="1" xfId="1" applyFont="1" applyFill="1" applyBorder="1"/>
    <xf numFmtId="5" fontId="6" fillId="0" borderId="0" xfId="0" quotePrefix="1" applyNumberFormat="1" applyFont="1" applyFill="1" applyAlignment="1">
      <alignment horizontal="right"/>
    </xf>
    <xf numFmtId="5" fontId="6" fillId="0" borderId="1" xfId="0" quotePrefix="1" applyNumberFormat="1" applyFont="1" applyFill="1" applyBorder="1" applyAlignment="1">
      <alignment horizontal="right"/>
    </xf>
    <xf numFmtId="37" fontId="5" fillId="0" borderId="66" xfId="0" applyNumberFormat="1" applyFont="1" applyFill="1" applyBorder="1"/>
    <xf numFmtId="164" fontId="5" fillId="0" borderId="66" xfId="0" applyNumberFormat="1" applyFont="1" applyFill="1" applyBorder="1"/>
    <xf numFmtId="164" fontId="5" fillId="0" borderId="0" xfId="1" applyNumberFormat="1" applyFont="1" applyFill="1" applyBorder="1" applyProtection="1">
      <protection locked="0"/>
    </xf>
    <xf numFmtId="165" fontId="5" fillId="0" borderId="0" xfId="17" applyNumberFormat="1" applyFont="1" applyFill="1" applyBorder="1" applyProtection="1">
      <protection locked="0"/>
    </xf>
    <xf numFmtId="164" fontId="57" fillId="0" borderId="0" xfId="0" applyNumberFormat="1" applyFont="1" applyFill="1" applyProtection="1">
      <protection locked="0"/>
    </xf>
    <xf numFmtId="37" fontId="5" fillId="0" borderId="19" xfId="1" applyNumberFormat="1" applyFont="1" applyFill="1" applyBorder="1"/>
    <xf numFmtId="37" fontId="5" fillId="0" borderId="0" xfId="17" applyNumberFormat="1" applyFont="1" applyFill="1"/>
    <xf numFmtId="37" fontId="5" fillId="0" borderId="17" xfId="0" applyNumberFormat="1" applyFont="1" applyFill="1" applyBorder="1"/>
    <xf numFmtId="37" fontId="5" fillId="0" borderId="3" xfId="0" quotePrefix="1" applyNumberFormat="1" applyFont="1" applyFill="1" applyBorder="1" applyAlignment="1">
      <alignment horizontal="left"/>
    </xf>
    <xf numFmtId="37" fontId="5" fillId="0" borderId="3" xfId="0" applyNumberFormat="1" applyFont="1" applyFill="1" applyBorder="1" applyAlignment="1">
      <alignment horizontal="right"/>
    </xf>
    <xf numFmtId="10" fontId="5" fillId="0" borderId="3" xfId="0" applyNumberFormat="1" applyFont="1" applyFill="1" applyBorder="1" applyAlignment="1">
      <alignment horizontal="right"/>
    </xf>
    <xf numFmtId="10" fontId="5" fillId="0" borderId="0" xfId="0" applyNumberFormat="1" applyFont="1" applyFill="1" applyBorder="1" applyAlignment="1">
      <alignment horizontal="right"/>
    </xf>
    <xf numFmtId="9" fontId="5" fillId="0" borderId="0" xfId="0" applyNumberFormat="1" applyFont="1" applyFill="1" applyBorder="1"/>
    <xf numFmtId="174" fontId="5" fillId="0" borderId="15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37" fontId="5" fillId="0" borderId="0" xfId="0" quotePrefix="1" applyNumberFormat="1" applyFont="1" applyFill="1" applyBorder="1" applyAlignment="1">
      <alignment horizontal="left"/>
    </xf>
    <xf numFmtId="168" fontId="5" fillId="0" borderId="15" xfId="17" applyNumberFormat="1" applyFont="1" applyFill="1" applyBorder="1" applyAlignment="1" applyProtection="1">
      <alignment horizontal="center"/>
      <protection locked="0"/>
    </xf>
    <xf numFmtId="170" fontId="5" fillId="0" borderId="0" xfId="0" applyNumberFormat="1" applyFont="1" applyFill="1" applyBorder="1"/>
    <xf numFmtId="167" fontId="5" fillId="0" borderId="0" xfId="0" applyNumberFormat="1" applyFont="1" applyFill="1"/>
    <xf numFmtId="5" fontId="5" fillId="0" borderId="15" xfId="0" applyNumberFormat="1" applyFont="1" applyFill="1" applyBorder="1" applyAlignment="1">
      <alignment horizontal="center"/>
    </xf>
    <xf numFmtId="168" fontId="5" fillId="0" borderId="7" xfId="0" quotePrefix="1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68" fontId="5" fillId="0" borderId="0" xfId="17" applyNumberFormat="1" applyFont="1" applyFill="1"/>
    <xf numFmtId="168" fontId="5" fillId="0" borderId="0" xfId="0" quotePrefix="1" applyNumberFormat="1" applyFont="1" applyFill="1" applyBorder="1" applyAlignment="1">
      <alignment horizontal="left"/>
    </xf>
    <xf numFmtId="174" fontId="5" fillId="0" borderId="0" xfId="0" applyNumberFormat="1" applyFont="1" applyFill="1" applyBorder="1"/>
    <xf numFmtId="10" fontId="5" fillId="0" borderId="15" xfId="0" applyNumberFormat="1" applyFont="1" applyFill="1" applyBorder="1"/>
    <xf numFmtId="170" fontId="5" fillId="0" borderId="15" xfId="0" applyNumberFormat="1" applyFont="1" applyFill="1" applyBorder="1"/>
    <xf numFmtId="178" fontId="5" fillId="0" borderId="0" xfId="0" applyNumberFormat="1" applyFont="1" applyFill="1"/>
    <xf numFmtId="3" fontId="5" fillId="0" borderId="15" xfId="0" applyNumberFormat="1" applyFont="1" applyFill="1" applyBorder="1"/>
    <xf numFmtId="0" fontId="9" fillId="0" borderId="14" xfId="0" applyFont="1" applyFill="1" applyBorder="1" applyAlignment="1">
      <alignment horizontal="left"/>
    </xf>
    <xf numFmtId="37" fontId="5" fillId="0" borderId="14" xfId="0" applyNumberFormat="1" applyFont="1" applyFill="1" applyBorder="1" applyAlignment="1">
      <alignment horizontal="left"/>
    </xf>
    <xf numFmtId="174" fontId="5" fillId="0" borderId="15" xfId="0" applyNumberFormat="1" applyFont="1" applyFill="1" applyBorder="1"/>
    <xf numFmtId="37" fontId="5" fillId="0" borderId="27" xfId="0" applyNumberFormat="1" applyFont="1" applyFill="1" applyBorder="1"/>
    <xf numFmtId="174" fontId="5" fillId="0" borderId="24" xfId="0" applyNumberFormat="1" applyFont="1" applyFill="1" applyBorder="1"/>
    <xf numFmtId="174" fontId="5" fillId="0" borderId="0" xfId="0" applyNumberFormat="1" applyFont="1" applyFill="1"/>
    <xf numFmtId="10" fontId="5" fillId="0" borderId="41" xfId="0" applyNumberFormat="1" applyFont="1" applyFill="1" applyBorder="1"/>
    <xf numFmtId="37" fontId="5" fillId="0" borderId="43" xfId="0" applyNumberFormat="1" applyFont="1" applyFill="1" applyBorder="1"/>
    <xf numFmtId="37" fontId="5" fillId="0" borderId="32" xfId="0" applyNumberFormat="1" applyFont="1" applyFill="1" applyBorder="1"/>
    <xf numFmtId="174" fontId="5" fillId="0" borderId="42" xfId="0" applyNumberFormat="1" applyFont="1" applyFill="1" applyBorder="1"/>
    <xf numFmtId="37" fontId="5" fillId="0" borderId="44" xfId="0" applyNumberFormat="1" applyFont="1" applyFill="1" applyBorder="1"/>
    <xf numFmtId="3" fontId="5" fillId="0" borderId="3" xfId="0" applyNumberFormat="1" applyFont="1" applyFill="1" applyBorder="1"/>
    <xf numFmtId="3" fontId="5" fillId="0" borderId="17" xfId="0" applyNumberFormat="1" applyFont="1" applyFill="1" applyBorder="1"/>
    <xf numFmtId="168" fontId="5" fillId="0" borderId="15" xfId="0" applyNumberFormat="1" applyFont="1" applyFill="1" applyBorder="1"/>
    <xf numFmtId="37" fontId="5" fillId="0" borderId="24" xfId="0" applyNumberFormat="1" applyFont="1" applyFill="1" applyBorder="1"/>
    <xf numFmtId="17" fontId="5" fillId="0" borderId="0" xfId="0" applyNumberFormat="1" applyFont="1" applyFill="1" applyAlignment="1" applyProtection="1">
      <alignment horizontal="left"/>
    </xf>
    <xf numFmtId="164" fontId="5" fillId="0" borderId="0" xfId="0" quotePrefix="1" applyNumberFormat="1" applyFont="1" applyFill="1" applyAlignment="1">
      <alignment horizontal="center"/>
    </xf>
    <xf numFmtId="49" fontId="6" fillId="0" borderId="0" xfId="0" applyNumberFormat="1" applyFont="1" applyFill="1" applyAlignment="1" applyProtection="1">
      <alignment horizontal="center"/>
    </xf>
    <xf numFmtId="49" fontId="5" fillId="0" borderId="0" xfId="0" applyNumberFormat="1" applyFont="1" applyFill="1" applyProtection="1"/>
    <xf numFmtId="37" fontId="5" fillId="0" borderId="8" xfId="0" applyNumberFormat="1" applyFont="1" applyFill="1" applyBorder="1" applyAlignment="1" applyProtection="1">
      <alignment horizontal="centerContinuous"/>
    </xf>
    <xf numFmtId="37" fontId="6" fillId="0" borderId="8" xfId="0" applyNumberFormat="1" applyFont="1" applyFill="1" applyBorder="1" applyAlignment="1" applyProtection="1">
      <alignment horizontal="left"/>
    </xf>
    <xf numFmtId="37" fontId="5" fillId="0" borderId="8" xfId="0" applyNumberFormat="1" applyFont="1" applyFill="1" applyBorder="1" applyAlignment="1" applyProtection="1">
      <alignment horizontal="center"/>
    </xf>
    <xf numFmtId="37" fontId="6" fillId="0" borderId="0" xfId="0" applyNumberFormat="1" applyFont="1" applyFill="1" applyProtection="1"/>
    <xf numFmtId="10" fontId="5" fillId="0" borderId="0" xfId="0" applyNumberFormat="1" applyFont="1" applyFill="1" applyProtection="1"/>
    <xf numFmtId="37" fontId="5" fillId="0" borderId="19" xfId="0" applyNumberFormat="1" applyFont="1" applyFill="1" applyBorder="1" applyProtection="1"/>
    <xf numFmtId="37" fontId="6" fillId="0" borderId="0" xfId="0" applyNumberFormat="1" applyFont="1" applyFill="1" applyAlignment="1" applyProtection="1">
      <alignment horizontal="left"/>
    </xf>
    <xf numFmtId="37" fontId="5" fillId="0" borderId="6" xfId="0" applyNumberFormat="1" applyFont="1" applyFill="1" applyBorder="1" applyProtection="1"/>
    <xf numFmtId="37" fontId="6" fillId="0" borderId="0" xfId="0" quotePrefix="1" applyNumberFormat="1" applyFont="1" applyFill="1" applyAlignment="1" applyProtection="1">
      <alignment horizontal="left"/>
    </xf>
    <xf numFmtId="37" fontId="5" fillId="0" borderId="10" xfId="0" applyNumberFormat="1" applyFont="1" applyFill="1" applyBorder="1" applyAlignment="1" applyProtection="1">
      <alignment horizontal="center"/>
    </xf>
    <xf numFmtId="37" fontId="5" fillId="0" borderId="10" xfId="0" applyNumberFormat="1" applyFont="1" applyFill="1" applyBorder="1" applyProtection="1"/>
    <xf numFmtId="37" fontId="5" fillId="0" borderId="0" xfId="0" applyNumberFormat="1" applyFont="1" applyFill="1" applyAlignment="1" applyProtection="1">
      <alignment horizontal="left"/>
    </xf>
    <xf numFmtId="5" fontId="5" fillId="0" borderId="19" xfId="1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center" wrapText="1"/>
    </xf>
    <xf numFmtId="0" fontId="6" fillId="0" borderId="0" xfId="0" applyNumberFormat="1" applyFont="1" applyFill="1" applyAlignment="1">
      <alignment horizontal="center" wrapText="1"/>
    </xf>
    <xf numFmtId="5" fontId="5" fillId="0" borderId="0" xfId="0" applyNumberFormat="1" applyFont="1" applyFill="1" applyAlignment="1">
      <alignment horizontal="center"/>
    </xf>
    <xf numFmtId="5" fontId="5" fillId="0" borderId="1" xfId="0" applyNumberFormat="1" applyFont="1" applyFill="1" applyBorder="1" applyAlignment="1">
      <alignment horizontal="center"/>
    </xf>
    <xf numFmtId="5" fontId="6" fillId="0" borderId="0" xfId="0" applyNumberFormat="1" applyFont="1" applyFill="1" applyAlignment="1">
      <alignment horizontal="center"/>
    </xf>
    <xf numFmtId="5" fontId="6" fillId="0" borderId="1" xfId="0" applyNumberFormat="1" applyFont="1" applyFill="1" applyBorder="1" applyAlignment="1">
      <alignment horizontal="center"/>
    </xf>
    <xf numFmtId="5" fontId="17" fillId="0" borderId="0" xfId="0" applyNumberFormat="1" applyFont="1" applyFill="1" applyBorder="1" applyAlignment="1">
      <alignment horizontal="left"/>
    </xf>
    <xf numFmtId="5" fontId="6" fillId="0" borderId="0" xfId="0" applyNumberFormat="1" applyFont="1" applyFill="1"/>
    <xf numFmtId="0" fontId="5" fillId="0" borderId="0" xfId="20" applyNumberFormat="1" applyFont="1" applyFill="1" applyAlignment="1">
      <alignment horizontal="right"/>
    </xf>
    <xf numFmtId="164" fontId="5" fillId="0" borderId="18" xfId="1" applyNumberFormat="1" applyFont="1" applyFill="1" applyBorder="1"/>
    <xf numFmtId="164" fontId="6" fillId="0" borderId="4" xfId="1" applyNumberFormat="1" applyFont="1" applyFill="1" applyBorder="1"/>
    <xf numFmtId="164" fontId="6" fillId="0" borderId="0" xfId="1" quotePrefix="1" applyNumberFormat="1" applyFont="1" applyFill="1"/>
    <xf numFmtId="164" fontId="6" fillId="0" borderId="1" xfId="1" quotePrefix="1" applyNumberFormat="1" applyFont="1" applyFill="1" applyBorder="1"/>
    <xf numFmtId="164" fontId="6" fillId="0" borderId="0" xfId="1" quotePrefix="1" applyNumberFormat="1" applyFont="1" applyFill="1" applyBorder="1"/>
    <xf numFmtId="5" fontId="6" fillId="0" borderId="0" xfId="0" applyNumberFormat="1" applyFont="1" applyFill="1" applyBorder="1"/>
    <xf numFmtId="0" fontId="5" fillId="0" borderId="5" xfId="0" applyNumberFormat="1" applyFont="1" applyFill="1" applyBorder="1"/>
    <xf numFmtId="0" fontId="5" fillId="0" borderId="0" xfId="0" quotePrefix="1" applyFont="1" applyFill="1" applyAlignment="1">
      <alignment horizontal="right"/>
    </xf>
    <xf numFmtId="37" fontId="5" fillId="0" borderId="0" xfId="0" quotePrefix="1" applyNumberFormat="1" applyFont="1" applyFill="1"/>
    <xf numFmtId="7" fontId="6" fillId="0" borderId="0" xfId="0" applyNumberFormat="1" applyFont="1" applyFill="1" applyBorder="1"/>
    <xf numFmtId="37" fontId="5" fillId="0" borderId="0" xfId="0" quotePrefix="1" applyNumberFormat="1" applyFont="1" applyFill="1" applyBorder="1" applyAlignment="1"/>
    <xf numFmtId="182" fontId="5" fillId="0" borderId="0" xfId="17" quotePrefix="1" applyNumberFormat="1" applyFont="1" applyFill="1" applyBorder="1" applyAlignment="1">
      <alignment horizontal="center"/>
    </xf>
    <xf numFmtId="37" fontId="5" fillId="0" borderId="1" xfId="0" quotePrefix="1" applyNumberFormat="1" applyFont="1" applyFill="1" applyBorder="1" applyAlignment="1"/>
    <xf numFmtId="5" fontId="6" fillId="0" borderId="1" xfId="0" applyNumberFormat="1" applyFont="1" applyFill="1" applyBorder="1"/>
    <xf numFmtId="37" fontId="5" fillId="0" borderId="0" xfId="0" quotePrefix="1" applyNumberFormat="1" applyFont="1" applyFill="1" applyAlignment="1">
      <alignment horizontal="center"/>
    </xf>
    <xf numFmtId="0" fontId="6" fillId="0" borderId="15" xfId="0" applyNumberFormat="1" applyFont="1" applyFill="1" applyBorder="1" applyAlignment="1">
      <alignment horizontal="center"/>
    </xf>
    <xf numFmtId="10" fontId="5" fillId="0" borderId="0" xfId="0" applyNumberFormat="1" applyFont="1" applyFill="1" applyAlignment="1">
      <alignment horizontal="right"/>
    </xf>
    <xf numFmtId="37" fontId="5" fillId="0" borderId="0" xfId="0" applyNumberFormat="1" applyFont="1" applyFill="1" applyAlignment="1" applyProtection="1">
      <alignment horizontal="centerContinuous"/>
    </xf>
    <xf numFmtId="0" fontId="5" fillId="0" borderId="0" xfId="0" applyFont="1" applyFill="1" applyBorder="1" applyAlignment="1">
      <alignment horizontal="center" wrapText="1"/>
    </xf>
    <xf numFmtId="49" fontId="6" fillId="0" borderId="0" xfId="1" applyNumberFormat="1" applyFont="1" applyFill="1" applyBorder="1" applyAlignment="1">
      <alignment horizontal="center" wrapText="1"/>
    </xf>
    <xf numFmtId="0" fontId="5" fillId="0" borderId="0" xfId="1" applyNumberFormat="1" applyFont="1" applyFill="1" applyBorder="1" applyAlignment="1">
      <alignment horizontal="center" wrapText="1"/>
    </xf>
    <xf numFmtId="0" fontId="5" fillId="0" borderId="1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0" fontId="6" fillId="0" borderId="0" xfId="0" applyFont="1" applyFill="1" applyBorder="1" applyProtection="1"/>
    <xf numFmtId="0" fontId="5" fillId="0" borderId="0" xfId="0" applyFont="1" applyFill="1" applyAlignment="1" applyProtection="1">
      <alignment horizontal="centerContinuous"/>
    </xf>
    <xf numFmtId="37" fontId="10" fillId="0" borderId="0" xfId="1" applyNumberFormat="1" applyFont="1" applyFill="1"/>
    <xf numFmtId="0" fontId="5" fillId="0" borderId="0" xfId="0" applyFont="1" applyFill="1" applyBorder="1" applyAlignment="1" applyProtection="1">
      <alignment horizontal="centerContinuous"/>
    </xf>
    <xf numFmtId="37" fontId="6" fillId="0" borderId="0" xfId="0" applyNumberFormat="1" applyFont="1" applyFill="1" applyBorder="1" applyProtection="1"/>
    <xf numFmtId="164" fontId="5" fillId="0" borderId="28" xfId="66" applyNumberFormat="1" applyFont="1" applyFill="1" applyBorder="1" applyAlignment="1" applyProtection="1">
      <alignment horizontal="center"/>
    </xf>
    <xf numFmtId="183" fontId="5" fillId="0" borderId="29" xfId="66" applyNumberFormat="1" applyFont="1" applyFill="1" applyBorder="1" applyAlignment="1" applyProtection="1">
      <alignment horizontal="center"/>
    </xf>
    <xf numFmtId="183" fontId="5" fillId="0" borderId="28" xfId="66" applyNumberFormat="1" applyFont="1" applyFill="1" applyBorder="1" applyAlignment="1" applyProtection="1">
      <alignment horizontal="center"/>
    </xf>
    <xf numFmtId="37" fontId="6" fillId="0" borderId="14" xfId="0" applyNumberFormat="1" applyFont="1" applyFill="1" applyBorder="1" applyProtection="1"/>
    <xf numFmtId="164" fontId="5" fillId="0" borderId="28" xfId="1" applyNumberFormat="1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left"/>
    </xf>
    <xf numFmtId="183" fontId="5" fillId="0" borderId="29" xfId="1" applyNumberFormat="1" applyFont="1" applyFill="1" applyBorder="1" applyAlignment="1" applyProtection="1">
      <alignment horizontal="center"/>
    </xf>
    <xf numFmtId="183" fontId="5" fillId="0" borderId="28" xfId="1" applyNumberFormat="1" applyFont="1" applyFill="1" applyBorder="1" applyAlignment="1" applyProtection="1">
      <alignment horizontal="center"/>
    </xf>
    <xf numFmtId="37" fontId="5" fillId="0" borderId="0" xfId="80" applyNumberFormat="1" applyFont="1" applyFill="1" applyAlignment="1"/>
    <xf numFmtId="37" fontId="5" fillId="0" borderId="0" xfId="80" applyNumberFormat="1" applyFont="1" applyFill="1" applyAlignment="1">
      <alignment horizontal="left"/>
    </xf>
    <xf numFmtId="37" fontId="5" fillId="0" borderId="0" xfId="80" applyNumberFormat="1" applyFont="1" applyFill="1"/>
    <xf numFmtId="164" fontId="5" fillId="0" borderId="28" xfId="80" applyNumberFormat="1" applyFont="1" applyFill="1" applyBorder="1" applyAlignment="1" applyProtection="1">
      <alignment horizontal="center"/>
    </xf>
    <xf numFmtId="183" fontId="5" fillId="0" borderId="29" xfId="80" applyNumberFormat="1" applyFont="1" applyFill="1" applyBorder="1" applyAlignment="1" applyProtection="1">
      <alignment horizontal="center"/>
    </xf>
    <xf numFmtId="183" fontId="5" fillId="0" borderId="28" xfId="80" applyNumberFormat="1" applyFont="1" applyFill="1" applyBorder="1" applyAlignment="1" applyProtection="1">
      <alignment horizontal="center"/>
    </xf>
    <xf numFmtId="49" fontId="5" fillId="0" borderId="0" xfId="80" applyNumberFormat="1" applyFont="1" applyFill="1"/>
    <xf numFmtId="37" fontId="5" fillId="0" borderId="4" xfId="0" applyNumberFormat="1" applyFont="1" applyFill="1" applyBorder="1"/>
    <xf numFmtId="0" fontId="5" fillId="0" borderId="25" xfId="0" quotePrefix="1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/>
    </xf>
    <xf numFmtId="0" fontId="5" fillId="0" borderId="14" xfId="0" quotePrefix="1" applyFont="1" applyFill="1" applyBorder="1" applyAlignment="1">
      <alignment horizontal="left"/>
    </xf>
    <xf numFmtId="49" fontId="5" fillId="0" borderId="14" xfId="1" quotePrefix="1" applyNumberFormat="1" applyFont="1" applyFill="1" applyBorder="1" applyAlignment="1">
      <alignment horizontal="left"/>
    </xf>
    <xf numFmtId="164" fontId="5" fillId="0" borderId="14" xfId="1" quotePrefix="1" applyNumberFormat="1" applyFont="1" applyFill="1" applyBorder="1" applyAlignment="1">
      <alignment horizontal="left"/>
    </xf>
    <xf numFmtId="10" fontId="6" fillId="0" borderId="0" xfId="17" applyNumberFormat="1" applyFont="1" applyFill="1" applyBorder="1"/>
    <xf numFmtId="10" fontId="6" fillId="0" borderId="15" xfId="17" applyNumberFormat="1" applyFont="1" applyFill="1" applyBorder="1"/>
    <xf numFmtId="49" fontId="5" fillId="0" borderId="14" xfId="1" applyNumberFormat="1" applyFont="1" applyFill="1" applyBorder="1" applyAlignment="1">
      <alignment horizontal="left"/>
    </xf>
    <xf numFmtId="0" fontId="5" fillId="0" borderId="14" xfId="1" applyNumberFormat="1" applyFont="1" applyFill="1" applyBorder="1" applyAlignment="1">
      <alignment horizontal="center"/>
    </xf>
    <xf numFmtId="167" fontId="5" fillId="0" borderId="0" xfId="17" applyNumberFormat="1" applyFont="1" applyFill="1" applyBorder="1" applyAlignment="1">
      <alignment horizontal="center"/>
    </xf>
    <xf numFmtId="3" fontId="5" fillId="0" borderId="4" xfId="0" applyNumberFormat="1" applyFont="1" applyFill="1" applyBorder="1"/>
    <xf numFmtId="0" fontId="6" fillId="0" borderId="14" xfId="0" applyNumberFormat="1" applyFont="1" applyFill="1" applyBorder="1" applyAlignment="1">
      <alignment horizontal="center"/>
    </xf>
    <xf numFmtId="0" fontId="6" fillId="0" borderId="13" xfId="0" applyNumberFormat="1" applyFont="1" applyFill="1" applyBorder="1" applyAlignment="1">
      <alignment horizontal="center"/>
    </xf>
    <xf numFmtId="10" fontId="6" fillId="0" borderId="14" xfId="0" applyNumberFormat="1" applyFont="1" applyFill="1" applyBorder="1" applyAlignment="1">
      <alignment horizontal="center"/>
    </xf>
    <xf numFmtId="10" fontId="6" fillId="0" borderId="12" xfId="0" applyNumberFormat="1" applyFont="1" applyFill="1" applyBorder="1" applyAlignment="1">
      <alignment horizontal="center"/>
    </xf>
    <xf numFmtId="10" fontId="6" fillId="0" borderId="17" xfId="0" applyNumberFormat="1" applyFont="1" applyFill="1" applyBorder="1" applyAlignment="1">
      <alignment horizontal="center"/>
    </xf>
    <xf numFmtId="10" fontId="6" fillId="0" borderId="15" xfId="0" applyNumberFormat="1" applyFont="1" applyFill="1" applyBorder="1" applyAlignment="1">
      <alignment horizontal="center"/>
    </xf>
    <xf numFmtId="0" fontId="6" fillId="0" borderId="5" xfId="0" applyNumberFormat="1" applyFont="1" applyFill="1" applyBorder="1"/>
    <xf numFmtId="37" fontId="6" fillId="0" borderId="5" xfId="0" applyNumberFormat="1" applyFont="1" applyFill="1" applyBorder="1" applyAlignment="1">
      <alignment horizontal="centerContinuous"/>
    </xf>
    <xf numFmtId="37" fontId="6" fillId="0" borderId="5" xfId="0" applyNumberFormat="1" applyFont="1" applyFill="1" applyBorder="1" applyAlignment="1">
      <alignment horizontal="left"/>
    </xf>
    <xf numFmtId="37" fontId="6" fillId="0" borderId="5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centerContinuous"/>
    </xf>
    <xf numFmtId="10" fontId="5" fillId="0" borderId="6" xfId="0" applyNumberFormat="1" applyFont="1" applyFill="1" applyBorder="1"/>
    <xf numFmtId="10" fontId="5" fillId="0" borderId="16" xfId="0" applyNumberFormat="1" applyFont="1" applyFill="1" applyBorder="1" applyAlignment="1">
      <alignment horizontal="center"/>
    </xf>
    <xf numFmtId="10" fontId="5" fillId="0" borderId="33" xfId="0" applyNumberFormat="1" applyFont="1" applyFill="1" applyBorder="1" applyAlignment="1">
      <alignment horizontal="center"/>
    </xf>
    <xf numFmtId="10" fontId="5" fillId="0" borderId="24" xfId="0" applyNumberFormat="1" applyFont="1" applyFill="1" applyBorder="1" applyAlignment="1">
      <alignment horizontal="center"/>
    </xf>
    <xf numFmtId="0" fontId="5" fillId="0" borderId="14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Alignment="1">
      <alignment horizontal="center"/>
    </xf>
    <xf numFmtId="186" fontId="5" fillId="0" borderId="0" xfId="0" applyNumberFormat="1" applyFont="1" applyFill="1"/>
    <xf numFmtId="10" fontId="5" fillId="0" borderId="11" xfId="0" applyNumberFormat="1" applyFont="1" applyFill="1" applyBorder="1" applyAlignment="1">
      <alignment horizontal="right"/>
    </xf>
    <xf numFmtId="10" fontId="5" fillId="0" borderId="4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43" fontId="5" fillId="0" borderId="1" xfId="1" applyNumberFormat="1" applyFont="1" applyFill="1" applyBorder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0" fontId="5" fillId="0" borderId="65" xfId="0" applyFont="1" applyBorder="1"/>
    <xf numFmtId="164" fontId="57" fillId="4" borderId="79" xfId="1" applyNumberFormat="1" applyFont="1" applyFill="1" applyBorder="1"/>
    <xf numFmtId="0" fontId="5" fillId="0" borderId="0" xfId="0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</xf>
    <xf numFmtId="0" fontId="5" fillId="0" borderId="22" xfId="0" applyFont="1" applyFill="1" applyBorder="1"/>
    <xf numFmtId="173" fontId="5" fillId="0" borderId="28" xfId="0" applyNumberFormat="1" applyFont="1" applyFill="1" applyBorder="1" applyAlignment="1" applyProtection="1">
      <alignment horizontal="center"/>
    </xf>
    <xf numFmtId="0" fontId="6" fillId="0" borderId="40" xfId="0" applyFont="1" applyFill="1" applyBorder="1" applyAlignment="1" applyProtection="1">
      <alignment horizontal="centerContinuous"/>
    </xf>
    <xf numFmtId="0" fontId="5" fillId="0" borderId="40" xfId="0" applyFont="1" applyFill="1" applyBorder="1" applyAlignment="1" applyProtection="1">
      <alignment horizontal="centerContinuous"/>
    </xf>
    <xf numFmtId="0" fontId="5" fillId="0" borderId="35" xfId="0" applyFont="1" applyFill="1" applyBorder="1" applyProtection="1"/>
    <xf numFmtId="164" fontId="5" fillId="0" borderId="34" xfId="1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164" fontId="5" fillId="0" borderId="36" xfId="1" applyNumberFormat="1" applyFont="1" applyFill="1" applyBorder="1" applyProtection="1"/>
    <xf numFmtId="164" fontId="5" fillId="0" borderId="28" xfId="1" quotePrefix="1" applyNumberFormat="1" applyFont="1" applyFill="1" applyBorder="1" applyAlignment="1" applyProtection="1">
      <alignment horizontal="right"/>
    </xf>
    <xf numFmtId="164" fontId="5" fillId="0" borderId="37" xfId="1" applyNumberFormat="1" applyFont="1" applyFill="1" applyBorder="1" applyProtection="1"/>
    <xf numFmtId="164" fontId="5" fillId="0" borderId="38" xfId="1" applyNumberFormat="1" applyFont="1" applyFill="1" applyBorder="1" applyProtection="1"/>
    <xf numFmtId="178" fontId="5" fillId="0" borderId="0" xfId="1" applyNumberFormat="1" applyFont="1" applyFill="1" applyBorder="1"/>
    <xf numFmtId="0" fontId="5" fillId="0" borderId="1" xfId="0" quotePrefix="1" applyFont="1" applyFill="1" applyBorder="1" applyAlignment="1">
      <alignment horizontal="left"/>
    </xf>
    <xf numFmtId="10" fontId="5" fillId="0" borderId="15" xfId="17" applyNumberFormat="1" applyFont="1" applyFill="1" applyBorder="1"/>
    <xf numFmtId="172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left"/>
    </xf>
    <xf numFmtId="0" fontId="5" fillId="0" borderId="0" xfId="0" applyFont="1" applyFill="1" applyBorder="1" applyAlignment="1">
      <alignment horizontal="center"/>
    </xf>
    <xf numFmtId="43" fontId="5" fillId="0" borderId="0" xfId="1" applyFont="1"/>
    <xf numFmtId="37" fontId="5" fillId="0" borderId="78" xfId="0" applyNumberFormat="1" applyFont="1" applyFill="1" applyBorder="1"/>
    <xf numFmtId="37" fontId="5" fillId="0" borderId="0" xfId="0" applyNumberFormat="1" applyFont="1"/>
    <xf numFmtId="0" fontId="6" fillId="0" borderId="0" xfId="0" applyFont="1"/>
    <xf numFmtId="43" fontId="0" fillId="0" borderId="0" xfId="1" applyFont="1" applyFill="1"/>
    <xf numFmtId="164" fontId="0" fillId="0" borderId="0" xfId="1" applyNumberFormat="1" applyFont="1"/>
    <xf numFmtId="172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left"/>
    </xf>
    <xf numFmtId="172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left"/>
    </xf>
    <xf numFmtId="175" fontId="5" fillId="0" borderId="15" xfId="1" applyNumberFormat="1" applyFont="1" applyFill="1" applyBorder="1"/>
    <xf numFmtId="168" fontId="5" fillId="0" borderId="15" xfId="17" applyNumberFormat="1" applyFont="1" applyFill="1" applyBorder="1"/>
    <xf numFmtId="43" fontId="5" fillId="0" borderId="0" xfId="0" applyNumberFormat="1" applyFont="1"/>
    <xf numFmtId="10" fontId="5" fillId="0" borderId="0" xfId="17" applyNumberFormat="1" applyFont="1"/>
    <xf numFmtId="164" fontId="5" fillId="0" borderId="0" xfId="0" applyNumberFormat="1" applyFont="1"/>
    <xf numFmtId="6" fontId="59" fillId="0" borderId="0" xfId="0" applyNumberFormat="1" applyFont="1"/>
    <xf numFmtId="3" fontId="0" fillId="0" borderId="0" xfId="0" applyNumberFormat="1"/>
    <xf numFmtId="165" fontId="0" fillId="0" borderId="0" xfId="0" applyNumberFormat="1" applyFill="1"/>
    <xf numFmtId="43" fontId="0" fillId="0" borderId="0" xfId="0" applyNumberFormat="1"/>
    <xf numFmtId="49" fontId="5" fillId="0" borderId="0" xfId="80" applyNumberFormat="1" applyFont="1" applyFill="1" applyAlignment="1">
      <alignment horizontal="left"/>
    </xf>
    <xf numFmtId="164" fontId="0" fillId="0" borderId="0" xfId="80" applyNumberFormat="1" applyFont="1" applyFill="1"/>
    <xf numFmtId="0" fontId="5" fillId="0" borderId="0" xfId="1" quotePrefix="1" applyNumberFormat="1" applyFont="1" applyFill="1"/>
    <xf numFmtId="0" fontId="0" fillId="0" borderId="0" xfId="1" applyNumberFormat="1" applyFont="1" applyFill="1"/>
    <xf numFmtId="0" fontId="5" fillId="0" borderId="0" xfId="0" applyFont="1" applyFill="1" applyAlignment="1">
      <alignment horizontal="center"/>
    </xf>
    <xf numFmtId="37" fontId="6" fillId="0" borderId="0" xfId="1" applyNumberFormat="1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37" fontId="5" fillId="8" borderId="0" xfId="1" applyNumberFormat="1" applyFont="1" applyFill="1" applyBorder="1"/>
    <xf numFmtId="37" fontId="5" fillId="8" borderId="0" xfId="1" applyNumberFormat="1" applyFont="1" applyFill="1" applyBorder="1" applyAlignment="1">
      <alignment horizontal="center"/>
    </xf>
    <xf numFmtId="37" fontId="6" fillId="8" borderId="0" xfId="1" applyNumberFormat="1" applyFont="1" applyFill="1" applyBorder="1" applyAlignment="1">
      <alignment horizontal="center"/>
    </xf>
    <xf numFmtId="17" fontId="14" fillId="8" borderId="0" xfId="0" applyNumberFormat="1" applyFont="1" applyFill="1" applyAlignment="1">
      <alignment horizontal="center"/>
    </xf>
    <xf numFmtId="43" fontId="6" fillId="8" borderId="0" xfId="1" applyNumberFormat="1" applyFont="1" applyFill="1" applyBorder="1" applyAlignment="1">
      <alignment horizontal="center"/>
    </xf>
    <xf numFmtId="43" fontId="5" fillId="8" borderId="0" xfId="1" applyNumberFormat="1" applyFont="1" applyFill="1" applyBorder="1"/>
    <xf numFmtId="0" fontId="5" fillId="8" borderId="0" xfId="0" applyFont="1" applyFill="1"/>
    <xf numFmtId="0" fontId="6" fillId="8" borderId="11" xfId="0" applyFont="1" applyFill="1" applyBorder="1" applyAlignment="1">
      <alignment horizontal="center"/>
    </xf>
    <xf numFmtId="37" fontId="5" fillId="8" borderId="0" xfId="0" applyNumberFormat="1" applyFont="1" applyFill="1" applyBorder="1" applyAlignment="1">
      <alignment horizontal="center"/>
    </xf>
    <xf numFmtId="10" fontId="5" fillId="8" borderId="0" xfId="17" applyNumberFormat="1" applyFont="1" applyFill="1"/>
    <xf numFmtId="0" fontId="6" fillId="8" borderId="0" xfId="0" applyFont="1" applyFill="1" applyBorder="1" applyAlignment="1">
      <alignment horizontal="center"/>
    </xf>
    <xf numFmtId="37" fontId="5" fillId="8" borderId="11" xfId="1" applyNumberFormat="1" applyFont="1" applyFill="1" applyBorder="1"/>
    <xf numFmtId="37" fontId="5" fillId="8" borderId="0" xfId="0" applyNumberFormat="1" applyFont="1" applyFill="1" applyBorder="1"/>
    <xf numFmtId="0" fontId="5" fillId="8" borderId="77" xfId="123" applyFont="1" applyFill="1"/>
    <xf numFmtId="164" fontId="5" fillId="8" borderId="77" xfId="123" applyNumberFormat="1" applyFont="1" applyFill="1"/>
    <xf numFmtId="10" fontId="5" fillId="8" borderId="77" xfId="123" applyNumberFormat="1" applyFont="1" applyFill="1"/>
    <xf numFmtId="37" fontId="5" fillId="8" borderId="0" xfId="0" applyNumberFormat="1" applyFont="1" applyFill="1"/>
    <xf numFmtId="164" fontId="5" fillId="8" borderId="21" xfId="1" applyNumberFormat="1" applyFont="1" applyFill="1" applyBorder="1"/>
    <xf numFmtId="164" fontId="5" fillId="8" borderId="0" xfId="1" applyNumberFormat="1" applyFont="1" applyFill="1" applyBorder="1"/>
    <xf numFmtId="37" fontId="5" fillId="8" borderId="7" xfId="1" applyNumberFormat="1" applyFont="1" applyFill="1" applyBorder="1"/>
    <xf numFmtId="37" fontId="5" fillId="8" borderId="4" xfId="1" applyNumberFormat="1" applyFont="1" applyFill="1" applyBorder="1"/>
    <xf numFmtId="164" fontId="5" fillId="8" borderId="4" xfId="1" applyNumberFormat="1" applyFont="1" applyFill="1" applyBorder="1"/>
    <xf numFmtId="164" fontId="5" fillId="8" borderId="0" xfId="1" applyNumberFormat="1" applyFont="1" applyFill="1"/>
    <xf numFmtId="0" fontId="7" fillId="6" borderId="0" xfId="0" applyFont="1" applyFill="1" applyAlignment="1">
      <alignment horizontal="center"/>
    </xf>
    <xf numFmtId="37" fontId="5" fillId="6" borderId="0" xfId="1" applyNumberFormat="1" applyFont="1" applyFill="1" applyBorder="1"/>
    <xf numFmtId="37" fontId="6" fillId="6" borderId="0" xfId="1" applyNumberFormat="1" applyFont="1" applyFill="1" applyBorder="1" applyAlignment="1">
      <alignment horizontal="center"/>
    </xf>
    <xf numFmtId="17" fontId="14" fillId="6" borderId="0" xfId="0" applyNumberFormat="1" applyFont="1" applyFill="1" applyAlignment="1"/>
    <xf numFmtId="43" fontId="6" fillId="6" borderId="0" xfId="1" applyNumberFormat="1" applyFont="1" applyFill="1" applyBorder="1"/>
    <xf numFmtId="43" fontId="5" fillId="6" borderId="0" xfId="1" applyNumberFormat="1" applyFont="1" applyFill="1" applyBorder="1"/>
    <xf numFmtId="0" fontId="6" fillId="6" borderId="11" xfId="0" applyFont="1" applyFill="1" applyBorder="1" applyAlignment="1">
      <alignment horizontal="center"/>
    </xf>
    <xf numFmtId="0" fontId="5" fillId="6" borderId="0" xfId="0" applyFont="1" applyFill="1"/>
    <xf numFmtId="0" fontId="6" fillId="6" borderId="0" xfId="0" applyFont="1" applyFill="1" applyBorder="1" applyAlignment="1">
      <alignment horizontal="center"/>
    </xf>
    <xf numFmtId="37" fontId="5" fillId="6" borderId="0" xfId="0" applyNumberFormat="1" applyFont="1" applyFill="1"/>
    <xf numFmtId="164" fontId="5" fillId="6" borderId="0" xfId="0" applyNumberFormat="1" applyFont="1" applyFill="1"/>
    <xf numFmtId="164" fontId="5" fillId="6" borderId="0" xfId="1" applyNumberFormat="1" applyFont="1" applyFill="1" applyBorder="1"/>
    <xf numFmtId="37" fontId="5" fillId="6" borderId="7" xfId="1" applyNumberFormat="1" applyFont="1" applyFill="1" applyBorder="1"/>
    <xf numFmtId="37" fontId="5" fillId="6" borderId="4" xfId="1" applyNumberFormat="1" applyFont="1" applyFill="1" applyBorder="1"/>
    <xf numFmtId="37" fontId="5" fillId="6" borderId="11" xfId="1" applyNumberFormat="1" applyFont="1" applyFill="1" applyBorder="1"/>
    <xf numFmtId="37" fontId="5" fillId="6" borderId="77" xfId="123" applyNumberFormat="1" applyFont="1" applyFill="1"/>
    <xf numFmtId="164" fontId="5" fillId="6" borderId="4" xfId="1" applyNumberFormat="1" applyFont="1" applyFill="1" applyBorder="1"/>
    <xf numFmtId="164" fontId="5" fillId="6" borderId="0" xfId="1" applyNumberFormat="1" applyFont="1" applyFill="1"/>
    <xf numFmtId="0" fontId="7" fillId="7" borderId="0" xfId="0" applyFont="1" applyFill="1" applyAlignment="1">
      <alignment horizontal="center"/>
    </xf>
    <xf numFmtId="37" fontId="5" fillId="7" borderId="0" xfId="1" applyNumberFormat="1" applyFont="1" applyFill="1" applyBorder="1"/>
    <xf numFmtId="37" fontId="6" fillId="7" borderId="0" xfId="1" applyNumberFormat="1" applyFont="1" applyFill="1" applyBorder="1" applyAlignment="1">
      <alignment horizontal="center"/>
    </xf>
    <xf numFmtId="17" fontId="14" fillId="7" borderId="0" xfId="0" applyNumberFormat="1" applyFont="1" applyFill="1" applyAlignment="1"/>
    <xf numFmtId="43" fontId="6" fillId="7" borderId="0" xfId="1" applyNumberFormat="1" applyFont="1" applyFill="1" applyBorder="1"/>
    <xf numFmtId="43" fontId="5" fillId="7" borderId="0" xfId="1" applyNumberFormat="1" applyFont="1" applyFill="1" applyBorder="1"/>
    <xf numFmtId="0" fontId="6" fillId="7" borderId="11" xfId="0" applyFont="1" applyFill="1" applyBorder="1" applyAlignment="1">
      <alignment horizontal="center"/>
    </xf>
    <xf numFmtId="0" fontId="5" fillId="7" borderId="0" xfId="0" applyFont="1" applyFill="1"/>
    <xf numFmtId="0" fontId="6" fillId="7" borderId="0" xfId="0" applyFont="1" applyFill="1" applyBorder="1" applyAlignment="1">
      <alignment horizontal="center"/>
    </xf>
    <xf numFmtId="43" fontId="5" fillId="7" borderId="0" xfId="1" applyFont="1" applyFill="1"/>
    <xf numFmtId="43" fontId="5" fillId="7" borderId="0" xfId="0" applyNumberFormat="1" applyFont="1" applyFill="1"/>
    <xf numFmtId="10" fontId="5" fillId="7" borderId="0" xfId="17" applyNumberFormat="1" applyFont="1" applyFill="1" applyBorder="1"/>
    <xf numFmtId="10" fontId="5" fillId="7" borderId="0" xfId="0" applyNumberFormat="1" applyFont="1" applyFill="1"/>
    <xf numFmtId="164" fontId="5" fillId="7" borderId="0" xfId="0" applyNumberFormat="1" applyFont="1" applyFill="1"/>
    <xf numFmtId="37" fontId="5" fillId="7" borderId="0" xfId="0" applyNumberFormat="1" applyFont="1" applyFill="1"/>
    <xf numFmtId="39" fontId="5" fillId="7" borderId="0" xfId="1" applyNumberFormat="1" applyFont="1" applyFill="1" applyBorder="1"/>
    <xf numFmtId="164" fontId="5" fillId="7" borderId="0" xfId="1" applyNumberFormat="1" applyFont="1" applyFill="1" applyBorder="1"/>
    <xf numFmtId="37" fontId="5" fillId="7" borderId="7" xfId="1" applyNumberFormat="1" applyFont="1" applyFill="1" applyBorder="1"/>
    <xf numFmtId="164" fontId="5" fillId="7" borderId="25" xfId="1" applyNumberFormat="1" applyFont="1" applyFill="1" applyBorder="1"/>
    <xf numFmtId="37" fontId="5" fillId="7" borderId="4" xfId="1" applyNumberFormat="1" applyFont="1" applyFill="1" applyBorder="1"/>
    <xf numFmtId="37" fontId="5" fillId="7" borderId="11" xfId="1" applyNumberFormat="1" applyFont="1" applyFill="1" applyBorder="1"/>
    <xf numFmtId="164" fontId="5" fillId="7" borderId="4" xfId="1" applyNumberFormat="1" applyFont="1" applyFill="1" applyBorder="1"/>
    <xf numFmtId="164" fontId="5" fillId="7" borderId="0" xfId="1" applyNumberFormat="1" applyFont="1" applyFill="1"/>
    <xf numFmtId="37" fontId="5" fillId="6" borderId="70" xfId="1" applyNumberFormat="1" applyFont="1" applyFill="1" applyBorder="1"/>
    <xf numFmtId="164" fontId="5" fillId="0" borderId="70" xfId="1" applyNumberFormat="1" applyFont="1" applyFill="1" applyBorder="1"/>
    <xf numFmtId="37" fontId="5" fillId="8" borderId="70" xfId="1" applyNumberFormat="1" applyFont="1" applyFill="1" applyBorder="1"/>
    <xf numFmtId="37" fontId="5" fillId="7" borderId="70" xfId="1" applyNumberFormat="1" applyFont="1" applyFill="1" applyBorder="1"/>
    <xf numFmtId="17" fontId="0" fillId="0" borderId="0" xfId="0" applyNumberFormat="1"/>
    <xf numFmtId="37" fontId="5" fillId="0" borderId="70" xfId="0" applyNumberFormat="1" applyFont="1" applyFill="1" applyBorder="1"/>
    <xf numFmtId="37" fontId="6" fillId="0" borderId="0" xfId="1" applyNumberFormat="1" applyFont="1" applyFill="1" applyBorder="1" applyAlignment="1">
      <alignment horizontal="right" wrapText="1"/>
    </xf>
    <xf numFmtId="17" fontId="6" fillId="0" borderId="1" xfId="1" applyNumberFormat="1" applyFont="1" applyFill="1" applyBorder="1" applyAlignment="1">
      <alignment horizontal="right"/>
    </xf>
    <xf numFmtId="37" fontId="5" fillId="0" borderId="70" xfId="0" applyNumberFormat="1" applyFont="1" applyFill="1" applyBorder="1" applyAlignment="1">
      <alignment horizontal="right"/>
    </xf>
    <xf numFmtId="37" fontId="5" fillId="0" borderId="70" xfId="1" applyNumberFormat="1" applyFont="1" applyFill="1" applyBorder="1" applyAlignment="1">
      <alignment horizontal="right"/>
    </xf>
    <xf numFmtId="37" fontId="5" fillId="3" borderId="77" xfId="123" applyNumberFormat="1" applyFont="1"/>
    <xf numFmtId="164" fontId="5" fillId="0" borderId="70" xfId="0" applyNumberFormat="1" applyFont="1" applyFill="1" applyBorder="1"/>
    <xf numFmtId="37" fontId="5" fillId="0" borderId="75" xfId="1" applyNumberFormat="1" applyFont="1" applyFill="1" applyBorder="1" applyAlignment="1"/>
    <xf numFmtId="37" fontId="5" fillId="0" borderId="19" xfId="1" applyNumberFormat="1" applyFont="1" applyFill="1" applyBorder="1" applyAlignment="1">
      <alignment horizontal="right"/>
    </xf>
    <xf numFmtId="164" fontId="5" fillId="0" borderId="70" xfId="1" applyNumberFormat="1" applyFont="1" applyFill="1" applyBorder="1" applyAlignment="1">
      <alignment horizontal="center"/>
    </xf>
    <xf numFmtId="37" fontId="5" fillId="0" borderId="70" xfId="1" applyNumberFormat="1" applyFont="1" applyFill="1" applyBorder="1" applyAlignment="1">
      <alignment horizontal="center"/>
    </xf>
    <xf numFmtId="37" fontId="0" fillId="0" borderId="0" xfId="1" applyNumberFormat="1" applyFont="1" applyFill="1"/>
    <xf numFmtId="10" fontId="0" fillId="0" borderId="0" xfId="0" applyNumberFormat="1" applyFill="1" applyBorder="1"/>
    <xf numFmtId="164" fontId="6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left"/>
    </xf>
    <xf numFmtId="37" fontId="6" fillId="0" borderId="0" xfId="1" applyNumberFormat="1" applyFont="1" applyFill="1" applyBorder="1" applyAlignment="1">
      <alignment horizontal="center"/>
    </xf>
    <xf numFmtId="37" fontId="0" fillId="0" borderId="66" xfId="1" applyNumberFormat="1" applyFont="1" applyFill="1" applyBorder="1"/>
    <xf numFmtId="37" fontId="0" fillId="0" borderId="0" xfId="1" quotePrefix="1" applyNumberFormat="1" applyFont="1" applyFill="1" applyBorder="1" applyAlignment="1">
      <alignment horizontal="center"/>
    </xf>
    <xf numFmtId="37" fontId="0" fillId="0" borderId="65" xfId="1" applyNumberFormat="1" applyFont="1" applyFill="1" applyBorder="1"/>
    <xf numFmtId="37" fontId="0" fillId="0" borderId="0" xfId="1" applyNumberFormat="1" applyFont="1" applyFill="1" applyBorder="1"/>
    <xf numFmtId="0" fontId="47" fillId="0" borderId="0" xfId="74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49" fontId="5" fillId="0" borderId="0" xfId="0" applyNumberFormat="1" applyFont="1"/>
    <xf numFmtId="49" fontId="0" fillId="0" borderId="0" xfId="0" applyNumberFormat="1"/>
    <xf numFmtId="37" fontId="0" fillId="0" borderId="0" xfId="1" applyNumberFormat="1" applyFont="1" applyFill="1" applyAlignment="1">
      <alignment horizontal="right"/>
    </xf>
    <xf numFmtId="0" fontId="18" fillId="0" borderId="82" xfId="0" applyFont="1" applyFill="1" applyBorder="1"/>
    <xf numFmtId="0" fontId="12" fillId="0" borderId="0" xfId="20" applyFont="1" applyAlignment="1"/>
    <xf numFmtId="0" fontId="0" fillId="0" borderId="0" xfId="20" applyFont="1" applyAlignment="1"/>
    <xf numFmtId="15" fontId="0" fillId="0" borderId="0" xfId="27" quotePrefix="1" applyFont="1"/>
    <xf numFmtId="4" fontId="0" fillId="0" borderId="0" xfId="34" applyFont="1"/>
    <xf numFmtId="3" fontId="0" fillId="0" borderId="0" xfId="47" applyFont="1"/>
    <xf numFmtId="0" fontId="0" fillId="0" borderId="0" xfId="0" quotePrefix="1"/>
    <xf numFmtId="43" fontId="0" fillId="0" borderId="0" xfId="1" applyFont="1"/>
    <xf numFmtId="14" fontId="0" fillId="0" borderId="0" xfId="0" applyNumberFormat="1"/>
    <xf numFmtId="1" fontId="0" fillId="0" borderId="0" xfId="0" applyNumberFormat="1"/>
    <xf numFmtId="37" fontId="0" fillId="0" borderId="0" xfId="1" quotePrefix="1" applyNumberFormat="1" applyFont="1" applyFill="1" applyAlignment="1">
      <alignment horizontal="right"/>
    </xf>
    <xf numFmtId="0" fontId="0" fillId="0" borderId="13" xfId="20" applyFont="1" applyFill="1" applyBorder="1" applyAlignment="1"/>
    <xf numFmtId="4" fontId="62" fillId="0" borderId="0" xfId="0" applyNumberFormat="1" applyFont="1" applyFill="1"/>
    <xf numFmtId="0" fontId="15" fillId="0" borderId="83" xfId="20" applyFont="1" applyFill="1" applyBorder="1" applyAlignment="1"/>
    <xf numFmtId="10" fontId="0" fillId="0" borderId="0" xfId="0" applyNumberFormat="1" applyFill="1"/>
    <xf numFmtId="0" fontId="0" fillId="0" borderId="0" xfId="0" applyFill="1" applyAlignment="1">
      <alignment horizontal="center"/>
    </xf>
    <xf numFmtId="37" fontId="0" fillId="0" borderId="0" xfId="0" quotePrefix="1" applyNumberFormat="1" applyFill="1" applyAlignment="1">
      <alignment horizontal="center" wrapText="1"/>
    </xf>
    <xf numFmtId="0" fontId="0" fillId="0" borderId="0" xfId="0" applyFill="1" applyBorder="1" applyAlignment="1">
      <alignment horizontal="center"/>
    </xf>
    <xf numFmtId="180" fontId="0" fillId="0" borderId="0" xfId="0" applyNumberFormat="1" applyFill="1"/>
    <xf numFmtId="0" fontId="6" fillId="0" borderId="84" xfId="0" quotePrefix="1" applyFont="1" applyFill="1" applyBorder="1" applyAlignment="1">
      <alignment horizontal="left"/>
    </xf>
    <xf numFmtId="49" fontId="0" fillId="0" borderId="0" xfId="0" quotePrefix="1" applyNumberFormat="1" applyFont="1"/>
    <xf numFmtId="0" fontId="0" fillId="0" borderId="14" xfId="0" applyFill="1" applyBorder="1"/>
    <xf numFmtId="10" fontId="5" fillId="9" borderId="0" xfId="17" applyNumberFormat="1" applyFont="1" applyFill="1" applyBorder="1"/>
    <xf numFmtId="10" fontId="0" fillId="9" borderId="0" xfId="17" applyNumberFormat="1" applyFont="1" applyFill="1" applyBorder="1"/>
    <xf numFmtId="5" fontId="63" fillId="0" borderId="0" xfId="0" applyNumberFormat="1" applyFont="1" applyFill="1"/>
    <xf numFmtId="0" fontId="6" fillId="0" borderId="84" xfId="0" applyFont="1" applyFill="1" applyBorder="1" applyAlignment="1">
      <alignment horizontal="left"/>
    </xf>
    <xf numFmtId="5" fontId="0" fillId="0" borderId="0" xfId="0" applyNumberFormat="1" applyFill="1"/>
    <xf numFmtId="10" fontId="0" fillId="0" borderId="0" xfId="17" quotePrefix="1" applyNumberFormat="1" applyFont="1" applyFill="1" applyBorder="1" applyAlignment="1">
      <alignment horizontal="right"/>
    </xf>
    <xf numFmtId="164" fontId="12" fillId="0" borderId="0" xfId="1" applyNumberFormat="1" applyFont="1"/>
    <xf numFmtId="10" fontId="0" fillId="9" borderId="0" xfId="0" applyNumberFormat="1" applyFill="1" applyBorder="1"/>
    <xf numFmtId="0" fontId="12" fillId="0" borderId="0" xfId="7"/>
    <xf numFmtId="4" fontId="12" fillId="0" borderId="0" xfId="34" applyFont="1"/>
    <xf numFmtId="15" fontId="12" fillId="0" borderId="0" xfId="27" quotePrefix="1" applyFont="1"/>
    <xf numFmtId="3" fontId="12" fillId="0" borderId="0" xfId="47" applyFont="1"/>
    <xf numFmtId="10" fontId="0" fillId="0" borderId="0" xfId="17" applyNumberFormat="1" applyFont="1" applyFill="1" applyBorder="1" applyAlignment="1">
      <alignment horizontal="right"/>
    </xf>
    <xf numFmtId="4" fontId="0" fillId="0" borderId="0" xfId="0" applyNumberFormat="1" applyFill="1"/>
    <xf numFmtId="0" fontId="63" fillId="0" borderId="0" xfId="0" quotePrefix="1" applyNumberFormat="1" applyFont="1" applyFill="1" applyAlignment="1">
      <alignment horizontal="center"/>
    </xf>
    <xf numFmtId="0" fontId="0" fillId="0" borderId="0" xfId="0" applyFill="1" applyAlignment="1">
      <alignment horizontal="right"/>
    </xf>
    <xf numFmtId="4" fontId="0" fillId="0" borderId="0" xfId="0" applyNumberFormat="1"/>
    <xf numFmtId="0" fontId="63" fillId="0" borderId="0" xfId="0" quotePrefix="1" applyNumberFormat="1" applyFont="1" applyFill="1" applyAlignment="1">
      <alignment horizontal="left"/>
    </xf>
    <xf numFmtId="0" fontId="60" fillId="0" borderId="0" xfId="0" applyNumberFormat="1" applyFont="1" applyFill="1"/>
    <xf numFmtId="0" fontId="60" fillId="0" borderId="0" xfId="0" applyNumberFormat="1" applyFont="1" applyFill="1" applyAlignment="1">
      <alignment horizontal="left"/>
    </xf>
    <xf numFmtId="0" fontId="0" fillId="0" borderId="0" xfId="0" applyFont="1" applyFill="1"/>
    <xf numFmtId="10" fontId="0" fillId="0" borderId="0" xfId="17" applyNumberFormat="1" applyFont="1" applyFill="1"/>
    <xf numFmtId="164" fontId="0" fillId="0" borderId="0" xfId="1" quotePrefix="1" applyNumberFormat="1" applyFont="1" applyFill="1" applyBorder="1" applyAlignment="1">
      <alignment horizontal="center"/>
    </xf>
    <xf numFmtId="0" fontId="12" fillId="0" borderId="0" xfId="7" applyFill="1"/>
    <xf numFmtId="5" fontId="60" fillId="0" borderId="0" xfId="0" applyNumberFormat="1" applyFont="1" applyFill="1" applyBorder="1"/>
    <xf numFmtId="5" fontId="60" fillId="0" borderId="0" xfId="0" applyNumberFormat="1" applyFont="1" applyFill="1"/>
    <xf numFmtId="37" fontId="0" fillId="0" borderId="19" xfId="0" applyNumberFormat="1" applyFill="1" applyBorder="1"/>
    <xf numFmtId="10" fontId="0" fillId="0" borderId="0" xfId="17" applyNumberFormat="1" applyFont="1" applyFill="1" applyBorder="1"/>
    <xf numFmtId="43" fontId="18" fillId="0" borderId="85" xfId="1" applyFont="1" applyFill="1" applyBorder="1"/>
    <xf numFmtId="43" fontId="0" fillId="0" borderId="0" xfId="0" applyNumberFormat="1" applyFill="1" applyBorder="1"/>
    <xf numFmtId="164" fontId="0" fillId="0" borderId="0" xfId="0" applyNumberFormat="1" applyFill="1" applyBorder="1"/>
    <xf numFmtId="167" fontId="0" fillId="0" borderId="0" xfId="0" applyNumberFormat="1" applyFill="1" applyBorder="1"/>
    <xf numFmtId="164" fontId="0" fillId="0" borderId="0" xfId="0" applyNumberFormat="1" applyFill="1"/>
    <xf numFmtId="43" fontId="0" fillId="0" borderId="0" xfId="1" applyFont="1" applyFill="1" applyBorder="1"/>
    <xf numFmtId="10" fontId="60" fillId="0" borderId="0" xfId="0" applyNumberFormat="1" applyFont="1" applyFill="1"/>
    <xf numFmtId="0" fontId="0" fillId="0" borderId="0" xfId="0" quotePrefix="1" applyFill="1" applyAlignment="1">
      <alignment horizontal="center"/>
    </xf>
    <xf numFmtId="0" fontId="0" fillId="0" borderId="0" xfId="0" applyFill="1" applyAlignment="1"/>
    <xf numFmtId="0" fontId="0" fillId="0" borderId="0" xfId="0" quotePrefix="1" applyFill="1" applyAlignment="1">
      <alignment horizontal="left"/>
    </xf>
    <xf numFmtId="43" fontId="0" fillId="0" borderId="0" xfId="0" applyNumberFormat="1" applyFill="1"/>
    <xf numFmtId="0" fontId="5" fillId="0" borderId="0" xfId="74" applyFill="1"/>
    <xf numFmtId="0" fontId="25" fillId="0" borderId="0" xfId="74" applyFont="1" applyFill="1" applyAlignment="1">
      <alignment horizontal="center"/>
    </xf>
    <xf numFmtId="3" fontId="0" fillId="0" borderId="0" xfId="0" applyNumberFormat="1" applyFill="1"/>
    <xf numFmtId="172" fontId="5" fillId="0" borderId="58" xfId="74" applyNumberFormat="1" applyBorder="1" applyAlignment="1">
      <alignment horizontal="center"/>
    </xf>
    <xf numFmtId="172" fontId="5" fillId="0" borderId="58" xfId="74" applyNumberFormat="1" applyFont="1" applyBorder="1" applyAlignment="1">
      <alignment horizontal="center"/>
    </xf>
    <xf numFmtId="0" fontId="5" fillId="0" borderId="0" xfId="74" applyFont="1" applyFill="1" applyAlignment="1">
      <alignment horizontal="center"/>
    </xf>
    <xf numFmtId="164" fontId="5" fillId="0" borderId="4" xfId="80" applyNumberFormat="1" applyFont="1" applyBorder="1"/>
    <xf numFmtId="0" fontId="5" fillId="0" borderId="0" xfId="74"/>
    <xf numFmtId="164" fontId="5" fillId="0" borderId="78" xfId="74" applyNumberFormat="1" applyFill="1" applyBorder="1"/>
    <xf numFmtId="0" fontId="5" fillId="0" borderId="0" xfId="0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left"/>
    </xf>
    <xf numFmtId="37" fontId="6" fillId="0" borderId="0" xfId="1" quotePrefix="1" applyNumberFormat="1" applyFont="1" applyFill="1" applyAlignment="1">
      <alignment horizontal="left"/>
    </xf>
    <xf numFmtId="17" fontId="63" fillId="0" borderId="0" xfId="0" applyNumberFormat="1" applyFont="1" applyFill="1" applyAlignment="1">
      <alignment horizontal="centerContinuous"/>
    </xf>
    <xf numFmtId="37" fontId="64" fillId="0" borderId="0" xfId="0" applyNumberFormat="1" applyFont="1" applyFill="1" applyAlignment="1">
      <alignment horizontal="right"/>
    </xf>
    <xf numFmtId="43" fontId="60" fillId="0" borderId="0" xfId="2" applyFont="1" applyFill="1"/>
    <xf numFmtId="0" fontId="60" fillId="0" borderId="0" xfId="0" applyNumberFormat="1" applyFont="1" applyFill="1" applyAlignment="1">
      <alignment horizontal="centerContinuous"/>
    </xf>
    <xf numFmtId="0" fontId="63" fillId="0" borderId="0" xfId="0" applyNumberFormat="1" applyFont="1" applyFill="1" applyAlignment="1">
      <alignment horizontal="centerContinuous"/>
    </xf>
    <xf numFmtId="0" fontId="63" fillId="0" borderId="5" xfId="0" applyNumberFormat="1" applyFont="1" applyFill="1" applyBorder="1" applyAlignment="1">
      <alignment horizontal="centerContinuous"/>
    </xf>
    <xf numFmtId="5" fontId="65" fillId="0" borderId="0" xfId="0" applyNumberFormat="1" applyFont="1" applyFill="1" applyBorder="1"/>
    <xf numFmtId="5" fontId="60" fillId="0" borderId="76" xfId="0" applyNumberFormat="1" applyFont="1" applyFill="1" applyBorder="1"/>
    <xf numFmtId="5" fontId="0" fillId="0" borderId="0" xfId="0" applyNumberFormat="1"/>
    <xf numFmtId="7" fontId="0" fillId="0" borderId="0" xfId="0" applyNumberFormat="1" applyFill="1"/>
    <xf numFmtId="0" fontId="0" fillId="0" borderId="0" xfId="0" applyNumberFormat="1" applyFill="1"/>
    <xf numFmtId="0" fontId="60" fillId="0" borderId="0" xfId="0" applyNumberFormat="1" applyFont="1" applyFill="1" applyAlignment="1">
      <alignment horizontal="center"/>
    </xf>
    <xf numFmtId="164" fontId="65" fillId="0" borderId="0" xfId="0" applyNumberFormat="1" applyFont="1" applyFill="1"/>
    <xf numFmtId="37" fontId="63" fillId="0" borderId="0" xfId="0" quotePrefix="1" applyNumberFormat="1" applyFont="1" applyFill="1" applyAlignment="1">
      <alignment horizontal="left"/>
    </xf>
    <xf numFmtId="37" fontId="60" fillId="0" borderId="0" xfId="0" applyNumberFormat="1" applyFont="1" applyFill="1"/>
    <xf numFmtId="164" fontId="65" fillId="0" borderId="0" xfId="0" applyNumberFormat="1" applyFont="1" applyFill="1" applyAlignment="1"/>
    <xf numFmtId="0" fontId="60" fillId="0" borderId="0" xfId="0" applyNumberFormat="1" applyFont="1" applyFill="1" applyBorder="1"/>
    <xf numFmtId="0" fontId="63" fillId="0" borderId="0" xfId="0" applyNumberFormat="1" applyFont="1" applyFill="1" applyBorder="1" applyAlignment="1">
      <alignment horizontal="center"/>
    </xf>
    <xf numFmtId="0" fontId="32" fillId="0" borderId="0" xfId="81"/>
    <xf numFmtId="188" fontId="32" fillId="0" borderId="0" xfId="81" applyNumberFormat="1"/>
    <xf numFmtId="14" fontId="32" fillId="0" borderId="0" xfId="81" applyNumberFormat="1"/>
    <xf numFmtId="164" fontId="60" fillId="0" borderId="0" xfId="0" applyNumberFormat="1" applyFont="1" applyFill="1" applyBorder="1"/>
    <xf numFmtId="188" fontId="0" fillId="0" borderId="0" xfId="0" applyNumberFormat="1"/>
    <xf numFmtId="0" fontId="60" fillId="0" borderId="18" xfId="0" applyNumberFormat="1" applyFont="1" applyFill="1" applyBorder="1"/>
    <xf numFmtId="5" fontId="60" fillId="0" borderId="18" xfId="0" applyNumberFormat="1" applyFont="1" applyFill="1" applyBorder="1"/>
    <xf numFmtId="0" fontId="60" fillId="0" borderId="4" xfId="0" applyNumberFormat="1" applyFont="1" applyFill="1" applyBorder="1"/>
    <xf numFmtId="5" fontId="60" fillId="0" borderId="4" xfId="0" applyNumberFormat="1" applyFont="1" applyFill="1" applyBorder="1"/>
    <xf numFmtId="5" fontId="63" fillId="0" borderId="4" xfId="0" applyNumberFormat="1" applyFont="1" applyFill="1" applyBorder="1"/>
    <xf numFmtId="0" fontId="63" fillId="0" borderId="0" xfId="0" applyNumberFormat="1" applyFont="1" applyFill="1"/>
    <xf numFmtId="0" fontId="12" fillId="0" borderId="0" xfId="20" applyFill="1" applyAlignment="1"/>
    <xf numFmtId="164" fontId="63" fillId="0" borderId="0" xfId="1" quotePrefix="1" applyNumberFormat="1" applyFont="1" applyFill="1"/>
    <xf numFmtId="164" fontId="63" fillId="0" borderId="0" xfId="0" quotePrefix="1" applyNumberFormat="1" applyFont="1" applyFill="1" applyBorder="1" applyAlignment="1">
      <alignment horizontal="center"/>
    </xf>
    <xf numFmtId="5" fontId="63" fillId="0" borderId="0" xfId="0" applyNumberFormat="1" applyFont="1" applyFill="1" applyBorder="1"/>
    <xf numFmtId="0" fontId="63" fillId="0" borderId="0" xfId="0" applyNumberFormat="1" applyFont="1" applyFill="1" applyAlignment="1">
      <alignment horizontal="left"/>
    </xf>
    <xf numFmtId="0" fontId="60" fillId="0" borderId="0" xfId="0" quotePrefix="1" applyNumberFormat="1" applyFont="1" applyFill="1" applyAlignment="1">
      <alignment horizontal="left"/>
    </xf>
    <xf numFmtId="10" fontId="60" fillId="0" borderId="5" xfId="0" applyNumberFormat="1" applyFont="1" applyFill="1" applyBorder="1"/>
    <xf numFmtId="0" fontId="60" fillId="0" borderId="5" xfId="0" applyNumberFormat="1" applyFont="1" applyFill="1" applyBorder="1"/>
    <xf numFmtId="37" fontId="63" fillId="0" borderId="0" xfId="0" applyNumberFormat="1" applyFont="1" applyFill="1" applyAlignment="1">
      <alignment horizontal="right"/>
    </xf>
    <xf numFmtId="14" fontId="63" fillId="0" borderId="0" xfId="0" applyNumberFormat="1" applyFont="1" applyFill="1" applyAlignment="1">
      <alignment horizontal="left"/>
    </xf>
    <xf numFmtId="0" fontId="63" fillId="0" borderId="14" xfId="0" applyNumberFormat="1" applyFont="1" applyFill="1" applyBorder="1" applyAlignment="1">
      <alignment horizontal="centerContinuous"/>
    </xf>
    <xf numFmtId="0" fontId="63" fillId="0" borderId="15" xfId="0" applyNumberFormat="1" applyFont="1" applyFill="1" applyBorder="1" applyAlignment="1">
      <alignment horizontal="center"/>
    </xf>
    <xf numFmtId="37" fontId="60" fillId="0" borderId="0" xfId="0" applyNumberFormat="1" applyFont="1" applyFill="1" applyBorder="1"/>
    <xf numFmtId="39" fontId="60" fillId="0" borderId="0" xfId="0" applyNumberFormat="1" applyFont="1" applyFill="1"/>
    <xf numFmtId="0" fontId="5" fillId="0" borderId="0" xfId="0" applyNumberFormat="1" applyFont="1" applyFill="1" applyAlignment="1">
      <alignment horizontal="left" vertical="top" wrapText="1"/>
    </xf>
    <xf numFmtId="0" fontId="60" fillId="0" borderId="0" xfId="0" applyNumberFormat="1" applyFont="1" applyFill="1" applyAlignment="1">
      <alignment horizontal="right"/>
    </xf>
    <xf numFmtId="0" fontId="60" fillId="0" borderId="5" xfId="0" applyNumberFormat="1" applyFont="1" applyFill="1" applyBorder="1" applyAlignment="1">
      <alignment horizontal="center"/>
    </xf>
    <xf numFmtId="0" fontId="60" fillId="0" borderId="76" xfId="0" applyNumberFormat="1" applyFont="1" applyFill="1" applyBorder="1" applyAlignment="1">
      <alignment horizontal="right"/>
    </xf>
    <xf numFmtId="10" fontId="60" fillId="0" borderId="0" xfId="0" applyNumberFormat="1" applyFont="1" applyFill="1" applyAlignment="1">
      <alignment horizontal="right"/>
    </xf>
    <xf numFmtId="172" fontId="6" fillId="0" borderId="0" xfId="1" applyNumberFormat="1" applyFont="1" applyFill="1" applyBorder="1" applyAlignment="1">
      <alignment horizontal="center"/>
    </xf>
    <xf numFmtId="37" fontId="6" fillId="0" borderId="82" xfId="1" applyNumberFormat="1" applyFont="1" applyFill="1" applyBorder="1" applyAlignment="1">
      <alignment horizontal="center" wrapText="1"/>
    </xf>
    <xf numFmtId="0" fontId="6" fillId="0" borderId="13" xfId="0" applyFont="1" applyFill="1" applyBorder="1" applyAlignment="1">
      <alignment horizontal="center" wrapText="1"/>
    </xf>
    <xf numFmtId="0" fontId="5" fillId="0" borderId="84" xfId="0" applyFont="1" applyFill="1" applyBorder="1"/>
    <xf numFmtId="164" fontId="60" fillId="0" borderId="28" xfId="1" applyNumberFormat="1" applyFont="1" applyFill="1" applyBorder="1" applyProtection="1"/>
    <xf numFmtId="164" fontId="60" fillId="0" borderId="48" xfId="1" applyNumberFormat="1" applyFont="1" applyFill="1" applyBorder="1" applyProtection="1"/>
    <xf numFmtId="43" fontId="5" fillId="10" borderId="0" xfId="0" applyNumberFormat="1" applyFont="1" applyFill="1"/>
    <xf numFmtId="43" fontId="6" fillId="0" borderId="78" xfId="82" applyNumberFormat="1" applyFont="1" applyFill="1" applyBorder="1" applyAlignment="1">
      <alignment horizontal="right"/>
    </xf>
    <xf numFmtId="43" fontId="6" fillId="0" borderId="81" xfId="82" applyNumberFormat="1" applyFont="1" applyFill="1" applyBorder="1" applyAlignment="1">
      <alignment horizontal="right"/>
    </xf>
    <xf numFmtId="0" fontId="5" fillId="10" borderId="0" xfId="0" applyFont="1" applyFill="1"/>
    <xf numFmtId="43" fontId="5" fillId="10" borderId="0" xfId="0" applyNumberFormat="1" applyFont="1" applyFill="1" applyBorder="1"/>
    <xf numFmtId="43" fontId="6" fillId="0" borderId="78" xfId="82" quotePrefix="1" applyNumberFormat="1" applyFont="1" applyFill="1" applyBorder="1" applyAlignment="1">
      <alignment horizontal="center"/>
    </xf>
    <xf numFmtId="43" fontId="6" fillId="0" borderId="81" xfId="82" quotePrefix="1" applyNumberFormat="1" applyFont="1" applyFill="1" applyBorder="1" applyAlignment="1">
      <alignment horizontal="center"/>
    </xf>
    <xf numFmtId="0" fontId="5" fillId="10" borderId="73" xfId="0" applyNumberFormat="1" applyFont="1" applyFill="1" applyBorder="1"/>
    <xf numFmtId="43" fontId="5" fillId="0" borderId="78" xfId="82" applyNumberFormat="1" applyFont="1" applyFill="1" applyBorder="1"/>
    <xf numFmtId="43" fontId="5" fillId="10" borderId="78" xfId="0" applyNumberFormat="1" applyFont="1" applyFill="1" applyBorder="1"/>
    <xf numFmtId="43" fontId="5" fillId="0" borderId="78" xfId="0" quotePrefix="1" applyNumberFormat="1" applyFont="1" applyFill="1" applyBorder="1" applyAlignment="1">
      <alignment horizontal="left"/>
    </xf>
    <xf numFmtId="43" fontId="5" fillId="0" borderId="81" xfId="0" quotePrefix="1" applyNumberFormat="1" applyFont="1" applyFill="1" applyBorder="1" applyAlignment="1">
      <alignment horizontal="left"/>
    </xf>
    <xf numFmtId="43" fontId="5" fillId="0" borderId="78" xfId="82" quotePrefix="1" applyNumberFormat="1" applyFont="1" applyFill="1" applyBorder="1" applyAlignment="1">
      <alignment horizontal="left"/>
    </xf>
    <xf numFmtId="43" fontId="5" fillId="0" borderId="81" xfId="82" quotePrefix="1" applyNumberFormat="1" applyFont="1" applyFill="1" applyBorder="1" applyAlignment="1">
      <alignment horizontal="left"/>
    </xf>
    <xf numFmtId="43" fontId="5" fillId="0" borderId="81" xfId="82" applyNumberFormat="1" applyFont="1" applyFill="1" applyBorder="1"/>
    <xf numFmtId="0" fontId="5" fillId="10" borderId="78" xfId="0" applyNumberFormat="1" applyFont="1" applyFill="1" applyBorder="1"/>
    <xf numFmtId="164" fontId="5" fillId="0" borderId="90" xfId="1" applyNumberFormat="1" applyFont="1" applyFill="1" applyBorder="1"/>
    <xf numFmtId="168" fontId="5" fillId="0" borderId="90" xfId="0" quotePrefix="1" applyNumberFormat="1" applyFont="1" applyFill="1" applyBorder="1" applyAlignment="1">
      <alignment horizontal="right"/>
    </xf>
    <xf numFmtId="37" fontId="5" fillId="0" borderId="0" xfId="82" applyNumberFormat="1" applyFont="1" applyFill="1" applyBorder="1"/>
    <xf numFmtId="37" fontId="5" fillId="0" borderId="90" xfId="82" applyNumberFormat="1" applyFont="1" applyFill="1" applyBorder="1"/>
    <xf numFmtId="37" fontId="5" fillId="0" borderId="4" xfId="82" applyNumberFormat="1" applyFont="1" applyFill="1" applyBorder="1"/>
    <xf numFmtId="37" fontId="5" fillId="0" borderId="65" xfId="82" applyNumberFormat="1" applyFont="1" applyFill="1" applyBorder="1"/>
    <xf numFmtId="164" fontId="5" fillId="0" borderId="0" xfId="82" applyNumberFormat="1" applyFont="1" applyFill="1"/>
    <xf numFmtId="0" fontId="10" fillId="0" borderId="0" xfId="8" applyFont="1" applyFill="1"/>
    <xf numFmtId="0" fontId="5" fillId="0" borderId="0" xfId="8" applyFill="1"/>
    <xf numFmtId="43" fontId="5" fillId="0" borderId="0" xfId="8" applyNumberFormat="1" applyFill="1"/>
    <xf numFmtId="10" fontId="5" fillId="0" borderId="0" xfId="8" applyNumberFormat="1" applyFill="1"/>
    <xf numFmtId="10" fontId="0" fillId="0" borderId="90" xfId="17" applyNumberFormat="1" applyFont="1" applyFill="1" applyBorder="1"/>
    <xf numFmtId="0" fontId="0" fillId="0" borderId="0" xfId="0" applyFill="1" applyBorder="1" applyAlignment="1">
      <alignment horizontal="left"/>
    </xf>
    <xf numFmtId="0" fontId="5" fillId="0" borderId="0" xfId="8" applyFill="1" applyBorder="1"/>
    <xf numFmtId="4" fontId="0" fillId="0" borderId="0" xfId="0" applyNumberFormat="1" applyFill="1" applyBorder="1"/>
    <xf numFmtId="43" fontId="0" fillId="0" borderId="90" xfId="0" applyNumberFormat="1" applyFill="1" applyBorder="1"/>
    <xf numFmtId="164" fontId="0" fillId="0" borderId="90" xfId="0" applyNumberFormat="1" applyFill="1" applyBorder="1"/>
    <xf numFmtId="0" fontId="5" fillId="0" borderId="0" xfId="76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8" fillId="0" borderId="0" xfId="0" applyFont="1" applyFill="1" applyAlignment="1">
      <alignment horizontal="left"/>
    </xf>
    <xf numFmtId="0" fontId="68" fillId="0" borderId="0" xfId="0" applyFont="1" applyFill="1" applyAlignment="1">
      <alignment horizontal="center"/>
    </xf>
    <xf numFmtId="17" fontId="68" fillId="0" borderId="0" xfId="0" applyNumberFormat="1" applyFont="1" applyFill="1" applyAlignment="1">
      <alignment horizontal="center"/>
    </xf>
    <xf numFmtId="43" fontId="5" fillId="0" borderId="0" xfId="1" applyNumberFormat="1" applyFont="1" applyFill="1" applyAlignment="1">
      <alignment horizontal="right"/>
    </xf>
    <xf numFmtId="0" fontId="5" fillId="0" borderId="0" xfId="0" applyFont="1" applyFill="1" applyAlignment="1">
      <alignment horizontal="center"/>
    </xf>
    <xf numFmtId="37" fontId="24" fillId="0" borderId="65" xfId="1" applyNumberFormat="1" applyFont="1" applyFill="1" applyBorder="1"/>
    <xf numFmtId="37" fontId="24" fillId="0" borderId="90" xfId="1" applyNumberFormat="1" applyFont="1" applyFill="1" applyBorder="1"/>
    <xf numFmtId="37" fontId="24" fillId="0" borderId="65" xfId="0" applyNumberFormat="1" applyFont="1" applyFill="1" applyBorder="1"/>
    <xf numFmtId="37" fontId="24" fillId="0" borderId="78" xfId="1" applyNumberFormat="1" applyFont="1" applyFill="1" applyBorder="1"/>
    <xf numFmtId="37" fontId="5" fillId="0" borderId="0" xfId="8" applyNumberFormat="1" applyFont="1" applyFill="1"/>
    <xf numFmtId="164" fontId="5" fillId="0" borderId="90" xfId="78" applyNumberFormat="1" applyFont="1" applyFill="1" applyBorder="1"/>
    <xf numFmtId="164" fontId="5" fillId="0" borderId="66" xfId="78" applyNumberFormat="1" applyFont="1" applyFill="1" applyBorder="1"/>
    <xf numFmtId="164" fontId="5" fillId="0" borderId="19" xfId="76" applyNumberFormat="1" applyFont="1" applyFill="1" applyBorder="1"/>
    <xf numFmtId="164" fontId="5" fillId="0" borderId="0" xfId="78" applyNumberFormat="1" applyFont="1" applyFill="1"/>
    <xf numFmtId="165" fontId="5" fillId="0" borderId="0" xfId="77" applyNumberFormat="1" applyFont="1" applyFill="1"/>
    <xf numFmtId="165" fontId="5" fillId="0" borderId="0" xfId="76" applyNumberFormat="1" applyFont="1" applyFill="1"/>
    <xf numFmtId="0" fontId="0" fillId="0" borderId="0" xfId="0" applyNumberFormat="1" applyFill="1" applyBorder="1"/>
    <xf numFmtId="10" fontId="6" fillId="0" borderId="0" xfId="8" applyNumberFormat="1" applyFont="1" applyFill="1"/>
    <xf numFmtId="0" fontId="5" fillId="0" borderId="80" xfId="0" applyFont="1" applyFill="1" applyBorder="1"/>
    <xf numFmtId="10" fontId="5" fillId="0" borderId="28" xfId="17" applyNumberFormat="1" applyFont="1" applyFill="1" applyBorder="1" applyProtection="1"/>
    <xf numFmtId="164" fontId="6" fillId="0" borderId="1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37" fontId="6" fillId="0" borderId="0" xfId="1" applyNumberFormat="1" applyFont="1" applyFill="1" applyBorder="1" applyAlignment="1">
      <alignment horizontal="center"/>
    </xf>
    <xf numFmtId="0" fontId="5" fillId="0" borderId="0" xfId="76" applyFont="1" applyFill="1" applyAlignment="1"/>
    <xf numFmtId="164" fontId="6" fillId="0" borderId="65" xfId="1" applyNumberFormat="1" applyFont="1" applyFill="1" applyBorder="1"/>
    <xf numFmtId="0" fontId="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3" fillId="0" borderId="1" xfId="4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 vertical="top" wrapText="1"/>
    </xf>
    <xf numFmtId="0" fontId="5" fillId="0" borderId="0" xfId="0" quotePrefix="1" applyFont="1" applyFill="1" applyBorder="1" applyAlignment="1">
      <alignment horizontal="center" vertical="top" wrapText="1"/>
    </xf>
    <xf numFmtId="37" fontId="5" fillId="6" borderId="66" xfId="1" applyNumberFormat="1" applyFont="1" applyFill="1" applyBorder="1"/>
    <xf numFmtId="0" fontId="5" fillId="0" borderId="0" xfId="79" applyFont="1"/>
    <xf numFmtId="0" fontId="1" fillId="0" borderId="0" xfId="130" applyFill="1"/>
    <xf numFmtId="37" fontId="1" fillId="0" borderId="0" xfId="130" applyNumberFormat="1" applyFill="1" applyBorder="1" applyAlignment="1"/>
    <xf numFmtId="43" fontId="9" fillId="0" borderId="0" xfId="0" applyNumberFormat="1" applyFont="1" applyFill="1"/>
    <xf numFmtId="0" fontId="5" fillId="0" borderId="0" xfId="0" applyFont="1" applyFill="1" applyAlignment="1">
      <alignment vertical="top"/>
    </xf>
    <xf numFmtId="7" fontId="5" fillId="0" borderId="0" xfId="1" applyNumberFormat="1" applyFont="1" applyFill="1" applyAlignment="1">
      <alignment horizontal="right"/>
    </xf>
    <xf numFmtId="43" fontId="5" fillId="0" borderId="66" xfId="0" applyNumberFormat="1" applyFont="1" applyFill="1" applyBorder="1"/>
    <xf numFmtId="37" fontId="5" fillId="0" borderId="91" xfId="0" applyNumberFormat="1" applyFont="1" applyFill="1" applyBorder="1"/>
    <xf numFmtId="172" fontId="6" fillId="0" borderId="0" xfId="1" applyNumberFormat="1" applyFont="1" applyFill="1" applyBorder="1" applyAlignment="1">
      <alignment horizontal="center"/>
    </xf>
    <xf numFmtId="0" fontId="15" fillId="0" borderId="0" xfId="0" applyFont="1" applyFill="1" applyAlignment="1" applyProtection="1">
      <alignment horizontal="center"/>
    </xf>
    <xf numFmtId="0" fontId="15" fillId="0" borderId="0" xfId="0" applyFont="1" applyFill="1" applyProtection="1"/>
    <xf numFmtId="0" fontId="15" fillId="0" borderId="0" xfId="0" applyFont="1" applyFill="1" applyBorder="1" applyProtection="1"/>
    <xf numFmtId="0" fontId="7" fillId="0" borderId="0" xfId="0" applyFont="1" applyFill="1" applyAlignment="1" applyProtection="1">
      <alignment horizontal="center"/>
    </xf>
    <xf numFmtId="189" fontId="7" fillId="0" borderId="0" xfId="0" quotePrefix="1" applyNumberFormat="1" applyFont="1" applyFill="1" applyAlignment="1" applyProtection="1">
      <alignment horizontal="center"/>
    </xf>
    <xf numFmtId="189" fontId="7" fillId="0" borderId="0" xfId="0" quotePrefix="1" applyNumberFormat="1" applyFont="1" applyFill="1" applyAlignment="1" applyProtection="1">
      <alignment horizontal="left"/>
    </xf>
    <xf numFmtId="0" fontId="7" fillId="0" borderId="0" xfId="0" quotePrefix="1" applyFont="1" applyFill="1" applyBorder="1" applyAlignment="1" applyProtection="1">
      <alignment horizontal="left"/>
    </xf>
    <xf numFmtId="17" fontId="7" fillId="0" borderId="0" xfId="0" applyNumberFormat="1" applyFont="1" applyFill="1" applyAlignment="1" applyProtection="1">
      <alignment horizontal="center"/>
    </xf>
    <xf numFmtId="17" fontId="7" fillId="0" borderId="0" xfId="0" applyNumberFormat="1" applyFont="1" applyFill="1" applyAlignment="1" applyProtection="1"/>
    <xf numFmtId="0" fontId="7" fillId="0" borderId="0" xfId="0" applyFont="1" applyFill="1" applyBorder="1" applyAlignment="1" applyProtection="1">
      <alignment horizontal="center"/>
    </xf>
    <xf numFmtId="0" fontId="7" fillId="0" borderId="86" xfId="0" applyFont="1" applyFill="1" applyBorder="1" applyAlignment="1" applyProtection="1">
      <alignment horizontal="center"/>
    </xf>
    <xf numFmtId="179" fontId="69" fillId="0" borderId="0" xfId="5" applyNumberFormat="1" applyFont="1" applyFill="1" applyBorder="1" applyProtection="1"/>
    <xf numFmtId="37" fontId="69" fillId="0" borderId="0" xfId="0" applyNumberFormat="1" applyFont="1" applyFill="1" applyBorder="1" applyProtection="1"/>
    <xf numFmtId="0" fontId="15" fillId="0" borderId="0" xfId="0" applyFont="1" applyFill="1" applyAlignment="1" applyProtection="1">
      <alignment horizontal="left"/>
    </xf>
    <xf numFmtId="0" fontId="15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164" fontId="15" fillId="0" borderId="0" xfId="80" applyNumberFormat="1" applyFont="1" applyFill="1" applyBorder="1" applyProtection="1"/>
    <xf numFmtId="0" fontId="7" fillId="0" borderId="0" xfId="0" applyFont="1" applyFill="1" applyProtection="1"/>
    <xf numFmtId="0" fontId="7" fillId="0" borderId="0" xfId="0" applyFont="1" applyFill="1" applyBorder="1" applyProtection="1"/>
    <xf numFmtId="0" fontId="7" fillId="0" borderId="92" xfId="0" applyFont="1" applyFill="1" applyBorder="1" applyAlignment="1" applyProtection="1">
      <alignment horizontal="center"/>
    </xf>
    <xf numFmtId="0" fontId="69" fillId="0" borderId="0" xfId="0" applyFont="1" applyFill="1" applyAlignment="1" applyProtection="1">
      <alignment horizontal="left"/>
    </xf>
    <xf numFmtId="5" fontId="7" fillId="0" borderId="0" xfId="0" applyNumberFormat="1" applyFont="1" applyFill="1" applyBorder="1" applyProtection="1"/>
    <xf numFmtId="5" fontId="7" fillId="0" borderId="73" xfId="0" applyNumberFormat="1" applyFont="1" applyFill="1" applyBorder="1" applyProtection="1"/>
    <xf numFmtId="164" fontId="7" fillId="0" borderId="0" xfId="0" applyNumberFormat="1" applyFont="1" applyFill="1" applyBorder="1" applyProtection="1"/>
    <xf numFmtId="5" fontId="70" fillId="0" borderId="73" xfId="0" applyNumberFormat="1" applyFont="1" applyFill="1" applyBorder="1" applyProtection="1"/>
    <xf numFmtId="0" fontId="15" fillId="0" borderId="78" xfId="0" applyFont="1" applyFill="1" applyBorder="1" applyProtection="1"/>
    <xf numFmtId="0" fontId="15" fillId="0" borderId="0" xfId="0" quotePrefix="1" applyFont="1" applyFill="1" applyAlignment="1" applyProtection="1">
      <alignment horizontal="left"/>
    </xf>
    <xf numFmtId="10" fontId="70" fillId="0" borderId="0" xfId="0" applyNumberFormat="1" applyFont="1" applyFill="1" applyBorder="1" applyProtection="1"/>
    <xf numFmtId="7" fontId="7" fillId="0" borderId="0" xfId="0" applyNumberFormat="1" applyFont="1" applyFill="1" applyBorder="1"/>
    <xf numFmtId="7" fontId="7" fillId="0" borderId="58" xfId="0" applyNumberFormat="1" applyFont="1" applyFill="1" applyBorder="1"/>
    <xf numFmtId="5" fontId="70" fillId="0" borderId="0" xfId="0" applyNumberFormat="1" applyFont="1" applyFill="1" applyBorder="1" applyProtection="1"/>
    <xf numFmtId="0" fontId="71" fillId="0" borderId="0" xfId="9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70" fontId="5" fillId="0" borderId="0" xfId="0" applyNumberFormat="1" applyFont="1" applyFill="1"/>
    <xf numFmtId="43" fontId="5" fillId="7" borderId="16" xfId="0" applyNumberFormat="1" applyFont="1" applyFill="1" applyBorder="1"/>
    <xf numFmtId="164" fontId="5" fillId="0" borderId="90" xfId="0" applyNumberFormat="1" applyFont="1" applyFill="1" applyBorder="1"/>
    <xf numFmtId="0" fontId="6" fillId="0" borderId="0" xfId="0" quotePrefix="1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3" fillId="0" borderId="5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63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37" fontId="5" fillId="5" borderId="0" xfId="0" applyNumberFormat="1" applyFont="1" applyFill="1"/>
    <xf numFmtId="0" fontId="6" fillId="0" borderId="0" xfId="0" applyFont="1" applyAlignment="1">
      <alignment horizontal="center"/>
    </xf>
    <xf numFmtId="0" fontId="25" fillId="0" borderId="0" xfId="74" applyFont="1" applyFill="1" applyAlignment="1">
      <alignment horizontal="center"/>
    </xf>
    <xf numFmtId="17" fontId="63" fillId="0" borderId="0" xfId="0" applyNumberFormat="1" applyFont="1" applyFill="1" applyAlignment="1">
      <alignment horizontal="center"/>
    </xf>
    <xf numFmtId="0" fontId="63" fillId="0" borderId="91" xfId="0" applyNumberFormat="1" applyFont="1" applyFill="1" applyBorder="1" applyAlignment="1">
      <alignment horizontal="center"/>
    </xf>
    <xf numFmtId="0" fontId="17" fillId="0" borderId="91" xfId="0" applyFont="1" applyFill="1" applyBorder="1" applyAlignment="1">
      <alignment horizontal="center"/>
    </xf>
    <xf numFmtId="0" fontId="17" fillId="0" borderId="91" xfId="0" quotePrefix="1" applyFont="1" applyFill="1" applyBorder="1" applyAlignment="1">
      <alignment horizontal="center"/>
    </xf>
    <xf numFmtId="0" fontId="63" fillId="0" borderId="0" xfId="0" applyNumberFormat="1" applyFont="1" applyFill="1" applyBorder="1" applyAlignment="1">
      <alignment horizontal="centerContinuous"/>
    </xf>
    <xf numFmtId="10" fontId="60" fillId="0" borderId="86" xfId="0" applyNumberFormat="1" applyFont="1" applyFill="1" applyBorder="1"/>
    <xf numFmtId="10" fontId="60" fillId="0" borderId="0" xfId="0" applyNumberFormat="1" applyFont="1" applyFill="1" applyBorder="1"/>
    <xf numFmtId="5" fontId="0" fillId="0" borderId="90" xfId="0" applyNumberFormat="1" applyFill="1" applyBorder="1"/>
    <xf numFmtId="0" fontId="13" fillId="0" borderId="86" xfId="0" applyFont="1" applyFill="1" applyBorder="1" applyAlignment="1">
      <alignment horizontal="center" wrapText="1"/>
    </xf>
    <xf numFmtId="43" fontId="13" fillId="0" borderId="86" xfId="1" applyFont="1" applyFill="1" applyBorder="1"/>
    <xf numFmtId="0" fontId="13" fillId="0" borderId="0" xfId="41" applyFill="1" applyBorder="1" applyAlignment="1">
      <alignment horizontal="center" wrapText="1"/>
    </xf>
    <xf numFmtId="0" fontId="6" fillId="0" borderId="86" xfId="0" applyNumberFormat="1" applyFont="1" applyFill="1" applyBorder="1"/>
    <xf numFmtId="0" fontId="60" fillId="0" borderId="86" xfId="0" applyNumberFormat="1" applyFont="1" applyFill="1" applyBorder="1" applyAlignment="1">
      <alignment horizontal="center"/>
    </xf>
    <xf numFmtId="0" fontId="63" fillId="0" borderId="86" xfId="0" applyNumberFormat="1" applyFont="1" applyFill="1" applyBorder="1" applyAlignment="1">
      <alignment horizontal="center"/>
    </xf>
    <xf numFmtId="0" fontId="63" fillId="0" borderId="86" xfId="0" quotePrefix="1" applyNumberFormat="1" applyFont="1" applyFill="1" applyBorder="1" applyAlignment="1">
      <alignment horizontal="center"/>
    </xf>
    <xf numFmtId="0" fontId="5" fillId="0" borderId="86" xfId="0" applyNumberFormat="1" applyFont="1" applyFill="1" applyBorder="1"/>
    <xf numFmtId="0" fontId="13" fillId="0" borderId="86" xfId="41" applyFont="1" applyFill="1" applyBorder="1" applyAlignment="1">
      <alignment horizontal="center" wrapText="1"/>
    </xf>
    <xf numFmtId="0" fontId="60" fillId="0" borderId="86" xfId="0" applyNumberFormat="1" applyFont="1" applyFill="1" applyBorder="1"/>
    <xf numFmtId="164" fontId="63" fillId="0" borderId="86" xfId="1" quotePrefix="1" applyNumberFormat="1" applyFont="1" applyFill="1" applyBorder="1"/>
    <xf numFmtId="0" fontId="18" fillId="0" borderId="93" xfId="0" applyFont="1" applyFill="1" applyBorder="1" applyAlignment="1">
      <alignment horizontal="center"/>
    </xf>
    <xf numFmtId="0" fontId="18" fillId="0" borderId="94" xfId="0" applyFont="1" applyFill="1" applyBorder="1" applyAlignment="1">
      <alignment horizontal="center"/>
    </xf>
    <xf numFmtId="0" fontId="18" fillId="0" borderId="95" xfId="0" applyFont="1" applyFill="1" applyBorder="1" applyAlignment="1">
      <alignment horizontal="center"/>
    </xf>
    <xf numFmtId="164" fontId="13" fillId="0" borderId="86" xfId="1" applyNumberFormat="1" applyFont="1" applyBorder="1"/>
    <xf numFmtId="49" fontId="61" fillId="0" borderId="86" xfId="0" applyNumberFormat="1" applyFont="1" applyBorder="1" applyAlignment="1">
      <alignment horizontal="center"/>
    </xf>
    <xf numFmtId="0" fontId="61" fillId="0" borderId="86" xfId="0" applyFont="1" applyBorder="1" applyAlignment="1">
      <alignment horizontal="center"/>
    </xf>
    <xf numFmtId="3" fontId="61" fillId="0" borderId="86" xfId="1" applyNumberFormat="1" applyFont="1" applyBorder="1" applyAlignment="1">
      <alignment horizontal="center"/>
    </xf>
    <xf numFmtId="37" fontId="5" fillId="0" borderId="86" xfId="0" applyNumberFormat="1" applyFont="1" applyFill="1" applyBorder="1"/>
    <xf numFmtId="37" fontId="5" fillId="0" borderId="86" xfId="0" applyNumberFormat="1" applyFont="1" applyFill="1" applyBorder="1" applyAlignment="1">
      <alignment horizontal="center"/>
    </xf>
    <xf numFmtId="0" fontId="0" fillId="0" borderId="86" xfId="0" applyFill="1" applyBorder="1"/>
    <xf numFmtId="0" fontId="0" fillId="0" borderId="86" xfId="0" applyFill="1" applyBorder="1" applyAlignment="1">
      <alignment horizontal="center"/>
    </xf>
    <xf numFmtId="0" fontId="6" fillId="0" borderId="93" xfId="0" quotePrefix="1" applyFont="1" applyFill="1" applyBorder="1" applyAlignment="1">
      <alignment horizontal="left"/>
    </xf>
    <xf numFmtId="164" fontId="0" fillId="0" borderId="94" xfId="1" applyNumberFormat="1" applyFont="1" applyFill="1" applyBorder="1"/>
    <xf numFmtId="164" fontId="0" fillId="9" borderId="94" xfId="1" applyNumberFormat="1" applyFont="1" applyFill="1" applyBorder="1"/>
    <xf numFmtId="164" fontId="0" fillId="0" borderId="86" xfId="1" applyNumberFormat="1" applyFont="1" applyFill="1" applyBorder="1"/>
    <xf numFmtId="164" fontId="0" fillId="9" borderId="86" xfId="1" applyNumberFormat="1" applyFont="1" applyFill="1" applyBorder="1"/>
    <xf numFmtId="180" fontId="0" fillId="0" borderId="91" xfId="0" applyNumberFormat="1" applyFill="1" applyBorder="1"/>
    <xf numFmtId="10" fontId="0" fillId="0" borderId="91" xfId="0" applyNumberFormat="1" applyFill="1" applyBorder="1"/>
    <xf numFmtId="10" fontId="0" fillId="0" borderId="86" xfId="17" applyNumberFormat="1" applyFont="1" applyFill="1" applyBorder="1"/>
    <xf numFmtId="10" fontId="0" fillId="9" borderId="86" xfId="17" applyNumberFormat="1" applyFont="1" applyFill="1" applyBorder="1"/>
    <xf numFmtId="10" fontId="0" fillId="0" borderId="86" xfId="0" applyNumberFormat="1" applyFill="1" applyBorder="1"/>
    <xf numFmtId="10" fontId="0" fillId="9" borderId="86" xfId="0" applyNumberFormat="1" applyFill="1" applyBorder="1"/>
    <xf numFmtId="0" fontId="5" fillId="0" borderId="91" xfId="0" applyNumberFormat="1" applyFont="1" applyFill="1" applyBorder="1" applyAlignment="1">
      <alignment horizontal="right"/>
    </xf>
    <xf numFmtId="43" fontId="18" fillId="0" borderId="96" xfId="1" applyFont="1" applyFill="1" applyBorder="1"/>
    <xf numFmtId="0" fontId="6" fillId="0" borderId="93" xfId="0" applyFont="1" applyFill="1" applyBorder="1" applyAlignment="1">
      <alignment horizontal="left"/>
    </xf>
    <xf numFmtId="164" fontId="0" fillId="0" borderId="94" xfId="1" quotePrefix="1" applyNumberFormat="1" applyFont="1" applyFill="1" applyBorder="1" applyAlignment="1">
      <alignment horizontal="center"/>
    </xf>
    <xf numFmtId="164" fontId="0" fillId="9" borderId="94" xfId="1" quotePrefix="1" applyNumberFormat="1" applyFont="1" applyFill="1" applyBorder="1" applyAlignment="1">
      <alignment horizontal="center"/>
    </xf>
    <xf numFmtId="37" fontId="0" fillId="0" borderId="91" xfId="0" applyNumberFormat="1" applyFill="1" applyBorder="1"/>
    <xf numFmtId="0" fontId="6" fillId="0" borderId="93" xfId="0" applyFont="1" applyFill="1" applyBorder="1"/>
    <xf numFmtId="10" fontId="0" fillId="0" borderId="94" xfId="0" applyNumberFormat="1" applyFill="1" applyBorder="1"/>
    <xf numFmtId="10" fontId="0" fillId="9" borderId="94" xfId="0" applyNumberFormat="1" applyFill="1" applyBorder="1"/>
    <xf numFmtId="10" fontId="5" fillId="9" borderId="94" xfId="0" applyNumberFormat="1" applyFont="1" applyFill="1" applyBorder="1"/>
    <xf numFmtId="10" fontId="5" fillId="0" borderId="86" xfId="17" applyNumberFormat="1" applyFont="1" applyFill="1" applyBorder="1" applyAlignment="1">
      <alignment horizontal="right"/>
    </xf>
    <xf numFmtId="10" fontId="5" fillId="9" borderId="86" xfId="17" applyNumberFormat="1" applyFont="1" applyFill="1" applyBorder="1" applyAlignment="1">
      <alignment horizontal="right"/>
    </xf>
    <xf numFmtId="10" fontId="0" fillId="0" borderId="86" xfId="17" applyNumberFormat="1" applyFont="1" applyFill="1" applyBorder="1" applyAlignment="1">
      <alignment horizontal="right"/>
    </xf>
    <xf numFmtId="173" fontId="6" fillId="0" borderId="0" xfId="0" quotePrefix="1" applyNumberFormat="1" applyFont="1" applyFill="1" applyAlignment="1" applyProtection="1">
      <alignment horizontal="right"/>
    </xf>
    <xf numFmtId="0" fontId="6" fillId="0" borderId="93" xfId="0" applyNumberFormat="1" applyFont="1" applyFill="1" applyBorder="1" applyAlignment="1">
      <alignment horizontal="center"/>
    </xf>
    <xf numFmtId="0" fontId="6" fillId="0" borderId="95" xfId="0" applyNumberFormat="1" applyFont="1" applyFill="1" applyBorder="1" applyAlignment="1">
      <alignment horizontal="center"/>
    </xf>
    <xf numFmtId="0" fontId="63" fillId="0" borderId="91" xfId="0" applyNumberFormat="1" applyFont="1" applyFill="1" applyBorder="1" applyAlignment="1">
      <alignment horizontal="centerContinuous"/>
    </xf>
    <xf numFmtId="0" fontId="63" fillId="0" borderId="92" xfId="0" applyNumberFormat="1" applyFont="1" applyFill="1" applyBorder="1" applyAlignment="1">
      <alignment horizontal="center"/>
    </xf>
    <xf numFmtId="0" fontId="63" fillId="0" borderId="97" xfId="0" quotePrefix="1" applyNumberFormat="1" applyFont="1" applyFill="1" applyBorder="1" applyAlignment="1">
      <alignment horizontal="center"/>
    </xf>
    <xf numFmtId="0" fontId="63" fillId="0" borderId="84" xfId="0" applyNumberFormat="1" applyFont="1" applyFill="1" applyBorder="1" applyAlignment="1">
      <alignment horizontal="centerContinuous"/>
    </xf>
    <xf numFmtId="0" fontId="63" fillId="0" borderId="80" xfId="0" applyNumberFormat="1" applyFont="1" applyFill="1" applyBorder="1" applyAlignment="1">
      <alignment horizontal="center"/>
    </xf>
    <xf numFmtId="10" fontId="60" fillId="0" borderId="91" xfId="0" applyNumberFormat="1" applyFont="1" applyFill="1" applyBorder="1"/>
    <xf numFmtId="0" fontId="60" fillId="0" borderId="91" xfId="0" applyNumberFormat="1" applyFont="1" applyFill="1" applyBorder="1"/>
    <xf numFmtId="164" fontId="60" fillId="0" borderId="0" xfId="0" applyNumberFormat="1" applyFont="1" applyFill="1"/>
    <xf numFmtId="37" fontId="60" fillId="0" borderId="91" xfId="0" applyNumberFormat="1" applyFont="1" applyFill="1" applyBorder="1"/>
    <xf numFmtId="7" fontId="5" fillId="0" borderId="86" xfId="0" applyNumberFormat="1" applyFont="1" applyFill="1" applyBorder="1"/>
    <xf numFmtId="10" fontId="5" fillId="0" borderId="90" xfId="17" applyNumberFormat="1" applyFont="1" applyFill="1" applyBorder="1" applyAlignment="1">
      <alignment horizontal="right"/>
    </xf>
    <xf numFmtId="0" fontId="5" fillId="0" borderId="86" xfId="0" applyFont="1" applyFill="1" applyBorder="1"/>
    <xf numFmtId="183" fontId="6" fillId="0" borderId="86" xfId="1" quotePrefix="1" applyNumberFormat="1" applyFont="1" applyFill="1" applyBorder="1" applyAlignment="1">
      <alignment horizontal="center"/>
    </xf>
    <xf numFmtId="164" fontId="6" fillId="0" borderId="90" xfId="1" applyNumberFormat="1" applyFont="1" applyFill="1" applyBorder="1" applyAlignment="1">
      <alignment horizontal="left" indent="1"/>
    </xf>
    <xf numFmtId="164" fontId="5" fillId="0" borderId="86" xfId="1" applyNumberFormat="1" applyFont="1" applyFill="1" applyBorder="1"/>
    <xf numFmtId="43" fontId="5" fillId="0" borderId="0" xfId="1" quotePrefix="1" applyNumberFormat="1" applyFont="1" applyFill="1"/>
    <xf numFmtId="43" fontId="5" fillId="0" borderId="0" xfId="82" applyNumberFormat="1" applyFont="1" applyFill="1"/>
    <xf numFmtId="0" fontId="5" fillId="10" borderId="63" xfId="0" applyFont="1" applyFill="1" applyBorder="1"/>
    <xf numFmtId="43" fontId="6" fillId="0" borderId="63" xfId="82" applyNumberFormat="1" applyFont="1" applyFill="1" applyBorder="1" applyAlignment="1">
      <alignment horizontal="right"/>
    </xf>
    <xf numFmtId="0" fontId="5" fillId="10" borderId="67" xfId="0" applyFont="1" applyFill="1" applyBorder="1"/>
    <xf numFmtId="43" fontId="6" fillId="0" borderId="63" xfId="82" quotePrefix="1" applyNumberFormat="1" applyFont="1" applyFill="1" applyBorder="1" applyAlignment="1">
      <alignment horizontal="center"/>
    </xf>
    <xf numFmtId="43" fontId="5" fillId="0" borderId="63" xfId="82" applyNumberFormat="1" applyFont="1" applyFill="1" applyBorder="1"/>
    <xf numFmtId="0" fontId="5" fillId="10" borderId="28" xfId="0" applyFont="1" applyFill="1" applyBorder="1"/>
    <xf numFmtId="43" fontId="5" fillId="0" borderId="63" xfId="82" quotePrefix="1" applyNumberFormat="1" applyFont="1" applyFill="1" applyBorder="1" applyAlignment="1">
      <alignment horizontal="left"/>
    </xf>
    <xf numFmtId="43" fontId="5" fillId="0" borderId="63" xfId="82" applyFont="1" applyFill="1" applyBorder="1"/>
    <xf numFmtId="0" fontId="5" fillId="10" borderId="81" xfId="0" applyFont="1" applyFill="1" applyBorder="1"/>
    <xf numFmtId="0" fontId="52" fillId="0" borderId="87" xfId="0" quotePrefix="1" applyFont="1" applyBorder="1" applyAlignment="1">
      <alignment horizontal="center" vertical="center"/>
    </xf>
    <xf numFmtId="0" fontId="52" fillId="0" borderId="62" xfId="0" applyFont="1" applyFill="1" applyBorder="1" applyAlignment="1">
      <alignment horizontal="center" vertical="center"/>
    </xf>
    <xf numFmtId="0" fontId="52" fillId="0" borderId="61" xfId="0" applyFont="1" applyFill="1" applyBorder="1" applyAlignment="1">
      <alignment horizontal="center" vertical="center"/>
    </xf>
    <xf numFmtId="0" fontId="52" fillId="0" borderId="88" xfId="0" applyFont="1" applyBorder="1" applyAlignment="1">
      <alignment horizontal="center" vertical="center"/>
    </xf>
    <xf numFmtId="0" fontId="52" fillId="0" borderId="60" xfId="0" applyFont="1" applyFill="1" applyBorder="1" applyAlignment="1">
      <alignment horizontal="center" vertical="center"/>
    </xf>
    <xf numFmtId="0" fontId="52" fillId="0" borderId="59" xfId="0" applyFont="1" applyFill="1" applyBorder="1" applyAlignment="1">
      <alignment horizontal="center" vertical="center"/>
    </xf>
    <xf numFmtId="14" fontId="52" fillId="0" borderId="89" xfId="0" applyNumberFormat="1" applyFont="1" applyBorder="1" applyAlignment="1">
      <alignment horizontal="center" vertical="center"/>
    </xf>
    <xf numFmtId="37" fontId="5" fillId="5" borderId="0" xfId="0" applyNumberFormat="1" applyFont="1" applyFill="1" applyProtection="1"/>
    <xf numFmtId="5" fontId="15" fillId="0" borderId="90" xfId="0" applyNumberFormat="1" applyFont="1" applyFill="1" applyBorder="1" applyProtection="1"/>
    <xf numFmtId="5" fontId="70" fillId="0" borderId="90" xfId="0" applyNumberFormat="1" applyFont="1" applyFill="1" applyBorder="1" applyProtection="1"/>
    <xf numFmtId="5" fontId="7" fillId="0" borderId="90" xfId="0" applyNumberFormat="1" applyFont="1" applyFill="1" applyBorder="1" applyProtection="1"/>
    <xf numFmtId="10" fontId="15" fillId="0" borderId="0" xfId="0" applyNumberFormat="1" applyFont="1" applyFill="1" applyBorder="1" applyProtection="1"/>
    <xf numFmtId="0" fontId="71" fillId="0" borderId="0" xfId="9" applyFont="1" applyFill="1" applyBorder="1" applyAlignment="1">
      <alignment horizontal="left"/>
    </xf>
    <xf numFmtId="10" fontId="24" fillId="0" borderId="0" xfId="17" applyNumberFormat="1" applyFont="1" applyFill="1" applyBorder="1"/>
    <xf numFmtId="0" fontId="6" fillId="0" borderId="0" xfId="0" applyFont="1" applyFill="1" applyAlignment="1">
      <alignment horizontal="center"/>
    </xf>
    <xf numFmtId="164" fontId="0" fillId="0" borderId="0" xfId="0" applyNumberFormat="1"/>
    <xf numFmtId="0" fontId="6" fillId="0" borderId="91" xfId="0" applyFont="1" applyFill="1" applyBorder="1" applyAlignment="1">
      <alignment horizontal="center"/>
    </xf>
    <xf numFmtId="14" fontId="26" fillId="0" borderId="0" xfId="0" applyNumberFormat="1" applyFont="1" applyFill="1" applyBorder="1"/>
    <xf numFmtId="37" fontId="20" fillId="0" borderId="66" xfId="1" applyNumberFormat="1" applyFont="1" applyFill="1" applyBorder="1"/>
    <xf numFmtId="37" fontId="5" fillId="5" borderId="0" xfId="0" applyNumberFormat="1" applyFont="1" applyFill="1" applyBorder="1"/>
    <xf numFmtId="190" fontId="5" fillId="0" borderId="0" xfId="1" applyNumberFormat="1" applyFont="1" applyFill="1"/>
    <xf numFmtId="180" fontId="5" fillId="0" borderId="0" xfId="1" applyNumberFormat="1" applyFont="1" applyFill="1"/>
    <xf numFmtId="180" fontId="5" fillId="0" borderId="0" xfId="0" applyNumberFormat="1" applyFont="1" applyFill="1"/>
    <xf numFmtId="0" fontId="0" fillId="0" borderId="0" xfId="0" applyFill="1" applyAlignment="1">
      <alignment horizontal="left"/>
    </xf>
    <xf numFmtId="38" fontId="5" fillId="0" borderId="0" xfId="0" applyNumberFormat="1" applyFont="1" applyFill="1"/>
    <xf numFmtId="38" fontId="5" fillId="0" borderId="19" xfId="76" applyNumberFormat="1" applyFont="1" applyFill="1" applyBorder="1"/>
    <xf numFmtId="38" fontId="5" fillId="0" borderId="0" xfId="76" applyNumberFormat="1" applyFont="1" applyFill="1" applyBorder="1"/>
    <xf numFmtId="164" fontId="5" fillId="0" borderId="0" xfId="76" applyNumberFormat="1" applyFont="1" applyFill="1" applyBorder="1"/>
    <xf numFmtId="164" fontId="5" fillId="0" borderId="19" xfId="78" applyNumberFormat="1" applyFont="1" applyFill="1" applyBorder="1"/>
    <xf numFmtId="0" fontId="6" fillId="0" borderId="0" xfId="0" quotePrefix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0" fontId="63" fillId="0" borderId="0" xfId="0" applyNumberFormat="1" applyFont="1" applyFill="1" applyAlignment="1">
      <alignment horizontal="center"/>
    </xf>
    <xf numFmtId="0" fontId="18" fillId="0" borderId="93" xfId="0" applyFont="1" applyFill="1" applyBorder="1" applyAlignment="1">
      <alignment horizontal="left"/>
    </xf>
    <xf numFmtId="0" fontId="18" fillId="0" borderId="94" xfId="0" applyFont="1" applyFill="1" applyBorder="1" applyAlignment="1">
      <alignment horizontal="left"/>
    </xf>
    <xf numFmtId="0" fontId="18" fillId="0" borderId="95" xfId="0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43" fontId="0" fillId="0" borderId="0" xfId="34" applyNumberFormat="1" applyFont="1"/>
    <xf numFmtId="14" fontId="0" fillId="0" borderId="0" xfId="27" quotePrefix="1" applyNumberFormat="1" applyFont="1"/>
    <xf numFmtId="0" fontId="5" fillId="0" borderId="0" xfId="20" applyFont="1" applyAlignment="1"/>
    <xf numFmtId="1" fontId="0" fillId="0" borderId="0" xfId="47" applyNumberFormat="1" applyFont="1"/>
    <xf numFmtId="43" fontId="18" fillId="0" borderId="39" xfId="1" applyFont="1" applyFill="1" applyBorder="1"/>
    <xf numFmtId="10" fontId="60" fillId="0" borderId="0" xfId="17" applyNumberFormat="1" applyFont="1" applyFill="1"/>
    <xf numFmtId="10" fontId="60" fillId="0" borderId="91" xfId="17" applyNumberFormat="1" applyFont="1" applyFill="1" applyBorder="1"/>
    <xf numFmtId="43" fontId="13" fillId="0" borderId="66" xfId="1" applyFont="1" applyFill="1" applyBorder="1"/>
    <xf numFmtId="49" fontId="5" fillId="0" borderId="0" xfId="0" applyNumberFormat="1" applyFont="1" applyFill="1" applyBorder="1" applyAlignment="1">
      <alignment horizontal="right"/>
    </xf>
    <xf numFmtId="191" fontId="0" fillId="0" borderId="0" xfId="0" applyNumberFormat="1" applyFill="1"/>
    <xf numFmtId="49" fontId="46" fillId="0" borderId="48" xfId="0" applyNumberFormat="1" applyFont="1" applyFill="1" applyBorder="1" applyAlignment="1">
      <alignment horizontal="left"/>
    </xf>
    <xf numFmtId="49" fontId="46" fillId="0" borderId="48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right"/>
    </xf>
    <xf numFmtId="49" fontId="0" fillId="0" borderId="28" xfId="0" applyNumberFormat="1" applyFill="1" applyBorder="1" applyAlignment="1">
      <alignment horizontal="left"/>
    </xf>
    <xf numFmtId="191" fontId="0" fillId="0" borderId="28" xfId="0" applyNumberFormat="1" applyFill="1" applyBorder="1"/>
    <xf numFmtId="191" fontId="6" fillId="0" borderId="19" xfId="0" applyNumberFormat="1" applyFont="1" applyFill="1" applyBorder="1"/>
    <xf numFmtId="0" fontId="71" fillId="0" borderId="0" xfId="9" applyFont="1" applyFill="1" applyBorder="1" applyAlignment="1">
      <alignment horizontal="right"/>
    </xf>
    <xf numFmtId="191" fontId="6" fillId="0" borderId="0" xfId="0" applyNumberFormat="1" applyFont="1" applyFill="1"/>
    <xf numFmtId="43" fontId="6" fillId="0" borderId="0" xfId="1" applyFont="1" applyFill="1"/>
    <xf numFmtId="191" fontId="0" fillId="9" borderId="28" xfId="0" applyNumberFormat="1" applyFill="1" applyBorder="1"/>
    <xf numFmtId="49" fontId="0" fillId="12" borderId="28" xfId="0" applyNumberFormat="1" applyFill="1" applyBorder="1" applyAlignment="1">
      <alignment horizontal="left"/>
    </xf>
    <xf numFmtId="191" fontId="0" fillId="12" borderId="28" xfId="0" applyNumberFormat="1" applyFill="1" applyBorder="1"/>
    <xf numFmtId="191" fontId="6" fillId="12" borderId="28" xfId="0" applyNumberFormat="1" applyFont="1" applyFill="1" applyBorder="1"/>
    <xf numFmtId="17" fontId="6" fillId="0" borderId="0" xfId="0" quotePrefix="1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left" wrapText="1"/>
    </xf>
    <xf numFmtId="49" fontId="6" fillId="0" borderId="86" xfId="1" applyNumberFormat="1" applyFont="1" applyFill="1" applyBorder="1" applyAlignment="1">
      <alignment horizontal="center" wrapText="1"/>
    </xf>
    <xf numFmtId="17" fontId="6" fillId="0" borderId="86" xfId="1" applyNumberFormat="1" applyFont="1" applyFill="1" applyBorder="1" applyAlignment="1">
      <alignment horizontal="center" wrapText="1"/>
    </xf>
    <xf numFmtId="37" fontId="0" fillId="0" borderId="0" xfId="0" applyNumberFormat="1" applyFill="1" applyAlignment="1">
      <alignment horizontal="right"/>
    </xf>
    <xf numFmtId="37" fontId="0" fillId="0" borderId="19" xfId="0" applyNumberFormat="1" applyFill="1" applyBorder="1" applyAlignment="1">
      <alignment horizontal="right"/>
    </xf>
    <xf numFmtId="0" fontId="72" fillId="0" borderId="0" xfId="0" applyFont="1" applyFill="1" applyBorder="1" applyAlignment="1">
      <alignment horizontal="left"/>
    </xf>
    <xf numFmtId="0" fontId="73" fillId="0" borderId="0" xfId="0" applyFont="1" applyFill="1" applyBorder="1"/>
    <xf numFmtId="0" fontId="73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left"/>
    </xf>
    <xf numFmtId="0" fontId="73" fillId="0" borderId="0" xfId="0" quotePrefix="1" applyFont="1" applyFill="1" applyBorder="1" applyAlignment="1">
      <alignment horizontal="center"/>
    </xf>
    <xf numFmtId="0" fontId="75" fillId="0" borderId="0" xfId="0" applyFont="1" applyFill="1" applyBorder="1"/>
    <xf numFmtId="0" fontId="73" fillId="0" borderId="0" xfId="0" quotePrefix="1" applyFont="1" applyFill="1" applyBorder="1"/>
    <xf numFmtId="164" fontId="73" fillId="0" borderId="0" xfId="1" applyNumberFormat="1" applyFont="1" applyFill="1" applyBorder="1"/>
    <xf numFmtId="0" fontId="75" fillId="0" borderId="66" xfId="0" quotePrefix="1" applyFont="1" applyFill="1" applyBorder="1"/>
    <xf numFmtId="164" fontId="73" fillId="0" borderId="66" xfId="1" applyNumberFormat="1" applyFont="1" applyFill="1" applyBorder="1"/>
    <xf numFmtId="0" fontId="73" fillId="0" borderId="19" xfId="0" applyFont="1" applyFill="1" applyBorder="1"/>
    <xf numFmtId="164" fontId="73" fillId="0" borderId="19" xfId="1" applyNumberFormat="1" applyFont="1" applyFill="1" applyBorder="1"/>
    <xf numFmtId="1" fontId="6" fillId="0" borderId="0" xfId="0" applyNumberFormat="1" applyFont="1" applyFill="1" applyAlignment="1">
      <alignment horizontal="center"/>
    </xf>
    <xf numFmtId="1" fontId="5" fillId="0" borderId="0" xfId="8" applyNumberFormat="1" applyFill="1"/>
    <xf numFmtId="3" fontId="5" fillId="0" borderId="78" xfId="74" applyNumberFormat="1" applyFont="1" applyFill="1" applyBorder="1"/>
    <xf numFmtId="164" fontId="5" fillId="0" borderId="91" xfId="74" applyNumberFormat="1" applyFill="1" applyBorder="1"/>
    <xf numFmtId="10" fontId="5" fillId="8" borderId="0" xfId="17" applyNumberFormat="1" applyFont="1" applyFill="1" applyBorder="1"/>
    <xf numFmtId="43" fontId="5" fillId="10" borderId="66" xfId="0" applyNumberFormat="1" applyFont="1" applyFill="1" applyBorder="1"/>
    <xf numFmtId="43" fontId="6" fillId="0" borderId="66" xfId="82" applyNumberFormat="1" applyFont="1" applyFill="1" applyBorder="1" applyAlignment="1">
      <alignment horizontal="right"/>
    </xf>
    <xf numFmtId="43" fontId="6" fillId="0" borderId="66" xfId="82" quotePrefix="1" applyNumberFormat="1" applyFont="1" applyFill="1" applyBorder="1" applyAlignment="1">
      <alignment horizontal="center"/>
    </xf>
    <xf numFmtId="43" fontId="5" fillId="0" borderId="66" xfId="82" applyNumberFormat="1" applyFont="1" applyFill="1" applyBorder="1"/>
    <xf numFmtId="43" fontId="5" fillId="0" borderId="66" xfId="82" quotePrefix="1" applyNumberFormat="1" applyFont="1" applyFill="1" applyBorder="1" applyAlignment="1">
      <alignment horizontal="left"/>
    </xf>
    <xf numFmtId="164" fontId="5" fillId="13" borderId="19" xfId="76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52" fillId="0" borderId="98" xfId="0" applyFont="1" applyFill="1" applyBorder="1" applyAlignment="1">
      <alignment horizontal="center" vertical="center"/>
    </xf>
    <xf numFmtId="14" fontId="52" fillId="0" borderId="89" xfId="0" applyNumberFormat="1" applyFont="1" applyFill="1" applyBorder="1" applyAlignment="1">
      <alignment horizontal="center" vertical="center"/>
    </xf>
    <xf numFmtId="14" fontId="52" fillId="0" borderId="98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horizontal="left"/>
    </xf>
    <xf numFmtId="0" fontId="5" fillId="0" borderId="94" xfId="0" applyFont="1" applyFill="1" applyBorder="1" applyAlignment="1">
      <alignment horizontal="left"/>
    </xf>
    <xf numFmtId="0" fontId="5" fillId="0" borderId="95" xfId="0" applyFont="1" applyFill="1" applyBorder="1"/>
    <xf numFmtId="165" fontId="5" fillId="0" borderId="14" xfId="17" applyNumberFormat="1" applyFont="1" applyFill="1" applyBorder="1"/>
    <xf numFmtId="37" fontId="5" fillId="0" borderId="14" xfId="0" applyNumberFormat="1" applyFont="1" applyFill="1" applyBorder="1"/>
    <xf numFmtId="37" fontId="5" fillId="0" borderId="78" xfId="0" applyNumberFormat="1" applyFont="1" applyFill="1" applyBorder="1" applyProtection="1"/>
    <xf numFmtId="37" fontId="5" fillId="0" borderId="90" xfId="0" applyNumberFormat="1" applyFont="1" applyFill="1" applyBorder="1" applyProtection="1"/>
    <xf numFmtId="39" fontId="5" fillId="0" borderId="0" xfId="0" applyNumberFormat="1" applyFont="1" applyFill="1" applyAlignment="1">
      <alignment horizontal="left"/>
    </xf>
    <xf numFmtId="164" fontId="5" fillId="0" borderId="14" xfId="80" applyNumberFormat="1" applyFont="1" applyFill="1" applyBorder="1"/>
    <xf numFmtId="164" fontId="5" fillId="0" borderId="0" xfId="80" applyNumberFormat="1" applyFont="1" applyFill="1" applyBorder="1"/>
    <xf numFmtId="0" fontId="76" fillId="0" borderId="0" xfId="0" applyFont="1" applyFill="1" applyAlignment="1">
      <alignment horizontal="right"/>
    </xf>
    <xf numFmtId="37" fontId="5" fillId="0" borderId="99" xfId="0" applyNumberFormat="1" applyFont="1" applyFill="1" applyBorder="1" applyProtection="1"/>
    <xf numFmtId="37" fontId="5" fillId="0" borderId="100" xfId="0" applyNumberFormat="1" applyFont="1" applyFill="1" applyBorder="1" applyProtection="1"/>
    <xf numFmtId="37" fontId="5" fillId="0" borderId="80" xfId="0" applyNumberFormat="1" applyFont="1" applyFill="1" applyBorder="1"/>
    <xf numFmtId="37" fontId="5" fillId="0" borderId="72" xfId="0" applyNumberFormat="1" applyFont="1" applyFill="1" applyBorder="1" applyAlignment="1" applyProtection="1">
      <alignment horizontal="centerContinuous"/>
    </xf>
    <xf numFmtId="0" fontId="5" fillId="0" borderId="86" xfId="1" applyNumberFormat="1" applyFont="1" applyFill="1" applyBorder="1" applyAlignment="1" applyProtection="1">
      <alignment horizontal="center"/>
    </xf>
    <xf numFmtId="37" fontId="52" fillId="0" borderId="78" xfId="0" applyNumberFormat="1" applyFont="1" applyFill="1" applyBorder="1" applyProtection="1"/>
    <xf numFmtId="164" fontId="52" fillId="0" borderId="78" xfId="80" applyNumberFormat="1" applyFont="1" applyFill="1" applyBorder="1" applyAlignment="1">
      <alignment horizontal="center"/>
    </xf>
    <xf numFmtId="164" fontId="5" fillId="0" borderId="78" xfId="1" applyNumberFormat="1" applyFont="1" applyFill="1" applyBorder="1" applyAlignment="1">
      <alignment horizontal="center"/>
    </xf>
    <xf numFmtId="192" fontId="48" fillId="0" borderId="0" xfId="1" applyNumberFormat="1" applyFont="1" applyFill="1" applyBorder="1"/>
    <xf numFmtId="178" fontId="48" fillId="0" borderId="0" xfId="0" applyNumberFormat="1" applyFont="1" applyFill="1" applyBorder="1" applyProtection="1"/>
    <xf numFmtId="3" fontId="5" fillId="14" borderId="0" xfId="0" applyNumberFormat="1" applyFont="1" applyFill="1"/>
    <xf numFmtId="0" fontId="5" fillId="14" borderId="0" xfId="0" applyFont="1" applyFill="1"/>
    <xf numFmtId="3" fontId="5" fillId="5" borderId="0" xfId="0" applyNumberFormat="1" applyFont="1" applyFill="1"/>
    <xf numFmtId="0" fontId="5" fillId="5" borderId="0" xfId="0" applyFont="1" applyFill="1"/>
    <xf numFmtId="6" fontId="6" fillId="0" borderId="0" xfId="5" applyNumberFormat="1" applyFont="1" applyFill="1" applyAlignment="1">
      <alignment horizontal="center"/>
    </xf>
    <xf numFmtId="0" fontId="6" fillId="0" borderId="78" xfId="0" applyFont="1" applyFill="1" applyBorder="1"/>
    <xf numFmtId="164" fontId="5" fillId="0" borderId="0" xfId="0" applyNumberFormat="1" applyFont="1" applyFill="1" applyAlignment="1">
      <alignment horizontal="right"/>
    </xf>
    <xf numFmtId="10" fontId="5" fillId="0" borderId="66" xfId="0" applyNumberFormat="1" applyFont="1" applyFill="1" applyBorder="1"/>
    <xf numFmtId="10" fontId="5" fillId="0" borderId="86" xfId="17" applyNumberFormat="1" applyFont="1" applyFill="1" applyBorder="1"/>
    <xf numFmtId="193" fontId="5" fillId="0" borderId="0" xfId="0" applyNumberFormat="1" applyFont="1" applyFill="1"/>
    <xf numFmtId="43" fontId="5" fillId="0" borderId="86" xfId="1" applyNumberFormat="1" applyFont="1" applyFill="1" applyBorder="1"/>
    <xf numFmtId="43" fontId="5" fillId="0" borderId="86" xfId="1" applyFont="1" applyFill="1" applyBorder="1"/>
    <xf numFmtId="0" fontId="5" fillId="0" borderId="78" xfId="0" quotePrefix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41" fontId="5" fillId="0" borderId="0" xfId="0" applyNumberFormat="1" applyFont="1" applyFill="1"/>
    <xf numFmtId="164" fontId="77" fillId="0" borderId="0" xfId="0" applyNumberFormat="1" applyFont="1" applyFill="1"/>
    <xf numFmtId="43" fontId="0" fillId="0" borderId="19" xfId="1" applyFont="1" applyFill="1" applyBorder="1"/>
    <xf numFmtId="164" fontId="0" fillId="0" borderId="19" xfId="1" applyNumberFormat="1" applyFont="1" applyFill="1" applyBorder="1"/>
    <xf numFmtId="37" fontId="6" fillId="0" borderId="1" xfId="1" applyNumberFormat="1" applyFont="1" applyFill="1" applyBorder="1" applyAlignment="1">
      <alignment horizontal="center"/>
    </xf>
    <xf numFmtId="0" fontId="6" fillId="0" borderId="0" xfId="0" quotePrefix="1" applyFont="1" applyFill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Alignment="1">
      <alignment horizontal="center"/>
    </xf>
    <xf numFmtId="49" fontId="6" fillId="0" borderId="1" xfId="1" applyNumberFormat="1" applyFont="1" applyFill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14" xfId="1" applyNumberFormat="1" applyFont="1" applyFill="1" applyBorder="1" applyAlignment="1">
      <alignment horizontal="center"/>
    </xf>
    <xf numFmtId="172" fontId="6" fillId="0" borderId="0" xfId="1" applyNumberFormat="1" applyFont="1" applyFill="1" applyBorder="1" applyAlignment="1">
      <alignment horizontal="center"/>
    </xf>
    <xf numFmtId="49" fontId="6" fillId="0" borderId="20" xfId="1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horizontal="center"/>
    </xf>
    <xf numFmtId="0" fontId="6" fillId="0" borderId="0" xfId="1" applyNumberFormat="1" applyFont="1" applyFill="1" applyAlignment="1"/>
    <xf numFmtId="0" fontId="6" fillId="0" borderId="0" xfId="1" applyNumberFormat="1" applyFont="1" applyFill="1" applyAlignment="1">
      <alignment horizontal="center"/>
    </xf>
    <xf numFmtId="164" fontId="46" fillId="0" borderId="1" xfId="1" applyNumberFormat="1" applyFont="1" applyFill="1" applyBorder="1" applyAlignment="1">
      <alignment horizontal="center"/>
    </xf>
    <xf numFmtId="164" fontId="46" fillId="0" borderId="65" xfId="1" applyNumberFormat="1" applyFont="1" applyFill="1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9" fillId="0" borderId="71" xfId="0" applyFont="1" applyFill="1" applyBorder="1" applyAlignment="1">
      <alignment horizontal="center"/>
    </xf>
    <xf numFmtId="0" fontId="1" fillId="0" borderId="0" xfId="130" applyFill="1" applyAlignment="1">
      <alignment horizontal="center"/>
    </xf>
    <xf numFmtId="0" fontId="25" fillId="0" borderId="0" xfId="74" applyFont="1" applyFill="1" applyAlignment="1">
      <alignment horizontal="center"/>
    </xf>
    <xf numFmtId="0" fontId="6" fillId="0" borderId="0" xfId="0" quotePrefix="1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0" fontId="63" fillId="0" borderId="91" xfId="0" applyNumberFormat="1" applyFont="1" applyFill="1" applyBorder="1" applyAlignment="1">
      <alignment horizontal="center"/>
    </xf>
    <xf numFmtId="0" fontId="63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18" fillId="0" borderId="93" xfId="0" applyFont="1" applyFill="1" applyBorder="1" applyAlignment="1">
      <alignment horizontal="left"/>
    </xf>
    <xf numFmtId="0" fontId="18" fillId="0" borderId="94" xfId="0" applyFont="1" applyFill="1" applyBorder="1" applyAlignment="1">
      <alignment horizontal="left"/>
    </xf>
    <xf numFmtId="0" fontId="18" fillId="0" borderId="95" xfId="0" applyFont="1" applyFill="1" applyBorder="1" applyAlignment="1">
      <alignment horizontal="left"/>
    </xf>
    <xf numFmtId="0" fontId="6" fillId="0" borderId="93" xfId="0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/>
    </xf>
    <xf numFmtId="164" fontId="63" fillId="0" borderId="0" xfId="0" quotePrefix="1" applyNumberFormat="1" applyFont="1" applyFill="1" applyAlignment="1">
      <alignment horizontal="center"/>
    </xf>
    <xf numFmtId="164" fontId="6" fillId="0" borderId="14" xfId="0" quotePrefix="1" applyNumberFormat="1" applyFont="1" applyFill="1" applyBorder="1" applyAlignment="1">
      <alignment horizontal="center"/>
    </xf>
    <xf numFmtId="164" fontId="6" fillId="0" borderId="0" xfId="0" quotePrefix="1" applyNumberFormat="1" applyFont="1" applyFill="1" applyBorder="1" applyAlignment="1">
      <alignment horizontal="center"/>
    </xf>
    <xf numFmtId="0" fontId="63" fillId="0" borderId="0" xfId="0" quotePrefix="1" applyNumberFormat="1" applyFont="1" applyFill="1" applyAlignment="1">
      <alignment horizontal="center"/>
    </xf>
    <xf numFmtId="0" fontId="5" fillId="0" borderId="86" xfId="0" quotePrefix="1" applyFont="1" applyFill="1" applyBorder="1" applyAlignment="1">
      <alignment horizontal="left"/>
    </xf>
    <xf numFmtId="0" fontId="0" fillId="0" borderId="86" xfId="0" quotePrefix="1" applyFill="1" applyBorder="1" applyAlignment="1">
      <alignment horizontal="left"/>
    </xf>
  </cellXfs>
  <cellStyles count="131">
    <cellStyle name="20% - Accent2" xfId="130" builtinId="34"/>
    <cellStyle name="Comma" xfId="1" builtinId="3"/>
    <cellStyle name="Comma 10" xfId="122"/>
    <cellStyle name="Comma 2" xfId="2"/>
    <cellStyle name="Comma 2 2" xfId="87"/>
    <cellStyle name="Comma 3" xfId="3"/>
    <cellStyle name="Comma 3 2" xfId="80"/>
    <cellStyle name="Comma 4" xfId="66"/>
    <cellStyle name="Comma 5" xfId="82"/>
    <cellStyle name="Comma 6" xfId="78"/>
    <cellStyle name="Comma 7" xfId="86"/>
    <cellStyle name="Comma 8" xfId="4"/>
    <cellStyle name="Currency" xfId="5" builtinId="4"/>
    <cellStyle name="Currency 2" xfId="88"/>
    <cellStyle name="Currency 3" xfId="128"/>
    <cellStyle name="Hyperlink" xfId="6" builtinId="8"/>
    <cellStyle name="Normal" xfId="0" builtinId="0"/>
    <cellStyle name="Normal 10" xfId="81"/>
    <cellStyle name="Normal 11" xfId="7"/>
    <cellStyle name="Normal 12" xfId="8"/>
    <cellStyle name="Normal 13" xfId="9"/>
    <cellStyle name="Normal 14" xfId="10"/>
    <cellStyle name="Normal 15" xfId="85"/>
    <cellStyle name="Normal 16" xfId="125"/>
    <cellStyle name="Normal 17" xfId="127"/>
    <cellStyle name="Normal 19" xfId="11"/>
    <cellStyle name="Normal 19 2" xfId="89"/>
    <cellStyle name="Normal 2" xfId="12"/>
    <cellStyle name="Normal 2 2" xfId="124"/>
    <cellStyle name="Normal 3" xfId="13"/>
    <cellStyle name="Normal 3 2" xfId="126"/>
    <cellStyle name="Normal 4" xfId="59"/>
    <cellStyle name="Normal 4 2" xfId="108"/>
    <cellStyle name="Normal 5" xfId="14"/>
    <cellStyle name="Normal 6" xfId="67"/>
    <cellStyle name="Normal 6 2" xfId="115"/>
    <cellStyle name="Normal 7" xfId="15"/>
    <cellStyle name="Normal 8" xfId="16"/>
    <cellStyle name="Normal 9" xfId="76"/>
    <cellStyle name="Normal 9 2" xfId="129"/>
    <cellStyle name="Normal_QGC Exhibit 5.08" xfId="75"/>
    <cellStyle name="Normal_QGC Exhibit 5.17" xfId="74"/>
    <cellStyle name="Normal_QGC Exhibit 5.21" xfId="79"/>
    <cellStyle name="Note" xfId="123" builtinId="10"/>
    <cellStyle name="Percent" xfId="17" builtinId="5"/>
    <cellStyle name="Percent 2" xfId="18"/>
    <cellStyle name="Percent 3" xfId="19"/>
    <cellStyle name="Percent 3 2" xfId="91"/>
    <cellStyle name="Percent 4" xfId="90"/>
    <cellStyle name="Percent 5" xfId="77"/>
    <cellStyle name="Percent 6" xfId="84"/>
    <cellStyle name="PSChar" xfId="20"/>
    <cellStyle name="PSChar 10" xfId="92"/>
    <cellStyle name="PSChar 2" xfId="21"/>
    <cellStyle name="PSChar 3" xfId="22"/>
    <cellStyle name="PSChar 4" xfId="23"/>
    <cellStyle name="PSChar 5" xfId="24"/>
    <cellStyle name="PSChar 6" xfId="25"/>
    <cellStyle name="PSChar 7" xfId="26"/>
    <cellStyle name="PSChar 7 2" xfId="93"/>
    <cellStyle name="PSChar 8" xfId="60"/>
    <cellStyle name="PSChar 8 2" xfId="109"/>
    <cellStyle name="PSChar 9" xfId="68"/>
    <cellStyle name="PSChar 9 2" xfId="116"/>
    <cellStyle name="PSDate" xfId="27"/>
    <cellStyle name="PSDate 10" xfId="94"/>
    <cellStyle name="PSDate 2" xfId="28"/>
    <cellStyle name="PSDate 3" xfId="29"/>
    <cellStyle name="PSDate 4" xfId="30"/>
    <cellStyle name="PSDate 5" xfId="31"/>
    <cellStyle name="PSDate 6" xfId="32"/>
    <cellStyle name="PSDate 7" xfId="33"/>
    <cellStyle name="PSDate 7 2" xfId="95"/>
    <cellStyle name="PSDate 8" xfId="61"/>
    <cellStyle name="PSDate 8 2" xfId="110"/>
    <cellStyle name="PSDate 9" xfId="69"/>
    <cellStyle name="PSDate 9 2" xfId="117"/>
    <cellStyle name="PSDec" xfId="34"/>
    <cellStyle name="PSDec 10" xfId="96"/>
    <cellStyle name="PSDec 2" xfId="35"/>
    <cellStyle name="PSDec 3" xfId="36"/>
    <cellStyle name="PSDec 4" xfId="37"/>
    <cellStyle name="PSDec 5" xfId="38"/>
    <cellStyle name="PSDec 6" xfId="39"/>
    <cellStyle name="PSDec 7" xfId="40"/>
    <cellStyle name="PSDec 7 2" xfId="97"/>
    <cellStyle name="PSDec 8" xfId="62"/>
    <cellStyle name="PSDec 8 2" xfId="111"/>
    <cellStyle name="PSDec 9" xfId="70"/>
    <cellStyle name="PSDec 9 2" xfId="118"/>
    <cellStyle name="PSHeading" xfId="41"/>
    <cellStyle name="PSHeading 10" xfId="98"/>
    <cellStyle name="PSHeading 2" xfId="42"/>
    <cellStyle name="PSHeading 2 2" xfId="99"/>
    <cellStyle name="PSHeading 3" xfId="43"/>
    <cellStyle name="PSHeading 3 2" xfId="100"/>
    <cellStyle name="PSHeading 4" xfId="44"/>
    <cellStyle name="PSHeading 4 2" xfId="101"/>
    <cellStyle name="PSHeading 5" xfId="45"/>
    <cellStyle name="PSHeading 5 2" xfId="102"/>
    <cellStyle name="PSHeading 6" xfId="46"/>
    <cellStyle name="PSHeading 6 2" xfId="103"/>
    <cellStyle name="PSHeading 7" xfId="63"/>
    <cellStyle name="PSHeading 7 2" xfId="112"/>
    <cellStyle name="PSHeading 8" xfId="71"/>
    <cellStyle name="PSHeading 8 2" xfId="119"/>
    <cellStyle name="PSHeading 9" xfId="83"/>
    <cellStyle name="PSInt" xfId="47"/>
    <cellStyle name="PSInt 2" xfId="48"/>
    <cellStyle name="PSInt 3" xfId="49"/>
    <cellStyle name="PSInt 4" xfId="50"/>
    <cellStyle name="PSInt 5" xfId="51"/>
    <cellStyle name="PSInt 6" xfId="52"/>
    <cellStyle name="PSInt 6 2" xfId="105"/>
    <cellStyle name="PSInt 7" xfId="64"/>
    <cellStyle name="PSInt 7 2" xfId="113"/>
    <cellStyle name="PSInt 8" xfId="72"/>
    <cellStyle name="PSInt 8 2" xfId="120"/>
    <cellStyle name="PSInt 9" xfId="104"/>
    <cellStyle name="PSSpacer" xfId="53"/>
    <cellStyle name="PSSpacer 2" xfId="54"/>
    <cellStyle name="PSSpacer 3" xfId="55"/>
    <cellStyle name="PSSpacer 4" xfId="56"/>
    <cellStyle name="PSSpacer 5" xfId="57"/>
    <cellStyle name="PSSpacer 6" xfId="58"/>
    <cellStyle name="PSSpacer 6 2" xfId="107"/>
    <cellStyle name="PSSpacer 7" xfId="65"/>
    <cellStyle name="PSSpacer 7 2" xfId="114"/>
    <cellStyle name="PSSpacer 8" xfId="73"/>
    <cellStyle name="PSSpacer 8 2" xfId="121"/>
    <cellStyle name="PSSpacer 9" xfId="10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59"/>
          <c:y val="0.24242495982765144"/>
          <c:w val="0.53043534565572459"/>
          <c:h val="0.660608015530359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1952"/>
        <c:axId val="221405872"/>
      </c:lineChart>
      <c:catAx>
        <c:axId val="2214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0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1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39"/>
          <c:y val="1.4645669291338731E-2"/>
          <c:w val="0.17873498207090427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88" r="0.75000000000000588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54"/>
          <c:y val="0.24242495982765144"/>
          <c:w val="0.53043534565572459"/>
          <c:h val="0.660608015530359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0776"/>
        <c:axId val="221403128"/>
      </c:lineChart>
      <c:catAx>
        <c:axId val="221400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3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03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0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39"/>
          <c:y val="1.4645669291338731E-2"/>
          <c:w val="0.17873498207090427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11" r="0.75000000000000611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87"/>
          <c:y val="0.24242495982765144"/>
          <c:w val="0.53043534565572459"/>
          <c:h val="0.6606080155303565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1560"/>
        <c:axId val="221402344"/>
      </c:lineChart>
      <c:catAx>
        <c:axId val="22140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2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02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1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9"/>
          <c:y val="1.4645669291338691E-2"/>
          <c:w val="0.17873498207090363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84"/>
          <c:y val="0.24242495982765144"/>
          <c:w val="0.53043534565572459"/>
          <c:h val="0.66060801553035686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0384"/>
        <c:axId val="221401168"/>
      </c:lineChart>
      <c:catAx>
        <c:axId val="2214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0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0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9"/>
          <c:y val="1.4645669291338691E-2"/>
          <c:w val="0.17873498207090363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59"/>
          <c:y val="0.24242495982765144"/>
          <c:w val="0.53043534565572459"/>
          <c:h val="0.660608015530359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6264"/>
        <c:axId val="221405088"/>
      </c:lineChart>
      <c:catAx>
        <c:axId val="22140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0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6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39"/>
          <c:y val="1.4645669291338731E-2"/>
          <c:w val="0.17873498207090427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88" r="0.75000000000000588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54"/>
          <c:y val="0.24242495982765144"/>
          <c:w val="0.53043534565572459"/>
          <c:h val="0.660608015530359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06656"/>
        <c:axId val="226956944"/>
      </c:lineChart>
      <c:catAx>
        <c:axId val="221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95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95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406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39"/>
          <c:y val="1.4645669291338731E-2"/>
          <c:w val="0.17873498207090427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11" r="0.75000000000000611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2543175</xdr:colOff>
          <xdr:row>31</xdr:row>
          <xdr:rowOff>123825</xdr:rowOff>
        </xdr:from>
        <xdr:to>
          <xdr:col>3</xdr:col>
          <xdr:colOff>2543175</xdr:colOff>
          <xdr:row>31</xdr:row>
          <xdr:rowOff>123825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2543175</xdr:colOff>
          <xdr:row>75</xdr:row>
          <xdr:rowOff>123825</xdr:rowOff>
        </xdr:from>
        <xdr:to>
          <xdr:col>3</xdr:col>
          <xdr:colOff>2543175</xdr:colOff>
          <xdr:row>75</xdr:row>
          <xdr:rowOff>123825</xdr:rowOff>
        </xdr:to>
        <xdr:sp macro="" textlink="">
          <xdr:nvSpPr>
            <xdr:cNvPr id="160079" name="Button 13647" hidden="1">
              <a:extLst>
                <a:ext uri="{63B3BB69-23CF-44E3-9099-C40C66FF867C}">
                  <a14:compatExt spid="_x0000_s160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2543175</xdr:colOff>
          <xdr:row>31</xdr:row>
          <xdr:rowOff>123825</xdr:rowOff>
        </xdr:from>
        <xdr:to>
          <xdr:col>3</xdr:col>
          <xdr:colOff>2543175</xdr:colOff>
          <xdr:row>31</xdr:row>
          <xdr:rowOff>123825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2543175</xdr:colOff>
          <xdr:row>75</xdr:row>
          <xdr:rowOff>123825</xdr:rowOff>
        </xdr:from>
        <xdr:to>
          <xdr:col>3</xdr:col>
          <xdr:colOff>2543175</xdr:colOff>
          <xdr:row>75</xdr:row>
          <xdr:rowOff>123825</xdr:rowOff>
        </xdr:to>
        <xdr:sp macro="" textlink="">
          <xdr:nvSpPr>
            <xdr:cNvPr id="160176" name="Button 13744" hidden="1">
              <a:extLst>
                <a:ext uri="{63B3BB69-23CF-44E3-9099-C40C66FF867C}">
                  <a14:compatExt spid="_x0000_s160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85725</xdr:rowOff>
        </xdr:from>
        <xdr:to>
          <xdr:col>0</xdr:col>
          <xdr:colOff>219075</xdr:colOff>
          <xdr:row>1</xdr:row>
          <xdr:rowOff>142875</xdr:rowOff>
        </xdr:to>
        <xdr:sp macro="" textlink="">
          <xdr:nvSpPr>
            <xdr:cNvPr id="64050" name="Button 8754" hidden="1">
              <a:extLst>
                <a:ext uri="{63B3BB69-23CF-44E3-9099-C40C66FF867C}">
                  <a14:compatExt spid="_x0000_s6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85725</xdr:rowOff>
        </xdr:to>
        <xdr:sp macro="" textlink="">
          <xdr:nvSpPr>
            <xdr:cNvPr id="95233" name="Button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123825</xdr:rowOff>
        </xdr:from>
        <xdr:to>
          <xdr:col>1</xdr:col>
          <xdr:colOff>0</xdr:colOff>
          <xdr:row>1</xdr:row>
          <xdr:rowOff>142875</xdr:rowOff>
        </xdr:to>
        <xdr:sp macro="" textlink="">
          <xdr:nvSpPr>
            <xdr:cNvPr id="16809985" name="Button 1" hidden="1">
              <a:extLst>
                <a:ext uri="{63B3BB69-23CF-44E3-9099-C40C66FF867C}">
                  <a14:compatExt spid="_x0000_s16809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4</xdr:row>
          <xdr:rowOff>85725</xdr:rowOff>
        </xdr:from>
        <xdr:to>
          <xdr:col>0</xdr:col>
          <xdr:colOff>676275</xdr:colOff>
          <xdr:row>5</xdr:row>
          <xdr:rowOff>104775</xdr:rowOff>
        </xdr:to>
        <xdr:sp macro="" textlink="">
          <xdr:nvSpPr>
            <xdr:cNvPr id="41025" name="Button 65" hidden="1">
              <a:extLst>
                <a:ext uri="{63B3BB69-23CF-44E3-9099-C40C66FF867C}">
                  <a14:compatExt spid="_x0000_s4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4</xdr:row>
          <xdr:rowOff>85725</xdr:rowOff>
        </xdr:from>
        <xdr:to>
          <xdr:col>0</xdr:col>
          <xdr:colOff>676275</xdr:colOff>
          <xdr:row>5</xdr:row>
          <xdr:rowOff>104775</xdr:rowOff>
        </xdr:to>
        <xdr:sp macro="" textlink="">
          <xdr:nvSpPr>
            <xdr:cNvPr id="4439072" name="Button 1056" hidden="1">
              <a:extLst>
                <a:ext uri="{63B3BB69-23CF-44E3-9099-C40C66FF867C}">
                  <a14:compatExt spid="_x0000_s4439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0</xdr:row>
          <xdr:rowOff>66675</xdr:rowOff>
        </xdr:from>
        <xdr:to>
          <xdr:col>0</xdr:col>
          <xdr:colOff>714375</xdr:colOff>
          <xdr:row>1</xdr:row>
          <xdr:rowOff>85725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1803</xdr:row>
          <xdr:rowOff>47625</xdr:rowOff>
        </xdr:from>
        <xdr:to>
          <xdr:col>1</xdr:col>
          <xdr:colOff>238125</xdr:colOff>
          <xdr:row>1804</xdr:row>
          <xdr:rowOff>85725</xdr:rowOff>
        </xdr:to>
        <xdr:sp macro="" textlink="">
          <xdr:nvSpPr>
            <xdr:cNvPr id="17155074" name="Button 2" hidden="1">
              <a:extLst>
                <a:ext uri="{63B3BB69-23CF-44E3-9099-C40C66FF867C}">
                  <a14:compatExt spid="_x0000_s1715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1803</xdr:row>
          <xdr:rowOff>47625</xdr:rowOff>
        </xdr:from>
        <xdr:to>
          <xdr:col>1</xdr:col>
          <xdr:colOff>238125</xdr:colOff>
          <xdr:row>1804</xdr:row>
          <xdr:rowOff>85725</xdr:rowOff>
        </xdr:to>
        <xdr:sp macro="" textlink="">
          <xdr:nvSpPr>
            <xdr:cNvPr id="17155075" name="Button 3" hidden="1">
              <a:extLst>
                <a:ext uri="{63B3BB69-23CF-44E3-9099-C40C66FF867C}">
                  <a14:compatExt spid="_x0000_s1715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8146" name="Button 2" hidden="1">
              <a:extLst>
                <a:ext uri="{63B3BB69-23CF-44E3-9099-C40C66FF867C}">
                  <a14:compatExt spid="_x0000_s17158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8147" name="Button 3" hidden="1">
              <a:extLst>
                <a:ext uri="{63B3BB69-23CF-44E3-9099-C40C66FF867C}">
                  <a14:compatExt spid="_x0000_s17158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8149" name="Button 5" hidden="1">
              <a:extLst>
                <a:ext uri="{63B3BB69-23CF-44E3-9099-C40C66FF867C}">
                  <a14:compatExt spid="_x0000_s17158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8150" name="Button 6" hidden="1">
              <a:extLst>
                <a:ext uri="{63B3BB69-23CF-44E3-9099-C40C66FF867C}">
                  <a14:compatExt spid="_x0000_s17158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9170" name="Button 2" hidden="1">
              <a:extLst>
                <a:ext uri="{63B3BB69-23CF-44E3-9099-C40C66FF867C}">
                  <a14:compatExt spid="_x0000_s17159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9171" name="Button 3" hidden="1">
              <a:extLst>
                <a:ext uri="{63B3BB69-23CF-44E3-9099-C40C66FF867C}">
                  <a14:compatExt spid="_x0000_s17159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9173" name="Button 5" hidden="1">
              <a:extLst>
                <a:ext uri="{63B3BB69-23CF-44E3-9099-C40C66FF867C}">
                  <a14:compatExt spid="_x0000_s17159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59174" name="Button 6" hidden="1">
              <a:extLst>
                <a:ext uri="{63B3BB69-23CF-44E3-9099-C40C66FF867C}">
                  <a14:compatExt spid="_x0000_s17159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0194" name="Button 2" hidden="1">
              <a:extLst>
                <a:ext uri="{63B3BB69-23CF-44E3-9099-C40C66FF867C}">
                  <a14:compatExt spid="_x0000_s17160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0195" name="Button 3" hidden="1">
              <a:extLst>
                <a:ext uri="{63B3BB69-23CF-44E3-9099-C40C66FF867C}">
                  <a14:compatExt spid="_x0000_s17160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0197" name="Button 5" hidden="1">
              <a:extLst>
                <a:ext uri="{63B3BB69-23CF-44E3-9099-C40C66FF867C}">
                  <a14:compatExt spid="_x0000_s17160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0198" name="Button 6" hidden="1">
              <a:extLst>
                <a:ext uri="{63B3BB69-23CF-44E3-9099-C40C66FF867C}">
                  <a14:compatExt spid="_x0000_s17160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1218" name="Button 2" hidden="1">
              <a:extLst>
                <a:ext uri="{63B3BB69-23CF-44E3-9099-C40C66FF867C}">
                  <a14:compatExt spid="_x0000_s1716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1219" name="Button 3" hidden="1">
              <a:extLst>
                <a:ext uri="{63B3BB69-23CF-44E3-9099-C40C66FF867C}">
                  <a14:compatExt spid="_x0000_s1716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1221" name="Button 5" hidden="1">
              <a:extLst>
                <a:ext uri="{63B3BB69-23CF-44E3-9099-C40C66FF867C}">
                  <a14:compatExt spid="_x0000_s1716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61222" name="Button 6" hidden="1">
              <a:extLst>
                <a:ext uri="{63B3BB69-23CF-44E3-9099-C40C66FF867C}">
                  <a14:compatExt spid="_x0000_s1716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4</xdr:row>
          <xdr:rowOff>104775</xdr:rowOff>
        </xdr:from>
        <xdr:to>
          <xdr:col>1</xdr:col>
          <xdr:colOff>190500</xdr:colOff>
          <xdr:row>5</xdr:row>
          <xdr:rowOff>123825</xdr:rowOff>
        </xdr:to>
        <xdr:sp macro="" textlink="">
          <xdr:nvSpPr>
            <xdr:cNvPr id="70733" name="Button 19533" hidden="1">
              <a:extLst>
                <a:ext uri="{63B3BB69-23CF-44E3-9099-C40C66FF867C}">
                  <a14:compatExt spid="_x0000_s70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4</xdr:row>
          <xdr:rowOff>104775</xdr:rowOff>
        </xdr:from>
        <xdr:to>
          <xdr:col>1</xdr:col>
          <xdr:colOff>190500</xdr:colOff>
          <xdr:row>5</xdr:row>
          <xdr:rowOff>123825</xdr:rowOff>
        </xdr:to>
        <xdr:sp macro="" textlink="">
          <xdr:nvSpPr>
            <xdr:cNvPr id="4112454" name="Button 20550" hidden="1">
              <a:extLst>
                <a:ext uri="{63B3BB69-23CF-44E3-9099-C40C66FF867C}">
                  <a14:compatExt spid="_x0000_s41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1938" name="Button 2" hidden="1">
              <a:extLst>
                <a:ext uri="{63B3BB69-23CF-44E3-9099-C40C66FF867C}">
                  <a14:compatExt spid="_x0000_s1719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1939" name="Button 3" hidden="1">
              <a:extLst>
                <a:ext uri="{63B3BB69-23CF-44E3-9099-C40C66FF867C}">
                  <a14:compatExt spid="_x0000_s1719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1941" name="Button 5" hidden="1">
              <a:extLst>
                <a:ext uri="{63B3BB69-23CF-44E3-9099-C40C66FF867C}">
                  <a14:compatExt spid="_x0000_s1719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1942" name="Button 6" hidden="1">
              <a:extLst>
                <a:ext uri="{63B3BB69-23CF-44E3-9099-C40C66FF867C}">
                  <a14:compatExt spid="_x0000_s1719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2962" name="Button 2" hidden="1">
              <a:extLst>
                <a:ext uri="{63B3BB69-23CF-44E3-9099-C40C66FF867C}">
                  <a14:compatExt spid="_x0000_s1719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2963" name="Button 3" hidden="1">
              <a:extLst>
                <a:ext uri="{63B3BB69-23CF-44E3-9099-C40C66FF867C}">
                  <a14:compatExt spid="_x0000_s1719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2965" name="Button 5" hidden="1">
              <a:extLst>
                <a:ext uri="{63B3BB69-23CF-44E3-9099-C40C66FF867C}">
                  <a14:compatExt spid="_x0000_s1719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2966" name="Button 6" hidden="1">
              <a:extLst>
                <a:ext uri="{63B3BB69-23CF-44E3-9099-C40C66FF867C}">
                  <a14:compatExt spid="_x0000_s1719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3986" name="Button 2" hidden="1">
              <a:extLst>
                <a:ext uri="{63B3BB69-23CF-44E3-9099-C40C66FF867C}">
                  <a14:compatExt spid="_x0000_s1719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3987" name="Button 3" hidden="1">
              <a:extLst>
                <a:ext uri="{63B3BB69-23CF-44E3-9099-C40C66FF867C}">
                  <a14:compatExt spid="_x0000_s1719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3989" name="Button 5" hidden="1">
              <a:extLst>
                <a:ext uri="{63B3BB69-23CF-44E3-9099-C40C66FF867C}">
                  <a14:compatExt spid="_x0000_s1719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3990" name="Button 6" hidden="1">
              <a:extLst>
                <a:ext uri="{63B3BB69-23CF-44E3-9099-C40C66FF867C}">
                  <a14:compatExt spid="_x0000_s1719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5010" name="Button 2" hidden="1">
              <a:extLst>
                <a:ext uri="{63B3BB69-23CF-44E3-9099-C40C66FF867C}">
                  <a14:compatExt spid="_x0000_s17195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5011" name="Button 3" hidden="1">
              <a:extLst>
                <a:ext uri="{63B3BB69-23CF-44E3-9099-C40C66FF867C}">
                  <a14:compatExt spid="_x0000_s17195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5013" name="Button 5" hidden="1">
              <a:extLst>
                <a:ext uri="{63B3BB69-23CF-44E3-9099-C40C66FF867C}">
                  <a14:compatExt spid="_x0000_s17195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5014" name="Button 6" hidden="1">
              <a:extLst>
                <a:ext uri="{63B3BB69-23CF-44E3-9099-C40C66FF867C}">
                  <a14:compatExt spid="_x0000_s17195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6034" name="Button 2" hidden="1">
              <a:extLst>
                <a:ext uri="{63B3BB69-23CF-44E3-9099-C40C66FF867C}">
                  <a14:compatExt spid="_x0000_s1719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6035" name="Button 3" hidden="1">
              <a:extLst>
                <a:ext uri="{63B3BB69-23CF-44E3-9099-C40C66FF867C}">
                  <a14:compatExt spid="_x0000_s1719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6037" name="Button 5" hidden="1">
              <a:extLst>
                <a:ext uri="{63B3BB69-23CF-44E3-9099-C40C66FF867C}">
                  <a14:compatExt spid="_x0000_s1719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6038" name="Button 6" hidden="1">
              <a:extLst>
                <a:ext uri="{63B3BB69-23CF-44E3-9099-C40C66FF867C}">
                  <a14:compatExt spid="_x0000_s1719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7058" name="Button 2" hidden="1">
              <a:extLst>
                <a:ext uri="{63B3BB69-23CF-44E3-9099-C40C66FF867C}">
                  <a14:compatExt spid="_x0000_s17197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7059" name="Button 3" hidden="1">
              <a:extLst>
                <a:ext uri="{63B3BB69-23CF-44E3-9099-C40C66FF867C}">
                  <a14:compatExt spid="_x0000_s17197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7061" name="Button 5" hidden="1">
              <a:extLst>
                <a:ext uri="{63B3BB69-23CF-44E3-9099-C40C66FF867C}">
                  <a14:compatExt spid="_x0000_s17197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7062" name="Button 6" hidden="1">
              <a:extLst>
                <a:ext uri="{63B3BB69-23CF-44E3-9099-C40C66FF867C}">
                  <a14:compatExt spid="_x0000_s17197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8082" name="Button 2" hidden="1">
              <a:extLst>
                <a:ext uri="{63B3BB69-23CF-44E3-9099-C40C66FF867C}">
                  <a14:compatExt spid="_x0000_s17198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8083" name="Button 3" hidden="1">
              <a:extLst>
                <a:ext uri="{63B3BB69-23CF-44E3-9099-C40C66FF867C}">
                  <a14:compatExt spid="_x0000_s17198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8085" name="Button 5" hidden="1">
              <a:extLst>
                <a:ext uri="{63B3BB69-23CF-44E3-9099-C40C66FF867C}">
                  <a14:compatExt spid="_x0000_s17198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8086" name="Button 6" hidden="1">
              <a:extLst>
                <a:ext uri="{63B3BB69-23CF-44E3-9099-C40C66FF867C}">
                  <a14:compatExt spid="_x0000_s17198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9106" name="Button 2" hidden="1">
              <a:extLst>
                <a:ext uri="{63B3BB69-23CF-44E3-9099-C40C66FF867C}">
                  <a14:compatExt spid="_x0000_s17199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9107" name="Button 3" hidden="1">
              <a:extLst>
                <a:ext uri="{63B3BB69-23CF-44E3-9099-C40C66FF867C}">
                  <a14:compatExt spid="_x0000_s17199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9109" name="Button 5" hidden="1">
              <a:extLst>
                <a:ext uri="{63B3BB69-23CF-44E3-9099-C40C66FF867C}">
                  <a14:compatExt spid="_x0000_s17199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199110" name="Button 6" hidden="1">
              <a:extLst>
                <a:ext uri="{63B3BB69-23CF-44E3-9099-C40C66FF867C}">
                  <a14:compatExt spid="_x0000_s17199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0130" name="Button 2" hidden="1">
              <a:extLst>
                <a:ext uri="{63B3BB69-23CF-44E3-9099-C40C66FF867C}">
                  <a14:compatExt spid="_x0000_s17200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0131" name="Button 3" hidden="1">
              <a:extLst>
                <a:ext uri="{63B3BB69-23CF-44E3-9099-C40C66FF867C}">
                  <a14:compatExt spid="_x0000_s17200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0133" name="Button 5" hidden="1">
              <a:extLst>
                <a:ext uri="{63B3BB69-23CF-44E3-9099-C40C66FF867C}">
                  <a14:compatExt spid="_x0000_s17200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0134" name="Button 6" hidden="1">
              <a:extLst>
                <a:ext uri="{63B3BB69-23CF-44E3-9099-C40C66FF867C}">
                  <a14:compatExt spid="_x0000_s17200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1154" name="Button 2" hidden="1">
              <a:extLst>
                <a:ext uri="{63B3BB69-23CF-44E3-9099-C40C66FF867C}">
                  <a14:compatExt spid="_x0000_s1720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1155" name="Button 3" hidden="1">
              <a:extLst>
                <a:ext uri="{63B3BB69-23CF-44E3-9099-C40C66FF867C}">
                  <a14:compatExt spid="_x0000_s1720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1157" name="Button 5" hidden="1">
              <a:extLst>
                <a:ext uri="{63B3BB69-23CF-44E3-9099-C40C66FF867C}">
                  <a14:compatExt spid="_x0000_s1720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01158" name="Button 6" hidden="1">
              <a:extLst>
                <a:ext uri="{63B3BB69-23CF-44E3-9099-C40C66FF867C}">
                  <a14:compatExt spid="_x0000_s1720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733425</xdr:colOff>
          <xdr:row>4</xdr:row>
          <xdr:rowOff>47625</xdr:rowOff>
        </xdr:from>
        <xdr:to>
          <xdr:col>4</xdr:col>
          <xdr:colOff>1247775</xdr:colOff>
          <xdr:row>4</xdr:row>
          <xdr:rowOff>228600</xdr:rowOff>
        </xdr:to>
        <xdr:sp macro="" textlink="">
          <xdr:nvSpPr>
            <xdr:cNvPr id="7509" name="Button 341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29825" name="Button 1" hidden="1">
              <a:extLst>
                <a:ext uri="{63B3BB69-23CF-44E3-9099-C40C66FF867C}">
                  <a14:compatExt spid="_x0000_s17229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29826" name="Button 2" hidden="1">
              <a:extLst>
                <a:ext uri="{63B3BB69-23CF-44E3-9099-C40C66FF867C}">
                  <a14:compatExt spid="_x0000_s17229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29827" name="Button 3" hidden="1">
              <a:extLst>
                <a:ext uri="{63B3BB69-23CF-44E3-9099-C40C66FF867C}">
                  <a14:compatExt spid="_x0000_s17229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29828" name="Button 4" hidden="1">
              <a:extLst>
                <a:ext uri="{63B3BB69-23CF-44E3-9099-C40C66FF867C}">
                  <a14:compatExt spid="_x0000_s17229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0849" name="Button 1" hidden="1">
              <a:extLst>
                <a:ext uri="{63B3BB69-23CF-44E3-9099-C40C66FF867C}">
                  <a14:compatExt spid="_x0000_s17230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0850" name="Button 2" hidden="1">
              <a:extLst>
                <a:ext uri="{63B3BB69-23CF-44E3-9099-C40C66FF867C}">
                  <a14:compatExt spid="_x0000_s17230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0851" name="Button 3" hidden="1">
              <a:extLst>
                <a:ext uri="{63B3BB69-23CF-44E3-9099-C40C66FF867C}">
                  <a14:compatExt spid="_x0000_s17230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0852" name="Button 4" hidden="1">
              <a:extLst>
                <a:ext uri="{63B3BB69-23CF-44E3-9099-C40C66FF867C}">
                  <a14:compatExt spid="_x0000_s17230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1873" name="Button 1" hidden="1">
              <a:extLst>
                <a:ext uri="{63B3BB69-23CF-44E3-9099-C40C66FF867C}">
                  <a14:compatExt spid="_x0000_s1723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1874" name="Button 2" hidden="1">
              <a:extLst>
                <a:ext uri="{63B3BB69-23CF-44E3-9099-C40C66FF867C}">
                  <a14:compatExt spid="_x0000_s1723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1875" name="Button 3" hidden="1">
              <a:extLst>
                <a:ext uri="{63B3BB69-23CF-44E3-9099-C40C66FF867C}">
                  <a14:compatExt spid="_x0000_s1723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1876" name="Button 4" hidden="1">
              <a:extLst>
                <a:ext uri="{63B3BB69-23CF-44E3-9099-C40C66FF867C}">
                  <a14:compatExt spid="_x0000_s1723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2897" name="Button 1" hidden="1">
              <a:extLst>
                <a:ext uri="{63B3BB69-23CF-44E3-9099-C40C66FF867C}">
                  <a14:compatExt spid="_x0000_s1723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2898" name="Button 2" hidden="1">
              <a:extLst>
                <a:ext uri="{63B3BB69-23CF-44E3-9099-C40C66FF867C}">
                  <a14:compatExt spid="_x0000_s1723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2899" name="Button 3" hidden="1">
              <a:extLst>
                <a:ext uri="{63B3BB69-23CF-44E3-9099-C40C66FF867C}">
                  <a14:compatExt spid="_x0000_s1723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2900" name="Button 4" hidden="1">
              <a:extLst>
                <a:ext uri="{63B3BB69-23CF-44E3-9099-C40C66FF867C}">
                  <a14:compatExt spid="_x0000_s1723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3921" name="Button 1" hidden="1">
              <a:extLst>
                <a:ext uri="{63B3BB69-23CF-44E3-9099-C40C66FF867C}">
                  <a14:compatExt spid="_x0000_s1723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3922" name="Button 2" hidden="1">
              <a:extLst>
                <a:ext uri="{63B3BB69-23CF-44E3-9099-C40C66FF867C}">
                  <a14:compatExt spid="_x0000_s1723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3923" name="Button 3" hidden="1">
              <a:extLst>
                <a:ext uri="{63B3BB69-23CF-44E3-9099-C40C66FF867C}">
                  <a14:compatExt spid="_x0000_s1723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3924" name="Button 4" hidden="1">
              <a:extLst>
                <a:ext uri="{63B3BB69-23CF-44E3-9099-C40C66FF867C}">
                  <a14:compatExt spid="_x0000_s1723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4945" name="Button 1" hidden="1">
              <a:extLst>
                <a:ext uri="{63B3BB69-23CF-44E3-9099-C40C66FF867C}">
                  <a14:compatExt spid="_x0000_s1723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4946" name="Button 2" hidden="1">
              <a:extLst>
                <a:ext uri="{63B3BB69-23CF-44E3-9099-C40C66FF867C}">
                  <a14:compatExt spid="_x0000_s1723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4947" name="Button 3" hidden="1">
              <a:extLst>
                <a:ext uri="{63B3BB69-23CF-44E3-9099-C40C66FF867C}">
                  <a14:compatExt spid="_x0000_s1723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4948" name="Button 4" hidden="1">
              <a:extLst>
                <a:ext uri="{63B3BB69-23CF-44E3-9099-C40C66FF867C}">
                  <a14:compatExt spid="_x0000_s1723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5969" name="Button 1" hidden="1">
              <a:extLst>
                <a:ext uri="{63B3BB69-23CF-44E3-9099-C40C66FF867C}">
                  <a14:compatExt spid="_x0000_s1723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5970" name="Button 2" hidden="1">
              <a:extLst>
                <a:ext uri="{63B3BB69-23CF-44E3-9099-C40C66FF867C}">
                  <a14:compatExt spid="_x0000_s1723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5971" name="Button 3" hidden="1">
              <a:extLst>
                <a:ext uri="{63B3BB69-23CF-44E3-9099-C40C66FF867C}">
                  <a14:compatExt spid="_x0000_s1723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5972" name="Button 4" hidden="1">
              <a:extLst>
                <a:ext uri="{63B3BB69-23CF-44E3-9099-C40C66FF867C}">
                  <a14:compatExt spid="_x0000_s1723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6993" name="Button 1" hidden="1">
              <a:extLst>
                <a:ext uri="{63B3BB69-23CF-44E3-9099-C40C66FF867C}">
                  <a14:compatExt spid="_x0000_s17236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6994" name="Button 2" hidden="1">
              <a:extLst>
                <a:ext uri="{63B3BB69-23CF-44E3-9099-C40C66FF867C}">
                  <a14:compatExt spid="_x0000_s17236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6995" name="Button 3" hidden="1">
              <a:extLst>
                <a:ext uri="{63B3BB69-23CF-44E3-9099-C40C66FF867C}">
                  <a14:compatExt spid="_x0000_s17236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6996" name="Button 4" hidden="1">
              <a:extLst>
                <a:ext uri="{63B3BB69-23CF-44E3-9099-C40C66FF867C}">
                  <a14:compatExt spid="_x0000_s17236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8017" name="Button 1" hidden="1">
              <a:extLst>
                <a:ext uri="{63B3BB69-23CF-44E3-9099-C40C66FF867C}">
                  <a14:compatExt spid="_x0000_s17238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8018" name="Button 2" hidden="1">
              <a:extLst>
                <a:ext uri="{63B3BB69-23CF-44E3-9099-C40C66FF867C}">
                  <a14:compatExt spid="_x0000_s17238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8019" name="Button 3" hidden="1">
              <a:extLst>
                <a:ext uri="{63B3BB69-23CF-44E3-9099-C40C66FF867C}">
                  <a14:compatExt spid="_x0000_s17238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38020" name="Button 4" hidden="1">
              <a:extLst>
                <a:ext uri="{63B3BB69-23CF-44E3-9099-C40C66FF867C}">
                  <a14:compatExt spid="_x0000_s17238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49281" name="Button 1" hidden="1">
              <a:extLst>
                <a:ext uri="{63B3BB69-23CF-44E3-9099-C40C66FF867C}">
                  <a14:compatExt spid="_x0000_s17249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49282" name="Button 2" hidden="1">
              <a:extLst>
                <a:ext uri="{63B3BB69-23CF-44E3-9099-C40C66FF867C}">
                  <a14:compatExt spid="_x0000_s17249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49283" name="Button 3" hidden="1">
              <a:extLst>
                <a:ext uri="{63B3BB69-23CF-44E3-9099-C40C66FF867C}">
                  <a14:compatExt spid="_x0000_s17249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49284" name="Button 4" hidden="1">
              <a:extLst>
                <a:ext uri="{63B3BB69-23CF-44E3-9099-C40C66FF867C}">
                  <a14:compatExt spid="_x0000_s17249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5</xdr:row>
          <xdr:rowOff>47625</xdr:rowOff>
        </xdr:from>
        <xdr:to>
          <xdr:col>1</xdr:col>
          <xdr:colOff>238125</xdr:colOff>
          <xdr:row>6</xdr:row>
          <xdr:rowOff>85725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1762</xdr:row>
          <xdr:rowOff>47625</xdr:rowOff>
        </xdr:from>
        <xdr:to>
          <xdr:col>1</xdr:col>
          <xdr:colOff>238125</xdr:colOff>
          <xdr:row>1763</xdr:row>
          <xdr:rowOff>85725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1762</xdr:row>
          <xdr:rowOff>47625</xdr:rowOff>
        </xdr:from>
        <xdr:to>
          <xdr:col>1</xdr:col>
          <xdr:colOff>238125</xdr:colOff>
          <xdr:row>1763</xdr:row>
          <xdr:rowOff>85725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0305" name="Button 1" hidden="1">
              <a:extLst>
                <a:ext uri="{63B3BB69-23CF-44E3-9099-C40C66FF867C}">
                  <a14:compatExt spid="_x0000_s17250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0306" name="Button 2" hidden="1">
              <a:extLst>
                <a:ext uri="{63B3BB69-23CF-44E3-9099-C40C66FF867C}">
                  <a14:compatExt spid="_x0000_s17250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0307" name="Button 3" hidden="1">
              <a:extLst>
                <a:ext uri="{63B3BB69-23CF-44E3-9099-C40C66FF867C}">
                  <a14:compatExt spid="_x0000_s17250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0308" name="Button 4" hidden="1">
              <a:extLst>
                <a:ext uri="{63B3BB69-23CF-44E3-9099-C40C66FF867C}">
                  <a14:compatExt spid="_x0000_s17250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1329" name="Button 1" hidden="1">
              <a:extLst>
                <a:ext uri="{63B3BB69-23CF-44E3-9099-C40C66FF867C}">
                  <a14:compatExt spid="_x0000_s1725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1330" name="Button 2" hidden="1">
              <a:extLst>
                <a:ext uri="{63B3BB69-23CF-44E3-9099-C40C66FF867C}">
                  <a14:compatExt spid="_x0000_s1725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1331" name="Button 3" hidden="1">
              <a:extLst>
                <a:ext uri="{63B3BB69-23CF-44E3-9099-C40C66FF867C}">
                  <a14:compatExt spid="_x0000_s1725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251332" name="Button 4" hidden="1">
              <a:extLst>
                <a:ext uri="{63B3BB69-23CF-44E3-9099-C40C66FF867C}">
                  <a14:compatExt spid="_x0000_s1725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449985" name="Button 1" hidden="1">
              <a:extLst>
                <a:ext uri="{63B3BB69-23CF-44E3-9099-C40C66FF867C}">
                  <a14:compatExt spid="_x0000_s17449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449986" name="Button 2" hidden="1">
              <a:extLst>
                <a:ext uri="{63B3BB69-23CF-44E3-9099-C40C66FF867C}">
                  <a14:compatExt spid="_x0000_s17449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449987" name="Button 3" hidden="1">
              <a:extLst>
                <a:ext uri="{63B3BB69-23CF-44E3-9099-C40C66FF867C}">
                  <a14:compatExt spid="_x0000_s17449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1765</xdr:row>
          <xdr:rowOff>47625</xdr:rowOff>
        </xdr:from>
        <xdr:to>
          <xdr:col>1</xdr:col>
          <xdr:colOff>238125</xdr:colOff>
          <xdr:row>1766</xdr:row>
          <xdr:rowOff>85725</xdr:rowOff>
        </xdr:to>
        <xdr:sp macro="" textlink="">
          <xdr:nvSpPr>
            <xdr:cNvPr id="17449988" name="Button 4" hidden="1">
              <a:extLst>
                <a:ext uri="{63B3BB69-23CF-44E3-9099-C40C66FF867C}">
                  <a14:compatExt spid="_x0000_s17449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4</xdr:row>
          <xdr:rowOff>104775</xdr:rowOff>
        </xdr:from>
        <xdr:to>
          <xdr:col>3</xdr:col>
          <xdr:colOff>123825</xdr:colOff>
          <xdr:row>6</xdr:row>
          <xdr:rowOff>152400</xdr:rowOff>
        </xdr:to>
        <xdr:sp macro="" textlink="">
          <xdr:nvSpPr>
            <xdr:cNvPr id="6263809" name="Button 1" hidden="1">
              <a:extLst>
                <a:ext uri="{63B3BB69-23CF-44E3-9099-C40C66FF867C}">
                  <a14:compatExt spid="_x0000_s626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12852079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600</xdr:row>
      <xdr:rowOff>66675</xdr:rowOff>
    </xdr:from>
    <xdr:to>
      <xdr:col>20</xdr:col>
      <xdr:colOff>200025</xdr:colOff>
      <xdr:row>619</xdr:row>
      <xdr:rowOff>133350</xdr:rowOff>
    </xdr:to>
    <xdr:graphicFrame macro="">
      <xdr:nvGraphicFramePr>
        <xdr:cNvPr id="12852080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600</xdr:row>
      <xdr:rowOff>66675</xdr:rowOff>
    </xdr:from>
    <xdr:to>
      <xdr:col>8</xdr:col>
      <xdr:colOff>200025</xdr:colOff>
      <xdr:row>619</xdr:row>
      <xdr:rowOff>133350</xdr:rowOff>
    </xdr:to>
    <xdr:graphicFrame macro="">
      <xdr:nvGraphicFramePr>
        <xdr:cNvPr id="5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600</xdr:row>
      <xdr:rowOff>66675</xdr:rowOff>
    </xdr:from>
    <xdr:to>
      <xdr:col>8</xdr:col>
      <xdr:colOff>200025</xdr:colOff>
      <xdr:row>619</xdr:row>
      <xdr:rowOff>133350</xdr:rowOff>
    </xdr:to>
    <xdr:graphicFrame macro="">
      <xdr:nvGraphicFramePr>
        <xdr:cNvPr id="6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28575</xdr:rowOff>
        </xdr:from>
        <xdr:to>
          <xdr:col>1</xdr:col>
          <xdr:colOff>533400</xdr:colOff>
          <xdr:row>6</xdr:row>
          <xdr:rowOff>38100</xdr:rowOff>
        </xdr:to>
        <xdr:sp macro="" textlink="">
          <xdr:nvSpPr>
            <xdr:cNvPr id="12851378" name="Button 1202" hidden="1">
              <a:extLst>
                <a:ext uri="{63B3BB69-23CF-44E3-9099-C40C66FF867C}">
                  <a14:compatExt spid="_x0000_s1285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6</xdr:col>
      <xdr:colOff>0</xdr:colOff>
      <xdr:row>600</xdr:row>
      <xdr:rowOff>66675</xdr:rowOff>
    </xdr:from>
    <xdr:to>
      <xdr:col>8</xdr:col>
      <xdr:colOff>200025</xdr:colOff>
      <xdr:row>619</xdr:row>
      <xdr:rowOff>133350</xdr:rowOff>
    </xdr:to>
    <xdr:graphicFrame macro="">
      <xdr:nvGraphicFramePr>
        <xdr:cNvPr id="7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600</xdr:row>
      <xdr:rowOff>66675</xdr:rowOff>
    </xdr:from>
    <xdr:to>
      <xdr:col>8</xdr:col>
      <xdr:colOff>200025</xdr:colOff>
      <xdr:row>619</xdr:row>
      <xdr:rowOff>133350</xdr:rowOff>
    </xdr:to>
    <xdr:graphicFrame macro="">
      <xdr:nvGraphicFramePr>
        <xdr:cNvPr id="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0</xdr:row>
          <xdr:rowOff>133350</xdr:rowOff>
        </xdr:from>
        <xdr:to>
          <xdr:col>1</xdr:col>
          <xdr:colOff>76200</xdr:colOff>
          <xdr:row>1</xdr:row>
          <xdr:rowOff>76200</xdr:rowOff>
        </xdr:to>
        <xdr:sp macro="" textlink="">
          <xdr:nvSpPr>
            <xdr:cNvPr id="16761857" name="Button 1" hidden="1">
              <a:extLst>
                <a:ext uri="{63B3BB69-23CF-44E3-9099-C40C66FF867C}">
                  <a14:compatExt spid="_x0000_s1676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0</xdr:row>
          <xdr:rowOff>133350</xdr:rowOff>
        </xdr:from>
        <xdr:to>
          <xdr:col>1</xdr:col>
          <xdr:colOff>76200</xdr:colOff>
          <xdr:row>1</xdr:row>
          <xdr:rowOff>76200</xdr:rowOff>
        </xdr:to>
        <xdr:sp macro="" textlink="">
          <xdr:nvSpPr>
            <xdr:cNvPr id="16761858" name="Button 2" hidden="1">
              <a:extLst>
                <a:ext uri="{63B3BB69-23CF-44E3-9099-C40C66FF867C}">
                  <a14:compatExt spid="_x0000_s1676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60</xdr:row>
      <xdr:rowOff>28575</xdr:rowOff>
    </xdr:from>
    <xdr:to>
      <xdr:col>14</xdr:col>
      <xdr:colOff>295275</xdr:colOff>
      <xdr:row>73</xdr:row>
      <xdr:rowOff>85725</xdr:rowOff>
    </xdr:to>
    <xdr:pic>
      <xdr:nvPicPr>
        <xdr:cNvPr id="3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0934700"/>
          <a:ext cx="70294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1695450</xdr:colOff>
          <xdr:row>2</xdr:row>
          <xdr:rowOff>0</xdr:rowOff>
        </xdr:from>
        <xdr:to>
          <xdr:col>1</xdr:col>
          <xdr:colOff>2066925</xdr:colOff>
          <xdr:row>2</xdr:row>
          <xdr:rowOff>85725</xdr:rowOff>
        </xdr:to>
        <xdr:sp macro="" textlink="">
          <xdr:nvSpPr>
            <xdr:cNvPr id="16714761" name="Button 9" hidden="1">
              <a:extLst>
                <a:ext uri="{63B3BB69-23CF-44E3-9099-C40C66FF867C}">
                  <a14:compatExt spid="_x0000_s1671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828675</xdr:colOff>
          <xdr:row>5</xdr:row>
          <xdr:rowOff>0</xdr:rowOff>
        </xdr:from>
        <xdr:to>
          <xdr:col>1</xdr:col>
          <xdr:colOff>1447800</xdr:colOff>
          <xdr:row>6</xdr:row>
          <xdr:rowOff>0</xdr:rowOff>
        </xdr:to>
        <xdr:sp macro="" textlink="">
          <xdr:nvSpPr>
            <xdr:cNvPr id="16713729" name="Button 1" hidden="1">
              <a:extLst>
                <a:ext uri="{63B3BB69-23CF-44E3-9099-C40C66FF867C}">
                  <a14:compatExt spid="_x0000_s167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828675</xdr:colOff>
          <xdr:row>5</xdr:row>
          <xdr:rowOff>0</xdr:rowOff>
        </xdr:from>
        <xdr:to>
          <xdr:col>1</xdr:col>
          <xdr:colOff>1447800</xdr:colOff>
          <xdr:row>6</xdr:row>
          <xdr:rowOff>0</xdr:rowOff>
        </xdr:to>
        <xdr:sp macro="" textlink="">
          <xdr:nvSpPr>
            <xdr:cNvPr id="16713730" name="Button 2" hidden="1">
              <a:extLst>
                <a:ext uri="{63B3BB69-23CF-44E3-9099-C40C66FF867C}">
                  <a14:compatExt spid="_x0000_s167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11</xdr:col>
      <xdr:colOff>0</xdr:colOff>
      <xdr:row>52</xdr:row>
      <xdr:rowOff>0</xdr:rowOff>
    </xdr:from>
    <xdr:to>
      <xdr:col>15</xdr:col>
      <xdr:colOff>1189867</xdr:colOff>
      <xdr:row>65</xdr:row>
      <xdr:rowOff>2911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63875" y="8782050"/>
          <a:ext cx="6057143" cy="211428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29</xdr:col>
      <xdr:colOff>780108</xdr:colOff>
      <xdr:row>51</xdr:row>
      <xdr:rowOff>132257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03650" y="0"/>
          <a:ext cx="7542858" cy="87523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8%20Rate%20Case%20UT\2008%20GENERAL\Model%20Inputs\REVENUES\DEC%202008%20REVENUES\BOOKED\REVISED%20ON%20DEC%202008%20BOOKED%20REV%20DEC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7%20Rate%20Case\Dec%202008%20Test%20Year\Live%20Rebuttal\NEW%20WORKING_UNIVERS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1-12\ROO-12-31-2011\BOOKED%20REV%20June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1-12\ROO-12-31-2011\BOOKED%20REV%20June%2020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/>
      <sheetData sheetId="1"/>
      <sheetData sheetId="2"/>
      <sheetData sheetId="3"/>
      <sheetData sheetId="4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/>
      <sheetData sheetId="5"/>
      <sheetData sheetId="6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3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9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Relationship Id="rId4" Type="http://schemas.openxmlformats.org/officeDocument/2006/relationships/ctrlProp" Target="../ctrlProps/ctrlProp22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6.xml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9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7.xml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3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8.xml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19.xml"/><Relationship Id="rId6" Type="http://schemas.openxmlformats.org/officeDocument/2006/relationships/ctrlProp" Target="../ctrlProps/ctrlProp40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0.xml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5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1.xml"/><Relationship Id="rId6" Type="http://schemas.openxmlformats.org/officeDocument/2006/relationships/ctrlProp" Target="../ctrlProps/ctrlProp48.xml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9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2.xml"/><Relationship Id="rId6" Type="http://schemas.openxmlformats.org/officeDocument/2006/relationships/ctrlProp" Target="../ctrlProps/ctrlProp52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3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3.xml"/><Relationship Id="rId6" Type="http://schemas.openxmlformats.org/officeDocument/2006/relationships/ctrlProp" Target="../ctrlProps/ctrlProp56.xml"/><Relationship Id="rId5" Type="http://schemas.openxmlformats.org/officeDocument/2006/relationships/ctrlProp" Target="../ctrlProps/ctrlProp55.xml"/><Relationship Id="rId4" Type="http://schemas.openxmlformats.org/officeDocument/2006/relationships/ctrlProp" Target="../ctrlProps/ctrlProp54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7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4.xml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1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5.xml"/><Relationship Id="rId6" Type="http://schemas.openxmlformats.org/officeDocument/2006/relationships/ctrlProp" Target="../ctrlProps/ctrlProp64.xml"/><Relationship Id="rId5" Type="http://schemas.openxmlformats.org/officeDocument/2006/relationships/ctrlProp" Target="../ctrlProps/ctrlProp63.xml"/><Relationship Id="rId4" Type="http://schemas.openxmlformats.org/officeDocument/2006/relationships/ctrlProp" Target="../ctrlProps/ctrlProp6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5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6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9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7.xml"/><Relationship Id="rId6" Type="http://schemas.openxmlformats.org/officeDocument/2006/relationships/ctrlProp" Target="../ctrlProps/ctrlProp72.xml"/><Relationship Id="rId5" Type="http://schemas.openxmlformats.org/officeDocument/2006/relationships/ctrlProp" Target="../ctrlProps/ctrlProp71.xml"/><Relationship Id="rId4" Type="http://schemas.openxmlformats.org/officeDocument/2006/relationships/ctrlProp" Target="../ctrlProps/ctrlProp70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3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8.xml"/><Relationship Id="rId6" Type="http://schemas.openxmlformats.org/officeDocument/2006/relationships/ctrlProp" Target="../ctrlProps/ctrlProp76.xml"/><Relationship Id="rId5" Type="http://schemas.openxmlformats.org/officeDocument/2006/relationships/ctrlProp" Target="../ctrlProps/ctrlProp75.xml"/><Relationship Id="rId4" Type="http://schemas.openxmlformats.org/officeDocument/2006/relationships/ctrlProp" Target="../ctrlProps/ctrlProp74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7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29.xml"/><Relationship Id="rId6" Type="http://schemas.openxmlformats.org/officeDocument/2006/relationships/ctrlProp" Target="../ctrlProps/ctrlProp80.xml"/><Relationship Id="rId5" Type="http://schemas.openxmlformats.org/officeDocument/2006/relationships/ctrlProp" Target="../ctrlProps/ctrlProp79.xml"/><Relationship Id="rId4" Type="http://schemas.openxmlformats.org/officeDocument/2006/relationships/ctrlProp" Target="../ctrlProps/ctrlProp7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0.xml"/><Relationship Id="rId6" Type="http://schemas.openxmlformats.org/officeDocument/2006/relationships/ctrlProp" Target="../ctrlProps/ctrlProp84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5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1.xml"/><Relationship Id="rId6" Type="http://schemas.openxmlformats.org/officeDocument/2006/relationships/ctrlProp" Target="../ctrlProps/ctrlProp88.xml"/><Relationship Id="rId5" Type="http://schemas.openxmlformats.org/officeDocument/2006/relationships/ctrlProp" Target="../ctrlProps/ctrlProp87.xml"/><Relationship Id="rId4" Type="http://schemas.openxmlformats.org/officeDocument/2006/relationships/ctrlProp" Target="../ctrlProps/ctrlProp8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9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2.xml"/><Relationship Id="rId6" Type="http://schemas.openxmlformats.org/officeDocument/2006/relationships/ctrlProp" Target="../ctrlProps/ctrlProp92.xml"/><Relationship Id="rId5" Type="http://schemas.openxmlformats.org/officeDocument/2006/relationships/ctrlProp" Target="../ctrlProps/ctrlProp91.xml"/><Relationship Id="rId4" Type="http://schemas.openxmlformats.org/officeDocument/2006/relationships/ctrlProp" Target="../ctrlProps/ctrlProp90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3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3.xml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7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4.xml"/><Relationship Id="rId6" Type="http://schemas.openxmlformats.org/officeDocument/2006/relationships/ctrlProp" Target="../ctrlProps/ctrlProp100.xml"/><Relationship Id="rId5" Type="http://schemas.openxmlformats.org/officeDocument/2006/relationships/ctrlProp" Target="../ctrlProps/ctrlProp99.xml"/><Relationship Id="rId4" Type="http://schemas.openxmlformats.org/officeDocument/2006/relationships/ctrlProp" Target="../ctrlProps/ctrlProp9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1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5.xml"/><Relationship Id="rId6" Type="http://schemas.openxmlformats.org/officeDocument/2006/relationships/ctrlProp" Target="../ctrlProps/ctrlProp104.xml"/><Relationship Id="rId5" Type="http://schemas.openxmlformats.org/officeDocument/2006/relationships/ctrlProp" Target="../ctrlProps/ctrlProp103.xml"/><Relationship Id="rId4" Type="http://schemas.openxmlformats.org/officeDocument/2006/relationships/ctrlProp" Target="../ctrlProps/ctrlProp10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5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6.xml"/><Relationship Id="rId6" Type="http://schemas.openxmlformats.org/officeDocument/2006/relationships/ctrlProp" Target="../ctrlProps/ctrlProp108.xml"/><Relationship Id="rId5" Type="http://schemas.openxmlformats.org/officeDocument/2006/relationships/ctrlProp" Target="../ctrlProps/ctrlProp107.xml"/><Relationship Id="rId4" Type="http://schemas.openxmlformats.org/officeDocument/2006/relationships/ctrlProp" Target="../ctrlProps/ctrlProp10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9.xml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7.xml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3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8.xml"/><Relationship Id="rId6" Type="http://schemas.openxmlformats.org/officeDocument/2006/relationships/ctrlProp" Target="../ctrlProps/ctrlProp116.xml"/><Relationship Id="rId5" Type="http://schemas.openxmlformats.org/officeDocument/2006/relationships/ctrlProp" Target="../ctrlProps/ctrlProp115.xml"/><Relationship Id="rId4" Type="http://schemas.openxmlformats.org/officeDocument/2006/relationships/ctrlProp" Target="../ctrlProps/ctrlProp114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7.xml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39.xml"/><Relationship Id="rId6" Type="http://schemas.openxmlformats.org/officeDocument/2006/relationships/ctrlProp" Target="../ctrlProps/ctrlProp120.xml"/><Relationship Id="rId5" Type="http://schemas.openxmlformats.org/officeDocument/2006/relationships/ctrlProp" Target="../ctrlProps/ctrlProp119.xml"/><Relationship Id="rId4" Type="http://schemas.openxmlformats.org/officeDocument/2006/relationships/ctrlProp" Target="../ctrlProps/ctrlProp1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1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1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0.xml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5.xml"/><Relationship Id="rId2" Type="http://schemas.openxmlformats.org/officeDocument/2006/relationships/vmlDrawing" Target="../drawings/vmlDrawing42.vml"/><Relationship Id="rId1" Type="http://schemas.openxmlformats.org/officeDocument/2006/relationships/drawing" Target="../drawings/drawing41.xml"/><Relationship Id="rId6" Type="http://schemas.openxmlformats.org/officeDocument/2006/relationships/ctrlProp" Target="../ctrlProps/ctrlProp128.xml"/><Relationship Id="rId5" Type="http://schemas.openxmlformats.org/officeDocument/2006/relationships/ctrlProp" Target="../ctrlProps/ctrlProp127.xml"/><Relationship Id="rId4" Type="http://schemas.openxmlformats.org/officeDocument/2006/relationships/ctrlProp" Target="../ctrlProps/ctrlProp126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7" Type="http://schemas.openxmlformats.org/officeDocument/2006/relationships/ctrlProp" Target="../ctrlProps/ctrlProp132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31.xml"/><Relationship Id="rId5" Type="http://schemas.openxmlformats.org/officeDocument/2006/relationships/ctrlProp" Target="../ctrlProps/ctrlProp130.xml"/><Relationship Id="rId4" Type="http://schemas.openxmlformats.org/officeDocument/2006/relationships/ctrlProp" Target="../ctrlProps/ctrlProp129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3.xml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90"/>
  <sheetViews>
    <sheetView zoomScale="85" zoomScaleNormal="85" workbookViewId="0">
      <selection activeCell="F11" sqref="F11"/>
    </sheetView>
  </sheetViews>
  <sheetFormatPr defaultRowHeight="12.75"/>
  <cols>
    <col min="1" max="1" width="6.85546875" style="1" customWidth="1"/>
    <col min="2" max="2" width="48" style="1" customWidth="1"/>
    <col min="3" max="3" width="26" style="1" customWidth="1"/>
    <col min="4" max="4" width="7.85546875" style="1" customWidth="1"/>
    <col min="5" max="5" width="6.85546875" style="1" customWidth="1"/>
    <col min="6" max="6" width="45.5703125" style="1" customWidth="1"/>
    <col min="7" max="7" width="1.5703125" style="1" customWidth="1"/>
    <col min="8" max="8" width="32.42578125" style="1" bestFit="1" customWidth="1"/>
    <col min="9" max="9" width="5" style="1" bestFit="1" customWidth="1"/>
    <col min="10" max="10" width="32.42578125" style="1" bestFit="1" customWidth="1"/>
    <col min="11" max="11" width="6.7109375" style="1" customWidth="1"/>
    <col min="12" max="12" width="35.85546875" style="1" customWidth="1"/>
    <col min="13" max="13" width="6.7109375" style="1" customWidth="1"/>
    <col min="14" max="14" width="9.140625" style="1" customWidth="1"/>
    <col min="15" max="15" width="7.7109375" style="1" customWidth="1"/>
    <col min="16" max="16" width="9.140625" style="1" customWidth="1"/>
    <col min="17" max="17" width="20.140625" style="1" bestFit="1" customWidth="1"/>
    <col min="18" max="18" width="27.28515625" style="1" customWidth="1"/>
    <col min="19" max="19" width="34.5703125" style="1" customWidth="1"/>
    <col min="20" max="20" width="57.42578125" style="1" customWidth="1"/>
    <col min="21" max="21" width="61.5703125" style="1" customWidth="1"/>
    <col min="22" max="23" width="9.140625" style="1" customWidth="1"/>
    <col min="24" max="16384" width="9.140625" style="1"/>
  </cols>
  <sheetData>
    <row r="1" spans="1:17" ht="13.5" thickBot="1">
      <c r="A1" s="1">
        <v>1</v>
      </c>
      <c r="B1" s="181" t="s">
        <v>1388</v>
      </c>
      <c r="C1" s="186"/>
      <c r="D1" s="194"/>
      <c r="E1" s="28"/>
      <c r="F1" s="31" t="s">
        <v>801</v>
      </c>
      <c r="G1"/>
      <c r="H1" s="13"/>
      <c r="I1" s="13"/>
      <c r="J1" s="1250"/>
      <c r="K1" s="13"/>
      <c r="L1" s="9"/>
      <c r="M1" s="13"/>
      <c r="O1" s="15"/>
    </row>
    <row r="2" spans="1:17" ht="13.5" thickBot="1">
      <c r="A2" s="103"/>
      <c r="B2" s="104" t="str">
        <f>F11&amp;" - "&amp;F16</f>
        <v>Utah - DEC 2019 Adjusted Avg  Results</v>
      </c>
      <c r="C2" s="30"/>
      <c r="D2" s="15"/>
      <c r="E2" s="19"/>
      <c r="F2" s="178">
        <f ca="1">Report!K13</f>
        <v>7825357.4149520146</v>
      </c>
      <c r="G2"/>
      <c r="H2" s="120"/>
      <c r="I2" s="11"/>
      <c r="J2" s="1250"/>
      <c r="K2" s="11"/>
      <c r="L2" s="13"/>
      <c r="M2" s="11"/>
      <c r="N2" s="11"/>
      <c r="O2" s="194"/>
      <c r="P2" s="11"/>
      <c r="Q2" s="11"/>
    </row>
    <row r="3" spans="1:17" ht="13.5" thickBot="1">
      <c r="A3" s="573"/>
      <c r="B3" s="181" t="str">
        <f>"12 Months Ended"&amp;" : "&amp; TEXT(F12,"mmm-yyyy")</f>
        <v>12 Months Ended : Dec-2019</v>
      </c>
      <c r="C3" s="15"/>
      <c r="D3" s="579"/>
      <c r="E3" s="19"/>
      <c r="F3" s="31" t="s">
        <v>506</v>
      </c>
      <c r="G3"/>
      <c r="H3" s="589"/>
      <c r="I3" s="589"/>
      <c r="J3" s="1250"/>
      <c r="K3" s="589"/>
      <c r="L3" s="771"/>
      <c r="M3" s="589"/>
      <c r="O3" s="15"/>
    </row>
    <row r="4" spans="1:17" ht="13.5" thickBot="1">
      <c r="A4" s="573"/>
      <c r="B4" s="179" t="str">
        <f>"Capital Structure"&amp;" : "&amp;F70</f>
        <v>Capital Structure : ORDERED CAP STR 13-057-05</v>
      </c>
      <c r="C4" s="15"/>
      <c r="D4" s="167"/>
      <c r="E4" s="19"/>
      <c r="F4" s="179">
        <f ca="1">+Report!J78</f>
        <v>9.1734465680952906E-2</v>
      </c>
      <c r="G4"/>
      <c r="H4" s="590"/>
      <c r="I4" s="590"/>
      <c r="J4" s="590"/>
      <c r="K4" s="590"/>
      <c r="L4" s="590"/>
      <c r="M4" s="590"/>
      <c r="O4" s="15"/>
    </row>
    <row r="5" spans="1:17">
      <c r="A5" s="573"/>
      <c r="C5" s="15"/>
      <c r="D5" s="282"/>
      <c r="E5" s="19"/>
      <c r="F5" s="265"/>
      <c r="G5"/>
      <c r="H5" s="10"/>
      <c r="I5" s="11"/>
      <c r="J5" s="10"/>
      <c r="K5" s="11"/>
      <c r="L5" s="10"/>
      <c r="M5" s="11"/>
      <c r="O5" s="15"/>
    </row>
    <row r="6" spans="1:17">
      <c r="B6" s="21"/>
      <c r="C6" s="30"/>
      <c r="D6" s="15"/>
      <c r="E6" s="15"/>
      <c r="F6" s="963"/>
      <c r="G6"/>
      <c r="H6" s="10"/>
      <c r="J6" s="10"/>
      <c r="L6" s="10"/>
      <c r="O6" s="15"/>
    </row>
    <row r="7" spans="1:17">
      <c r="B7" s="21"/>
      <c r="D7" s="15"/>
      <c r="E7" s="15"/>
      <c r="F7" s="228"/>
      <c r="H7" s="9"/>
      <c r="J7" s="9"/>
      <c r="L7" s="9"/>
      <c r="O7" s="15"/>
    </row>
    <row r="8" spans="1:17" ht="13.5" thickBot="1">
      <c r="A8" s="15"/>
      <c r="B8" s="21"/>
      <c r="C8" s="15"/>
      <c r="D8" s="163"/>
      <c r="E8" s="19"/>
      <c r="F8" s="1311">
        <f>YEAR(F12)</f>
        <v>2019</v>
      </c>
      <c r="G8" s="86" t="s">
        <v>838</v>
      </c>
      <c r="H8" s="1311">
        <f>YEAR(H12)</f>
        <v>2017</v>
      </c>
      <c r="I8" s="1311"/>
      <c r="J8" s="1311">
        <f>YEAR(J12)</f>
        <v>2018</v>
      </c>
      <c r="K8" s="1311"/>
      <c r="L8" s="1311">
        <f>YEAR(L12)</f>
        <v>2019</v>
      </c>
      <c r="M8" s="15"/>
      <c r="O8" s="15"/>
    </row>
    <row r="9" spans="1:17" ht="13.5" thickBot="1">
      <c r="A9" s="15"/>
      <c r="B9" s="98" t="s">
        <v>648</v>
      </c>
      <c r="C9" s="180" t="str">
        <f ca="1">IF((SUM(Report!F13:H73)-SUM(Report!I13:I73))&lt;1,"0","ERROR")</f>
        <v>0</v>
      </c>
      <c r="D9" s="163"/>
      <c r="E9" s="215"/>
      <c r="F9" s="279"/>
      <c r="H9" s="279" t="s">
        <v>1389</v>
      </c>
      <c r="I9" s="279"/>
      <c r="J9" s="279" t="s">
        <v>1390</v>
      </c>
      <c r="K9" s="279"/>
      <c r="L9" s="279" t="s">
        <v>1552</v>
      </c>
      <c r="M9" s="279"/>
      <c r="O9" s="562" t="s">
        <v>294</v>
      </c>
    </row>
    <row r="10" spans="1:17" ht="13.5" thickBot="1">
      <c r="A10" s="15"/>
      <c r="B10" s="181"/>
      <c r="D10" s="575"/>
      <c r="E10" s="216" t="str">
        <f>F10&amp;" - "&amp;"A"</f>
        <v>6 - A</v>
      </c>
      <c r="F10" s="591">
        <v>6</v>
      </c>
      <c r="H10" s="586">
        <v>4</v>
      </c>
      <c r="I10" s="586" t="str">
        <f>H10&amp;" - "&amp;"A"</f>
        <v>4 - A</v>
      </c>
      <c r="J10" s="586">
        <v>5</v>
      </c>
      <c r="K10" s="586" t="str">
        <f>J10&amp;" - "&amp;"A"</f>
        <v>5 - A</v>
      </c>
      <c r="L10" s="586">
        <v>6</v>
      </c>
      <c r="M10" s="181" t="str">
        <f>L10&amp;" - "&amp;"A"</f>
        <v>6 - A</v>
      </c>
      <c r="O10" s="31">
        <v>1</v>
      </c>
    </row>
    <row r="11" spans="1:17" ht="13.5" thickBot="1">
      <c r="A11" s="15"/>
      <c r="B11" s="279" t="s">
        <v>47</v>
      </c>
      <c r="D11" s="200"/>
      <c r="E11" s="217"/>
      <c r="F11" s="279" t="str">
        <f>HLOOKUP($F$10,Scenarios,O11,FALSE)</f>
        <v>Utah</v>
      </c>
      <c r="H11" s="279" t="s">
        <v>14</v>
      </c>
      <c r="I11" s="279"/>
      <c r="J11" s="279" t="s">
        <v>14</v>
      </c>
      <c r="K11" s="279"/>
      <c r="L11" s="279" t="s">
        <v>14</v>
      </c>
      <c r="M11" s="279"/>
      <c r="O11" s="32">
        <f>O10+1</f>
        <v>2</v>
      </c>
    </row>
    <row r="12" spans="1:17" ht="13.5" thickBot="1">
      <c r="A12" s="15"/>
      <c r="B12" s="280" t="s">
        <v>753</v>
      </c>
      <c r="D12" s="69"/>
      <c r="E12" s="217"/>
      <c r="F12" s="281">
        <f>HLOOKUP($F$10,Scenarios,O12,FALSE)</f>
        <v>43830</v>
      </c>
      <c r="H12" s="592">
        <v>43100</v>
      </c>
      <c r="I12" s="592"/>
      <c r="J12" s="592">
        <v>43465</v>
      </c>
      <c r="K12" s="592"/>
      <c r="L12" s="592">
        <v>43830</v>
      </c>
      <c r="M12" s="592"/>
      <c r="O12" s="32">
        <f t="shared" ref="O12:O70" si="0">O11+1</f>
        <v>3</v>
      </c>
    </row>
    <row r="13" spans="1:17">
      <c r="A13" s="15"/>
      <c r="B13" s="283"/>
      <c r="D13" s="15"/>
      <c r="E13" s="222"/>
      <c r="F13" s="281"/>
      <c r="H13" s="593"/>
      <c r="I13" s="593"/>
      <c r="J13" s="593"/>
      <c r="K13" s="593"/>
      <c r="L13" s="593"/>
      <c r="M13" s="593"/>
      <c r="O13" s="32">
        <f t="shared" si="0"/>
        <v>4</v>
      </c>
    </row>
    <row r="14" spans="1:17">
      <c r="A14" s="301"/>
      <c r="B14" s="292"/>
      <c r="C14" s="293"/>
      <c r="D14" s="293"/>
      <c r="E14" s="183"/>
      <c r="F14" s="183"/>
      <c r="G14" s="15"/>
      <c r="H14" s="594"/>
      <c r="I14" s="594"/>
      <c r="J14" s="594"/>
      <c r="K14" s="594"/>
      <c r="L14" s="594"/>
      <c r="M14" s="594"/>
      <c r="O14" s="32">
        <f t="shared" si="0"/>
        <v>5</v>
      </c>
    </row>
    <row r="15" spans="1:17" ht="13.5" thickBot="1">
      <c r="A15" s="15"/>
      <c r="B15" s="226"/>
      <c r="C15" s="267"/>
      <c r="D15" s="267"/>
      <c r="E15" s="217"/>
      <c r="F15" s="226"/>
      <c r="H15" s="595"/>
      <c r="I15" s="595"/>
      <c r="J15" s="595"/>
      <c r="K15" s="595"/>
      <c r="L15" s="595"/>
      <c r="M15" s="595"/>
      <c r="O15" s="32">
        <f t="shared" si="0"/>
        <v>6</v>
      </c>
    </row>
    <row r="16" spans="1:17" ht="13.5" thickBot="1">
      <c r="A16" s="15"/>
      <c r="B16" s="182" t="s">
        <v>754</v>
      </c>
      <c r="C16" s="121"/>
      <c r="D16" s="19"/>
      <c r="E16" s="217"/>
      <c r="F16" s="182" t="str">
        <f>HLOOKUP($F$10,Scenarios,O16,FALSE)</f>
        <v>DEC 2019 Adjusted Avg  Results</v>
      </c>
      <c r="H16" s="596" t="str">
        <f>+H9</f>
        <v>DEC 2017 Adjusted Avg  Results</v>
      </c>
      <c r="I16" s="596"/>
      <c r="J16" s="596" t="str">
        <f>+J9</f>
        <v>DEC 2018 Adjusted Avg  Results</v>
      </c>
      <c r="K16" s="596"/>
      <c r="L16" s="596" t="str">
        <f>+L9</f>
        <v>DEC 2019 Adjusted Avg  Results</v>
      </c>
      <c r="M16" s="596"/>
      <c r="O16" s="32">
        <f t="shared" si="0"/>
        <v>7</v>
      </c>
    </row>
    <row r="17" spans="1:17">
      <c r="A17" s="2"/>
      <c r="B17" s="281" t="s">
        <v>215</v>
      </c>
      <c r="C17" s="584"/>
      <c r="D17" s="15"/>
      <c r="E17" s="217"/>
      <c r="F17" s="281"/>
      <c r="H17" s="593"/>
      <c r="I17" s="593"/>
      <c r="J17" s="593"/>
      <c r="K17" s="593"/>
      <c r="L17" s="593"/>
      <c r="M17" s="593"/>
      <c r="O17" s="32">
        <f t="shared" si="0"/>
        <v>8</v>
      </c>
    </row>
    <row r="18" spans="1:17">
      <c r="A18" s="15"/>
      <c r="B18" s="281"/>
      <c r="C18" s="584"/>
      <c r="D18" s="15"/>
      <c r="E18" s="217"/>
      <c r="F18" s="281"/>
      <c r="H18" s="593"/>
      <c r="I18" s="593"/>
      <c r="J18" s="593"/>
      <c r="K18" s="593"/>
      <c r="L18" s="593"/>
      <c r="M18" s="593"/>
      <c r="O18" s="32">
        <f t="shared" si="0"/>
        <v>9</v>
      </c>
    </row>
    <row r="19" spans="1:17">
      <c r="A19" s="15"/>
      <c r="B19" s="281" t="s">
        <v>338</v>
      </c>
      <c r="C19" s="584"/>
      <c r="D19" s="15"/>
      <c r="E19" s="217"/>
      <c r="F19" s="593">
        <f>HLOOKUP($F$10,Scenarios,O19,FALSE)</f>
        <v>9.8500000000000004E-2</v>
      </c>
      <c r="H19" s="593">
        <v>9.8500000000000004E-2</v>
      </c>
      <c r="I19" s="593"/>
      <c r="J19" s="593">
        <v>9.8500000000000004E-2</v>
      </c>
      <c r="K19" s="593"/>
      <c r="L19" s="593">
        <v>9.8500000000000004E-2</v>
      </c>
      <c r="M19" s="593"/>
      <c r="O19" s="32">
        <f t="shared" si="0"/>
        <v>10</v>
      </c>
    </row>
    <row r="20" spans="1:17">
      <c r="A20" s="15"/>
      <c r="B20" s="283" t="s">
        <v>1530</v>
      </c>
      <c r="C20" s="577"/>
      <c r="D20" s="577"/>
      <c r="E20" s="217"/>
      <c r="F20" s="593">
        <f>HLOOKUP($F$10,Scenarios,O20,FALSE)</f>
        <v>0.21</v>
      </c>
      <c r="H20" s="283">
        <v>0.35</v>
      </c>
      <c r="I20" s="283"/>
      <c r="J20" s="283">
        <v>0.21</v>
      </c>
      <c r="K20" s="283"/>
      <c r="L20" s="283">
        <v>0.21</v>
      </c>
      <c r="M20" s="283"/>
      <c r="O20" s="32">
        <f t="shared" si="0"/>
        <v>11</v>
      </c>
    </row>
    <row r="21" spans="1:17">
      <c r="A21" s="2"/>
      <c r="B21" s="284" t="s">
        <v>824</v>
      </c>
      <c r="C21" s="577"/>
      <c r="D21" s="577"/>
      <c r="E21" s="217"/>
      <c r="F21" s="284">
        <f>HLOOKUP($F$10,Scenarios,O21,FALSE)</f>
        <v>1.0149999999999999</v>
      </c>
      <c r="H21" s="285">
        <v>1.0149999999999999</v>
      </c>
      <c r="I21" s="285"/>
      <c r="J21" s="285">
        <v>1.0149999999999999</v>
      </c>
      <c r="K21" s="285"/>
      <c r="L21" s="285">
        <v>1.0149999999999999</v>
      </c>
      <c r="M21" s="285"/>
      <c r="O21" s="32">
        <f t="shared" si="0"/>
        <v>12</v>
      </c>
    </row>
    <row r="22" spans="1:17" ht="13.5" thickBot="1">
      <c r="A22" s="2"/>
      <c r="B22" s="286" t="s">
        <v>180</v>
      </c>
      <c r="C22" s="584"/>
      <c r="D22" s="584"/>
      <c r="E22" s="217"/>
      <c r="F22" s="286">
        <f>HLOOKUP($F$10,Scenarios,O22,FALSE)</f>
        <v>2.0388824180169176E-3</v>
      </c>
      <c r="H22" s="286">
        <f>+'Utah Bad Debt'!$G$17</f>
        <v>2.0388824180169176E-3</v>
      </c>
      <c r="I22" s="286"/>
      <c r="J22" s="286">
        <f>+'Utah Bad Debt'!$G$17</f>
        <v>2.0388824180169176E-3</v>
      </c>
      <c r="K22" s="286"/>
      <c r="L22" s="286">
        <f>'Utah Bad Debt'!$G$17</f>
        <v>2.0388824180169176E-3</v>
      </c>
      <c r="M22" s="286"/>
      <c r="O22" s="32">
        <f>O21+1</f>
        <v>13</v>
      </c>
    </row>
    <row r="23" spans="1:17">
      <c r="A23" s="2"/>
      <c r="B23" s="283"/>
      <c r="C23" s="287"/>
      <c r="D23" s="288"/>
      <c r="E23" s="217"/>
      <c r="F23" s="283"/>
      <c r="H23" s="598"/>
      <c r="I23" s="598"/>
      <c r="J23" s="598"/>
      <c r="K23" s="598"/>
      <c r="L23" s="598"/>
      <c r="M23" s="598"/>
      <c r="O23" s="32">
        <f>O22+1</f>
        <v>14</v>
      </c>
    </row>
    <row r="24" spans="1:17">
      <c r="A24" s="2"/>
      <c r="B24" s="285"/>
      <c r="C24" s="289"/>
      <c r="D24" s="290"/>
      <c r="E24" s="217"/>
      <c r="F24" s="285"/>
      <c r="H24" s="225"/>
      <c r="I24" s="225"/>
      <c r="J24" s="225"/>
      <c r="K24" s="225"/>
      <c r="L24" s="225"/>
      <c r="M24" s="225"/>
      <c r="O24" s="32">
        <f t="shared" si="0"/>
        <v>15</v>
      </c>
    </row>
    <row r="25" spans="1:17" ht="13.5" thickBot="1">
      <c r="A25" s="2"/>
      <c r="B25" s="291" t="s">
        <v>39</v>
      </c>
      <c r="C25" s="111" t="s">
        <v>178</v>
      </c>
      <c r="D25" s="184"/>
      <c r="E25" s="217"/>
      <c r="F25" s="291"/>
      <c r="H25" s="291"/>
      <c r="I25" s="291"/>
      <c r="J25" s="291"/>
      <c r="K25" s="291"/>
      <c r="L25" s="291"/>
      <c r="M25" s="291"/>
      <c r="O25" s="32">
        <f t="shared" si="0"/>
        <v>16</v>
      </c>
    </row>
    <row r="26" spans="1:17">
      <c r="A26" s="15"/>
      <c r="B26" s="292"/>
      <c r="C26" s="15"/>
      <c r="D26" s="15"/>
      <c r="E26" s="217"/>
      <c r="F26" s="599"/>
      <c r="H26" s="1192"/>
      <c r="I26" s="594"/>
      <c r="J26" s="1192"/>
      <c r="K26" s="594"/>
      <c r="L26" s="594"/>
      <c r="M26" s="594"/>
      <c r="O26" s="32">
        <f t="shared" si="0"/>
        <v>17</v>
      </c>
    </row>
    <row r="27" spans="1:17">
      <c r="A27" s="301">
        <v>1</v>
      </c>
      <c r="B27" s="292" t="str">
        <f t="shared" ref="B27:B39" si="1">+F27</f>
        <v>AVG RB DEC 2019</v>
      </c>
      <c r="C27" s="491" t="s">
        <v>195</v>
      </c>
      <c r="D27" s="293"/>
      <c r="E27" s="183" t="str">
        <f t="shared" ref="E27:E54" si="2">HLOOKUP($E$10,Scenarios,O27,FALSE)</f>
        <v>Y</v>
      </c>
      <c r="F27" s="183" t="str">
        <f t="shared" ref="F27:F68" si="3">HLOOKUP($F$10,Scenarios,O27,FALSE)</f>
        <v>AVG RB DEC 2019</v>
      </c>
      <c r="G27" s="15"/>
      <c r="H27" s="594" t="s">
        <v>1276</v>
      </c>
      <c r="I27" s="594" t="s">
        <v>711</v>
      </c>
      <c r="J27" s="594" t="s">
        <v>1375</v>
      </c>
      <c r="K27" s="594" t="s">
        <v>711</v>
      </c>
      <c r="L27" s="594" t="s">
        <v>1397</v>
      </c>
      <c r="M27" s="594" t="s">
        <v>711</v>
      </c>
      <c r="O27" s="32">
        <f t="shared" si="0"/>
        <v>18</v>
      </c>
      <c r="Q27" s="9"/>
    </row>
    <row r="28" spans="1:17">
      <c r="A28" s="301">
        <f>+A27+1</f>
        <v>2</v>
      </c>
      <c r="B28" s="292" t="str">
        <f t="shared" si="1"/>
        <v>Expense 2019</v>
      </c>
      <c r="C28" s="491" t="s">
        <v>995</v>
      </c>
      <c r="D28" s="293"/>
      <c r="E28" s="183" t="str">
        <f t="shared" si="2"/>
        <v>Y</v>
      </c>
      <c r="F28" s="183" t="str">
        <f t="shared" si="3"/>
        <v>Expense 2019</v>
      </c>
      <c r="G28" s="15"/>
      <c r="H28" s="594" t="s">
        <v>1511</v>
      </c>
      <c r="I28" s="594" t="s">
        <v>337</v>
      </c>
      <c r="J28" s="594" t="s">
        <v>1535</v>
      </c>
      <c r="K28" s="594" t="s">
        <v>711</v>
      </c>
      <c r="L28" s="594" t="s">
        <v>1536</v>
      </c>
      <c r="M28" s="594" t="s">
        <v>711</v>
      </c>
      <c r="O28" s="32">
        <f t="shared" si="0"/>
        <v>19</v>
      </c>
      <c r="Q28" s="9"/>
    </row>
    <row r="29" spans="1:17">
      <c r="A29" s="301">
        <f>+A28+1</f>
        <v>3</v>
      </c>
      <c r="B29" s="292" t="str">
        <f>+F29</f>
        <v>AVG Projected Rev 2019 with CET</v>
      </c>
      <c r="C29" s="491" t="s">
        <v>194</v>
      </c>
      <c r="D29" s="293"/>
      <c r="E29" s="183" t="str">
        <f t="shared" si="2"/>
        <v>Y</v>
      </c>
      <c r="F29" s="183" t="str">
        <f t="shared" si="3"/>
        <v>AVG Projected Rev 2019 with CET</v>
      </c>
      <c r="G29" s="15"/>
      <c r="H29" s="594" t="s">
        <v>1396</v>
      </c>
      <c r="I29" s="594" t="s">
        <v>337</v>
      </c>
      <c r="J29" s="594" t="s">
        <v>1341</v>
      </c>
      <c r="K29" s="594" t="s">
        <v>711</v>
      </c>
      <c r="L29" s="594" t="s">
        <v>1399</v>
      </c>
      <c r="M29" s="594" t="s">
        <v>711</v>
      </c>
      <c r="O29" s="32">
        <f t="shared" si="0"/>
        <v>20</v>
      </c>
      <c r="Q29" s="9"/>
    </row>
    <row r="30" spans="1:17">
      <c r="A30" s="301">
        <f t="shared" ref="A30:A71" si="4">+A29+1</f>
        <v>4</v>
      </c>
      <c r="B30" s="292" t="str">
        <f t="shared" si="1"/>
        <v>Underground Storage</v>
      </c>
      <c r="C30" s="491" t="s">
        <v>74</v>
      </c>
      <c r="D30" s="293"/>
      <c r="E30" s="183" t="str">
        <f t="shared" si="2"/>
        <v>Y</v>
      </c>
      <c r="F30" s="183" t="str">
        <f t="shared" si="3"/>
        <v>Underground Storage</v>
      </c>
      <c r="G30" s="15"/>
      <c r="H30" s="594" t="s">
        <v>74</v>
      </c>
      <c r="I30" s="594" t="s">
        <v>711</v>
      </c>
      <c r="J30" s="594" t="s">
        <v>74</v>
      </c>
      <c r="K30" s="594" t="s">
        <v>711</v>
      </c>
      <c r="L30" s="594" t="s">
        <v>74</v>
      </c>
      <c r="M30" s="594" t="s">
        <v>711</v>
      </c>
      <c r="O30" s="32">
        <f t="shared" si="0"/>
        <v>21</v>
      </c>
      <c r="Q30" s="9"/>
    </row>
    <row r="31" spans="1:17">
      <c r="A31" s="301">
        <f t="shared" si="4"/>
        <v>5</v>
      </c>
      <c r="B31" s="292" t="str">
        <f t="shared" si="1"/>
        <v>Wexpro</v>
      </c>
      <c r="C31" s="491" t="s">
        <v>834</v>
      </c>
      <c r="D31" s="293"/>
      <c r="E31" s="183" t="str">
        <f t="shared" si="2"/>
        <v>Y</v>
      </c>
      <c r="F31" s="183" t="str">
        <f t="shared" si="3"/>
        <v>Wexpro</v>
      </c>
      <c r="G31" s="15"/>
      <c r="H31" s="594" t="s">
        <v>686</v>
      </c>
      <c r="I31" s="594" t="s">
        <v>711</v>
      </c>
      <c r="J31" s="594" t="s">
        <v>686</v>
      </c>
      <c r="K31" s="594" t="s">
        <v>711</v>
      </c>
      <c r="L31" s="594" t="s">
        <v>686</v>
      </c>
      <c r="M31" s="594" t="s">
        <v>711</v>
      </c>
      <c r="O31" s="32">
        <f t="shared" si="0"/>
        <v>22</v>
      </c>
      <c r="Q31" s="9"/>
    </row>
    <row r="32" spans="1:17">
      <c r="A32" s="301">
        <f t="shared" si="4"/>
        <v>6</v>
      </c>
      <c r="B32" s="292" t="str">
        <f t="shared" ref="B32" si="5">+F32</f>
        <v>Energy Efficiency 2019</v>
      </c>
      <c r="C32" s="491" t="s">
        <v>1125</v>
      </c>
      <c r="D32" s="293"/>
      <c r="E32" s="183" t="str">
        <f t="shared" ref="E32" si="6">HLOOKUP($E$10,Scenarios,O32,FALSE)</f>
        <v>Y</v>
      </c>
      <c r="F32" s="183" t="str">
        <f t="shared" si="3"/>
        <v>Energy Efficiency 2019</v>
      </c>
      <c r="G32" s="15"/>
      <c r="H32" s="1193" t="s">
        <v>1233</v>
      </c>
      <c r="I32" s="594" t="s">
        <v>711</v>
      </c>
      <c r="J32" s="1193" t="s">
        <v>1358</v>
      </c>
      <c r="K32" s="594" t="s">
        <v>711</v>
      </c>
      <c r="L32" s="1193" t="s">
        <v>1400</v>
      </c>
      <c r="M32" s="594" t="s">
        <v>711</v>
      </c>
      <c r="O32" s="32">
        <f t="shared" si="0"/>
        <v>23</v>
      </c>
      <c r="Q32" s="9"/>
    </row>
    <row r="33" spans="1:17">
      <c r="A33" s="301">
        <f t="shared" si="4"/>
        <v>7</v>
      </c>
      <c r="B33" s="292" t="str">
        <f t="shared" si="1"/>
        <v>Utah Bad Debt 2019</v>
      </c>
      <c r="C33" s="491" t="s">
        <v>866</v>
      </c>
      <c r="D33" s="293"/>
      <c r="E33" s="183" t="str">
        <f t="shared" si="2"/>
        <v>Y</v>
      </c>
      <c r="F33" s="183" t="str">
        <f t="shared" si="3"/>
        <v>Utah Bad Debt 2019</v>
      </c>
      <c r="G33" s="15"/>
      <c r="H33" s="594" t="s">
        <v>1234</v>
      </c>
      <c r="I33" s="594" t="s">
        <v>711</v>
      </c>
      <c r="J33" s="594" t="s">
        <v>1378</v>
      </c>
      <c r="K33" s="594" t="s">
        <v>711</v>
      </c>
      <c r="L33" s="594" t="s">
        <v>1537</v>
      </c>
      <c r="M33" s="594" t="s">
        <v>711</v>
      </c>
      <c r="O33" s="32">
        <f t="shared" si="0"/>
        <v>24</v>
      </c>
      <c r="Q33" s="9"/>
    </row>
    <row r="34" spans="1:17">
      <c r="A34" s="301">
        <f t="shared" si="4"/>
        <v>8</v>
      </c>
      <c r="B34" s="292" t="str">
        <f t="shared" si="1"/>
        <v>DEU Incentives 2019</v>
      </c>
      <c r="C34" s="491" t="s">
        <v>166</v>
      </c>
      <c r="D34" s="293"/>
      <c r="E34" s="183" t="str">
        <f t="shared" si="2"/>
        <v>Y</v>
      </c>
      <c r="F34" s="183" t="str">
        <f t="shared" si="3"/>
        <v>DEU Incentives 2019</v>
      </c>
      <c r="G34" s="15"/>
      <c r="H34" s="594" t="s">
        <v>1394</v>
      </c>
      <c r="I34" s="594" t="s">
        <v>711</v>
      </c>
      <c r="J34" s="594" t="s">
        <v>1395</v>
      </c>
      <c r="K34" s="594" t="s">
        <v>711</v>
      </c>
      <c r="L34" s="594" t="s">
        <v>1539</v>
      </c>
      <c r="M34" s="594" t="s">
        <v>711</v>
      </c>
      <c r="O34" s="32">
        <f t="shared" si="0"/>
        <v>25</v>
      </c>
      <c r="Q34" s="9"/>
    </row>
    <row r="35" spans="1:17">
      <c r="A35" s="301">
        <f t="shared" si="4"/>
        <v>9</v>
      </c>
      <c r="B35" s="292" t="str">
        <f t="shared" si="1"/>
        <v>Sporting Events 2019</v>
      </c>
      <c r="C35" s="491" t="s">
        <v>644</v>
      </c>
      <c r="D35" s="293"/>
      <c r="E35" s="183" t="str">
        <f t="shared" si="2"/>
        <v>Y</v>
      </c>
      <c r="F35" s="183" t="str">
        <f t="shared" si="3"/>
        <v>Sporting Events 2019</v>
      </c>
      <c r="G35" s="15"/>
      <c r="H35" s="594" t="s">
        <v>1440</v>
      </c>
      <c r="I35" s="594" t="s">
        <v>711</v>
      </c>
      <c r="J35" s="594" t="s">
        <v>1531</v>
      </c>
      <c r="K35" s="594" t="s">
        <v>711</v>
      </c>
      <c r="L35" s="594" t="s">
        <v>1538</v>
      </c>
      <c r="M35" s="594" t="s">
        <v>711</v>
      </c>
      <c r="O35" s="32">
        <f t="shared" si="0"/>
        <v>26</v>
      </c>
      <c r="Q35" s="9"/>
    </row>
    <row r="36" spans="1:17">
      <c r="A36" s="301">
        <f t="shared" si="4"/>
        <v>10</v>
      </c>
      <c r="B36" s="292" t="str">
        <f t="shared" si="1"/>
        <v>Advertising 2019</v>
      </c>
      <c r="C36" s="491" t="s">
        <v>6</v>
      </c>
      <c r="D36" s="293"/>
      <c r="E36" s="183" t="str">
        <f t="shared" si="2"/>
        <v>Y</v>
      </c>
      <c r="F36" s="183" t="str">
        <f t="shared" si="3"/>
        <v>Advertising 2019</v>
      </c>
      <c r="G36" s="15"/>
      <c r="H36" s="594" t="s">
        <v>1442</v>
      </c>
      <c r="I36" s="594" t="s">
        <v>711</v>
      </c>
      <c r="J36" s="594" t="s">
        <v>1532</v>
      </c>
      <c r="K36" s="594" t="s">
        <v>711</v>
      </c>
      <c r="L36" s="594" t="s">
        <v>1540</v>
      </c>
      <c r="M36" s="594" t="s">
        <v>711</v>
      </c>
      <c r="O36" s="32">
        <f t="shared" si="0"/>
        <v>27</v>
      </c>
      <c r="Q36" s="9"/>
    </row>
    <row r="37" spans="1:17" ht="12" customHeight="1">
      <c r="A37" s="301">
        <f t="shared" si="4"/>
        <v>11</v>
      </c>
      <c r="B37" s="292" t="str">
        <f t="shared" si="1"/>
        <v>Donations &amp; Membership 2019</v>
      </c>
      <c r="C37" s="491" t="s">
        <v>896</v>
      </c>
      <c r="D37" s="293"/>
      <c r="E37" s="183" t="str">
        <f t="shared" si="2"/>
        <v>Y</v>
      </c>
      <c r="F37" s="183" t="str">
        <f t="shared" si="3"/>
        <v>Donations &amp; Membership 2019</v>
      </c>
      <c r="G37" s="15"/>
      <c r="H37" s="594" t="s">
        <v>1443</v>
      </c>
      <c r="I37" s="594" t="s">
        <v>711</v>
      </c>
      <c r="J37" s="594" t="s">
        <v>1533</v>
      </c>
      <c r="K37" s="594" t="s">
        <v>711</v>
      </c>
      <c r="L37" s="594" t="s">
        <v>1541</v>
      </c>
      <c r="M37" s="594" t="s">
        <v>711</v>
      </c>
      <c r="O37" s="32">
        <f t="shared" si="0"/>
        <v>28</v>
      </c>
      <c r="Q37" s="9"/>
    </row>
    <row r="38" spans="1:17">
      <c r="A38" s="301">
        <f t="shared" si="4"/>
        <v>12</v>
      </c>
      <c r="B38" s="292" t="str">
        <f t="shared" si="1"/>
        <v>Reserve Accrual 2019</v>
      </c>
      <c r="C38" s="491" t="s">
        <v>165</v>
      </c>
      <c r="D38" s="293"/>
      <c r="E38" s="183" t="str">
        <f t="shared" si="2"/>
        <v>Y</v>
      </c>
      <c r="F38" s="183" t="str">
        <f t="shared" si="3"/>
        <v>Reserve Accrual 2019</v>
      </c>
      <c r="G38" s="577"/>
      <c r="H38" s="594" t="s">
        <v>1444</v>
      </c>
      <c r="I38" s="594" t="s">
        <v>711</v>
      </c>
      <c r="J38" s="594" t="s">
        <v>1534</v>
      </c>
      <c r="K38" s="594" t="s">
        <v>711</v>
      </c>
      <c r="L38" s="594" t="s">
        <v>1542</v>
      </c>
      <c r="M38" s="594" t="s">
        <v>711</v>
      </c>
      <c r="O38" s="32">
        <f t="shared" si="0"/>
        <v>29</v>
      </c>
      <c r="Q38" s="9"/>
    </row>
    <row r="39" spans="1:17">
      <c r="A39" s="301">
        <f t="shared" si="4"/>
        <v>13</v>
      </c>
      <c r="B39" s="292" t="str">
        <f t="shared" si="1"/>
        <v>Corporate Overhead 2019</v>
      </c>
      <c r="C39" s="491"/>
      <c r="D39" s="293"/>
      <c r="E39" s="183" t="str">
        <f t="shared" si="2"/>
        <v>Y</v>
      </c>
      <c r="F39" s="183" t="str">
        <f t="shared" si="3"/>
        <v>Corporate Overhead 2019</v>
      </c>
      <c r="G39" s="577"/>
      <c r="H39" s="594" t="s">
        <v>1549</v>
      </c>
      <c r="I39" s="594" t="s">
        <v>711</v>
      </c>
      <c r="J39" s="594" t="s">
        <v>1550</v>
      </c>
      <c r="K39" s="594" t="s">
        <v>711</v>
      </c>
      <c r="L39" s="594" t="s">
        <v>1551</v>
      </c>
      <c r="M39" s="594" t="s">
        <v>711</v>
      </c>
      <c r="O39" s="32">
        <f t="shared" si="0"/>
        <v>30</v>
      </c>
      <c r="Q39" s="9"/>
    </row>
    <row r="40" spans="1:17">
      <c r="A40" s="301">
        <f t="shared" si="4"/>
        <v>14</v>
      </c>
      <c r="B40" s="292" t="str">
        <f>F40</f>
        <v>2019 Transition</v>
      </c>
      <c r="C40" s="491"/>
      <c r="D40" s="293"/>
      <c r="E40" s="183" t="str">
        <f t="shared" si="2"/>
        <v>Y</v>
      </c>
      <c r="F40" s="183" t="str">
        <f t="shared" si="3"/>
        <v>2019 Transition</v>
      </c>
      <c r="G40" s="15"/>
      <c r="H40" s="594" t="s">
        <v>1589</v>
      </c>
      <c r="I40" s="594" t="s">
        <v>711</v>
      </c>
      <c r="J40" s="594" t="s">
        <v>1590</v>
      </c>
      <c r="K40" s="594" t="s">
        <v>711</v>
      </c>
      <c r="L40" s="594" t="s">
        <v>1591</v>
      </c>
      <c r="M40" s="594" t="s">
        <v>711</v>
      </c>
      <c r="O40" s="32">
        <f t="shared" si="0"/>
        <v>31</v>
      </c>
      <c r="Q40" s="9"/>
    </row>
    <row r="41" spans="1:17" hidden="1">
      <c r="A41" s="301">
        <f t="shared" si="4"/>
        <v>15</v>
      </c>
      <c r="B41" s="292" t="str">
        <f t="shared" ref="B41:B54" si="7">F41</f>
        <v>Optional Adjustment 2</v>
      </c>
      <c r="C41" s="491" t="s">
        <v>1201</v>
      </c>
      <c r="D41" s="293"/>
      <c r="E41" s="183" t="str">
        <f t="shared" si="2"/>
        <v>N</v>
      </c>
      <c r="F41" s="183" t="str">
        <f t="shared" si="3"/>
        <v>Optional Adjustment 2</v>
      </c>
      <c r="G41" s="15"/>
      <c r="H41" s="594" t="s">
        <v>1201</v>
      </c>
      <c r="I41" s="594" t="s">
        <v>337</v>
      </c>
      <c r="J41" s="594" t="s">
        <v>1201</v>
      </c>
      <c r="K41" s="594" t="s">
        <v>337</v>
      </c>
      <c r="L41" s="594" t="s">
        <v>1201</v>
      </c>
      <c r="M41" s="594" t="s">
        <v>337</v>
      </c>
      <c r="O41" s="32">
        <f t="shared" si="0"/>
        <v>32</v>
      </c>
      <c r="Q41" s="9"/>
    </row>
    <row r="42" spans="1:17" hidden="1">
      <c r="A42" s="301">
        <f t="shared" si="4"/>
        <v>16</v>
      </c>
      <c r="B42" s="292" t="str">
        <f t="shared" si="7"/>
        <v>Optional Adjustment 3</v>
      </c>
      <c r="C42" s="491" t="s">
        <v>1202</v>
      </c>
      <c r="D42" s="293"/>
      <c r="E42" s="183" t="str">
        <f t="shared" si="2"/>
        <v>N</v>
      </c>
      <c r="F42" s="183" t="str">
        <f t="shared" si="3"/>
        <v>Optional Adjustment 3</v>
      </c>
      <c r="G42" s="15"/>
      <c r="H42" s="594" t="s">
        <v>1202</v>
      </c>
      <c r="I42" s="594" t="s">
        <v>337</v>
      </c>
      <c r="J42" s="594" t="s">
        <v>1202</v>
      </c>
      <c r="K42" s="594" t="s">
        <v>337</v>
      </c>
      <c r="L42" s="594" t="s">
        <v>1202</v>
      </c>
      <c r="M42" s="594" t="s">
        <v>337</v>
      </c>
      <c r="O42" s="32">
        <f t="shared" si="0"/>
        <v>33</v>
      </c>
      <c r="Q42" s="9"/>
    </row>
    <row r="43" spans="1:17" hidden="1">
      <c r="A43" s="301">
        <f t="shared" si="4"/>
        <v>17</v>
      </c>
      <c r="B43" s="292" t="str">
        <f t="shared" si="7"/>
        <v>Optional Adjustment 4</v>
      </c>
      <c r="C43" s="491" t="s">
        <v>1203</v>
      </c>
      <c r="D43" s="293"/>
      <c r="E43" s="183" t="str">
        <f t="shared" si="2"/>
        <v>N</v>
      </c>
      <c r="F43" s="183" t="str">
        <f t="shared" si="3"/>
        <v>Optional Adjustment 4</v>
      </c>
      <c r="G43" s="15"/>
      <c r="H43" s="594" t="s">
        <v>1203</v>
      </c>
      <c r="I43" s="594" t="s">
        <v>337</v>
      </c>
      <c r="J43" s="594" t="s">
        <v>1203</v>
      </c>
      <c r="K43" s="594" t="s">
        <v>337</v>
      </c>
      <c r="L43" s="594" t="s">
        <v>1203</v>
      </c>
      <c r="M43" s="594" t="s">
        <v>337</v>
      </c>
      <c r="O43" s="32">
        <f t="shared" si="0"/>
        <v>34</v>
      </c>
      <c r="Q43" s="9"/>
    </row>
    <row r="44" spans="1:17" hidden="1">
      <c r="A44" s="301">
        <f t="shared" si="4"/>
        <v>18</v>
      </c>
      <c r="B44" s="292" t="str">
        <f t="shared" si="7"/>
        <v>Optional Adjustment 5</v>
      </c>
      <c r="C44" s="491" t="s">
        <v>1204</v>
      </c>
      <c r="D44" s="293"/>
      <c r="E44" s="183" t="str">
        <f t="shared" si="2"/>
        <v>N</v>
      </c>
      <c r="F44" s="183" t="str">
        <f t="shared" si="3"/>
        <v>Optional Adjustment 5</v>
      </c>
      <c r="G44" s="15"/>
      <c r="H44" s="594" t="s">
        <v>1204</v>
      </c>
      <c r="I44" s="594" t="s">
        <v>337</v>
      </c>
      <c r="J44" s="594" t="s">
        <v>1204</v>
      </c>
      <c r="K44" s="594" t="s">
        <v>337</v>
      </c>
      <c r="L44" s="594" t="s">
        <v>1204</v>
      </c>
      <c r="M44" s="594" t="s">
        <v>337</v>
      </c>
      <c r="O44" s="32">
        <f t="shared" si="0"/>
        <v>35</v>
      </c>
      <c r="Q44" s="9"/>
    </row>
    <row r="45" spans="1:17" hidden="1">
      <c r="A45" s="301">
        <f t="shared" si="4"/>
        <v>19</v>
      </c>
      <c r="B45" s="292" t="str">
        <f t="shared" si="7"/>
        <v>Optional Adjustment 6</v>
      </c>
      <c r="C45" s="491" t="s">
        <v>1205</v>
      </c>
      <c r="D45" s="293"/>
      <c r="E45" s="183" t="str">
        <f t="shared" si="2"/>
        <v>N</v>
      </c>
      <c r="F45" s="183" t="str">
        <f t="shared" si="3"/>
        <v>Optional Adjustment 6</v>
      </c>
      <c r="G45" s="15"/>
      <c r="H45" s="594" t="s">
        <v>1205</v>
      </c>
      <c r="I45" s="594" t="s">
        <v>337</v>
      </c>
      <c r="J45" s="594" t="s">
        <v>1205</v>
      </c>
      <c r="K45" s="594" t="s">
        <v>337</v>
      </c>
      <c r="L45" s="594" t="s">
        <v>1205</v>
      </c>
      <c r="M45" s="594" t="s">
        <v>337</v>
      </c>
      <c r="O45" s="32">
        <f t="shared" si="0"/>
        <v>36</v>
      </c>
      <c r="Q45" s="9"/>
    </row>
    <row r="46" spans="1:17" hidden="1">
      <c r="A46" s="301">
        <f t="shared" si="4"/>
        <v>20</v>
      </c>
      <c r="B46" s="292" t="str">
        <f t="shared" si="7"/>
        <v>Optional Adjustment 7</v>
      </c>
      <c r="C46" s="491" t="s">
        <v>1206</v>
      </c>
      <c r="D46" s="293"/>
      <c r="E46" s="183" t="str">
        <f t="shared" si="2"/>
        <v>N</v>
      </c>
      <c r="F46" s="183" t="str">
        <f t="shared" si="3"/>
        <v>Optional Adjustment 7</v>
      </c>
      <c r="G46" s="15"/>
      <c r="H46" s="594" t="s">
        <v>1206</v>
      </c>
      <c r="I46" s="594" t="s">
        <v>337</v>
      </c>
      <c r="J46" s="594" t="s">
        <v>1206</v>
      </c>
      <c r="K46" s="594" t="s">
        <v>337</v>
      </c>
      <c r="L46" s="594" t="s">
        <v>1206</v>
      </c>
      <c r="M46" s="594" t="s">
        <v>337</v>
      </c>
      <c r="O46" s="32">
        <f t="shared" si="0"/>
        <v>37</v>
      </c>
      <c r="Q46" s="9"/>
    </row>
    <row r="47" spans="1:17" hidden="1">
      <c r="A47" s="301">
        <f t="shared" si="4"/>
        <v>21</v>
      </c>
      <c r="B47" s="292" t="str">
        <f t="shared" si="7"/>
        <v>Optional Adjustment 8</v>
      </c>
      <c r="C47" s="491" t="s">
        <v>1207</v>
      </c>
      <c r="D47" s="293"/>
      <c r="E47" s="183" t="str">
        <f t="shared" si="2"/>
        <v>N</v>
      </c>
      <c r="F47" s="183" t="str">
        <f t="shared" si="3"/>
        <v>Optional Adjustment 8</v>
      </c>
      <c r="G47" s="15"/>
      <c r="H47" s="594" t="s">
        <v>1207</v>
      </c>
      <c r="I47" s="594" t="s">
        <v>337</v>
      </c>
      <c r="J47" s="594" t="s">
        <v>1207</v>
      </c>
      <c r="K47" s="594" t="s">
        <v>337</v>
      </c>
      <c r="L47" s="594" t="s">
        <v>1207</v>
      </c>
      <c r="M47" s="594" t="s">
        <v>337</v>
      </c>
      <c r="O47" s="32">
        <f t="shared" si="0"/>
        <v>38</v>
      </c>
      <c r="Q47" s="9"/>
    </row>
    <row r="48" spans="1:17" hidden="1">
      <c r="A48" s="301">
        <f t="shared" si="4"/>
        <v>22</v>
      </c>
      <c r="B48" s="292" t="str">
        <f t="shared" si="7"/>
        <v>Optional Adjustment 9</v>
      </c>
      <c r="C48" s="491" t="s">
        <v>1208</v>
      </c>
      <c r="D48" s="293"/>
      <c r="E48" s="183" t="str">
        <f t="shared" si="2"/>
        <v>N</v>
      </c>
      <c r="F48" s="183" t="str">
        <f t="shared" si="3"/>
        <v>Optional Adjustment 9</v>
      </c>
      <c r="G48" s="15"/>
      <c r="H48" s="594" t="s">
        <v>1208</v>
      </c>
      <c r="I48" s="594" t="s">
        <v>337</v>
      </c>
      <c r="J48" s="594" t="s">
        <v>1208</v>
      </c>
      <c r="K48" s="594" t="s">
        <v>337</v>
      </c>
      <c r="L48" s="594" t="s">
        <v>1208</v>
      </c>
      <c r="M48" s="594" t="s">
        <v>337</v>
      </c>
      <c r="O48" s="32">
        <f t="shared" si="0"/>
        <v>39</v>
      </c>
      <c r="Q48" s="9"/>
    </row>
    <row r="49" spans="1:17" hidden="1">
      <c r="A49" s="301">
        <f t="shared" si="4"/>
        <v>23</v>
      </c>
      <c r="B49" s="292" t="str">
        <f t="shared" si="7"/>
        <v>Optional Adjustment 10</v>
      </c>
      <c r="C49" s="491" t="s">
        <v>1209</v>
      </c>
      <c r="D49" s="293"/>
      <c r="E49" s="183" t="str">
        <f t="shared" si="2"/>
        <v>N</v>
      </c>
      <c r="F49" s="183" t="str">
        <f t="shared" si="3"/>
        <v>Optional Adjustment 10</v>
      </c>
      <c r="G49" s="15"/>
      <c r="H49" s="594" t="s">
        <v>1209</v>
      </c>
      <c r="I49" s="594" t="s">
        <v>337</v>
      </c>
      <c r="J49" s="594" t="s">
        <v>1209</v>
      </c>
      <c r="K49" s="594" t="s">
        <v>337</v>
      </c>
      <c r="L49" s="594" t="s">
        <v>1209</v>
      </c>
      <c r="M49" s="594" t="s">
        <v>337</v>
      </c>
      <c r="O49" s="32">
        <f t="shared" si="0"/>
        <v>40</v>
      </c>
      <c r="Q49" s="9"/>
    </row>
    <row r="50" spans="1:17" hidden="1">
      <c r="A50" s="301">
        <f t="shared" si="4"/>
        <v>24</v>
      </c>
      <c r="B50" s="292" t="str">
        <f t="shared" si="7"/>
        <v>Optional Adjustment 11</v>
      </c>
      <c r="C50" s="491" t="s">
        <v>1210</v>
      </c>
      <c r="D50" s="293"/>
      <c r="E50" s="183" t="str">
        <f t="shared" si="2"/>
        <v>N</v>
      </c>
      <c r="F50" s="183" t="str">
        <f t="shared" si="3"/>
        <v>Optional Adjustment 11</v>
      </c>
      <c r="G50" s="15"/>
      <c r="H50" s="594" t="s">
        <v>1210</v>
      </c>
      <c r="I50" s="594" t="s">
        <v>337</v>
      </c>
      <c r="J50" s="594" t="s">
        <v>1210</v>
      </c>
      <c r="K50" s="594" t="s">
        <v>337</v>
      </c>
      <c r="L50" s="594" t="s">
        <v>1210</v>
      </c>
      <c r="M50" s="594" t="s">
        <v>337</v>
      </c>
      <c r="O50" s="32">
        <f t="shared" si="0"/>
        <v>41</v>
      </c>
      <c r="Q50" s="9"/>
    </row>
    <row r="51" spans="1:17" hidden="1">
      <c r="A51" s="301">
        <f t="shared" si="4"/>
        <v>25</v>
      </c>
      <c r="B51" s="292" t="str">
        <f t="shared" si="7"/>
        <v>Optional Adjustment 12</v>
      </c>
      <c r="C51" s="491" t="s">
        <v>1211</v>
      </c>
      <c r="D51" s="293"/>
      <c r="E51" s="183" t="str">
        <f t="shared" si="2"/>
        <v>N</v>
      </c>
      <c r="F51" s="183" t="str">
        <f t="shared" si="3"/>
        <v>Optional Adjustment 12</v>
      </c>
      <c r="G51" s="15"/>
      <c r="H51" s="594" t="s">
        <v>1211</v>
      </c>
      <c r="I51" s="594" t="s">
        <v>337</v>
      </c>
      <c r="J51" s="594" t="s">
        <v>1211</v>
      </c>
      <c r="K51" s="594" t="s">
        <v>337</v>
      </c>
      <c r="L51" s="594" t="s">
        <v>1211</v>
      </c>
      <c r="M51" s="594" t="s">
        <v>337</v>
      </c>
      <c r="O51" s="32">
        <f t="shared" si="0"/>
        <v>42</v>
      </c>
      <c r="Q51" s="9"/>
    </row>
    <row r="52" spans="1:17" hidden="1">
      <c r="A52" s="301">
        <f t="shared" si="4"/>
        <v>26</v>
      </c>
      <c r="B52" s="292" t="str">
        <f t="shared" si="7"/>
        <v>Optional Adjustment 13</v>
      </c>
      <c r="C52" s="491" t="s">
        <v>1212</v>
      </c>
      <c r="D52" s="293"/>
      <c r="E52" s="183" t="str">
        <f t="shared" si="2"/>
        <v>N</v>
      </c>
      <c r="F52" s="183" t="str">
        <f t="shared" si="3"/>
        <v>Optional Adjustment 13</v>
      </c>
      <c r="G52" s="15"/>
      <c r="H52" s="594" t="s">
        <v>1212</v>
      </c>
      <c r="I52" s="594" t="s">
        <v>337</v>
      </c>
      <c r="J52" s="594" t="s">
        <v>1212</v>
      </c>
      <c r="K52" s="594" t="s">
        <v>337</v>
      </c>
      <c r="L52" s="594" t="s">
        <v>1212</v>
      </c>
      <c r="M52" s="594" t="s">
        <v>337</v>
      </c>
      <c r="O52" s="32">
        <f t="shared" si="0"/>
        <v>43</v>
      </c>
      <c r="Q52" s="9"/>
    </row>
    <row r="53" spans="1:17" hidden="1">
      <c r="A53" s="301">
        <f t="shared" si="4"/>
        <v>27</v>
      </c>
      <c r="B53" s="292" t="str">
        <f t="shared" si="7"/>
        <v>Optional Adjustment 14</v>
      </c>
      <c r="C53" s="491" t="s">
        <v>1213</v>
      </c>
      <c r="D53" s="293"/>
      <c r="E53" s="183" t="str">
        <f t="shared" si="2"/>
        <v>N</v>
      </c>
      <c r="F53" s="183" t="str">
        <f t="shared" si="3"/>
        <v>Optional Adjustment 14</v>
      </c>
      <c r="G53" s="15"/>
      <c r="H53" s="594" t="s">
        <v>1213</v>
      </c>
      <c r="I53" s="42" t="s">
        <v>337</v>
      </c>
      <c r="J53" s="594" t="s">
        <v>1213</v>
      </c>
      <c r="K53" s="42" t="s">
        <v>337</v>
      </c>
      <c r="L53" s="594" t="s">
        <v>1213</v>
      </c>
      <c r="M53" s="42" t="s">
        <v>337</v>
      </c>
      <c r="O53" s="32">
        <f t="shared" si="0"/>
        <v>44</v>
      </c>
      <c r="Q53" s="9"/>
    </row>
    <row r="54" spans="1:17" hidden="1">
      <c r="A54" s="301">
        <f t="shared" si="4"/>
        <v>28</v>
      </c>
      <c r="B54" s="292" t="str">
        <f t="shared" si="7"/>
        <v>Optional Adjustment 15</v>
      </c>
      <c r="C54" s="491" t="s">
        <v>1214</v>
      </c>
      <c r="D54" s="293"/>
      <c r="E54" s="183" t="str">
        <f t="shared" si="2"/>
        <v>N</v>
      </c>
      <c r="F54" s="183" t="str">
        <f t="shared" si="3"/>
        <v>Optional Adjustment 15</v>
      </c>
      <c r="G54" s="15"/>
      <c r="H54" s="594" t="s">
        <v>1214</v>
      </c>
      <c r="I54" s="42" t="s">
        <v>337</v>
      </c>
      <c r="J54" s="594" t="s">
        <v>1214</v>
      </c>
      <c r="K54" s="42" t="s">
        <v>337</v>
      </c>
      <c r="L54" s="594" t="s">
        <v>1214</v>
      </c>
      <c r="M54" s="42" t="s">
        <v>337</v>
      </c>
      <c r="O54" s="32">
        <f t="shared" si="0"/>
        <v>45</v>
      </c>
      <c r="Q54" s="9"/>
    </row>
    <row r="55" spans="1:17" hidden="1">
      <c r="A55" s="301">
        <f t="shared" si="4"/>
        <v>29</v>
      </c>
      <c r="B55" s="292" t="str">
        <f t="shared" ref="B55:B67" si="8">F55</f>
        <v>Optional Adjustment 16</v>
      </c>
      <c r="C55" s="491" t="s">
        <v>1215</v>
      </c>
      <c r="D55" s="293"/>
      <c r="E55" s="183" t="str">
        <f t="shared" ref="E55:E67" si="9">HLOOKUP($E$10,Scenarios,O55,FALSE)</f>
        <v>N</v>
      </c>
      <c r="F55" s="183" t="str">
        <f t="shared" ref="F55:F67" si="10">HLOOKUP($F$10,Scenarios,O55,FALSE)</f>
        <v>Optional Adjustment 16</v>
      </c>
      <c r="G55" s="15"/>
      <c r="H55" s="594" t="s">
        <v>1215</v>
      </c>
      <c r="I55" s="594" t="s">
        <v>337</v>
      </c>
      <c r="J55" s="594" t="s">
        <v>1215</v>
      </c>
      <c r="K55" s="594" t="s">
        <v>337</v>
      </c>
      <c r="L55" s="594" t="s">
        <v>1215</v>
      </c>
      <c r="M55" s="594" t="s">
        <v>337</v>
      </c>
      <c r="O55" s="32">
        <f t="shared" si="0"/>
        <v>46</v>
      </c>
      <c r="Q55" s="9"/>
    </row>
    <row r="56" spans="1:17" hidden="1">
      <c r="A56" s="301">
        <f t="shared" si="4"/>
        <v>30</v>
      </c>
      <c r="B56" s="292" t="str">
        <f t="shared" si="8"/>
        <v>Optional Adjustment 17</v>
      </c>
      <c r="C56" s="491" t="s">
        <v>1216</v>
      </c>
      <c r="D56" s="293"/>
      <c r="E56" s="183" t="str">
        <f t="shared" si="9"/>
        <v>N</v>
      </c>
      <c r="F56" s="183" t="str">
        <f t="shared" si="10"/>
        <v>Optional Adjustment 17</v>
      </c>
      <c r="G56" s="15"/>
      <c r="H56" s="594" t="s">
        <v>1216</v>
      </c>
      <c r="I56" s="42" t="s">
        <v>337</v>
      </c>
      <c r="J56" s="594" t="s">
        <v>1216</v>
      </c>
      <c r="K56" s="42" t="s">
        <v>337</v>
      </c>
      <c r="L56" s="594" t="s">
        <v>1216</v>
      </c>
      <c r="M56" s="42" t="s">
        <v>337</v>
      </c>
      <c r="O56" s="32">
        <f t="shared" si="0"/>
        <v>47</v>
      </c>
      <c r="Q56" s="9"/>
    </row>
    <row r="57" spans="1:17" hidden="1">
      <c r="A57" s="301">
        <f t="shared" si="4"/>
        <v>31</v>
      </c>
      <c r="B57" s="292" t="str">
        <f t="shared" si="8"/>
        <v>Optional Adjustment 18</v>
      </c>
      <c r="C57" s="491" t="s">
        <v>1217</v>
      </c>
      <c r="D57" s="293"/>
      <c r="E57" s="183" t="str">
        <f t="shared" si="9"/>
        <v>N</v>
      </c>
      <c r="F57" s="183" t="str">
        <f t="shared" si="10"/>
        <v>Optional Adjustment 18</v>
      </c>
      <c r="G57" s="15"/>
      <c r="H57" s="594" t="s">
        <v>1217</v>
      </c>
      <c r="I57" s="42" t="s">
        <v>337</v>
      </c>
      <c r="J57" s="594" t="s">
        <v>1217</v>
      </c>
      <c r="K57" s="42" t="s">
        <v>337</v>
      </c>
      <c r="L57" s="594" t="s">
        <v>1217</v>
      </c>
      <c r="M57" s="42" t="s">
        <v>337</v>
      </c>
      <c r="O57" s="32">
        <f t="shared" si="0"/>
        <v>48</v>
      </c>
      <c r="Q57" s="9"/>
    </row>
    <row r="58" spans="1:17" hidden="1">
      <c r="A58" s="301">
        <f t="shared" si="4"/>
        <v>32</v>
      </c>
      <c r="B58" s="292" t="str">
        <f t="shared" si="8"/>
        <v>Optional Adjustment 19</v>
      </c>
      <c r="C58" s="491" t="s">
        <v>1218</v>
      </c>
      <c r="D58" s="293"/>
      <c r="E58" s="183" t="str">
        <f t="shared" si="9"/>
        <v>N</v>
      </c>
      <c r="F58" s="183" t="str">
        <f t="shared" si="10"/>
        <v>Optional Adjustment 19</v>
      </c>
      <c r="G58" s="15"/>
      <c r="H58" s="594" t="s">
        <v>1218</v>
      </c>
      <c r="I58" s="42" t="s">
        <v>337</v>
      </c>
      <c r="J58" s="594" t="s">
        <v>1218</v>
      </c>
      <c r="K58" s="42" t="s">
        <v>337</v>
      </c>
      <c r="L58" s="594" t="s">
        <v>1218</v>
      </c>
      <c r="M58" s="42" t="s">
        <v>337</v>
      </c>
      <c r="O58" s="32">
        <f t="shared" si="0"/>
        <v>49</v>
      </c>
      <c r="Q58" s="9"/>
    </row>
    <row r="59" spans="1:17" hidden="1">
      <c r="A59" s="301">
        <f t="shared" si="4"/>
        <v>33</v>
      </c>
      <c r="B59" s="292" t="str">
        <f t="shared" si="8"/>
        <v>Optional Adjustment 20</v>
      </c>
      <c r="C59" s="491" t="s">
        <v>1219</v>
      </c>
      <c r="D59" s="293"/>
      <c r="E59" s="183" t="str">
        <f t="shared" si="9"/>
        <v>N</v>
      </c>
      <c r="F59" s="183" t="str">
        <f t="shared" si="10"/>
        <v>Optional Adjustment 20</v>
      </c>
      <c r="G59" s="15"/>
      <c r="H59" s="594" t="s">
        <v>1219</v>
      </c>
      <c r="I59" s="42" t="s">
        <v>337</v>
      </c>
      <c r="J59" s="594" t="s">
        <v>1219</v>
      </c>
      <c r="K59" s="42" t="s">
        <v>337</v>
      </c>
      <c r="L59" s="594" t="s">
        <v>1219</v>
      </c>
      <c r="M59" s="42" t="s">
        <v>337</v>
      </c>
      <c r="O59" s="32">
        <f t="shared" si="0"/>
        <v>50</v>
      </c>
      <c r="Q59" s="9"/>
    </row>
    <row r="60" spans="1:17" hidden="1">
      <c r="A60" s="301">
        <f t="shared" si="4"/>
        <v>34</v>
      </c>
      <c r="B60" s="292" t="str">
        <f t="shared" si="8"/>
        <v>Optional Adjustment 21</v>
      </c>
      <c r="C60" s="491" t="s">
        <v>1220</v>
      </c>
      <c r="D60" s="293"/>
      <c r="E60" s="183" t="str">
        <f t="shared" si="9"/>
        <v>N</v>
      </c>
      <c r="F60" s="183" t="str">
        <f t="shared" si="10"/>
        <v>Optional Adjustment 21</v>
      </c>
      <c r="G60" s="15"/>
      <c r="H60" s="594" t="s">
        <v>1220</v>
      </c>
      <c r="I60" s="42" t="s">
        <v>337</v>
      </c>
      <c r="J60" s="594" t="s">
        <v>1220</v>
      </c>
      <c r="K60" s="42" t="s">
        <v>337</v>
      </c>
      <c r="L60" s="594" t="s">
        <v>1220</v>
      </c>
      <c r="M60" s="42" t="s">
        <v>337</v>
      </c>
      <c r="O60" s="32">
        <f t="shared" si="0"/>
        <v>51</v>
      </c>
      <c r="Q60" s="9"/>
    </row>
    <row r="61" spans="1:17" hidden="1">
      <c r="A61" s="301">
        <f t="shared" si="4"/>
        <v>35</v>
      </c>
      <c r="B61" s="292" t="str">
        <f t="shared" si="8"/>
        <v>Optional Adjustment 22</v>
      </c>
      <c r="C61" s="491" t="s">
        <v>1221</v>
      </c>
      <c r="D61" s="293"/>
      <c r="E61" s="183" t="str">
        <f t="shared" si="9"/>
        <v>N</v>
      </c>
      <c r="F61" s="183" t="str">
        <f t="shared" si="10"/>
        <v>Optional Adjustment 22</v>
      </c>
      <c r="G61" s="15"/>
      <c r="H61" s="594" t="s">
        <v>1221</v>
      </c>
      <c r="I61" s="42" t="s">
        <v>337</v>
      </c>
      <c r="J61" s="594" t="s">
        <v>1221</v>
      </c>
      <c r="K61" s="42" t="s">
        <v>337</v>
      </c>
      <c r="L61" s="594" t="s">
        <v>1221</v>
      </c>
      <c r="M61" s="42" t="s">
        <v>337</v>
      </c>
      <c r="O61" s="32">
        <f t="shared" si="0"/>
        <v>52</v>
      </c>
      <c r="Q61" s="9"/>
    </row>
    <row r="62" spans="1:17" hidden="1">
      <c r="A62" s="301">
        <f t="shared" si="4"/>
        <v>36</v>
      </c>
      <c r="B62" s="292" t="str">
        <f t="shared" si="8"/>
        <v>Optional Adjustment 23</v>
      </c>
      <c r="C62" s="491" t="s">
        <v>1222</v>
      </c>
      <c r="D62" s="293"/>
      <c r="E62" s="183" t="str">
        <f t="shared" si="9"/>
        <v>N</v>
      </c>
      <c r="F62" s="183" t="str">
        <f t="shared" si="10"/>
        <v>Optional Adjustment 23</v>
      </c>
      <c r="G62" s="15"/>
      <c r="H62" s="594" t="s">
        <v>1222</v>
      </c>
      <c r="I62" s="42" t="s">
        <v>337</v>
      </c>
      <c r="J62" s="594" t="s">
        <v>1222</v>
      </c>
      <c r="K62" s="42" t="s">
        <v>337</v>
      </c>
      <c r="L62" s="594" t="s">
        <v>1222</v>
      </c>
      <c r="M62" s="42" t="s">
        <v>337</v>
      </c>
      <c r="O62" s="32">
        <f t="shared" si="0"/>
        <v>53</v>
      </c>
      <c r="Q62" s="9"/>
    </row>
    <row r="63" spans="1:17" hidden="1">
      <c r="A63" s="301">
        <f t="shared" si="4"/>
        <v>37</v>
      </c>
      <c r="B63" s="292" t="str">
        <f t="shared" si="8"/>
        <v>Optional Adjustment 24</v>
      </c>
      <c r="C63" s="491" t="s">
        <v>1223</v>
      </c>
      <c r="D63" s="293"/>
      <c r="E63" s="183" t="str">
        <f t="shared" si="9"/>
        <v>N</v>
      </c>
      <c r="F63" s="183" t="str">
        <f t="shared" si="10"/>
        <v>Optional Adjustment 24</v>
      </c>
      <c r="G63" s="15"/>
      <c r="H63" s="594" t="s">
        <v>1223</v>
      </c>
      <c r="I63" s="42" t="s">
        <v>337</v>
      </c>
      <c r="J63" s="594" t="s">
        <v>1223</v>
      </c>
      <c r="K63" s="42" t="s">
        <v>337</v>
      </c>
      <c r="L63" s="594" t="s">
        <v>1223</v>
      </c>
      <c r="M63" s="42" t="s">
        <v>337</v>
      </c>
      <c r="O63" s="32">
        <f t="shared" si="0"/>
        <v>54</v>
      </c>
      <c r="Q63" s="9"/>
    </row>
    <row r="64" spans="1:17" hidden="1">
      <c r="A64" s="301">
        <f t="shared" si="4"/>
        <v>38</v>
      </c>
      <c r="B64" s="292" t="str">
        <f t="shared" si="8"/>
        <v>Optional Adjustment 25</v>
      </c>
      <c r="C64" s="491" t="s">
        <v>1224</v>
      </c>
      <c r="D64" s="293"/>
      <c r="E64" s="183" t="str">
        <f t="shared" si="9"/>
        <v>N</v>
      </c>
      <c r="F64" s="183" t="str">
        <f t="shared" si="10"/>
        <v>Optional Adjustment 25</v>
      </c>
      <c r="G64" s="15"/>
      <c r="H64" s="594" t="s">
        <v>1224</v>
      </c>
      <c r="I64" s="594" t="s">
        <v>337</v>
      </c>
      <c r="J64" s="594" t="s">
        <v>1224</v>
      </c>
      <c r="K64" s="594" t="s">
        <v>337</v>
      </c>
      <c r="L64" s="594" t="s">
        <v>1224</v>
      </c>
      <c r="M64" s="594" t="s">
        <v>337</v>
      </c>
      <c r="O64" s="32">
        <f t="shared" si="0"/>
        <v>55</v>
      </c>
      <c r="Q64" s="9"/>
    </row>
    <row r="65" spans="1:17" hidden="1">
      <c r="A65" s="301">
        <f t="shared" si="4"/>
        <v>39</v>
      </c>
      <c r="B65" s="292" t="str">
        <f t="shared" si="8"/>
        <v>Optional Adjustment 26</v>
      </c>
      <c r="C65" s="491" t="s">
        <v>1225</v>
      </c>
      <c r="D65" s="293"/>
      <c r="E65" s="183" t="str">
        <f t="shared" si="9"/>
        <v>N</v>
      </c>
      <c r="F65" s="183" t="str">
        <f t="shared" si="10"/>
        <v>Optional Adjustment 26</v>
      </c>
      <c r="G65" s="15"/>
      <c r="H65" s="594" t="s">
        <v>1225</v>
      </c>
      <c r="I65" s="594" t="s">
        <v>337</v>
      </c>
      <c r="J65" s="594" t="s">
        <v>1225</v>
      </c>
      <c r="K65" s="594" t="s">
        <v>337</v>
      </c>
      <c r="L65" s="594" t="s">
        <v>1225</v>
      </c>
      <c r="M65" s="594" t="s">
        <v>337</v>
      </c>
      <c r="O65" s="32">
        <f t="shared" si="0"/>
        <v>56</v>
      </c>
      <c r="Q65" s="9"/>
    </row>
    <row r="66" spans="1:17" hidden="1">
      <c r="A66" s="301">
        <f t="shared" si="4"/>
        <v>40</v>
      </c>
      <c r="B66" s="292" t="str">
        <f t="shared" si="8"/>
        <v>Optional Adjustment 27</v>
      </c>
      <c r="C66" s="491" t="s">
        <v>1226</v>
      </c>
      <c r="D66" s="293"/>
      <c r="E66" s="183" t="str">
        <f t="shared" si="9"/>
        <v>N</v>
      </c>
      <c r="F66" s="183" t="str">
        <f t="shared" si="10"/>
        <v>Optional Adjustment 27</v>
      </c>
      <c r="G66" s="15"/>
      <c r="H66" s="594" t="s">
        <v>1226</v>
      </c>
      <c r="I66" s="594" t="s">
        <v>337</v>
      </c>
      <c r="J66" s="594" t="s">
        <v>1226</v>
      </c>
      <c r="K66" s="594" t="s">
        <v>337</v>
      </c>
      <c r="L66" s="594" t="s">
        <v>1226</v>
      </c>
      <c r="M66" s="594" t="s">
        <v>337</v>
      </c>
      <c r="O66" s="32">
        <f t="shared" si="0"/>
        <v>57</v>
      </c>
      <c r="Q66" s="9"/>
    </row>
    <row r="67" spans="1:17">
      <c r="A67" s="301">
        <f t="shared" si="4"/>
        <v>41</v>
      </c>
      <c r="B67" s="292" t="str">
        <f t="shared" si="8"/>
        <v>Labor Adjustment-ROO</v>
      </c>
      <c r="C67" s="491"/>
      <c r="D67" s="293"/>
      <c r="E67" s="183" t="str">
        <f t="shared" si="9"/>
        <v>N</v>
      </c>
      <c r="F67" s="183" t="str">
        <f t="shared" si="10"/>
        <v>Labor Adjustment-ROO</v>
      </c>
      <c r="G67" s="15"/>
      <c r="H67" s="594" t="s">
        <v>1314</v>
      </c>
      <c r="I67" s="594" t="s">
        <v>711</v>
      </c>
      <c r="J67" s="594" t="s">
        <v>1314</v>
      </c>
      <c r="K67" s="594" t="s">
        <v>337</v>
      </c>
      <c r="L67" s="594" t="s">
        <v>1314</v>
      </c>
      <c r="M67" s="594" t="s">
        <v>337</v>
      </c>
      <c r="O67" s="32">
        <f t="shared" si="0"/>
        <v>58</v>
      </c>
      <c r="Q67" s="9"/>
    </row>
    <row r="68" spans="1:17" ht="13.5" thickBot="1">
      <c r="A68" s="301">
        <f>+A67+1</f>
        <v>42</v>
      </c>
      <c r="B68" s="292" t="str">
        <f>+F68</f>
        <v>Distrigas 2017</v>
      </c>
      <c r="C68" s="491" t="s">
        <v>11</v>
      </c>
      <c r="D68" s="293"/>
      <c r="E68" s="183"/>
      <c r="F68" s="183" t="str">
        <f t="shared" si="3"/>
        <v>Distrigas 2017</v>
      </c>
      <c r="G68" s="15"/>
      <c r="H68" s="368" t="s">
        <v>1445</v>
      </c>
      <c r="I68" s="594"/>
      <c r="J68" s="368" t="s">
        <v>1445</v>
      </c>
      <c r="K68" s="594"/>
      <c r="L68" s="368" t="s">
        <v>1445</v>
      </c>
      <c r="M68" s="594"/>
      <c r="O68" s="32">
        <f>O67+1</f>
        <v>59</v>
      </c>
      <c r="Q68" s="9"/>
    </row>
    <row r="69" spans="1:17">
      <c r="A69" s="301">
        <f t="shared" si="4"/>
        <v>43</v>
      </c>
      <c r="B69" s="292"/>
      <c r="C69" s="491"/>
      <c r="D69" s="293"/>
      <c r="E69" s="183"/>
      <c r="F69" s="183"/>
      <c r="G69" s="15"/>
      <c r="H69" s="594"/>
      <c r="I69" s="594"/>
      <c r="J69" s="594"/>
      <c r="K69" s="594"/>
      <c r="L69" s="594"/>
      <c r="M69" s="594"/>
      <c r="O69" s="32">
        <f t="shared" si="0"/>
        <v>60</v>
      </c>
      <c r="Q69" s="9"/>
    </row>
    <row r="70" spans="1:17">
      <c r="A70" s="301">
        <f t="shared" si="4"/>
        <v>44</v>
      </c>
      <c r="B70" s="292" t="str">
        <f>+F70</f>
        <v>ORDERED CAP STR 13-057-05</v>
      </c>
      <c r="C70" s="491" t="s">
        <v>160</v>
      </c>
      <c r="D70" s="293"/>
      <c r="E70" s="183"/>
      <c r="F70" s="183" t="str">
        <f>HLOOKUP($F$10,Scenarios,O70,FALSE)</f>
        <v>ORDERED CAP STR 13-057-05</v>
      </c>
      <c r="G70" s="15"/>
      <c r="H70" s="594" t="s">
        <v>1373</v>
      </c>
      <c r="I70" s="594"/>
      <c r="J70" s="139" t="s">
        <v>1373</v>
      </c>
      <c r="K70" s="594"/>
      <c r="L70" s="139" t="s">
        <v>1373</v>
      </c>
      <c r="M70" s="594"/>
      <c r="O70" s="32">
        <f t="shared" si="0"/>
        <v>61</v>
      </c>
      <c r="Q70" s="9"/>
    </row>
    <row r="71" spans="1:17" ht="13.5" thickBot="1">
      <c r="A71" s="301">
        <f t="shared" si="4"/>
        <v>45</v>
      </c>
      <c r="B71" s="601"/>
      <c r="C71" s="602"/>
      <c r="D71" s="602"/>
      <c r="E71" s="603"/>
      <c r="F71" s="603"/>
      <c r="G71" s="600"/>
      <c r="H71" s="368"/>
      <c r="I71" s="604"/>
      <c r="J71" s="368"/>
      <c r="K71" s="368"/>
      <c r="L71" s="368"/>
      <c r="M71" s="368"/>
      <c r="N71" s="22"/>
      <c r="O71" s="591"/>
      <c r="Q71" s="9"/>
    </row>
    <row r="74" spans="1:17">
      <c r="C74" s="952"/>
    </row>
    <row r="89" ht="16.5" customHeight="1"/>
    <row r="90" ht="15.75" customHeight="1"/>
  </sheetData>
  <dataConsolidate/>
  <phoneticPr fontId="0" type="noConversion"/>
  <dataValidations count="5">
    <dataValidation type="list" showInputMessage="1" showErrorMessage="1" sqref="J69 L69 H69">
      <formula1>"Dist Gas Jun 09"</formula1>
    </dataValidation>
    <dataValidation type="whole" operator="equal" allowBlank="1" showInputMessage="1" showErrorMessage="1" sqref="B68:B70 B27:B39 E10:E70 F11:F70">
      <formula1>999</formula1>
    </dataValidation>
    <dataValidation operator="equal" allowBlank="1" showInputMessage="1" showErrorMessage="1" sqref="J10 H10"/>
    <dataValidation type="whole" operator="equal" allowBlank="1" showInputMessage="1" showErrorMessage="1" sqref="L10">
      <formula1>6</formula1>
    </dataValidation>
    <dataValidation type="list" showInputMessage="1" showErrorMessage="1" sqref="H23:M23">
      <formula1>"Average,Actual 2004"</formula1>
    </dataValidation>
  </dataValidations>
  <hyperlinks>
    <hyperlink ref="C36" location="Advertising!A1" display="Advertising"/>
    <hyperlink ref="C33" location="'Utah Bad Debt'!A1" display="Utah Bad Debt"/>
    <hyperlink ref="C35" location="'Sporting Events'!A1" display="Sporting Events"/>
    <hyperlink ref="C34" location="INCENTIVESUMMARY" display="Incentives"/>
    <hyperlink ref="C31" location="Wexpro!Print_Area" display="3-Wexpro'!A1"/>
    <hyperlink ref="C27" location="'Rate Base'!A1" display="RATE BASE"/>
    <hyperlink ref="C70" location="'Capital Str'!A1" display="Capital Structure"/>
    <hyperlink ref="C37" location="Donations!A1" display="Donations"/>
    <hyperlink ref="C30" location="UNDERGROUND_STORAGE" display="Underground Storage"/>
    <hyperlink ref="C68" location="'ALLOCATIONS&amp;PRETAX'!Print_Area" display="District Gas &amp; Pretax"/>
    <hyperlink ref="C38" location="'RESERVE ACCRUAL'!Print_Area" display="RESERVE ACCRUAL"/>
    <hyperlink ref="C28" location="EXPENSES!Print_Area" display="Expense Adjustment"/>
    <hyperlink ref="C32" location="'ENERGY EFFICIENCY SERVICES ADJ'!A1" display="Energy Efficiency"/>
    <hyperlink ref="C41" location="'Optional Adjustment 2'!A1" display="Optional Adjustment 2"/>
    <hyperlink ref="C42" location="'Optional Adjustment 3'!A1" display="Optional Adjustment 3"/>
    <hyperlink ref="C43" location="'Optional Adjustment 4'!A1" display="Optional Adjustment 4"/>
    <hyperlink ref="C44" location="'Optional Adjustment 5'!A1" display="Optional Adjustment 5"/>
    <hyperlink ref="C45:C54" location="'Optional Adjustment 5'!A1" display="Optional Adjustment 5"/>
    <hyperlink ref="C45" location="'Optional Adjustment 6'!A1" display="Optional Adjustment 6"/>
    <hyperlink ref="C46" location="'Optional Adjustment 7'!A1" display="Optional Adjustment 7"/>
    <hyperlink ref="C47" location="'Optional Adjustment 8'!A1" display="Optional Adjustment 8"/>
    <hyperlink ref="C48" location="'Optional Adjustment 9'!A1" display="Optional Adjustment 9"/>
    <hyperlink ref="C49" location="'Optional Adjustment 10'!A1" display="Optional Adjustment 10"/>
    <hyperlink ref="C50" location="'Optional Adjustment 11'!A1" display="Optional Adjustment 11"/>
    <hyperlink ref="C51" location="'Optional Adjustment 12'!A1" display="Optional Adjustment 12"/>
    <hyperlink ref="C52" location="'Optional Adjustment 13'!A1" display="Optional Adjustment 13"/>
    <hyperlink ref="C53" location="'Optional Adjustment 14'!A1" display="Optional Adjustment 14"/>
    <hyperlink ref="C54" location="'Optional Adjustment 16'!A1" display="Optional Adjustment 15"/>
    <hyperlink ref="C55:C57" location="'Optional Adjustment 5'!A1" display="Optional Adjustment 5"/>
    <hyperlink ref="C58:C60" location="'Optional Adjustment 5'!A1" display="Optional Adjustment 5"/>
    <hyperlink ref="C61:C63" location="'Optional Adjustment 5'!A1" display="Optional Adjustment 5"/>
    <hyperlink ref="C55" location="'Optional Adjustment 16'!A1" display="Optional Adjustment 16"/>
    <hyperlink ref="C58" location="'Optional Adjustment 19'!A1" display="Optional Adjustment 19"/>
    <hyperlink ref="C61" location="'Optional Adjustment 22'!A1" display="Optional Adjustment 22"/>
    <hyperlink ref="C56" location="'Optional Adjustment 17'!A1" display="Optional Adjustment 17"/>
    <hyperlink ref="C59" location="'Optional Adjustment 20'!A1" display="Optional Adjustment 20"/>
    <hyperlink ref="C62" location="'Optional Adjustment 23'!A1" display="Optional Adjustment 23"/>
    <hyperlink ref="C57" location="'Optional Adjustment 18'!A1" display="Optional Adjustment 18"/>
    <hyperlink ref="C60" location="'Optional Adjustment 21'!A1" display="Optional Adjustment 21"/>
    <hyperlink ref="C63" location="'Optional Adjustment 24'!A1" display="Optional Adjustment 24"/>
    <hyperlink ref="C64" location="'Optional Adjustment 25'!A1" display="Optional Adjustment 25"/>
    <hyperlink ref="C65" location="'Optional Adjustment 26'!A1" display="Optional Adjustment 26"/>
    <hyperlink ref="C66" location="'Optional Adjustment 27'!A1" display="Optional Adjustment 27"/>
    <hyperlink ref="C29" location="Revenue!A1" display="REVENUE  ADJUSTMENT"/>
  </hyperlinks>
  <pageMargins left="0.7" right="0.7" top="0.75" bottom="0.75" header="0.3" footer="0.3"/>
  <pageSetup scale="63" orientation="portrait" cellComments="atEnd" r:id="rId1"/>
  <headerFooter>
    <oddFooter>&amp;C&amp;Z</oddFooter>
  </headerFooter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showInputMessage="1" showErrorMessage="1">
          <x14:formula1>
            <xm:f>Revenue!$F$8:$H$8</xm:f>
          </x14:formula1>
          <xm:sqref>H29</xm:sqref>
        </x14:dataValidation>
        <x14:dataValidation type="list" showInputMessage="1" showErrorMessage="1">
          <x14:formula1>
            <xm:f>'Utah Bad Debt'!$C$5:$E$5</xm:f>
          </x14:formula1>
          <xm:sqref>J33 H33 L33</xm:sqref>
        </x14:dataValidation>
        <x14:dataValidation type="list" allowBlank="1" showInputMessage="1" showErrorMessage="1">
          <x14:formula1>
            <xm:f>Incentive!$D$3:$F$3</xm:f>
          </x14:formula1>
          <xm:sqref>J34 H34 L34</xm:sqref>
        </x14:dataValidation>
        <x14:dataValidation type="list" allowBlank="1" showInputMessage="1" showErrorMessage="1">
          <x14:formula1>
            <xm:f>'RESERVE ACCRUAL'!$D$6:$F$6</xm:f>
          </x14:formula1>
          <xm:sqref>J38 H38 L38</xm:sqref>
        </x14:dataValidation>
        <x14:dataValidation type="list" showInputMessage="1" showErrorMessage="1">
          <x14:formula1>
            <xm:f>Donations!$H$6:$J$6</xm:f>
          </x14:formula1>
          <xm:sqref>J37 H37 L37</xm:sqref>
        </x14:dataValidation>
        <x14:dataValidation type="list" showInputMessage="1" showErrorMessage="1">
          <x14:formula1>
            <xm:f>Advertising!$C$10:$E$10</xm:f>
          </x14:formula1>
          <xm:sqref>J36 H36 L36</xm:sqref>
        </x14:dataValidation>
        <x14:dataValidation type="list" showInputMessage="1" showErrorMessage="1">
          <x14:formula1>
            <xm:f>'Sporting Events'!$B$7:$D$7</xm:f>
          </x14:formula1>
          <xm:sqref>J35 H35 L35</xm:sqref>
        </x14:dataValidation>
        <x14:dataValidation type="list" showInputMessage="1" showErrorMessage="1">
          <x14:formula1>
            <xm:f>'Rate Base'!$AI$8:$AN$8</xm:f>
          </x14:formula1>
          <xm:sqref>J27 H27 L27</xm:sqref>
        </x14:dataValidation>
        <x14:dataValidation type="list" showInputMessage="1" showErrorMessage="1">
          <x14:formula1>
            <xm:f>EXPENSES!$G$6:$I$6</xm:f>
          </x14:formula1>
          <xm:sqref>J28 H28 L28</xm:sqref>
        </x14:dataValidation>
        <x14:dataValidation type="list" allowBlank="1" showInputMessage="1" showErrorMessage="1">
          <x14:formula1>
            <xm:f>'ENERGY EFFICIENCY SERVICES ADJ'!$E$7:$G$7</xm:f>
          </x14:formula1>
          <xm:sqref>H32 J32 L32</xm:sqref>
        </x14:dataValidation>
        <x14:dataValidation type="list" showInputMessage="1" showErrorMessage="1">
          <x14:formula1>
            <xm:f>Revenue!$F$8:$H$8</xm:f>
          </x14:formula1>
          <xm:sqref>J29 L29</xm:sqref>
        </x14:dataValidation>
        <x14:dataValidation type="list" showInputMessage="1" showErrorMessage="1">
          <x14:formula1>
            <xm:f>'ALLOCATIONS&amp;PRETAX'!$B$6:$D$6</xm:f>
          </x14:formula1>
          <xm:sqref>H68 J68 L68</xm:sqref>
        </x14:dataValidation>
        <x14:dataValidation type="list" showInputMessage="1" showErrorMessage="1">
          <x14:formula1>
            <xm:f>'Capital Str'!$C$22:$E$22</xm:f>
          </x14:formula1>
          <xm:sqref>H70</xm:sqref>
        </x14:dataValidation>
        <x14:dataValidation type="list" showInputMessage="1" showErrorMessage="1">
          <x14:formula1>
            <xm:f>'Capital Str'!$C$22:$E$22</xm:f>
          </x14:formula1>
          <xm:sqref>J70</xm:sqref>
        </x14:dataValidation>
        <x14:dataValidation type="list" showInputMessage="1" showErrorMessage="1">
          <x14:formula1>
            <xm:f>'Capital Str'!$C$22:$E$22</xm:f>
          </x14:formula1>
          <xm:sqref>L70</xm:sqref>
        </x14:dataValidation>
        <x14:dataValidation type="list" allowBlank="1" showInputMessage="1" showErrorMessage="1">
          <x14:formula1>
            <xm:f>'Corporate Overhead'!$F$5:$H$5</xm:f>
          </x14:formula1>
          <xm:sqref>H39 J39 L39</xm:sqref>
        </x14:dataValidation>
        <x14:dataValidation type="list" allowBlank="1" showInputMessage="1" showErrorMessage="1">
          <x14:formula1>
            <xm:f>'Transition Costs'!$H$16:$J$16</xm:f>
          </x14:formula1>
          <xm:sqref>H40 J40 L40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W119"/>
  <sheetViews>
    <sheetView topLeftCell="J1" zoomScale="90" zoomScaleNormal="90" workbookViewId="0">
      <pane ySplit="1425" topLeftCell="A24" activePane="bottomLeft"/>
      <selection activeCell="M49" sqref="M49"/>
      <selection pane="bottomLeft" activeCell="J39" sqref="J39"/>
    </sheetView>
  </sheetViews>
  <sheetFormatPr defaultRowHeight="12.75"/>
  <cols>
    <col min="1" max="1" width="9.140625" style="194"/>
    <col min="2" max="2" width="18.85546875" style="194" bestFit="1" customWidth="1"/>
    <col min="3" max="3" width="18.28515625" style="194" customWidth="1"/>
    <col min="4" max="4" width="1.140625" style="194" customWidth="1"/>
    <col min="5" max="5" width="2.85546875" style="194" customWidth="1"/>
    <col min="6" max="6" width="41.5703125" style="266" customWidth="1"/>
    <col min="7" max="7" width="34.7109375" style="194" bestFit="1" customWidth="1"/>
    <col min="8" max="8" width="21.7109375" style="194" customWidth="1"/>
    <col min="9" max="9" width="16.85546875" style="194" bestFit="1" customWidth="1"/>
    <col min="10" max="10" width="21.85546875" style="194" bestFit="1" customWidth="1"/>
    <col min="11" max="11" width="19.7109375" style="194" bestFit="1" customWidth="1"/>
    <col min="12" max="12" width="18.42578125" style="194" customWidth="1"/>
    <col min="13" max="13" width="23" style="194" customWidth="1"/>
    <col min="14" max="14" width="18.28515625" style="194" customWidth="1"/>
    <col min="15" max="15" width="16.5703125" style="194" customWidth="1"/>
    <col min="16" max="16" width="16.140625" style="194" bestFit="1" customWidth="1"/>
    <col min="17" max="17" width="15" style="194" bestFit="1" customWidth="1"/>
    <col min="18" max="18" width="15.7109375" style="194" bestFit="1" customWidth="1"/>
    <col min="19" max="19" width="20.5703125" style="194" bestFit="1" customWidth="1"/>
    <col min="20" max="20" width="18" style="194" bestFit="1" customWidth="1"/>
    <col min="21" max="21" width="20.140625" style="194" bestFit="1" customWidth="1"/>
    <col min="22" max="22" width="25.140625" style="194" bestFit="1" customWidth="1"/>
    <col min="23" max="23" width="23" style="194" bestFit="1" customWidth="1"/>
    <col min="24" max="24" width="17.140625" style="15" bestFit="1" customWidth="1"/>
    <col min="25" max="25" width="16.28515625" style="15" bestFit="1" customWidth="1"/>
    <col min="26" max="26" width="16.7109375" style="15" bestFit="1" customWidth="1"/>
    <col min="27" max="27" width="21.7109375" style="15" bestFit="1" customWidth="1"/>
    <col min="28" max="28" width="19.5703125" style="15" bestFit="1" customWidth="1"/>
    <col min="29" max="29" width="17.140625" style="15" bestFit="1" customWidth="1"/>
    <col min="30" max="30" width="16.28515625" style="15" bestFit="1" customWidth="1"/>
    <col min="31" max="31" width="9.140625" style="15" customWidth="1"/>
    <col min="32" max="33" width="9.140625" style="15"/>
    <col min="34" max="34" width="20" style="15" bestFit="1" customWidth="1"/>
    <col min="35" max="16384" width="9.140625" style="15"/>
  </cols>
  <sheetData>
    <row r="1" spans="1:23" ht="15.75" thickBot="1">
      <c r="A1" s="15"/>
      <c r="B1" s="15"/>
      <c r="C1" s="15"/>
      <c r="D1" s="15"/>
      <c r="E1" s="15"/>
      <c r="F1" s="193"/>
      <c r="G1" s="1561" t="s">
        <v>1526</v>
      </c>
      <c r="H1" s="1561"/>
      <c r="I1" s="15"/>
      <c r="J1" s="1560" t="str">
        <f>'Control Panel'!J8&amp;" Forecast"</f>
        <v>2018 Forecast</v>
      </c>
      <c r="K1" s="1560"/>
      <c r="L1" s="1560"/>
      <c r="M1" s="1560"/>
      <c r="N1" s="1560"/>
      <c r="P1" s="1560" t="str">
        <f>'Control Panel'!L8&amp;" Forecast"</f>
        <v>2019 Forecast</v>
      </c>
      <c r="Q1" s="1560"/>
      <c r="R1" s="1560"/>
      <c r="S1" s="1560"/>
      <c r="T1" s="1560"/>
      <c r="U1" s="15"/>
      <c r="V1" s="15"/>
      <c r="W1" s="15"/>
    </row>
    <row r="2" spans="1:23">
      <c r="A2" s="15"/>
      <c r="B2" s="15"/>
      <c r="C2" s="15"/>
      <c r="D2" s="15"/>
      <c r="E2" s="15"/>
      <c r="F2" s="35"/>
      <c r="G2" s="460"/>
      <c r="H2" s="19" t="s">
        <v>1066</v>
      </c>
      <c r="I2" s="15"/>
      <c r="J2" s="100" t="s">
        <v>1065</v>
      </c>
      <c r="K2" s="15"/>
      <c r="L2" s="1489">
        <f>'Control Panel'!H8</f>
        <v>2017</v>
      </c>
      <c r="M2" s="19" t="s">
        <v>1066</v>
      </c>
      <c r="N2" s="15"/>
      <c r="P2" s="100" t="s">
        <v>1065</v>
      </c>
      <c r="Q2" s="15"/>
      <c r="R2" s="1489">
        <f>'Control Panel'!J8</f>
        <v>2018</v>
      </c>
      <c r="S2" s="19" t="s">
        <v>1066</v>
      </c>
      <c r="T2" s="15"/>
      <c r="U2" s="15"/>
      <c r="V2" s="15"/>
      <c r="W2" s="15"/>
    </row>
    <row r="3" spans="1:23">
      <c r="A3" s="15"/>
      <c r="B3" s="15" t="s">
        <v>1072</v>
      </c>
      <c r="C3" s="15"/>
      <c r="D3" s="15"/>
      <c r="E3" s="15"/>
      <c r="F3" s="35"/>
      <c r="G3" s="404" t="s">
        <v>1071</v>
      </c>
      <c r="H3" s="19" t="s">
        <v>1069</v>
      </c>
      <c r="I3" s="15"/>
      <c r="J3" s="100" t="s">
        <v>1062</v>
      </c>
      <c r="K3" s="404" t="s">
        <v>1071</v>
      </c>
      <c r="L3" s="100" t="s">
        <v>1070</v>
      </c>
      <c r="M3" s="19" t="s">
        <v>1283</v>
      </c>
      <c r="N3" s="100" t="str">
        <f>'Control Panel'!J8&amp;" Net Additions"</f>
        <v>2018 Net Additions</v>
      </c>
      <c r="P3" s="100" t="s">
        <v>1062</v>
      </c>
      <c r="Q3" s="404" t="s">
        <v>1071</v>
      </c>
      <c r="R3" s="100" t="s">
        <v>1070</v>
      </c>
      <c r="S3" s="19" t="s">
        <v>1283</v>
      </c>
      <c r="T3" s="100" t="str">
        <f>'Control Panel'!L8&amp;" Net Additions"</f>
        <v>2019 Net Additions</v>
      </c>
      <c r="U3" s="15"/>
      <c r="V3" s="15"/>
      <c r="W3" s="15"/>
    </row>
    <row r="4" spans="1:23" ht="22.5" customHeight="1">
      <c r="A4" s="15"/>
      <c r="B4" s="15"/>
      <c r="C4" s="15"/>
      <c r="D4" s="15"/>
      <c r="E4" s="403"/>
      <c r="F4" s="492"/>
      <c r="G4" s="460"/>
      <c r="H4" s="19" t="s">
        <v>1068</v>
      </c>
      <c r="I4" s="15"/>
      <c r="J4" s="383">
        <v>43100</v>
      </c>
      <c r="K4" s="15"/>
      <c r="L4" s="15"/>
      <c r="M4" s="19" t="s">
        <v>1068</v>
      </c>
      <c r="N4" s="15"/>
      <c r="P4" s="383">
        <v>43465</v>
      </c>
      <c r="Q4" s="15"/>
      <c r="R4" s="15"/>
      <c r="S4" s="19" t="s">
        <v>1068</v>
      </c>
      <c r="T4" s="15"/>
      <c r="U4" s="15"/>
      <c r="V4" s="15"/>
      <c r="W4" s="15"/>
    </row>
    <row r="5" spans="1:23">
      <c r="A5" s="15" t="s">
        <v>204</v>
      </c>
      <c r="B5" s="15" t="s">
        <v>298</v>
      </c>
      <c r="C5" s="15"/>
      <c r="D5" s="15"/>
      <c r="E5" s="15"/>
      <c r="F5" s="493"/>
      <c r="G5" s="460"/>
      <c r="H5" s="402"/>
      <c r="I5" s="15"/>
      <c r="J5" s="15"/>
      <c r="K5" s="460"/>
      <c r="L5" s="101"/>
      <c r="M5" s="101">
        <f>-R54</f>
        <v>-0.2810921919758953</v>
      </c>
      <c r="N5" s="15"/>
      <c r="P5" s="15"/>
      <c r="Q5" s="460"/>
      <c r="R5" s="101"/>
      <c r="S5" s="101">
        <f>-R54</f>
        <v>-0.2810921919758953</v>
      </c>
      <c r="T5" s="15"/>
      <c r="U5" s="15"/>
      <c r="V5" s="15"/>
      <c r="W5" s="15"/>
    </row>
    <row r="6" spans="1:23" ht="15">
      <c r="A6" s="15"/>
      <c r="B6" s="15" t="s">
        <v>218</v>
      </c>
      <c r="C6" s="15" t="s">
        <v>219</v>
      </c>
      <c r="D6" s="15"/>
      <c r="E6" s="15"/>
      <c r="F6" s="755"/>
      <c r="G6" s="460">
        <v>0</v>
      </c>
      <c r="H6" s="756"/>
      <c r="I6" s="15"/>
      <c r="J6" s="15"/>
      <c r="K6" s="460"/>
      <c r="L6" s="282">
        <f t="shared" ref="L6:L34" si="0">H6</f>
        <v>0</v>
      </c>
      <c r="M6" s="282">
        <f t="shared" ref="M6:M35" si="1">$M$5*J6</f>
        <v>0</v>
      </c>
      <c r="N6" s="757">
        <f t="shared" ref="N6:N35" si="2">SUM(J6:M6)</f>
        <v>0</v>
      </c>
      <c r="P6" s="15"/>
      <c r="Q6" s="460"/>
      <c r="R6" s="282">
        <f t="shared" ref="R6:R35" si="3">-M6</f>
        <v>0</v>
      </c>
      <c r="S6" s="282">
        <f t="shared" ref="S6:S35" si="4">$S$5*P6</f>
        <v>0</v>
      </c>
      <c r="T6" s="757">
        <f t="shared" ref="T6:T35" si="5">SUM(P6:S6)</f>
        <v>0</v>
      </c>
      <c r="U6" s="15"/>
      <c r="V6" s="15"/>
      <c r="W6" s="15"/>
    </row>
    <row r="7" spans="1:23" ht="15">
      <c r="A7" s="15"/>
      <c r="B7" s="15" t="s">
        <v>222</v>
      </c>
      <c r="C7" s="15" t="s">
        <v>223</v>
      </c>
      <c r="D7" s="15"/>
      <c r="E7" s="15"/>
      <c r="F7" s="755"/>
      <c r="G7" s="460">
        <v>0</v>
      </c>
      <c r="H7" s="756"/>
      <c r="I7" s="15"/>
      <c r="J7" s="282"/>
      <c r="K7" s="460"/>
      <c r="L7" s="282">
        <f t="shared" si="0"/>
        <v>0</v>
      </c>
      <c r="M7" s="282">
        <f t="shared" si="1"/>
        <v>0</v>
      </c>
      <c r="N7" s="757">
        <f t="shared" si="2"/>
        <v>0</v>
      </c>
      <c r="P7" s="282"/>
      <c r="Q7" s="460"/>
      <c r="R7" s="282">
        <f t="shared" si="3"/>
        <v>0</v>
      </c>
      <c r="S7" s="282">
        <f t="shared" si="4"/>
        <v>0</v>
      </c>
      <c r="T7" s="757">
        <f t="shared" si="5"/>
        <v>0</v>
      </c>
      <c r="U7" s="15"/>
      <c r="V7" s="15"/>
      <c r="W7" s="15"/>
    </row>
    <row r="8" spans="1:23" ht="15">
      <c r="A8" s="15"/>
      <c r="B8" s="15" t="s">
        <v>224</v>
      </c>
      <c r="C8" s="15" t="s">
        <v>225</v>
      </c>
      <c r="D8" s="15"/>
      <c r="E8" s="15"/>
      <c r="F8" s="755"/>
      <c r="G8" s="460">
        <v>0</v>
      </c>
      <c r="H8" s="756"/>
      <c r="I8" s="15"/>
      <c r="J8" s="15"/>
      <c r="K8" s="460"/>
      <c r="L8" s="282">
        <f t="shared" si="0"/>
        <v>0</v>
      </c>
      <c r="M8" s="282">
        <f t="shared" si="1"/>
        <v>0</v>
      </c>
      <c r="N8" s="757">
        <f t="shared" si="2"/>
        <v>0</v>
      </c>
      <c r="P8" s="15"/>
      <c r="Q8" s="460"/>
      <c r="R8" s="282">
        <f t="shared" si="3"/>
        <v>0</v>
      </c>
      <c r="S8" s="282">
        <f t="shared" si="4"/>
        <v>0</v>
      </c>
      <c r="T8" s="757">
        <f t="shared" si="5"/>
        <v>0</v>
      </c>
      <c r="U8" s="15"/>
      <c r="V8" s="15"/>
      <c r="W8" s="15"/>
    </row>
    <row r="9" spans="1:23" ht="15">
      <c r="A9" s="15"/>
      <c r="B9" s="15" t="s">
        <v>226</v>
      </c>
      <c r="C9" s="15" t="s">
        <v>227</v>
      </c>
      <c r="D9" s="15"/>
      <c r="E9" s="15"/>
      <c r="F9" s="755"/>
      <c r="G9" s="460">
        <v>0</v>
      </c>
      <c r="H9" s="756"/>
      <c r="I9" s="15"/>
      <c r="J9" s="15"/>
      <c r="K9" s="460"/>
      <c r="L9" s="282">
        <f t="shared" si="0"/>
        <v>0</v>
      </c>
      <c r="M9" s="282">
        <f t="shared" si="1"/>
        <v>0</v>
      </c>
      <c r="N9" s="757">
        <f t="shared" si="2"/>
        <v>0</v>
      </c>
      <c r="P9" s="15"/>
      <c r="Q9" s="460"/>
      <c r="R9" s="282">
        <f t="shared" si="3"/>
        <v>0</v>
      </c>
      <c r="S9" s="282">
        <f t="shared" si="4"/>
        <v>0</v>
      </c>
      <c r="T9" s="757">
        <f t="shared" si="5"/>
        <v>0</v>
      </c>
      <c r="U9" s="15"/>
      <c r="V9" s="15"/>
      <c r="W9" s="15"/>
    </row>
    <row r="10" spans="1:23" ht="15">
      <c r="A10" s="15"/>
      <c r="B10" s="15" t="s">
        <v>228</v>
      </c>
      <c r="C10" s="15" t="s">
        <v>229</v>
      </c>
      <c r="D10" s="15"/>
      <c r="E10" s="15"/>
      <c r="F10" s="755"/>
      <c r="G10" s="460">
        <v>0</v>
      </c>
      <c r="H10" s="756"/>
      <c r="I10" s="15"/>
      <c r="J10" s="15"/>
      <c r="K10" s="460"/>
      <c r="L10" s="282">
        <f t="shared" si="0"/>
        <v>0</v>
      </c>
      <c r="M10" s="282">
        <f t="shared" si="1"/>
        <v>0</v>
      </c>
      <c r="N10" s="757">
        <f t="shared" si="2"/>
        <v>0</v>
      </c>
      <c r="P10" s="15"/>
      <c r="Q10" s="460"/>
      <c r="R10" s="282">
        <f t="shared" si="3"/>
        <v>0</v>
      </c>
      <c r="S10" s="282">
        <f t="shared" si="4"/>
        <v>0</v>
      </c>
      <c r="T10" s="757">
        <f t="shared" si="5"/>
        <v>0</v>
      </c>
      <c r="U10" s="15"/>
      <c r="V10" s="15"/>
      <c r="W10" s="15"/>
    </row>
    <row r="11" spans="1:23" ht="15">
      <c r="A11" s="15"/>
      <c r="B11" s="15" t="s">
        <v>230</v>
      </c>
      <c r="C11" s="15" t="s">
        <v>231</v>
      </c>
      <c r="D11" s="15"/>
      <c r="E11" s="15"/>
      <c r="F11" s="755"/>
      <c r="G11" s="460">
        <v>0</v>
      </c>
      <c r="H11" s="756"/>
      <c r="I11" s="15"/>
      <c r="J11" s="15"/>
      <c r="K11" s="460"/>
      <c r="L11" s="282">
        <f t="shared" si="0"/>
        <v>0</v>
      </c>
      <c r="M11" s="282">
        <f t="shared" si="1"/>
        <v>0</v>
      </c>
      <c r="N11" s="757">
        <f t="shared" si="2"/>
        <v>0</v>
      </c>
      <c r="P11" s="15"/>
      <c r="Q11" s="460"/>
      <c r="R11" s="282">
        <f t="shared" si="3"/>
        <v>0</v>
      </c>
      <c r="S11" s="282">
        <f t="shared" si="4"/>
        <v>0</v>
      </c>
      <c r="T11" s="757">
        <f t="shared" si="5"/>
        <v>0</v>
      </c>
      <c r="U11" s="15"/>
      <c r="V11" s="15"/>
      <c r="W11" s="15"/>
    </row>
    <row r="12" spans="1:23" ht="15">
      <c r="A12" s="15"/>
      <c r="B12" s="15" t="s">
        <v>232</v>
      </c>
      <c r="C12" s="15" t="s">
        <v>233</v>
      </c>
      <c r="D12" s="15"/>
      <c r="E12" s="15"/>
      <c r="F12" s="755"/>
      <c r="G12" s="460">
        <v>0</v>
      </c>
      <c r="H12" s="756"/>
      <c r="I12" s="15"/>
      <c r="J12" s="102">
        <v>0</v>
      </c>
      <c r="K12" s="460"/>
      <c r="L12" s="282">
        <f t="shared" si="0"/>
        <v>0</v>
      </c>
      <c r="M12" s="282">
        <f t="shared" si="1"/>
        <v>0</v>
      </c>
      <c r="N12" s="757">
        <f t="shared" si="2"/>
        <v>0</v>
      </c>
      <c r="P12" s="102">
        <v>0</v>
      </c>
      <c r="Q12" s="460"/>
      <c r="R12" s="282">
        <f t="shared" si="3"/>
        <v>0</v>
      </c>
      <c r="S12" s="282">
        <f t="shared" si="4"/>
        <v>0</v>
      </c>
      <c r="T12" s="757">
        <f t="shared" si="5"/>
        <v>0</v>
      </c>
      <c r="U12" s="15"/>
      <c r="V12" s="15"/>
      <c r="W12" s="15"/>
    </row>
    <row r="13" spans="1:23" ht="15">
      <c r="A13" s="15"/>
      <c r="B13" s="15" t="s">
        <v>234</v>
      </c>
      <c r="C13" s="15" t="s">
        <v>235</v>
      </c>
      <c r="D13" s="15"/>
      <c r="E13" s="15"/>
      <c r="F13" s="755"/>
      <c r="G13" s="460">
        <v>0</v>
      </c>
      <c r="H13" s="756"/>
      <c r="I13" s="15"/>
      <c r="J13" s="102">
        <v>0</v>
      </c>
      <c r="K13" s="460"/>
      <c r="L13" s="282">
        <f t="shared" si="0"/>
        <v>0</v>
      </c>
      <c r="M13" s="282">
        <f t="shared" si="1"/>
        <v>0</v>
      </c>
      <c r="N13" s="757">
        <f t="shared" si="2"/>
        <v>0</v>
      </c>
      <c r="P13" s="102">
        <v>0</v>
      </c>
      <c r="Q13" s="460"/>
      <c r="R13" s="282">
        <f t="shared" si="3"/>
        <v>0</v>
      </c>
      <c r="S13" s="282">
        <f t="shared" si="4"/>
        <v>0</v>
      </c>
      <c r="T13" s="757">
        <f t="shared" si="5"/>
        <v>0</v>
      </c>
      <c r="U13" s="15"/>
      <c r="V13" s="15"/>
      <c r="W13" s="15"/>
    </row>
    <row r="14" spans="1:23" ht="15">
      <c r="A14" s="15"/>
      <c r="B14" s="15" t="s">
        <v>238</v>
      </c>
      <c r="C14" s="15" t="s">
        <v>223</v>
      </c>
      <c r="D14" s="15"/>
      <c r="E14" s="15"/>
      <c r="F14" s="755"/>
      <c r="G14" s="460">
        <v>-1771.94</v>
      </c>
      <c r="H14" s="460"/>
      <c r="I14" s="102"/>
      <c r="J14" s="102">
        <v>0</v>
      </c>
      <c r="K14" s="460">
        <f>G14</f>
        <v>-1771.94</v>
      </c>
      <c r="L14" s="282">
        <f t="shared" si="0"/>
        <v>0</v>
      </c>
      <c r="M14" s="282">
        <f t="shared" si="1"/>
        <v>0</v>
      </c>
      <c r="N14" s="757">
        <f t="shared" si="2"/>
        <v>-1771.94</v>
      </c>
      <c r="P14" s="102">
        <v>0</v>
      </c>
      <c r="Q14" s="460"/>
      <c r="R14" s="282">
        <f t="shared" si="3"/>
        <v>0</v>
      </c>
      <c r="S14" s="282">
        <f t="shared" si="4"/>
        <v>0</v>
      </c>
      <c r="T14" s="757">
        <f>SUM(P14:S14)</f>
        <v>0</v>
      </c>
      <c r="U14" s="15"/>
      <c r="V14" s="15"/>
      <c r="W14" s="15"/>
    </row>
    <row r="15" spans="1:23" ht="15">
      <c r="A15" s="15"/>
      <c r="B15" s="15" t="s">
        <v>239</v>
      </c>
      <c r="C15" s="15" t="s">
        <v>240</v>
      </c>
      <c r="D15" s="15"/>
      <c r="E15" s="15"/>
      <c r="F15" s="755"/>
      <c r="G15" s="460">
        <v>-639176.46</v>
      </c>
      <c r="H15" s="460"/>
      <c r="I15" s="102"/>
      <c r="J15" s="102">
        <v>0</v>
      </c>
      <c r="K15" s="460">
        <f>G15</f>
        <v>-639176.46</v>
      </c>
      <c r="L15" s="282">
        <f t="shared" si="0"/>
        <v>0</v>
      </c>
      <c r="M15" s="282">
        <f t="shared" si="1"/>
        <v>0</v>
      </c>
      <c r="N15" s="757">
        <f t="shared" si="2"/>
        <v>-639176.46</v>
      </c>
      <c r="P15" s="102">
        <v>0</v>
      </c>
      <c r="Q15" s="460"/>
      <c r="R15" s="282">
        <f t="shared" si="3"/>
        <v>0</v>
      </c>
      <c r="S15" s="282">
        <f>$S$5*P15</f>
        <v>0</v>
      </c>
      <c r="T15" s="757">
        <f>SUM(P15:S15)</f>
        <v>0</v>
      </c>
      <c r="U15" s="15"/>
      <c r="V15" s="15"/>
      <c r="W15" s="15"/>
    </row>
    <row r="16" spans="1:23" ht="15">
      <c r="A16" s="15"/>
      <c r="B16" s="15" t="s">
        <v>244</v>
      </c>
      <c r="C16" s="15" t="s">
        <v>245</v>
      </c>
      <c r="D16" s="15"/>
      <c r="E16" s="15"/>
      <c r="F16" s="755"/>
      <c r="G16" s="460">
        <v>-2505039.0499999998</v>
      </c>
      <c r="H16" s="460">
        <v>53281117.912000015</v>
      </c>
      <c r="I16" s="102"/>
      <c r="J16" s="102">
        <f ca="1">G63</f>
        <v>122285091</v>
      </c>
      <c r="K16" s="460">
        <f>G16</f>
        <v>-2505039.0499999998</v>
      </c>
      <c r="L16" s="282">
        <f t="shared" si="0"/>
        <v>53281117.912000015</v>
      </c>
      <c r="M16" s="282">
        <f ca="1">$M$5*J16</f>
        <v>-34373384.275161825</v>
      </c>
      <c r="N16" s="757">
        <f t="shared" ca="1" si="2"/>
        <v>138687785.58683819</v>
      </c>
      <c r="P16" s="102">
        <f ca="1">H63</f>
        <v>155505200</v>
      </c>
      <c r="Q16" s="460">
        <f>K16</f>
        <v>-2505039.0499999998</v>
      </c>
      <c r="R16" s="282">
        <f t="shared" ca="1" si="3"/>
        <v>34373384.275161825</v>
      </c>
      <c r="S16" s="282">
        <f t="shared" ca="1" si="4"/>
        <v>-43711297.531649992</v>
      </c>
      <c r="T16" s="757">
        <f t="shared" ca="1" si="5"/>
        <v>143662247.69351184</v>
      </c>
      <c r="U16" s="15"/>
      <c r="V16" s="15"/>
      <c r="W16" s="15"/>
    </row>
    <row r="17" spans="1:23" ht="15">
      <c r="A17" s="15"/>
      <c r="B17" s="15" t="s">
        <v>246</v>
      </c>
      <c r="C17" s="15" t="s">
        <v>248</v>
      </c>
      <c r="D17" s="15"/>
      <c r="E17" s="15"/>
      <c r="F17" s="755"/>
      <c r="G17" s="460">
        <v>-4055385.36</v>
      </c>
      <c r="H17" s="460">
        <v>0</v>
      </c>
      <c r="I17" s="102"/>
      <c r="J17" s="102">
        <f ca="1">G64</f>
        <v>0</v>
      </c>
      <c r="K17" s="460">
        <f t="shared" ref="K17:K25" si="6">G17</f>
        <v>-4055385.36</v>
      </c>
      <c r="L17" s="282">
        <f t="shared" si="0"/>
        <v>0</v>
      </c>
      <c r="M17" s="282">
        <f t="shared" ca="1" si="1"/>
        <v>0</v>
      </c>
      <c r="N17" s="757">
        <f t="shared" ca="1" si="2"/>
        <v>-4055385.36</v>
      </c>
      <c r="P17" s="102">
        <f ca="1">H64</f>
        <v>500000</v>
      </c>
      <c r="Q17" s="460">
        <f t="shared" ref="Q17:Q25" si="7">K17</f>
        <v>-4055385.36</v>
      </c>
      <c r="R17" s="282">
        <f t="shared" ca="1" si="3"/>
        <v>0</v>
      </c>
      <c r="S17" s="282">
        <f t="shared" ca="1" si="4"/>
        <v>-140546.09598794766</v>
      </c>
      <c r="T17" s="757">
        <f t="shared" ca="1" si="5"/>
        <v>-3695931.4559879475</v>
      </c>
      <c r="U17" s="15"/>
      <c r="V17" s="15"/>
      <c r="W17" s="15"/>
    </row>
    <row r="18" spans="1:23" ht="15">
      <c r="A18" s="15"/>
      <c r="B18" s="15" t="s">
        <v>249</v>
      </c>
      <c r="C18" s="15" t="s">
        <v>250</v>
      </c>
      <c r="D18" s="15"/>
      <c r="E18" s="15"/>
      <c r="F18" s="755"/>
      <c r="G18" s="460">
        <v>-493087.68</v>
      </c>
      <c r="H18" s="460">
        <v>8802316.8999999985</v>
      </c>
      <c r="I18" s="102"/>
      <c r="J18" s="102">
        <f ca="1">G65</f>
        <v>13310133</v>
      </c>
      <c r="K18" s="460">
        <f t="shared" si="6"/>
        <v>-493087.68</v>
      </c>
      <c r="L18" s="282">
        <f t="shared" si="0"/>
        <v>8802316.8999999985</v>
      </c>
      <c r="M18" s="282">
        <f ca="1">$M$5*J18</f>
        <v>-3741374.4604606992</v>
      </c>
      <c r="N18" s="757">
        <f ca="1">SUM(J18:M18)</f>
        <v>17877987.759539299</v>
      </c>
      <c r="P18" s="102">
        <f ca="1">H65</f>
        <v>8500000</v>
      </c>
      <c r="Q18" s="460">
        <f t="shared" si="7"/>
        <v>-493087.68</v>
      </c>
      <c r="R18" s="282">
        <f t="shared" ca="1" si="3"/>
        <v>3741374.4604606992</v>
      </c>
      <c r="S18" s="282">
        <f t="shared" ca="1" si="4"/>
        <v>-2389283.6317951102</v>
      </c>
      <c r="T18" s="757">
        <f t="shared" ca="1" si="5"/>
        <v>9359003.1486655902</v>
      </c>
      <c r="U18" s="15"/>
      <c r="V18" s="15"/>
      <c r="W18" s="15"/>
    </row>
    <row r="19" spans="1:23" ht="15">
      <c r="A19" s="15"/>
      <c r="B19" s="15" t="s">
        <v>251</v>
      </c>
      <c r="C19" s="15" t="s">
        <v>780</v>
      </c>
      <c r="D19" s="15"/>
      <c r="E19" s="15"/>
      <c r="F19" s="755"/>
      <c r="G19" s="460">
        <v>-154710.29</v>
      </c>
      <c r="H19" s="460">
        <v>1124210.5199999998</v>
      </c>
      <c r="I19" s="102"/>
      <c r="J19" s="102">
        <f ca="1">G66</f>
        <v>11319208</v>
      </c>
      <c r="K19" s="460">
        <f t="shared" si="6"/>
        <v>-154710.29</v>
      </c>
      <c r="L19" s="282">
        <f t="shared" si="0"/>
        <v>1124210.5199999998</v>
      </c>
      <c r="M19" s="282">
        <f t="shared" ca="1" si="1"/>
        <v>-3181740.9881510898</v>
      </c>
      <c r="N19" s="757">
        <f t="shared" ca="1" si="2"/>
        <v>9106967.2418489102</v>
      </c>
      <c r="P19" s="102">
        <f ca="1">H66</f>
        <v>15000000</v>
      </c>
      <c r="Q19" s="460">
        <f t="shared" si="7"/>
        <v>-154710.29</v>
      </c>
      <c r="R19" s="282">
        <f t="shared" ca="1" si="3"/>
        <v>3181740.9881510898</v>
      </c>
      <c r="S19" s="282">
        <f t="shared" ca="1" si="4"/>
        <v>-4216382.8796384297</v>
      </c>
      <c r="T19" s="757">
        <f t="shared" ca="1" si="5"/>
        <v>13810647.81851266</v>
      </c>
      <c r="U19" s="15"/>
      <c r="V19" s="15"/>
      <c r="W19" s="15"/>
    </row>
    <row r="20" spans="1:23" ht="15">
      <c r="A20" s="15"/>
      <c r="B20" s="15" t="s">
        <v>252</v>
      </c>
      <c r="C20" s="15" t="s">
        <v>253</v>
      </c>
      <c r="D20" s="15"/>
      <c r="E20" s="15"/>
      <c r="F20" s="755"/>
      <c r="G20" s="460">
        <v>-8662015.7699999996</v>
      </c>
      <c r="H20" s="460">
        <v>16526504.880000001</v>
      </c>
      <c r="I20" s="102"/>
      <c r="J20" s="102">
        <f ca="1">G67</f>
        <v>39866446</v>
      </c>
      <c r="K20" s="460">
        <f t="shared" si="6"/>
        <v>-8662015.7699999996</v>
      </c>
      <c r="L20" s="282">
        <f t="shared" si="0"/>
        <v>16526504.880000001</v>
      </c>
      <c r="M20" s="282">
        <f t="shared" ca="1" si="1"/>
        <v>-11206146.692428663</v>
      </c>
      <c r="N20" s="757">
        <f t="shared" ca="1" si="2"/>
        <v>36524788.417571336</v>
      </c>
      <c r="P20" s="102">
        <f ca="1">H67</f>
        <v>28544800</v>
      </c>
      <c r="Q20" s="460">
        <f t="shared" si="7"/>
        <v>-8662015.7699999996</v>
      </c>
      <c r="R20" s="282">
        <f t="shared" ca="1" si="3"/>
        <v>11206146.692428663</v>
      </c>
      <c r="S20" s="282">
        <f t="shared" ca="1" si="4"/>
        <v>-8023720.4015135365</v>
      </c>
      <c r="T20" s="757">
        <f t="shared" ca="1" si="5"/>
        <v>23065210.520915128</v>
      </c>
      <c r="U20" s="15"/>
      <c r="V20" s="15"/>
      <c r="W20" s="15"/>
    </row>
    <row r="21" spans="1:23" ht="15">
      <c r="A21" s="15"/>
      <c r="B21" s="15" t="s">
        <v>254</v>
      </c>
      <c r="C21" s="15" t="s">
        <v>255</v>
      </c>
      <c r="D21" s="15"/>
      <c r="E21" s="15"/>
      <c r="F21" s="755"/>
      <c r="G21" s="460">
        <v>-69669.600000000006</v>
      </c>
      <c r="H21" s="460"/>
      <c r="I21" s="102"/>
      <c r="J21" s="102">
        <v>0</v>
      </c>
      <c r="K21" s="460">
        <f t="shared" si="6"/>
        <v>-69669.600000000006</v>
      </c>
      <c r="L21" s="282">
        <f t="shared" si="0"/>
        <v>0</v>
      </c>
      <c r="M21" s="282">
        <f t="shared" si="1"/>
        <v>0</v>
      </c>
      <c r="N21" s="757">
        <f t="shared" si="2"/>
        <v>-69669.600000000006</v>
      </c>
      <c r="P21" s="102">
        <v>0</v>
      </c>
      <c r="Q21" s="460">
        <f t="shared" si="7"/>
        <v>-69669.600000000006</v>
      </c>
      <c r="R21" s="282">
        <f t="shared" si="3"/>
        <v>0</v>
      </c>
      <c r="S21" s="282">
        <f t="shared" si="4"/>
        <v>0</v>
      </c>
      <c r="T21" s="757">
        <f t="shared" si="5"/>
        <v>-69669.600000000006</v>
      </c>
      <c r="U21" s="15"/>
      <c r="V21" s="15"/>
      <c r="W21" s="15"/>
    </row>
    <row r="22" spans="1:23" ht="15">
      <c r="A22" s="15"/>
      <c r="B22" s="15" t="s">
        <v>256</v>
      </c>
      <c r="C22" s="15" t="s">
        <v>235</v>
      </c>
      <c r="D22" s="15"/>
      <c r="E22" s="15"/>
      <c r="F22" s="755"/>
      <c r="G22" s="460">
        <v>0</v>
      </c>
      <c r="H22" s="460"/>
      <c r="I22" s="102"/>
      <c r="J22" s="102">
        <v>0</v>
      </c>
      <c r="K22" s="460">
        <f t="shared" si="6"/>
        <v>0</v>
      </c>
      <c r="L22" s="282">
        <f t="shared" si="0"/>
        <v>0</v>
      </c>
      <c r="M22" s="282">
        <f t="shared" si="1"/>
        <v>0</v>
      </c>
      <c r="N22" s="757">
        <f t="shared" si="2"/>
        <v>0</v>
      </c>
      <c r="P22" s="102">
        <v>0</v>
      </c>
      <c r="Q22" s="460">
        <f t="shared" si="7"/>
        <v>0</v>
      </c>
      <c r="R22" s="282">
        <f t="shared" si="3"/>
        <v>0</v>
      </c>
      <c r="S22" s="282">
        <f t="shared" si="4"/>
        <v>0</v>
      </c>
      <c r="T22" s="757">
        <f t="shared" si="5"/>
        <v>0</v>
      </c>
      <c r="U22" s="15"/>
      <c r="V22" s="15"/>
      <c r="W22" s="15"/>
    </row>
    <row r="23" spans="1:23" ht="15">
      <c r="A23" s="15"/>
      <c r="B23" s="15" t="s">
        <v>371</v>
      </c>
      <c r="C23" s="15" t="s">
        <v>235</v>
      </c>
      <c r="D23" s="15"/>
      <c r="E23" s="15"/>
      <c r="F23" s="755"/>
      <c r="G23" s="460">
        <v>-1945102</v>
      </c>
      <c r="H23" s="460"/>
      <c r="I23" s="102"/>
      <c r="J23" s="102">
        <v>0</v>
      </c>
      <c r="K23" s="460">
        <f t="shared" si="6"/>
        <v>-1945102</v>
      </c>
      <c r="L23" s="282">
        <f t="shared" si="0"/>
        <v>0</v>
      </c>
      <c r="M23" s="282">
        <f t="shared" si="1"/>
        <v>0</v>
      </c>
      <c r="N23" s="757">
        <f t="shared" si="2"/>
        <v>-1945102</v>
      </c>
      <c r="P23" s="102">
        <v>0</v>
      </c>
      <c r="Q23" s="460">
        <f t="shared" si="7"/>
        <v>-1945102</v>
      </c>
      <c r="R23" s="282">
        <f t="shared" si="3"/>
        <v>0</v>
      </c>
      <c r="S23" s="282">
        <f t="shared" si="4"/>
        <v>0</v>
      </c>
      <c r="T23" s="757">
        <f t="shared" si="5"/>
        <v>-1945102</v>
      </c>
      <c r="U23" s="15"/>
      <c r="V23" s="15"/>
      <c r="W23" s="15"/>
    </row>
    <row r="24" spans="1:23" ht="15">
      <c r="A24" s="15"/>
      <c r="B24" s="15" t="s">
        <v>258</v>
      </c>
      <c r="C24" s="15" t="s">
        <v>223</v>
      </c>
      <c r="D24" s="15"/>
      <c r="E24" s="15"/>
      <c r="F24" s="755"/>
      <c r="G24" s="460">
        <v>0</v>
      </c>
      <c r="H24" s="460"/>
      <c r="I24" s="102"/>
      <c r="J24" s="102">
        <v>0</v>
      </c>
      <c r="K24" s="460">
        <f t="shared" si="6"/>
        <v>0</v>
      </c>
      <c r="L24" s="282">
        <f t="shared" si="0"/>
        <v>0</v>
      </c>
      <c r="M24" s="282">
        <f t="shared" si="1"/>
        <v>0</v>
      </c>
      <c r="N24" s="757">
        <f t="shared" si="2"/>
        <v>0</v>
      </c>
      <c r="P24" s="102">
        <v>0</v>
      </c>
      <c r="Q24" s="460">
        <f t="shared" si="7"/>
        <v>0</v>
      </c>
      <c r="R24" s="282">
        <f t="shared" si="3"/>
        <v>0</v>
      </c>
      <c r="S24" s="282">
        <f t="shared" si="4"/>
        <v>0</v>
      </c>
      <c r="T24" s="757">
        <f t="shared" si="5"/>
        <v>0</v>
      </c>
      <c r="U24" s="15"/>
      <c r="V24" s="15"/>
      <c r="W24" s="15"/>
    </row>
    <row r="25" spans="1:23" ht="15">
      <c r="A25" s="15"/>
      <c r="B25" s="15" t="s">
        <v>259</v>
      </c>
      <c r="C25" s="15" t="s">
        <v>240</v>
      </c>
      <c r="D25" s="15"/>
      <c r="E25" s="15"/>
      <c r="F25" s="755"/>
      <c r="G25" s="460">
        <v>-89374.23</v>
      </c>
      <c r="H25" s="460">
        <v>3131974.52</v>
      </c>
      <c r="I25" s="102"/>
      <c r="J25" s="102">
        <f ca="1">G68</f>
        <v>4036901</v>
      </c>
      <c r="K25" s="460">
        <f t="shared" si="6"/>
        <v>-89374.23</v>
      </c>
      <c r="L25" s="282">
        <f t="shared" si="0"/>
        <v>3131974.52</v>
      </c>
      <c r="M25" s="282">
        <f t="shared" ca="1" si="1"/>
        <v>-1134741.3508796836</v>
      </c>
      <c r="N25" s="757">
        <f t="shared" ca="1" si="2"/>
        <v>5944759.9391203169</v>
      </c>
      <c r="P25" s="102">
        <f ca="1">H68</f>
        <v>11000000</v>
      </c>
      <c r="Q25" s="460">
        <f t="shared" si="7"/>
        <v>-89374.23</v>
      </c>
      <c r="R25" s="282">
        <f t="shared" ca="1" si="3"/>
        <v>1134741.3508796836</v>
      </c>
      <c r="S25" s="282">
        <f t="shared" ca="1" si="4"/>
        <v>-3092014.1117348485</v>
      </c>
      <c r="T25" s="757">
        <f ca="1">SUM(P25:S25)</f>
        <v>8953353.0091448352</v>
      </c>
      <c r="U25" s="15"/>
      <c r="V25" s="15"/>
      <c r="W25" s="15"/>
    </row>
    <row r="26" spans="1:23" ht="15">
      <c r="A26" s="15"/>
      <c r="B26" s="15" t="s">
        <v>260</v>
      </c>
      <c r="C26" s="15" t="s">
        <v>261</v>
      </c>
      <c r="D26" s="15"/>
      <c r="E26" s="15"/>
      <c r="F26" s="755"/>
      <c r="G26" s="460">
        <v>-26656763.039999999</v>
      </c>
      <c r="H26" s="460">
        <v>5478744.3600000003</v>
      </c>
      <c r="I26" s="15"/>
      <c r="J26" s="102">
        <f ca="1">G69</f>
        <v>470090</v>
      </c>
      <c r="K26" s="460">
        <f>-K77</f>
        <v>-7470063.5000000009</v>
      </c>
      <c r="L26" s="282">
        <f t="shared" si="0"/>
        <v>5478744.3600000003</v>
      </c>
      <c r="M26" s="282">
        <f t="shared" ca="1" si="1"/>
        <v>-132138.62852594862</v>
      </c>
      <c r="N26" s="757">
        <f t="shared" ca="1" si="2"/>
        <v>-1653367.7685259492</v>
      </c>
      <c r="P26" s="102">
        <f ca="1">H69</f>
        <v>600000</v>
      </c>
      <c r="Q26" s="102">
        <f>-L77</f>
        <v>-7470063.5000000009</v>
      </c>
      <c r="R26" s="282">
        <f t="shared" ca="1" si="3"/>
        <v>132138.62852594862</v>
      </c>
      <c r="S26" s="282">
        <f t="shared" ca="1" si="4"/>
        <v>-168655.31518553718</v>
      </c>
      <c r="T26" s="757">
        <f t="shared" ca="1" si="5"/>
        <v>-6906580.1866595894</v>
      </c>
      <c r="U26" s="15"/>
      <c r="V26" s="15"/>
      <c r="W26" s="15"/>
    </row>
    <row r="27" spans="1:23" ht="15">
      <c r="A27" s="15"/>
      <c r="B27" s="15" t="s">
        <v>262</v>
      </c>
      <c r="C27" s="15" t="s">
        <v>263</v>
      </c>
      <c r="D27" s="15"/>
      <c r="E27" s="15"/>
      <c r="F27" s="755"/>
      <c r="G27" s="460">
        <v>-3885755.89</v>
      </c>
      <c r="H27" s="460">
        <v>464027.1</v>
      </c>
      <c r="I27" s="15"/>
      <c r="J27" s="102">
        <f ca="1">G70</f>
        <v>5266620</v>
      </c>
      <c r="K27" s="460">
        <f>G27</f>
        <v>-3885755.89</v>
      </c>
      <c r="L27" s="282">
        <f t="shared" si="0"/>
        <v>464027.1</v>
      </c>
      <c r="M27" s="282">
        <f t="shared" ca="1" si="1"/>
        <v>-1480405.7601040897</v>
      </c>
      <c r="N27" s="757">
        <f t="shared" ca="1" si="2"/>
        <v>364485.44989591022</v>
      </c>
      <c r="P27" s="102">
        <f ca="1">H70</f>
        <v>5000000</v>
      </c>
      <c r="Q27" s="102">
        <f>K27</f>
        <v>-3885755.89</v>
      </c>
      <c r="R27" s="282">
        <f t="shared" ca="1" si="3"/>
        <v>1480405.7601040897</v>
      </c>
      <c r="S27" s="282">
        <f t="shared" ca="1" si="4"/>
        <v>-1405460.9598794766</v>
      </c>
      <c r="T27" s="757">
        <f t="shared" ca="1" si="5"/>
        <v>1189188.9102246128</v>
      </c>
      <c r="U27" s="15"/>
      <c r="V27" s="15"/>
      <c r="W27" s="15"/>
    </row>
    <row r="28" spans="1:23" ht="15">
      <c r="A28" s="15"/>
      <c r="B28" s="15" t="s">
        <v>264</v>
      </c>
      <c r="C28" s="15" t="s">
        <v>265</v>
      </c>
      <c r="D28" s="15"/>
      <c r="E28" s="15"/>
      <c r="F28" s="755"/>
      <c r="G28" s="460">
        <v>0</v>
      </c>
      <c r="H28" s="460"/>
      <c r="I28" s="15"/>
      <c r="J28" s="194">
        <v>0</v>
      </c>
      <c r="K28" s="460"/>
      <c r="L28" s="282">
        <f t="shared" si="0"/>
        <v>0</v>
      </c>
      <c r="M28" s="282">
        <f t="shared" si="1"/>
        <v>0</v>
      </c>
      <c r="N28" s="757">
        <f t="shared" si="2"/>
        <v>0</v>
      </c>
      <c r="P28" s="194">
        <v>0</v>
      </c>
      <c r="Q28" s="102"/>
      <c r="R28" s="282">
        <f t="shared" si="3"/>
        <v>0</v>
      </c>
      <c r="S28" s="282">
        <f t="shared" si="4"/>
        <v>0</v>
      </c>
      <c r="T28" s="757">
        <f t="shared" si="5"/>
        <v>0</v>
      </c>
      <c r="U28" s="15"/>
      <c r="V28" s="15"/>
      <c r="W28" s="15"/>
    </row>
    <row r="29" spans="1:23" ht="15">
      <c r="A29" s="15"/>
      <c r="B29" s="15" t="s">
        <v>266</v>
      </c>
      <c r="C29" s="15" t="s">
        <v>267</v>
      </c>
      <c r="D29" s="15"/>
      <c r="E29" s="15"/>
      <c r="F29" s="755"/>
      <c r="G29" s="460">
        <v>-2664309.91</v>
      </c>
      <c r="H29" s="460">
        <v>2294086.3499999996</v>
      </c>
      <c r="I29" s="15"/>
      <c r="J29" s="102">
        <f ca="1">G71</f>
        <v>4611114</v>
      </c>
      <c r="K29" s="460">
        <f>-K78</f>
        <v>-709882.07</v>
      </c>
      <c r="L29" s="282">
        <f t="shared" si="0"/>
        <v>2294086.3499999996</v>
      </c>
      <c r="M29" s="282">
        <f t="shared" ca="1" si="1"/>
        <v>-1296148.1417107384</v>
      </c>
      <c r="N29" s="757">
        <f ca="1">SUM(J29:M29)</f>
        <v>4899170.1382892607</v>
      </c>
      <c r="P29" s="102">
        <f ca="1">H71</f>
        <v>2800000</v>
      </c>
      <c r="Q29" s="102">
        <f>-L78</f>
        <v>-709882.07</v>
      </c>
      <c r="R29" s="282">
        <f t="shared" ca="1" si="3"/>
        <v>1296148.1417107384</v>
      </c>
      <c r="S29" s="282">
        <f t="shared" ca="1" si="4"/>
        <v>-787058.13753250684</v>
      </c>
      <c r="T29" s="757">
        <f t="shared" ca="1" si="5"/>
        <v>2599207.9341782313</v>
      </c>
      <c r="U29" s="15"/>
      <c r="V29" s="15"/>
      <c r="W29" s="15"/>
    </row>
    <row r="30" spans="1:23" ht="15">
      <c r="A30" s="15"/>
      <c r="B30" s="15" t="s">
        <v>268</v>
      </c>
      <c r="C30" s="15" t="s">
        <v>269</v>
      </c>
      <c r="D30" s="15"/>
      <c r="E30" s="15"/>
      <c r="F30" s="755"/>
      <c r="G30" s="460">
        <v>0</v>
      </c>
      <c r="H30" s="460"/>
      <c r="I30" s="15"/>
      <c r="J30" s="102">
        <v>0</v>
      </c>
      <c r="K30" s="460">
        <f>-K79</f>
        <v>0</v>
      </c>
      <c r="L30" s="282">
        <f t="shared" si="0"/>
        <v>0</v>
      </c>
      <c r="M30" s="282">
        <f t="shared" si="1"/>
        <v>0</v>
      </c>
      <c r="N30" s="757">
        <f>SUM(J30:M30)</f>
        <v>0</v>
      </c>
      <c r="P30" s="102">
        <v>0</v>
      </c>
      <c r="Q30" s="102"/>
      <c r="R30" s="282">
        <f t="shared" si="3"/>
        <v>0</v>
      </c>
      <c r="S30" s="282">
        <f t="shared" si="4"/>
        <v>0</v>
      </c>
      <c r="T30" s="757">
        <f t="shared" si="5"/>
        <v>0</v>
      </c>
      <c r="U30" s="15"/>
      <c r="V30" s="15"/>
      <c r="W30" s="15"/>
    </row>
    <row r="31" spans="1:23" ht="15">
      <c r="A31" s="15"/>
      <c r="B31" s="15" t="s">
        <v>270</v>
      </c>
      <c r="C31" s="15" t="s">
        <v>271</v>
      </c>
      <c r="D31" s="15"/>
      <c r="E31" s="15"/>
      <c r="F31" s="755"/>
      <c r="G31" s="460">
        <v>-314612.14</v>
      </c>
      <c r="H31" s="460"/>
      <c r="I31" s="15"/>
      <c r="J31" s="102">
        <v>0</v>
      </c>
      <c r="K31" s="460"/>
      <c r="L31" s="282">
        <f t="shared" si="0"/>
        <v>0</v>
      </c>
      <c r="M31" s="282">
        <f t="shared" si="1"/>
        <v>0</v>
      </c>
      <c r="N31" s="757">
        <f t="shared" si="2"/>
        <v>0</v>
      </c>
      <c r="P31" s="102">
        <v>0</v>
      </c>
      <c r="Q31" s="102"/>
      <c r="R31" s="282">
        <f t="shared" si="3"/>
        <v>0</v>
      </c>
      <c r="S31" s="282">
        <f t="shared" si="4"/>
        <v>0</v>
      </c>
      <c r="T31" s="757">
        <f t="shared" si="5"/>
        <v>0</v>
      </c>
      <c r="U31" s="15"/>
      <c r="V31" s="15"/>
      <c r="W31" s="15"/>
    </row>
    <row r="32" spans="1:23" ht="15">
      <c r="A32" s="15"/>
      <c r="B32" s="15" t="s">
        <v>272</v>
      </c>
      <c r="C32" s="15" t="s">
        <v>273</v>
      </c>
      <c r="D32" s="15"/>
      <c r="E32" s="15"/>
      <c r="F32" s="755"/>
      <c r="G32" s="460">
        <v>-1618797.6</v>
      </c>
      <c r="H32" s="460">
        <v>2302.1999999999998</v>
      </c>
      <c r="I32" s="15"/>
      <c r="J32" s="102">
        <f ca="1">G72</f>
        <v>7134397</v>
      </c>
      <c r="K32" s="460">
        <f>-K80</f>
        <v>-171162.38</v>
      </c>
      <c r="L32" s="282">
        <f t="shared" si="0"/>
        <v>2302.1999999999998</v>
      </c>
      <c r="M32" s="282">
        <f t="shared" ca="1" si="1"/>
        <v>-2005423.2911562514</v>
      </c>
      <c r="N32" s="757">
        <f t="shared" ca="1" si="2"/>
        <v>4960113.5288437493</v>
      </c>
      <c r="P32" s="102">
        <f ca="1">H72</f>
        <v>5850000</v>
      </c>
      <c r="Q32" s="102">
        <f>-L80</f>
        <v>-171162.38</v>
      </c>
      <c r="R32" s="282">
        <f t="shared" ca="1" si="3"/>
        <v>2005423.2911562514</v>
      </c>
      <c r="S32" s="282">
        <f t="shared" ca="1" si="4"/>
        <v>-1644389.3230589875</v>
      </c>
      <c r="T32" s="757">
        <f t="shared" ca="1" si="5"/>
        <v>6039871.588097265</v>
      </c>
      <c r="U32" s="15"/>
      <c r="V32" s="15"/>
      <c r="W32" s="15"/>
    </row>
    <row r="33" spans="1:23" ht="15">
      <c r="A33" s="15"/>
      <c r="B33" s="15" t="s">
        <v>274</v>
      </c>
      <c r="C33" s="15" t="s">
        <v>275</v>
      </c>
      <c r="D33" s="15"/>
      <c r="E33" s="15"/>
      <c r="F33" s="755"/>
      <c r="G33" s="460">
        <v>6426.04</v>
      </c>
      <c r="H33" s="460"/>
      <c r="I33" s="15"/>
      <c r="J33" s="102">
        <v>0</v>
      </c>
      <c r="K33" s="460">
        <f>-K81</f>
        <v>-6246.04</v>
      </c>
      <c r="L33" s="282">
        <f t="shared" si="0"/>
        <v>0</v>
      </c>
      <c r="M33" s="282">
        <f t="shared" si="1"/>
        <v>0</v>
      </c>
      <c r="N33" s="757">
        <f t="shared" si="2"/>
        <v>-6246.04</v>
      </c>
      <c r="P33" s="102">
        <v>0</v>
      </c>
      <c r="Q33" s="102">
        <f>-L81</f>
        <v>-6246.04</v>
      </c>
      <c r="R33" s="282">
        <f t="shared" si="3"/>
        <v>0</v>
      </c>
      <c r="S33" s="282">
        <f t="shared" si="4"/>
        <v>0</v>
      </c>
      <c r="T33" s="757">
        <f t="shared" si="5"/>
        <v>-6246.04</v>
      </c>
      <c r="U33" s="15"/>
      <c r="V33" s="15"/>
      <c r="W33" s="15"/>
    </row>
    <row r="34" spans="1:23" ht="15">
      <c r="A34" s="15"/>
      <c r="B34" s="15" t="s">
        <v>76</v>
      </c>
      <c r="C34" s="15" t="s">
        <v>273</v>
      </c>
      <c r="D34" s="15"/>
      <c r="E34" s="15"/>
      <c r="F34" s="755"/>
      <c r="G34" s="460">
        <v>0</v>
      </c>
      <c r="H34" s="460"/>
      <c r="I34" s="15"/>
      <c r="J34" s="102">
        <v>0</v>
      </c>
      <c r="K34" s="460"/>
      <c r="L34" s="282">
        <f t="shared" si="0"/>
        <v>0</v>
      </c>
      <c r="M34" s="282">
        <f t="shared" si="1"/>
        <v>0</v>
      </c>
      <c r="N34" s="757">
        <f t="shared" si="2"/>
        <v>0</v>
      </c>
      <c r="P34" s="102">
        <v>0</v>
      </c>
      <c r="Q34" s="102"/>
      <c r="R34" s="282">
        <f t="shared" si="3"/>
        <v>0</v>
      </c>
      <c r="S34" s="282">
        <f t="shared" si="4"/>
        <v>0</v>
      </c>
      <c r="T34" s="757">
        <f t="shared" si="5"/>
        <v>0</v>
      </c>
      <c r="U34" s="15"/>
      <c r="V34" s="15"/>
      <c r="W34" s="15"/>
    </row>
    <row r="35" spans="1:23" ht="15">
      <c r="A35" s="15"/>
      <c r="B35" s="15"/>
      <c r="C35" s="15" t="s">
        <v>237</v>
      </c>
      <c r="D35" s="15"/>
      <c r="E35" s="15"/>
      <c r="F35" s="758"/>
      <c r="G35" s="15"/>
      <c r="H35" s="460"/>
      <c r="I35" s="15"/>
      <c r="J35" s="102">
        <v>0</v>
      </c>
      <c r="K35" s="15"/>
      <c r="L35" s="282">
        <f t="shared" ref="L35" si="8">H35</f>
        <v>0</v>
      </c>
      <c r="M35" s="282">
        <f t="shared" si="1"/>
        <v>0</v>
      </c>
      <c r="N35" s="757">
        <f t="shared" si="2"/>
        <v>0</v>
      </c>
      <c r="P35" s="102">
        <v>0</v>
      </c>
      <c r="Q35" s="95"/>
      <c r="R35" s="282">
        <f t="shared" si="3"/>
        <v>0</v>
      </c>
      <c r="S35" s="282">
        <f t="shared" si="4"/>
        <v>0</v>
      </c>
      <c r="T35" s="757">
        <f t="shared" si="5"/>
        <v>0</v>
      </c>
      <c r="U35" s="15"/>
      <c r="V35" s="15"/>
      <c r="W35" s="15"/>
    </row>
    <row r="36" spans="1:23" ht="15">
      <c r="A36" s="15"/>
      <c r="B36" s="15"/>
      <c r="C36" s="15"/>
      <c r="D36" s="15"/>
      <c r="E36" s="15"/>
      <c r="F36" s="758"/>
      <c r="G36" s="15"/>
      <c r="H36" s="460"/>
      <c r="I36" s="15"/>
      <c r="J36" s="102"/>
      <c r="K36" s="15"/>
      <c r="L36" s="15"/>
      <c r="M36" s="15"/>
      <c r="N36" s="15"/>
      <c r="P36" s="102"/>
      <c r="Q36" s="95"/>
      <c r="R36" s="15"/>
      <c r="S36" s="15"/>
      <c r="T36" s="15"/>
      <c r="U36" s="15"/>
      <c r="V36" s="15"/>
      <c r="W36" s="15"/>
    </row>
    <row r="37" spans="1:23" ht="15">
      <c r="A37" s="15"/>
      <c r="B37" s="193">
        <v>101</v>
      </c>
      <c r="C37" s="15" t="s">
        <v>170</v>
      </c>
      <c r="D37" s="15"/>
      <c r="E37" s="15"/>
      <c r="F37" s="755"/>
      <c r="G37" s="759">
        <f>SUM(G6:G35)</f>
        <v>-53749144.920000002</v>
      </c>
      <c r="H37" s="759">
        <f>SUM(H6:H35)</f>
        <v>91105284.741999999</v>
      </c>
      <c r="I37" s="15"/>
      <c r="J37" s="759">
        <f ca="1">SUM(J6:J35)</f>
        <v>208300000</v>
      </c>
      <c r="K37" s="759">
        <f>SUM(K6:K35)</f>
        <v>-30858442.259999998</v>
      </c>
      <c r="L37" s="759">
        <f>SUM(L6:L35)</f>
        <v>91105284.741999999</v>
      </c>
      <c r="M37" s="759">
        <f ca="1">SUM(M6:M35)</f>
        <v>-58551503.588578992</v>
      </c>
      <c r="N37" s="759">
        <f ca="1">SUM(N6:N35)</f>
        <v>209995338.89342105</v>
      </c>
      <c r="P37" s="759">
        <f ca="1">SUM(P6:P35)</f>
        <v>233300000</v>
      </c>
      <c r="Q37" s="759">
        <f>SUM(Q6:Q35)</f>
        <v>-30217493.859999999</v>
      </c>
      <c r="R37" s="759">
        <f ca="1">SUM(R6:R35)</f>
        <v>58551503.588578992</v>
      </c>
      <c r="S37" s="759">
        <f ca="1">SUM(S6:S35)</f>
        <v>-65578808.387976378</v>
      </c>
      <c r="T37" s="759">
        <f ca="1">SUM(T6:T35)</f>
        <v>196055201.34060261</v>
      </c>
      <c r="U37" s="15"/>
      <c r="V37" s="15"/>
      <c r="W37" s="15"/>
    </row>
    <row r="38" spans="1:23" ht="15">
      <c r="A38" s="15"/>
      <c r="B38" s="15"/>
      <c r="C38" s="15"/>
      <c r="D38" s="15"/>
      <c r="E38" s="15"/>
      <c r="F38" s="755"/>
      <c r="G38" s="759"/>
      <c r="H38" s="759"/>
      <c r="I38" s="15"/>
      <c r="J38" s="102"/>
      <c r="K38" s="15"/>
      <c r="L38" s="15"/>
      <c r="M38" s="15"/>
      <c r="N38" s="15"/>
      <c r="P38" s="102"/>
      <c r="Q38" s="102"/>
      <c r="R38" s="15"/>
      <c r="S38" s="15"/>
      <c r="T38" s="15"/>
      <c r="U38" s="15"/>
      <c r="V38" s="15"/>
      <c r="W38" s="15"/>
    </row>
    <row r="39" spans="1:23" ht="15">
      <c r="A39" s="760"/>
      <c r="B39" s="193">
        <v>106</v>
      </c>
      <c r="C39" s="15" t="s">
        <v>170</v>
      </c>
      <c r="D39" s="15"/>
      <c r="E39" s="15"/>
      <c r="F39" s="755"/>
      <c r="G39" s="106"/>
      <c r="H39" s="106"/>
      <c r="I39" s="15"/>
      <c r="J39" s="102"/>
      <c r="K39" s="15"/>
      <c r="L39" s="95"/>
      <c r="M39" s="95"/>
      <c r="N39" s="15"/>
      <c r="P39" s="102"/>
      <c r="Q39" s="102"/>
      <c r="R39" s="15"/>
      <c r="S39" s="15"/>
      <c r="T39" s="15"/>
      <c r="U39" s="15"/>
      <c r="V39" s="15"/>
      <c r="W39" s="15"/>
    </row>
    <row r="40" spans="1:23" ht="15">
      <c r="A40" s="760"/>
      <c r="B40" s="193"/>
      <c r="C40" s="15"/>
      <c r="D40" s="15"/>
      <c r="E40" s="15"/>
      <c r="F40" s="755"/>
      <c r="G40" s="106"/>
      <c r="H40" s="106"/>
      <c r="I40" s="15"/>
      <c r="J40" s="102"/>
      <c r="K40" s="15"/>
      <c r="L40" s="15"/>
      <c r="M40" s="15"/>
      <c r="N40" s="15"/>
      <c r="P40" s="102"/>
      <c r="Q40" s="102"/>
      <c r="R40" s="15"/>
      <c r="S40" s="15"/>
      <c r="T40" s="15"/>
      <c r="U40" s="15"/>
      <c r="V40" s="15"/>
      <c r="W40" s="15"/>
    </row>
    <row r="41" spans="1:23" ht="15">
      <c r="A41" s="760"/>
      <c r="B41" s="15" t="s">
        <v>1058</v>
      </c>
      <c r="C41" s="15" t="s">
        <v>170</v>
      </c>
      <c r="D41" s="15"/>
      <c r="E41" s="15"/>
      <c r="F41" s="758"/>
      <c r="G41" s="759">
        <f>+G37+G39</f>
        <v>-53749144.920000002</v>
      </c>
      <c r="H41" s="759">
        <f>+H37+H39</f>
        <v>91105284.741999999</v>
      </c>
      <c r="I41" s="15"/>
      <c r="J41" s="759">
        <f ca="1">+J37+J39</f>
        <v>208300000</v>
      </c>
      <c r="K41" s="759">
        <f>+K37+K39</f>
        <v>-30858442.259999998</v>
      </c>
      <c r="L41" s="759">
        <f>+L37+L39</f>
        <v>91105284.741999999</v>
      </c>
      <c r="M41" s="759">
        <f ca="1">+M37+M39</f>
        <v>-58551503.588578992</v>
      </c>
      <c r="N41" s="759">
        <f ca="1">+N37+N39</f>
        <v>209995338.89342105</v>
      </c>
      <c r="P41" s="759">
        <f ca="1">+P37+P39</f>
        <v>233300000</v>
      </c>
      <c r="Q41" s="759">
        <f>+Q37+Q39</f>
        <v>-30217493.859999999</v>
      </c>
      <c r="R41" s="759">
        <f ca="1">+R37+R39</f>
        <v>58551503.588578992</v>
      </c>
      <c r="S41" s="759">
        <f ca="1">+S37+S39</f>
        <v>-65578808.387976378</v>
      </c>
      <c r="T41" s="759">
        <f ca="1">+T37+T39</f>
        <v>196055201.34060261</v>
      </c>
      <c r="U41" s="15"/>
      <c r="V41" s="15"/>
      <c r="W41" s="15"/>
    </row>
    <row r="42" spans="1:23">
      <c r="P42" s="106"/>
      <c r="Q42" s="106"/>
      <c r="U42" s="15"/>
      <c r="V42" s="15"/>
      <c r="W42" s="15"/>
    </row>
    <row r="43" spans="1:23">
      <c r="P43" s="15"/>
      <c r="Q43" s="95"/>
      <c r="R43" s="15"/>
      <c r="S43" s="15"/>
      <c r="T43" s="15"/>
      <c r="V43" s="15"/>
      <c r="W43" s="15"/>
    </row>
    <row r="44" spans="1:23">
      <c r="P44" s="15"/>
      <c r="Q44" s="95"/>
      <c r="R44" s="15"/>
      <c r="T44" s="15"/>
      <c r="U44" s="15"/>
      <c r="V44" s="15"/>
      <c r="W44" s="15"/>
    </row>
    <row r="45" spans="1:23" s="1221" customFormat="1">
      <c r="A45" s="11"/>
      <c r="B45" s="11"/>
      <c r="C45" s="11"/>
      <c r="D45" s="11"/>
      <c r="E45" s="11"/>
      <c r="F45" s="1225"/>
      <c r="G45" s="1425">
        <v>39447</v>
      </c>
      <c r="H45" s="1425">
        <v>39813</v>
      </c>
      <c r="I45" s="1425">
        <v>40178</v>
      </c>
      <c r="J45" s="1425">
        <v>40543</v>
      </c>
      <c r="K45" s="1425">
        <v>40908</v>
      </c>
      <c r="L45" s="1425">
        <v>41274</v>
      </c>
      <c r="M45" s="1425">
        <v>41639</v>
      </c>
      <c r="N45" s="1425">
        <v>42004</v>
      </c>
      <c r="O45" s="1425">
        <v>42369</v>
      </c>
      <c r="P45" s="1425">
        <v>42735</v>
      </c>
      <c r="Q45" s="1425">
        <v>43100</v>
      </c>
      <c r="R45" s="1425"/>
      <c r="S45" s="1"/>
      <c r="T45" s="1"/>
      <c r="U45" s="1"/>
      <c r="V45" s="1226"/>
    </row>
    <row r="46" spans="1:23" s="1221" customFormat="1">
      <c r="A46" s="11"/>
      <c r="B46" s="11"/>
      <c r="C46" s="11"/>
      <c r="D46" s="11"/>
      <c r="E46" s="11"/>
      <c r="F46" s="266" t="s">
        <v>1272</v>
      </c>
      <c r="G46" s="1125">
        <v>15485360.779999999</v>
      </c>
      <c r="H46" s="1125">
        <v>8680079.7400000002</v>
      </c>
      <c r="I46" s="1125">
        <v>6970161.3600000003</v>
      </c>
      <c r="J46" s="1125">
        <v>6794533.7799999993</v>
      </c>
      <c r="K46" s="1125">
        <v>17136519.609999999</v>
      </c>
      <c r="L46" s="1125">
        <v>15816237.02</v>
      </c>
      <c r="M46" s="1227">
        <v>23040961.870000001</v>
      </c>
      <c r="N46" s="10">
        <v>12818757.051999994</v>
      </c>
      <c r="O46" s="1122">
        <v>11515347.991999999</v>
      </c>
      <c r="P46" s="1122">
        <v>21318273.891999997</v>
      </c>
      <c r="Q46" s="1122">
        <v>26747430.721999999</v>
      </c>
      <c r="R46" s="1"/>
      <c r="S46" s="1"/>
      <c r="T46" s="1"/>
      <c r="U46" s="1"/>
      <c r="V46" s="1226"/>
    </row>
    <row r="47" spans="1:23" s="1221" customFormat="1">
      <c r="A47" s="11"/>
      <c r="B47" s="11"/>
      <c r="C47" s="11"/>
      <c r="D47" s="11"/>
      <c r="E47" s="11"/>
      <c r="F47" s="266" t="s">
        <v>1273</v>
      </c>
      <c r="G47" s="1125">
        <v>18027343.98</v>
      </c>
      <c r="H47" s="1125">
        <v>15258470.32</v>
      </c>
      <c r="I47" s="1125">
        <v>33384980.149999999</v>
      </c>
      <c r="J47" s="1125">
        <v>48333755.229999997</v>
      </c>
      <c r="K47" s="1125">
        <v>42312755.259999998</v>
      </c>
      <c r="L47" s="1125">
        <v>52938209.880000003</v>
      </c>
      <c r="M47" s="1227">
        <v>50389832</v>
      </c>
      <c r="N47" s="10">
        <v>41595797.219999999</v>
      </c>
      <c r="O47" s="1122">
        <v>51063053.230000004</v>
      </c>
      <c r="P47" s="1122">
        <v>55498040.810000002</v>
      </c>
      <c r="Q47" s="1122">
        <v>64357854.020000003</v>
      </c>
      <c r="R47" s="1"/>
      <c r="S47" s="1"/>
      <c r="T47" s="1"/>
      <c r="U47" s="1"/>
      <c r="V47" s="1226"/>
    </row>
    <row r="48" spans="1:23" s="1221" customFormat="1">
      <c r="A48" s="11"/>
      <c r="B48" s="11"/>
      <c r="C48" s="11"/>
      <c r="D48" s="11"/>
      <c r="E48" s="11"/>
      <c r="F48" s="266" t="s">
        <v>1067</v>
      </c>
      <c r="G48" s="1228">
        <v>33512704.759999998</v>
      </c>
      <c r="H48" s="1228">
        <v>23938550.060000002</v>
      </c>
      <c r="I48" s="1228">
        <v>40355141.509999998</v>
      </c>
      <c r="J48" s="1228">
        <v>55128289.009999998</v>
      </c>
      <c r="K48" s="1228">
        <v>59449274.869999997</v>
      </c>
      <c r="L48" s="1229">
        <v>68754446.900000006</v>
      </c>
      <c r="M48" s="1229">
        <v>73430793.870000005</v>
      </c>
      <c r="N48" s="1229">
        <v>54414554.271999992</v>
      </c>
      <c r="O48" s="1229">
        <v>62578401.222000003</v>
      </c>
      <c r="P48" s="1229">
        <f>SUM(P46:P47)</f>
        <v>76816314.701999992</v>
      </c>
      <c r="Q48" s="1229">
        <f>SUM(Q46:Q47)</f>
        <v>91105284.741999999</v>
      </c>
      <c r="R48" s="1"/>
      <c r="S48" s="1"/>
      <c r="T48" s="1"/>
      <c r="U48" s="1"/>
      <c r="V48" s="1226"/>
    </row>
    <row r="49" spans="1:23" s="1221" customFormat="1">
      <c r="A49" s="11"/>
      <c r="B49" s="11"/>
      <c r="C49" s="11"/>
      <c r="D49" s="11"/>
      <c r="E49" s="11"/>
      <c r="F49" s="1225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"/>
      <c r="S49" s="1"/>
      <c r="T49" s="1"/>
      <c r="U49" s="1"/>
      <c r="V49" s="1226"/>
    </row>
    <row r="50" spans="1:23" s="1221" customFormat="1">
      <c r="A50" s="11"/>
      <c r="B50" s="11"/>
      <c r="C50" s="11"/>
      <c r="D50" s="11"/>
      <c r="E50" s="11"/>
      <c r="F50" s="266" t="s">
        <v>1066</v>
      </c>
      <c r="G50" s="1125">
        <v>97255854</v>
      </c>
      <c r="H50" s="1125">
        <v>129887544.86</v>
      </c>
      <c r="I50" s="1125">
        <v>122246150.95</v>
      </c>
      <c r="J50" s="1125">
        <v>87625334.38000001</v>
      </c>
      <c r="K50" s="1125">
        <v>110860251.42</v>
      </c>
      <c r="L50" s="1122">
        <v>127666264.75</v>
      </c>
      <c r="M50" s="1122">
        <v>161188934.65000001</v>
      </c>
      <c r="N50" s="1122">
        <v>177296274.90000001</v>
      </c>
      <c r="O50" s="1122">
        <v>161541240.49000001</v>
      </c>
      <c r="P50" s="1122">
        <v>233842787.13</v>
      </c>
      <c r="Q50" s="1122">
        <v>211143690.49000001</v>
      </c>
      <c r="R50" s="1"/>
      <c r="S50" s="1"/>
      <c r="T50" s="1"/>
      <c r="U50" s="1"/>
      <c r="V50" s="1226"/>
    </row>
    <row r="51" spans="1:23" s="1221" customFormat="1">
      <c r="A51" s="11"/>
      <c r="B51" s="11"/>
      <c r="C51" s="11"/>
      <c r="D51" s="11"/>
      <c r="E51" s="11"/>
      <c r="F51" s="266"/>
      <c r="G51" s="1125"/>
      <c r="H51" s="1125"/>
      <c r="I51" s="1125"/>
      <c r="J51" s="1125"/>
      <c r="K51" s="1125"/>
      <c r="L51" s="11"/>
      <c r="M51" s="11"/>
      <c r="N51" s="11"/>
      <c r="O51" s="11"/>
      <c r="P51" s="11"/>
      <c r="Q51" s="11"/>
      <c r="R51" s="1"/>
      <c r="S51" s="1"/>
      <c r="T51" s="1"/>
      <c r="U51" s="1"/>
      <c r="V51" s="1226"/>
    </row>
    <row r="52" spans="1:23" s="1221" customFormat="1">
      <c r="A52" s="11"/>
      <c r="B52" s="11"/>
      <c r="C52" s="11"/>
      <c r="D52" s="11"/>
      <c r="E52" s="11"/>
      <c r="F52" s="1225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5" t="s">
        <v>1544</v>
      </c>
      <c r="S52" s="1"/>
      <c r="T52" s="1"/>
      <c r="U52" s="1"/>
      <c r="V52" s="1226"/>
    </row>
    <row r="53" spans="1:23" s="1221" customFormat="1">
      <c r="A53" s="11"/>
      <c r="B53" s="11"/>
      <c r="C53" s="11"/>
      <c r="D53" s="11"/>
      <c r="E53" s="11"/>
      <c r="F53" s="266" t="s">
        <v>1274</v>
      </c>
      <c r="G53" s="1119">
        <f>G46/G50</f>
        <v>0.15922291711098438</v>
      </c>
      <c r="H53" s="1119">
        <f t="shared" ref="H53:M53" si="9">H46/H50</f>
        <v>6.6827652715707814E-2</v>
      </c>
      <c r="I53" s="1119">
        <f t="shared" si="9"/>
        <v>5.7017430044491724E-2</v>
      </c>
      <c r="J53" s="1119">
        <f t="shared" si="9"/>
        <v>7.7540745813699435E-2</v>
      </c>
      <c r="K53" s="1119">
        <f t="shared" si="9"/>
        <v>0.15457767225402888</v>
      </c>
      <c r="L53" s="1119">
        <f t="shared" si="9"/>
        <v>0.1238873640657682</v>
      </c>
      <c r="M53" s="1119">
        <f t="shared" si="9"/>
        <v>0.14294381881752824</v>
      </c>
      <c r="N53" s="1119">
        <f>N46/N50</f>
        <v>7.2301333230098186E-2</v>
      </c>
      <c r="O53" s="1119">
        <f>O46/O50</f>
        <v>7.1284261264001128E-2</v>
      </c>
      <c r="P53" s="1119">
        <f>P46/P50</f>
        <v>9.1164983763850502E-2</v>
      </c>
      <c r="Q53" s="1119">
        <f>Q46/Q50</f>
        <v>0.12667880655077773</v>
      </c>
      <c r="R53" s="1084">
        <f>AVERAGE(M53:Q53)</f>
        <v>0.10087464072525117</v>
      </c>
      <c r="S53" s="1"/>
      <c r="T53" s="1"/>
      <c r="U53" s="1"/>
      <c r="V53" s="1226"/>
    </row>
    <row r="54" spans="1:23" s="1221" customFormat="1">
      <c r="A54" s="11"/>
      <c r="B54" s="11"/>
      <c r="C54" s="11"/>
      <c r="D54" s="11"/>
      <c r="E54" s="11"/>
      <c r="F54" s="266" t="s">
        <v>1275</v>
      </c>
      <c r="G54" s="1119">
        <f>G47/G50</f>
        <v>0.18535998851030602</v>
      </c>
      <c r="H54" s="1119">
        <f t="shared" ref="H54:L54" si="10">H47/H50</f>
        <v>0.11747446867554873</v>
      </c>
      <c r="I54" s="1119">
        <f t="shared" si="10"/>
        <v>0.27309637064691561</v>
      </c>
      <c r="J54" s="1119">
        <f t="shared" si="10"/>
        <v>0.55159567232455442</v>
      </c>
      <c r="K54" s="1119">
        <f t="shared" si="10"/>
        <v>0.38167652263114449</v>
      </c>
      <c r="L54" s="1119">
        <f t="shared" si="10"/>
        <v>0.41466091283915318</v>
      </c>
      <c r="M54" s="1119">
        <f>M47/M50</f>
        <v>0.31261346884272617</v>
      </c>
      <c r="N54" s="1119">
        <f>N47/N50</f>
        <v>0.23461179454255979</v>
      </c>
      <c r="O54" s="1119">
        <f>O47/O50</f>
        <v>0.31609917736864845</v>
      </c>
      <c r="P54" s="1119">
        <f>P47/P50</f>
        <v>0.23733056508237318</v>
      </c>
      <c r="Q54" s="1119">
        <f>Q47/Q50</f>
        <v>0.30480595404316879</v>
      </c>
      <c r="R54" s="1084">
        <f>AVERAGE(M54:Q54)</f>
        <v>0.2810921919758953</v>
      </c>
      <c r="S54" s="1"/>
      <c r="T54" s="1"/>
      <c r="U54" s="1"/>
      <c r="V54" s="1226"/>
    </row>
    <row r="55" spans="1:23">
      <c r="K55" s="468"/>
      <c r="S55" s="15"/>
      <c r="T55" s="15"/>
      <c r="U55" s="15"/>
      <c r="V55" s="15"/>
      <c r="W55" s="15"/>
    </row>
    <row r="56" spans="1:23">
      <c r="K56" s="468"/>
      <c r="U56" s="15"/>
      <c r="V56" s="15"/>
      <c r="W56" s="15"/>
    </row>
    <row r="57" spans="1:23">
      <c r="K57" s="171"/>
      <c r="U57" s="15"/>
      <c r="V57" s="15"/>
      <c r="W57" s="15"/>
    </row>
    <row r="58" spans="1:23">
      <c r="U58" s="15"/>
      <c r="V58" s="15"/>
      <c r="W58" s="15"/>
    </row>
    <row r="59" spans="1:23">
      <c r="K59" s="762"/>
    </row>
    <row r="61" spans="1:23">
      <c r="K61" s="762"/>
    </row>
    <row r="62" spans="1:23">
      <c r="F62" s="1" t="s">
        <v>1140</v>
      </c>
      <c r="G62" s="18" t="str">
        <f>H84</f>
        <v>2018</v>
      </c>
      <c r="H62" s="18" t="str">
        <f>I84</f>
        <v>2019</v>
      </c>
    </row>
    <row r="63" spans="1:23">
      <c r="F63" s="1431">
        <v>376</v>
      </c>
      <c r="G63" s="1133">
        <f ca="1">SUMIF($F$87:$I$115,$F63,$H$87:$H$115)</f>
        <v>122285091</v>
      </c>
      <c r="H63" s="1133">
        <f ca="1">SUMIF($F$87:$I$115,$F63,$I$87:$I$115)</f>
        <v>155505200</v>
      </c>
    </row>
    <row r="64" spans="1:23">
      <c r="F64" s="1431">
        <v>377</v>
      </c>
      <c r="G64" s="1133">
        <f t="shared" ref="G64:G72" ca="1" si="11">SUMIF($F$87:$I$115,$F64,$H$87:$H$115)</f>
        <v>0</v>
      </c>
      <c r="H64" s="1133">
        <f t="shared" ref="H64:H72" ca="1" si="12">SUMIF($F$87:$I$115,$F64,$I$87:$I$115)</f>
        <v>500000</v>
      </c>
      <c r="T64" s="15"/>
      <c r="U64" s="15"/>
      <c r="V64" s="15"/>
      <c r="W64" s="15"/>
    </row>
    <row r="65" spans="6:23">
      <c r="F65" s="1431">
        <v>378</v>
      </c>
      <c r="G65" s="1133">
        <f t="shared" ca="1" si="11"/>
        <v>13310133</v>
      </c>
      <c r="H65" s="1133">
        <f t="shared" ca="1" si="12"/>
        <v>8500000</v>
      </c>
      <c r="T65" s="15"/>
      <c r="U65" s="15"/>
      <c r="V65" s="15"/>
      <c r="W65" s="15"/>
    </row>
    <row r="66" spans="6:23">
      <c r="F66" s="1431">
        <v>380</v>
      </c>
      <c r="G66" s="1133">
        <f t="shared" ca="1" si="11"/>
        <v>11319208</v>
      </c>
      <c r="H66" s="1133">
        <f t="shared" ca="1" si="12"/>
        <v>15000000</v>
      </c>
      <c r="T66" s="15"/>
      <c r="U66" s="15"/>
      <c r="V66" s="15"/>
      <c r="W66" s="15"/>
    </row>
    <row r="67" spans="6:23">
      <c r="F67" s="1431">
        <v>381</v>
      </c>
      <c r="G67" s="1133">
        <f t="shared" ca="1" si="11"/>
        <v>39866446</v>
      </c>
      <c r="H67" s="1133">
        <f t="shared" ca="1" si="12"/>
        <v>28544800</v>
      </c>
      <c r="T67" s="15"/>
      <c r="U67" s="15"/>
      <c r="V67" s="15"/>
      <c r="W67" s="15"/>
    </row>
    <row r="68" spans="6:23">
      <c r="F68" s="1431">
        <v>390</v>
      </c>
      <c r="G68" s="1133">
        <f t="shared" ca="1" si="11"/>
        <v>4036901</v>
      </c>
      <c r="H68" s="1133">
        <f t="shared" ca="1" si="12"/>
        <v>11000000</v>
      </c>
      <c r="T68" s="15"/>
      <c r="U68" s="15"/>
      <c r="V68" s="15"/>
      <c r="W68" s="15"/>
    </row>
    <row r="69" spans="6:23">
      <c r="F69" s="1431">
        <v>391</v>
      </c>
      <c r="G69" s="1133">
        <f t="shared" ca="1" si="11"/>
        <v>470090</v>
      </c>
      <c r="H69" s="1133">
        <f t="shared" ca="1" si="12"/>
        <v>600000</v>
      </c>
      <c r="T69" s="15"/>
      <c r="U69" s="15"/>
      <c r="V69" s="15"/>
      <c r="W69" s="15"/>
    </row>
    <row r="70" spans="6:23">
      <c r="F70" s="1431">
        <v>392</v>
      </c>
      <c r="G70" s="1133">
        <f t="shared" ca="1" si="11"/>
        <v>5266620</v>
      </c>
      <c r="H70" s="1133">
        <f t="shared" ca="1" si="12"/>
        <v>5000000</v>
      </c>
      <c r="T70" s="15"/>
      <c r="U70" s="15"/>
      <c r="V70" s="15"/>
      <c r="W70" s="15"/>
    </row>
    <row r="71" spans="6:23">
      <c r="F71" s="1431">
        <v>394</v>
      </c>
      <c r="G71" s="1133">
        <f t="shared" ca="1" si="11"/>
        <v>4611114</v>
      </c>
      <c r="H71" s="1133">
        <f t="shared" ca="1" si="12"/>
        <v>2800000</v>
      </c>
      <c r="T71" s="15"/>
      <c r="U71" s="15"/>
      <c r="V71" s="15"/>
      <c r="W71" s="15"/>
    </row>
    <row r="72" spans="6:23">
      <c r="F72" s="1431">
        <v>397</v>
      </c>
      <c r="G72" s="1133">
        <f t="shared" ca="1" si="11"/>
        <v>7134397</v>
      </c>
      <c r="H72" s="1133">
        <f t="shared" ca="1" si="12"/>
        <v>5850000</v>
      </c>
      <c r="T72" s="15"/>
      <c r="U72" s="15"/>
      <c r="V72" s="15"/>
      <c r="W72" s="15"/>
    </row>
    <row r="73" spans="6:23">
      <c r="F73" s="1431" t="s">
        <v>837</v>
      </c>
      <c r="G73" s="1133">
        <f ca="1">SUM(G63:G72)</f>
        <v>208300000</v>
      </c>
      <c r="H73" s="1133">
        <f ca="1">SUM(H63:H72)</f>
        <v>233300000</v>
      </c>
      <c r="T73" s="15"/>
      <c r="U73" s="15"/>
      <c r="V73" s="15"/>
      <c r="W73" s="15"/>
    </row>
    <row r="74" spans="6:23">
      <c r="F74" s="1"/>
      <c r="G74" s="1"/>
      <c r="H74" s="1"/>
      <c r="T74" s="15"/>
      <c r="U74" s="15"/>
      <c r="V74" s="15"/>
      <c r="W74" s="15"/>
    </row>
    <row r="75" spans="6:23">
      <c r="F75" s="1"/>
      <c r="G75" s="1"/>
      <c r="H75" s="1"/>
      <c r="T75" s="15"/>
      <c r="U75" s="15"/>
      <c r="V75" s="15"/>
      <c r="W75" s="15"/>
    </row>
    <row r="76" spans="6:23">
      <c r="F76" s="1"/>
      <c r="G76" s="1"/>
      <c r="H76" s="1"/>
      <c r="K76" s="194">
        <v>2017</v>
      </c>
      <c r="L76" s="194">
        <v>2018</v>
      </c>
      <c r="T76" s="15"/>
      <c r="U76" s="15"/>
      <c r="V76" s="15"/>
      <c r="W76" s="15"/>
    </row>
    <row r="77" spans="6:23">
      <c r="F77" s="1"/>
      <c r="G77" s="1"/>
      <c r="H77" s="1"/>
      <c r="J77" s="194">
        <v>391</v>
      </c>
      <c r="K77" s="106">
        <f>482034.78+5951539.65+602168.02+434321.05</f>
        <v>7470063.5000000009</v>
      </c>
      <c r="L77" s="106">
        <f>482034.78+5951539.65+602168.02+434321.05</f>
        <v>7470063.5000000009</v>
      </c>
      <c r="T77" s="15"/>
      <c r="U77" s="15"/>
      <c r="V77" s="15"/>
      <c r="W77" s="15"/>
    </row>
    <row r="78" spans="6:23">
      <c r="F78" s="1"/>
      <c r="G78" s="1"/>
      <c r="H78" s="1"/>
      <c r="I78" s="213"/>
      <c r="J78" s="194">
        <v>394</v>
      </c>
      <c r="K78" s="106">
        <f>680346.25+29535.82</f>
        <v>709882.07</v>
      </c>
      <c r="L78" s="106">
        <f>680346.25+29535.82</f>
        <v>709882.07</v>
      </c>
    </row>
    <row r="79" spans="6:23">
      <c r="F79" s="1"/>
      <c r="G79" s="1"/>
      <c r="H79" s="1"/>
      <c r="J79" s="194">
        <v>395</v>
      </c>
    </row>
    <row r="80" spans="6:23">
      <c r="J80" s="194">
        <v>397</v>
      </c>
      <c r="K80" s="106">
        <f>57282.07+2106.01+111774.3</f>
        <v>171162.38</v>
      </c>
      <c r="L80" s="106">
        <f>57282.07+2106.01+111774.3</f>
        <v>171162.38</v>
      </c>
    </row>
    <row r="81" spans="6:12">
      <c r="J81" s="194">
        <v>398</v>
      </c>
      <c r="K81" s="106">
        <v>6246.04</v>
      </c>
      <c r="L81" s="106">
        <v>6246.04</v>
      </c>
    </row>
    <row r="82" spans="6:12" ht="15">
      <c r="F82" s="1477" t="s">
        <v>1512</v>
      </c>
      <c r="G82" s="1478"/>
      <c r="H82" s="1479"/>
      <c r="I82" s="1479"/>
      <c r="K82" s="1315">
        <f>SUM(K77:K81)</f>
        <v>8357353.9900000012</v>
      </c>
      <c r="L82" s="1315">
        <f>SUM(L77:L81)</f>
        <v>8357353.9900000012</v>
      </c>
    </row>
    <row r="83" spans="6:12">
      <c r="F83" s="1480" t="s">
        <v>1513</v>
      </c>
      <c r="G83" s="1478"/>
      <c r="H83" s="1479"/>
      <c r="I83" s="1479"/>
    </row>
    <row r="84" spans="6:12">
      <c r="F84" s="1478"/>
      <c r="G84" s="1478"/>
      <c r="H84" s="1481" t="s">
        <v>1599</v>
      </c>
      <c r="I84" s="1481" t="s">
        <v>1600</v>
      </c>
    </row>
    <row r="85" spans="6:12">
      <c r="F85" s="1478"/>
      <c r="G85" s="1478"/>
      <c r="H85" s="1479" t="s">
        <v>170</v>
      </c>
      <c r="I85" s="1479" t="s">
        <v>170</v>
      </c>
    </row>
    <row r="86" spans="6:12">
      <c r="F86" s="1482" t="s">
        <v>1514</v>
      </c>
      <c r="G86" s="1478"/>
      <c r="H86" s="1479"/>
      <c r="I86" s="1479"/>
    </row>
    <row r="87" spans="6:12">
      <c r="F87" s="1478">
        <v>376</v>
      </c>
      <c r="G87" s="1483" t="s">
        <v>1515</v>
      </c>
      <c r="H87" s="1484">
        <v>55724314</v>
      </c>
      <c r="I87" s="1484">
        <v>55466962</v>
      </c>
    </row>
    <row r="88" spans="6:12">
      <c r="F88" s="1478">
        <v>376</v>
      </c>
      <c r="G88" s="1483" t="s">
        <v>1516</v>
      </c>
      <c r="H88" s="1484">
        <v>11600000</v>
      </c>
      <c r="I88" s="1484">
        <v>10837704</v>
      </c>
    </row>
    <row r="89" spans="6:12">
      <c r="F89" s="1478">
        <v>394</v>
      </c>
      <c r="G89" s="1483" t="s">
        <v>1517</v>
      </c>
      <c r="H89" s="1484">
        <v>300000</v>
      </c>
      <c r="I89" s="1484">
        <v>300000</v>
      </c>
    </row>
    <row r="90" spans="6:12">
      <c r="F90" s="1478">
        <v>376</v>
      </c>
      <c r="G90" s="1483" t="s">
        <v>1518</v>
      </c>
      <c r="H90" s="1484">
        <v>0</v>
      </c>
      <c r="I90" s="1484">
        <v>0</v>
      </c>
    </row>
    <row r="91" spans="6:12">
      <c r="F91" s="1478">
        <v>376</v>
      </c>
      <c r="G91" s="1483" t="s">
        <v>1300</v>
      </c>
      <c r="H91" s="1484">
        <v>5000000</v>
      </c>
      <c r="I91" s="1484">
        <v>14599897</v>
      </c>
    </row>
    <row r="92" spans="6:12">
      <c r="F92" s="1478">
        <v>376</v>
      </c>
      <c r="G92" s="1483" t="s">
        <v>1301</v>
      </c>
      <c r="H92" s="1484">
        <v>8500000</v>
      </c>
      <c r="I92" s="1484">
        <v>11438341</v>
      </c>
    </row>
    <row r="93" spans="6:12">
      <c r="F93" s="1478">
        <v>381</v>
      </c>
      <c r="G93" s="1483" t="s">
        <v>1302</v>
      </c>
      <c r="H93" s="1484">
        <v>19500000</v>
      </c>
      <c r="I93" s="1484">
        <v>12544800</v>
      </c>
    </row>
    <row r="94" spans="6:12">
      <c r="F94" s="1478"/>
      <c r="G94" s="1485" t="s">
        <v>1519</v>
      </c>
      <c r="H94" s="1486">
        <f>SUM(H87:H93)</f>
        <v>100624314</v>
      </c>
      <c r="I94" s="1486">
        <f>SUM(I87:I93)</f>
        <v>105187704</v>
      </c>
    </row>
    <row r="95" spans="6:12">
      <c r="F95" s="1478"/>
      <c r="G95" s="1483"/>
      <c r="H95" s="1484"/>
      <c r="I95" s="1484"/>
    </row>
    <row r="96" spans="6:12">
      <c r="F96" s="1482" t="s">
        <v>1520</v>
      </c>
      <c r="G96" s="1483"/>
      <c r="H96" s="1484"/>
      <c r="I96" s="1484"/>
    </row>
    <row r="97" spans="6:9">
      <c r="F97" s="1478">
        <v>378</v>
      </c>
      <c r="G97" s="1483" t="s">
        <v>1298</v>
      </c>
      <c r="H97" s="1484">
        <v>13310133</v>
      </c>
      <c r="I97" s="1484">
        <v>8500000</v>
      </c>
    </row>
    <row r="98" spans="6:9">
      <c r="F98" s="1478">
        <v>376</v>
      </c>
      <c r="G98" s="1483" t="s">
        <v>1299</v>
      </c>
      <c r="H98" s="1484">
        <v>19199531</v>
      </c>
      <c r="I98" s="1484">
        <v>25500000</v>
      </c>
    </row>
    <row r="99" spans="6:9">
      <c r="F99" s="1478">
        <v>377</v>
      </c>
      <c r="G99" s="1483" t="s">
        <v>1521</v>
      </c>
      <c r="H99" s="1484">
        <v>0</v>
      </c>
      <c r="I99" s="1484">
        <v>500000</v>
      </c>
    </row>
    <row r="100" spans="6:9">
      <c r="F100" s="1478">
        <v>376</v>
      </c>
      <c r="G100" s="1483" t="s">
        <v>1300</v>
      </c>
      <c r="H100" s="1484">
        <v>3711448</v>
      </c>
      <c r="I100" s="1484">
        <v>4000000</v>
      </c>
    </row>
    <row r="101" spans="6:9">
      <c r="F101" s="1478">
        <v>376</v>
      </c>
      <c r="G101" s="1483" t="s">
        <v>1297</v>
      </c>
      <c r="H101" s="1484">
        <v>21971183</v>
      </c>
      <c r="I101" s="1484">
        <v>28162296</v>
      </c>
    </row>
    <row r="102" spans="6:9">
      <c r="F102" s="1478">
        <v>380</v>
      </c>
      <c r="G102" s="1483" t="s">
        <v>1303</v>
      </c>
      <c r="H102" s="1484">
        <v>11319208</v>
      </c>
      <c r="I102" s="1484">
        <v>15000000</v>
      </c>
    </row>
    <row r="103" spans="6:9">
      <c r="F103" s="1478">
        <v>381</v>
      </c>
      <c r="G103" s="1483" t="s">
        <v>1304</v>
      </c>
      <c r="H103" s="1484">
        <v>20366446</v>
      </c>
      <c r="I103" s="1484">
        <v>16000000</v>
      </c>
    </row>
    <row r="104" spans="6:9">
      <c r="F104" s="1478">
        <v>390</v>
      </c>
      <c r="G104" s="1483" t="s">
        <v>1522</v>
      </c>
      <c r="H104" s="1484">
        <v>4036901</v>
      </c>
      <c r="I104" s="1484">
        <v>11000000</v>
      </c>
    </row>
    <row r="105" spans="6:9">
      <c r="F105" s="1478">
        <v>391</v>
      </c>
      <c r="G105" s="1483" t="s">
        <v>1523</v>
      </c>
      <c r="H105" s="1484">
        <v>470090</v>
      </c>
      <c r="I105" s="1484">
        <v>600000</v>
      </c>
    </row>
    <row r="106" spans="6:9">
      <c r="F106" s="1478">
        <v>392</v>
      </c>
      <c r="G106" s="1483" t="s">
        <v>1305</v>
      </c>
      <c r="H106" s="1484">
        <v>5266620</v>
      </c>
      <c r="I106" s="1484">
        <v>5000000</v>
      </c>
    </row>
    <row r="107" spans="6:9">
      <c r="F107" s="1478">
        <v>394</v>
      </c>
      <c r="G107" s="1483" t="s">
        <v>1524</v>
      </c>
      <c r="H107" s="1484">
        <v>3661114</v>
      </c>
      <c r="I107" s="1484">
        <v>2000000</v>
      </c>
    </row>
    <row r="108" spans="6:9">
      <c r="F108" s="1478">
        <v>397</v>
      </c>
      <c r="G108" s="1483" t="s">
        <v>1306</v>
      </c>
      <c r="H108" s="1484">
        <v>0</v>
      </c>
      <c r="I108" s="1484">
        <v>0</v>
      </c>
    </row>
    <row r="109" spans="6:9">
      <c r="F109" s="1478">
        <v>394</v>
      </c>
      <c r="G109" s="1483" t="s">
        <v>1307</v>
      </c>
      <c r="H109" s="1484">
        <v>650000</v>
      </c>
      <c r="I109" s="1484">
        <v>500000</v>
      </c>
    </row>
    <row r="110" spans="6:9">
      <c r="F110" s="1478">
        <v>397</v>
      </c>
      <c r="G110" s="1483" t="s">
        <v>1308</v>
      </c>
      <c r="H110" s="1484">
        <v>2661200</v>
      </c>
      <c r="I110" s="1484">
        <v>3000000</v>
      </c>
    </row>
    <row r="111" spans="6:9">
      <c r="F111" s="1478">
        <v>397</v>
      </c>
      <c r="G111" s="1483" t="s">
        <v>1309</v>
      </c>
      <c r="H111" s="1484">
        <v>1075487</v>
      </c>
      <c r="I111" s="1484">
        <v>2000000</v>
      </c>
    </row>
    <row r="112" spans="6:9">
      <c r="F112" s="1478">
        <v>397</v>
      </c>
      <c r="G112" s="1483" t="s">
        <v>1312</v>
      </c>
      <c r="H112" s="1484">
        <v>3397710</v>
      </c>
      <c r="I112" s="1484">
        <v>850000</v>
      </c>
    </row>
    <row r="113" spans="6:9">
      <c r="F113" s="1478">
        <v>376</v>
      </c>
      <c r="G113" s="1483" t="s">
        <v>1310</v>
      </c>
      <c r="H113" s="1484">
        <v>0</v>
      </c>
      <c r="I113" s="1484">
        <v>1000000</v>
      </c>
    </row>
    <row r="114" spans="6:9">
      <c r="F114" s="1478">
        <v>376</v>
      </c>
      <c r="G114" s="1483" t="s">
        <v>1313</v>
      </c>
      <c r="H114" s="1484">
        <v>2000000</v>
      </c>
      <c r="I114" s="1484">
        <v>2000000</v>
      </c>
    </row>
    <row r="115" spans="6:9">
      <c r="F115" s="1478">
        <v>376</v>
      </c>
      <c r="G115" s="1483" t="s">
        <v>1311</v>
      </c>
      <c r="H115" s="1484">
        <v>-5421385</v>
      </c>
      <c r="I115" s="1484">
        <v>2500000</v>
      </c>
    </row>
    <row r="116" spans="6:9">
      <c r="F116" s="1478"/>
      <c r="G116" s="1485" t="s">
        <v>1525</v>
      </c>
      <c r="H116" s="1486">
        <f>SUM(H97:H115)</f>
        <v>107675686</v>
      </c>
      <c r="I116" s="1486">
        <f>SUM(I97:I115)</f>
        <v>128112296</v>
      </c>
    </row>
    <row r="117" spans="6:9">
      <c r="F117" s="1478"/>
      <c r="G117" s="1478"/>
      <c r="H117" s="1484"/>
      <c r="I117" s="1484"/>
    </row>
    <row r="118" spans="6:9" ht="13.5" thickBot="1">
      <c r="F118" s="1478"/>
      <c r="G118" s="1487" t="s">
        <v>170</v>
      </c>
      <c r="H118" s="1488">
        <f>H94+H116</f>
        <v>208300000</v>
      </c>
      <c r="I118" s="1488">
        <f>I94+I116</f>
        <v>233300000</v>
      </c>
    </row>
    <row r="119" spans="6:9" ht="13.5" thickTop="1"/>
  </sheetData>
  <mergeCells count="3">
    <mergeCell ref="J1:N1"/>
    <mergeCell ref="P1:T1"/>
    <mergeCell ref="G1:H1"/>
  </mergeCells>
  <pageMargins left="0.7" right="0.7" top="0.75" bottom="0.75" header="0.3" footer="0.3"/>
  <pageSetup paperSize="5" scale="39" orientation="landscape" r:id="rId1"/>
  <headerFooter>
    <oddFooter>&amp;R&amp;Z&amp;F\&amp;A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EC202"/>
  <sheetViews>
    <sheetView zoomScale="90" zoomScaleNormal="90" workbookViewId="0">
      <selection activeCell="D27" sqref="D27"/>
    </sheetView>
  </sheetViews>
  <sheetFormatPr defaultRowHeight="12.75"/>
  <cols>
    <col min="1" max="1" width="5.7109375" style="15" customWidth="1"/>
    <col min="2" max="2" width="52.7109375" style="429" customWidth="1"/>
    <col min="3" max="3" width="17.28515625" style="429" bestFit="1" customWidth="1"/>
    <col min="4" max="4" width="17" style="429" bestFit="1" customWidth="1"/>
    <col min="5" max="5" width="17.28515625" style="429" bestFit="1" customWidth="1"/>
    <col min="6" max="6" width="17" style="429" bestFit="1" customWidth="1"/>
    <col min="7" max="7" width="17.28515625" style="429" bestFit="1" customWidth="1"/>
    <col min="8" max="8" width="17.28515625" style="15" customWidth="1"/>
    <col min="9" max="9" width="17" style="15" bestFit="1" customWidth="1"/>
    <col min="10" max="10" width="32.28515625" style="15" customWidth="1"/>
    <col min="11" max="11" width="13.5703125" style="15" customWidth="1"/>
    <col min="12" max="12" width="9.140625" style="15" customWidth="1"/>
    <col min="13" max="15" width="9.140625" style="15"/>
    <col min="16" max="17" width="9.140625" style="15" customWidth="1"/>
    <col min="18" max="18" width="40.85546875" style="15" customWidth="1"/>
    <col min="19" max="19" width="20.5703125" style="15" customWidth="1"/>
    <col min="20" max="20" width="18.28515625" style="15" customWidth="1"/>
    <col min="21" max="21" width="16.140625" style="15" bestFit="1" customWidth="1"/>
    <col min="22" max="23" width="15" style="15" bestFit="1" customWidth="1"/>
    <col min="24" max="32" width="19.5703125" style="15" bestFit="1" customWidth="1"/>
    <col min="33" max="45" width="20" style="15" customWidth="1"/>
    <col min="46" max="46" width="13" style="15" customWidth="1"/>
    <col min="47" max="47" width="11.28515625" style="15" bestFit="1" customWidth="1"/>
    <col min="48" max="48" width="11.5703125" style="15" bestFit="1" customWidth="1"/>
    <col min="49" max="49" width="9.140625" style="15"/>
    <col min="50" max="50" width="17.85546875" style="15" customWidth="1"/>
    <col min="51" max="16384" width="9.140625" style="15"/>
  </cols>
  <sheetData>
    <row r="1" spans="1:48">
      <c r="C1" s="536" t="s">
        <v>422</v>
      </c>
      <c r="D1" s="536" t="s">
        <v>45</v>
      </c>
      <c r="E1" s="536" t="s">
        <v>46</v>
      </c>
      <c r="F1" s="536" t="s">
        <v>688</v>
      </c>
      <c r="G1" s="536" t="s">
        <v>689</v>
      </c>
      <c r="H1" s="536" t="s">
        <v>794</v>
      </c>
      <c r="I1" s="536" t="s">
        <v>767</v>
      </c>
    </row>
    <row r="2" spans="1:48">
      <c r="G2" s="540" t="s">
        <v>1189</v>
      </c>
      <c r="H2" s="538" t="s">
        <v>1190</v>
      </c>
      <c r="I2" s="538"/>
    </row>
    <row r="3" spans="1:48">
      <c r="C3" s="1562" t="s">
        <v>50</v>
      </c>
      <c r="D3" s="1562"/>
      <c r="E3" s="1562"/>
      <c r="F3" s="1562"/>
      <c r="G3" s="1563"/>
      <c r="H3" s="539" t="s">
        <v>1117</v>
      </c>
      <c r="I3" s="570"/>
    </row>
    <row r="4" spans="1:48">
      <c r="C4" s="537">
        <v>41639</v>
      </c>
      <c r="D4" s="537">
        <v>42004</v>
      </c>
      <c r="E4" s="537">
        <v>42369</v>
      </c>
      <c r="F4" s="537">
        <v>42735</v>
      </c>
      <c r="G4" s="537">
        <v>43100</v>
      </c>
      <c r="H4" s="537">
        <v>43465</v>
      </c>
      <c r="I4" s="537">
        <v>43830</v>
      </c>
      <c r="O4" s="15" t="s">
        <v>297</v>
      </c>
      <c r="X4" s="15" t="s">
        <v>193</v>
      </c>
      <c r="Y4" s="15" t="s">
        <v>193</v>
      </c>
      <c r="Z4" s="15" t="s">
        <v>193</v>
      </c>
      <c r="AA4" s="15" t="s">
        <v>193</v>
      </c>
      <c r="AB4" s="15" t="s">
        <v>193</v>
      </c>
      <c r="AC4" s="15" t="s">
        <v>193</v>
      </c>
      <c r="AD4" s="15" t="s">
        <v>193</v>
      </c>
      <c r="AE4" s="15" t="s">
        <v>193</v>
      </c>
      <c r="AF4" s="15" t="s">
        <v>193</v>
      </c>
      <c r="AG4" s="15" t="s">
        <v>193</v>
      </c>
      <c r="AH4" s="15" t="s">
        <v>193</v>
      </c>
      <c r="AI4" s="15" t="s">
        <v>193</v>
      </c>
      <c r="AJ4" s="15" t="s">
        <v>193</v>
      </c>
      <c r="AK4" s="15" t="s">
        <v>193</v>
      </c>
      <c r="AL4" s="15" t="s">
        <v>193</v>
      </c>
      <c r="AM4" s="15" t="s">
        <v>193</v>
      </c>
      <c r="AN4" s="15" t="s">
        <v>193</v>
      </c>
      <c r="AO4" s="15" t="s">
        <v>193</v>
      </c>
      <c r="AP4" s="15" t="s">
        <v>193</v>
      </c>
      <c r="AQ4" s="15" t="s">
        <v>193</v>
      </c>
      <c r="AR4" s="15" t="s">
        <v>193</v>
      </c>
    </row>
    <row r="5" spans="1:48">
      <c r="E5" s="437"/>
      <c r="P5" s="15" t="s">
        <v>302</v>
      </c>
      <c r="U5" s="763">
        <f>'RB FORECAST'!V8</f>
        <v>43115</v>
      </c>
      <c r="V5" s="763">
        <f>'RB FORECAST'!W8</f>
        <v>43145</v>
      </c>
      <c r="W5" s="763">
        <f>'RB FORECAST'!X8</f>
        <v>43175</v>
      </c>
      <c r="X5" s="763">
        <f>'RB FORECAST'!Y8</f>
        <v>43205</v>
      </c>
      <c r="Y5" s="763">
        <f>'RB FORECAST'!Z8</f>
        <v>43235</v>
      </c>
      <c r="Z5" s="763">
        <f>'RB FORECAST'!AA8</f>
        <v>43265</v>
      </c>
      <c r="AA5" s="763">
        <f>'RB FORECAST'!AB8</f>
        <v>43295</v>
      </c>
      <c r="AB5" s="763">
        <f>'RB FORECAST'!AC8</f>
        <v>43325</v>
      </c>
      <c r="AC5" s="763">
        <f>'RB FORECAST'!AD8</f>
        <v>43355</v>
      </c>
      <c r="AD5" s="763">
        <f>'RB FORECAST'!AE8</f>
        <v>43385</v>
      </c>
      <c r="AE5" s="763">
        <f>'RB FORECAST'!AF8</f>
        <v>43415</v>
      </c>
      <c r="AF5" s="763">
        <f>'RB FORECAST'!AG8</f>
        <v>43445</v>
      </c>
      <c r="AG5" s="763">
        <f>'RB FORECAST'!AL8</f>
        <v>43475</v>
      </c>
      <c r="AH5" s="763">
        <f>'RB FORECAST'!AM8</f>
        <v>43505</v>
      </c>
      <c r="AI5" s="763">
        <f>'RB FORECAST'!AN8</f>
        <v>43535</v>
      </c>
      <c r="AJ5" s="763">
        <f>'RB FORECAST'!AO8</f>
        <v>43565</v>
      </c>
      <c r="AK5" s="763">
        <f>'RB FORECAST'!AP8</f>
        <v>43595</v>
      </c>
      <c r="AL5" s="763">
        <f>'RB FORECAST'!AQ8</f>
        <v>43625</v>
      </c>
      <c r="AM5" s="763">
        <f>'RB FORECAST'!AR8</f>
        <v>43655</v>
      </c>
      <c r="AN5" s="763">
        <f>'RB FORECAST'!AS8</f>
        <v>43685</v>
      </c>
      <c r="AO5" s="763">
        <f>'RB FORECAST'!AT8</f>
        <v>43715</v>
      </c>
      <c r="AP5" s="763">
        <f>'RB FORECAST'!AU8</f>
        <v>43745</v>
      </c>
      <c r="AQ5" s="763">
        <f>'RB FORECAST'!AV8</f>
        <v>43775</v>
      </c>
      <c r="AR5" s="763">
        <f>'RB FORECAST'!AW8</f>
        <v>43805</v>
      </c>
      <c r="AS5" s="24"/>
      <c r="AT5" s="24">
        <v>2017</v>
      </c>
      <c r="AU5" s="24">
        <v>2018</v>
      </c>
    </row>
    <row r="6" spans="1:48">
      <c r="B6" s="439" t="s">
        <v>520</v>
      </c>
      <c r="C6" s="441"/>
      <c r="D6" s="441"/>
      <c r="E6" s="441"/>
      <c r="F6" s="441"/>
      <c r="G6" s="441"/>
    </row>
    <row r="7" spans="1:48" ht="15">
      <c r="A7" s="15">
        <v>1</v>
      </c>
      <c r="B7" s="429" t="s">
        <v>1545</v>
      </c>
      <c r="C7" s="441">
        <v>-761775981.16999972</v>
      </c>
      <c r="D7" s="441">
        <v>-744286183.31999981</v>
      </c>
      <c r="E7" s="441">
        <v>-779292414.04999983</v>
      </c>
      <c r="F7" s="441">
        <v>-811193246.86999977</v>
      </c>
      <c r="G7" s="441">
        <f>F20</f>
        <v>-736648017.28999972</v>
      </c>
      <c r="H7" s="441">
        <f>G20</f>
        <v>-744926548.90999973</v>
      </c>
      <c r="I7" s="441">
        <f ca="1">H20</f>
        <v>-781490139.96159339</v>
      </c>
      <c r="P7" s="15" t="s">
        <v>217</v>
      </c>
      <c r="U7" s="1564"/>
      <c r="V7" s="1564"/>
      <c r="W7" s="1564"/>
    </row>
    <row r="8" spans="1:48" ht="15">
      <c r="A8" s="15">
        <f>A7+1</f>
        <v>2</v>
      </c>
      <c r="B8" s="429" t="s">
        <v>1071</v>
      </c>
      <c r="C8" s="441">
        <v>15194515.880000001</v>
      </c>
      <c r="D8" s="441">
        <v>12409574.74</v>
      </c>
      <c r="E8" s="441">
        <v>20536384.940000001</v>
      </c>
      <c r="F8" s="441">
        <v>19280529.110000007</v>
      </c>
      <c r="G8" s="441">
        <v>53761996.999999985</v>
      </c>
      <c r="H8" s="441">
        <f>-'101_106 PROJECTION'!K41</f>
        <v>30858442.259999998</v>
      </c>
      <c r="I8" s="441">
        <f>-'101_106 PROJECTION'!Q41</f>
        <v>30217493.859999999</v>
      </c>
      <c r="O8" s="15" t="s">
        <v>204</v>
      </c>
      <c r="P8" s="15" t="s">
        <v>298</v>
      </c>
      <c r="T8" s="15" t="s">
        <v>1116</v>
      </c>
      <c r="U8" s="1271"/>
      <c r="V8" s="1271"/>
      <c r="W8" s="1271"/>
    </row>
    <row r="9" spans="1:48" ht="15">
      <c r="A9" s="15">
        <f t="shared" ref="A9:A16" si="0">A8+1</f>
        <v>3</v>
      </c>
      <c r="B9" s="429" t="s">
        <v>1108</v>
      </c>
      <c r="C9" s="441">
        <v>-111102.34</v>
      </c>
      <c r="D9" s="441">
        <v>-81234.81</v>
      </c>
      <c r="E9" s="441">
        <v>-747647.04999999993</v>
      </c>
      <c r="F9" s="441">
        <v>-8195805.5499999998</v>
      </c>
      <c r="G9" s="441">
        <v>-355518</v>
      </c>
      <c r="I9" s="441"/>
      <c r="Q9" s="15" t="s">
        <v>217</v>
      </c>
      <c r="S9" s="15" t="s">
        <v>1385</v>
      </c>
      <c r="T9" s="15" t="s">
        <v>1271</v>
      </c>
      <c r="U9" s="1271"/>
      <c r="V9" s="1271"/>
      <c r="W9" s="1271"/>
    </row>
    <row r="10" spans="1:48" ht="15">
      <c r="A10" s="15">
        <f t="shared" si="0"/>
        <v>4</v>
      </c>
      <c r="B10" s="429" t="s">
        <v>39</v>
      </c>
      <c r="C10" s="441">
        <v>0</v>
      </c>
      <c r="D10" s="441"/>
      <c r="E10" s="441">
        <v>-3853095.71</v>
      </c>
      <c r="F10" s="441"/>
      <c r="G10" s="441"/>
      <c r="I10" s="441"/>
      <c r="N10" s="15">
        <v>1</v>
      </c>
      <c r="P10" s="15" t="s">
        <v>218</v>
      </c>
      <c r="Q10" s="15" t="s">
        <v>219</v>
      </c>
      <c r="U10" s="1272"/>
      <c r="V10" s="1272"/>
      <c r="W10" s="1272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</row>
    <row r="11" spans="1:48">
      <c r="A11" s="15">
        <f t="shared" si="0"/>
        <v>5</v>
      </c>
      <c r="B11" s="429" t="s">
        <v>1107</v>
      </c>
      <c r="C11" s="441">
        <v>55</v>
      </c>
      <c r="D11" s="441">
        <v>133901.13</v>
      </c>
      <c r="E11" s="441">
        <v>5218.1900000000005</v>
      </c>
      <c r="F11" s="441">
        <v>148372.64000000001</v>
      </c>
      <c r="G11" s="441">
        <v>10969.68</v>
      </c>
      <c r="I11" s="441"/>
      <c r="N11" s="15">
        <f>N10+1</f>
        <v>2</v>
      </c>
      <c r="Q11" s="15" t="s">
        <v>592</v>
      </c>
      <c r="S11" s="460"/>
      <c r="U11" s="116">
        <f>'RB FORECAST'!V17*($T11/12)</f>
        <v>0</v>
      </c>
      <c r="V11" s="116">
        <f>'RB FORECAST'!W17*($T11/12)</f>
        <v>0</v>
      </c>
      <c r="W11" s="116">
        <f>'RB FORECAST'!X17*($T11/12)</f>
        <v>0</v>
      </c>
      <c r="X11" s="116">
        <f>'RB FORECAST'!Y17*($T11/12)</f>
        <v>0</v>
      </c>
      <c r="Y11" s="116">
        <f>'RB FORECAST'!Z17*($T11/12)</f>
        <v>0</v>
      </c>
      <c r="Z11" s="116">
        <f>'RB FORECAST'!AA17*($T11/12)</f>
        <v>0</v>
      </c>
      <c r="AA11" s="116">
        <f>'RB FORECAST'!AB17*($T11/12)</f>
        <v>0</v>
      </c>
      <c r="AB11" s="116">
        <f>'RB FORECAST'!AC17*($T11/12)</f>
        <v>0</v>
      </c>
      <c r="AC11" s="116">
        <f>'RB FORECAST'!AD17*($T11/12)</f>
        <v>0</v>
      </c>
      <c r="AD11" s="116">
        <f>'RB FORECAST'!AE17*($T11/12)</f>
        <v>0</v>
      </c>
      <c r="AE11" s="116">
        <f>'RB FORECAST'!AF17*($T11/12)</f>
        <v>0</v>
      </c>
      <c r="AF11" s="116">
        <f>'RB FORECAST'!AG17*($T11/12)</f>
        <v>0</v>
      </c>
      <c r="AG11" s="116">
        <f>'RB FORECAST'!AL17*($T11/12)</f>
        <v>0</v>
      </c>
      <c r="AH11" s="116">
        <f>'RB FORECAST'!AM17*($T11/12)</f>
        <v>0</v>
      </c>
      <c r="AI11" s="116">
        <f>'RB FORECAST'!AN17*($T11/12)</f>
        <v>0</v>
      </c>
      <c r="AJ11" s="116">
        <f>'RB FORECAST'!AO17*($T11/12)</f>
        <v>0</v>
      </c>
      <c r="AK11" s="116">
        <f>'RB FORECAST'!AP17*($T11/12)</f>
        <v>0</v>
      </c>
      <c r="AL11" s="116">
        <f>'RB FORECAST'!AQ17*($T11/12)</f>
        <v>0</v>
      </c>
      <c r="AM11" s="116">
        <f>'RB FORECAST'!AR17*($T11/12)</f>
        <v>0</v>
      </c>
      <c r="AN11" s="116">
        <f>'RB FORECAST'!AS17*($T11/12)</f>
        <v>0</v>
      </c>
      <c r="AO11" s="116">
        <f>'RB FORECAST'!AT17*($T11/12)</f>
        <v>0</v>
      </c>
      <c r="AP11" s="116">
        <f>'RB FORECAST'!AU17*($T11/12)</f>
        <v>0</v>
      </c>
      <c r="AQ11" s="116">
        <f>'RB FORECAST'!AV17*($T11/12)</f>
        <v>0</v>
      </c>
      <c r="AR11" s="116">
        <f>'RB FORECAST'!AW17*($T11/12)</f>
        <v>0</v>
      </c>
      <c r="AS11" s="116"/>
      <c r="AT11" s="30">
        <f>SUM(U11:AF11)</f>
        <v>0</v>
      </c>
      <c r="AU11" s="30">
        <f>SUM(AG11:AR11)</f>
        <v>0</v>
      </c>
      <c r="AV11" s="30">
        <f>AU11-AT11</f>
        <v>0</v>
      </c>
    </row>
    <row r="12" spans="1:48">
      <c r="A12" s="15">
        <f t="shared" si="0"/>
        <v>6</v>
      </c>
      <c r="B12" s="429" t="s">
        <v>1106</v>
      </c>
      <c r="C12" s="441">
        <v>0</v>
      </c>
      <c r="D12" s="441">
        <v>-5947.2</v>
      </c>
      <c r="E12" s="441">
        <v>-18036.330000000002</v>
      </c>
      <c r="F12" s="441">
        <v>0</v>
      </c>
      <c r="G12" s="441">
        <v>-4444.3500000000004</v>
      </c>
      <c r="I12" s="441"/>
      <c r="N12" s="15">
        <f t="shared" ref="N12:N75" si="1">N11+1</f>
        <v>3</v>
      </c>
      <c r="Q12" s="15" t="s">
        <v>593</v>
      </c>
      <c r="U12" s="116">
        <f>'RB FORECAST'!V18*($T12/12)</f>
        <v>0</v>
      </c>
      <c r="V12" s="116">
        <f>'RB FORECAST'!W18*($T12/12)</f>
        <v>0</v>
      </c>
      <c r="W12" s="116">
        <f>'RB FORECAST'!X18*($T12/12)</f>
        <v>0</v>
      </c>
      <c r="X12" s="116">
        <f>'RB FORECAST'!Y18*($T12/12)</f>
        <v>0</v>
      </c>
      <c r="Y12" s="116">
        <f>'RB FORECAST'!Z18*($T12/12)</f>
        <v>0</v>
      </c>
      <c r="Z12" s="116">
        <f>'RB FORECAST'!AA18*($T12/12)</f>
        <v>0</v>
      </c>
      <c r="AA12" s="116">
        <f>'RB FORECAST'!AB18*($T12/12)</f>
        <v>0</v>
      </c>
      <c r="AB12" s="116">
        <f>'RB FORECAST'!AC18*($T12/12)</f>
        <v>0</v>
      </c>
      <c r="AC12" s="116">
        <f>'RB FORECAST'!AD18*($T12/12)</f>
        <v>0</v>
      </c>
      <c r="AD12" s="116">
        <f>'RB FORECAST'!AE18*($T12/12)</f>
        <v>0</v>
      </c>
      <c r="AE12" s="116">
        <f>'RB FORECAST'!AF18*($T12/12)</f>
        <v>0</v>
      </c>
      <c r="AF12" s="116">
        <f>'RB FORECAST'!AG18*($T12/12)</f>
        <v>0</v>
      </c>
      <c r="AG12" s="116">
        <f>'RB FORECAST'!AL18*($T12/12)</f>
        <v>0</v>
      </c>
      <c r="AH12" s="116">
        <f>'RB FORECAST'!AM18*($T12/12)</f>
        <v>0</v>
      </c>
      <c r="AI12" s="116">
        <f>'RB FORECAST'!AN18*($T12/12)</f>
        <v>0</v>
      </c>
      <c r="AJ12" s="116">
        <f>'RB FORECAST'!AO18*($T12/12)</f>
        <v>0</v>
      </c>
      <c r="AK12" s="116">
        <f>'RB FORECAST'!AP18*($T12/12)</f>
        <v>0</v>
      </c>
      <c r="AL12" s="116">
        <f>'RB FORECAST'!AQ18*($T12/12)</f>
        <v>0</v>
      </c>
      <c r="AM12" s="116">
        <f>'RB FORECAST'!AR18*($T12/12)</f>
        <v>0</v>
      </c>
      <c r="AN12" s="116">
        <f>'RB FORECAST'!AS18*($T12/12)</f>
        <v>0</v>
      </c>
      <c r="AO12" s="116">
        <f>'RB FORECAST'!AT18*($T12/12)</f>
        <v>0</v>
      </c>
      <c r="AP12" s="116">
        <f>'RB FORECAST'!AU18*($T12/12)</f>
        <v>0</v>
      </c>
      <c r="AQ12" s="116">
        <f>'RB FORECAST'!AV18*($T12/12)</f>
        <v>0</v>
      </c>
      <c r="AR12" s="116">
        <f>'RB FORECAST'!AW18*($T12/12)</f>
        <v>0</v>
      </c>
      <c r="AS12" s="116"/>
      <c r="AT12" s="30">
        <f t="shared" ref="AT12:AT14" si="2">SUM(U12:AF12)</f>
        <v>0</v>
      </c>
      <c r="AU12" s="30">
        <f t="shared" ref="AU12:AU14" si="3">SUM(AG12:AR12)</f>
        <v>0</v>
      </c>
      <c r="AV12" s="30">
        <f t="shared" ref="AV12:AV14" si="4">AU12-AT12</f>
        <v>0</v>
      </c>
    </row>
    <row r="13" spans="1:48">
      <c r="A13" s="15">
        <f t="shared" si="0"/>
        <v>7</v>
      </c>
      <c r="B13" s="429" t="s">
        <v>1105</v>
      </c>
      <c r="C13" s="441">
        <v>-266592.27</v>
      </c>
      <c r="D13" s="441">
        <v>-860654.6</v>
      </c>
      <c r="E13" s="441">
        <v>-445427.23</v>
      </c>
      <c r="F13" s="441">
        <v>-471928.96</v>
      </c>
      <c r="G13" s="441">
        <v>-689374.73</v>
      </c>
      <c r="H13" s="441">
        <f>H8*G28</f>
        <v>-529833.19388793712</v>
      </c>
      <c r="I13" s="441">
        <f>I8*H28</f>
        <v>-491832.93675690383</v>
      </c>
      <c r="N13" s="15">
        <f t="shared" si="1"/>
        <v>4</v>
      </c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1312"/>
      <c r="AT13" s="30"/>
      <c r="AU13" s="30"/>
      <c r="AV13" s="30"/>
    </row>
    <row r="14" spans="1:48">
      <c r="A14" s="15">
        <f t="shared" si="0"/>
        <v>8</v>
      </c>
      <c r="B14" s="429" t="s">
        <v>1104</v>
      </c>
      <c r="C14" s="441">
        <v>3901140.06</v>
      </c>
      <c r="D14" s="441">
        <v>3397062.02</v>
      </c>
      <c r="E14" s="441">
        <v>3921990.63</v>
      </c>
      <c r="F14" s="441">
        <v>4492517.87</v>
      </c>
      <c r="G14" s="441">
        <v>5488278.8700000001</v>
      </c>
      <c r="H14" s="441">
        <f>H8*G29</f>
        <v>4584562.4457093133</v>
      </c>
      <c r="I14" s="441">
        <f>I8*H29</f>
        <v>4236039.939450141</v>
      </c>
      <c r="N14" s="15">
        <f t="shared" si="1"/>
        <v>5</v>
      </c>
      <c r="Q14" s="15" t="s">
        <v>220</v>
      </c>
      <c r="T14" s="1223">
        <v>0</v>
      </c>
      <c r="U14" s="116">
        <f t="shared" ref="U14:W14" si="5">SUM(U11:U12)</f>
        <v>0</v>
      </c>
      <c r="V14" s="116">
        <f t="shared" si="5"/>
        <v>0</v>
      </c>
      <c r="W14" s="116">
        <f t="shared" si="5"/>
        <v>0</v>
      </c>
      <c r="X14" s="116">
        <f t="shared" ref="X14:AF14" si="6">SUM(X11:X12)</f>
        <v>0</v>
      </c>
      <c r="Y14" s="116">
        <f t="shared" si="6"/>
        <v>0</v>
      </c>
      <c r="Z14" s="116">
        <f t="shared" si="6"/>
        <v>0</v>
      </c>
      <c r="AA14" s="116">
        <f t="shared" si="6"/>
        <v>0</v>
      </c>
      <c r="AB14" s="116">
        <f t="shared" si="6"/>
        <v>0</v>
      </c>
      <c r="AC14" s="116">
        <f t="shared" si="6"/>
        <v>0</v>
      </c>
      <c r="AD14" s="116">
        <f t="shared" si="6"/>
        <v>0</v>
      </c>
      <c r="AE14" s="116">
        <f t="shared" si="6"/>
        <v>0</v>
      </c>
      <c r="AF14" s="116">
        <f t="shared" si="6"/>
        <v>0</v>
      </c>
      <c r="AG14" s="116">
        <f t="shared" ref="AG14" si="7">SUM(AG11:AG12)</f>
        <v>0</v>
      </c>
      <c r="AH14" s="116">
        <f t="shared" ref="AH14:AR14" si="8">SUM(AH11:AH12)</f>
        <v>0</v>
      </c>
      <c r="AI14" s="116">
        <f t="shared" si="8"/>
        <v>0</v>
      </c>
      <c r="AJ14" s="116">
        <f t="shared" si="8"/>
        <v>0</v>
      </c>
      <c r="AK14" s="116">
        <f t="shared" si="8"/>
        <v>0</v>
      </c>
      <c r="AL14" s="116">
        <f t="shared" si="8"/>
        <v>0</v>
      </c>
      <c r="AM14" s="116">
        <f t="shared" si="8"/>
        <v>0</v>
      </c>
      <c r="AN14" s="116">
        <f t="shared" si="8"/>
        <v>0</v>
      </c>
      <c r="AO14" s="116">
        <f t="shared" si="8"/>
        <v>0</v>
      </c>
      <c r="AP14" s="116">
        <f t="shared" si="8"/>
        <v>0</v>
      </c>
      <c r="AQ14" s="116">
        <f t="shared" si="8"/>
        <v>0</v>
      </c>
      <c r="AR14" s="116">
        <f t="shared" si="8"/>
        <v>0</v>
      </c>
      <c r="AS14" s="116"/>
      <c r="AT14" s="30">
        <f t="shared" si="2"/>
        <v>0</v>
      </c>
      <c r="AU14" s="30">
        <f t="shared" si="3"/>
        <v>0</v>
      </c>
      <c r="AV14" s="30">
        <f t="shared" si="4"/>
        <v>0</v>
      </c>
    </row>
    <row r="15" spans="1:48">
      <c r="A15" s="15">
        <f t="shared" si="0"/>
        <v>9</v>
      </c>
      <c r="B15" s="429" t="s">
        <v>1115</v>
      </c>
      <c r="C15" s="441">
        <v>-49683324.720000006</v>
      </c>
      <c r="D15" s="441">
        <v>-53526546.050000004</v>
      </c>
      <c r="E15" s="441">
        <v>-55107902.289999999</v>
      </c>
      <c r="F15" s="441">
        <v>-60986810.549999997</v>
      </c>
      <c r="G15" s="441">
        <v>-66734933.770000003</v>
      </c>
      <c r="H15" s="441">
        <f ca="1">SUM(U166:AF166)</f>
        <v>-69465527.490367025</v>
      </c>
      <c r="I15" s="441">
        <f ca="1">SUM(AG166:AR166)</f>
        <v>-74334205.204631254</v>
      </c>
      <c r="N15" s="15">
        <f t="shared" si="1"/>
        <v>6</v>
      </c>
      <c r="S15" s="101"/>
      <c r="T15" s="1"/>
    </row>
    <row r="16" spans="1:48" ht="13.5" thickBot="1">
      <c r="A16" s="15">
        <f t="shared" si="0"/>
        <v>10</v>
      </c>
      <c r="B16" s="429" t="s">
        <v>1114</v>
      </c>
      <c r="C16" s="440">
        <v>-4234763.76</v>
      </c>
      <c r="D16" s="440">
        <v>-4472430.96</v>
      </c>
      <c r="E16" s="440">
        <v>-4682399.97</v>
      </c>
      <c r="F16" s="440">
        <v>-5163454.8199999994</v>
      </c>
      <c r="G16" s="440">
        <v>-5404268.0599999996</v>
      </c>
      <c r="H16" s="440">
        <f ca="1">SUM(U167:AF167)</f>
        <v>-5601080.7423028396</v>
      </c>
      <c r="I16" s="440">
        <f ca="1">SUM(AG167:AR167)</f>
        <v>-5745513.2405786794</v>
      </c>
      <c r="J16" s="282"/>
      <c r="N16" s="15">
        <f t="shared" si="1"/>
        <v>7</v>
      </c>
      <c r="Q16" s="15" t="s">
        <v>221</v>
      </c>
      <c r="S16" s="101"/>
      <c r="T16" s="1"/>
    </row>
    <row r="17" spans="1:48" ht="13.5" thickTop="1">
      <c r="C17" s="304"/>
      <c r="D17" s="304"/>
      <c r="E17" s="304"/>
      <c r="F17" s="304"/>
      <c r="G17" s="304"/>
      <c r="H17" s="304"/>
      <c r="I17" s="304"/>
      <c r="N17" s="15">
        <f t="shared" si="1"/>
        <v>8</v>
      </c>
      <c r="P17" s="15" t="s">
        <v>222</v>
      </c>
      <c r="Q17" s="15" t="s">
        <v>223</v>
      </c>
      <c r="S17" s="101"/>
      <c r="T17" s="1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</row>
    <row r="18" spans="1:48">
      <c r="A18" s="15">
        <f>A16+1</f>
        <v>11</v>
      </c>
      <c r="B18" s="1220" t="s">
        <v>1270</v>
      </c>
      <c r="C18" s="304">
        <v>52689870</v>
      </c>
      <c r="D18" s="304">
        <v>8000045</v>
      </c>
      <c r="E18" s="304">
        <v>8490082</v>
      </c>
      <c r="F18" s="304">
        <v>125441809.84</v>
      </c>
      <c r="G18" s="304">
        <v>5648761.7400000002</v>
      </c>
      <c r="H18" s="441">
        <f ca="1">SUM(U169:AF169)</f>
        <v>3589845.669254927</v>
      </c>
      <c r="I18" s="441">
        <f ca="1">SUM(AG169:AR169)</f>
        <v>2547793.1629230198</v>
      </c>
      <c r="N18" s="15">
        <f t="shared" si="1"/>
        <v>9</v>
      </c>
      <c r="P18" s="15" t="s">
        <v>224</v>
      </c>
      <c r="Q18" s="15" t="s">
        <v>225</v>
      </c>
      <c r="S18" s="101"/>
      <c r="T18" s="1221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</row>
    <row r="19" spans="1:48">
      <c r="C19" s="304"/>
      <c r="D19" s="304"/>
      <c r="E19" s="304"/>
      <c r="F19" s="304"/>
      <c r="G19" s="304"/>
      <c r="H19" s="304"/>
      <c r="I19" s="304"/>
      <c r="N19" s="15">
        <f t="shared" si="1"/>
        <v>10</v>
      </c>
      <c r="P19" s="15" t="s">
        <v>226</v>
      </c>
      <c r="Q19" s="15" t="s">
        <v>227</v>
      </c>
      <c r="S19" s="101"/>
      <c r="T19" s="1221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</row>
    <row r="20" spans="1:48">
      <c r="A20" s="15">
        <f>A18+1</f>
        <v>12</v>
      </c>
      <c r="B20" s="439" t="s">
        <v>1546</v>
      </c>
      <c r="C20" s="438">
        <v>-761775981.16999972</v>
      </c>
      <c r="D20" s="438">
        <f>SUM(D7:D19)</f>
        <v>-779292414.04999983</v>
      </c>
      <c r="E20" s="438">
        <f t="shared" ref="E20:I20" si="9">SUM(E7:E19)</f>
        <v>-811193246.86999977</v>
      </c>
      <c r="F20" s="438">
        <f>SUM(F7:F19)</f>
        <v>-736648017.28999972</v>
      </c>
      <c r="G20" s="438">
        <f t="shared" si="9"/>
        <v>-744926548.90999973</v>
      </c>
      <c r="H20" s="438">
        <f ca="1">SUM(H7:H19)</f>
        <v>-781490139.96159339</v>
      </c>
      <c r="I20" s="438">
        <f t="shared" ca="1" si="9"/>
        <v>-825060364.38118696</v>
      </c>
      <c r="N20" s="15">
        <f t="shared" si="1"/>
        <v>11</v>
      </c>
      <c r="P20" s="15" t="s">
        <v>228</v>
      </c>
      <c r="Q20" s="15" t="s">
        <v>229</v>
      </c>
      <c r="S20" s="101"/>
      <c r="T20" s="1221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</row>
    <row r="21" spans="1:48">
      <c r="E21" s="437"/>
      <c r="F21" s="437"/>
      <c r="G21" s="437"/>
      <c r="N21" s="15">
        <f t="shared" si="1"/>
        <v>12</v>
      </c>
      <c r="P21" s="15" t="s">
        <v>230</v>
      </c>
      <c r="Q21" s="15" t="s">
        <v>231</v>
      </c>
      <c r="S21" s="101"/>
      <c r="T21" s="1221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</row>
    <row r="22" spans="1:48">
      <c r="A22" s="15">
        <v>13</v>
      </c>
      <c r="B22" s="439" t="s">
        <v>1291</v>
      </c>
      <c r="C22" s="441">
        <v>-52689870</v>
      </c>
      <c r="D22" s="1273">
        <f t="shared" ref="D22:I22" si="10">C22-D18</f>
        <v>-60689915</v>
      </c>
      <c r="E22" s="1273">
        <f t="shared" si="10"/>
        <v>-69179997</v>
      </c>
      <c r="F22" s="1273">
        <f>E22-F18</f>
        <v>-194621806.84</v>
      </c>
      <c r="G22" s="1273">
        <f t="shared" si="10"/>
        <v>-200270568.58000001</v>
      </c>
      <c r="H22" s="1273">
        <f t="shared" ca="1" si="10"/>
        <v>-203860414.24925494</v>
      </c>
      <c r="I22" s="1273">
        <f t="shared" ca="1" si="10"/>
        <v>-206408207.41217795</v>
      </c>
      <c r="N22" s="15">
        <f t="shared" si="1"/>
        <v>13</v>
      </c>
      <c r="S22" s="101"/>
      <c r="T22" s="1221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</row>
    <row r="23" spans="1:48">
      <c r="E23" s="437"/>
      <c r="F23" s="437"/>
      <c r="G23" s="437"/>
      <c r="H23" s="282"/>
      <c r="N23" s="15">
        <f t="shared" si="1"/>
        <v>14</v>
      </c>
      <c r="S23" s="101"/>
      <c r="T23" s="1221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</row>
    <row r="24" spans="1:48">
      <c r="A24" s="15">
        <v>14</v>
      </c>
      <c r="B24" s="429" t="s">
        <v>1102</v>
      </c>
      <c r="C24" s="437">
        <v>-51348752.550000004</v>
      </c>
      <c r="D24" s="437">
        <f t="shared" ref="D24:I24" si="11">SUM(D15:D16)</f>
        <v>-57998977.010000005</v>
      </c>
      <c r="E24" s="437">
        <f>SUM(E15:E16)</f>
        <v>-59790302.259999998</v>
      </c>
      <c r="F24" s="437">
        <f>SUM(F15:F16)</f>
        <v>-66150265.369999997</v>
      </c>
      <c r="G24" s="437">
        <f t="shared" si="11"/>
        <v>-72139201.829999998</v>
      </c>
      <c r="H24" s="437">
        <f ca="1">SUM(H15:H16)</f>
        <v>-75066608.23266986</v>
      </c>
      <c r="I24" s="437">
        <f t="shared" ca="1" si="11"/>
        <v>-80079718.445209935</v>
      </c>
      <c r="N24" s="15">
        <f t="shared" si="1"/>
        <v>15</v>
      </c>
      <c r="P24" s="15" t="s">
        <v>232</v>
      </c>
      <c r="Q24" s="15" t="s">
        <v>233</v>
      </c>
      <c r="S24" s="101"/>
      <c r="T24" s="1221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</row>
    <row r="25" spans="1:48">
      <c r="D25" s="437"/>
      <c r="E25" s="437"/>
      <c r="F25" s="437"/>
      <c r="G25" s="437"/>
      <c r="H25" s="437"/>
      <c r="I25" s="437"/>
      <c r="N25" s="15">
        <f t="shared" si="1"/>
        <v>16</v>
      </c>
      <c r="P25" s="15" t="s">
        <v>234</v>
      </c>
      <c r="Q25" s="15" t="s">
        <v>235</v>
      </c>
      <c r="S25" s="101"/>
      <c r="T25" s="1221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</row>
    <row r="26" spans="1:48">
      <c r="B26" s="429" t="s">
        <v>1180</v>
      </c>
      <c r="D26" s="503"/>
      <c r="E26" s="518">
        <f>+E20-E18</f>
        <v>-819683328.86999977</v>
      </c>
      <c r="F26" s="518">
        <f t="shared" ref="F26:I26" si="12">+F20-F18</f>
        <v>-862089827.12999976</v>
      </c>
      <c r="G26" s="518">
        <f>+G20-G18</f>
        <v>-750575310.64999974</v>
      </c>
      <c r="H26" s="518">
        <f t="shared" ca="1" si="12"/>
        <v>-785079985.63084829</v>
      </c>
      <c r="I26" s="518">
        <f t="shared" ca="1" si="12"/>
        <v>-827608157.54410994</v>
      </c>
      <c r="J26" s="756"/>
      <c r="N26" s="15">
        <f t="shared" si="1"/>
        <v>17</v>
      </c>
      <c r="S26" s="101"/>
      <c r="T26" s="1221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1312"/>
    </row>
    <row r="27" spans="1:48">
      <c r="C27" s="503"/>
      <c r="D27" s="503"/>
      <c r="E27" s="503"/>
      <c r="F27" s="503"/>
      <c r="G27" s="503"/>
      <c r="H27" s="518"/>
      <c r="I27" s="441"/>
      <c r="N27" s="15">
        <f t="shared" si="1"/>
        <v>18</v>
      </c>
      <c r="Q27" s="15" t="s">
        <v>236</v>
      </c>
      <c r="S27" s="101"/>
      <c r="T27" s="1221"/>
      <c r="U27" s="254">
        <f>'RB FORECAST'!V31*($T27/12)</f>
        <v>0</v>
      </c>
      <c r="V27" s="254">
        <f>'RB FORECAST'!W31*($T27/12)</f>
        <v>0</v>
      </c>
      <c r="W27" s="254">
        <f>'RB FORECAST'!X31*($T27/12)</f>
        <v>0</v>
      </c>
      <c r="X27" s="254">
        <f>'RB FORECAST'!Y31*($T27/12)</f>
        <v>0</v>
      </c>
      <c r="Y27" s="254">
        <f>'RB FORECAST'!Z31*($T27/12)</f>
        <v>0</v>
      </c>
      <c r="Z27" s="254">
        <f>'RB FORECAST'!AA31*($T27/12)</f>
        <v>0</v>
      </c>
      <c r="AA27" s="254">
        <f>'RB FORECAST'!AB31*($T27/12)</f>
        <v>0</v>
      </c>
      <c r="AB27" s="254">
        <f>'RB FORECAST'!AC31*($T27/12)</f>
        <v>0</v>
      </c>
      <c r="AC27" s="254">
        <f>'RB FORECAST'!AD31*($T27/12)</f>
        <v>0</v>
      </c>
      <c r="AD27" s="254">
        <f>'RB FORECAST'!AE31*($T27/12)</f>
        <v>0</v>
      </c>
      <c r="AE27" s="254">
        <f>'RB FORECAST'!AF31*($T27/12)</f>
        <v>0</v>
      </c>
      <c r="AF27" s="254">
        <f>'RB FORECAST'!AG31*($T27/12)</f>
        <v>0</v>
      </c>
      <c r="AG27" s="254">
        <f>'RB FORECAST'!AL31*($T27/12)</f>
        <v>0</v>
      </c>
      <c r="AH27" s="254">
        <f>'RB FORECAST'!AM31*($T27/12)</f>
        <v>0</v>
      </c>
      <c r="AI27" s="254">
        <f>'RB FORECAST'!AN31*($T27/12)</f>
        <v>0</v>
      </c>
      <c r="AJ27" s="254">
        <f>'RB FORECAST'!AO31*($T27/12)</f>
        <v>0</v>
      </c>
      <c r="AK27" s="254">
        <f>'RB FORECAST'!AP31*($T27/12)</f>
        <v>0</v>
      </c>
      <c r="AL27" s="254">
        <f>'RB FORECAST'!AQ31*($T27/12)</f>
        <v>0</v>
      </c>
      <c r="AM27" s="254">
        <f>'RB FORECAST'!AR31*($T27/12)</f>
        <v>0</v>
      </c>
      <c r="AN27" s="254">
        <f>'RB FORECAST'!AS31*($T27/12)</f>
        <v>0</v>
      </c>
      <c r="AO27" s="254">
        <f>'RB FORECAST'!AT31*($T27/12)</f>
        <v>0</v>
      </c>
      <c r="AP27" s="254">
        <f>'RB FORECAST'!AU31*($T27/12)</f>
        <v>0</v>
      </c>
      <c r="AQ27" s="254">
        <f>'RB FORECAST'!AV31*($T27/12)</f>
        <v>0</v>
      </c>
      <c r="AR27" s="254">
        <f>'RB FORECAST'!AW31*($T27/12)</f>
        <v>0</v>
      </c>
      <c r="AS27" s="254"/>
    </row>
    <row r="28" spans="1:48">
      <c r="B28" s="429" t="s">
        <v>1179</v>
      </c>
      <c r="D28" s="503"/>
      <c r="E28" s="503">
        <f>AVERAGE(C13:E13)/AVERAGE(C8:E8)</f>
        <v>-3.2668437145783775E-2</v>
      </c>
      <c r="F28" s="503">
        <f>AVERAGE(D13:F13)/AVERAGE(D8:F8)</f>
        <v>-3.404423370579801E-2</v>
      </c>
      <c r="G28" s="503">
        <f>AVERAGE(E13:G13)/AVERAGE(E8:G8)</f>
        <v>-1.7169797147366998E-2</v>
      </c>
      <c r="H28" s="503">
        <f>AVERAGE(F13:H13)/AVERAGE(F8:H8)</f>
        <v>-1.6276430435813245E-2</v>
      </c>
      <c r="I28" s="503">
        <f>AVERAGE(G13:I13)/AVERAGE(G8:I8)</f>
        <v>-1.4899613865889481E-2</v>
      </c>
      <c r="N28" s="15">
        <f t="shared" si="1"/>
        <v>19</v>
      </c>
      <c r="S28" s="101"/>
      <c r="T28" s="1221"/>
    </row>
    <row r="29" spans="1:48">
      <c r="B29" s="429" t="s">
        <v>1178</v>
      </c>
      <c r="D29" s="503"/>
      <c r="E29" s="503">
        <f>AVERAGE(C14:E14)/AVERAGE(C8:E8)</f>
        <v>0.23307191255341225</v>
      </c>
      <c r="F29" s="503">
        <f>AVERAGE(D14:F14)/AVERAGE(D8:F8)</f>
        <v>0.22616053258900309</v>
      </c>
      <c r="G29" s="503">
        <f>AVERAGE(E14:G14)/AVERAGE(E8:G8)</f>
        <v>0.14856752674298193</v>
      </c>
      <c r="H29" s="503">
        <f>AVERAGE(F14:H14)/AVERAGE(F8:H8)</f>
        <v>0.14018501862120147</v>
      </c>
      <c r="I29" s="503">
        <f>AVERAGE(G14:I14)/AVERAGE(G8:I8)</f>
        <v>0.12460065125177215</v>
      </c>
      <c r="N29" s="15">
        <f t="shared" si="1"/>
        <v>20</v>
      </c>
      <c r="Q29" s="15" t="s">
        <v>237</v>
      </c>
      <c r="S29" s="101"/>
      <c r="T29" s="1221"/>
    </row>
    <row r="30" spans="1:48">
      <c r="C30" s="503"/>
      <c r="D30" s="503"/>
      <c r="E30" s="503"/>
      <c r="F30" s="503"/>
      <c r="G30" s="503"/>
      <c r="I30" s="437"/>
      <c r="N30" s="15">
        <f t="shared" si="1"/>
        <v>21</v>
      </c>
      <c r="P30" s="15" t="s">
        <v>238</v>
      </c>
      <c r="Q30" s="15" t="s">
        <v>223</v>
      </c>
      <c r="S30" s="1430"/>
      <c r="T30" s="1221"/>
      <c r="U30" s="1312"/>
      <c r="V30" s="1312"/>
      <c r="W30" s="1312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579"/>
      <c r="AR30" s="579"/>
      <c r="AS30" s="1312"/>
    </row>
    <row r="31" spans="1:48">
      <c r="G31" s="437"/>
      <c r="N31" s="15">
        <f t="shared" si="1"/>
        <v>22</v>
      </c>
      <c r="R31" s="15" t="s">
        <v>24</v>
      </c>
      <c r="S31" s="1430">
        <f>S33*('RB FORECAST'!R35/'RB FORECAST'!R37)</f>
        <v>135.06766966422992</v>
      </c>
      <c r="T31" s="1223">
        <f>T33</f>
        <v>1.3299999999999999E-2</v>
      </c>
      <c r="U31" s="116">
        <f>('RB FORECAST'!V35-$S31)*($T31/12)*'RB FORECAST'!$R$39</f>
        <v>101.57387997096775</v>
      </c>
      <c r="V31" s="116">
        <f>('RB FORECAST'!W35-$S31)*($T31/12)*'RB FORECAST'!$R$39</f>
        <v>101.57387997096775</v>
      </c>
      <c r="W31" s="116">
        <f>('RB FORECAST'!X35-$S31)*($T31/12)*'RB FORECAST'!$R$39</f>
        <v>101.56919362044125</v>
      </c>
      <c r="X31" s="116">
        <f>('RB FORECAST'!Y35-$S31)*($T31/12)*'RB FORECAST'!$R$39</f>
        <v>101.56513684411136</v>
      </c>
      <c r="Y31" s="116">
        <f>('RB FORECAST'!Z35-$S31)*($T31/12)*'RB FORECAST'!$R$39</f>
        <v>101.56513241992805</v>
      </c>
      <c r="Z31" s="116">
        <f>('RB FORECAST'!AA35-$S31)*($T31/12)*'RB FORECAST'!$R$39</f>
        <v>101.56513060534532</v>
      </c>
      <c r="AA31" s="116">
        <f>('RB FORECAST'!AB35-$S31)*($T31/12)*'RB FORECAST'!$R$39</f>
        <v>101.56513060534532</v>
      </c>
      <c r="AB31" s="116">
        <f>('RB FORECAST'!AC35-$S31)*($T31/12)*'RB FORECAST'!$R$39</f>
        <v>101.56509862852452</v>
      </c>
      <c r="AC31" s="116">
        <f>('RB FORECAST'!AD35-$S31)*($T31/12)*'RB FORECAST'!$R$39</f>
        <v>101.56509862852452</v>
      </c>
      <c r="AD31" s="116">
        <f>('RB FORECAST'!AE35-$S31)*($T31/12)*'RB FORECAST'!$R$39</f>
        <v>101.56509862852452</v>
      </c>
      <c r="AE31" s="116">
        <f>('RB FORECAST'!AF35-$S31)*($T31/12)*'RB FORECAST'!$R$39</f>
        <v>101.56508738925619</v>
      </c>
      <c r="AF31" s="116">
        <f>('RB FORECAST'!AG35-$S31)*($T31/12)*'RB FORECAST'!$R$39</f>
        <v>101.56508544320033</v>
      </c>
      <c r="AG31" s="116">
        <f>('RB FORECAST'!AL35-$S31)*($T31/12)*'RB FORECAST'!$R$39</f>
        <v>101.56508544320033</v>
      </c>
      <c r="AH31" s="116">
        <f>('RB FORECAST'!AM35-$S31)*($T31/12)*'RB FORECAST'!$R$39</f>
        <v>101.56508544320033</v>
      </c>
      <c r="AI31" s="116">
        <f>('RB FORECAST'!AN35-$S31)*($T31/12)*'RB FORECAST'!$R$39</f>
        <v>101.56508544320033</v>
      </c>
      <c r="AJ31" s="116">
        <f>('RB FORECAST'!AO35-$S31)*($T31/12)*'RB FORECAST'!$R$39</f>
        <v>101.56508544320033</v>
      </c>
      <c r="AK31" s="116">
        <f>('RB FORECAST'!AP35-$S31)*($T31/12)*'RB FORECAST'!$R$39</f>
        <v>101.56508544320033</v>
      </c>
      <c r="AL31" s="116">
        <f>('RB FORECAST'!AQ35-$S31)*($T31/12)*'RB FORECAST'!$R$39</f>
        <v>101.56508544320033</v>
      </c>
      <c r="AM31" s="116">
        <f>('RB FORECAST'!AR35-$S31)*($T31/12)*'RB FORECAST'!$R$39</f>
        <v>101.56508544320033</v>
      </c>
      <c r="AN31" s="116">
        <f>('RB FORECAST'!AS35-$S31)*($T31/12)*'RB FORECAST'!$R$39</f>
        <v>101.56508544320033</v>
      </c>
      <c r="AO31" s="116">
        <f>('RB FORECAST'!AT35-$S31)*($T31/12)*'RB FORECAST'!$R$39</f>
        <v>101.56508544320033</v>
      </c>
      <c r="AP31" s="116">
        <f>('RB FORECAST'!AU35-$S31)*($T31/12)*'RB FORECAST'!$R$39</f>
        <v>101.56508544320033</v>
      </c>
      <c r="AQ31" s="116">
        <f>('RB FORECAST'!AV35-$S31)*($T31/12)*'RB FORECAST'!$R$39</f>
        <v>101.56508544320033</v>
      </c>
      <c r="AR31" s="116">
        <f>('RB FORECAST'!AW35-$S31)*($T31/12)*'RB FORECAST'!$R$39</f>
        <v>101.56508544320033</v>
      </c>
      <c r="AS31" s="116"/>
      <c r="AT31" s="30">
        <f>SUM(U31:AF31)</f>
        <v>1218.8029527551371</v>
      </c>
      <c r="AU31" s="30">
        <f>SUM(AG31:AR31)</f>
        <v>1218.7810253184041</v>
      </c>
      <c r="AV31" s="30">
        <f t="shared" ref="AV31:AV33" si="13">AU31-AT31</f>
        <v>-2.1927436732994465E-2</v>
      </c>
    </row>
    <row r="32" spans="1:48">
      <c r="N32" s="15">
        <f t="shared" si="1"/>
        <v>23</v>
      </c>
      <c r="R32" s="15" t="s">
        <v>14</v>
      </c>
      <c r="S32" s="1430">
        <f>S33*('RB FORECAST'!R36/'RB FORECAST'!R37)</f>
        <v>6235.8823303357713</v>
      </c>
      <c r="T32" s="1223">
        <f>T33</f>
        <v>1.3299999999999999E-2</v>
      </c>
      <c r="U32" s="116">
        <f>('RB FORECAST'!V36-$S32)*($T32/12)*'RB FORECAST'!$R$39</f>
        <v>4689.5216665039479</v>
      </c>
      <c r="V32" s="116">
        <f>('RB FORECAST'!W36-$S32)*($T32/12)*'RB FORECAST'!$R$39</f>
        <v>4689.5216665039479</v>
      </c>
      <c r="W32" s="116">
        <f>('RB FORECAST'!X36-$S32)*($T32/12)*'RB FORECAST'!$R$39</f>
        <v>4689.3053043610716</v>
      </c>
      <c r="X32" s="116">
        <f>('RB FORECAST'!Y36-$S32)*($T32/12)*'RB FORECAST'!$R$39</f>
        <v>4689.1180087640087</v>
      </c>
      <c r="Y32" s="116">
        <f>('RB FORECAST'!Z36-$S32)*($T32/12)*'RB FORECAST'!$R$39</f>
        <v>4689.1178045057541</v>
      </c>
      <c r="Z32" s="116">
        <f>('RB FORECAST'!AA36-$S32)*($T32/12)*'RB FORECAST'!$R$39</f>
        <v>4689.1177207290484</v>
      </c>
      <c r="AA32" s="116">
        <f>('RB FORECAST'!AB36-$S32)*($T32/12)*'RB FORECAST'!$R$39</f>
        <v>4689.1177207290484</v>
      </c>
      <c r="AB32" s="116">
        <f>('RB FORECAST'!AC36-$S32)*($T32/12)*'RB FORECAST'!$R$39</f>
        <v>4689.1162444046831</v>
      </c>
      <c r="AC32" s="116">
        <f>('RB FORECAST'!AD36-$S32)*($T32/12)*'RB FORECAST'!$R$39</f>
        <v>4689.1162444046831</v>
      </c>
      <c r="AD32" s="116">
        <f>('RB FORECAST'!AE36-$S32)*($T32/12)*'RB FORECAST'!$R$39</f>
        <v>4689.1162444046831</v>
      </c>
      <c r="AE32" s="116">
        <f>('RB FORECAST'!AF36-$S32)*($T32/12)*'RB FORECAST'!$R$39</f>
        <v>4689.1157255036369</v>
      </c>
      <c r="AF32" s="116">
        <f>('RB FORECAST'!AG36-$S32)*($T32/12)*'RB FORECAST'!$R$39</f>
        <v>4689.1156356570045</v>
      </c>
      <c r="AG32" s="116">
        <f>('RB FORECAST'!AL36-$S32)*($T32/12)*'RB FORECAST'!$R$39</f>
        <v>4689.1156356570045</v>
      </c>
      <c r="AH32" s="116">
        <f>('RB FORECAST'!AM36-$S32)*($T32/12)*'RB FORECAST'!$R$39</f>
        <v>4689.1156356570045</v>
      </c>
      <c r="AI32" s="116">
        <f>('RB FORECAST'!AN36-$S32)*($T32/12)*'RB FORECAST'!$R$39</f>
        <v>4689.1156356570045</v>
      </c>
      <c r="AJ32" s="116">
        <f>('RB FORECAST'!AO36-$S32)*($T32/12)*'RB FORECAST'!$R$39</f>
        <v>4689.1156356570045</v>
      </c>
      <c r="AK32" s="116">
        <f>('RB FORECAST'!AP36-$S32)*($T32/12)*'RB FORECAST'!$R$39</f>
        <v>4689.1156356570045</v>
      </c>
      <c r="AL32" s="116">
        <f>('RB FORECAST'!AQ36-$S32)*($T32/12)*'RB FORECAST'!$R$39</f>
        <v>4689.1156356570045</v>
      </c>
      <c r="AM32" s="116">
        <f>('RB FORECAST'!AR36-$S32)*($T32/12)*'RB FORECAST'!$R$39</f>
        <v>4689.1156356570045</v>
      </c>
      <c r="AN32" s="116">
        <f>('RB FORECAST'!AS36-$S32)*($T32/12)*'RB FORECAST'!$R$39</f>
        <v>4689.1156356570045</v>
      </c>
      <c r="AO32" s="116">
        <f>('RB FORECAST'!AT36-$S32)*($T32/12)*'RB FORECAST'!$R$39</f>
        <v>4689.1156356570045</v>
      </c>
      <c r="AP32" s="116">
        <f>('RB FORECAST'!AU36-$S32)*($T32/12)*'RB FORECAST'!$R$39</f>
        <v>4689.1156356570045</v>
      </c>
      <c r="AQ32" s="116">
        <f>('RB FORECAST'!AV36-$S32)*($T32/12)*'RB FORECAST'!$R$39</f>
        <v>4689.1156356570045</v>
      </c>
      <c r="AR32" s="116">
        <f>('RB FORECAST'!AW36-$S32)*($T32/12)*'RB FORECAST'!$R$39</f>
        <v>4689.1156356570045</v>
      </c>
      <c r="AS32" s="116"/>
      <c r="AT32" s="30">
        <f t="shared" ref="AT32:AT33" si="14">SUM(U32:AF32)</f>
        <v>56270.39998647153</v>
      </c>
      <c r="AU32" s="30">
        <f t="shared" ref="AU32:AU33" si="15">SUM(AG32:AR32)</f>
        <v>56269.387627884069</v>
      </c>
      <c r="AV32" s="30">
        <f t="shared" si="13"/>
        <v>-1.012358587460767</v>
      </c>
    </row>
    <row r="33" spans="2:48" ht="13.5" thickBot="1">
      <c r="B33" s="429" t="s">
        <v>1136</v>
      </c>
      <c r="C33" s="437"/>
      <c r="D33" s="437"/>
      <c r="E33" s="437"/>
      <c r="F33" s="15"/>
      <c r="G33" s="15"/>
      <c r="H33" s="442">
        <f>H4</f>
        <v>43465</v>
      </c>
      <c r="I33" s="442">
        <f>I4</f>
        <v>43830</v>
      </c>
      <c r="N33" s="15">
        <f t="shared" si="1"/>
        <v>24</v>
      </c>
      <c r="R33" s="15" t="s">
        <v>170</v>
      </c>
      <c r="S33" s="1429">
        <v>6370.9500000000007</v>
      </c>
      <c r="T33" s="1113">
        <v>1.3299999999999999E-2</v>
      </c>
      <c r="U33" s="776">
        <f t="shared" ref="U33" si="16">SUM(U31:U32)</f>
        <v>4791.0955464749159</v>
      </c>
      <c r="V33" s="776">
        <f t="shared" ref="V33:AF33" si="17">SUM(V31:V32)</f>
        <v>4791.0955464749159</v>
      </c>
      <c r="W33" s="776">
        <f t="shared" si="17"/>
        <v>4790.8744979815128</v>
      </c>
      <c r="X33" s="776">
        <f t="shared" si="17"/>
        <v>4790.68314560812</v>
      </c>
      <c r="Y33" s="776">
        <f t="shared" si="17"/>
        <v>4790.682936925682</v>
      </c>
      <c r="Z33" s="776">
        <f t="shared" si="17"/>
        <v>4790.6828513343935</v>
      </c>
      <c r="AA33" s="776">
        <f t="shared" si="17"/>
        <v>4790.6828513343935</v>
      </c>
      <c r="AB33" s="776">
        <f t="shared" si="17"/>
        <v>4790.6813430332077</v>
      </c>
      <c r="AC33" s="776">
        <f t="shared" si="17"/>
        <v>4790.6813430332077</v>
      </c>
      <c r="AD33" s="776">
        <f t="shared" si="17"/>
        <v>4790.6813430332077</v>
      </c>
      <c r="AE33" s="776">
        <f t="shared" si="17"/>
        <v>4790.6808128928933</v>
      </c>
      <c r="AF33" s="776">
        <f t="shared" si="17"/>
        <v>4790.6807211002051</v>
      </c>
      <c r="AG33" s="776">
        <f t="shared" ref="AG33:AR33" si="18">SUM(AG31:AG32)</f>
        <v>4790.6807211002051</v>
      </c>
      <c r="AH33" s="776">
        <f t="shared" si="18"/>
        <v>4790.6807211002051</v>
      </c>
      <c r="AI33" s="776">
        <f t="shared" si="18"/>
        <v>4790.6807211002051</v>
      </c>
      <c r="AJ33" s="776">
        <f t="shared" si="18"/>
        <v>4790.6807211002051</v>
      </c>
      <c r="AK33" s="776">
        <f t="shared" si="18"/>
        <v>4790.6807211002051</v>
      </c>
      <c r="AL33" s="776">
        <f t="shared" si="18"/>
        <v>4790.6807211002051</v>
      </c>
      <c r="AM33" s="776">
        <f t="shared" si="18"/>
        <v>4790.6807211002051</v>
      </c>
      <c r="AN33" s="776">
        <f t="shared" si="18"/>
        <v>4790.6807211002051</v>
      </c>
      <c r="AO33" s="776">
        <f t="shared" si="18"/>
        <v>4790.6807211002051</v>
      </c>
      <c r="AP33" s="776">
        <f t="shared" si="18"/>
        <v>4790.6807211002051</v>
      </c>
      <c r="AQ33" s="776">
        <f t="shared" si="18"/>
        <v>4790.6807211002051</v>
      </c>
      <c r="AR33" s="776">
        <f t="shared" si="18"/>
        <v>4790.6807211002051</v>
      </c>
      <c r="AS33" s="186"/>
      <c r="AT33" s="30">
        <f t="shared" si="14"/>
        <v>57489.202939226656</v>
      </c>
      <c r="AU33" s="30">
        <f t="shared" si="15"/>
        <v>57488.168653202447</v>
      </c>
      <c r="AV33" s="30">
        <f t="shared" si="13"/>
        <v>-1.0342860242089955</v>
      </c>
    </row>
    <row r="34" spans="2:48">
      <c r="F34" s="15"/>
      <c r="G34" s="15"/>
      <c r="N34" s="15">
        <f t="shared" si="1"/>
        <v>25</v>
      </c>
      <c r="S34" s="1429"/>
      <c r="T34" s="1113"/>
    </row>
    <row r="35" spans="2:48">
      <c r="B35" s="429" t="s">
        <v>1115</v>
      </c>
      <c r="C35" s="441"/>
      <c r="D35" s="441"/>
      <c r="E35" s="441"/>
      <c r="F35" s="15"/>
      <c r="G35" s="460"/>
      <c r="H35" s="441">
        <f ca="1">-AF154</f>
        <v>-5999151.2064286834</v>
      </c>
      <c r="I35" s="441">
        <f ca="1">-AR154</f>
        <v>-6383641.7941578524</v>
      </c>
      <c r="N35" s="15">
        <f t="shared" si="1"/>
        <v>26</v>
      </c>
      <c r="P35" s="15" t="s">
        <v>239</v>
      </c>
      <c r="Q35" s="15" t="s">
        <v>240</v>
      </c>
      <c r="S35" s="1429"/>
      <c r="T35" s="1113"/>
    </row>
    <row r="36" spans="2:48">
      <c r="F36" s="15"/>
      <c r="G36" s="282"/>
      <c r="H36" s="441">
        <f ca="1">+H35*12</f>
        <v>-71989814.477144197</v>
      </c>
      <c r="I36" s="441">
        <f ca="1">+I35*12</f>
        <v>-76603701.529894233</v>
      </c>
      <c r="N36" s="15">
        <f t="shared" si="1"/>
        <v>27</v>
      </c>
      <c r="R36" s="15" t="s">
        <v>24</v>
      </c>
      <c r="S36" s="1430">
        <f>S38*('RB FORECAST'!R40/'RB FORECAST'!R42)</f>
        <v>45136.202957677582</v>
      </c>
      <c r="T36" s="1223">
        <f>T38</f>
        <v>2.1399999999999999E-2</v>
      </c>
      <c r="U36" s="116">
        <f>('RB FORECAST'!V40-$S36)*($T36/12)</f>
        <v>1710.8200165588082</v>
      </c>
      <c r="V36" s="116">
        <f>('RB FORECAST'!W40-$S36)*($T36/12)</f>
        <v>1807.2195426909364</v>
      </c>
      <c r="W36" s="116">
        <f>('RB FORECAST'!X40-$S36)*($T36/12)</f>
        <v>1597.8547070492341</v>
      </c>
      <c r="X36" s="116">
        <f>('RB FORECAST'!Y40-$S36)*($T36/12)</f>
        <v>1608.0542741409051</v>
      </c>
      <c r="Y36" s="116">
        <f>('RB FORECAST'!Z40-$S36)*($T36/12)</f>
        <v>1614.0736164428338</v>
      </c>
      <c r="Z36" s="116">
        <f>('RB FORECAST'!AA40-$S36)*($T36/12)</f>
        <v>1614.0736164428338</v>
      </c>
      <c r="AA36" s="116">
        <f>('RB FORECAST'!AB40-$S36)*($T36/12)</f>
        <v>1614.0736164428338</v>
      </c>
      <c r="AB36" s="116">
        <f>('RB FORECAST'!AC40-$S36)*($T36/12)</f>
        <v>1613.5785839638536</v>
      </c>
      <c r="AC36" s="116">
        <f>('RB FORECAST'!AD40-$S36)*($T36/12)</f>
        <v>1613.5785839638536</v>
      </c>
      <c r="AD36" s="116">
        <f>('RB FORECAST'!AE40-$S36)*($T36/12)</f>
        <v>1610.2444442836024</v>
      </c>
      <c r="AE36" s="116">
        <f>('RB FORECAST'!AF40-$S36)*($T36/12)</f>
        <v>1646.4333803902425</v>
      </c>
      <c r="AF36" s="116">
        <f>('RB FORECAST'!AG40-$S36)*($T36/12)</f>
        <v>1641.451453917093</v>
      </c>
      <c r="AG36" s="116">
        <f>('RB FORECAST'!AL40-$S36)*($T36/12)</f>
        <v>1641.451453917093</v>
      </c>
      <c r="AH36" s="116">
        <f>('RB FORECAST'!AM40-$S36)*($T36/12)</f>
        <v>1641.451453917093</v>
      </c>
      <c r="AI36" s="116">
        <f>('RB FORECAST'!AN40-$S36)*($T36/12)</f>
        <v>1641.451453917093</v>
      </c>
      <c r="AJ36" s="116">
        <f>('RB FORECAST'!AO40-$S36)*($T36/12)</f>
        <v>1641.451453917093</v>
      </c>
      <c r="AK36" s="116">
        <f>('RB FORECAST'!AP40-$S36)*($T36/12)</f>
        <v>1641.451453917093</v>
      </c>
      <c r="AL36" s="116">
        <f>('RB FORECAST'!AQ40-$S36)*($T36/12)</f>
        <v>1641.451453917093</v>
      </c>
      <c r="AM36" s="116">
        <f>('RB FORECAST'!AR40-$S36)*($T36/12)</f>
        <v>1641.451453917093</v>
      </c>
      <c r="AN36" s="116">
        <f>('RB FORECAST'!AS40-$S36)*($T36/12)</f>
        <v>1641.451453917093</v>
      </c>
      <c r="AO36" s="116">
        <f>('RB FORECAST'!AT40-$S36)*($T36/12)</f>
        <v>1641.451453917093</v>
      </c>
      <c r="AP36" s="116">
        <f>('RB FORECAST'!AU40-$S36)*($T36/12)</f>
        <v>1641.451453917093</v>
      </c>
      <c r="AQ36" s="116">
        <f>('RB FORECAST'!AV40-$S36)*($T36/12)</f>
        <v>1641.451453917093</v>
      </c>
      <c r="AR36" s="116">
        <f>('RB FORECAST'!AW40-$S36)*($T36/12)</f>
        <v>1641.451453917093</v>
      </c>
      <c r="AS36" s="116"/>
      <c r="AT36" s="30">
        <f t="shared" ref="AT36:AT38" si="19">SUM(U36:AF36)</f>
        <v>19691.45583628703</v>
      </c>
      <c r="AU36" s="30">
        <f t="shared" ref="AU36:AU38" si="20">SUM(AG36:AR36)</f>
        <v>19697.417447005111</v>
      </c>
      <c r="AV36" s="30">
        <f t="shared" ref="AV36:AV38" si="21">AU36-AT36</f>
        <v>5.9616107180809195</v>
      </c>
    </row>
    <row r="37" spans="2:48">
      <c r="F37" s="15"/>
      <c r="G37" s="282"/>
      <c r="H37" s="282">
        <f ca="1">H36+G36</f>
        <v>-71989814.477144197</v>
      </c>
      <c r="I37" s="282">
        <f ca="1">I36-H36</f>
        <v>-4613887.0527500361</v>
      </c>
      <c r="N37" s="15">
        <f t="shared" si="1"/>
        <v>28</v>
      </c>
      <c r="R37" s="15" t="s">
        <v>14</v>
      </c>
      <c r="S37" s="1430">
        <f>S38*('RB FORECAST'!R41/'RB FORECAST'!R42)</f>
        <v>696542.18704232248</v>
      </c>
      <c r="T37" s="1223">
        <f>T38</f>
        <v>2.1399999999999999E-2</v>
      </c>
      <c r="U37" s="116">
        <f>('RB FORECAST'!V41-$S37)*($T37/12)</f>
        <v>26401.385980274525</v>
      </c>
      <c r="V37" s="116">
        <f>('RB FORECAST'!W41-$S37)*($T37/12)</f>
        <v>27889.024114675783</v>
      </c>
      <c r="W37" s="116">
        <f>('RB FORECAST'!X41-$S37)*($T37/12)</f>
        <v>24658.104565586378</v>
      </c>
      <c r="X37" s="116">
        <f>('RB FORECAST'!Y41-$S37)*($T37/12)</f>
        <v>24815.504353414766</v>
      </c>
      <c r="Y37" s="116">
        <f>('RB FORECAST'!Z41-$S37)*($T37/12)</f>
        <v>24908.394884225985</v>
      </c>
      <c r="Z37" s="116">
        <f>('RB FORECAST'!AA41-$S37)*($T37/12)</f>
        <v>24908.394884225985</v>
      </c>
      <c r="AA37" s="116">
        <f>('RB FORECAST'!AB41-$S37)*($T37/12)</f>
        <v>24908.394884225985</v>
      </c>
      <c r="AB37" s="116">
        <f>('RB FORECAST'!AC41-$S37)*($T37/12)</f>
        <v>24900.755539687212</v>
      </c>
      <c r="AC37" s="116">
        <f>('RB FORECAST'!AD41-$S37)*($T37/12)</f>
        <v>24900.755539687212</v>
      </c>
      <c r="AD37" s="116">
        <f>('RB FORECAST'!AE41-$S37)*($T37/12)</f>
        <v>24849.303073759485</v>
      </c>
      <c r="AE37" s="116">
        <f>('RB FORECAST'!AF41-$S37)*($T37/12)</f>
        <v>25407.770978693574</v>
      </c>
      <c r="AF37" s="116">
        <f>('RB FORECAST'!AG41-$S37)*($T37/12)</f>
        <v>25330.889855916244</v>
      </c>
      <c r="AG37" s="116">
        <f>('RB FORECAST'!AL41-$S37)*($T37/12)</f>
        <v>25330.889855916244</v>
      </c>
      <c r="AH37" s="116">
        <f>('RB FORECAST'!AM41-$S37)*($T37/12)</f>
        <v>25330.889855916244</v>
      </c>
      <c r="AI37" s="116">
        <f>('RB FORECAST'!AN41-$S37)*($T37/12)</f>
        <v>25330.889855916244</v>
      </c>
      <c r="AJ37" s="116">
        <f>('RB FORECAST'!AO41-$S37)*($T37/12)</f>
        <v>25330.889855916244</v>
      </c>
      <c r="AK37" s="116">
        <f>('RB FORECAST'!AP41-$S37)*($T37/12)</f>
        <v>25330.889855916244</v>
      </c>
      <c r="AL37" s="116">
        <f>('RB FORECAST'!AQ41-$S37)*($T37/12)</f>
        <v>25330.889855916244</v>
      </c>
      <c r="AM37" s="116">
        <f>('RB FORECAST'!AR41-$S37)*($T37/12)</f>
        <v>25330.889855916244</v>
      </c>
      <c r="AN37" s="116">
        <f>('RB FORECAST'!AS41-$S37)*($T37/12)</f>
        <v>25330.889855916244</v>
      </c>
      <c r="AO37" s="116">
        <f>('RB FORECAST'!AT41-$S37)*($T37/12)</f>
        <v>25330.889855916244</v>
      </c>
      <c r="AP37" s="116">
        <f>('RB FORECAST'!AU41-$S37)*($T37/12)</f>
        <v>25330.889855916244</v>
      </c>
      <c r="AQ37" s="116">
        <f>('RB FORECAST'!AV41-$S37)*($T37/12)</f>
        <v>25330.889855916244</v>
      </c>
      <c r="AR37" s="116">
        <f>('RB FORECAST'!AW41-$S37)*($T37/12)</f>
        <v>25330.889855916244</v>
      </c>
      <c r="AS37" s="116"/>
      <c r="AT37" s="30">
        <f t="shared" si="19"/>
        <v>303878.6786543731</v>
      </c>
      <c r="AU37" s="30">
        <f t="shared" si="20"/>
        <v>303970.67827099492</v>
      </c>
      <c r="AV37" s="30">
        <f t="shared" si="21"/>
        <v>91.999616621818859</v>
      </c>
    </row>
    <row r="38" spans="2:48">
      <c r="B38" s="15"/>
      <c r="C38" s="15"/>
      <c r="D38" s="562"/>
      <c r="F38" s="15"/>
      <c r="G38" s="282"/>
      <c r="N38" s="15">
        <f t="shared" si="1"/>
        <v>29</v>
      </c>
      <c r="R38" s="15" t="s">
        <v>170</v>
      </c>
      <c r="S38" s="1429">
        <v>741678.39</v>
      </c>
      <c r="T38" s="1113">
        <v>2.1399999999999999E-2</v>
      </c>
      <c r="U38" s="776">
        <f t="shared" ref="U38" si="22">SUM(U36:U37)</f>
        <v>28112.205996833334</v>
      </c>
      <c r="V38" s="776">
        <f t="shared" ref="V38:AF38" si="23">SUM(V36:V37)</f>
        <v>29696.243657366718</v>
      </c>
      <c r="W38" s="776">
        <f t="shared" si="23"/>
        <v>26255.959272635613</v>
      </c>
      <c r="X38" s="776">
        <f t="shared" si="23"/>
        <v>26423.558627555671</v>
      </c>
      <c r="Y38" s="776">
        <f t="shared" si="23"/>
        <v>26522.46850066882</v>
      </c>
      <c r="Z38" s="776">
        <f t="shared" si="23"/>
        <v>26522.46850066882</v>
      </c>
      <c r="AA38" s="776">
        <f t="shared" si="23"/>
        <v>26522.46850066882</v>
      </c>
      <c r="AB38" s="776">
        <f t="shared" si="23"/>
        <v>26514.334123651064</v>
      </c>
      <c r="AC38" s="776">
        <f t="shared" si="23"/>
        <v>26514.334123651064</v>
      </c>
      <c r="AD38" s="776">
        <f t="shared" si="23"/>
        <v>26459.547518043088</v>
      </c>
      <c r="AE38" s="776">
        <f t="shared" si="23"/>
        <v>27054.204359083815</v>
      </c>
      <c r="AF38" s="776">
        <f t="shared" si="23"/>
        <v>26972.341309833337</v>
      </c>
      <c r="AG38" s="776">
        <f t="shared" ref="AG38:AR38" si="24">SUM(AG36:AG37)</f>
        <v>26972.341309833337</v>
      </c>
      <c r="AH38" s="776">
        <f t="shared" si="24"/>
        <v>26972.341309833337</v>
      </c>
      <c r="AI38" s="776">
        <f t="shared" si="24"/>
        <v>26972.341309833337</v>
      </c>
      <c r="AJ38" s="776">
        <f t="shared" si="24"/>
        <v>26972.341309833337</v>
      </c>
      <c r="AK38" s="776">
        <f t="shared" si="24"/>
        <v>26972.341309833337</v>
      </c>
      <c r="AL38" s="776">
        <f t="shared" si="24"/>
        <v>26972.341309833337</v>
      </c>
      <c r="AM38" s="776">
        <f t="shared" si="24"/>
        <v>26972.341309833337</v>
      </c>
      <c r="AN38" s="776">
        <f t="shared" si="24"/>
        <v>26972.341309833337</v>
      </c>
      <c r="AO38" s="776">
        <f t="shared" si="24"/>
        <v>26972.341309833337</v>
      </c>
      <c r="AP38" s="776">
        <f t="shared" si="24"/>
        <v>26972.341309833337</v>
      </c>
      <c r="AQ38" s="776">
        <f t="shared" si="24"/>
        <v>26972.341309833337</v>
      </c>
      <c r="AR38" s="776">
        <f t="shared" si="24"/>
        <v>26972.341309833337</v>
      </c>
      <c r="AS38" s="186"/>
      <c r="AT38" s="30">
        <f t="shared" si="19"/>
        <v>323570.13449066016</v>
      </c>
      <c r="AU38" s="30">
        <f t="shared" si="20"/>
        <v>323668.09571800003</v>
      </c>
      <c r="AV38" s="30">
        <f t="shared" si="21"/>
        <v>97.961227339867037</v>
      </c>
    </row>
    <row r="39" spans="2:48" ht="25.5">
      <c r="B39" s="648"/>
      <c r="C39" s="306" t="s">
        <v>912</v>
      </c>
      <c r="D39" s="439" t="s">
        <v>1138</v>
      </c>
      <c r="F39" s="15"/>
      <c r="G39" s="15"/>
      <c r="N39" s="15">
        <f t="shared" si="1"/>
        <v>30</v>
      </c>
      <c r="S39" s="1429"/>
      <c r="T39" s="1113"/>
    </row>
    <row r="40" spans="2:48" ht="13.5" thickBot="1">
      <c r="B40" s="764" t="s">
        <v>7</v>
      </c>
      <c r="C40" s="307"/>
      <c r="F40" s="15"/>
      <c r="G40" s="15"/>
      <c r="N40" s="15">
        <f t="shared" si="1"/>
        <v>31</v>
      </c>
      <c r="P40" s="15" t="s">
        <v>244</v>
      </c>
      <c r="Q40" s="15" t="s">
        <v>245</v>
      </c>
      <c r="S40" s="1429"/>
      <c r="T40" s="1113"/>
    </row>
    <row r="41" spans="2:48">
      <c r="B41" s="577"/>
      <c r="C41" s="308"/>
      <c r="F41" s="15"/>
      <c r="G41" s="15"/>
      <c r="N41" s="15">
        <f t="shared" si="1"/>
        <v>32</v>
      </c>
      <c r="R41" s="15" t="s">
        <v>57</v>
      </c>
      <c r="S41" s="1429"/>
      <c r="T41" s="1113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</row>
    <row r="42" spans="2:48">
      <c r="B42" s="193" t="s">
        <v>1137</v>
      </c>
      <c r="C42" s="577"/>
      <c r="F42" s="15"/>
      <c r="G42" s="15"/>
      <c r="N42" s="15">
        <f t="shared" si="1"/>
        <v>33</v>
      </c>
      <c r="R42" s="15" t="s">
        <v>532</v>
      </c>
      <c r="S42" s="1429"/>
      <c r="T42" s="1113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</row>
    <row r="43" spans="2:48">
      <c r="B43" s="193" t="s">
        <v>443</v>
      </c>
      <c r="C43" s="752">
        <f>HIST_403_PROD</f>
        <v>649452.47999999986</v>
      </c>
      <c r="D43" s="473">
        <f>+C43/$C$47</f>
        <v>9.7343171516978567E-3</v>
      </c>
      <c r="E43" s="15"/>
      <c r="F43" s="15"/>
      <c r="G43" s="15"/>
      <c r="H43" s="460">
        <f>-SUM(U148:AF148)</f>
        <v>-666560.04</v>
      </c>
      <c r="I43" s="460">
        <f>-SUM(AG148:AR148)</f>
        <v>-666560.04</v>
      </c>
      <c r="N43" s="15">
        <f t="shared" si="1"/>
        <v>34</v>
      </c>
      <c r="R43" s="15" t="s">
        <v>533</v>
      </c>
      <c r="S43" s="1429"/>
      <c r="T43" s="1113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</row>
    <row r="44" spans="2:48">
      <c r="B44" s="193" t="s">
        <v>592</v>
      </c>
      <c r="C44" s="752">
        <f>HIST_403_WY</f>
        <v>1756908.57</v>
      </c>
      <c r="D44" s="473">
        <f>+C44/$C$47</f>
        <v>2.6333420463520222E-2</v>
      </c>
      <c r="E44" s="15"/>
      <c r="F44" s="15"/>
      <c r="G44" s="15"/>
      <c r="H44" s="460">
        <f ca="1">-SUM(U149:AF149)</f>
        <v>-2160085.4933222015</v>
      </c>
      <c r="I44" s="460">
        <f ca="1">-SUM(AG149:AR149)</f>
        <v>-2323996.8940421459</v>
      </c>
      <c r="N44" s="15">
        <f t="shared" si="1"/>
        <v>35</v>
      </c>
      <c r="R44" s="15" t="s">
        <v>24</v>
      </c>
      <c r="S44" s="1429">
        <f>S49*('RB FORECAST'!R48/'RB FORECAST'!R53)</f>
        <v>11050.800847358667</v>
      </c>
      <c r="T44" s="1223">
        <f>T49</f>
        <v>2.1409999999999998E-2</v>
      </c>
      <c r="U44" s="116">
        <f ca="1">('RB FORECAST'!V48-$S44)*($T44/12)</f>
        <v>74197.339277638253</v>
      </c>
      <c r="V44" s="116">
        <f ca="1">('RB FORECAST'!W48-$S44)*($T44/12)</f>
        <v>74296.479011865929</v>
      </c>
      <c r="W44" s="116">
        <f ca="1">('RB FORECAST'!X48-$S44)*($T44/12)</f>
        <v>74892.328567685719</v>
      </c>
      <c r="X44" s="116">
        <f ca="1">('RB FORECAST'!Y48-$S44)*($T44/12)</f>
        <v>75719.154033827072</v>
      </c>
      <c r="Y44" s="116">
        <f ca="1">('RB FORECAST'!Z48-$S44)*($T44/12)</f>
        <v>75784.38527414175</v>
      </c>
      <c r="Z44" s="116">
        <f ca="1">('RB FORECAST'!AA48-$S44)*($T44/12)</f>
        <v>76005.937618794764</v>
      </c>
      <c r="AA44" s="116">
        <f ca="1">('RB FORECAST'!AB48-$S44)*($T44/12)</f>
        <v>76019.960718456583</v>
      </c>
      <c r="AB44" s="116">
        <f ca="1">('RB FORECAST'!AC48-$S44)*($T44/12)</f>
        <v>78460.614624651484</v>
      </c>
      <c r="AC44" s="116">
        <f ca="1">('RB FORECAST'!AD48-$S44)*($T44/12)</f>
        <v>78515.509623577309</v>
      </c>
      <c r="AD44" s="116">
        <f ca="1">('RB FORECAST'!AE48-$S44)*($T44/12)</f>
        <v>79835.917248845581</v>
      </c>
      <c r="AE44" s="116">
        <f ca="1">('RB FORECAST'!AF48-$S44)*($T44/12)</f>
        <v>80114.2212365374</v>
      </c>
      <c r="AF44" s="116">
        <f ca="1">('RB FORECAST'!AG48-$S44)*($T44/12)</f>
        <v>80517.734660119168</v>
      </c>
      <c r="AG44" s="116">
        <f ca="1">('RB FORECAST'!AL48-$S44)*($T44/12)</f>
        <v>80637.084228652282</v>
      </c>
      <c r="AH44" s="116">
        <f ca="1">('RB FORECAST'!AM48-$S44)*($T44/12)</f>
        <v>80739.779913024337</v>
      </c>
      <c r="AI44" s="116">
        <f ca="1">('RB FORECAST'!AN48-$S44)*($T44/12)</f>
        <v>81357.001437717685</v>
      </c>
      <c r="AJ44" s="116">
        <f ca="1">('RB FORECAST'!AO48-$S44)*($T44/12)</f>
        <v>82213.483531028818</v>
      </c>
      <c r="AK44" s="116">
        <f ca="1">('RB FORECAST'!AP48-$S44)*($T44/12)</f>
        <v>82281.054489522285</v>
      </c>
      <c r="AL44" s="116">
        <f ca="1">('RB FORECAST'!AQ48-$S44)*($T44/12)</f>
        <v>82510.553487432902</v>
      </c>
      <c r="AM44" s="116">
        <f ca="1">('RB FORECAST'!AR48-$S44)*($T44/12)</f>
        <v>82525.079568504283</v>
      </c>
      <c r="AN44" s="116">
        <f ca="1">('RB FORECAST'!AS48-$S44)*($T44/12)</f>
        <v>85053.275000584094</v>
      </c>
      <c r="AO44" s="116">
        <f ca="1">('RB FORECAST'!AT48-$S44)*($T44/12)</f>
        <v>85110.138976740651</v>
      </c>
      <c r="AP44" s="116">
        <f ca="1">('RB FORECAST'!AU48-$S44)*($T44/12)</f>
        <v>86477.907064716332</v>
      </c>
      <c r="AQ44" s="116">
        <f ca="1">('RB FORECAST'!AV48-$S44)*($T44/12)</f>
        <v>86766.193277122846</v>
      </c>
      <c r="AR44" s="116">
        <f ca="1">('RB FORECAST'!AW48-$S44)*($T44/12)</f>
        <v>87184.179945241951</v>
      </c>
      <c r="AS44" s="116"/>
      <c r="AT44" s="30">
        <f t="shared" ref="AT44" ca="1" si="25">SUM(U44:AF44)</f>
        <v>924359.58189614106</v>
      </c>
      <c r="AU44" s="30">
        <f t="shared" ref="AU44" ca="1" si="26">SUM(AG44:AR44)</f>
        <v>1002855.7309202885</v>
      </c>
      <c r="AV44" s="30">
        <f t="shared" ref="AV44" ca="1" si="27">AU44-AT44</f>
        <v>78496.149024147424</v>
      </c>
    </row>
    <row r="45" spans="2:48">
      <c r="B45" s="193" t="s">
        <v>593</v>
      </c>
      <c r="C45" s="752">
        <f>HIST_403_UT</f>
        <v>55992912.410000004</v>
      </c>
      <c r="D45" s="473">
        <f>+C45/$C$47</f>
        <v>0.83924965171613308</v>
      </c>
      <c r="E45" s="15"/>
      <c r="F45" s="15"/>
      <c r="G45" s="15"/>
      <c r="H45" s="460">
        <f ca="1">-SUM(U150:AF150)</f>
        <v>-60265049.272847876</v>
      </c>
      <c r="I45" s="460">
        <f ca="1">-SUM(AG150:AR150)</f>
        <v>-64963442.84325482</v>
      </c>
      <c r="N45" s="15">
        <f t="shared" si="1"/>
        <v>36</v>
      </c>
      <c r="R45" s="15" t="s">
        <v>535</v>
      </c>
      <c r="S45" s="1429"/>
      <c r="T45" s="1113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</row>
    <row r="46" spans="2:48">
      <c r="B46" s="193" t="s">
        <v>595</v>
      </c>
      <c r="C46" s="752">
        <f>HIST_403_GEN</f>
        <v>8318552.7500000047</v>
      </c>
      <c r="D46" s="473">
        <f>+C46/$C$47</f>
        <v>0.12468261066864882</v>
      </c>
      <c r="E46" s="15"/>
      <c r="F46" s="15"/>
      <c r="G46" s="15"/>
      <c r="H46" s="460">
        <f ca="1">-SUM(U151:AF151)+SUM(U153:AF153)</f>
        <v>-6373832.6841969481</v>
      </c>
      <c r="I46" s="460">
        <f ca="1">-SUM(AG151:AR151)+SUM(AG153:AR153)</f>
        <v>-6380205.4273342993</v>
      </c>
      <c r="N46" s="15">
        <f t="shared" si="1"/>
        <v>37</v>
      </c>
      <c r="R46" s="15" t="s">
        <v>536</v>
      </c>
      <c r="S46" s="1429"/>
      <c r="T46" s="1113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</row>
    <row r="47" spans="2:48">
      <c r="B47" s="193" t="s">
        <v>596</v>
      </c>
      <c r="C47" s="765">
        <f>SUM(C43:C46)</f>
        <v>66717826.210000008</v>
      </c>
      <c r="D47" s="386">
        <f>SUM(D43:D46)</f>
        <v>1</v>
      </c>
      <c r="E47" s="15"/>
      <c r="F47" s="15"/>
      <c r="G47" s="15"/>
      <c r="H47" s="1276">
        <f ca="1">SUM(H43:H46)</f>
        <v>-69465527.490367025</v>
      </c>
      <c r="I47" s="1276">
        <f ca="1">SUM(I43:I46)</f>
        <v>-74334205.204631254</v>
      </c>
      <c r="N47" s="15">
        <f t="shared" si="1"/>
        <v>38</v>
      </c>
      <c r="R47" s="15" t="s">
        <v>537</v>
      </c>
      <c r="S47" s="1429"/>
      <c r="T47" s="1221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</row>
    <row r="48" spans="2:48">
      <c r="B48" s="15"/>
      <c r="C48" s="15"/>
      <c r="E48" s="15"/>
      <c r="F48" s="15"/>
      <c r="G48" s="15"/>
      <c r="N48" s="15">
        <f t="shared" si="1"/>
        <v>39</v>
      </c>
      <c r="R48" s="15" t="s">
        <v>14</v>
      </c>
      <c r="S48" s="1429">
        <f>S49*('RB FORECAST'!R52/'RB FORECAST'!R53)</f>
        <v>413840.17915264139</v>
      </c>
      <c r="T48" s="1223">
        <f>T49</f>
        <v>2.1409999999999998E-2</v>
      </c>
      <c r="U48" s="116">
        <f ca="1">('RB FORECAST'!V52-$S48)*($T48/12)</f>
        <v>2778607.6867584088</v>
      </c>
      <c r="V48" s="116">
        <f ca="1">('RB FORECAST'!W52-$S48)*($T48/12)</f>
        <v>2782320.3593457295</v>
      </c>
      <c r="W48" s="116">
        <f ca="1">('RB FORECAST'!X52-$S48)*($T48/12)</f>
        <v>2804634.2613275414</v>
      </c>
      <c r="X48" s="116">
        <f ca="1">('RB FORECAST'!Y52-$S48)*($T48/12)</f>
        <v>2835597.9538021632</v>
      </c>
      <c r="Y48" s="116">
        <f ca="1">('RB FORECAST'!Z52-$S48)*($T48/12)</f>
        <v>2838040.7910726066</v>
      </c>
      <c r="Z48" s="116">
        <f ca="1">('RB FORECAST'!AA52-$S48)*($T48/12)</f>
        <v>2846337.6795306774</v>
      </c>
      <c r="AA48" s="116">
        <f ca="1">('RB FORECAST'!AB52-$S48)*($T48/12)</f>
        <v>2846862.8289887561</v>
      </c>
      <c r="AB48" s="116">
        <f ca="1">('RB FORECAST'!AC52-$S48)*($T48/12)</f>
        <v>2938262.5984480628</v>
      </c>
      <c r="AC48" s="116">
        <f ca="1">('RB FORECAST'!AD52-$S48)*($T48/12)</f>
        <v>2940318.3549949266</v>
      </c>
      <c r="AD48" s="116">
        <f ca="1">('RB FORECAST'!AE52-$S48)*($T48/12)</f>
        <v>2989766.149389497</v>
      </c>
      <c r="AE48" s="116">
        <f ca="1">('RB FORECAST'!AF52-$S48)*($T48/12)</f>
        <v>3000188.3236478269</v>
      </c>
      <c r="AF48" s="116">
        <f ca="1">('RB FORECAST'!AG52-$S48)*($T48/12)</f>
        <v>3015299.4517743904</v>
      </c>
      <c r="AG48" s="116">
        <f ca="1">('RB FORECAST'!AL52-$S48)*($T48/12)</f>
        <v>3019768.9601390576</v>
      </c>
      <c r="AH48" s="116">
        <f ca="1">('RB FORECAST'!AM52-$S48)*($T48/12)</f>
        <v>3023614.7990973163</v>
      </c>
      <c r="AI48" s="116">
        <f ca="1">('RB FORECAST'!AN52-$S48)*($T48/12)</f>
        <v>3046729.0575012229</v>
      </c>
      <c r="AJ48" s="116">
        <f ca="1">('RB FORECAST'!AO52-$S48)*($T48/12)</f>
        <v>3078803.3576205336</v>
      </c>
      <c r="AK48" s="116">
        <f ca="1">('RB FORECAST'!AP52-$S48)*($T48/12)</f>
        <v>3081333.8147299062</v>
      </c>
      <c r="AL48" s="116">
        <f ca="1">('RB FORECAST'!AQ52-$S48)*($T48/12)</f>
        <v>3089928.2964984723</v>
      </c>
      <c r="AM48" s="116">
        <f ca="1">('RB FORECAST'!AR52-$S48)*($T48/12)</f>
        <v>3090472.2820499274</v>
      </c>
      <c r="AN48" s="116">
        <f ca="1">('RB FORECAST'!AS52-$S48)*($T48/12)</f>
        <v>3185150.3841166096</v>
      </c>
      <c r="AO48" s="116">
        <f ca="1">('RB FORECAST'!AT52-$S48)*($T48/12)</f>
        <v>3187279.8766669696</v>
      </c>
      <c r="AP48" s="116">
        <f ca="1">('RB FORECAST'!AU52-$S48)*($T48/12)</f>
        <v>3238501.2676218539</v>
      </c>
      <c r="AQ48" s="116">
        <f ca="1">('RB FORECAST'!AV52-$S48)*($T48/12)</f>
        <v>3249297.2650737544</v>
      </c>
      <c r="AR48" s="116">
        <f ca="1">('RB FORECAST'!AW52-$S48)*($T48/12)</f>
        <v>3264950.400082442</v>
      </c>
      <c r="AS48" s="116"/>
      <c r="AT48" s="30">
        <f t="shared" ref="AT48:AT49" ca="1" si="28">SUM(U48:AF48)</f>
        <v>34616236.439080589</v>
      </c>
      <c r="AU48" s="30">
        <f t="shared" ref="AU48:AU49" ca="1" si="29">SUM(AG48:AR48)</f>
        <v>37555829.761198066</v>
      </c>
      <c r="AV48" s="30">
        <f t="shared" ref="AV48:AV49" ca="1" si="30">AU48-AT48</f>
        <v>2939593.3221174777</v>
      </c>
    </row>
    <row r="49" spans="2:48">
      <c r="B49" s="15"/>
      <c r="C49" s="15"/>
      <c r="D49" s="15"/>
      <c r="E49" s="15"/>
      <c r="F49" s="15"/>
      <c r="G49" s="15"/>
      <c r="H49" s="282">
        <f ca="1">H47-H15</f>
        <v>0</v>
      </c>
      <c r="N49" s="15">
        <f t="shared" si="1"/>
        <v>40</v>
      </c>
      <c r="R49" s="15" t="s">
        <v>170</v>
      </c>
      <c r="S49" s="1429">
        <v>424890.98000000004</v>
      </c>
      <c r="T49" s="1224">
        <v>2.1409999999999998E-2</v>
      </c>
      <c r="U49" s="203">
        <f t="shared" ref="U49:W49" ca="1" si="31">SUM(U48,U44)</f>
        <v>2852805.0260360469</v>
      </c>
      <c r="V49" s="203">
        <f t="shared" ca="1" si="31"/>
        <v>2856616.8383575953</v>
      </c>
      <c r="W49" s="203">
        <f t="shared" ca="1" si="31"/>
        <v>2879526.589895227</v>
      </c>
      <c r="X49" s="203">
        <f t="shared" ref="X49:AF49" ca="1" si="32">SUM(X48,X44)</f>
        <v>2911317.1078359904</v>
      </c>
      <c r="Y49" s="203">
        <f t="shared" ca="1" si="32"/>
        <v>2913825.1763467481</v>
      </c>
      <c r="Z49" s="203">
        <f t="shared" ca="1" si="32"/>
        <v>2922343.6171494722</v>
      </c>
      <c r="AA49" s="203">
        <f t="shared" ca="1" si="32"/>
        <v>2922882.7897072127</v>
      </c>
      <c r="AB49" s="203">
        <f t="shared" ca="1" si="32"/>
        <v>3016723.2130727144</v>
      </c>
      <c r="AC49" s="203">
        <f t="shared" ca="1" si="32"/>
        <v>3018833.864618504</v>
      </c>
      <c r="AD49" s="203">
        <f t="shared" ca="1" si="32"/>
        <v>3069602.0666383426</v>
      </c>
      <c r="AE49" s="203">
        <f t="shared" ca="1" si="32"/>
        <v>3080302.5448843641</v>
      </c>
      <c r="AF49" s="203">
        <f t="shared" ca="1" si="32"/>
        <v>3095817.1864345097</v>
      </c>
      <c r="AG49" s="203">
        <f t="shared" ref="AG49" ca="1" si="33">SUM(AG48,AG44)</f>
        <v>3100406.0443677097</v>
      </c>
      <c r="AH49" s="203">
        <f t="shared" ref="AH49:AR49" ca="1" si="34">SUM(AH48,AH44)</f>
        <v>3104354.5790103409</v>
      </c>
      <c r="AI49" s="203">
        <f t="shared" ca="1" si="34"/>
        <v>3128086.0589389405</v>
      </c>
      <c r="AJ49" s="203">
        <f t="shared" ca="1" si="34"/>
        <v>3161016.8411515625</v>
      </c>
      <c r="AK49" s="203">
        <f t="shared" ca="1" si="34"/>
        <v>3163614.8692194284</v>
      </c>
      <c r="AL49" s="203">
        <f t="shared" ca="1" si="34"/>
        <v>3172438.8499859055</v>
      </c>
      <c r="AM49" s="203">
        <f t="shared" ca="1" si="34"/>
        <v>3172997.3616184318</v>
      </c>
      <c r="AN49" s="203">
        <f t="shared" ca="1" si="34"/>
        <v>3270203.6591171939</v>
      </c>
      <c r="AO49" s="203">
        <f t="shared" ca="1" si="34"/>
        <v>3272390.0156437103</v>
      </c>
      <c r="AP49" s="203">
        <f t="shared" ca="1" si="34"/>
        <v>3324979.1746865702</v>
      </c>
      <c r="AQ49" s="203">
        <f t="shared" ca="1" si="34"/>
        <v>3336063.4583508773</v>
      </c>
      <c r="AR49" s="203">
        <f t="shared" ca="1" si="34"/>
        <v>3352134.5800276841</v>
      </c>
      <c r="AS49" s="186"/>
      <c r="AT49" s="30">
        <f t="shared" ca="1" si="28"/>
        <v>35540596.02097673</v>
      </c>
      <c r="AU49" s="30">
        <f t="shared" ca="1" si="29"/>
        <v>38558685.492118359</v>
      </c>
      <c r="AV49" s="30">
        <f t="shared" ca="1" si="30"/>
        <v>3018089.4711416289</v>
      </c>
    </row>
    <row r="50" spans="2:48">
      <c r="B50" s="15"/>
      <c r="C50" s="15"/>
      <c r="D50" s="15"/>
      <c r="E50" s="15"/>
      <c r="F50" s="15"/>
      <c r="G50" s="15"/>
      <c r="N50" s="15">
        <f t="shared" si="1"/>
        <v>41</v>
      </c>
      <c r="S50" s="1429"/>
      <c r="T50" s="1113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</row>
    <row r="51" spans="2:48">
      <c r="B51" s="15"/>
      <c r="C51" s="15"/>
      <c r="D51" s="15"/>
      <c r="E51" s="15"/>
      <c r="F51" s="15"/>
      <c r="G51" s="15"/>
      <c r="N51" s="15">
        <f t="shared" si="1"/>
        <v>42</v>
      </c>
      <c r="P51" s="15" t="s">
        <v>246</v>
      </c>
      <c r="Q51" s="15" t="s">
        <v>248</v>
      </c>
      <c r="S51" s="1429"/>
      <c r="T51" s="1113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</row>
    <row r="52" spans="2:48">
      <c r="B52" s="15"/>
      <c r="C52" s="15"/>
      <c r="D52" s="15"/>
      <c r="E52" s="15"/>
      <c r="F52" s="15"/>
      <c r="G52" s="15"/>
      <c r="N52" s="15">
        <f t="shared" si="1"/>
        <v>43</v>
      </c>
      <c r="R52" s="15" t="s">
        <v>24</v>
      </c>
      <c r="S52" s="1429"/>
      <c r="T52" s="1223">
        <f>T54</f>
        <v>3.1800000000000002E-2</v>
      </c>
      <c r="U52" s="116">
        <f ca="1">('RB FORECAST'!V56-$S52)*($T52/12)</f>
        <v>0</v>
      </c>
      <c r="V52" s="116">
        <f ca="1">('RB FORECAST'!W56-$S52)*($T52/12)</f>
        <v>0</v>
      </c>
      <c r="W52" s="116">
        <f ca="1">('RB FORECAST'!X56-$S52)*($T52/12)</f>
        <v>0</v>
      </c>
      <c r="X52" s="116">
        <f ca="1">('RB FORECAST'!Y56-$S52)*($T52/12)</f>
        <v>0</v>
      </c>
      <c r="Y52" s="116">
        <f ca="1">('RB FORECAST'!Z56-$S52)*($T52/12)</f>
        <v>0</v>
      </c>
      <c r="Z52" s="116">
        <f ca="1">('RB FORECAST'!AA56-$S52)*($T52/12)</f>
        <v>0</v>
      </c>
      <c r="AA52" s="116">
        <f ca="1">('RB FORECAST'!AB56-$S52)*($T52/12)</f>
        <v>0</v>
      </c>
      <c r="AB52" s="116">
        <f ca="1">('RB FORECAST'!AC56-$S52)*($T52/12)</f>
        <v>0</v>
      </c>
      <c r="AC52" s="116">
        <f ca="1">('RB FORECAST'!AD56-$S52)*($T52/12)</f>
        <v>0</v>
      </c>
      <c r="AD52" s="116">
        <f ca="1">('RB FORECAST'!AE56-$S52)*($T52/12)</f>
        <v>0</v>
      </c>
      <c r="AE52" s="116">
        <f ca="1">('RB FORECAST'!AF56-$S52)*($T52/12)</f>
        <v>0</v>
      </c>
      <c r="AF52" s="116">
        <f ca="1">('RB FORECAST'!AG56-$S52)*($T52/12)</f>
        <v>0</v>
      </c>
      <c r="AG52" s="116">
        <f ca="1">('RB FORECAST'!AL56-$S52)*($T52/12)</f>
        <v>0</v>
      </c>
      <c r="AH52" s="116">
        <f ca="1">('RB FORECAST'!AM56-$S52)*($T52/12)</f>
        <v>0</v>
      </c>
      <c r="AI52" s="116">
        <f ca="1">('RB FORECAST'!AN56-$S52)*($T52/12)</f>
        <v>0</v>
      </c>
      <c r="AJ52" s="116">
        <f ca="1">('RB FORECAST'!AO56-$S52)*($T52/12)</f>
        <v>0</v>
      </c>
      <c r="AK52" s="116">
        <f ca="1">('RB FORECAST'!AP56-$S52)*($T52/12)</f>
        <v>0</v>
      </c>
      <c r="AL52" s="116">
        <f ca="1">('RB FORECAST'!AQ56-$S52)*($T52/12)</f>
        <v>0</v>
      </c>
      <c r="AM52" s="116">
        <f ca="1">('RB FORECAST'!AR56-$S52)*($T52/12)</f>
        <v>0</v>
      </c>
      <c r="AN52" s="116">
        <f ca="1">('RB FORECAST'!AS56-$S52)*($T52/12)</f>
        <v>0</v>
      </c>
      <c r="AO52" s="116">
        <f ca="1">('RB FORECAST'!AT56-$S52)*($T52/12)</f>
        <v>0</v>
      </c>
      <c r="AP52" s="116">
        <f ca="1">('RB FORECAST'!AU56-$S52)*($T52/12)</f>
        <v>0</v>
      </c>
      <c r="AQ52" s="116">
        <f ca="1">('RB FORECAST'!AV56-$S52)*($T52/12)</f>
        <v>0</v>
      </c>
      <c r="AR52" s="116">
        <f ca="1">('RB FORECAST'!AW56-$S52)*($T52/12)</f>
        <v>0</v>
      </c>
      <c r="AS52" s="116"/>
      <c r="AT52" s="30">
        <f t="shared" ref="AT52:AT54" ca="1" si="35">SUM(U52:AF52)</f>
        <v>0</v>
      </c>
      <c r="AU52" s="30">
        <f t="shared" ref="AU52:AU54" ca="1" si="36">SUM(AG52:AR52)</f>
        <v>0</v>
      </c>
      <c r="AV52" s="30">
        <f t="shared" ref="AV52:AV54" ca="1" si="37">AU52-AT52</f>
        <v>0</v>
      </c>
    </row>
    <row r="53" spans="2:48">
      <c r="B53" s="15"/>
      <c r="C53" s="15"/>
      <c r="D53" s="15"/>
      <c r="E53" s="15"/>
      <c r="F53" s="15"/>
      <c r="G53" s="15"/>
      <c r="N53" s="15">
        <f t="shared" si="1"/>
        <v>44</v>
      </c>
      <c r="R53" s="15" t="s">
        <v>14</v>
      </c>
      <c r="S53" s="1429"/>
      <c r="T53" s="1223">
        <f>T54</f>
        <v>3.1800000000000002E-2</v>
      </c>
      <c r="U53" s="116">
        <f ca="1">('RB FORECAST'!V57-$S53)*($T53/12)</f>
        <v>37859.400005999996</v>
      </c>
      <c r="V53" s="116">
        <f ca="1">('RB FORECAST'!W57-$S53)*($T53/12)</f>
        <v>37859.400005999996</v>
      </c>
      <c r="W53" s="116">
        <f ca="1">('RB FORECAST'!X57-$S53)*($T53/12)</f>
        <v>27112.628801999999</v>
      </c>
      <c r="X53" s="116">
        <f ca="1">('RB FORECAST'!Y57-$S53)*($T53/12)</f>
        <v>27112.628801999999</v>
      </c>
      <c r="Y53" s="116">
        <f ca="1">('RB FORECAST'!Z57-$S53)*($T53/12)</f>
        <v>27112.628801999999</v>
      </c>
      <c r="Z53" s="116">
        <f ca="1">('RB FORECAST'!AA57-$S53)*($T53/12)</f>
        <v>27112.628801999999</v>
      </c>
      <c r="AA53" s="116">
        <f ca="1">('RB FORECAST'!AB57-$S53)*($T53/12)</f>
        <v>27112.628801999999</v>
      </c>
      <c r="AB53" s="116">
        <f ca="1">('RB FORECAST'!AC57-$S53)*($T53/12)</f>
        <v>27112.628801999999</v>
      </c>
      <c r="AC53" s="116">
        <f ca="1">('RB FORECAST'!AD57-$S53)*($T53/12)</f>
        <v>27112.628801999999</v>
      </c>
      <c r="AD53" s="116">
        <f ca="1">('RB FORECAST'!AE57-$S53)*($T53/12)</f>
        <v>27112.628801999999</v>
      </c>
      <c r="AE53" s="116">
        <f ca="1">('RB FORECAST'!AF57-$S53)*($T53/12)</f>
        <v>27112.628801999999</v>
      </c>
      <c r="AF53" s="116">
        <f ca="1">('RB FORECAST'!AG57-$S53)*($T53/12)</f>
        <v>27112.628801999999</v>
      </c>
      <c r="AG53" s="116">
        <f ca="1">('RB FORECAST'!AL57-$S53)*($T53/12)</f>
        <v>27112.628801999999</v>
      </c>
      <c r="AH53" s="116">
        <f ca="1">('RB FORECAST'!AM57-$S53)*($T53/12)</f>
        <v>27112.628801999999</v>
      </c>
      <c r="AI53" s="116">
        <f ca="1">('RB FORECAST'!AN57-$S53)*($T53/12)</f>
        <v>17318.410443631939</v>
      </c>
      <c r="AJ53" s="116">
        <f ca="1">('RB FORECAST'!AO57-$S53)*($T53/12)</f>
        <v>17318.410443631939</v>
      </c>
      <c r="AK53" s="116">
        <f ca="1">('RB FORECAST'!AP57-$S53)*($T53/12)</f>
        <v>17318.410443631939</v>
      </c>
      <c r="AL53" s="116">
        <f ca="1">('RB FORECAST'!AQ57-$S53)*($T53/12)</f>
        <v>17318.410443631939</v>
      </c>
      <c r="AM53" s="116">
        <f ca="1">('RB FORECAST'!AR57-$S53)*($T53/12)</f>
        <v>17318.410443631939</v>
      </c>
      <c r="AN53" s="116">
        <f ca="1">('RB FORECAST'!AS57-$S53)*($T53/12)</f>
        <v>17318.410443631939</v>
      </c>
      <c r="AO53" s="116">
        <f ca="1">('RB FORECAST'!AT57-$S53)*($T53/12)</f>
        <v>17318.410443631939</v>
      </c>
      <c r="AP53" s="116">
        <f ca="1">('RB FORECAST'!AU57-$S53)*($T53/12)</f>
        <v>17318.410443631939</v>
      </c>
      <c r="AQ53" s="116">
        <f ca="1">('RB FORECAST'!AV57-$S53)*($T53/12)</f>
        <v>17318.410443631939</v>
      </c>
      <c r="AR53" s="116">
        <f ca="1">('RB FORECAST'!AW57-$S53)*($T53/12)</f>
        <v>17318.410443631939</v>
      </c>
      <c r="AS53" s="116"/>
      <c r="AT53" s="30">
        <f t="shared" ca="1" si="35"/>
        <v>346845.088032</v>
      </c>
      <c r="AU53" s="30">
        <f t="shared" ca="1" si="36"/>
        <v>227409.36204031933</v>
      </c>
      <c r="AV53" s="30">
        <f t="shared" ca="1" si="37"/>
        <v>-119435.72599168067</v>
      </c>
    </row>
    <row r="54" spans="2:48">
      <c r="B54" s="15"/>
      <c r="C54" s="15"/>
      <c r="D54" s="15"/>
      <c r="E54" s="15"/>
      <c r="F54" s="15"/>
      <c r="G54" s="15"/>
      <c r="N54" s="15">
        <f t="shared" si="1"/>
        <v>45</v>
      </c>
      <c r="R54" s="15" t="s">
        <v>170</v>
      </c>
      <c r="S54" s="1429"/>
      <c r="T54" s="1113">
        <v>3.1800000000000002E-2</v>
      </c>
      <c r="U54" s="776">
        <f t="shared" ref="U54:W54" ca="1" si="38">SUM(U52:U53)</f>
        <v>37859.400005999996</v>
      </c>
      <c r="V54" s="776">
        <f t="shared" ca="1" si="38"/>
        <v>37859.400005999996</v>
      </c>
      <c r="W54" s="776">
        <f t="shared" ca="1" si="38"/>
        <v>27112.628801999999</v>
      </c>
      <c r="X54" s="776">
        <f t="shared" ref="X54:AF54" ca="1" si="39">SUM(X52:X53)</f>
        <v>27112.628801999999</v>
      </c>
      <c r="Y54" s="776">
        <f t="shared" ca="1" si="39"/>
        <v>27112.628801999999</v>
      </c>
      <c r="Z54" s="776">
        <f t="shared" ca="1" si="39"/>
        <v>27112.628801999999</v>
      </c>
      <c r="AA54" s="776">
        <f t="shared" ca="1" si="39"/>
        <v>27112.628801999999</v>
      </c>
      <c r="AB54" s="776">
        <f t="shared" ca="1" si="39"/>
        <v>27112.628801999999</v>
      </c>
      <c r="AC54" s="776">
        <f t="shared" ca="1" si="39"/>
        <v>27112.628801999999</v>
      </c>
      <c r="AD54" s="776">
        <f t="shared" ca="1" si="39"/>
        <v>27112.628801999999</v>
      </c>
      <c r="AE54" s="776">
        <f t="shared" ca="1" si="39"/>
        <v>27112.628801999999</v>
      </c>
      <c r="AF54" s="776">
        <f t="shared" ca="1" si="39"/>
        <v>27112.628801999999</v>
      </c>
      <c r="AG54" s="776">
        <f t="shared" ref="AG54" ca="1" si="40">SUM(AG52:AG53)</f>
        <v>27112.628801999999</v>
      </c>
      <c r="AH54" s="776">
        <f t="shared" ref="AH54:AR54" ca="1" si="41">SUM(AH52:AH53)</f>
        <v>27112.628801999999</v>
      </c>
      <c r="AI54" s="776">
        <f t="shared" ca="1" si="41"/>
        <v>17318.410443631939</v>
      </c>
      <c r="AJ54" s="776">
        <f t="shared" ca="1" si="41"/>
        <v>17318.410443631939</v>
      </c>
      <c r="AK54" s="776">
        <f t="shared" ca="1" si="41"/>
        <v>17318.410443631939</v>
      </c>
      <c r="AL54" s="776">
        <f t="shared" ca="1" si="41"/>
        <v>17318.410443631939</v>
      </c>
      <c r="AM54" s="776">
        <f t="shared" ca="1" si="41"/>
        <v>17318.410443631939</v>
      </c>
      <c r="AN54" s="776">
        <f t="shared" ca="1" si="41"/>
        <v>17318.410443631939</v>
      </c>
      <c r="AO54" s="776">
        <f t="shared" ca="1" si="41"/>
        <v>17318.410443631939</v>
      </c>
      <c r="AP54" s="776">
        <f t="shared" ca="1" si="41"/>
        <v>17318.410443631939</v>
      </c>
      <c r="AQ54" s="776">
        <f t="shared" ca="1" si="41"/>
        <v>17318.410443631939</v>
      </c>
      <c r="AR54" s="776">
        <f t="shared" ca="1" si="41"/>
        <v>17318.410443631939</v>
      </c>
      <c r="AS54" s="186"/>
      <c r="AT54" s="30">
        <f t="shared" ca="1" si="35"/>
        <v>346845.088032</v>
      </c>
      <c r="AU54" s="30">
        <f t="shared" ca="1" si="36"/>
        <v>227409.36204031933</v>
      </c>
      <c r="AV54" s="30">
        <f t="shared" ca="1" si="37"/>
        <v>-119435.72599168067</v>
      </c>
    </row>
    <row r="55" spans="2:48">
      <c r="B55" s="15"/>
      <c r="C55" s="15"/>
      <c r="D55" s="15"/>
      <c r="E55" s="15"/>
      <c r="F55" s="15"/>
      <c r="G55" s="15"/>
      <c r="N55" s="15">
        <f t="shared" si="1"/>
        <v>46</v>
      </c>
      <c r="S55" s="1429"/>
      <c r="T55" s="1113"/>
    </row>
    <row r="56" spans="2:48">
      <c r="B56" s="15"/>
      <c r="C56" s="15"/>
      <c r="D56" s="15"/>
      <c r="E56" s="15"/>
      <c r="F56" s="15"/>
      <c r="G56" s="15"/>
      <c r="N56" s="15">
        <f t="shared" si="1"/>
        <v>47</v>
      </c>
      <c r="P56" s="15" t="s">
        <v>249</v>
      </c>
      <c r="Q56" s="15" t="s">
        <v>250</v>
      </c>
      <c r="S56" s="1429"/>
      <c r="T56" s="1113"/>
    </row>
    <row r="57" spans="2:48">
      <c r="B57" s="15"/>
      <c r="C57" s="15"/>
      <c r="D57" s="15"/>
      <c r="E57" s="15"/>
      <c r="F57" s="15"/>
      <c r="G57" s="15"/>
      <c r="N57" s="15">
        <f t="shared" si="1"/>
        <v>48</v>
      </c>
      <c r="R57" s="15" t="s">
        <v>24</v>
      </c>
      <c r="S57" s="1429"/>
      <c r="T57" s="1223">
        <f>T59</f>
        <v>3.39E-2</v>
      </c>
      <c r="U57" s="116">
        <f ca="1">('RB FORECAST'!V61-$S57)*($T57/12)</f>
        <v>21954.349549376933</v>
      </c>
      <c r="V57" s="116">
        <f ca="1">('RB FORECAST'!W61-$S57)*($T57/12)</f>
        <v>22735.561965270077</v>
      </c>
      <c r="W57" s="116">
        <f ca="1">('RB FORECAST'!X61-$S57)*($T57/12)</f>
        <v>22904.202771213848</v>
      </c>
      <c r="X57" s="116">
        <f ca="1">('RB FORECAST'!Y61-$S57)*($T57/12)</f>
        <v>23067.425022064017</v>
      </c>
      <c r="Y57" s="116">
        <f ca="1">('RB FORECAST'!Z61-$S57)*($T57/12)</f>
        <v>23183.270755486574</v>
      </c>
      <c r="Z57" s="116">
        <f ca="1">('RB FORECAST'!AA61-$S57)*($T57/12)</f>
        <v>23251.473877155415</v>
      </c>
      <c r="AA57" s="116">
        <f ca="1">('RB FORECAST'!AB61-$S57)*($T57/12)</f>
        <v>23251.473877155415</v>
      </c>
      <c r="AB57" s="116">
        <f ca="1">('RB FORECAST'!AC61-$S57)*($T57/12)</f>
        <v>23520.622758005829</v>
      </c>
      <c r="AC57" s="116">
        <f ca="1">('RB FORECAST'!AD61-$S57)*($T57/12)</f>
        <v>23520.622758005829</v>
      </c>
      <c r="AD57" s="116">
        <f ca="1">('RB FORECAST'!AE61-$S57)*($T57/12)</f>
        <v>23788.650521398777</v>
      </c>
      <c r="AE57" s="116">
        <f ca="1">('RB FORECAST'!AF61-$S57)*($T57/12)</f>
        <v>24843.688391347347</v>
      </c>
      <c r="AF57" s="116">
        <f ca="1">('RB FORECAST'!AG61-$S57)*($T57/12)</f>
        <v>25149.127234393258</v>
      </c>
      <c r="AG57" s="116">
        <f ca="1">('RB FORECAST'!AL61-$S57)*($T57/12)</f>
        <v>25333.464444391451</v>
      </c>
      <c r="AH57" s="116">
        <f ca="1">('RB FORECAST'!AM61-$S57)*($T57/12)</f>
        <v>25742.423750016853</v>
      </c>
      <c r="AI57" s="116">
        <f ca="1">('RB FORECAST'!AN61-$S57)*($T57/12)</f>
        <v>25830.706047501873</v>
      </c>
      <c r="AJ57" s="116">
        <f ca="1">('RB FORECAST'!AO61-$S57)*($T57/12)</f>
        <v>25916.151768809294</v>
      </c>
      <c r="AK57" s="116">
        <f ca="1">('RB FORECAST'!AP61-$S57)*($T57/12)</f>
        <v>25976.796210367469</v>
      </c>
      <c r="AL57" s="116">
        <f ca="1">('RB FORECAST'!AQ61-$S57)*($T57/12)</f>
        <v>26012.500073634012</v>
      </c>
      <c r="AM57" s="116">
        <f ca="1">('RB FORECAST'!AR61-$S57)*($T57/12)</f>
        <v>26012.500073634012</v>
      </c>
      <c r="AN57" s="116">
        <f ca="1">('RB FORECAST'!AS61-$S57)*($T57/12)</f>
        <v>26153.397654347184</v>
      </c>
      <c r="AO57" s="116">
        <f ca="1">('RB FORECAST'!AT61-$S57)*($T57/12)</f>
        <v>26153.397654347184</v>
      </c>
      <c r="AP57" s="116">
        <f ca="1">('RB FORECAST'!AU61-$S57)*($T57/12)</f>
        <v>26293.708337812433</v>
      </c>
      <c r="AQ57" s="116">
        <f ca="1">('RB FORECAST'!AV61-$S57)*($T57/12)</f>
        <v>26846.013377933152</v>
      </c>
      <c r="AR57" s="116">
        <f ca="1">('RB FORECAST'!AW61-$S57)*($T57/12)</f>
        <v>27005.908503281709</v>
      </c>
      <c r="AS57" s="116"/>
      <c r="AT57" s="30">
        <f t="shared" ref="AT57:AT59" ca="1" si="42">SUM(U57:AF57)</f>
        <v>281170.46948087338</v>
      </c>
      <c r="AU57" s="30">
        <f t="shared" ref="AU57:AU59" ca="1" si="43">SUM(AG57:AR57)</f>
        <v>313276.96789607656</v>
      </c>
      <c r="AV57" s="30">
        <f t="shared" ref="AV57:AV59" ca="1" si="44">AU57-AT57</f>
        <v>32106.498415203183</v>
      </c>
    </row>
    <row r="58" spans="2:48">
      <c r="B58" s="15"/>
      <c r="C58" s="15"/>
      <c r="D58" s="15"/>
      <c r="E58" s="15"/>
      <c r="F58" s="15"/>
      <c r="G58" s="15"/>
      <c r="N58" s="15">
        <f t="shared" si="1"/>
        <v>49</v>
      </c>
      <c r="R58" s="15" t="s">
        <v>14</v>
      </c>
      <c r="S58" s="1429"/>
      <c r="T58" s="1223">
        <f>T59</f>
        <v>3.39E-2</v>
      </c>
      <c r="U58" s="116">
        <f ca="1">('RB FORECAST'!V62-$S58)*($T58/12)</f>
        <v>290659.25484040496</v>
      </c>
      <c r="V58" s="116">
        <f ca="1">('RB FORECAST'!W62-$S58)*($T58/12)</f>
        <v>301001.92603477964</v>
      </c>
      <c r="W58" s="116">
        <f ca="1">('RB FORECAST'!X62-$S58)*($T58/12)</f>
        <v>303234.60484318883</v>
      </c>
      <c r="X58" s="116">
        <f ca="1">('RB FORECAST'!Y62-$S58)*($T58/12)</f>
        <v>305395.54601335578</v>
      </c>
      <c r="Y58" s="116">
        <f ca="1">('RB FORECAST'!Z62-$S58)*($T58/12)</f>
        <v>306929.25733909145</v>
      </c>
      <c r="Z58" s="116">
        <f ca="1">('RB FORECAST'!AA62-$S58)*($T58/12)</f>
        <v>307832.21592948237</v>
      </c>
      <c r="AA58" s="116">
        <f ca="1">('RB FORECAST'!AB62-$S58)*($T58/12)</f>
        <v>307832.21592948237</v>
      </c>
      <c r="AB58" s="116">
        <f ca="1">('RB FORECAST'!AC62-$S58)*($T58/12)</f>
        <v>311395.54687550582</v>
      </c>
      <c r="AC58" s="116">
        <f ca="1">('RB FORECAST'!AD62-$S58)*($T58/12)</f>
        <v>311395.54687550582</v>
      </c>
      <c r="AD58" s="116">
        <f ca="1">('RB FORECAST'!AE62-$S58)*($T58/12)</f>
        <v>314944.03506046068</v>
      </c>
      <c r="AE58" s="116">
        <f ca="1">('RB FORECAST'!AF62-$S58)*($T58/12)</f>
        <v>328911.95155090227</v>
      </c>
      <c r="AF58" s="116">
        <f ca="1">('RB FORECAST'!AG62-$S58)*($T58/12)</f>
        <v>332955.73459805513</v>
      </c>
      <c r="AG58" s="116">
        <f ca="1">('RB FORECAST'!AL62-$S58)*($T58/12)</f>
        <v>335396.2221186228</v>
      </c>
      <c r="AH58" s="116">
        <f ca="1">('RB FORECAST'!AM62-$S58)*($T58/12)</f>
        <v>340810.53907507763</v>
      </c>
      <c r="AI58" s="116">
        <f ca="1">('RB FORECAST'!AN62-$S58)*($T58/12)</f>
        <v>341979.33101513871</v>
      </c>
      <c r="AJ58" s="116">
        <f ca="1">('RB FORECAST'!AO62-$S58)*($T58/12)</f>
        <v>343110.56879691209</v>
      </c>
      <c r="AK58" s="116">
        <f ca="1">('RB FORECAST'!AP62-$S58)*($T58/12)</f>
        <v>343913.45608600567</v>
      </c>
      <c r="AL58" s="116">
        <f ca="1">('RB FORECAST'!AQ62-$S58)*($T58/12)</f>
        <v>344386.14867335092</v>
      </c>
      <c r="AM58" s="116">
        <f ca="1">('RB FORECAST'!AR62-$S58)*($T58/12)</f>
        <v>344386.14867335092</v>
      </c>
      <c r="AN58" s="116">
        <f ca="1">('RB FORECAST'!AS62-$S58)*($T58/12)</f>
        <v>346251.5278196017</v>
      </c>
      <c r="AO58" s="116">
        <f ca="1">('RB FORECAST'!AT62-$S58)*($T58/12)</f>
        <v>346251.5278196017</v>
      </c>
      <c r="AP58" s="116">
        <f ca="1">('RB FORECAST'!AU62-$S58)*($T58/12)</f>
        <v>348109.13688291895</v>
      </c>
      <c r="AQ58" s="116">
        <f ca="1">('RB FORECAST'!AV62-$S58)*($T58/12)</f>
        <v>355421.24472036771</v>
      </c>
      <c r="AR58" s="116">
        <f ca="1">('RB FORECAST'!AW62-$S58)*($T58/12)</f>
        <v>357538.13722414698</v>
      </c>
      <c r="AS58" s="116"/>
      <c r="AT58" s="30">
        <f t="shared" ca="1" si="42"/>
        <v>3722487.8358902149</v>
      </c>
      <c r="AU58" s="30">
        <f t="shared" ca="1" si="43"/>
        <v>4147553.988905096</v>
      </c>
      <c r="AV58" s="30">
        <f t="shared" ca="1" si="44"/>
        <v>425066.15301488107</v>
      </c>
    </row>
    <row r="59" spans="2:48">
      <c r="B59" s="15"/>
      <c r="C59" s="15"/>
      <c r="D59" s="15"/>
      <c r="E59" s="15"/>
      <c r="F59" s="15"/>
      <c r="G59" s="15"/>
      <c r="N59" s="15">
        <f t="shared" si="1"/>
        <v>50</v>
      </c>
      <c r="R59" s="15" t="s">
        <v>170</v>
      </c>
      <c r="S59" s="1429"/>
      <c r="T59" s="1113">
        <v>3.39E-2</v>
      </c>
      <c r="U59" s="776">
        <f t="shared" ref="U59:W59" ca="1" si="45">SUM(U57:U58)</f>
        <v>312613.60438978189</v>
      </c>
      <c r="V59" s="776">
        <f t="shared" ca="1" si="45"/>
        <v>323737.48800004972</v>
      </c>
      <c r="W59" s="776">
        <f t="shared" ca="1" si="45"/>
        <v>326138.80761440267</v>
      </c>
      <c r="X59" s="776">
        <f t="shared" ref="X59:AF59" ca="1" si="46">SUM(X57:X58)</f>
        <v>328462.97103541979</v>
      </c>
      <c r="Y59" s="776">
        <f t="shared" ca="1" si="46"/>
        <v>330112.52809457801</v>
      </c>
      <c r="Z59" s="776">
        <f t="shared" ca="1" si="46"/>
        <v>331083.68980663776</v>
      </c>
      <c r="AA59" s="776">
        <f t="shared" ca="1" si="46"/>
        <v>331083.68980663776</v>
      </c>
      <c r="AB59" s="776">
        <f t="shared" ca="1" si="46"/>
        <v>334916.16963351163</v>
      </c>
      <c r="AC59" s="776">
        <f t="shared" ca="1" si="46"/>
        <v>334916.16963351163</v>
      </c>
      <c r="AD59" s="776">
        <f t="shared" ca="1" si="46"/>
        <v>338732.68558185943</v>
      </c>
      <c r="AE59" s="776">
        <f t="shared" ca="1" si="46"/>
        <v>353755.63994224963</v>
      </c>
      <c r="AF59" s="776">
        <f t="shared" ca="1" si="46"/>
        <v>358104.8618324484</v>
      </c>
      <c r="AG59" s="776">
        <f t="shared" ref="AG59" ca="1" si="47">SUM(AG57:AG58)</f>
        <v>360729.68656301423</v>
      </c>
      <c r="AH59" s="776">
        <f t="shared" ref="AH59:AR59" ca="1" si="48">SUM(AH57:AH58)</f>
        <v>366552.96282509447</v>
      </c>
      <c r="AI59" s="776">
        <f t="shared" ca="1" si="48"/>
        <v>367810.03706264059</v>
      </c>
      <c r="AJ59" s="776">
        <f t="shared" ca="1" si="48"/>
        <v>369026.72056572139</v>
      </c>
      <c r="AK59" s="776">
        <f t="shared" ca="1" si="48"/>
        <v>369890.25229637313</v>
      </c>
      <c r="AL59" s="776">
        <f t="shared" ca="1" si="48"/>
        <v>370398.64874698495</v>
      </c>
      <c r="AM59" s="776">
        <f t="shared" ca="1" si="48"/>
        <v>370398.64874698495</v>
      </c>
      <c r="AN59" s="776">
        <f t="shared" ca="1" si="48"/>
        <v>372404.92547394888</v>
      </c>
      <c r="AO59" s="776">
        <f t="shared" ca="1" si="48"/>
        <v>372404.92547394888</v>
      </c>
      <c r="AP59" s="776">
        <f t="shared" ca="1" si="48"/>
        <v>374402.8452207314</v>
      </c>
      <c r="AQ59" s="776">
        <f t="shared" ca="1" si="48"/>
        <v>382267.2580983009</v>
      </c>
      <c r="AR59" s="776">
        <f t="shared" ca="1" si="48"/>
        <v>384544.04572742869</v>
      </c>
      <c r="AS59" s="186"/>
      <c r="AT59" s="30">
        <f t="shared" ca="1" si="42"/>
        <v>4003658.3053710875</v>
      </c>
      <c r="AU59" s="30">
        <f t="shared" ca="1" si="43"/>
        <v>4460830.9568011733</v>
      </c>
      <c r="AV59" s="30">
        <f t="shared" ca="1" si="44"/>
        <v>457172.65143008577</v>
      </c>
    </row>
    <row r="60" spans="2:48">
      <c r="B60" s="15"/>
      <c r="C60" s="15"/>
      <c r="D60" s="15"/>
      <c r="E60" s="15"/>
      <c r="F60" s="15"/>
      <c r="G60" s="15"/>
      <c r="N60" s="15">
        <f t="shared" si="1"/>
        <v>51</v>
      </c>
      <c r="S60" s="1429"/>
      <c r="T60" s="1113"/>
    </row>
    <row r="61" spans="2:48">
      <c r="B61" s="15"/>
      <c r="C61" s="15"/>
      <c r="D61" s="15"/>
      <c r="E61" s="15"/>
      <c r="F61" s="15"/>
      <c r="G61" s="15"/>
      <c r="N61" s="15">
        <f t="shared" si="1"/>
        <v>52</v>
      </c>
      <c r="P61" s="15" t="s">
        <v>251</v>
      </c>
      <c r="Q61" s="15" t="s">
        <v>780</v>
      </c>
      <c r="S61" s="1429"/>
      <c r="T61" s="1113"/>
    </row>
    <row r="62" spans="2:48">
      <c r="B62" s="15"/>
      <c r="C62" s="15"/>
      <c r="D62" s="15"/>
      <c r="E62" s="15"/>
      <c r="F62" s="15"/>
      <c r="G62" s="15"/>
      <c r="N62" s="15">
        <f t="shared" si="1"/>
        <v>53</v>
      </c>
      <c r="R62" s="15" t="s">
        <v>24</v>
      </c>
      <c r="S62" s="1430">
        <f>S64*('RB FORECAST'!R66/'RB FORECAST'!R68)</f>
        <v>25073.726501266203</v>
      </c>
      <c r="T62" s="1223">
        <f>T64</f>
        <v>3.4090000000000002E-2</v>
      </c>
      <c r="U62" s="116">
        <f ca="1">('RB FORECAST'!V66-$S62)*($T62/12)</f>
        <v>57282.996733276086</v>
      </c>
      <c r="V62" s="116">
        <f ca="1">('RB FORECAST'!W66-$S62)*($T62/12)</f>
        <v>57284.127635092394</v>
      </c>
      <c r="W62" s="116">
        <f ca="1">('RB FORECAST'!X66-$S62)*($T62/12)</f>
        <v>57592.210154202025</v>
      </c>
      <c r="X62" s="116">
        <f ca="1">('RB FORECAST'!Y66-$S62)*($T62/12)</f>
        <v>57676.622282282748</v>
      </c>
      <c r="Y62" s="116">
        <f ca="1">('RB FORECAST'!Z66-$S62)*($T62/12)</f>
        <v>57709.649401477538</v>
      </c>
      <c r="Z62" s="116">
        <f ca="1">('RB FORECAST'!AA66-$S62)*($T62/12)</f>
        <v>57771.7750526327</v>
      </c>
      <c r="AA62" s="116">
        <f ca="1">('RB FORECAST'!AB66-$S62)*($T62/12)</f>
        <v>57835.848239969353</v>
      </c>
      <c r="AB62" s="116">
        <f ca="1">('RB FORECAST'!AC66-$S62)*($T62/12)</f>
        <v>57932.134350317123</v>
      </c>
      <c r="AC62" s="116">
        <f ca="1">('RB FORECAST'!AD66-$S62)*($T62/12)</f>
        <v>57932.134350317123</v>
      </c>
      <c r="AD62" s="116">
        <f ca="1">('RB FORECAST'!AE66-$S62)*($T62/12)</f>
        <v>58083.665676195502</v>
      </c>
      <c r="AE62" s="116">
        <f ca="1">('RB FORECAST'!AF66-$S62)*($T62/12)</f>
        <v>58166.739213775661</v>
      </c>
      <c r="AF62" s="116">
        <f ca="1">('RB FORECAST'!AG66-$S62)*($T62/12)</f>
        <v>58338.342807692592</v>
      </c>
      <c r="AG62" s="116">
        <f ca="1">('RB FORECAST'!AL66-$S62)*($T62/12)</f>
        <v>58647.036523232651</v>
      </c>
      <c r="AH62" s="116">
        <f ca="1">('RB FORECAST'!AM66-$S62)*($T62/12)</f>
        <v>58648.751527392385</v>
      </c>
      <c r="AI62" s="116">
        <f ca="1">('RB FORECAST'!AN66-$S62)*($T62/12)</f>
        <v>59115.956367101418</v>
      </c>
      <c r="AJ62" s="116">
        <f ca="1">('RB FORECAST'!AO66-$S62)*($T62/12)</f>
        <v>59243.966729011678</v>
      </c>
      <c r="AK62" s="116">
        <f ca="1">('RB FORECAST'!AP66-$S62)*($T62/12)</f>
        <v>59294.052108649747</v>
      </c>
      <c r="AL62" s="116">
        <f ca="1">('RB FORECAST'!AQ66-$S62)*($T62/12)</f>
        <v>59388.265194720479</v>
      </c>
      <c r="AM62" s="116">
        <f ca="1">('RB FORECAST'!AR66-$S62)*($T62/12)</f>
        <v>59485.431704867769</v>
      </c>
      <c r="AN62" s="116">
        <f ca="1">('RB FORECAST'!AS66-$S62)*($T62/12)</f>
        <v>59631.44887222036</v>
      </c>
      <c r="AO62" s="116">
        <f ca="1">('RB FORECAST'!AT66-$S62)*($T62/12)</f>
        <v>59631.44887222036</v>
      </c>
      <c r="AP62" s="116">
        <f ca="1">('RB FORECAST'!AU66-$S62)*($T62/12)</f>
        <v>59861.244996396774</v>
      </c>
      <c r="AQ62" s="116">
        <f ca="1">('RB FORECAST'!AV66-$S62)*($T62/12)</f>
        <v>59987.225395808477</v>
      </c>
      <c r="AR62" s="116">
        <f ca="1">('RB FORECAST'!AW66-$S62)*($T62/12)</f>
        <v>60247.460964581267</v>
      </c>
      <c r="AS62" s="116"/>
      <c r="AT62" s="30">
        <f t="shared" ref="AT62:AT64" ca="1" si="49">SUM(U62:AF62)</f>
        <v>693606.24589723081</v>
      </c>
      <c r="AU62" s="30">
        <f t="shared" ref="AU62:AU64" ca="1" si="50">SUM(AG62:AR62)</f>
        <v>713182.28925620334</v>
      </c>
      <c r="AV62" s="30">
        <f t="shared" ref="AV62:AV64" ca="1" si="51">AU62-AT62</f>
        <v>19576.043358972529</v>
      </c>
    </row>
    <row r="63" spans="2:48">
      <c r="B63" s="15"/>
      <c r="C63" s="15"/>
      <c r="D63" s="15"/>
      <c r="E63" s="15"/>
      <c r="F63" s="15"/>
      <c r="G63" s="15"/>
      <c r="N63" s="15">
        <f t="shared" si="1"/>
        <v>54</v>
      </c>
      <c r="R63" s="15" t="s">
        <v>14</v>
      </c>
      <c r="S63" s="1430">
        <f>S64*('RB FORECAST'!R67/'RB FORECAST'!R68)</f>
        <v>490209.35349873384</v>
      </c>
      <c r="T63" s="1223">
        <f>T64</f>
        <v>3.4090000000000002E-2</v>
      </c>
      <c r="U63" s="116">
        <f ca="1">('RB FORECAST'!V67-$S63)*($T63/12)</f>
        <v>1119923.7095320194</v>
      </c>
      <c r="V63" s="116">
        <f ca="1">('RB FORECAST'!W67-$S63)*($T63/12)</f>
        <v>1119945.8194744014</v>
      </c>
      <c r="W63" s="116">
        <f ca="1">('RB FORECAST'!X67-$S63)*($T63/12)</f>
        <v>1125969.0538950756</v>
      </c>
      <c r="X63" s="116">
        <f ca="1">('RB FORECAST'!Y67-$S63)*($T63/12)</f>
        <v>1127619.3715984216</v>
      </c>
      <c r="Y63" s="116">
        <f ca="1">('RB FORECAST'!Z67-$S63)*($T63/12)</f>
        <v>1128265.0754888102</v>
      </c>
      <c r="Z63" s="116">
        <f ca="1">('RB FORECAST'!AA67-$S63)*($T63/12)</f>
        <v>1129479.676568826</v>
      </c>
      <c r="AA63" s="116">
        <f ca="1">('RB FORECAST'!AB67-$S63)*($T63/12)</f>
        <v>1130732.3533793238</v>
      </c>
      <c r="AB63" s="116">
        <f ca="1">('RB FORECAST'!AC67-$S63)*($T63/12)</f>
        <v>1132614.815960309</v>
      </c>
      <c r="AC63" s="116">
        <f ca="1">('RB FORECAST'!AD67-$S63)*($T63/12)</f>
        <v>1132614.815960309</v>
      </c>
      <c r="AD63" s="116">
        <f ca="1">('RB FORECAST'!AE67-$S63)*($T63/12)</f>
        <v>1135577.3621653933</v>
      </c>
      <c r="AE63" s="116">
        <f ca="1">('RB FORECAST'!AF67-$S63)*($T63/12)</f>
        <v>1137201.5094634809</v>
      </c>
      <c r="AF63" s="116">
        <f ca="1">('RB FORECAST'!AG67-$S63)*($T63/12)</f>
        <v>1140556.4829185766</v>
      </c>
      <c r="AG63" s="116">
        <f ca="1">('RB FORECAST'!AL67-$S63)*($T63/12)</f>
        <v>1146591.6666682428</v>
      </c>
      <c r="AH63" s="116">
        <f ca="1">('RB FORECAST'!AM67-$S63)*($T63/12)</f>
        <v>1146625.1962307652</v>
      </c>
      <c r="AI63" s="116">
        <f ca="1">('RB FORECAST'!AN67-$S63)*($T63/12)</f>
        <v>1155759.3862528857</v>
      </c>
      <c r="AJ63" s="116">
        <f ca="1">('RB FORECAST'!AO67-$S63)*($T63/12)</f>
        <v>1158262.0807267206</v>
      </c>
      <c r="AK63" s="116">
        <f ca="1">('RB FORECAST'!AP67-$S63)*($T63/12)</f>
        <v>1159241.2858548802</v>
      </c>
      <c r="AL63" s="116">
        <f ca="1">('RB FORECAST'!AQ67-$S63)*($T63/12)</f>
        <v>1161083.2193230274</v>
      </c>
      <c r="AM63" s="116">
        <f ca="1">('RB FORECAST'!AR67-$S63)*($T63/12)</f>
        <v>1162982.8943521311</v>
      </c>
      <c r="AN63" s="116">
        <f ca="1">('RB FORECAST'!AS67-$S63)*($T63/12)</f>
        <v>1165837.6347994281</v>
      </c>
      <c r="AO63" s="116">
        <f ca="1">('RB FORECAST'!AT67-$S63)*($T63/12)</f>
        <v>1165837.6347994281</v>
      </c>
      <c r="AP63" s="116">
        <f ca="1">('RB FORECAST'!AU67-$S63)*($T63/12)</f>
        <v>1170330.3139974463</v>
      </c>
      <c r="AQ63" s="116">
        <f ca="1">('RB FORECAST'!AV67-$S63)*($T63/12)</f>
        <v>1172793.3212471269</v>
      </c>
      <c r="AR63" s="116">
        <f ca="1">('RB FORECAST'!AW67-$S63)*($T63/12)</f>
        <v>1177881.1134394458</v>
      </c>
      <c r="AS63" s="116"/>
      <c r="AT63" s="30">
        <f t="shared" ca="1" si="49"/>
        <v>13560500.046404948</v>
      </c>
      <c r="AU63" s="30">
        <f t="shared" ca="1" si="50"/>
        <v>13943225.747691529</v>
      </c>
      <c r="AV63" s="30">
        <f t="shared" ca="1" si="51"/>
        <v>382725.70128658041</v>
      </c>
    </row>
    <row r="64" spans="2:48">
      <c r="B64" s="15"/>
      <c r="C64" s="15"/>
      <c r="D64" s="15"/>
      <c r="E64" s="15"/>
      <c r="F64" s="15"/>
      <c r="G64" s="15"/>
      <c r="N64" s="15">
        <f t="shared" si="1"/>
        <v>55</v>
      </c>
      <c r="R64" s="15" t="s">
        <v>170</v>
      </c>
      <c r="S64" s="1429">
        <v>515283.08</v>
      </c>
      <c r="T64" s="1113">
        <v>3.4090000000000002E-2</v>
      </c>
      <c r="U64" s="776">
        <f t="shared" ref="U64:W64" ca="1" si="52">SUM(U62:U63)</f>
        <v>1177206.7062652956</v>
      </c>
      <c r="V64" s="776">
        <f t="shared" ca="1" si="52"/>
        <v>1177229.9471094939</v>
      </c>
      <c r="W64" s="776">
        <f t="shared" ca="1" si="52"/>
        <v>1183561.2640492776</v>
      </c>
      <c r="X64" s="776">
        <f t="shared" ref="X64:AF64" ca="1" si="53">SUM(X62:X63)</f>
        <v>1185295.9938807043</v>
      </c>
      <c r="Y64" s="776">
        <f t="shared" ca="1" si="53"/>
        <v>1185974.7248902877</v>
      </c>
      <c r="Z64" s="776">
        <f t="shared" ca="1" si="53"/>
        <v>1187251.4516214586</v>
      </c>
      <c r="AA64" s="776">
        <f t="shared" ca="1" si="53"/>
        <v>1188568.2016192933</v>
      </c>
      <c r="AB64" s="776">
        <f t="shared" ca="1" si="53"/>
        <v>1190546.9503106261</v>
      </c>
      <c r="AC64" s="776">
        <f t="shared" ca="1" si="53"/>
        <v>1190546.9503106261</v>
      </c>
      <c r="AD64" s="776">
        <f t="shared" ca="1" si="53"/>
        <v>1193661.0278415887</v>
      </c>
      <c r="AE64" s="776">
        <f t="shared" ca="1" si="53"/>
        <v>1195368.2486772565</v>
      </c>
      <c r="AF64" s="776">
        <f t="shared" ca="1" si="53"/>
        <v>1198894.8257262693</v>
      </c>
      <c r="AG64" s="776">
        <f t="shared" ref="AG64" ca="1" si="54">SUM(AG62:AG63)</f>
        <v>1205238.7031914755</v>
      </c>
      <c r="AH64" s="776">
        <f t="shared" ref="AH64:AR64" ca="1" si="55">SUM(AH62:AH63)</f>
        <v>1205273.9477581575</v>
      </c>
      <c r="AI64" s="776">
        <f t="shared" ca="1" si="55"/>
        <v>1214875.3426199872</v>
      </c>
      <c r="AJ64" s="776">
        <f t="shared" ca="1" si="55"/>
        <v>1217506.0474557322</v>
      </c>
      <c r="AK64" s="776">
        <f t="shared" ca="1" si="55"/>
        <v>1218535.3379635299</v>
      </c>
      <c r="AL64" s="776">
        <f t="shared" ca="1" si="55"/>
        <v>1220471.484517748</v>
      </c>
      <c r="AM64" s="776">
        <f t="shared" ca="1" si="55"/>
        <v>1222468.3260569989</v>
      </c>
      <c r="AN64" s="776">
        <f t="shared" ca="1" si="55"/>
        <v>1225469.0836716485</v>
      </c>
      <c r="AO64" s="776">
        <f t="shared" ca="1" si="55"/>
        <v>1225469.0836716485</v>
      </c>
      <c r="AP64" s="776">
        <f t="shared" ca="1" si="55"/>
        <v>1230191.5589938432</v>
      </c>
      <c r="AQ64" s="776">
        <f t="shared" ca="1" si="55"/>
        <v>1232780.5466429354</v>
      </c>
      <c r="AR64" s="776">
        <f t="shared" ca="1" si="55"/>
        <v>1238128.5744040271</v>
      </c>
      <c r="AS64" s="186"/>
      <c r="AT64" s="30">
        <f t="shared" ca="1" si="49"/>
        <v>14254106.292302174</v>
      </c>
      <c r="AU64" s="30">
        <f t="shared" ca="1" si="50"/>
        <v>14656408.036947729</v>
      </c>
      <c r="AV64" s="30">
        <f t="shared" ca="1" si="51"/>
        <v>402301.74464555457</v>
      </c>
    </row>
    <row r="65" spans="2:48">
      <c r="B65" s="15"/>
      <c r="C65" s="15"/>
      <c r="D65" s="15"/>
      <c r="E65" s="15"/>
      <c r="F65" s="15"/>
      <c r="G65" s="15"/>
      <c r="N65" s="15">
        <f t="shared" si="1"/>
        <v>56</v>
      </c>
      <c r="S65" s="1429"/>
      <c r="T65" s="1113"/>
    </row>
    <row r="66" spans="2:48">
      <c r="B66" s="15"/>
      <c r="C66" s="15"/>
      <c r="D66" s="15"/>
      <c r="E66" s="15"/>
      <c r="F66" s="15"/>
      <c r="G66" s="15"/>
      <c r="N66" s="15">
        <f t="shared" si="1"/>
        <v>57</v>
      </c>
      <c r="P66" s="15" t="s">
        <v>252</v>
      </c>
      <c r="Q66" s="15" t="s">
        <v>253</v>
      </c>
      <c r="S66" s="1429"/>
      <c r="T66" s="1113"/>
    </row>
    <row r="67" spans="2:48">
      <c r="B67" s="15"/>
      <c r="C67" s="15"/>
      <c r="D67" s="15"/>
      <c r="E67" s="15"/>
      <c r="F67" s="15"/>
      <c r="G67" s="15"/>
      <c r="N67" s="15">
        <f t="shared" si="1"/>
        <v>58</v>
      </c>
      <c r="R67" s="15" t="s">
        <v>24</v>
      </c>
      <c r="S67" s="1430">
        <f>S69*('RB FORECAST'!R71/'RB FORECAST'!R73)</f>
        <v>52630.052061064525</v>
      </c>
      <c r="T67" s="1223">
        <f>T69</f>
        <v>3.7100000000000001E-2</v>
      </c>
      <c r="U67" s="116">
        <f ca="1">('RB FORECAST'!V71-$S67)*($T67/12)</f>
        <v>32606.509844538523</v>
      </c>
      <c r="V67" s="116">
        <f ca="1">('RB FORECAST'!W71-$S67)*($T67/12)</f>
        <v>32808.644194047294</v>
      </c>
      <c r="W67" s="116">
        <f ca="1">('RB FORECAST'!X71-$S67)*($T67/12)</f>
        <v>33004.849734653508</v>
      </c>
      <c r="X67" s="116">
        <f ca="1">('RB FORECAST'!Y71-$S67)*($T67/12)</f>
        <v>33180.385327282958</v>
      </c>
      <c r="Y67" s="116">
        <f ca="1">('RB FORECAST'!Z71-$S67)*($T67/12)</f>
        <v>33607.361735229846</v>
      </c>
      <c r="Z67" s="116">
        <f ca="1">('RB FORECAST'!AA71-$S67)*($T67/12)</f>
        <v>33716.650528111102</v>
      </c>
      <c r="AA67" s="116">
        <f ca="1">('RB FORECAST'!AB71-$S67)*($T67/12)</f>
        <v>34121.724710360279</v>
      </c>
      <c r="AB67" s="116">
        <f ca="1">('RB FORECAST'!AC71-$S67)*($T67/12)</f>
        <v>34440.225043492261</v>
      </c>
      <c r="AC67" s="116">
        <f ca="1">('RB FORECAST'!AD71-$S67)*($T67/12)</f>
        <v>34421.085020595528</v>
      </c>
      <c r="AD67" s="116">
        <f ca="1">('RB FORECAST'!AE71-$S67)*($T67/12)</f>
        <v>34766.870061437898</v>
      </c>
      <c r="AE67" s="116">
        <f ca="1">('RB FORECAST'!AF71-$S67)*($T67/12)</f>
        <v>35101.811629235701</v>
      </c>
      <c r="AF67" s="116">
        <f ca="1">('RB FORECAST'!AG71-$S67)*($T67/12)</f>
        <v>35695.365480635504</v>
      </c>
      <c r="AG67" s="116">
        <f ca="1">('RB FORECAST'!AL71-$S67)*($T67/12)</f>
        <v>35927.169337065141</v>
      </c>
      <c r="AH67" s="116">
        <f ca="1">('RB FORECAST'!AM71-$S67)*($T67/12)</f>
        <v>36054.816108666564</v>
      </c>
      <c r="AI67" s="116">
        <f ca="1">('RB FORECAST'!AN71-$S67)*($T67/12)</f>
        <v>36178.718868833552</v>
      </c>
      <c r="AJ67" s="116">
        <f ca="1">('RB FORECAST'!AO71-$S67)*($T67/12)</f>
        <v>36289.56866628136</v>
      </c>
      <c r="AK67" s="116">
        <f ca="1">('RB FORECAST'!AP71-$S67)*($T67/12)</f>
        <v>36559.202007456886</v>
      </c>
      <c r="AL67" s="116">
        <f ca="1">('RB FORECAST'!AQ71-$S67)*($T67/12)</f>
        <v>36628.217301578894</v>
      </c>
      <c r="AM67" s="116">
        <f ca="1">('RB FORECAST'!AR71-$S67)*($T67/12)</f>
        <v>36884.019503178242</v>
      </c>
      <c r="AN67" s="116">
        <f ca="1">('RB FORECAST'!AS71-$S67)*($T67/12)</f>
        <v>37085.15077738808</v>
      </c>
      <c r="AO67" s="116">
        <f ca="1">('RB FORECAST'!AT71-$S67)*($T67/12)</f>
        <v>37073.063954257406</v>
      </c>
      <c r="AP67" s="116">
        <f ca="1">('RB FORECAST'!AU71-$S67)*($T67/12)</f>
        <v>37291.425376939202</v>
      </c>
      <c r="AQ67" s="116">
        <f ca="1">('RB FORECAST'!AV71-$S67)*($T67/12)</f>
        <v>37502.939203799455</v>
      </c>
      <c r="AR67" s="116">
        <f ca="1">('RB FORECAST'!AW71-$S67)*($T67/12)</f>
        <v>37877.76531864288</v>
      </c>
      <c r="AS67" s="116"/>
      <c r="AT67" s="30">
        <f t="shared" ref="AT67:AT69" ca="1" si="56">SUM(U67:AF67)</f>
        <v>407471.48330962035</v>
      </c>
      <c r="AU67" s="30">
        <f t="shared" ref="AU67:AU69" ca="1" si="57">SUM(AG67:AR67)</f>
        <v>441352.05642408767</v>
      </c>
      <c r="AV67" s="30">
        <f t="shared" ref="AV67:AV69" ca="1" si="58">AU67-AT67</f>
        <v>33880.573114467319</v>
      </c>
    </row>
    <row r="68" spans="2:48">
      <c r="B68" s="15"/>
      <c r="C68" s="15"/>
      <c r="D68" s="15"/>
      <c r="E68" s="15"/>
      <c r="F68" s="15"/>
      <c r="G68" s="15"/>
      <c r="N68" s="15">
        <f t="shared" si="1"/>
        <v>59</v>
      </c>
      <c r="R68" s="15" t="s">
        <v>14</v>
      </c>
      <c r="S68" s="1430">
        <f>S69*('RB FORECAST'!R72/'RB FORECAST'!R73)</f>
        <v>1667057.5699389353</v>
      </c>
      <c r="T68" s="1223">
        <f>T69</f>
        <v>3.7100000000000001E-2</v>
      </c>
      <c r="U68" s="256">
        <f ca="1">('RB FORECAST'!V72-$S68)*($T68/12)</f>
        <v>1032811.6149791798</v>
      </c>
      <c r="V68" s="256">
        <f ca="1">('RB FORECAST'!W72-$S68)*($T68/12)</f>
        <v>1039214.2230765899</v>
      </c>
      <c r="W68" s="256">
        <f ca="1">('RB FORECAST'!X72-$S68)*($T68/12)</f>
        <v>1045429.0360764335</v>
      </c>
      <c r="X68" s="256">
        <f ca="1">('RB FORECAST'!Y72-$S68)*($T68/12)</f>
        <v>1050989.1282106219</v>
      </c>
      <c r="Y68" s="256">
        <f ca="1">('RB FORECAST'!Z72-$S68)*($T68/12)</f>
        <v>1064513.6113752464</v>
      </c>
      <c r="Z68" s="256">
        <f ca="1">('RB FORECAST'!AA72-$S68)*($T68/12)</f>
        <v>1067975.3352829255</v>
      </c>
      <c r="AA68" s="256">
        <f ca="1">('RB FORECAST'!AB72-$S68)*($T68/12)</f>
        <v>1080806.0651693756</v>
      </c>
      <c r="AB68" s="256">
        <f ca="1">('RB FORECAST'!AC72-$S68)*($T68/12)</f>
        <v>1090894.5672814331</v>
      </c>
      <c r="AC68" s="256">
        <f ca="1">('RB FORECAST'!AD72-$S68)*($T68/12)</f>
        <v>1090288.3068121902</v>
      </c>
      <c r="AD68" s="256">
        <f ca="1">('RB FORECAST'!AE72-$S68)*($T68/12)</f>
        <v>1101241.0523887877</v>
      </c>
      <c r="AE68" s="256">
        <f ca="1">('RB FORECAST'!AF72-$S68)*($T68/12)</f>
        <v>1111850.3308184706</v>
      </c>
      <c r="AF68" s="256">
        <f ca="1">('RB FORECAST'!AG72-$S68)*($T68/12)</f>
        <v>1130651.1566279223</v>
      </c>
      <c r="AG68" s="256">
        <f ca="1">('RB FORECAST'!AL72-$S68)*($T68/12)</f>
        <v>1137993.5467352644</v>
      </c>
      <c r="AH68" s="256">
        <f ca="1">('RB FORECAST'!AM72-$S68)*($T68/12)</f>
        <v>1142036.7598529242</v>
      </c>
      <c r="AI68" s="256">
        <f ca="1">('RB FORECAST'!AN72-$S68)*($T68/12)</f>
        <v>1145961.3813606713</v>
      </c>
      <c r="AJ68" s="256">
        <f ca="1">('RB FORECAST'!AO72-$S68)*($T68/12)</f>
        <v>1149472.5501078947</v>
      </c>
      <c r="AK68" s="256">
        <f ca="1">('RB FORECAST'!AP72-$S68)*($T68/12)</f>
        <v>1158013.1896267969</v>
      </c>
      <c r="AL68" s="256">
        <f ca="1">('RB FORECAST'!AQ72-$S68)*($T68/12)</f>
        <v>1160199.2499478878</v>
      </c>
      <c r="AM68" s="256">
        <f ca="1">('RB FORECAST'!AR72-$S68)*($T68/12)</f>
        <v>1168301.7879444009</v>
      </c>
      <c r="AN68" s="256">
        <f ca="1">('RB FORECAST'!AS72-$S68)*($T68/12)</f>
        <v>1174672.6236189303</v>
      </c>
      <c r="AO68" s="256">
        <f ca="1">('RB FORECAST'!AT72-$S68)*($T68/12)</f>
        <v>1174289.7733421887</v>
      </c>
      <c r="AP68" s="256">
        <f ca="1">('RB FORECAST'!AU72-$S68)*($T68/12)</f>
        <v>1181206.3741892099</v>
      </c>
      <c r="AQ68" s="256">
        <f ca="1">('RB FORECAST'!AV72-$S68)*($T68/12)</f>
        <v>1187906.0773512935</v>
      </c>
      <c r="AR68" s="256">
        <f ca="1">('RB FORECAST'!AW72-$S68)*($T68/12)</f>
        <v>1199778.6993170772</v>
      </c>
      <c r="AS68" s="116"/>
      <c r="AT68" s="30">
        <f t="shared" ca="1" si="56"/>
        <v>12906664.428099174</v>
      </c>
      <c r="AU68" s="30">
        <f t="shared" ca="1" si="57"/>
        <v>13979832.01339454</v>
      </c>
      <c r="AV68" s="30">
        <f t="shared" ca="1" si="58"/>
        <v>1073167.5852953661</v>
      </c>
    </row>
    <row r="69" spans="2:48">
      <c r="B69" s="15"/>
      <c r="C69" s="15"/>
      <c r="D69" s="15"/>
      <c r="E69" s="15"/>
      <c r="F69" s="15"/>
      <c r="G69" s="15"/>
      <c r="N69" s="15">
        <f t="shared" si="1"/>
        <v>60</v>
      </c>
      <c r="R69" s="15" t="s">
        <v>170</v>
      </c>
      <c r="S69" s="1429">
        <v>1719687.622</v>
      </c>
      <c r="T69" s="1113">
        <v>3.7100000000000001E-2</v>
      </c>
      <c r="U69" s="186">
        <f t="shared" ref="U69:W69" ca="1" si="59">SUM(U67:U68)</f>
        <v>1065418.1248237183</v>
      </c>
      <c r="V69" s="186">
        <f t="shared" ca="1" si="59"/>
        <v>1072022.8672706371</v>
      </c>
      <c r="W69" s="186">
        <f t="shared" ca="1" si="59"/>
        <v>1078433.885811087</v>
      </c>
      <c r="X69" s="186">
        <f t="shared" ref="X69:AF69" ca="1" si="60">SUM(X67:X68)</f>
        <v>1084169.5135379049</v>
      </c>
      <c r="Y69" s="186">
        <f t="shared" ca="1" si="60"/>
        <v>1098120.9731104763</v>
      </c>
      <c r="Z69" s="186">
        <f t="shared" ca="1" si="60"/>
        <v>1101691.9858110365</v>
      </c>
      <c r="AA69" s="186">
        <f t="shared" ca="1" si="60"/>
        <v>1114927.7898797358</v>
      </c>
      <c r="AB69" s="186">
        <f t="shared" ca="1" si="60"/>
        <v>1125334.7923249253</v>
      </c>
      <c r="AC69" s="186">
        <f t="shared" ca="1" si="60"/>
        <v>1124709.3918327857</v>
      </c>
      <c r="AD69" s="186">
        <f t="shared" ca="1" si="60"/>
        <v>1136007.9224502256</v>
      </c>
      <c r="AE69" s="186">
        <f t="shared" ca="1" si="60"/>
        <v>1146952.1424477063</v>
      </c>
      <c r="AF69" s="186">
        <f t="shared" ca="1" si="60"/>
        <v>1166346.5221085579</v>
      </c>
      <c r="AG69" s="186">
        <f t="shared" ref="AG69" ca="1" si="61">SUM(AG67:AG68)</f>
        <v>1173920.7160723296</v>
      </c>
      <c r="AH69" s="186">
        <f t="shared" ref="AH69:AR69" ca="1" si="62">SUM(AH67:AH68)</f>
        <v>1178091.5759615907</v>
      </c>
      <c r="AI69" s="186">
        <f t="shared" ca="1" si="62"/>
        <v>1182140.1002295048</v>
      </c>
      <c r="AJ69" s="186">
        <f t="shared" ca="1" si="62"/>
        <v>1185762.1187741761</v>
      </c>
      <c r="AK69" s="186">
        <f t="shared" ca="1" si="62"/>
        <v>1194572.3916342538</v>
      </c>
      <c r="AL69" s="186">
        <f t="shared" ca="1" si="62"/>
        <v>1196827.4672494668</v>
      </c>
      <c r="AM69" s="186">
        <f t="shared" ca="1" si="62"/>
        <v>1205185.8074475792</v>
      </c>
      <c r="AN69" s="186">
        <f t="shared" ca="1" si="62"/>
        <v>1211757.7743963185</v>
      </c>
      <c r="AO69" s="186">
        <f t="shared" ca="1" si="62"/>
        <v>1211362.8372964461</v>
      </c>
      <c r="AP69" s="186">
        <f t="shared" ca="1" si="62"/>
        <v>1218497.799566149</v>
      </c>
      <c r="AQ69" s="186">
        <f t="shared" ca="1" si="62"/>
        <v>1225409.016555093</v>
      </c>
      <c r="AR69" s="186">
        <f t="shared" ca="1" si="62"/>
        <v>1237656.46463572</v>
      </c>
      <c r="AS69" s="186"/>
      <c r="AT69" s="30">
        <f t="shared" ca="1" si="56"/>
        <v>13314135.911408797</v>
      </c>
      <c r="AU69" s="30">
        <f t="shared" ca="1" si="57"/>
        <v>14421184.069818631</v>
      </c>
      <c r="AV69" s="30">
        <f t="shared" ca="1" si="58"/>
        <v>1107048.1584098339</v>
      </c>
    </row>
    <row r="70" spans="2:48">
      <c r="B70" s="15"/>
      <c r="C70" s="15"/>
      <c r="D70" s="15"/>
      <c r="E70" s="15"/>
      <c r="F70" s="15"/>
      <c r="G70" s="15"/>
      <c r="N70" s="15">
        <f t="shared" si="1"/>
        <v>61</v>
      </c>
      <c r="S70" s="1429"/>
      <c r="T70" s="1113"/>
    </row>
    <row r="71" spans="2:48">
      <c r="B71" s="15"/>
      <c r="C71" s="15"/>
      <c r="D71" s="15"/>
      <c r="E71" s="15"/>
      <c r="F71" s="15"/>
      <c r="G71" s="15"/>
      <c r="N71" s="15">
        <f t="shared" si="1"/>
        <v>62</v>
      </c>
      <c r="P71" s="15" t="s">
        <v>254</v>
      </c>
      <c r="Q71" s="15" t="s">
        <v>255</v>
      </c>
      <c r="S71" s="1429"/>
      <c r="T71" s="1113"/>
    </row>
    <row r="72" spans="2:48">
      <c r="B72" s="15"/>
      <c r="C72" s="15"/>
      <c r="D72" s="15"/>
      <c r="E72" s="15"/>
      <c r="F72" s="15"/>
      <c r="G72" s="15"/>
      <c r="N72" s="15">
        <f t="shared" si="1"/>
        <v>63</v>
      </c>
      <c r="R72" s="15" t="s">
        <v>24</v>
      </c>
      <c r="S72" s="1430">
        <f>S74*('RB FORECAST'!R76/'RB FORECAST'!R78)</f>
        <v>8101.191051219821</v>
      </c>
      <c r="T72" s="1223">
        <f>T74</f>
        <v>3.1019999999999999E-2</v>
      </c>
      <c r="U72" s="116">
        <f>('RB FORECAST'!V76-$S72)*($T72/12)</f>
        <v>1940.6641973319934</v>
      </c>
      <c r="V72" s="116">
        <f>('RB FORECAST'!W76-$S72)*($T72/12)</f>
        <v>1940.3648668141898</v>
      </c>
      <c r="W72" s="116">
        <f>('RB FORECAST'!X76-$S72)*($T72/12)</f>
        <v>1939.2467411867949</v>
      </c>
      <c r="X72" s="116">
        <f>('RB FORECAST'!Y76-$S72)*($T72/12)</f>
        <v>1937.9874346737979</v>
      </c>
      <c r="Y72" s="116">
        <f>('RB FORECAST'!Z76-$S72)*($T72/12)</f>
        <v>1936.5861704705476</v>
      </c>
      <c r="Z72" s="116">
        <f>('RB FORECAST'!AA76-$S72)*($T72/12)</f>
        <v>1935.7955755201444</v>
      </c>
      <c r="AA72" s="116">
        <f>('RB FORECAST'!AB76-$S72)*($T72/12)</f>
        <v>1934.9688779687651</v>
      </c>
      <c r="AB72" s="116">
        <f>('RB FORECAST'!AC76-$S72)*($T72/12)</f>
        <v>1934.2412082270241</v>
      </c>
      <c r="AC72" s="116">
        <f>('RB FORECAST'!AD76-$S72)*($T72/12)</f>
        <v>1933.11017393409</v>
      </c>
      <c r="AD72" s="116">
        <f>('RB FORECAST'!AE76-$S72)*($T72/12)</f>
        <v>1932.986390515995</v>
      </c>
      <c r="AE72" s="116">
        <f>('RB FORECAST'!AF76-$S72)*($T72/12)</f>
        <v>1931.9126879006483</v>
      </c>
      <c r="AF72" s="116">
        <f>('RB FORECAST'!AG76-$S72)*($T72/12)</f>
        <v>1931.7880645121252</v>
      </c>
      <c r="AG72" s="116">
        <f>('RB FORECAST'!AL76-$S72)*($T72/12)</f>
        <v>1931.0335863215407</v>
      </c>
      <c r="AH72" s="116">
        <f>('RB FORECAST'!AM76-$S72)*($T72/12)</f>
        <v>1930.5380030289455</v>
      </c>
      <c r="AI72" s="116">
        <f>('RB FORECAST'!AN76-$S72)*($T72/12)</f>
        <v>1928.6867905831677</v>
      </c>
      <c r="AJ72" s="116">
        <f>('RB FORECAST'!AO76-$S72)*($T72/12)</f>
        <v>1926.6018335507993</v>
      </c>
      <c r="AK72" s="116">
        <f>('RB FORECAST'!AP76-$S72)*($T72/12)</f>
        <v>1924.2818458237293</v>
      </c>
      <c r="AL72" s="116">
        <f>('RB FORECAST'!AQ76-$S72)*($T72/12)</f>
        <v>1922.9729059551698</v>
      </c>
      <c r="AM72" s="116">
        <f>('RB FORECAST'!AR76-$S72)*($T72/12)</f>
        <v>1921.6041932108135</v>
      </c>
      <c r="AN72" s="116">
        <f>('RB FORECAST'!AS76-$S72)*($T72/12)</f>
        <v>1920.3994347746213</v>
      </c>
      <c r="AO72" s="116">
        <f>('RB FORECAST'!AT76-$S72)*($T72/12)</f>
        <v>1918.5268502381605</v>
      </c>
      <c r="AP72" s="116">
        <f>('RB FORECAST'!AU76-$S72)*($T72/12)</f>
        <v>1918.321909578056</v>
      </c>
      <c r="AQ72" s="116">
        <f>('RB FORECAST'!AV76-$S72)*($T72/12)</f>
        <v>1916.5442456055164</v>
      </c>
      <c r="AR72" s="116">
        <f>('RB FORECAST'!AW76-$S72)*($T72/12)</f>
        <v>1916.3379142575743</v>
      </c>
      <c r="AS72" s="116"/>
      <c r="AT72" s="30">
        <f t="shared" ref="AT72:AT74" si="63">SUM(U72:AF72)</f>
        <v>23229.652389056115</v>
      </c>
      <c r="AU72" s="30">
        <f t="shared" ref="AU72:AU74" si="64">SUM(AG72:AR72)</f>
        <v>23075.849512928093</v>
      </c>
      <c r="AV72" s="30">
        <f t="shared" ref="AV72:AV74" si="65">AU72-AT72</f>
        <v>-153.80287612802204</v>
      </c>
    </row>
    <row r="73" spans="2:48">
      <c r="B73" s="15"/>
      <c r="C73" s="15"/>
      <c r="D73" s="15"/>
      <c r="E73" s="15"/>
      <c r="F73" s="15"/>
      <c r="G73" s="15"/>
      <c r="N73" s="15">
        <f t="shared" si="1"/>
        <v>64</v>
      </c>
      <c r="R73" s="15" t="s">
        <v>14</v>
      </c>
      <c r="S73" s="1430">
        <f>S74*('RB FORECAST'!R77/'RB FORECAST'!R78)</f>
        <v>148244.41894878016</v>
      </c>
      <c r="T73" s="1223">
        <f>T74</f>
        <v>3.1019999999999999E-2</v>
      </c>
      <c r="U73" s="256">
        <f>('RB FORECAST'!V77-$S73)*($T73/12)</f>
        <v>35512.38755995805</v>
      </c>
      <c r="V73" s="256">
        <f>('RB FORECAST'!W77-$S73)*($T73/12)</f>
        <v>35506.910084065319</v>
      </c>
      <c r="W73" s="256">
        <f>('RB FORECAST'!X77-$S73)*($T73/12)</f>
        <v>35486.449403296661</v>
      </c>
      <c r="X73" s="256">
        <f>('RB FORECAST'!Y77-$S73)*($T73/12)</f>
        <v>35463.405240886801</v>
      </c>
      <c r="Y73" s="256">
        <f>('RB FORECAST'!Z77-$S73)*($T73/12)</f>
        <v>35437.763382018005</v>
      </c>
      <c r="Z73" s="256">
        <f>('RB FORECAST'!AA77-$S73)*($T73/12)</f>
        <v>35423.296214374954</v>
      </c>
      <c r="AA73" s="256">
        <f>('RB FORECAST'!AB77-$S73)*($T73/12)</f>
        <v>35408.168402010611</v>
      </c>
      <c r="AB73" s="256">
        <f>('RB FORECAST'!AC77-$S73)*($T73/12)</f>
        <v>35394.852708383703</v>
      </c>
      <c r="AC73" s="256">
        <f>('RB FORECAST'!AD77-$S73)*($T73/12)</f>
        <v>35374.155810790864</v>
      </c>
      <c r="AD73" s="256">
        <f>('RB FORECAST'!AE77-$S73)*($T73/12)</f>
        <v>35371.890686962164</v>
      </c>
      <c r="AE73" s="256">
        <f>('RB FORECAST'!AF77-$S73)*($T73/12)</f>
        <v>35352.242906860512</v>
      </c>
      <c r="AF73" s="256">
        <f>('RB FORECAST'!AG77-$S73)*($T73/12)</f>
        <v>35349.962412337889</v>
      </c>
      <c r="AG73" s="256">
        <f>('RB FORECAST'!AL77-$S73)*($T73/12)</f>
        <v>35336.156148510068</v>
      </c>
      <c r="AH73" s="256">
        <f>('RB FORECAST'!AM77-$S73)*($T73/12)</f>
        <v>35327.087425554761</v>
      </c>
      <c r="AI73" s="256">
        <f>('RB FORECAST'!AN77-$S73)*($T73/12)</f>
        <v>35293.21192358969</v>
      </c>
      <c r="AJ73" s="256">
        <f>('RB FORECAST'!AO77-$S73)*($T73/12)</f>
        <v>35255.05910854775</v>
      </c>
      <c r="AK73" s="256">
        <f>('RB FORECAST'!AP77-$S73)*($T73/12)</f>
        <v>35212.60544582169</v>
      </c>
      <c r="AL73" s="256">
        <f>('RB FORECAST'!AQ77-$S73)*($T73/12)</f>
        <v>35188.65303820328</v>
      </c>
      <c r="AM73" s="256">
        <f>('RB FORECAST'!AR77-$S73)*($T73/12)</f>
        <v>35163.606841389505</v>
      </c>
      <c r="AN73" s="256">
        <f>('RB FORECAST'!AS77-$S73)*($T73/12)</f>
        <v>35141.560859111371</v>
      </c>
      <c r="AO73" s="256">
        <f>('RB FORECAST'!AT77-$S73)*($T73/12)</f>
        <v>35107.29426734912</v>
      </c>
      <c r="AP73" s="256">
        <f>('RB FORECAST'!AU77-$S73)*($T73/12)</f>
        <v>35103.544039896879</v>
      </c>
      <c r="AQ73" s="256">
        <f>('RB FORECAST'!AV77-$S73)*($T73/12)</f>
        <v>35071.014408015682</v>
      </c>
      <c r="AR73" s="256">
        <f>('RB FORECAST'!AW77-$S73)*($T73/12)</f>
        <v>35067.23873224244</v>
      </c>
      <c r="AS73" s="116"/>
      <c r="AT73" s="30">
        <f t="shared" si="63"/>
        <v>425081.48481194559</v>
      </c>
      <c r="AU73" s="30">
        <f t="shared" si="64"/>
        <v>422267.0322382322</v>
      </c>
      <c r="AV73" s="30">
        <f t="shared" si="65"/>
        <v>-2814.4525737133808</v>
      </c>
    </row>
    <row r="74" spans="2:48">
      <c r="B74" s="15"/>
      <c r="C74" s="15"/>
      <c r="D74" s="15"/>
      <c r="E74" s="15"/>
      <c r="F74" s="15"/>
      <c r="G74" s="15"/>
      <c r="N74" s="15">
        <f t="shared" si="1"/>
        <v>65</v>
      </c>
      <c r="R74" s="15" t="s">
        <v>170</v>
      </c>
      <c r="S74" s="1429">
        <v>156345.60999999999</v>
      </c>
      <c r="T74" s="1113">
        <v>3.1019999999999999E-2</v>
      </c>
      <c r="U74" s="186">
        <f t="shared" ref="U74:W74" si="66">SUM(U72:U73)</f>
        <v>37453.051757290043</v>
      </c>
      <c r="V74" s="186">
        <f t="shared" si="66"/>
        <v>37447.27495087951</v>
      </c>
      <c r="W74" s="186">
        <f t="shared" si="66"/>
        <v>37425.69614448346</v>
      </c>
      <c r="X74" s="186">
        <f t="shared" ref="X74:AF74" si="67">SUM(X72:X73)</f>
        <v>37401.392675560601</v>
      </c>
      <c r="Y74" s="186">
        <f t="shared" si="67"/>
        <v>37374.349552488551</v>
      </c>
      <c r="Z74" s="186">
        <f t="shared" si="67"/>
        <v>37359.091789895101</v>
      </c>
      <c r="AA74" s="186">
        <f t="shared" si="67"/>
        <v>37343.137279979375</v>
      </c>
      <c r="AB74" s="186">
        <f t="shared" si="67"/>
        <v>37329.093916610727</v>
      </c>
      <c r="AC74" s="186">
        <f t="shared" si="67"/>
        <v>37307.265984724952</v>
      </c>
      <c r="AD74" s="186">
        <f t="shared" si="67"/>
        <v>37304.877077478159</v>
      </c>
      <c r="AE74" s="186">
        <f t="shared" si="67"/>
        <v>37284.155594761163</v>
      </c>
      <c r="AF74" s="186">
        <f t="shared" si="67"/>
        <v>37281.750476850015</v>
      </c>
      <c r="AG74" s="186">
        <f t="shared" ref="AG74" si="68">SUM(AG72:AG73)</f>
        <v>37267.189734831612</v>
      </c>
      <c r="AH74" s="186">
        <f t="shared" ref="AH74:AR74" si="69">SUM(AH72:AH73)</f>
        <v>37257.625428583706</v>
      </c>
      <c r="AI74" s="186">
        <f t="shared" si="69"/>
        <v>37221.898714172858</v>
      </c>
      <c r="AJ74" s="186">
        <f t="shared" si="69"/>
        <v>37181.660942098548</v>
      </c>
      <c r="AK74" s="186">
        <f t="shared" si="69"/>
        <v>37136.88729164542</v>
      </c>
      <c r="AL74" s="186">
        <f t="shared" si="69"/>
        <v>37111.625944158448</v>
      </c>
      <c r="AM74" s="186">
        <f t="shared" si="69"/>
        <v>37085.211034600317</v>
      </c>
      <c r="AN74" s="186">
        <f t="shared" si="69"/>
        <v>37061.96029388599</v>
      </c>
      <c r="AO74" s="186">
        <f t="shared" si="69"/>
        <v>37025.821117587278</v>
      </c>
      <c r="AP74" s="186">
        <f t="shared" si="69"/>
        <v>37021.865949474937</v>
      </c>
      <c r="AQ74" s="186">
        <f t="shared" si="69"/>
        <v>36987.558653621199</v>
      </c>
      <c r="AR74" s="186">
        <f t="shared" si="69"/>
        <v>36983.576646500012</v>
      </c>
      <c r="AS74" s="186"/>
      <c r="AT74" s="30">
        <f t="shared" si="63"/>
        <v>448311.13720100169</v>
      </c>
      <c r="AU74" s="30">
        <f t="shared" si="64"/>
        <v>445342.88175116025</v>
      </c>
      <c r="AV74" s="30">
        <f t="shared" si="65"/>
        <v>-2968.2554498414393</v>
      </c>
    </row>
    <row r="75" spans="2:48">
      <c r="B75" s="15"/>
      <c r="C75" s="15"/>
      <c r="D75" s="15"/>
      <c r="E75" s="15"/>
      <c r="F75" s="15"/>
      <c r="G75" s="15"/>
      <c r="N75" s="15">
        <f t="shared" si="1"/>
        <v>66</v>
      </c>
      <c r="S75" s="1429"/>
      <c r="T75" s="1113"/>
    </row>
    <row r="76" spans="2:48">
      <c r="B76" s="15"/>
      <c r="C76" s="15"/>
      <c r="D76" s="15"/>
      <c r="E76" s="15"/>
      <c r="F76" s="15"/>
      <c r="G76" s="15"/>
      <c r="N76" s="15">
        <f t="shared" ref="N76:N139" si="70">N75+1</f>
        <v>67</v>
      </c>
      <c r="P76" s="15" t="s">
        <v>256</v>
      </c>
      <c r="Q76" s="15" t="s">
        <v>235</v>
      </c>
      <c r="S76" s="1429"/>
      <c r="T76" s="1113"/>
    </row>
    <row r="77" spans="2:48">
      <c r="B77" s="15"/>
      <c r="C77" s="15"/>
      <c r="D77" s="15"/>
      <c r="E77" s="15"/>
      <c r="F77" s="15"/>
      <c r="G77" s="15"/>
      <c r="N77" s="15">
        <f t="shared" si="70"/>
        <v>68</v>
      </c>
      <c r="R77" s="15" t="s">
        <v>24</v>
      </c>
      <c r="S77" s="1430">
        <f>S79*('RB FORECAST'!R81/'RB FORECAST'!R83)</f>
        <v>2081.7025582909678</v>
      </c>
      <c r="T77" s="1223">
        <f>T79</f>
        <v>8.6139999999999994E-2</v>
      </c>
      <c r="U77" s="116">
        <f>('RB FORECAST'!V81-$S77)*($T77/12)</f>
        <v>480.1999019357346</v>
      </c>
      <c r="V77" s="116">
        <f>('RB FORECAST'!W81-$S77)*($T77/12)</f>
        <v>480.1999019357346</v>
      </c>
      <c r="W77" s="116">
        <f>('RB FORECAST'!X81-$S77)*($T77/12)</f>
        <v>480.1999019357346</v>
      </c>
      <c r="X77" s="116">
        <f>('RB FORECAST'!Y81-$S77)*($T77/12)</f>
        <v>480.1999019357346</v>
      </c>
      <c r="Y77" s="116">
        <f>('RB FORECAST'!Z81-$S77)*($T77/12)</f>
        <v>480.1999019357346</v>
      </c>
      <c r="Z77" s="116">
        <f>('RB FORECAST'!AA81-$S77)*($T77/12)</f>
        <v>480.1999019357346</v>
      </c>
      <c r="AA77" s="116">
        <f>('RB FORECAST'!AB81-$S77)*($T77/12)</f>
        <v>480.1999019357346</v>
      </c>
      <c r="AB77" s="116">
        <f>('RB FORECAST'!AC81-$S77)*($T77/12)</f>
        <v>480.1999019357346</v>
      </c>
      <c r="AC77" s="116">
        <f>('RB FORECAST'!AD81-$S77)*($T77/12)</f>
        <v>480.1999019357346</v>
      </c>
      <c r="AD77" s="116">
        <f>('RB FORECAST'!AE81-$S77)*($T77/12)</f>
        <v>480.1999019357346</v>
      </c>
      <c r="AE77" s="116">
        <f>('RB FORECAST'!AF81-$S77)*($T77/12)</f>
        <v>480.1999019357346</v>
      </c>
      <c r="AF77" s="116">
        <f>('RB FORECAST'!AG81-$S77)*($T77/12)</f>
        <v>480.1999019357346</v>
      </c>
      <c r="AG77" s="116">
        <f>('RB FORECAST'!AL81-$S77)*($T77/12)</f>
        <v>480.1999019357346</v>
      </c>
      <c r="AH77" s="116">
        <f>('RB FORECAST'!AM81-$S77)*($T77/12)</f>
        <v>480.1999019357346</v>
      </c>
      <c r="AI77" s="116">
        <f>('RB FORECAST'!AN81-$S77)*($T77/12)</f>
        <v>480.1999019357346</v>
      </c>
      <c r="AJ77" s="116">
        <f>('RB FORECAST'!AO81-$S77)*($T77/12)</f>
        <v>480.1999019357346</v>
      </c>
      <c r="AK77" s="116">
        <f>('RB FORECAST'!AP81-$S77)*($T77/12)</f>
        <v>480.1999019357346</v>
      </c>
      <c r="AL77" s="116">
        <f>('RB FORECAST'!AQ81-$S77)*($T77/12)</f>
        <v>480.1999019357346</v>
      </c>
      <c r="AM77" s="116">
        <f>('RB FORECAST'!AR81-$S77)*($T77/12)</f>
        <v>480.1999019357346</v>
      </c>
      <c r="AN77" s="116">
        <f>('RB FORECAST'!AS81-$S77)*($T77/12)</f>
        <v>480.1999019357346</v>
      </c>
      <c r="AO77" s="116">
        <f>('RB FORECAST'!AT81-$S77)*($T77/12)</f>
        <v>480.1999019357346</v>
      </c>
      <c r="AP77" s="116">
        <f>('RB FORECAST'!AU81-$S77)*($T77/12)</f>
        <v>480.1999019357346</v>
      </c>
      <c r="AQ77" s="116">
        <f>('RB FORECAST'!AV81-$S77)*($T77/12)</f>
        <v>480.1999019357346</v>
      </c>
      <c r="AR77" s="116">
        <f>('RB FORECAST'!AW81-$S77)*($T77/12)</f>
        <v>480.1999019357346</v>
      </c>
      <c r="AS77" s="116"/>
      <c r="AT77" s="30">
        <f t="shared" ref="AT77:AT79" si="71">SUM(U77:AF77)</f>
        <v>5762.3988232288148</v>
      </c>
      <c r="AU77" s="30">
        <f t="shared" ref="AU77:AU79" si="72">SUM(AG77:AR77)</f>
        <v>5762.3988232288148</v>
      </c>
      <c r="AV77" s="30">
        <f t="shared" ref="AV77:AV79" si="73">AU77-AT77</f>
        <v>0</v>
      </c>
    </row>
    <row r="78" spans="2:48">
      <c r="B78" s="15"/>
      <c r="C78" s="15"/>
      <c r="D78" s="15"/>
      <c r="E78" s="15"/>
      <c r="F78" s="15"/>
      <c r="G78" s="15"/>
      <c r="N78" s="15">
        <f t="shared" si="70"/>
        <v>69</v>
      </c>
      <c r="R78" s="15" t="s">
        <v>14</v>
      </c>
      <c r="S78" s="1430">
        <f>S79*('RB FORECAST'!R82/'RB FORECAST'!R83)</f>
        <v>67512.02744170904</v>
      </c>
      <c r="T78" s="1223">
        <f>T79</f>
        <v>8.6139999999999994E-2</v>
      </c>
      <c r="U78" s="256">
        <f>('RB FORECAST'!V82-$S78)*($T78/12)</f>
        <v>15573.4395520976</v>
      </c>
      <c r="V78" s="256">
        <f>('RB FORECAST'!W82-$S78)*($T78/12)</f>
        <v>15573.4395520976</v>
      </c>
      <c r="W78" s="256">
        <f>('RB FORECAST'!X82-$S78)*($T78/12)</f>
        <v>15573.4395520976</v>
      </c>
      <c r="X78" s="256">
        <f>('RB FORECAST'!Y82-$S78)*($T78/12)</f>
        <v>15573.4395520976</v>
      </c>
      <c r="Y78" s="256">
        <f>('RB FORECAST'!Z82-$S78)*($T78/12)</f>
        <v>15573.4395520976</v>
      </c>
      <c r="Z78" s="256">
        <f>('RB FORECAST'!AA82-$S78)*($T78/12)</f>
        <v>15573.4395520976</v>
      </c>
      <c r="AA78" s="256">
        <f>('RB FORECAST'!AB82-$S78)*($T78/12)</f>
        <v>15573.4395520976</v>
      </c>
      <c r="AB78" s="256">
        <f>('RB FORECAST'!AC82-$S78)*($T78/12)</f>
        <v>15573.4395520976</v>
      </c>
      <c r="AC78" s="256">
        <f>('RB FORECAST'!AD82-$S78)*($T78/12)</f>
        <v>15573.4395520976</v>
      </c>
      <c r="AD78" s="256">
        <f>('RB FORECAST'!AE82-$S78)*($T78/12)</f>
        <v>15573.4395520976</v>
      </c>
      <c r="AE78" s="256">
        <f>('RB FORECAST'!AF82-$S78)*($T78/12)</f>
        <v>15573.4395520976</v>
      </c>
      <c r="AF78" s="256">
        <f>('RB FORECAST'!AG82-$S78)*($T78/12)</f>
        <v>15573.4395520976</v>
      </c>
      <c r="AG78" s="256">
        <f>('RB FORECAST'!AL82-$S78)*($T78/12)</f>
        <v>15573.4395520976</v>
      </c>
      <c r="AH78" s="256">
        <f>('RB FORECAST'!AM82-$S78)*($T78/12)</f>
        <v>15573.4395520976</v>
      </c>
      <c r="AI78" s="256">
        <f>('RB FORECAST'!AN82-$S78)*($T78/12)</f>
        <v>15573.4395520976</v>
      </c>
      <c r="AJ78" s="256">
        <f>('RB FORECAST'!AO82-$S78)*($T78/12)</f>
        <v>15573.4395520976</v>
      </c>
      <c r="AK78" s="256">
        <f>('RB FORECAST'!AP82-$S78)*($T78/12)</f>
        <v>15573.4395520976</v>
      </c>
      <c r="AL78" s="256">
        <f>('RB FORECAST'!AQ82-$S78)*($T78/12)</f>
        <v>15573.4395520976</v>
      </c>
      <c r="AM78" s="256">
        <f>('RB FORECAST'!AR82-$S78)*($T78/12)</f>
        <v>15573.4395520976</v>
      </c>
      <c r="AN78" s="256">
        <f>('RB FORECAST'!AS82-$S78)*($T78/12)</f>
        <v>15573.4395520976</v>
      </c>
      <c r="AO78" s="256">
        <f>('RB FORECAST'!AT82-$S78)*($T78/12)</f>
        <v>15573.4395520976</v>
      </c>
      <c r="AP78" s="256">
        <f>('RB FORECAST'!AU82-$S78)*($T78/12)</f>
        <v>15573.4395520976</v>
      </c>
      <c r="AQ78" s="256">
        <f>('RB FORECAST'!AV82-$S78)*($T78/12)</f>
        <v>15573.4395520976</v>
      </c>
      <c r="AR78" s="256">
        <f>('RB FORECAST'!AW82-$S78)*($T78/12)</f>
        <v>15573.4395520976</v>
      </c>
      <c r="AS78" s="116"/>
      <c r="AT78" s="30">
        <f t="shared" si="71"/>
        <v>186881.27462517121</v>
      </c>
      <c r="AU78" s="30">
        <f t="shared" si="72"/>
        <v>186881.27462517121</v>
      </c>
      <c r="AV78" s="30">
        <f t="shared" si="73"/>
        <v>0</v>
      </c>
    </row>
    <row r="79" spans="2:48">
      <c r="B79" s="15"/>
      <c r="C79" s="15"/>
      <c r="D79" s="15"/>
      <c r="E79" s="15"/>
      <c r="F79" s="15"/>
      <c r="G79" s="15"/>
      <c r="N79" s="15">
        <f t="shared" si="70"/>
        <v>70</v>
      </c>
      <c r="R79" s="15" t="s">
        <v>170</v>
      </c>
      <c r="S79" s="1429">
        <v>69593.73000000001</v>
      </c>
      <c r="T79" s="1113">
        <v>8.6139999999999994E-2</v>
      </c>
      <c r="U79" s="186">
        <f t="shared" ref="U79:W79" si="74">SUM(U77:U78)</f>
        <v>16053.639454033335</v>
      </c>
      <c r="V79" s="186">
        <f t="shared" si="74"/>
        <v>16053.639454033335</v>
      </c>
      <c r="W79" s="186">
        <f t="shared" si="74"/>
        <v>16053.639454033335</v>
      </c>
      <c r="X79" s="186">
        <f t="shared" ref="X79:AF79" si="75">SUM(X77:X78)</f>
        <v>16053.639454033335</v>
      </c>
      <c r="Y79" s="186">
        <f t="shared" si="75"/>
        <v>16053.639454033335</v>
      </c>
      <c r="Z79" s="186">
        <f t="shared" si="75"/>
        <v>16053.639454033335</v>
      </c>
      <c r="AA79" s="186">
        <f t="shared" si="75"/>
        <v>16053.639454033335</v>
      </c>
      <c r="AB79" s="186">
        <f t="shared" si="75"/>
        <v>16053.639454033335</v>
      </c>
      <c r="AC79" s="186">
        <f t="shared" si="75"/>
        <v>16053.639454033335</v>
      </c>
      <c r="AD79" s="186">
        <f t="shared" si="75"/>
        <v>16053.639454033335</v>
      </c>
      <c r="AE79" s="186">
        <f t="shared" si="75"/>
        <v>16053.639454033335</v>
      </c>
      <c r="AF79" s="186">
        <f t="shared" si="75"/>
        <v>16053.639454033335</v>
      </c>
      <c r="AG79" s="186">
        <f t="shared" ref="AG79" si="76">SUM(AG77:AG78)</f>
        <v>16053.639454033335</v>
      </c>
      <c r="AH79" s="186">
        <f t="shared" ref="AH79:AR79" si="77">SUM(AH77:AH78)</f>
        <v>16053.639454033335</v>
      </c>
      <c r="AI79" s="186">
        <f t="shared" si="77"/>
        <v>16053.639454033335</v>
      </c>
      <c r="AJ79" s="186">
        <f t="shared" si="77"/>
        <v>16053.639454033335</v>
      </c>
      <c r="AK79" s="186">
        <f t="shared" si="77"/>
        <v>16053.639454033335</v>
      </c>
      <c r="AL79" s="186">
        <f t="shared" si="77"/>
        <v>16053.639454033335</v>
      </c>
      <c r="AM79" s="186">
        <f t="shared" si="77"/>
        <v>16053.639454033335</v>
      </c>
      <c r="AN79" s="186">
        <f t="shared" si="77"/>
        <v>16053.639454033335</v>
      </c>
      <c r="AO79" s="186">
        <f t="shared" si="77"/>
        <v>16053.639454033335</v>
      </c>
      <c r="AP79" s="186">
        <f t="shared" si="77"/>
        <v>16053.639454033335</v>
      </c>
      <c r="AQ79" s="186">
        <f t="shared" si="77"/>
        <v>16053.639454033335</v>
      </c>
      <c r="AR79" s="186">
        <f t="shared" si="77"/>
        <v>16053.639454033335</v>
      </c>
      <c r="AS79" s="186"/>
      <c r="AT79" s="30">
        <f t="shared" si="71"/>
        <v>192643.67344840008</v>
      </c>
      <c r="AU79" s="30">
        <f t="shared" si="72"/>
        <v>192643.67344840008</v>
      </c>
      <c r="AV79" s="30">
        <f t="shared" si="73"/>
        <v>0</v>
      </c>
    </row>
    <row r="80" spans="2:48">
      <c r="B80" s="15"/>
      <c r="C80" s="15"/>
      <c r="D80" s="15"/>
      <c r="E80" s="15"/>
      <c r="F80" s="15"/>
      <c r="G80" s="15"/>
      <c r="N80" s="15">
        <f t="shared" si="70"/>
        <v>71</v>
      </c>
      <c r="S80" s="1429"/>
      <c r="T80" s="1113"/>
    </row>
    <row r="81" spans="2:50">
      <c r="B81" s="15"/>
      <c r="C81" s="15"/>
      <c r="D81" s="15"/>
      <c r="E81" s="15"/>
      <c r="F81" s="15"/>
      <c r="G81" s="15"/>
      <c r="N81" s="15">
        <f t="shared" si="70"/>
        <v>72</v>
      </c>
      <c r="P81" s="15" t="s">
        <v>1113</v>
      </c>
      <c r="S81" s="1429"/>
      <c r="T81" s="9">
        <v>-6056221</v>
      </c>
      <c r="U81" s="186">
        <f t="shared" ref="U81:W81" si="78">$T$81/12</f>
        <v>-504685.08333333331</v>
      </c>
      <c r="V81" s="186">
        <f t="shared" si="78"/>
        <v>-504685.08333333331</v>
      </c>
      <c r="W81" s="186">
        <f t="shared" si="78"/>
        <v>-504685.08333333331</v>
      </c>
      <c r="X81" s="186">
        <f t="shared" ref="X81:AF81" si="79">$T$81/12</f>
        <v>-504685.08333333331</v>
      </c>
      <c r="Y81" s="186">
        <f t="shared" si="79"/>
        <v>-504685.08333333331</v>
      </c>
      <c r="Z81" s="186">
        <f t="shared" si="79"/>
        <v>-504685.08333333331</v>
      </c>
      <c r="AA81" s="186">
        <f t="shared" si="79"/>
        <v>-504685.08333333331</v>
      </c>
      <c r="AB81" s="186">
        <f t="shared" si="79"/>
        <v>-504685.08333333331</v>
      </c>
      <c r="AC81" s="186">
        <f t="shared" si="79"/>
        <v>-504685.08333333331</v>
      </c>
      <c r="AD81" s="186">
        <f t="shared" si="79"/>
        <v>-504685.08333333331</v>
      </c>
      <c r="AE81" s="186">
        <f t="shared" si="79"/>
        <v>-504685.08333333331</v>
      </c>
      <c r="AF81" s="186">
        <f t="shared" si="79"/>
        <v>-504685.08333333331</v>
      </c>
      <c r="AG81" s="186">
        <f t="shared" ref="AG81:AR81" si="80">$T$81/12</f>
        <v>-504685.08333333331</v>
      </c>
      <c r="AH81" s="186">
        <f t="shared" si="80"/>
        <v>-504685.08333333331</v>
      </c>
      <c r="AI81" s="186">
        <f t="shared" si="80"/>
        <v>-504685.08333333331</v>
      </c>
      <c r="AJ81" s="186">
        <f t="shared" si="80"/>
        <v>-504685.08333333331</v>
      </c>
      <c r="AK81" s="186">
        <f t="shared" si="80"/>
        <v>-504685.08333333331</v>
      </c>
      <c r="AL81" s="186">
        <f t="shared" si="80"/>
        <v>-504685.08333333331</v>
      </c>
      <c r="AM81" s="186">
        <f t="shared" si="80"/>
        <v>-504685.08333333331</v>
      </c>
      <c r="AN81" s="186">
        <f t="shared" si="80"/>
        <v>-504685.08333333331</v>
      </c>
      <c r="AO81" s="186">
        <f t="shared" si="80"/>
        <v>-504685.08333333331</v>
      </c>
      <c r="AP81" s="186">
        <f t="shared" si="80"/>
        <v>-504685.08333333331</v>
      </c>
      <c r="AQ81" s="186">
        <f t="shared" si="80"/>
        <v>-504685.08333333331</v>
      </c>
      <c r="AR81" s="186">
        <f t="shared" si="80"/>
        <v>-504685.08333333331</v>
      </c>
      <c r="AS81" s="186"/>
      <c r="AT81" s="30">
        <f t="shared" ref="AT81" si="81">SUM(U81:AF81)</f>
        <v>-6056220.9999999991</v>
      </c>
      <c r="AU81" s="30">
        <f t="shared" ref="AU81" si="82">SUM(AG81:AR81)</f>
        <v>-6056220.9999999991</v>
      </c>
      <c r="AV81" s="30">
        <f t="shared" ref="AV81" si="83">AU81-AT81</f>
        <v>0</v>
      </c>
    </row>
    <row r="82" spans="2:50">
      <c r="B82" s="15"/>
      <c r="C82" s="15"/>
      <c r="D82" s="15"/>
      <c r="E82" s="15"/>
      <c r="F82" s="15"/>
      <c r="G82" s="15"/>
      <c r="N82" s="15">
        <f t="shared" si="70"/>
        <v>73</v>
      </c>
      <c r="S82" s="1429"/>
      <c r="T82" s="1113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194"/>
    </row>
    <row r="83" spans="2:50">
      <c r="B83" s="15"/>
      <c r="C83" s="15"/>
      <c r="D83" s="15"/>
      <c r="E83" s="15"/>
      <c r="F83" s="15"/>
      <c r="G83" s="15"/>
      <c r="N83" s="15">
        <f t="shared" si="70"/>
        <v>74</v>
      </c>
      <c r="Q83" s="15" t="s">
        <v>257</v>
      </c>
      <c r="S83" s="1429"/>
      <c r="T83" s="1113"/>
      <c r="U83" s="116">
        <f t="shared" ref="U83:W83" ca="1" si="84">SUM(U81,U79,U74,U69,U64,U59,U54,U49,U38,U33)</f>
        <v>5027627.7709421413</v>
      </c>
      <c r="V83" s="116">
        <f t="shared" ca="1" si="84"/>
        <v>5050769.7110191965</v>
      </c>
      <c r="W83" s="116">
        <f t="shared" ca="1" si="84"/>
        <v>5074614.2622077949</v>
      </c>
      <c r="X83" s="116">
        <f ca="1">SUM(X81,X79,X74,X69,X64,X59,X54,X49,X38,X33)</f>
        <v>5116342.4056614442</v>
      </c>
      <c r="Y83" s="116">
        <f t="shared" ref="Y83:AR83" ca="1" si="85">SUM(Y81,Y79,Y74,Y69,Y64,Y59,Y54,Y49,Y38,Y33)</f>
        <v>5135202.0883548735</v>
      </c>
      <c r="Z83" s="116">
        <f t="shared" ca="1" si="85"/>
        <v>5149524.1724532042</v>
      </c>
      <c r="AA83" s="116">
        <f t="shared" ca="1" si="85"/>
        <v>5164599.9445675621</v>
      </c>
      <c r="AB83" s="116">
        <f t="shared" ca="1" si="85"/>
        <v>5274636.4196477728</v>
      </c>
      <c r="AC83" s="116">
        <f t="shared" ca="1" si="85"/>
        <v>5276099.8427695371</v>
      </c>
      <c r="AD83" s="116">
        <f t="shared" ca="1" si="85"/>
        <v>5345039.9933732701</v>
      </c>
      <c r="AE83" s="116">
        <f t="shared" ca="1" si="85"/>
        <v>5383988.8016410135</v>
      </c>
      <c r="AF83" s="116">
        <f t="shared" ca="1" si="85"/>
        <v>5426689.3535322687</v>
      </c>
      <c r="AG83" s="116">
        <f t="shared" ca="1" si="85"/>
        <v>5447806.5468829945</v>
      </c>
      <c r="AH83" s="116">
        <f t="shared" ca="1" si="85"/>
        <v>5461774.8979374012</v>
      </c>
      <c r="AI83" s="116">
        <f t="shared" ca="1" si="85"/>
        <v>5490583.4261605116</v>
      </c>
      <c r="AJ83" s="116">
        <f t="shared" ca="1" si="85"/>
        <v>5530943.3774845563</v>
      </c>
      <c r="AK83" s="116">
        <f t="shared" ca="1" si="85"/>
        <v>5544199.7270004964</v>
      </c>
      <c r="AL83" s="116">
        <f t="shared" ca="1" si="85"/>
        <v>5557698.0650395295</v>
      </c>
      <c r="AM83" s="116">
        <f t="shared" ca="1" si="85"/>
        <v>5568585.3434998607</v>
      </c>
      <c r="AN83" s="116">
        <f t="shared" ca="1" si="85"/>
        <v>5677347.391548262</v>
      </c>
      <c r="AO83" s="116">
        <f t="shared" ca="1" si="85"/>
        <v>5679102.6717986064</v>
      </c>
      <c r="AP83" s="116">
        <f t="shared" ca="1" si="85"/>
        <v>5745543.2330120346</v>
      </c>
      <c r="AQ83" s="116">
        <f t="shared" ca="1" si="85"/>
        <v>5773957.8268960929</v>
      </c>
      <c r="AR83" s="116">
        <f t="shared" ca="1" si="85"/>
        <v>5809897.2300366256</v>
      </c>
      <c r="AS83" s="116"/>
      <c r="AT83" s="30">
        <f t="shared" ref="AT83" ca="1" si="86">SUM(U83:AF83)</f>
        <v>62425134.76617007</v>
      </c>
      <c r="AU83" s="30">
        <f t="shared" ref="AU83" ca="1" si="87">SUM(AG83:AR83)</f>
        <v>67287439.737296984</v>
      </c>
      <c r="AV83" s="30">
        <f ca="1">AU83-AT83</f>
        <v>4862304.971126914</v>
      </c>
    </row>
    <row r="84" spans="2:50">
      <c r="B84" s="15"/>
      <c r="C84" s="15"/>
      <c r="D84" s="15"/>
      <c r="E84" s="15"/>
      <c r="F84" s="15"/>
      <c r="G84" s="15"/>
      <c r="N84" s="15">
        <f t="shared" si="70"/>
        <v>75</v>
      </c>
      <c r="S84" s="1429"/>
      <c r="T84" s="1113"/>
    </row>
    <row r="85" spans="2:50">
      <c r="B85" s="15"/>
      <c r="C85" s="15"/>
      <c r="D85" s="15"/>
      <c r="E85" s="15"/>
      <c r="F85" s="15"/>
      <c r="G85" s="15"/>
      <c r="N85" s="15">
        <f t="shared" si="70"/>
        <v>76</v>
      </c>
      <c r="O85" s="15" t="s">
        <v>714</v>
      </c>
      <c r="S85" s="1429"/>
      <c r="T85" s="1113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</row>
    <row r="86" spans="2:50">
      <c r="B86" s="15"/>
      <c r="C86" s="15"/>
      <c r="D86" s="15"/>
      <c r="E86" s="15"/>
      <c r="F86" s="15"/>
      <c r="G86" s="15"/>
      <c r="N86" s="15">
        <f t="shared" si="70"/>
        <v>77</v>
      </c>
      <c r="P86" s="15" t="s">
        <v>258</v>
      </c>
      <c r="Q86" s="15" t="s">
        <v>223</v>
      </c>
      <c r="S86" s="1429"/>
      <c r="T86" s="1113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</row>
    <row r="87" spans="2:50">
      <c r="B87" s="15"/>
      <c r="C87" s="15"/>
      <c r="D87" s="15"/>
      <c r="E87" s="15"/>
      <c r="F87" s="15"/>
      <c r="G87" s="15"/>
      <c r="N87" s="15">
        <f t="shared" si="70"/>
        <v>78</v>
      </c>
      <c r="R87" s="15" t="s">
        <v>592</v>
      </c>
      <c r="S87" s="1429"/>
      <c r="T87" s="1223">
        <v>0</v>
      </c>
      <c r="U87" s="116">
        <f>'RB FORECAST'!V89*($T87/12)</f>
        <v>0</v>
      </c>
      <c r="V87" s="116">
        <f>'RB FORECAST'!W89*($T87/12)</f>
        <v>0</v>
      </c>
      <c r="W87" s="116">
        <f>'RB FORECAST'!X89*($T87/12)</f>
        <v>0</v>
      </c>
      <c r="X87" s="116">
        <f>'RB FORECAST'!Y89*($T87/12)</f>
        <v>0</v>
      </c>
      <c r="Y87" s="116">
        <f>'RB FORECAST'!Z89*($T87/12)</f>
        <v>0</v>
      </c>
      <c r="Z87" s="116">
        <f>'RB FORECAST'!AA89*($T87/12)</f>
        <v>0</v>
      </c>
      <c r="AA87" s="116">
        <f>'RB FORECAST'!AB89*($T87/12)</f>
        <v>0</v>
      </c>
      <c r="AB87" s="116">
        <f>'RB FORECAST'!AC89*($T87/12)</f>
        <v>0</v>
      </c>
      <c r="AC87" s="116">
        <f>'RB FORECAST'!AD89*($T87/12)</f>
        <v>0</v>
      </c>
      <c r="AD87" s="116">
        <f>'RB FORECAST'!AE89*($T87/12)</f>
        <v>0</v>
      </c>
      <c r="AE87" s="116">
        <f>'RB FORECAST'!AF89*($T87/12)</f>
        <v>0</v>
      </c>
      <c r="AF87" s="116">
        <f>'RB FORECAST'!AG89*($T87/12)</f>
        <v>0</v>
      </c>
      <c r="AG87" s="116">
        <f>'RB FORECAST'!AL89*($T87/12)</f>
        <v>0</v>
      </c>
      <c r="AH87" s="116">
        <f>'RB FORECAST'!AM89*($T87/12)</f>
        <v>0</v>
      </c>
      <c r="AI87" s="116">
        <f>'RB FORECAST'!AN89*($T87/12)</f>
        <v>0</v>
      </c>
      <c r="AJ87" s="116">
        <f>'RB FORECAST'!AO89*($T87/12)</f>
        <v>0</v>
      </c>
      <c r="AK87" s="116">
        <f>'RB FORECAST'!AP89*($T87/12)</f>
        <v>0</v>
      </c>
      <c r="AL87" s="116">
        <f>'RB FORECAST'!AQ89*($T87/12)</f>
        <v>0</v>
      </c>
      <c r="AM87" s="116">
        <f>'RB FORECAST'!AR89*($T87/12)</f>
        <v>0</v>
      </c>
      <c r="AN87" s="116">
        <f>'RB FORECAST'!AS89*($T87/12)</f>
        <v>0</v>
      </c>
      <c r="AO87" s="116">
        <f>'RB FORECAST'!AT89*($T87/12)</f>
        <v>0</v>
      </c>
      <c r="AP87" s="116">
        <f>'RB FORECAST'!AU89*($T87/12)</f>
        <v>0</v>
      </c>
      <c r="AQ87" s="116">
        <f>'RB FORECAST'!AV89*($T87/12)</f>
        <v>0</v>
      </c>
      <c r="AR87" s="116">
        <f>'RB FORECAST'!AW89*($T87/12)</f>
        <v>0</v>
      </c>
      <c r="AS87" s="116"/>
      <c r="AT87" s="30">
        <f t="shared" ref="AT87:AT89" si="88">SUM(U87:AF87)</f>
        <v>0</v>
      </c>
      <c r="AU87" s="30">
        <f t="shared" ref="AU87:AU89" si="89">SUM(AG87:AR87)</f>
        <v>0</v>
      </c>
      <c r="AV87" s="30">
        <f t="shared" ref="AV87:AV89" si="90">AU87-AT87</f>
        <v>0</v>
      </c>
    </row>
    <row r="88" spans="2:50">
      <c r="B88" s="15"/>
      <c r="C88" s="15"/>
      <c r="D88" s="15"/>
      <c r="E88" s="15"/>
      <c r="F88" s="15"/>
      <c r="G88" s="15"/>
      <c r="N88" s="15">
        <f t="shared" si="70"/>
        <v>79</v>
      </c>
      <c r="R88" s="15" t="s">
        <v>593</v>
      </c>
      <c r="S88" s="1429"/>
      <c r="T88" s="1223">
        <v>0</v>
      </c>
      <c r="U88" s="256">
        <f>'RB FORECAST'!V90*($T88/12)</f>
        <v>0</v>
      </c>
      <c r="V88" s="256">
        <f>'RB FORECAST'!W90*($T88/12)</f>
        <v>0</v>
      </c>
      <c r="W88" s="256">
        <f>'RB FORECAST'!X90*($T88/12)</f>
        <v>0</v>
      </c>
      <c r="X88" s="256">
        <f>'RB FORECAST'!Y90*($T88/12)</f>
        <v>0</v>
      </c>
      <c r="Y88" s="256">
        <f>'RB FORECAST'!Z90*($T88/12)</f>
        <v>0</v>
      </c>
      <c r="Z88" s="256">
        <f>'RB FORECAST'!AA90*($T88/12)</f>
        <v>0</v>
      </c>
      <c r="AA88" s="256">
        <f>'RB FORECAST'!AB90*($T88/12)</f>
        <v>0</v>
      </c>
      <c r="AB88" s="256">
        <f>'RB FORECAST'!AC90*($T88/12)</f>
        <v>0</v>
      </c>
      <c r="AC88" s="256">
        <f>'RB FORECAST'!AD90*($T88/12)</f>
        <v>0</v>
      </c>
      <c r="AD88" s="256">
        <f>'RB FORECAST'!AE90*($T88/12)</f>
        <v>0</v>
      </c>
      <c r="AE88" s="256">
        <f>'RB FORECAST'!AF90*($T88/12)</f>
        <v>0</v>
      </c>
      <c r="AF88" s="256">
        <f>'RB FORECAST'!AG90*($T88/12)</f>
        <v>0</v>
      </c>
      <c r="AG88" s="256">
        <f>'RB FORECAST'!AL90*($T88/12)</f>
        <v>0</v>
      </c>
      <c r="AH88" s="256">
        <f>'RB FORECAST'!AM90*($T88/12)</f>
        <v>0</v>
      </c>
      <c r="AI88" s="256">
        <f>'RB FORECAST'!AN90*($T88/12)</f>
        <v>0</v>
      </c>
      <c r="AJ88" s="256">
        <f>'RB FORECAST'!AO90*($T88/12)</f>
        <v>0</v>
      </c>
      <c r="AK88" s="256">
        <f>'RB FORECAST'!AP90*($T88/12)</f>
        <v>0</v>
      </c>
      <c r="AL88" s="256">
        <f>'RB FORECAST'!AQ90*($T88/12)</f>
        <v>0</v>
      </c>
      <c r="AM88" s="256">
        <f>'RB FORECAST'!AR90*($T88/12)</f>
        <v>0</v>
      </c>
      <c r="AN88" s="256">
        <f>'RB FORECAST'!AS90*($T88/12)</f>
        <v>0</v>
      </c>
      <c r="AO88" s="256">
        <f>'RB FORECAST'!AT90*($T88/12)</f>
        <v>0</v>
      </c>
      <c r="AP88" s="256">
        <f>'RB FORECAST'!AU90*($T88/12)</f>
        <v>0</v>
      </c>
      <c r="AQ88" s="256">
        <f>'RB FORECAST'!AV90*($T88/12)</f>
        <v>0</v>
      </c>
      <c r="AR88" s="256">
        <f>'RB FORECAST'!AW90*($T88/12)</f>
        <v>0</v>
      </c>
      <c r="AS88" s="116"/>
      <c r="AT88" s="30">
        <f t="shared" si="88"/>
        <v>0</v>
      </c>
      <c r="AU88" s="30">
        <f t="shared" si="89"/>
        <v>0</v>
      </c>
      <c r="AV88" s="30">
        <f t="shared" si="90"/>
        <v>0</v>
      </c>
    </row>
    <row r="89" spans="2:50">
      <c r="B89" s="15"/>
      <c r="C89" s="15"/>
      <c r="D89" s="15"/>
      <c r="E89" s="15"/>
      <c r="F89" s="15"/>
      <c r="G89" s="15"/>
      <c r="N89" s="15">
        <f t="shared" si="70"/>
        <v>80</v>
      </c>
      <c r="R89" s="15" t="s">
        <v>170</v>
      </c>
      <c r="S89" s="1429"/>
      <c r="T89" s="1113">
        <v>0</v>
      </c>
      <c r="U89" s="186">
        <f t="shared" ref="U89:W89" si="91">SUM(U87:U88)</f>
        <v>0</v>
      </c>
      <c r="V89" s="186">
        <f t="shared" si="91"/>
        <v>0</v>
      </c>
      <c r="W89" s="186">
        <f t="shared" si="91"/>
        <v>0</v>
      </c>
      <c r="X89" s="186">
        <f t="shared" ref="X89:AF89" si="92">SUM(X87:X88)</f>
        <v>0</v>
      </c>
      <c r="Y89" s="186">
        <f t="shared" si="92"/>
        <v>0</v>
      </c>
      <c r="Z89" s="186">
        <f t="shared" si="92"/>
        <v>0</v>
      </c>
      <c r="AA89" s="186">
        <f t="shared" si="92"/>
        <v>0</v>
      </c>
      <c r="AB89" s="186">
        <f t="shared" si="92"/>
        <v>0</v>
      </c>
      <c r="AC89" s="186">
        <f t="shared" si="92"/>
        <v>0</v>
      </c>
      <c r="AD89" s="186">
        <f t="shared" si="92"/>
        <v>0</v>
      </c>
      <c r="AE89" s="186">
        <f t="shared" si="92"/>
        <v>0</v>
      </c>
      <c r="AF89" s="186">
        <f t="shared" si="92"/>
        <v>0</v>
      </c>
      <c r="AG89" s="186">
        <f t="shared" ref="AG89" si="93">SUM(AG87:AG88)</f>
        <v>0</v>
      </c>
      <c r="AH89" s="186">
        <f t="shared" ref="AH89:AR89" si="94">SUM(AH87:AH88)</f>
        <v>0</v>
      </c>
      <c r="AI89" s="186">
        <f t="shared" si="94"/>
        <v>0</v>
      </c>
      <c r="AJ89" s="186">
        <f t="shared" si="94"/>
        <v>0</v>
      </c>
      <c r="AK89" s="186">
        <f t="shared" si="94"/>
        <v>0</v>
      </c>
      <c r="AL89" s="186">
        <f t="shared" si="94"/>
        <v>0</v>
      </c>
      <c r="AM89" s="186">
        <f t="shared" si="94"/>
        <v>0</v>
      </c>
      <c r="AN89" s="186">
        <f t="shared" si="94"/>
        <v>0</v>
      </c>
      <c r="AO89" s="186">
        <f t="shared" si="94"/>
        <v>0</v>
      </c>
      <c r="AP89" s="186">
        <f t="shared" si="94"/>
        <v>0</v>
      </c>
      <c r="AQ89" s="186">
        <f t="shared" si="94"/>
        <v>0</v>
      </c>
      <c r="AR89" s="186">
        <f t="shared" si="94"/>
        <v>0</v>
      </c>
      <c r="AS89" s="186"/>
      <c r="AT89" s="30">
        <f t="shared" si="88"/>
        <v>0</v>
      </c>
      <c r="AU89" s="30">
        <f t="shared" si="89"/>
        <v>0</v>
      </c>
      <c r="AV89" s="30">
        <f t="shared" si="90"/>
        <v>0</v>
      </c>
    </row>
    <row r="90" spans="2:50">
      <c r="B90" s="15"/>
      <c r="C90" s="15"/>
      <c r="D90" s="15"/>
      <c r="E90" s="15"/>
      <c r="F90" s="15"/>
      <c r="G90" s="15"/>
      <c r="N90" s="15">
        <f t="shared" si="70"/>
        <v>81</v>
      </c>
      <c r="S90" s="1429"/>
      <c r="T90" s="1113"/>
    </row>
    <row r="91" spans="2:50">
      <c r="B91" s="15"/>
      <c r="C91" s="15"/>
      <c r="D91" s="15"/>
      <c r="E91" s="15"/>
      <c r="F91" s="15"/>
      <c r="G91" s="15"/>
      <c r="N91" s="15">
        <f t="shared" si="70"/>
        <v>82</v>
      </c>
      <c r="P91" s="15" t="s">
        <v>259</v>
      </c>
      <c r="Q91" s="15" t="s">
        <v>240</v>
      </c>
      <c r="S91" s="1429"/>
      <c r="T91" s="1113"/>
    </row>
    <row r="92" spans="2:50">
      <c r="B92" s="15"/>
      <c r="C92" s="15"/>
      <c r="D92" s="15"/>
      <c r="E92" s="15"/>
      <c r="F92" s="15"/>
      <c r="G92" s="15"/>
      <c r="N92" s="15">
        <f t="shared" si="70"/>
        <v>83</v>
      </c>
      <c r="R92" s="15" t="s">
        <v>592</v>
      </c>
      <c r="S92" s="1429">
        <f>S95*('RB FORECAST'!R94/'RB FORECAST'!R97)</f>
        <v>30394.368470783982</v>
      </c>
      <c r="T92" s="7">
        <f>T95</f>
        <v>2.129E-2</v>
      </c>
      <c r="U92" s="116">
        <f ca="1">('RB FORECAST'!V94-$S92)*($T92/12)</f>
        <v>2881.9893237412061</v>
      </c>
      <c r="V92" s="116">
        <f ca="1">('RB FORECAST'!W94-$S92)*($T92/12)</f>
        <v>2887.9852498439404</v>
      </c>
      <c r="W92" s="116">
        <f ca="1">('RB FORECAST'!X94-$S92)*($T92/12)</f>
        <v>2896.5039695136525</v>
      </c>
      <c r="X92" s="116">
        <f ca="1">('RB FORECAST'!Y94-$S92)*($T92/12)</f>
        <v>2933.4569302594928</v>
      </c>
      <c r="Y92" s="116">
        <f ca="1">('RB FORECAST'!Z94-$S92)*($T92/12)</f>
        <v>2950.8805285147623</v>
      </c>
      <c r="Z92" s="116">
        <f ca="1">('RB FORECAST'!AA94-$S92)*($T92/12)</f>
        <v>2939.1254712362106</v>
      </c>
      <c r="AA92" s="116">
        <f ca="1">('RB FORECAST'!AB94-$S92)*($T92/12)</f>
        <v>2934.0215942931059</v>
      </c>
      <c r="AB92" s="116">
        <f ca="1">('RB FORECAST'!AC94-$S92)*($T92/12)</f>
        <v>2946.4882768532416</v>
      </c>
      <c r="AC92" s="116">
        <f ca="1">('RB FORECAST'!AD94-$S92)*($T92/12)</f>
        <v>2946.4882768532416</v>
      </c>
      <c r="AD92" s="116">
        <f ca="1">('RB FORECAST'!AE94-$S92)*($T92/12)</f>
        <v>2949.8084172612234</v>
      </c>
      <c r="AE92" s="116">
        <f ca="1">('RB FORECAST'!AF94-$S92)*($T92/12)</f>
        <v>2989.2630851193908</v>
      </c>
      <c r="AF92" s="116">
        <f ca="1">('RB FORECAST'!AG94-$S92)*($T92/12)</f>
        <v>2992.7999136314538</v>
      </c>
      <c r="AG92" s="116">
        <f ca="1">('RB FORECAST'!AL94-$S92)*($T92/12)</f>
        <v>3091.5389140905013</v>
      </c>
      <c r="AH92" s="116">
        <f ca="1">('RB FORECAST'!AM94-$S92)*($T92/12)</f>
        <v>3100.5693280288756</v>
      </c>
      <c r="AI92" s="116">
        <f ca="1">('RB FORECAST'!AN94-$S92)*($T92/12)</f>
        <v>3113.3993001673571</v>
      </c>
      <c r="AJ92" s="116">
        <f ca="1">('RB FORECAST'!AO94-$S92)*($T92/12)</f>
        <v>3169.0538439468892</v>
      </c>
      <c r="AK92" s="116">
        <f ca="1">('RB FORECAST'!AP94-$S92)*($T92/12)</f>
        <v>3195.295378923327</v>
      </c>
      <c r="AL92" s="116">
        <f ca="1">('RB FORECAST'!AQ94-$S92)*($T92/12)</f>
        <v>3177.5911858969603</v>
      </c>
      <c r="AM92" s="116">
        <f ca="1">('RB FORECAST'!AR94-$S92)*($T92/12)</f>
        <v>3169.9042797048141</v>
      </c>
      <c r="AN92" s="116">
        <f ca="1">('RB FORECAST'!AS94-$S92)*($T92/12)</f>
        <v>3188.6802455902189</v>
      </c>
      <c r="AO92" s="116">
        <f ca="1">('RB FORECAST'!AT94-$S92)*($T92/12)</f>
        <v>3188.6802455902189</v>
      </c>
      <c r="AP92" s="116">
        <f ca="1">('RB FORECAST'!AU94-$S92)*($T92/12)</f>
        <v>3193.6806811699571</v>
      </c>
      <c r="AQ92" s="116">
        <f ca="1">('RB FORECAST'!AV94-$S92)*($T92/12)</f>
        <v>3253.1030250173712</v>
      </c>
      <c r="AR92" s="116">
        <f ca="1">('RB FORECAST'!AW94-$S92)*($T92/12)</f>
        <v>3258.4298127305174</v>
      </c>
      <c r="AS92" s="116"/>
      <c r="AT92" s="30">
        <f t="shared" ref="AT92:AT95" ca="1" si="95">SUM(U92:AF92)</f>
        <v>35248.811037120919</v>
      </c>
      <c r="AU92" s="30">
        <f t="shared" ref="AU92:AU95" ca="1" si="96">SUM(AG92:AR92)</f>
        <v>38099.926240856999</v>
      </c>
      <c r="AV92" s="30">
        <f t="shared" ref="AV92:AV95" ca="1" si="97">AU92-AT92</f>
        <v>2851.1152037360807</v>
      </c>
      <c r="AX92" s="15">
        <v>2016</v>
      </c>
    </row>
    <row r="93" spans="2:50">
      <c r="B93" s="15"/>
      <c r="C93" s="15"/>
      <c r="D93" s="15"/>
      <c r="E93" s="15"/>
      <c r="F93" s="15"/>
      <c r="G93" s="15"/>
      <c r="N93" s="15">
        <f t="shared" si="70"/>
        <v>84</v>
      </c>
      <c r="R93" s="15" t="s">
        <v>593</v>
      </c>
      <c r="S93" s="1430">
        <f>S95*'RB FORECAST'!R95/'RB FORECAST'!R97</f>
        <v>827625.4814148274</v>
      </c>
      <c r="T93" s="1251">
        <f>T95</f>
        <v>2.129E-2</v>
      </c>
      <c r="U93" s="116">
        <f ca="1">('RB FORECAST'!V95-$S93)*($T93/12)</f>
        <v>78475.320314236669</v>
      </c>
      <c r="V93" s="116">
        <f ca="1">('RB FORECAST'!W95-$S93)*($T93/12)</f>
        <v>78638.586783552295</v>
      </c>
      <c r="W93" s="116">
        <f ca="1">('RB FORECAST'!X95-$S93)*($T93/12)</f>
        <v>78870.547828390598</v>
      </c>
      <c r="X93" s="116">
        <f ca="1">('RB FORECAST'!Y95-$S93)*($T93/12)</f>
        <v>79876.760935150043</v>
      </c>
      <c r="Y93" s="116">
        <f ca="1">('RB FORECAST'!Z95-$S93)*($T93/12)</f>
        <v>80351.19796475496</v>
      </c>
      <c r="Z93" s="116">
        <f ca="1">('RB FORECAST'!AA95-$S93)*($T93/12)</f>
        <v>80031.112849363548</v>
      </c>
      <c r="AA93" s="116">
        <f ca="1">('RB FORECAST'!AB95-$S93)*($T93/12)</f>
        <v>79892.136492076213</v>
      </c>
      <c r="AB93" s="116">
        <f ca="1">('RB FORECAST'!AC95-$S93)*($T93/12)</f>
        <v>80231.598855487246</v>
      </c>
      <c r="AC93" s="116">
        <f ca="1">('RB FORECAST'!AD95-$S93)*($T93/12)</f>
        <v>80231.598855487246</v>
      </c>
      <c r="AD93" s="116">
        <f ca="1">('RB FORECAST'!AE95-$S93)*($T93/12)</f>
        <v>80322.004839943271</v>
      </c>
      <c r="AE93" s="116">
        <f ca="1">('RB FORECAST'!AF95-$S93)*($T93/12)</f>
        <v>81396.338347203535</v>
      </c>
      <c r="AF93" s="116">
        <f ca="1">('RB FORECAST'!AG95-$S93)*($T93/12)</f>
        <v>81492.644654827309</v>
      </c>
      <c r="AG93" s="116">
        <f ca="1">('RB FORECAST'!AL95-$S93)*($T93/12)</f>
        <v>84181.264846685837</v>
      </c>
      <c r="AH93" s="116">
        <f ca="1">('RB FORECAST'!AM95-$S93)*($T93/12)</f>
        <v>84427.159104706254</v>
      </c>
      <c r="AI93" s="116">
        <f ca="1">('RB FORECAST'!AN95-$S93)*($T93/12)</f>
        <v>84776.513685896411</v>
      </c>
      <c r="AJ93" s="116">
        <f ca="1">('RB FORECAST'!AO95-$S93)*($T93/12)</f>
        <v>86291.962793935381</v>
      </c>
      <c r="AK93" s="116">
        <f ca="1">('RB FORECAST'!AP95-$S93)*($T93/12)</f>
        <v>87006.5084190177</v>
      </c>
      <c r="AL93" s="116">
        <f ca="1">('RB FORECAST'!AQ95-$S93)*($T93/12)</f>
        <v>86524.430915397519</v>
      </c>
      <c r="AM93" s="116">
        <f ca="1">('RB FORECAST'!AR95-$S93)*($T93/12)</f>
        <v>86315.119791069315</v>
      </c>
      <c r="AN93" s="116">
        <f ca="1">('RB FORECAST'!AS95-$S93)*($T93/12)</f>
        <v>86826.381205165599</v>
      </c>
      <c r="AO93" s="116">
        <f ca="1">('RB FORECAST'!AT95-$S93)*($T93/12)</f>
        <v>86826.381205165599</v>
      </c>
      <c r="AP93" s="116">
        <f ca="1">('RB FORECAST'!AU95-$S93)*($T93/12)</f>
        <v>86962.540898956999</v>
      </c>
      <c r="AQ93" s="116">
        <f ca="1">('RB FORECAST'!AV95-$S93)*($T93/12)</f>
        <v>88580.585569988281</v>
      </c>
      <c r="AR93" s="116">
        <f ca="1">('RB FORECAST'!AW95-$S93)*($T93/12)</f>
        <v>88725.631690940747</v>
      </c>
      <c r="AS93" s="116"/>
      <c r="AT93" s="30">
        <f t="shared" ca="1" si="95"/>
        <v>959809.84872047289</v>
      </c>
      <c r="AU93" s="30">
        <f t="shared" ca="1" si="96"/>
        <v>1037444.4801269256</v>
      </c>
      <c r="AV93" s="30">
        <f t="shared" ca="1" si="97"/>
        <v>77634.63140645274</v>
      </c>
    </row>
    <row r="94" spans="2:50">
      <c r="B94" s="15"/>
      <c r="C94" s="15"/>
      <c r="D94" s="15"/>
      <c r="E94" s="15"/>
      <c r="F94" s="15"/>
      <c r="G94" s="15"/>
      <c r="N94" s="15">
        <f t="shared" si="70"/>
        <v>85</v>
      </c>
      <c r="R94" s="15" t="s">
        <v>595</v>
      </c>
      <c r="S94" s="1430">
        <f>S95*'RB FORECAST'!R96/'RB FORECAST'!R97</f>
        <v>959571.68011438835</v>
      </c>
      <c r="T94" s="1251">
        <f>T95</f>
        <v>2.129E-2</v>
      </c>
      <c r="U94" s="256">
        <f ca="1">('RB FORECAST'!V96-$S94)*($T94/12)</f>
        <v>90986.43849476066</v>
      </c>
      <c r="V94" s="256">
        <f ca="1">('RB FORECAST'!W96-$S94)*($T94/12)</f>
        <v>91175.734116736567</v>
      </c>
      <c r="W94" s="256">
        <f ca="1">('RB FORECAST'!X96-$S94)*($T94/12)</f>
        <v>91444.676113466863</v>
      </c>
      <c r="X94" s="256">
        <f ca="1">('RB FORECAST'!Y96-$S94)*($T94/12)</f>
        <v>92611.307184027566</v>
      </c>
      <c r="Y94" s="256">
        <f ca="1">('RB FORECAST'!Z96-$S94)*($T94/12)</f>
        <v>93161.382487204814</v>
      </c>
      <c r="Z94" s="256">
        <f ca="1">('RB FORECAST'!AA96-$S94)*($T94/12)</f>
        <v>92790.267026343587</v>
      </c>
      <c r="AA94" s="256">
        <f ca="1">('RB FORECAST'!AB96-$S94)*($T94/12)</f>
        <v>92629.13402639002</v>
      </c>
      <c r="AB94" s="256">
        <f ca="1">('RB FORECAST'!AC96-$S94)*($T94/12)</f>
        <v>93022.716000010594</v>
      </c>
      <c r="AC94" s="256">
        <f ca="1">('RB FORECAST'!AD96-$S94)*($T94/12)</f>
        <v>93022.716000010594</v>
      </c>
      <c r="AD94" s="256">
        <f ca="1">('RB FORECAST'!AE96-$S94)*($T94/12)</f>
        <v>93127.535177700192</v>
      </c>
      <c r="AE94" s="256">
        <f ca="1">('RB FORECAST'!AF96-$S94)*($T94/12)</f>
        <v>94373.146908748633</v>
      </c>
      <c r="AF94" s="256">
        <f ca="1">('RB FORECAST'!AG96-$S94)*($T94/12)</f>
        <v>94484.807082930522</v>
      </c>
      <c r="AG94" s="256">
        <f ca="1">('RB FORECAST'!AL96-$S94)*($T94/12)</f>
        <v>97602.067066613934</v>
      </c>
      <c r="AH94" s="256">
        <f ca="1">('RB FORECAST'!AM96-$S94)*($T94/12)</f>
        <v>97887.163612814707</v>
      </c>
      <c r="AI94" s="256">
        <f ca="1">('RB FORECAST'!AN96-$S94)*($T94/12)</f>
        <v>98292.214895014491</v>
      </c>
      <c r="AJ94" s="256">
        <f ca="1">('RB FORECAST'!AO96-$S94)*($T94/12)</f>
        <v>100049.26815084572</v>
      </c>
      <c r="AK94" s="256">
        <f ca="1">('RB FORECAST'!AP96-$S94)*($T94/12)</f>
        <v>100877.73194440424</v>
      </c>
      <c r="AL94" s="256">
        <f ca="1">('RB FORECAST'!AQ96-$S94)*($T94/12)</f>
        <v>100318.79806611984</v>
      </c>
      <c r="AM94" s="256">
        <f ca="1">('RB FORECAST'!AR96-$S94)*($T94/12)</f>
        <v>100076.11700838477</v>
      </c>
      <c r="AN94" s="256">
        <f ca="1">('RB FORECAST'!AS96-$S94)*($T94/12)</f>
        <v>100668.88751282038</v>
      </c>
      <c r="AO94" s="256">
        <f ca="1">('RB FORECAST'!AT96-$S94)*($T94/12)</f>
        <v>100668.88751282038</v>
      </c>
      <c r="AP94" s="256">
        <f ca="1">('RB FORECAST'!AU96-$S94)*($T94/12)</f>
        <v>100826.75479587202</v>
      </c>
      <c r="AQ94" s="256">
        <f ca="1">('RB FORECAST'!AV96-$S94)*($T94/12)</f>
        <v>102702.76016103719</v>
      </c>
      <c r="AR94" s="256">
        <f ca="1">('RB FORECAST'!AW96-$S94)*($T94/12)</f>
        <v>102870.93061144248</v>
      </c>
      <c r="AS94" s="116"/>
      <c r="AT94" s="30">
        <f t="shared" ca="1" si="95"/>
        <v>1112829.8606183308</v>
      </c>
      <c r="AU94" s="30">
        <f t="shared" ca="1" si="96"/>
        <v>1202841.5813381902</v>
      </c>
      <c r="AV94" s="30">
        <f t="shared" ca="1" si="97"/>
        <v>90011.72071985947</v>
      </c>
    </row>
    <row r="95" spans="2:50">
      <c r="B95" s="15"/>
      <c r="C95" s="15"/>
      <c r="D95" s="15"/>
      <c r="E95" s="15"/>
      <c r="F95" s="15"/>
      <c r="G95" s="15"/>
      <c r="N95" s="15">
        <f t="shared" si="70"/>
        <v>86</v>
      </c>
      <c r="R95" s="15" t="s">
        <v>170</v>
      </c>
      <c r="S95" s="1429">
        <v>1817591.5299999998</v>
      </c>
      <c r="T95" s="7">
        <v>2.129E-2</v>
      </c>
      <c r="U95" s="186">
        <f t="shared" ref="U95:W95" ca="1" si="98">SUM(U92:U94)</f>
        <v>172343.74813273852</v>
      </c>
      <c r="V95" s="186">
        <f t="shared" ca="1" si="98"/>
        <v>172702.30615013279</v>
      </c>
      <c r="W95" s="186">
        <f t="shared" ca="1" si="98"/>
        <v>173211.7279113711</v>
      </c>
      <c r="X95" s="186">
        <f t="shared" ref="X95:AF95" ca="1" si="99">SUM(X92:X94)</f>
        <v>175421.5250494371</v>
      </c>
      <c r="Y95" s="186">
        <f t="shared" ca="1" si="99"/>
        <v>176463.46098047454</v>
      </c>
      <c r="Z95" s="186">
        <f t="shared" ca="1" si="99"/>
        <v>175760.50534694333</v>
      </c>
      <c r="AA95" s="186">
        <f t="shared" ca="1" si="99"/>
        <v>175455.29211275934</v>
      </c>
      <c r="AB95" s="186">
        <f t="shared" ca="1" si="99"/>
        <v>176200.80313235108</v>
      </c>
      <c r="AC95" s="186">
        <f t="shared" ca="1" si="99"/>
        <v>176200.80313235108</v>
      </c>
      <c r="AD95" s="186">
        <f t="shared" ca="1" si="99"/>
        <v>176399.34843490471</v>
      </c>
      <c r="AE95" s="186">
        <f t="shared" ca="1" si="99"/>
        <v>178758.74834107156</v>
      </c>
      <c r="AF95" s="186">
        <f t="shared" ca="1" si="99"/>
        <v>178970.25165138929</v>
      </c>
      <c r="AG95" s="186">
        <f t="shared" ref="AG95:AR95" ca="1" si="100">SUM(AG92:AG94)</f>
        <v>184874.87082739029</v>
      </c>
      <c r="AH95" s="186">
        <f t="shared" ca="1" si="100"/>
        <v>185414.89204554982</v>
      </c>
      <c r="AI95" s="186">
        <f t="shared" ca="1" si="100"/>
        <v>186182.12788107825</v>
      </c>
      <c r="AJ95" s="186">
        <f t="shared" ca="1" si="100"/>
        <v>189510.28478872799</v>
      </c>
      <c r="AK95" s="186">
        <f t="shared" ca="1" si="100"/>
        <v>191079.53574234527</v>
      </c>
      <c r="AL95" s="186">
        <f t="shared" ca="1" si="100"/>
        <v>190020.82016741432</v>
      </c>
      <c r="AM95" s="186">
        <f t="shared" ca="1" si="100"/>
        <v>189561.1410791589</v>
      </c>
      <c r="AN95" s="186">
        <f t="shared" ca="1" si="100"/>
        <v>190683.9489635762</v>
      </c>
      <c r="AO95" s="186">
        <f t="shared" ca="1" si="100"/>
        <v>190683.9489635762</v>
      </c>
      <c r="AP95" s="186">
        <f t="shared" ca="1" si="100"/>
        <v>190982.97637599899</v>
      </c>
      <c r="AQ95" s="186">
        <f t="shared" ca="1" si="100"/>
        <v>194536.44875604284</v>
      </c>
      <c r="AR95" s="186">
        <f t="shared" ca="1" si="100"/>
        <v>194854.99211511377</v>
      </c>
      <c r="AS95" s="186"/>
      <c r="AT95" s="30">
        <f t="shared" ca="1" si="95"/>
        <v>2107888.5203759247</v>
      </c>
      <c r="AU95" s="30">
        <f t="shared" ca="1" si="96"/>
        <v>2278385.987705973</v>
      </c>
      <c r="AV95" s="30">
        <f t="shared" ca="1" si="97"/>
        <v>170497.46733004833</v>
      </c>
    </row>
    <row r="96" spans="2:50">
      <c r="B96" s="15"/>
      <c r="C96" s="15"/>
      <c r="D96" s="15"/>
      <c r="E96" s="15"/>
      <c r="F96" s="15"/>
      <c r="G96" s="15"/>
      <c r="N96" s="15">
        <f t="shared" si="70"/>
        <v>87</v>
      </c>
      <c r="S96" s="1429"/>
      <c r="T96" s="1113"/>
    </row>
    <row r="97" spans="2:50">
      <c r="B97" s="15"/>
      <c r="C97" s="15"/>
      <c r="D97" s="15"/>
      <c r="E97" s="15"/>
      <c r="F97" s="15"/>
      <c r="G97" s="15"/>
      <c r="N97" s="15">
        <f t="shared" si="70"/>
        <v>88</v>
      </c>
      <c r="P97" s="15" t="s">
        <v>260</v>
      </c>
      <c r="Q97" s="15" t="s">
        <v>261</v>
      </c>
      <c r="S97" s="1429"/>
      <c r="T97" s="1113"/>
    </row>
    <row r="98" spans="2:50">
      <c r="B98" s="15"/>
      <c r="C98" s="15"/>
      <c r="D98" s="15"/>
      <c r="E98" s="15"/>
      <c r="F98" s="15"/>
      <c r="G98" s="15"/>
      <c r="N98" s="15">
        <f t="shared" si="70"/>
        <v>89</v>
      </c>
      <c r="R98" s="15" t="s">
        <v>592</v>
      </c>
      <c r="S98" s="1428">
        <f>S101*('RB FORECAST'!R100/'RB FORECAST'!R103)</f>
        <v>69022.739968364025</v>
      </c>
      <c r="T98" s="1251">
        <f>T99</f>
        <v>0.11763</v>
      </c>
      <c r="U98" s="116">
        <f ca="1">('RB FORECAST'!V100-$S98)*($T98/12)</f>
        <v>739.48605231949762</v>
      </c>
      <c r="V98" s="116">
        <f ca="1">('RB FORECAST'!W100-$S98)*($T98/12)</f>
        <v>740.01292985380371</v>
      </c>
      <c r="W98" s="116">
        <f ca="1">('RB FORECAST'!X100-$S98)*($T98/12)</f>
        <v>734.35511045681938</v>
      </c>
      <c r="X98" s="116">
        <f ca="1">('RB FORECAST'!Y100-$S98)*($T98/12)</f>
        <v>734.47550712997179</v>
      </c>
      <c r="Y98" s="116">
        <f ca="1">('RB FORECAST'!Z100-$S98)*($T98/12)</f>
        <v>734.72486736231713</v>
      </c>
      <c r="Z98" s="116">
        <f ca="1">('RB FORECAST'!AA100-$S98)*($T98/12)</f>
        <v>726.58583985157873</v>
      </c>
      <c r="AA98" s="116">
        <f ca="1">('RB FORECAST'!AB100-$S98)*($T98/12)</f>
        <v>726.89274197315046</v>
      </c>
      <c r="AB98" s="116">
        <f ca="1">('RB FORECAST'!AC100-$S98)*($T98/12)</f>
        <v>727.44324937476517</v>
      </c>
      <c r="AC98" s="116">
        <f ca="1">('RB FORECAST'!AD100-$S98)*($T98/12)</f>
        <v>727.44324937476517</v>
      </c>
      <c r="AD98" s="116">
        <f ca="1">('RB FORECAST'!AE100-$S98)*($T98/12)</f>
        <v>728.15690554107459</v>
      </c>
      <c r="AE98" s="116">
        <f ca="1">('RB FORECAST'!AF100-$S98)*($T98/12)</f>
        <v>728.832901016498</v>
      </c>
      <c r="AF98" s="116">
        <f ca="1">('RB FORECAST'!AG100-$S98)*($T98/12)</f>
        <v>727.06355571548033</v>
      </c>
      <c r="AG98" s="116">
        <f ca="1">('RB FORECAST'!AL100-$S98)*($T98/12)</f>
        <v>588.66395995909932</v>
      </c>
      <c r="AH98" s="116">
        <f ca="1">('RB FORECAST'!AM100-$S98)*($T98/12)</f>
        <v>590.86487496936275</v>
      </c>
      <c r="AI98" s="116">
        <f ca="1">('RB FORECAST'!AN100-$S98)*($T98/12)</f>
        <v>567.23057890361304</v>
      </c>
      <c r="AJ98" s="116">
        <f ca="1">('RB FORECAST'!AO100-$S98)*($T98/12)</f>
        <v>567.73350952386716</v>
      </c>
      <c r="AK98" s="116">
        <f ca="1">('RB FORECAST'!AP100-$S98)*($T98/12)</f>
        <v>568.77515704648408</v>
      </c>
      <c r="AL98" s="116">
        <f ca="1">('RB FORECAST'!AQ100-$S98)*($T98/12)</f>
        <v>534.7761598394319</v>
      </c>
      <c r="AM98" s="116">
        <f ca="1">('RB FORECAST'!AR100-$S98)*($T98/12)</f>
        <v>536.05817594766825</v>
      </c>
      <c r="AN98" s="116">
        <f ca="1">('RB FORECAST'!AS100-$S98)*($T98/12)</f>
        <v>538.35779953110875</v>
      </c>
      <c r="AO98" s="116">
        <f ca="1">('RB FORECAST'!AT100-$S98)*($T98/12)</f>
        <v>538.35779953110875</v>
      </c>
      <c r="AP98" s="116">
        <f ca="1">('RB FORECAST'!AU100-$S98)*($T98/12)</f>
        <v>541.33894119368892</v>
      </c>
      <c r="AQ98" s="116">
        <f ca="1">('RB FORECAST'!AV100-$S98)*($T98/12)</f>
        <v>544.16276360374627</v>
      </c>
      <c r="AR98" s="116">
        <f ca="1">('RB FORECAST'!AW100-$S98)*($T98/12)</f>
        <v>536.77171278492995</v>
      </c>
      <c r="AS98" s="116"/>
      <c r="AT98" s="30">
        <f t="shared" ref="AT98:AT101" ca="1" si="101">SUM(U98:AF98)</f>
        <v>8775.4729099697233</v>
      </c>
      <c r="AU98" s="30">
        <f t="shared" ref="AU98:AU101" ca="1" si="102">SUM(AG98:AR98)</f>
        <v>6653.0914328341096</v>
      </c>
      <c r="AV98" s="30">
        <f t="shared" ref="AV98:AV101" ca="1" si="103">AU98-AT98</f>
        <v>-2122.3814771356137</v>
      </c>
      <c r="AX98" s="15" t="s">
        <v>1384</v>
      </c>
    </row>
    <row r="99" spans="2:50">
      <c r="B99" s="15"/>
      <c r="C99" s="15"/>
      <c r="D99" s="15"/>
      <c r="E99" s="15"/>
      <c r="F99" s="15"/>
      <c r="G99" s="15"/>
      <c r="N99" s="15">
        <f t="shared" si="70"/>
        <v>90</v>
      </c>
      <c r="R99" s="15" t="s">
        <v>593</v>
      </c>
      <c r="S99" s="1429">
        <f>'RB FORECAST'!R101*('RB FORECAST'!R101/'RB FORECAST'!R103)</f>
        <v>3067141.5156726884</v>
      </c>
      <c r="T99" s="1251">
        <f>T100</f>
        <v>0.11763</v>
      </c>
      <c r="U99" s="116">
        <f ca="1">('RB FORECAST'!V101-$S99)*($T99/12)</f>
        <v>91594.21085117427</v>
      </c>
      <c r="V99" s="116">
        <f ca="1">('RB FORECAST'!W101-$S99)*($T99/12)</f>
        <v>91639.476502735444</v>
      </c>
      <c r="W99" s="116">
        <f ca="1">('RB FORECAST'!X101-$S99)*($T99/12)</f>
        <v>91153.396029106487</v>
      </c>
      <c r="X99" s="116">
        <f ca="1">('RB FORECAST'!Y101-$S99)*($T99/12)</f>
        <v>91163.739673504271</v>
      </c>
      <c r="Y99" s="116">
        <f ca="1">('RB FORECAST'!Z101-$S99)*($T99/12)</f>
        <v>91185.162969537254</v>
      </c>
      <c r="Z99" s="116">
        <f ca="1">('RB FORECAST'!AA101-$S99)*($T99/12)</f>
        <v>90485.914359833056</v>
      </c>
      <c r="AA99" s="116">
        <f ca="1">('RB FORECAST'!AB101-$S99)*($T99/12)</f>
        <v>90512.28125459305</v>
      </c>
      <c r="AB99" s="116">
        <f ca="1">('RB FORECAST'!AC101-$S99)*($T99/12)</f>
        <v>90559.577019929027</v>
      </c>
      <c r="AC99" s="116">
        <f ca="1">('RB FORECAST'!AD101-$S99)*($T99/12)</f>
        <v>90559.577019929027</v>
      </c>
      <c r="AD99" s="116">
        <f ca="1">('RB FORECAST'!AE101-$S99)*($T99/12)</f>
        <v>90620.889391885066</v>
      </c>
      <c r="AE99" s="116">
        <f ca="1">('RB FORECAST'!AF101-$S99)*($T99/12)</f>
        <v>90678.966219335591</v>
      </c>
      <c r="AF99" s="116">
        <f ca="1">('RB FORECAST'!AG101-$S99)*($T99/12)</f>
        <v>90526.956382756092</v>
      </c>
      <c r="AG99" s="116">
        <f ca="1">('RB FORECAST'!AL101-$S99)*($T99/12)</f>
        <v>78636.62614507231</v>
      </c>
      <c r="AH99" s="116">
        <f ca="1">('RB FORECAST'!AM101-$S99)*($T99/12)</f>
        <v>78825.713448066861</v>
      </c>
      <c r="AI99" s="116">
        <f ca="1">('RB FORECAST'!AN101-$S99)*($T99/12)</f>
        <v>76795.219185268405</v>
      </c>
      <c r="AJ99" s="116">
        <f ca="1">('RB FORECAST'!AO101-$S99)*($T99/12)</f>
        <v>76838.427484604705</v>
      </c>
      <c r="AK99" s="116">
        <f ca="1">('RB FORECAST'!AP101-$S99)*($T99/12)</f>
        <v>76927.918591623413</v>
      </c>
      <c r="AL99" s="116">
        <f ca="1">('RB FORECAST'!AQ101-$S99)*($T99/12)</f>
        <v>74006.961327748606</v>
      </c>
      <c r="AM99" s="116">
        <f ca="1">('RB FORECAST'!AR101-$S99)*($T99/12)</f>
        <v>74117.103231080415</v>
      </c>
      <c r="AN99" s="116">
        <f ca="1">('RB FORECAST'!AS101-$S99)*($T99/12)</f>
        <v>74314.670887835746</v>
      </c>
      <c r="AO99" s="116">
        <f ca="1">('RB FORECAST'!AT101-$S99)*($T99/12)</f>
        <v>74314.670887835746</v>
      </c>
      <c r="AP99" s="116">
        <f ca="1">('RB FORECAST'!AU101-$S99)*($T99/12)</f>
        <v>74570.789835724805</v>
      </c>
      <c r="AQ99" s="116">
        <f ca="1">('RB FORECAST'!AV101-$S99)*($T99/12)</f>
        <v>74813.393008115992</v>
      </c>
      <c r="AR99" s="116">
        <f ca="1">('RB FORECAST'!AW101-$S99)*($T99/12)</f>
        <v>74178.405351115012</v>
      </c>
      <c r="AS99" s="116"/>
      <c r="AT99" s="30">
        <f t="shared" ca="1" si="101"/>
        <v>1090680.1476743186</v>
      </c>
      <c r="AU99" s="30">
        <f t="shared" ca="1" si="102"/>
        <v>908339.89938409219</v>
      </c>
      <c r="AV99" s="30">
        <f t="shared" ca="1" si="103"/>
        <v>-182340.24829022645</v>
      </c>
      <c r="AX99" s="30">
        <f>'RB FORECAST'!T103</f>
        <v>55823610.112083331</v>
      </c>
    </row>
    <row r="100" spans="2:50">
      <c r="B100" s="15"/>
      <c r="C100" s="15"/>
      <c r="D100" s="15"/>
      <c r="E100" s="15"/>
      <c r="F100" s="15"/>
      <c r="G100" s="15"/>
      <c r="N100" s="15">
        <f t="shared" si="70"/>
        <v>91</v>
      </c>
      <c r="R100" s="15" t="s">
        <v>595</v>
      </c>
      <c r="S100" s="1429">
        <f>S101*('RB FORECAST'!R102/'RB FORECAST'!R103)</f>
        <v>18557832.734775119</v>
      </c>
      <c r="T100" s="1251">
        <f>T101</f>
        <v>0.11763</v>
      </c>
      <c r="U100" s="256">
        <f ca="1">('RB FORECAST'!V102-$S100)*($T100/12)</f>
        <v>198822.27907692935</v>
      </c>
      <c r="V100" s="256">
        <f ca="1">('RB FORECAST'!W102-$S100)*($T100/12)</f>
        <v>198963.93826284181</v>
      </c>
      <c r="W100" s="256">
        <f ca="1">('RB FORECAST'!X102-$S100)*($T100/12)</f>
        <v>197442.74588391097</v>
      </c>
      <c r="X100" s="256">
        <f ca="1">('RB FORECAST'!Y102-$S100)*($T100/12)</f>
        <v>197475.11639431381</v>
      </c>
      <c r="Y100" s="256">
        <f ca="1">('RB FORECAST'!Z102-$S100)*($T100/12)</f>
        <v>197542.16075512441</v>
      </c>
      <c r="Z100" s="256">
        <f ca="1">('RB FORECAST'!AA102-$S100)*($T100/12)</f>
        <v>195353.85714334014</v>
      </c>
      <c r="AA100" s="256">
        <f ca="1">('RB FORECAST'!AB102-$S100)*($T100/12)</f>
        <v>195436.37253233633</v>
      </c>
      <c r="AB100" s="256">
        <f ca="1">('RB FORECAST'!AC102-$S100)*($T100/12)</f>
        <v>195584.38497407816</v>
      </c>
      <c r="AC100" s="256">
        <f ca="1">('RB FORECAST'!AD102-$S100)*($T100/12)</f>
        <v>195584.38497407816</v>
      </c>
      <c r="AD100" s="256">
        <f ca="1">('RB FORECAST'!AE102-$S100)*($T100/12)</f>
        <v>195776.26248822172</v>
      </c>
      <c r="AE100" s="256">
        <f ca="1">('RB FORECAST'!AF102-$S100)*($T100/12)</f>
        <v>195958.01434229361</v>
      </c>
      <c r="AF100" s="256">
        <f ca="1">('RB FORECAST'!AG102-$S100)*($T100/12)</f>
        <v>195482.29845269839</v>
      </c>
      <c r="AG100" s="256">
        <f ca="1">('RB FORECAST'!AL102-$S100)*($T100/12)</f>
        <v>158271.42346012907</v>
      </c>
      <c r="AH100" s="256">
        <f ca="1">('RB FORECAST'!AM102-$S100)*($T100/12)</f>
        <v>158863.1735506448</v>
      </c>
      <c r="AI100" s="256">
        <f ca="1">('RB FORECAST'!AN102-$S100)*($T100/12)</f>
        <v>152508.72698139295</v>
      </c>
      <c r="AJ100" s="256">
        <f ca="1">('RB FORECAST'!AO102-$S100)*($T100/12)</f>
        <v>152643.94766854838</v>
      </c>
      <c r="AK100" s="256">
        <f ca="1">('RB FORECAST'!AP102-$S100)*($T100/12)</f>
        <v>152924.01073909842</v>
      </c>
      <c r="AL100" s="256">
        <f ca="1">('RB FORECAST'!AQ102-$S100)*($T100/12)</f>
        <v>143782.85372899208</v>
      </c>
      <c r="AM100" s="256">
        <f ca="1">('RB FORECAST'!AR102-$S100)*($T100/12)</f>
        <v>144127.5436168586</v>
      </c>
      <c r="AN100" s="256">
        <f ca="1">('RB FORECAST'!AS102-$S100)*($T100/12)</f>
        <v>144745.83303617162</v>
      </c>
      <c r="AO100" s="256">
        <f ca="1">('RB FORECAST'!AT102-$S100)*($T100/12)</f>
        <v>144745.83303617162</v>
      </c>
      <c r="AP100" s="256">
        <f ca="1">('RB FORECAST'!AU102-$S100)*($T100/12)</f>
        <v>145547.35914710534</v>
      </c>
      <c r="AQ100" s="256">
        <f ca="1">('RB FORECAST'!AV102-$S100)*($T100/12)</f>
        <v>146306.58754027801</v>
      </c>
      <c r="AR100" s="256">
        <f ca="1">('RB FORECAST'!AW102-$S100)*($T100/12)</f>
        <v>144319.38904753947</v>
      </c>
      <c r="AS100" s="116"/>
      <c r="AT100" s="30">
        <f t="shared" ca="1" si="101"/>
        <v>2359421.8152801674</v>
      </c>
      <c r="AU100" s="30">
        <f t="shared" ca="1" si="102"/>
        <v>1788786.6815529303</v>
      </c>
      <c r="AV100" s="30">
        <f t="shared" ca="1" si="103"/>
        <v>-570635.13372723712</v>
      </c>
      <c r="AX100" s="102">
        <f>AX99*T98</f>
        <v>6566531.2574843625</v>
      </c>
    </row>
    <row r="101" spans="2:50">
      <c r="B101" s="15"/>
      <c r="C101" s="15"/>
      <c r="D101" s="15"/>
      <c r="E101" s="15"/>
      <c r="F101" s="15"/>
      <c r="G101" s="15"/>
      <c r="N101" s="15">
        <f t="shared" si="70"/>
        <v>92</v>
      </c>
      <c r="R101" s="15" t="s">
        <v>170</v>
      </c>
      <c r="S101" s="1429">
        <v>24556809.009999998</v>
      </c>
      <c r="T101" s="7">
        <v>0.11763</v>
      </c>
      <c r="U101" s="186">
        <f t="shared" ref="U101:W101" ca="1" si="104">SUM(U98:U100)</f>
        <v>291155.9759804231</v>
      </c>
      <c r="V101" s="186">
        <f t="shared" ca="1" si="104"/>
        <v>291343.42769543105</v>
      </c>
      <c r="W101" s="186">
        <f t="shared" ca="1" si="104"/>
        <v>289330.49702347431</v>
      </c>
      <c r="X101" s="186">
        <f t="shared" ref="X101:AF101" ca="1" si="105">SUM(X98:X100)</f>
        <v>289373.33157494804</v>
      </c>
      <c r="Y101" s="186">
        <f t="shared" ca="1" si="105"/>
        <v>289462.04859202396</v>
      </c>
      <c r="Z101" s="186">
        <f t="shared" ca="1" si="105"/>
        <v>286566.35734302481</v>
      </c>
      <c r="AA101" s="186">
        <f t="shared" ca="1" si="105"/>
        <v>286675.54652890255</v>
      </c>
      <c r="AB101" s="186">
        <f t="shared" ca="1" si="105"/>
        <v>286871.40524338197</v>
      </c>
      <c r="AC101" s="186">
        <f t="shared" ca="1" si="105"/>
        <v>286871.40524338197</v>
      </c>
      <c r="AD101" s="186">
        <f t="shared" ca="1" si="105"/>
        <v>287125.30878564785</v>
      </c>
      <c r="AE101" s="186">
        <f t="shared" ca="1" si="105"/>
        <v>287365.81346264569</v>
      </c>
      <c r="AF101" s="186">
        <f t="shared" ca="1" si="105"/>
        <v>286736.31839116995</v>
      </c>
      <c r="AG101" s="186">
        <f t="shared" ref="AG101" ca="1" si="106">SUM(AG98:AG100)</f>
        <v>237496.71356516046</v>
      </c>
      <c r="AH101" s="186">
        <f t="shared" ref="AH101:AR101" ca="1" si="107">SUM(AH98:AH100)</f>
        <v>238279.75187368103</v>
      </c>
      <c r="AI101" s="186">
        <f t="shared" ca="1" si="107"/>
        <v>229871.17674556497</v>
      </c>
      <c r="AJ101" s="186">
        <f t="shared" ca="1" si="107"/>
        <v>230050.10866267694</v>
      </c>
      <c r="AK101" s="186">
        <f t="shared" ca="1" si="107"/>
        <v>230420.70448776832</v>
      </c>
      <c r="AL101" s="186">
        <f t="shared" ca="1" si="107"/>
        <v>218324.59121658013</v>
      </c>
      <c r="AM101" s="186">
        <f t="shared" ca="1" si="107"/>
        <v>218780.70502388669</v>
      </c>
      <c r="AN101" s="186">
        <f t="shared" ca="1" si="107"/>
        <v>219598.86172353849</v>
      </c>
      <c r="AO101" s="186">
        <f t="shared" ca="1" si="107"/>
        <v>219598.86172353849</v>
      </c>
      <c r="AP101" s="186">
        <f t="shared" ca="1" si="107"/>
        <v>220659.48792402382</v>
      </c>
      <c r="AQ101" s="186">
        <f t="shared" ca="1" si="107"/>
        <v>221664.14331199776</v>
      </c>
      <c r="AR101" s="186">
        <f t="shared" ca="1" si="107"/>
        <v>219034.56611143943</v>
      </c>
      <c r="AS101" s="1427"/>
      <c r="AT101" s="1322">
        <f t="shared" ca="1" si="101"/>
        <v>3458877.4358644555</v>
      </c>
      <c r="AU101" s="1322">
        <f t="shared" ca="1" si="102"/>
        <v>2703779.6723698569</v>
      </c>
      <c r="AV101" s="30">
        <f t="shared" ca="1" si="103"/>
        <v>-755097.76349459868</v>
      </c>
    </row>
    <row r="102" spans="2:50">
      <c r="B102" s="15"/>
      <c r="C102" s="15"/>
      <c r="D102" s="15"/>
      <c r="E102" s="15"/>
      <c r="F102" s="15"/>
      <c r="G102" s="15"/>
      <c r="N102" s="15">
        <f t="shared" si="70"/>
        <v>93</v>
      </c>
      <c r="S102" s="1429"/>
      <c r="T102" s="1113"/>
    </row>
    <row r="103" spans="2:50">
      <c r="B103" s="15"/>
      <c r="C103" s="15"/>
      <c r="D103" s="15"/>
      <c r="E103" s="15"/>
      <c r="F103" s="15"/>
      <c r="G103" s="15"/>
      <c r="N103" s="15">
        <f t="shared" si="70"/>
        <v>94</v>
      </c>
      <c r="P103" s="15" t="s">
        <v>262</v>
      </c>
      <c r="Q103" s="15" t="s">
        <v>263</v>
      </c>
      <c r="S103" s="1429"/>
      <c r="T103" s="1113"/>
    </row>
    <row r="104" spans="2:50">
      <c r="B104" s="15"/>
      <c r="C104" s="15"/>
      <c r="D104" s="15"/>
      <c r="E104" s="15"/>
      <c r="F104" s="15"/>
      <c r="G104" s="15"/>
      <c r="N104" s="15">
        <f t="shared" si="70"/>
        <v>95</v>
      </c>
      <c r="R104" s="15" t="s">
        <v>592</v>
      </c>
      <c r="S104" s="1429">
        <f>S107*('RB FORECAST'!R106/'RB FORECAST'!R109)</f>
        <v>139082.85081521093</v>
      </c>
      <c r="T104" s="1223">
        <f>T105</f>
        <v>8.0140000000000003E-2</v>
      </c>
      <c r="U104" s="116">
        <f ca="1">('RB FORECAST'!V106-$S104)*($T104/12)</f>
        <v>18817.234846107538</v>
      </c>
      <c r="V104" s="116">
        <f ca="1">('RB FORECAST'!W106-$S104)*($T104/12)</f>
        <v>18943.082432820811</v>
      </c>
      <c r="W104" s="116">
        <f ca="1">('RB FORECAST'!X106-$S104)*($T104/12)</f>
        <v>18936.808941024876</v>
      </c>
      <c r="X104" s="116">
        <f ca="1">('RB FORECAST'!Y106-$S104)*($T104/12)</f>
        <v>18936.808941024876</v>
      </c>
      <c r="Y104" s="116">
        <f ca="1">('RB FORECAST'!Z106-$S104)*($T104/12)</f>
        <v>18916.049126035654</v>
      </c>
      <c r="Z104" s="116">
        <f ca="1">('RB FORECAST'!AA106-$S104)*($T104/12)</f>
        <v>18892.470739800494</v>
      </c>
      <c r="AA104" s="116">
        <f ca="1">('RB FORECAST'!AB106-$S104)*($T104/12)</f>
        <v>18888.032155002984</v>
      </c>
      <c r="AB104" s="116">
        <f ca="1">('RB FORECAST'!AC106-$S104)*($T104/12)</f>
        <v>18911.1705365583</v>
      </c>
      <c r="AC104" s="116">
        <f ca="1">('RB FORECAST'!AD106-$S104)*($T104/12)</f>
        <v>18903.049437612186</v>
      </c>
      <c r="AD104" s="116">
        <f ca="1">('RB FORECAST'!AE106-$S104)*($T104/12)</f>
        <v>18887.053994196714</v>
      </c>
      <c r="AE104" s="116">
        <f ca="1">('RB FORECAST'!AF106-$S104)*($T104/12)</f>
        <v>18797.174049089121</v>
      </c>
      <c r="AF104" s="116">
        <f ca="1">('RB FORECAST'!AG106-$S104)*($T104/12)</f>
        <v>18850.541362687851</v>
      </c>
      <c r="AG104" s="116">
        <f ca="1">('RB FORECAST'!AL106-$S104)*($T104/12)</f>
        <v>19183.206086755083</v>
      </c>
      <c r="AH104" s="116">
        <f ca="1">('RB FORECAST'!AM106-$S104)*($T104/12)</f>
        <v>19593.802873377685</v>
      </c>
      <c r="AI104" s="116">
        <f ca="1">('RB FORECAST'!AN106-$S104)*($T104/12)</f>
        <v>19573.334657501731</v>
      </c>
      <c r="AJ104" s="116">
        <f ca="1">('RB FORECAST'!AO106-$S104)*($T104/12)</f>
        <v>19573.334657501731</v>
      </c>
      <c r="AK104" s="116">
        <f ca="1">('RB FORECAST'!AP106-$S104)*($T104/12)</f>
        <v>19505.602621091104</v>
      </c>
      <c r="AL104" s="116">
        <f ca="1">('RB FORECAST'!AQ106-$S104)*($T104/12)</f>
        <v>19428.674569669984</v>
      </c>
      <c r="AM104" s="116">
        <f ca="1">('RB FORECAST'!AR106-$S104)*($T104/12)</f>
        <v>19414.193015413708</v>
      </c>
      <c r="AN104" s="116">
        <f ca="1">('RB FORECAST'!AS106-$S104)*($T104/12)</f>
        <v>19489.685485014299</v>
      </c>
      <c r="AO104" s="116">
        <f ca="1">('RB FORECAST'!AT106-$S104)*($T104/12)</f>
        <v>19463.189171352635</v>
      </c>
      <c r="AP104" s="116">
        <f ca="1">('RB FORECAST'!AU106-$S104)*($T104/12)</f>
        <v>19411.001617832368</v>
      </c>
      <c r="AQ104" s="116">
        <f ca="1">('RB FORECAST'!AV106-$S104)*($T104/12)</f>
        <v>19117.754702203572</v>
      </c>
      <c r="AR104" s="116">
        <f ca="1">('RB FORECAST'!AW106-$S104)*($T104/12)</f>
        <v>19291.873634847419</v>
      </c>
      <c r="AS104" s="116"/>
      <c r="AT104" s="30">
        <f t="shared" ref="AT104:AT107" ca="1" si="108">SUM(U104:AF104)</f>
        <v>226679.4765619614</v>
      </c>
      <c r="AU104" s="30">
        <f t="shared" ref="AU104:AU107" ca="1" si="109">SUM(AG104:AR104)</f>
        <v>233045.65309256129</v>
      </c>
      <c r="AV104" s="30">
        <f t="shared" ref="AV104:AV107" ca="1" si="110">AU104-AT104</f>
        <v>6366.1765305998852</v>
      </c>
    </row>
    <row r="105" spans="2:50">
      <c r="B105" s="15"/>
      <c r="C105" s="15"/>
      <c r="D105" s="15"/>
      <c r="E105" s="15"/>
      <c r="F105" s="15"/>
      <c r="G105" s="15"/>
      <c r="N105" s="15">
        <f t="shared" si="70"/>
        <v>96</v>
      </c>
      <c r="R105" s="15" t="s">
        <v>593</v>
      </c>
      <c r="S105" s="1429">
        <f>S107*('RB FORECAST'!R107/'RB FORECAST'!R109)</f>
        <v>2363721.1491847886</v>
      </c>
      <c r="T105" s="1223">
        <f>T106</f>
        <v>8.0140000000000003E-2</v>
      </c>
      <c r="U105" s="116">
        <f ca="1">('RB FORECAST'!V107-$S105)*($T105/12)</f>
        <v>319800.00204350799</v>
      </c>
      <c r="V105" s="116">
        <f ca="1">('RB FORECAST'!W107-$S105)*($T105/12)</f>
        <v>321938.78910851612</v>
      </c>
      <c r="W105" s="116">
        <f ca="1">('RB FORECAST'!X107-$S105)*($T105/12)</f>
        <v>321832.17075010325</v>
      </c>
      <c r="X105" s="116">
        <f ca="1">('RB FORECAST'!Y107-$S105)*($T105/12)</f>
        <v>321832.17075010325</v>
      </c>
      <c r="Y105" s="116">
        <f ca="1">('RB FORECAST'!Z107-$S105)*($T105/12)</f>
        <v>321479.35648540017</v>
      </c>
      <c r="Z105" s="116">
        <f ca="1">('RB FORECAST'!AA107-$S105)*($T105/12)</f>
        <v>321078.640438231</v>
      </c>
      <c r="AA105" s="116">
        <f ca="1">('RB FORECAST'!AB107-$S105)*($T105/12)</f>
        <v>321003.20643111347</v>
      </c>
      <c r="AB105" s="116">
        <f ca="1">('RB FORECAST'!AC107-$S105)*($T105/12)</f>
        <v>321396.44457312475</v>
      </c>
      <c r="AC105" s="116">
        <f ca="1">('RB FORECAST'!AD107-$S105)*($T105/12)</f>
        <v>321258.42602359806</v>
      </c>
      <c r="AD105" s="116">
        <f ca="1">('RB FORECAST'!AE107-$S105)*($T105/12)</f>
        <v>320986.58253124711</v>
      </c>
      <c r="AE105" s="116">
        <f ca="1">('RB FORECAST'!AF107-$S105)*($T105/12)</f>
        <v>319459.06762992643</v>
      </c>
      <c r="AF105" s="116">
        <f ca="1">('RB FORECAST'!AG107-$S105)*($T105/12)</f>
        <v>320366.04823241703</v>
      </c>
      <c r="AG105" s="116">
        <f ca="1">('RB FORECAST'!AL107-$S105)*($T105/12)</f>
        <v>326019.70459088625</v>
      </c>
      <c r="AH105" s="116">
        <f ca="1">('RB FORECAST'!AM107-$S105)*($T105/12)</f>
        <v>332997.82089090825</v>
      </c>
      <c r="AI105" s="116">
        <f ca="1">('RB FORECAST'!AN107-$S105)*($T105/12)</f>
        <v>332649.96237011655</v>
      </c>
      <c r="AJ105" s="116">
        <f ca="1">('RB FORECAST'!AO107-$S105)*($T105/12)</f>
        <v>332649.96237011655</v>
      </c>
      <c r="AK105" s="116">
        <f ca="1">('RB FORECAST'!AP107-$S105)*($T105/12)</f>
        <v>331498.85246689874</v>
      </c>
      <c r="AL105" s="116">
        <f ca="1">('RB FORECAST'!AQ107-$S105)*($T105/12)</f>
        <v>330191.45575304172</v>
      </c>
      <c r="AM105" s="116">
        <f ca="1">('RB FORECAST'!AR107-$S105)*($T105/12)</f>
        <v>329945.34089511359</v>
      </c>
      <c r="AN105" s="116">
        <f ca="1">('RB FORECAST'!AS107-$S105)*($T105/12)</f>
        <v>331228.33981232869</v>
      </c>
      <c r="AO105" s="116">
        <f ca="1">('RB FORECAST'!AT107-$S105)*($T105/12)</f>
        <v>330778.03341861878</v>
      </c>
      <c r="AP105" s="116">
        <f ca="1">('RB FORECAST'!AU107-$S105)*($T105/12)</f>
        <v>329891.1029073656</v>
      </c>
      <c r="AQ105" s="116">
        <f ca="1">('RB FORECAST'!AV107-$S105)*($T105/12)</f>
        <v>324907.35449882946</v>
      </c>
      <c r="AR105" s="116">
        <f ca="1">('RB FORECAST'!AW107-$S105)*($T105/12)</f>
        <v>327866.51589904091</v>
      </c>
      <c r="AS105" s="116"/>
      <c r="AT105" s="30">
        <f t="shared" ca="1" si="108"/>
        <v>3852430.9049972892</v>
      </c>
      <c r="AU105" s="30">
        <f t="shared" ca="1" si="109"/>
        <v>3960624.4458732642</v>
      </c>
      <c r="AV105" s="30">
        <f t="shared" ca="1" si="110"/>
        <v>108193.54087597504</v>
      </c>
    </row>
    <row r="106" spans="2:50">
      <c r="B106" s="15"/>
      <c r="C106" s="15"/>
      <c r="D106" s="15"/>
      <c r="E106" s="15"/>
      <c r="F106" s="15"/>
      <c r="G106" s="15"/>
      <c r="N106" s="15">
        <f t="shared" si="70"/>
        <v>97</v>
      </c>
      <c r="R106" s="15" t="s">
        <v>595</v>
      </c>
      <c r="S106" s="1429">
        <f>S107*'RB FORECAST'!R108/'RB FORECAST'!R109</f>
        <v>0</v>
      </c>
      <c r="T106" s="1223">
        <f>T107</f>
        <v>8.0140000000000003E-2</v>
      </c>
      <c r="U106" s="256">
        <f ca="1">('RB FORECAST'!V108-$S106)*($T106/12)</f>
        <v>0</v>
      </c>
      <c r="V106" s="256">
        <f ca="1">('RB FORECAST'!W108-$S106)*($T106/12)</f>
        <v>0</v>
      </c>
      <c r="W106" s="256">
        <f ca="1">('RB FORECAST'!X108-$S106)*($T106/12)</f>
        <v>0</v>
      </c>
      <c r="X106" s="256">
        <f ca="1">('RB FORECAST'!Y108-$S106)*($T106/12)</f>
        <v>0</v>
      </c>
      <c r="Y106" s="256">
        <f ca="1">('RB FORECAST'!Z108-$S106)*($T106/12)</f>
        <v>0</v>
      </c>
      <c r="Z106" s="256">
        <f ca="1">('RB FORECAST'!AA108-$S106)*($T106/12)</f>
        <v>0</v>
      </c>
      <c r="AA106" s="256">
        <f ca="1">('RB FORECAST'!AB108-$S106)*($T106/12)</f>
        <v>0</v>
      </c>
      <c r="AB106" s="256">
        <f ca="1">('RB FORECAST'!AC108-$S106)*($T106/12)</f>
        <v>0</v>
      </c>
      <c r="AC106" s="256">
        <f ca="1">('RB FORECAST'!AD108-$S106)*($T106/12)</f>
        <v>0</v>
      </c>
      <c r="AD106" s="256">
        <f ca="1">('RB FORECAST'!AE108-$S106)*($T106/12)</f>
        <v>0</v>
      </c>
      <c r="AE106" s="256">
        <f ca="1">('RB FORECAST'!AF108-$S106)*($T106/12)</f>
        <v>0</v>
      </c>
      <c r="AF106" s="256">
        <f ca="1">('RB FORECAST'!AG108-$S106)*($T106/12)</f>
        <v>0</v>
      </c>
      <c r="AG106" s="256">
        <f ca="1">('RB FORECAST'!AL108-$S106)*($T106/12)</f>
        <v>0</v>
      </c>
      <c r="AH106" s="256">
        <f ca="1">('RB FORECAST'!AM108-$S106)*($T106/12)</f>
        <v>0</v>
      </c>
      <c r="AI106" s="256">
        <f ca="1">('RB FORECAST'!AN108-$S106)*($T106/12)</f>
        <v>0</v>
      </c>
      <c r="AJ106" s="256">
        <f ca="1">('RB FORECAST'!AO108-$S106)*($T106/12)</f>
        <v>0</v>
      </c>
      <c r="AK106" s="256">
        <f ca="1">('RB FORECAST'!AP108-$S106)*($T106/12)</f>
        <v>0</v>
      </c>
      <c r="AL106" s="256">
        <f ca="1">('RB FORECAST'!AQ108-$S106)*($T106/12)</f>
        <v>0</v>
      </c>
      <c r="AM106" s="256">
        <f ca="1">('RB FORECAST'!AR108-$S106)*($T106/12)</f>
        <v>0</v>
      </c>
      <c r="AN106" s="256">
        <f ca="1">('RB FORECAST'!AS108-$S106)*($T106/12)</f>
        <v>0</v>
      </c>
      <c r="AO106" s="256">
        <f ca="1">('RB FORECAST'!AT108-$S106)*($T106/12)</f>
        <v>0</v>
      </c>
      <c r="AP106" s="256">
        <f ca="1">('RB FORECAST'!AU108-$S106)*($T106/12)</f>
        <v>0</v>
      </c>
      <c r="AQ106" s="256">
        <f ca="1">('RB FORECAST'!AV108-$S106)*($T106/12)</f>
        <v>0</v>
      </c>
      <c r="AR106" s="256">
        <f ca="1">('RB FORECAST'!AW108-$S106)*($T106/12)</f>
        <v>0</v>
      </c>
      <c r="AS106" s="116"/>
      <c r="AT106" s="30">
        <f t="shared" ca="1" si="108"/>
        <v>0</v>
      </c>
      <c r="AU106" s="30">
        <f t="shared" ca="1" si="109"/>
        <v>0</v>
      </c>
      <c r="AV106" s="30">
        <f t="shared" ca="1" si="110"/>
        <v>0</v>
      </c>
    </row>
    <row r="107" spans="2:50">
      <c r="B107" s="15"/>
      <c r="C107" s="15"/>
      <c r="D107" s="15"/>
      <c r="E107" s="15"/>
      <c r="F107" s="15"/>
      <c r="G107" s="15"/>
      <c r="N107" s="15">
        <f t="shared" si="70"/>
        <v>98</v>
      </c>
      <c r="R107" s="15" t="s">
        <v>170</v>
      </c>
      <c r="S107" s="1429">
        <v>2502803.9999999995</v>
      </c>
      <c r="T107" s="1113">
        <v>8.0140000000000003E-2</v>
      </c>
      <c r="U107" s="186">
        <f t="shared" ref="U107:W107" ca="1" si="111">SUM(U104:U106)</f>
        <v>338617.23688961554</v>
      </c>
      <c r="V107" s="186">
        <f t="shared" ca="1" si="111"/>
        <v>340881.87154133694</v>
      </c>
      <c r="W107" s="186">
        <f t="shared" ca="1" si="111"/>
        <v>340768.97969112813</v>
      </c>
      <c r="X107" s="186">
        <f t="shared" ref="X107:AF107" ca="1" si="112">SUM(X104:X106)</f>
        <v>340768.97969112813</v>
      </c>
      <c r="Y107" s="186">
        <f t="shared" ca="1" si="112"/>
        <v>340395.40561143582</v>
      </c>
      <c r="Z107" s="186">
        <f t="shared" ca="1" si="112"/>
        <v>339971.11117803148</v>
      </c>
      <c r="AA107" s="186">
        <f t="shared" ca="1" si="112"/>
        <v>339891.23858611647</v>
      </c>
      <c r="AB107" s="186">
        <f t="shared" ca="1" si="112"/>
        <v>340307.61510968307</v>
      </c>
      <c r="AC107" s="186">
        <f t="shared" ca="1" si="112"/>
        <v>340161.47546121024</v>
      </c>
      <c r="AD107" s="186">
        <f t="shared" ca="1" si="112"/>
        <v>339873.63652544381</v>
      </c>
      <c r="AE107" s="186">
        <f t="shared" ca="1" si="112"/>
        <v>338256.24167901557</v>
      </c>
      <c r="AF107" s="186">
        <f t="shared" ca="1" si="112"/>
        <v>339216.58959510486</v>
      </c>
      <c r="AG107" s="186">
        <f t="shared" ref="AG107" ca="1" si="113">SUM(AG104:AG106)</f>
        <v>345202.91067764134</v>
      </c>
      <c r="AH107" s="186">
        <f t="shared" ref="AH107:AR107" ca="1" si="114">SUM(AH104:AH106)</f>
        <v>352591.62376428593</v>
      </c>
      <c r="AI107" s="186">
        <f t="shared" ca="1" si="114"/>
        <v>352223.29702761828</v>
      </c>
      <c r="AJ107" s="186">
        <f t="shared" ca="1" si="114"/>
        <v>352223.29702761828</v>
      </c>
      <c r="AK107" s="186">
        <f t="shared" ca="1" si="114"/>
        <v>351004.45508798986</v>
      </c>
      <c r="AL107" s="186">
        <f t="shared" ca="1" si="114"/>
        <v>349620.13032271172</v>
      </c>
      <c r="AM107" s="186">
        <f t="shared" ca="1" si="114"/>
        <v>349359.5339105273</v>
      </c>
      <c r="AN107" s="186">
        <f t="shared" ca="1" si="114"/>
        <v>350718.02529734297</v>
      </c>
      <c r="AO107" s="186">
        <f t="shared" ca="1" si="114"/>
        <v>350241.22258997144</v>
      </c>
      <c r="AP107" s="186">
        <f t="shared" ca="1" si="114"/>
        <v>349302.10452519794</v>
      </c>
      <c r="AQ107" s="186">
        <f t="shared" ca="1" si="114"/>
        <v>344025.10920103302</v>
      </c>
      <c r="AR107" s="186">
        <f t="shared" ca="1" si="114"/>
        <v>347158.38953388832</v>
      </c>
      <c r="AS107" s="186"/>
      <c r="AT107" s="30">
        <f t="shared" ca="1" si="108"/>
        <v>4079110.3815592499</v>
      </c>
      <c r="AU107" s="30">
        <f t="shared" ca="1" si="109"/>
        <v>4193670.0989658264</v>
      </c>
      <c r="AV107" s="30">
        <f t="shared" ca="1" si="110"/>
        <v>114559.7174065765</v>
      </c>
    </row>
    <row r="108" spans="2:50">
      <c r="B108" s="15"/>
      <c r="C108" s="15"/>
      <c r="D108" s="15"/>
      <c r="E108" s="15"/>
      <c r="F108" s="15"/>
      <c r="G108" s="15"/>
      <c r="N108" s="15">
        <f t="shared" si="70"/>
        <v>99</v>
      </c>
      <c r="S108" s="1429"/>
      <c r="T108" s="1113"/>
    </row>
    <row r="109" spans="2:50">
      <c r="B109" s="15"/>
      <c r="C109" s="15"/>
      <c r="D109" s="15"/>
      <c r="E109" s="15"/>
      <c r="F109" s="15"/>
      <c r="G109" s="15"/>
      <c r="N109" s="15">
        <f t="shared" si="70"/>
        <v>100</v>
      </c>
      <c r="P109" s="15" t="s">
        <v>264</v>
      </c>
      <c r="Q109" s="15" t="s">
        <v>265</v>
      </c>
      <c r="S109" s="1429"/>
      <c r="T109" s="1223">
        <f>T110</f>
        <v>0.05</v>
      </c>
      <c r="U109" s="116">
        <f>('RB FORECAST'!V111-$S109)*($T109/12)</f>
        <v>0</v>
      </c>
      <c r="V109" s="116">
        <f>('RB FORECAST'!W111-$S109)*($T109/12)</f>
        <v>0</v>
      </c>
      <c r="W109" s="116">
        <f>('RB FORECAST'!X111-$S109)*($T109/12)</f>
        <v>0</v>
      </c>
      <c r="X109" s="116">
        <f>('RB FORECAST'!Y111-$S109)*($T109/12)</f>
        <v>0</v>
      </c>
      <c r="Y109" s="116">
        <f>('RB FORECAST'!Z111-$S109)*($T109/12)</f>
        <v>0</v>
      </c>
      <c r="Z109" s="116">
        <f>('RB FORECAST'!AA111-$S109)*($T109/12)</f>
        <v>0</v>
      </c>
      <c r="AA109" s="116">
        <f>('RB FORECAST'!AB111-$S109)*($T109/12)</f>
        <v>0</v>
      </c>
      <c r="AB109" s="116">
        <f>('RB FORECAST'!AC111-$S109)*($T109/12)</f>
        <v>0</v>
      </c>
      <c r="AC109" s="116">
        <f>('RB FORECAST'!AD111-$S109)*($T109/12)</f>
        <v>0</v>
      </c>
      <c r="AD109" s="116">
        <f>('RB FORECAST'!AE111-$S109)*($T109/12)</f>
        <v>0</v>
      </c>
      <c r="AE109" s="116">
        <f>('RB FORECAST'!AF111-$S109)*($T109/12)</f>
        <v>0</v>
      </c>
      <c r="AF109" s="116">
        <f>('RB FORECAST'!AG111-$S109)*($T109/12)</f>
        <v>0</v>
      </c>
      <c r="AG109" s="116">
        <f>('RB FORECAST'!AL111-$S109)*($T109/12)</f>
        <v>0</v>
      </c>
      <c r="AH109" s="116">
        <f>('RB FORECAST'!AM111-$S109)*($T109/12)</f>
        <v>0</v>
      </c>
      <c r="AI109" s="116">
        <f>('RB FORECAST'!AN111-$S109)*($T109/12)</f>
        <v>0</v>
      </c>
      <c r="AJ109" s="116">
        <f>('RB FORECAST'!AO111-$S109)*($T109/12)</f>
        <v>0</v>
      </c>
      <c r="AK109" s="116">
        <f>('RB FORECAST'!AP111-$S109)*($T109/12)</f>
        <v>0</v>
      </c>
      <c r="AL109" s="116">
        <f>('RB FORECAST'!AQ111-$S109)*($T109/12)</f>
        <v>0</v>
      </c>
      <c r="AM109" s="116">
        <f>('RB FORECAST'!AR111-$S109)*($T109/12)</f>
        <v>0</v>
      </c>
      <c r="AN109" s="116">
        <f>('RB FORECAST'!AS111-$S109)*($T109/12)</f>
        <v>0</v>
      </c>
      <c r="AO109" s="116">
        <f>('RB FORECAST'!AT111-$S109)*($T109/12)</f>
        <v>0</v>
      </c>
      <c r="AP109" s="116">
        <f>('RB FORECAST'!AU111-$S109)*($T109/12)</f>
        <v>0</v>
      </c>
      <c r="AQ109" s="116">
        <f>('RB FORECAST'!AV111-$S109)*($T109/12)</f>
        <v>0</v>
      </c>
      <c r="AR109" s="116">
        <f>('RB FORECAST'!AW111-$S109)*($T109/12)</f>
        <v>0</v>
      </c>
      <c r="AS109" s="116"/>
      <c r="AT109" s="30">
        <f t="shared" ref="AT109:AT112" si="115">SUM(U109:AF109)</f>
        <v>0</v>
      </c>
      <c r="AU109" s="30">
        <f t="shared" ref="AU109:AU112" si="116">SUM(AG109:AR109)</f>
        <v>0</v>
      </c>
      <c r="AV109" s="30">
        <f t="shared" ref="AV109:AV112" si="117">AU109-AT109</f>
        <v>0</v>
      </c>
    </row>
    <row r="110" spans="2:50">
      <c r="B110" s="15"/>
      <c r="C110" s="15"/>
      <c r="D110" s="15"/>
      <c r="E110" s="15"/>
      <c r="F110" s="15"/>
      <c r="G110" s="15"/>
      <c r="N110" s="15">
        <f t="shared" si="70"/>
        <v>101</v>
      </c>
      <c r="R110" s="15" t="s">
        <v>592</v>
      </c>
      <c r="S110" s="1429">
        <f>S112*('RB FORECAST'!R112/'RB FORECAST'!R114)</f>
        <v>1621.1365661624261</v>
      </c>
      <c r="T110" s="1223">
        <f>T111</f>
        <v>0.05</v>
      </c>
      <c r="U110" s="116">
        <f>('RB FORECAST'!V112-$S110)*($T110/12)</f>
        <v>44.794805974323225</v>
      </c>
      <c r="V110" s="116">
        <f>('RB FORECAST'!W112-$S110)*($T110/12)</f>
        <v>44.794805974323225</v>
      </c>
      <c r="W110" s="116">
        <f>('RB FORECAST'!X112-$S110)*($T110/12)</f>
        <v>44.794805974323225</v>
      </c>
      <c r="X110" s="116">
        <f>('RB FORECAST'!Y112-$S110)*($T110/12)</f>
        <v>44.794805974323225</v>
      </c>
      <c r="Y110" s="116">
        <f>('RB FORECAST'!Z112-$S110)*($T110/12)</f>
        <v>44.794805974323225</v>
      </c>
      <c r="Z110" s="116">
        <f>('RB FORECAST'!AA112-$S110)*($T110/12)</f>
        <v>44.794805974323225</v>
      </c>
      <c r="AA110" s="116">
        <f>('RB FORECAST'!AB112-$S110)*($T110/12)</f>
        <v>44.794805974323225</v>
      </c>
      <c r="AB110" s="116">
        <f>('RB FORECAST'!AC112-$S110)*($T110/12)</f>
        <v>44.794805974323225</v>
      </c>
      <c r="AC110" s="116">
        <f>('RB FORECAST'!AD112-$S110)*($T110/12)</f>
        <v>44.794805974323225</v>
      </c>
      <c r="AD110" s="116">
        <f>('RB FORECAST'!AE112-$S110)*($T110/12)</f>
        <v>44.794805974323225</v>
      </c>
      <c r="AE110" s="116">
        <f>('RB FORECAST'!AF112-$S110)*($T110/12)</f>
        <v>44.794805974323225</v>
      </c>
      <c r="AF110" s="116">
        <f>('RB FORECAST'!AG112-$S110)*($T110/12)</f>
        <v>44.794805974323225</v>
      </c>
      <c r="AG110" s="116">
        <f>('RB FORECAST'!AL112-$S110)*($T110/12)</f>
        <v>44.794805974323225</v>
      </c>
      <c r="AH110" s="116">
        <f>('RB FORECAST'!AM112-$S110)*($T110/12)</f>
        <v>44.794805974323225</v>
      </c>
      <c r="AI110" s="116">
        <f>('RB FORECAST'!AN112-$S110)*($T110/12)</f>
        <v>44.794805974323225</v>
      </c>
      <c r="AJ110" s="116">
        <f>('RB FORECAST'!AO112-$S110)*($T110/12)</f>
        <v>44.794805974323225</v>
      </c>
      <c r="AK110" s="116">
        <f>('RB FORECAST'!AP112-$S110)*($T110/12)</f>
        <v>44.794805974323225</v>
      </c>
      <c r="AL110" s="116">
        <f>('RB FORECAST'!AQ112-$S110)*($T110/12)</f>
        <v>44.794805974323225</v>
      </c>
      <c r="AM110" s="116">
        <f>('RB FORECAST'!AR112-$S110)*($T110/12)</f>
        <v>44.794805974323225</v>
      </c>
      <c r="AN110" s="116">
        <f>('RB FORECAST'!AS112-$S110)*($T110/12)</f>
        <v>44.794805974323225</v>
      </c>
      <c r="AO110" s="116">
        <f>('RB FORECAST'!AT112-$S110)*($T110/12)</f>
        <v>44.794805974323225</v>
      </c>
      <c r="AP110" s="116">
        <f>('RB FORECAST'!AU112-$S110)*($T110/12)</f>
        <v>44.794805974323225</v>
      </c>
      <c r="AQ110" s="116">
        <f>('RB FORECAST'!AV112-$S110)*($T110/12)</f>
        <v>44.794805974323225</v>
      </c>
      <c r="AR110" s="116">
        <f>('RB FORECAST'!AW112-$S110)*($T110/12)</f>
        <v>44.794805974323225</v>
      </c>
      <c r="AS110" s="116"/>
      <c r="AT110" s="30">
        <f t="shared" si="115"/>
        <v>537.53767169187881</v>
      </c>
      <c r="AU110" s="30">
        <f t="shared" si="116"/>
        <v>537.53767169187881</v>
      </c>
      <c r="AV110" s="30">
        <f t="shared" si="117"/>
        <v>0</v>
      </c>
    </row>
    <row r="111" spans="2:50">
      <c r="B111" s="15"/>
      <c r="C111" s="15"/>
      <c r="D111" s="15"/>
      <c r="E111" s="15"/>
      <c r="F111" s="15"/>
      <c r="G111" s="15"/>
      <c r="N111" s="15">
        <f t="shared" si="70"/>
        <v>102</v>
      </c>
      <c r="R111" s="15" t="s">
        <v>593</v>
      </c>
      <c r="S111" s="1429">
        <f>S112*'RB FORECAST'!R113/'RB FORECAST'!R114</f>
        <v>5899.9334338375729</v>
      </c>
      <c r="T111" s="1223">
        <f>T112</f>
        <v>0.05</v>
      </c>
      <c r="U111" s="256">
        <f>('RB FORECAST'!V113-$S111)*($T111/12)</f>
        <v>163.02536069234347</v>
      </c>
      <c r="V111" s="256">
        <f>('RB FORECAST'!W113-$S111)*($T111/12)</f>
        <v>163.02536069234347</v>
      </c>
      <c r="W111" s="256">
        <f>('RB FORECAST'!X113-$S111)*($T111/12)</f>
        <v>163.02536069234347</v>
      </c>
      <c r="X111" s="256">
        <f>('RB FORECAST'!Y113-$S111)*($T111/12)</f>
        <v>163.02536069234347</v>
      </c>
      <c r="Y111" s="256">
        <f>('RB FORECAST'!Z113-$S111)*($T111/12)</f>
        <v>163.02536069234347</v>
      </c>
      <c r="Z111" s="256">
        <f>('RB FORECAST'!AA113-$S111)*($T111/12)</f>
        <v>163.02536069234347</v>
      </c>
      <c r="AA111" s="256">
        <f>('RB FORECAST'!AB113-$S111)*($T111/12)</f>
        <v>163.02536069234347</v>
      </c>
      <c r="AB111" s="256">
        <f>('RB FORECAST'!AC113-$S111)*($T111/12)</f>
        <v>163.02536069234347</v>
      </c>
      <c r="AC111" s="256">
        <f>('RB FORECAST'!AD113-$S111)*($T111/12)</f>
        <v>163.02536069234347</v>
      </c>
      <c r="AD111" s="256">
        <f>('RB FORECAST'!AE113-$S111)*($T111/12)</f>
        <v>163.02536069234347</v>
      </c>
      <c r="AE111" s="256">
        <f>('RB FORECAST'!AF113-$S111)*($T111/12)</f>
        <v>163.02536069234347</v>
      </c>
      <c r="AF111" s="256">
        <f>('RB FORECAST'!AG113-$S111)*($T111/12)</f>
        <v>163.02536069234347</v>
      </c>
      <c r="AG111" s="256">
        <f>('RB FORECAST'!AL113-$S111)*($T111/12)</f>
        <v>163.02536069234347</v>
      </c>
      <c r="AH111" s="256">
        <f>('RB FORECAST'!AM113-$S111)*($T111/12)</f>
        <v>163.02536069234347</v>
      </c>
      <c r="AI111" s="256">
        <f>('RB FORECAST'!AN113-$S111)*($T111/12)</f>
        <v>163.02536069234347</v>
      </c>
      <c r="AJ111" s="256">
        <f>('RB FORECAST'!AO113-$S111)*($T111/12)</f>
        <v>163.02536069234347</v>
      </c>
      <c r="AK111" s="256">
        <f>('RB FORECAST'!AP113-$S111)*($T111/12)</f>
        <v>163.02536069234347</v>
      </c>
      <c r="AL111" s="256">
        <f>('RB FORECAST'!AQ113-$S111)*($T111/12)</f>
        <v>163.02536069234347</v>
      </c>
      <c r="AM111" s="256">
        <f>('RB FORECAST'!AR113-$S111)*($T111/12)</f>
        <v>163.02536069234347</v>
      </c>
      <c r="AN111" s="256">
        <f>('RB FORECAST'!AS113-$S111)*($T111/12)</f>
        <v>163.02536069234347</v>
      </c>
      <c r="AO111" s="256">
        <f>('RB FORECAST'!AT113-$S111)*($T111/12)</f>
        <v>163.02536069234347</v>
      </c>
      <c r="AP111" s="256">
        <f>('RB FORECAST'!AU113-$S111)*($T111/12)</f>
        <v>163.02536069234347</v>
      </c>
      <c r="AQ111" s="256">
        <f>('RB FORECAST'!AV113-$S111)*($T111/12)</f>
        <v>163.02536069234347</v>
      </c>
      <c r="AR111" s="256">
        <f>('RB FORECAST'!AW113-$S111)*($T111/12)</f>
        <v>163.02536069234347</v>
      </c>
      <c r="AS111" s="116"/>
      <c r="AT111" s="30">
        <f t="shared" si="115"/>
        <v>1956.3043283081213</v>
      </c>
      <c r="AU111" s="30">
        <f t="shared" si="116"/>
        <v>1956.3043283081213</v>
      </c>
      <c r="AV111" s="30">
        <f t="shared" si="117"/>
        <v>0</v>
      </c>
    </row>
    <row r="112" spans="2:50">
      <c r="B112" s="15"/>
      <c r="C112" s="15"/>
      <c r="D112" s="15"/>
      <c r="E112" s="15"/>
      <c r="F112" s="15"/>
      <c r="G112" s="15"/>
      <c r="N112" s="15">
        <f t="shared" si="70"/>
        <v>103</v>
      </c>
      <c r="R112" s="15" t="s">
        <v>170</v>
      </c>
      <c r="S112" s="1429">
        <v>7521.07</v>
      </c>
      <c r="T112" s="1113">
        <v>0.05</v>
      </c>
      <c r="U112" s="186">
        <f t="shared" ref="U112:W112" si="118">SUM(U109:U111)</f>
        <v>207.82016666666669</v>
      </c>
      <c r="V112" s="186">
        <f t="shared" si="118"/>
        <v>207.82016666666669</v>
      </c>
      <c r="W112" s="186">
        <f t="shared" si="118"/>
        <v>207.82016666666669</v>
      </c>
      <c r="X112" s="186">
        <f t="shared" ref="X112:AF112" si="119">SUM(X109:X111)</f>
        <v>207.82016666666669</v>
      </c>
      <c r="Y112" s="186">
        <f t="shared" si="119"/>
        <v>207.82016666666669</v>
      </c>
      <c r="Z112" s="186">
        <f t="shared" si="119"/>
        <v>207.82016666666669</v>
      </c>
      <c r="AA112" s="186">
        <f t="shared" si="119"/>
        <v>207.82016666666669</v>
      </c>
      <c r="AB112" s="186">
        <f t="shared" si="119"/>
        <v>207.82016666666669</v>
      </c>
      <c r="AC112" s="186">
        <f t="shared" si="119"/>
        <v>207.82016666666669</v>
      </c>
      <c r="AD112" s="186">
        <f t="shared" si="119"/>
        <v>207.82016666666669</v>
      </c>
      <c r="AE112" s="186">
        <f t="shared" si="119"/>
        <v>207.82016666666669</v>
      </c>
      <c r="AF112" s="186">
        <f t="shared" si="119"/>
        <v>207.82016666666669</v>
      </c>
      <c r="AG112" s="186">
        <f t="shared" ref="AG112" si="120">SUM(AG109:AG111)</f>
        <v>207.82016666666669</v>
      </c>
      <c r="AH112" s="186">
        <f t="shared" ref="AH112:AR112" si="121">SUM(AH109:AH111)</f>
        <v>207.82016666666669</v>
      </c>
      <c r="AI112" s="186">
        <f t="shared" si="121"/>
        <v>207.82016666666669</v>
      </c>
      <c r="AJ112" s="186">
        <f t="shared" si="121"/>
        <v>207.82016666666669</v>
      </c>
      <c r="AK112" s="186">
        <f t="shared" si="121"/>
        <v>207.82016666666669</v>
      </c>
      <c r="AL112" s="186">
        <f t="shared" si="121"/>
        <v>207.82016666666669</v>
      </c>
      <c r="AM112" s="186">
        <f t="shared" si="121"/>
        <v>207.82016666666669</v>
      </c>
      <c r="AN112" s="186">
        <f t="shared" si="121"/>
        <v>207.82016666666669</v>
      </c>
      <c r="AO112" s="186">
        <f t="shared" si="121"/>
        <v>207.82016666666669</v>
      </c>
      <c r="AP112" s="186">
        <f t="shared" si="121"/>
        <v>207.82016666666669</v>
      </c>
      <c r="AQ112" s="186">
        <f t="shared" si="121"/>
        <v>207.82016666666669</v>
      </c>
      <c r="AR112" s="186">
        <f t="shared" si="121"/>
        <v>207.82016666666669</v>
      </c>
      <c r="AS112" s="186"/>
      <c r="AT112" s="30">
        <f t="shared" si="115"/>
        <v>2493.8420000000006</v>
      </c>
      <c r="AU112" s="30">
        <f t="shared" si="116"/>
        <v>2493.8420000000006</v>
      </c>
      <c r="AV112" s="30">
        <f t="shared" si="117"/>
        <v>0</v>
      </c>
    </row>
    <row r="113" spans="2:48">
      <c r="B113" s="15"/>
      <c r="C113" s="15"/>
      <c r="D113" s="15"/>
      <c r="E113" s="15"/>
      <c r="F113" s="15"/>
      <c r="G113" s="15"/>
      <c r="N113" s="15">
        <f t="shared" si="70"/>
        <v>104</v>
      </c>
      <c r="S113" s="1429"/>
      <c r="T113" s="1113"/>
    </row>
    <row r="114" spans="2:48">
      <c r="B114" s="15"/>
      <c r="C114" s="15"/>
      <c r="D114" s="15"/>
      <c r="E114" s="15"/>
      <c r="F114" s="15"/>
      <c r="G114" s="15"/>
      <c r="N114" s="15">
        <f t="shared" si="70"/>
        <v>105</v>
      </c>
      <c r="P114" s="15" t="s">
        <v>266</v>
      </c>
      <c r="Q114" s="15" t="s">
        <v>267</v>
      </c>
      <c r="S114" s="1429"/>
      <c r="T114" s="1113"/>
    </row>
    <row r="115" spans="2:48">
      <c r="B115" s="15"/>
      <c r="C115" s="15"/>
      <c r="D115" s="15"/>
      <c r="E115" s="15"/>
      <c r="F115" s="15"/>
      <c r="G115" s="15"/>
      <c r="N115" s="15">
        <f t="shared" si="70"/>
        <v>106</v>
      </c>
      <c r="R115" s="15" t="s">
        <v>592</v>
      </c>
      <c r="S115" s="1429">
        <f>S118*('RB FORECAST'!R117/'RB FORECAST'!R120)</f>
        <v>68694.712897438469</v>
      </c>
      <c r="T115" s="1223">
        <f>T116</f>
        <v>7.6829999999999996E-2</v>
      </c>
      <c r="U115" s="116">
        <f ca="1">('RB FORECAST'!V117-$S115)*($T115/12)</f>
        <v>17057.341775616998</v>
      </c>
      <c r="V115" s="116">
        <f ca="1">('RB FORECAST'!W117-$S115)*($T115/12)</f>
        <v>17216.340567870979</v>
      </c>
      <c r="W115" s="116">
        <f ca="1">('RB FORECAST'!X117-$S115)*($T115/12)</f>
        <v>14541.520834173198</v>
      </c>
      <c r="X115" s="116">
        <f ca="1">('RB FORECAST'!Y117-$S115)*($T115/12)</f>
        <v>16234.104810250632</v>
      </c>
      <c r="Y115" s="116">
        <f ca="1">('RB FORECAST'!Z117-$S115)*($T115/12)</f>
        <v>17614.436144528514</v>
      </c>
      <c r="Z115" s="116">
        <f ca="1">('RB FORECAST'!AA117-$S115)*($T115/12)</f>
        <v>17906.613923687903</v>
      </c>
      <c r="AA115" s="116">
        <f ca="1">('RB FORECAST'!AB117-$S115)*($T115/12)</f>
        <v>19488.872517819767</v>
      </c>
      <c r="AB115" s="116">
        <f ca="1">('RB FORECAST'!AC117-$S115)*($T115/12)</f>
        <v>21612.425199420326</v>
      </c>
      <c r="AC115" s="116">
        <f ca="1">('RB FORECAST'!AD117-$S115)*($T115/12)</f>
        <v>21890.804094880066</v>
      </c>
      <c r="AD115" s="116">
        <f ca="1">('RB FORECAST'!AE117-$S115)*($T115/12)</f>
        <v>24065.82472019226</v>
      </c>
      <c r="AE115" s="116">
        <f ca="1">('RB FORECAST'!AF117-$S115)*($T115/12)</f>
        <v>15227.209566332836</v>
      </c>
      <c r="AF115" s="116">
        <f ca="1">('RB FORECAST'!AG117-$S115)*($T115/12)</f>
        <v>17267.1881824708</v>
      </c>
      <c r="AG115" s="116">
        <f ca="1">('RB FORECAST'!AL117-$S115)*($T115/12)</f>
        <v>18413.982092066257</v>
      </c>
      <c r="AH115" s="116">
        <f ca="1">('RB FORECAST'!AM117-$S115)*($T115/12)</f>
        <v>18498.337383000406</v>
      </c>
      <c r="AI115" s="116">
        <f ca="1">('RB FORECAST'!AN117-$S115)*($T115/12)</f>
        <v>17079.237315422124</v>
      </c>
      <c r="AJ115" s="116">
        <f ca="1">('RB FORECAST'!AO117-$S115)*($T115/12)</f>
        <v>17977.221581267528</v>
      </c>
      <c r="AK115" s="116">
        <f ca="1">('RB FORECAST'!AP117-$S115)*($T115/12)</f>
        <v>18709.54318973951</v>
      </c>
      <c r="AL115" s="116">
        <f ca="1">('RB FORECAST'!AQ117-$S115)*($T115/12)</f>
        <v>18864.555320436168</v>
      </c>
      <c r="AM115" s="116">
        <f ca="1">('RB FORECAST'!AR117-$S115)*($T115/12)</f>
        <v>19704.00750839903</v>
      </c>
      <c r="AN115" s="116">
        <f ca="1">('RB FORECAST'!AS117-$S115)*($T115/12)</f>
        <v>20830.638105594215</v>
      </c>
      <c r="AO115" s="116">
        <f ca="1">('RB FORECAST'!AT117-$S115)*($T115/12)</f>
        <v>20978.329370311014</v>
      </c>
      <c r="AP115" s="116">
        <f ca="1">('RB FORECAST'!AU117-$S115)*($T115/12)</f>
        <v>22132.265793569593</v>
      </c>
      <c r="AQ115" s="116">
        <f ca="1">('RB FORECAST'!AV117-$S115)*($T115/12)</f>
        <v>17443.022924555571</v>
      </c>
      <c r="AR115" s="116">
        <f ca="1">('RB FORECAST'!AW117-$S115)*($T115/12)</f>
        <v>18525.314099377119</v>
      </c>
      <c r="AS115" s="116"/>
      <c r="AT115" s="30">
        <f t="shared" ref="AT115:AT118" ca="1" si="122">SUM(U115:AF115)</f>
        <v>220122.68233724427</v>
      </c>
      <c r="AU115" s="30">
        <f t="shared" ref="AU115:AU118" ca="1" si="123">SUM(AG115:AR115)</f>
        <v>229156.45468373853</v>
      </c>
      <c r="AV115" s="30">
        <f t="shared" ref="AV115:AV118" ca="1" si="124">AU115-AT115</f>
        <v>9033.7723464942537</v>
      </c>
    </row>
    <row r="116" spans="2:48">
      <c r="B116" s="15"/>
      <c r="C116" s="15"/>
      <c r="D116" s="15"/>
      <c r="E116" s="15"/>
      <c r="F116" s="15"/>
      <c r="G116" s="15"/>
      <c r="N116" s="15">
        <f t="shared" si="70"/>
        <v>107</v>
      </c>
      <c r="R116" s="15" t="s">
        <v>593</v>
      </c>
      <c r="S116" s="1429">
        <f>S118*('RB FORECAST'!R118/'RB FORECAST'!R120)</f>
        <v>839941.02710256167</v>
      </c>
      <c r="T116" s="1223">
        <f>T117</f>
        <v>7.6829999999999996E-2</v>
      </c>
      <c r="U116" s="116">
        <f ca="1">('RB FORECAST'!V118-$S116)*($T116/12)</f>
        <v>208562.79277332008</v>
      </c>
      <c r="V116" s="116">
        <f ca="1">('RB FORECAST'!W118-$S116)*($T116/12)</f>
        <v>210506.89593993881</v>
      </c>
      <c r="W116" s="116">
        <f ca="1">('RB FORECAST'!X118-$S116)*($T116/12)</f>
        <v>177801.45559854546</v>
      </c>
      <c r="X116" s="116">
        <f ca="1">('RB FORECAST'!Y118-$S116)*($T116/12)</f>
        <v>198496.9453001529</v>
      </c>
      <c r="Y116" s="116">
        <f ca="1">('RB FORECAST'!Z118-$S116)*($T116/12)</f>
        <v>215374.47298392383</v>
      </c>
      <c r="Z116" s="116">
        <f ca="1">('RB FORECAST'!AA118-$S116)*($T116/12)</f>
        <v>218946.97650817735</v>
      </c>
      <c r="AA116" s="116">
        <f ca="1">('RB FORECAST'!AB118-$S116)*($T116/12)</f>
        <v>238293.50046383002</v>
      </c>
      <c r="AB116" s="116">
        <f ca="1">('RB FORECAST'!AC118-$S116)*($T116/12)</f>
        <v>264258.51211113075</v>
      </c>
      <c r="AC116" s="116">
        <f ca="1">('RB FORECAST'!AD118-$S116)*($T116/12)</f>
        <v>267662.29452048772</v>
      </c>
      <c r="AD116" s="116">
        <f ca="1">('RB FORECAST'!AE118-$S116)*($T116/12)</f>
        <v>294256.61278660427</v>
      </c>
      <c r="AE116" s="116">
        <f ca="1">('RB FORECAST'!AF118-$S116)*($T116/12)</f>
        <v>186185.47925437902</v>
      </c>
      <c r="AF116" s="116">
        <f ca="1">('RB FORECAST'!AG118-$S116)*($T116/12)</f>
        <v>211128.61769742618</v>
      </c>
      <c r="AG116" s="116">
        <f ca="1">('RB FORECAST'!AL118-$S116)*($T116/12)</f>
        <v>225150.64666694365</v>
      </c>
      <c r="AH116" s="116">
        <f ca="1">('RB FORECAST'!AM118-$S116)*($T116/12)</f>
        <v>226182.07203754754</v>
      </c>
      <c r="AI116" s="116">
        <f ca="1">('RB FORECAST'!AN118-$S116)*($T116/12)</f>
        <v>208830.51297211237</v>
      </c>
      <c r="AJ116" s="116">
        <f ca="1">('RB FORECAST'!AO118-$S116)*($T116/12)</f>
        <v>219810.30740989148</v>
      </c>
      <c r="AK116" s="116">
        <f ca="1">('RB FORECAST'!AP118-$S116)*($T116/12)</f>
        <v>228764.51855722841</v>
      </c>
      <c r="AL116" s="116">
        <f ca="1">('RB FORECAST'!AQ118-$S116)*($T116/12)</f>
        <v>230659.8761878091</v>
      </c>
      <c r="AM116" s="116">
        <f ca="1">('RB FORECAST'!AR118-$S116)*($T116/12)</f>
        <v>240923.98973048778</v>
      </c>
      <c r="AN116" s="116">
        <f ca="1">('RB FORECAST'!AS118-$S116)*($T116/12)</f>
        <v>254699.47871733495</v>
      </c>
      <c r="AO116" s="116">
        <f ca="1">('RB FORECAST'!AT118-$S116)*($T116/12)</f>
        <v>256505.32297154289</v>
      </c>
      <c r="AP116" s="116">
        <f ca="1">('RB FORECAST'!AU118-$S116)*($T116/12)</f>
        <v>270614.68457568769</v>
      </c>
      <c r="AQ116" s="116">
        <f ca="1">('RB FORECAST'!AV118-$S116)*($T116/12)</f>
        <v>213278.57666279082</v>
      </c>
      <c r="AR116" s="116">
        <f ca="1">('RB FORECAST'!AW118-$S116)*($T116/12)</f>
        <v>226511.92057909598</v>
      </c>
      <c r="AS116" s="116"/>
      <c r="AT116" s="30">
        <f t="shared" ca="1" si="122"/>
        <v>2691474.5559379165</v>
      </c>
      <c r="AU116" s="30">
        <f t="shared" ca="1" si="123"/>
        <v>2801931.9070684728</v>
      </c>
      <c r="AV116" s="30">
        <f t="shared" ca="1" si="124"/>
        <v>110457.35113055632</v>
      </c>
    </row>
    <row r="117" spans="2:48">
      <c r="B117" s="15"/>
      <c r="C117" s="15"/>
      <c r="D117" s="15"/>
      <c r="E117" s="15"/>
      <c r="F117" s="15"/>
      <c r="G117" s="15"/>
      <c r="N117" s="15">
        <f t="shared" si="70"/>
        <v>108</v>
      </c>
      <c r="R117" s="15" t="s">
        <v>595</v>
      </c>
      <c r="S117" s="1429">
        <f>S118*'RB FORECAST'!R119/'RB FORECAST'!R120</f>
        <v>0</v>
      </c>
      <c r="T117" s="1223">
        <f>T118</f>
        <v>7.6829999999999996E-2</v>
      </c>
      <c r="U117" s="256">
        <f ca="1">('RB FORECAST'!V119-$S117)*($T117/12)</f>
        <v>0</v>
      </c>
      <c r="V117" s="256">
        <f ca="1">('RB FORECAST'!W119-$S117)*($T117/12)</f>
        <v>0</v>
      </c>
      <c r="W117" s="256">
        <f ca="1">('RB FORECAST'!X119-$S117)*($T117/12)</f>
        <v>0</v>
      </c>
      <c r="X117" s="256">
        <f ca="1">('RB FORECAST'!Y119-$S117)*($T117/12)</f>
        <v>0</v>
      </c>
      <c r="Y117" s="256">
        <f ca="1">('RB FORECAST'!Z119-$S117)*($T117/12)</f>
        <v>0</v>
      </c>
      <c r="Z117" s="256">
        <f ca="1">('RB FORECAST'!AA119-$S117)*($T117/12)</f>
        <v>0</v>
      </c>
      <c r="AA117" s="256">
        <f ca="1">('RB FORECAST'!AB119-$S117)*($T117/12)</f>
        <v>0</v>
      </c>
      <c r="AB117" s="256">
        <f ca="1">('RB FORECAST'!AC119-$S117)*($T117/12)</f>
        <v>0</v>
      </c>
      <c r="AC117" s="256">
        <f ca="1">('RB FORECAST'!AD119-$S117)*($T117/12)</f>
        <v>0</v>
      </c>
      <c r="AD117" s="256">
        <f ca="1">('RB FORECAST'!AE119-$S117)*($T117/12)</f>
        <v>0</v>
      </c>
      <c r="AE117" s="256">
        <f ca="1">('RB FORECAST'!AF119-$S117)*($T117/12)</f>
        <v>0</v>
      </c>
      <c r="AF117" s="256">
        <f ca="1">('RB FORECAST'!AG119-$S117)*($T117/12)</f>
        <v>0</v>
      </c>
      <c r="AG117" s="256">
        <f ca="1">('RB FORECAST'!AL119-$S117)*($T117/12)</f>
        <v>0</v>
      </c>
      <c r="AH117" s="256">
        <f ca="1">('RB FORECAST'!AM119-$S117)*($T117/12)</f>
        <v>0</v>
      </c>
      <c r="AI117" s="256">
        <f ca="1">('RB FORECAST'!AN119-$S117)*($T117/12)</f>
        <v>0</v>
      </c>
      <c r="AJ117" s="256">
        <f ca="1">('RB FORECAST'!AO119-$S117)*($T117/12)</f>
        <v>0</v>
      </c>
      <c r="AK117" s="256">
        <f ca="1">('RB FORECAST'!AP119-$S117)*($T117/12)</f>
        <v>0</v>
      </c>
      <c r="AL117" s="256">
        <f ca="1">('RB FORECAST'!AQ119-$S117)*($T117/12)</f>
        <v>0</v>
      </c>
      <c r="AM117" s="256">
        <f ca="1">('RB FORECAST'!AR119-$S117)*($T117/12)</f>
        <v>0</v>
      </c>
      <c r="AN117" s="256">
        <f ca="1">('RB FORECAST'!AS119-$S117)*($T117/12)</f>
        <v>0</v>
      </c>
      <c r="AO117" s="256">
        <f ca="1">('RB FORECAST'!AT119-$S117)*($T117/12)</f>
        <v>0</v>
      </c>
      <c r="AP117" s="256">
        <f ca="1">('RB FORECAST'!AU119-$S117)*($T117/12)</f>
        <v>0</v>
      </c>
      <c r="AQ117" s="256">
        <f ca="1">('RB FORECAST'!AV119-$S117)*($T117/12)</f>
        <v>0</v>
      </c>
      <c r="AR117" s="256">
        <f ca="1">('RB FORECAST'!AW119-$S117)*($T117/12)</f>
        <v>0</v>
      </c>
      <c r="AS117" s="116"/>
      <c r="AT117" s="30">
        <f t="shared" ca="1" si="122"/>
        <v>0</v>
      </c>
      <c r="AU117" s="30">
        <f t="shared" ca="1" si="123"/>
        <v>0</v>
      </c>
      <c r="AV117" s="30">
        <f t="shared" ca="1" si="124"/>
        <v>0</v>
      </c>
    </row>
    <row r="118" spans="2:48">
      <c r="B118" s="15"/>
      <c r="C118" s="15"/>
      <c r="D118" s="15"/>
      <c r="E118" s="15"/>
      <c r="F118" s="15"/>
      <c r="G118" s="15"/>
      <c r="N118" s="15">
        <f t="shared" si="70"/>
        <v>109</v>
      </c>
      <c r="R118" s="15" t="s">
        <v>170</v>
      </c>
      <c r="S118" s="1429">
        <v>908635.74000000011</v>
      </c>
      <c r="T118" s="1113">
        <v>7.6829999999999996E-2</v>
      </c>
      <c r="U118" s="186">
        <f t="shared" ref="U118:W118" ca="1" si="125">SUM(U115:U117)</f>
        <v>225620.13454893709</v>
      </c>
      <c r="V118" s="186">
        <f t="shared" ca="1" si="125"/>
        <v>227723.23650780978</v>
      </c>
      <c r="W118" s="186">
        <f t="shared" ca="1" si="125"/>
        <v>192342.97643271866</v>
      </c>
      <c r="X118" s="186">
        <f t="shared" ref="X118:AF118" ca="1" si="126">SUM(X115:X117)</f>
        <v>214731.05011040354</v>
      </c>
      <c r="Y118" s="186">
        <f t="shared" ca="1" si="126"/>
        <v>232988.90912845233</v>
      </c>
      <c r="Z118" s="186">
        <f t="shared" ca="1" si="126"/>
        <v>236853.59043186525</v>
      </c>
      <c r="AA118" s="186">
        <f t="shared" ca="1" si="126"/>
        <v>257782.37298164979</v>
      </c>
      <c r="AB118" s="186">
        <f t="shared" ca="1" si="126"/>
        <v>285870.93731055106</v>
      </c>
      <c r="AC118" s="186">
        <f t="shared" ca="1" si="126"/>
        <v>289553.09861536778</v>
      </c>
      <c r="AD118" s="186">
        <f t="shared" ca="1" si="126"/>
        <v>318322.4375067965</v>
      </c>
      <c r="AE118" s="186">
        <f t="shared" ca="1" si="126"/>
        <v>201412.68882071186</v>
      </c>
      <c r="AF118" s="186">
        <f t="shared" ca="1" si="126"/>
        <v>228395.80587989697</v>
      </c>
      <c r="AG118" s="186">
        <f t="shared" ref="AG118" ca="1" si="127">SUM(AG115:AG117)</f>
        <v>243564.62875900991</v>
      </c>
      <c r="AH118" s="186">
        <f t="shared" ref="AH118:AR118" ca="1" si="128">SUM(AH115:AH117)</f>
        <v>244680.40942054795</v>
      </c>
      <c r="AI118" s="186">
        <f t="shared" ca="1" si="128"/>
        <v>225909.75028753449</v>
      </c>
      <c r="AJ118" s="186">
        <f t="shared" ca="1" si="128"/>
        <v>237787.52899115899</v>
      </c>
      <c r="AK118" s="186">
        <f t="shared" ca="1" si="128"/>
        <v>247474.06174696793</v>
      </c>
      <c r="AL118" s="186">
        <f t="shared" ca="1" si="128"/>
        <v>249524.43150824527</v>
      </c>
      <c r="AM118" s="186">
        <f t="shared" ca="1" si="128"/>
        <v>260627.9972388868</v>
      </c>
      <c r="AN118" s="186">
        <f t="shared" ca="1" si="128"/>
        <v>275530.11682292918</v>
      </c>
      <c r="AO118" s="186">
        <f t="shared" ca="1" si="128"/>
        <v>277483.65234185389</v>
      </c>
      <c r="AP118" s="186">
        <f t="shared" ca="1" si="128"/>
        <v>292746.95036925731</v>
      </c>
      <c r="AQ118" s="186">
        <f t="shared" ca="1" si="128"/>
        <v>230721.5995873464</v>
      </c>
      <c r="AR118" s="186">
        <f t="shared" ca="1" si="128"/>
        <v>245037.23467847309</v>
      </c>
      <c r="AS118" s="186"/>
      <c r="AT118" s="30">
        <f t="shared" ca="1" si="122"/>
        <v>2911597.2382751605</v>
      </c>
      <c r="AU118" s="30">
        <f t="shared" ca="1" si="123"/>
        <v>3031088.3617522111</v>
      </c>
      <c r="AV118" s="30">
        <f t="shared" ca="1" si="124"/>
        <v>119491.12347705057</v>
      </c>
    </row>
    <row r="119" spans="2:48">
      <c r="B119" s="15"/>
      <c r="C119" s="15"/>
      <c r="D119" s="15"/>
      <c r="E119" s="15"/>
      <c r="F119" s="15"/>
      <c r="G119" s="15"/>
      <c r="N119" s="15">
        <f t="shared" si="70"/>
        <v>110</v>
      </c>
      <c r="S119" s="1429"/>
      <c r="T119" s="1113"/>
    </row>
    <row r="120" spans="2:48">
      <c r="B120" s="15"/>
      <c r="C120" s="15"/>
      <c r="D120" s="15"/>
      <c r="E120" s="15"/>
      <c r="F120" s="15"/>
      <c r="G120" s="15"/>
      <c r="N120" s="15">
        <f t="shared" si="70"/>
        <v>111</v>
      </c>
      <c r="P120" s="15" t="s">
        <v>268</v>
      </c>
      <c r="Q120" s="15" t="s">
        <v>269</v>
      </c>
      <c r="S120" s="1429"/>
      <c r="T120" s="1113"/>
    </row>
    <row r="121" spans="2:48">
      <c r="B121" s="15"/>
      <c r="C121" s="15"/>
      <c r="D121" s="15"/>
      <c r="E121" s="15"/>
      <c r="F121" s="15"/>
      <c r="G121" s="15"/>
      <c r="N121" s="15">
        <f t="shared" si="70"/>
        <v>112</v>
      </c>
      <c r="R121" s="15" t="s">
        <v>592</v>
      </c>
      <c r="S121" s="1429">
        <f>S124*('RB FORECAST'!R123/'RB FORECAST'!R126)</f>
        <v>0</v>
      </c>
      <c r="T121" s="1113">
        <v>0</v>
      </c>
      <c r="U121" s="116">
        <f>'RB FORECAST'!V123*($T121/12)</f>
        <v>0</v>
      </c>
      <c r="V121" s="116">
        <f>'RB FORECAST'!W123*($T121/12)</f>
        <v>0</v>
      </c>
      <c r="W121" s="116">
        <f>'RB FORECAST'!X123*($T121/12)</f>
        <v>0</v>
      </c>
      <c r="X121" s="116">
        <f>'RB FORECAST'!Y123*($T121/12)</f>
        <v>0</v>
      </c>
      <c r="Y121" s="116">
        <f>'RB FORECAST'!Z123*($T121/12)</f>
        <v>0</v>
      </c>
      <c r="Z121" s="116">
        <f>'RB FORECAST'!AA123*($T121/12)</f>
        <v>0</v>
      </c>
      <c r="AA121" s="116">
        <f>'RB FORECAST'!AB123*($T121/12)</f>
        <v>0</v>
      </c>
      <c r="AB121" s="116">
        <f>'RB FORECAST'!AC123*($T121/12)</f>
        <v>0</v>
      </c>
      <c r="AC121" s="116">
        <f>'RB FORECAST'!AD123*($T121/12)</f>
        <v>0</v>
      </c>
      <c r="AD121" s="116">
        <f>'RB FORECAST'!AE123*($T121/12)</f>
        <v>0</v>
      </c>
      <c r="AE121" s="116">
        <f>'RB FORECAST'!AF123*($T121/12)</f>
        <v>0</v>
      </c>
      <c r="AF121" s="116">
        <f>'RB FORECAST'!AG123*($T121/12)</f>
        <v>0</v>
      </c>
      <c r="AG121" s="116">
        <f>'RB FORECAST'!AL123*($T121/12)</f>
        <v>0</v>
      </c>
      <c r="AH121" s="116">
        <f>'RB FORECAST'!AM123*($T121/12)</f>
        <v>0</v>
      </c>
      <c r="AI121" s="116">
        <f>'RB FORECAST'!AN123*($T121/12)</f>
        <v>0</v>
      </c>
      <c r="AJ121" s="116">
        <f>'RB FORECAST'!AO123*($T121/12)</f>
        <v>0</v>
      </c>
      <c r="AK121" s="116">
        <f>'RB FORECAST'!AP123*($T121/12)</f>
        <v>0</v>
      </c>
      <c r="AL121" s="116">
        <f>'RB FORECAST'!AQ123*($T121/12)</f>
        <v>0</v>
      </c>
      <c r="AM121" s="116">
        <f>'RB FORECAST'!AR123*($T121/12)</f>
        <v>0</v>
      </c>
      <c r="AN121" s="116">
        <f>'RB FORECAST'!AS123*($T121/12)</f>
        <v>0</v>
      </c>
      <c r="AO121" s="116">
        <f>'RB FORECAST'!AT123*($T121/12)</f>
        <v>0</v>
      </c>
      <c r="AP121" s="116">
        <f>'RB FORECAST'!AU123*($T121/12)</f>
        <v>0</v>
      </c>
      <c r="AQ121" s="116">
        <f>'RB FORECAST'!AV123*($T121/12)</f>
        <v>0</v>
      </c>
      <c r="AR121" s="116">
        <f>'RB FORECAST'!AW123*($T121/12)</f>
        <v>0</v>
      </c>
      <c r="AS121" s="116"/>
      <c r="AT121" s="30">
        <f t="shared" ref="AT121:AT124" si="129">SUM(U121:AF121)</f>
        <v>0</v>
      </c>
      <c r="AU121" s="30">
        <f t="shared" ref="AU121:AU124" si="130">SUM(AG121:AR121)</f>
        <v>0</v>
      </c>
      <c r="AV121" s="30">
        <f t="shared" ref="AV121:AV124" si="131">AU121-AT121</f>
        <v>0</v>
      </c>
    </row>
    <row r="122" spans="2:48">
      <c r="B122" s="15"/>
      <c r="C122" s="15"/>
      <c r="D122" s="15"/>
      <c r="E122" s="15"/>
      <c r="F122" s="15"/>
      <c r="G122" s="15"/>
      <c r="N122" s="15">
        <f t="shared" si="70"/>
        <v>113</v>
      </c>
      <c r="R122" s="15" t="s">
        <v>593</v>
      </c>
      <c r="S122" s="1429">
        <f>S124*('RB FORECAST'!R124/'RB FORECAST'!R126)</f>
        <v>61117.83</v>
      </c>
      <c r="T122" s="1223">
        <v>0</v>
      </c>
      <c r="U122" s="116">
        <f>'RB FORECAST'!V124*($T122/12)</f>
        <v>0</v>
      </c>
      <c r="V122" s="116">
        <f>'RB FORECAST'!W124*($T122/12)</f>
        <v>0</v>
      </c>
      <c r="W122" s="116">
        <f>'RB FORECAST'!X124*($T122/12)</f>
        <v>0</v>
      </c>
      <c r="X122" s="116">
        <f>'RB FORECAST'!Y124*($T122/12)</f>
        <v>0</v>
      </c>
      <c r="Y122" s="116">
        <f>'RB FORECAST'!Z124*($T122/12)</f>
        <v>0</v>
      </c>
      <c r="Z122" s="116">
        <f>'RB FORECAST'!AA124*($T122/12)</f>
        <v>0</v>
      </c>
      <c r="AA122" s="116">
        <f>'RB FORECAST'!AB124*($T122/12)</f>
        <v>0</v>
      </c>
      <c r="AB122" s="116">
        <f>'RB FORECAST'!AC124*($T122/12)</f>
        <v>0</v>
      </c>
      <c r="AC122" s="116">
        <f>'RB FORECAST'!AD124*($T122/12)</f>
        <v>0</v>
      </c>
      <c r="AD122" s="116">
        <f>'RB FORECAST'!AE124*($T122/12)</f>
        <v>0</v>
      </c>
      <c r="AE122" s="116">
        <f>'RB FORECAST'!AF124*($T122/12)</f>
        <v>0</v>
      </c>
      <c r="AF122" s="116">
        <f>'RB FORECAST'!AG124*($T122/12)</f>
        <v>0</v>
      </c>
      <c r="AG122" s="116">
        <f>'RB FORECAST'!AL124*($T122/12)</f>
        <v>0</v>
      </c>
      <c r="AH122" s="116">
        <f>'RB FORECAST'!AM124*($T122/12)</f>
        <v>0</v>
      </c>
      <c r="AI122" s="116">
        <f>'RB FORECAST'!AN124*($T122/12)</f>
        <v>0</v>
      </c>
      <c r="AJ122" s="116">
        <f>'RB FORECAST'!AO124*($T122/12)</f>
        <v>0</v>
      </c>
      <c r="AK122" s="116">
        <f>'RB FORECAST'!AP124*($T122/12)</f>
        <v>0</v>
      </c>
      <c r="AL122" s="116">
        <f>'RB FORECAST'!AQ124*($T122/12)</f>
        <v>0</v>
      </c>
      <c r="AM122" s="116">
        <f>'RB FORECAST'!AR124*($T122/12)</f>
        <v>0</v>
      </c>
      <c r="AN122" s="116">
        <f>'RB FORECAST'!AS124*($T122/12)</f>
        <v>0</v>
      </c>
      <c r="AO122" s="116">
        <f>'RB FORECAST'!AT124*($T122/12)</f>
        <v>0</v>
      </c>
      <c r="AP122" s="116">
        <f>'RB FORECAST'!AU124*($T122/12)</f>
        <v>0</v>
      </c>
      <c r="AQ122" s="116">
        <f>'RB FORECAST'!AV124*($T122/12)</f>
        <v>0</v>
      </c>
      <c r="AR122" s="116">
        <f>'RB FORECAST'!AW124*($T122/12)</f>
        <v>0</v>
      </c>
      <c r="AS122" s="116"/>
      <c r="AT122" s="30">
        <f t="shared" si="129"/>
        <v>0</v>
      </c>
      <c r="AU122" s="30">
        <f t="shared" si="130"/>
        <v>0</v>
      </c>
      <c r="AV122" s="30">
        <f t="shared" si="131"/>
        <v>0</v>
      </c>
    </row>
    <row r="123" spans="2:48">
      <c r="B123" s="15"/>
      <c r="C123" s="15"/>
      <c r="D123" s="15"/>
      <c r="E123" s="15"/>
      <c r="F123" s="15"/>
      <c r="G123" s="15"/>
      <c r="N123" s="15">
        <f t="shared" si="70"/>
        <v>114</v>
      </c>
      <c r="R123" s="15" t="s">
        <v>595</v>
      </c>
      <c r="S123" s="1429">
        <f>S124*'RB FORECAST'!R125/'RB FORECAST'!R126</f>
        <v>0</v>
      </c>
      <c r="T123" s="1223">
        <v>0</v>
      </c>
      <c r="U123" s="256">
        <f>'RB FORECAST'!V125*($T123/12)</f>
        <v>0</v>
      </c>
      <c r="V123" s="256">
        <f>'RB FORECAST'!W125*($T123/12)</f>
        <v>0</v>
      </c>
      <c r="W123" s="256">
        <f>'RB FORECAST'!X125*($T123/12)</f>
        <v>0</v>
      </c>
      <c r="X123" s="256">
        <f>'RB FORECAST'!Y125*($T123/12)</f>
        <v>0</v>
      </c>
      <c r="Y123" s="256">
        <f>'RB FORECAST'!Z125*($T123/12)</f>
        <v>0</v>
      </c>
      <c r="Z123" s="256">
        <f>'RB FORECAST'!AA125*($T123/12)</f>
        <v>0</v>
      </c>
      <c r="AA123" s="256">
        <f>'RB FORECAST'!AB125*($T123/12)</f>
        <v>0</v>
      </c>
      <c r="AB123" s="256">
        <f>'RB FORECAST'!AC125*($T123/12)</f>
        <v>0</v>
      </c>
      <c r="AC123" s="256">
        <f>'RB FORECAST'!AD125*($T123/12)</f>
        <v>0</v>
      </c>
      <c r="AD123" s="256">
        <f>'RB FORECAST'!AE125*($T123/12)</f>
        <v>0</v>
      </c>
      <c r="AE123" s="256">
        <f>'RB FORECAST'!AF125*($T123/12)</f>
        <v>0</v>
      </c>
      <c r="AF123" s="256">
        <f>'RB FORECAST'!AG125*($T123/12)</f>
        <v>0</v>
      </c>
      <c r="AG123" s="256">
        <f>'RB FORECAST'!AL125*($T123/12)</f>
        <v>0</v>
      </c>
      <c r="AH123" s="256">
        <f>'RB FORECAST'!AM125*($T123/12)</f>
        <v>0</v>
      </c>
      <c r="AI123" s="256">
        <f>'RB FORECAST'!AN125*($T123/12)</f>
        <v>0</v>
      </c>
      <c r="AJ123" s="256">
        <f>'RB FORECAST'!AO125*($T123/12)</f>
        <v>0</v>
      </c>
      <c r="AK123" s="256">
        <f>'RB FORECAST'!AP125*($T123/12)</f>
        <v>0</v>
      </c>
      <c r="AL123" s="256">
        <f>'RB FORECAST'!AQ125*($T123/12)</f>
        <v>0</v>
      </c>
      <c r="AM123" s="256">
        <f>'RB FORECAST'!AR125*($T123/12)</f>
        <v>0</v>
      </c>
      <c r="AN123" s="256">
        <f>'RB FORECAST'!AS125*($T123/12)</f>
        <v>0</v>
      </c>
      <c r="AO123" s="256">
        <f>'RB FORECAST'!AT125*($T123/12)</f>
        <v>0</v>
      </c>
      <c r="AP123" s="256">
        <f>'RB FORECAST'!AU125*($T123/12)</f>
        <v>0</v>
      </c>
      <c r="AQ123" s="256">
        <f>'RB FORECAST'!AV125*($T123/12)</f>
        <v>0</v>
      </c>
      <c r="AR123" s="256">
        <f>'RB FORECAST'!AW125*($T123/12)</f>
        <v>0</v>
      </c>
      <c r="AS123" s="116"/>
      <c r="AT123" s="30">
        <f t="shared" si="129"/>
        <v>0</v>
      </c>
      <c r="AU123" s="30">
        <f t="shared" si="130"/>
        <v>0</v>
      </c>
      <c r="AV123" s="30">
        <f t="shared" si="131"/>
        <v>0</v>
      </c>
    </row>
    <row r="124" spans="2:48">
      <c r="B124" s="15"/>
      <c r="C124" s="15"/>
      <c r="D124" s="15"/>
      <c r="E124" s="15"/>
      <c r="F124" s="15"/>
      <c r="G124" s="15"/>
      <c r="N124" s="15">
        <f t="shared" si="70"/>
        <v>115</v>
      </c>
      <c r="R124" s="15" t="s">
        <v>170</v>
      </c>
      <c r="S124" s="1429">
        <v>61117.83</v>
      </c>
      <c r="T124" s="1113">
        <v>0</v>
      </c>
      <c r="U124" s="186">
        <f t="shared" ref="U124:W124" si="132">SUM(U121:U123)</f>
        <v>0</v>
      </c>
      <c r="V124" s="186">
        <f t="shared" si="132"/>
        <v>0</v>
      </c>
      <c r="W124" s="186">
        <f t="shared" si="132"/>
        <v>0</v>
      </c>
      <c r="X124" s="186">
        <f t="shared" ref="X124:AF124" si="133">SUM(X121:X123)</f>
        <v>0</v>
      </c>
      <c r="Y124" s="186">
        <f t="shared" si="133"/>
        <v>0</v>
      </c>
      <c r="Z124" s="186">
        <f t="shared" si="133"/>
        <v>0</v>
      </c>
      <c r="AA124" s="186">
        <f t="shared" si="133"/>
        <v>0</v>
      </c>
      <c r="AB124" s="186">
        <f t="shared" si="133"/>
        <v>0</v>
      </c>
      <c r="AC124" s="186">
        <f t="shared" si="133"/>
        <v>0</v>
      </c>
      <c r="AD124" s="186">
        <f t="shared" si="133"/>
        <v>0</v>
      </c>
      <c r="AE124" s="186">
        <f t="shared" si="133"/>
        <v>0</v>
      </c>
      <c r="AF124" s="186">
        <f t="shared" si="133"/>
        <v>0</v>
      </c>
      <c r="AG124" s="186">
        <f t="shared" ref="AG124" si="134">SUM(AG121:AG123)</f>
        <v>0</v>
      </c>
      <c r="AH124" s="186">
        <f t="shared" ref="AH124:AR124" si="135">SUM(AH121:AH123)</f>
        <v>0</v>
      </c>
      <c r="AI124" s="186">
        <f t="shared" si="135"/>
        <v>0</v>
      </c>
      <c r="AJ124" s="186">
        <f t="shared" si="135"/>
        <v>0</v>
      </c>
      <c r="AK124" s="186">
        <f t="shared" si="135"/>
        <v>0</v>
      </c>
      <c r="AL124" s="186">
        <f t="shared" si="135"/>
        <v>0</v>
      </c>
      <c r="AM124" s="186">
        <f t="shared" si="135"/>
        <v>0</v>
      </c>
      <c r="AN124" s="186">
        <f t="shared" si="135"/>
        <v>0</v>
      </c>
      <c r="AO124" s="186">
        <f t="shared" si="135"/>
        <v>0</v>
      </c>
      <c r="AP124" s="186">
        <f t="shared" si="135"/>
        <v>0</v>
      </c>
      <c r="AQ124" s="186">
        <f t="shared" si="135"/>
        <v>0</v>
      </c>
      <c r="AR124" s="186">
        <f t="shared" si="135"/>
        <v>0</v>
      </c>
      <c r="AS124" s="186"/>
      <c r="AT124" s="30">
        <f t="shared" si="129"/>
        <v>0</v>
      </c>
      <c r="AU124" s="30">
        <f t="shared" si="130"/>
        <v>0</v>
      </c>
      <c r="AV124" s="30">
        <f t="shared" si="131"/>
        <v>0</v>
      </c>
    </row>
    <row r="125" spans="2:48">
      <c r="B125" s="15"/>
      <c r="C125" s="15"/>
      <c r="D125" s="15"/>
      <c r="E125" s="15"/>
      <c r="F125" s="15"/>
      <c r="G125" s="15"/>
      <c r="N125" s="15">
        <f t="shared" si="70"/>
        <v>116</v>
      </c>
      <c r="S125" s="1429"/>
      <c r="T125" s="1113"/>
    </row>
    <row r="126" spans="2:48">
      <c r="B126" s="15"/>
      <c r="C126" s="15"/>
      <c r="D126" s="15"/>
      <c r="E126" s="15"/>
      <c r="F126" s="15"/>
      <c r="G126" s="15"/>
      <c r="N126" s="15">
        <f t="shared" si="70"/>
        <v>117</v>
      </c>
      <c r="P126" s="15" t="s">
        <v>270</v>
      </c>
      <c r="Q126" s="15" t="s">
        <v>271</v>
      </c>
      <c r="S126" s="1429"/>
      <c r="T126" s="1113"/>
    </row>
    <row r="127" spans="2:48">
      <c r="B127" s="15"/>
      <c r="C127" s="15"/>
      <c r="D127" s="15"/>
      <c r="E127" s="15"/>
      <c r="F127" s="15"/>
      <c r="G127" s="15"/>
      <c r="N127" s="15">
        <f t="shared" si="70"/>
        <v>118</v>
      </c>
      <c r="R127" s="15" t="s">
        <v>592</v>
      </c>
      <c r="S127" s="1429"/>
      <c r="T127" s="1223">
        <f>T128</f>
        <v>6.5610000000000002E-2</v>
      </c>
      <c r="U127" s="116">
        <f>('RB FORECAST'!V129-$S127)*($T127/12)</f>
        <v>5699.616643575001</v>
      </c>
      <c r="V127" s="116">
        <f>('RB FORECAST'!W129-$S127)*($T127/12)</f>
        <v>5699.616643575001</v>
      </c>
      <c r="W127" s="116">
        <f>('RB FORECAST'!X129-$S127)*($T127/12)</f>
        <v>5699.616643575001</v>
      </c>
      <c r="X127" s="116">
        <f>('RB FORECAST'!Y129-$S127)*($T127/12)</f>
        <v>5699.616643575001</v>
      </c>
      <c r="Y127" s="116">
        <f>('RB FORECAST'!Z129-$S127)*($T127/12)</f>
        <v>5699.616643575001</v>
      </c>
      <c r="Z127" s="116">
        <f>('RB FORECAST'!AA129-$S127)*($T127/12)</f>
        <v>5699.616643575001</v>
      </c>
      <c r="AA127" s="116">
        <f>('RB FORECAST'!AB129-$S127)*($T127/12)</f>
        <v>5699.616643575001</v>
      </c>
      <c r="AB127" s="116">
        <f>('RB FORECAST'!AC129-$S127)*($T127/12)</f>
        <v>5699.616643575001</v>
      </c>
      <c r="AC127" s="116">
        <f>('RB FORECAST'!AD129-$S127)*($T127/12)</f>
        <v>5699.616643575001</v>
      </c>
      <c r="AD127" s="116">
        <f>('RB FORECAST'!AE129-$S127)*($T127/12)</f>
        <v>5699.616643575001</v>
      </c>
      <c r="AE127" s="116">
        <f>('RB FORECAST'!AF129-$S127)*($T127/12)</f>
        <v>5699.616643575001</v>
      </c>
      <c r="AF127" s="116">
        <f>('RB FORECAST'!AG129-$S127)*($T127/12)</f>
        <v>5699.616643575001</v>
      </c>
      <c r="AG127" s="116">
        <f>('RB FORECAST'!AL129-$S127)*($T127/12)</f>
        <v>5699.616643575001</v>
      </c>
      <c r="AH127" s="116">
        <f>('RB FORECAST'!AM129-$S127)*($T127/12)</f>
        <v>5699.616643575001</v>
      </c>
      <c r="AI127" s="116">
        <f>('RB FORECAST'!AN129-$S127)*($T127/12)</f>
        <v>5699.616643575001</v>
      </c>
      <c r="AJ127" s="116">
        <f>('RB FORECAST'!AO129-$S127)*($T127/12)</f>
        <v>5699.616643575001</v>
      </c>
      <c r="AK127" s="116">
        <f>('RB FORECAST'!AP129-$S127)*($T127/12)</f>
        <v>5699.616643575001</v>
      </c>
      <c r="AL127" s="116">
        <f>('RB FORECAST'!AQ129-$S127)*($T127/12)</f>
        <v>5699.616643575001</v>
      </c>
      <c r="AM127" s="116">
        <f>('RB FORECAST'!AR129-$S127)*($T127/12)</f>
        <v>5699.616643575001</v>
      </c>
      <c r="AN127" s="116">
        <f>('RB FORECAST'!AS129-$S127)*($T127/12)</f>
        <v>5699.616643575001</v>
      </c>
      <c r="AO127" s="116">
        <f>('RB FORECAST'!AT129-$S127)*($T127/12)</f>
        <v>5699.616643575001</v>
      </c>
      <c r="AP127" s="116">
        <f>('RB FORECAST'!AU129-$S127)*($T127/12)</f>
        <v>5699.616643575001</v>
      </c>
      <c r="AQ127" s="116">
        <f>('RB FORECAST'!AV129-$S127)*($T127/12)</f>
        <v>5699.616643575001</v>
      </c>
      <c r="AR127" s="116">
        <f>('RB FORECAST'!AW129-$S127)*($T127/12)</f>
        <v>5699.616643575001</v>
      </c>
      <c r="AS127" s="116"/>
      <c r="AT127" s="30">
        <f t="shared" ref="AT127:AT130" si="136">SUM(U127:AF127)</f>
        <v>68395.399722899994</v>
      </c>
      <c r="AU127" s="30">
        <f t="shared" ref="AU127:AU130" si="137">SUM(AG127:AR127)</f>
        <v>68395.399722899994</v>
      </c>
      <c r="AV127" s="30">
        <f t="shared" ref="AV127:AV130" si="138">AU127-AT127</f>
        <v>0</v>
      </c>
    </row>
    <row r="128" spans="2:48">
      <c r="B128" s="15"/>
      <c r="C128" s="15"/>
      <c r="D128" s="15"/>
      <c r="E128" s="15"/>
      <c r="F128" s="15"/>
      <c r="G128" s="15"/>
      <c r="N128" s="15">
        <f t="shared" si="70"/>
        <v>119</v>
      </c>
      <c r="R128" s="15" t="s">
        <v>593</v>
      </c>
      <c r="S128" s="1429"/>
      <c r="T128" s="1223">
        <f>T129</f>
        <v>6.5610000000000002E-2</v>
      </c>
      <c r="U128" s="116">
        <f>('RB FORECAST'!V130-$S128)*($T128/12)</f>
        <v>60472.970954324999</v>
      </c>
      <c r="V128" s="116">
        <f>('RB FORECAST'!W130-$S128)*($T128/12)</f>
        <v>60472.970954324999</v>
      </c>
      <c r="W128" s="116">
        <f>('RB FORECAST'!X130-$S128)*($T128/12)</f>
        <v>60472.970954324999</v>
      </c>
      <c r="X128" s="116">
        <f>('RB FORECAST'!Y130-$S128)*($T128/12)</f>
        <v>60472.970954324999</v>
      </c>
      <c r="Y128" s="116">
        <f>('RB FORECAST'!Z130-$S128)*($T128/12)</f>
        <v>60472.970954324999</v>
      </c>
      <c r="Z128" s="116">
        <f>('RB FORECAST'!AA130-$S128)*($T128/12)</f>
        <v>60472.970954324999</v>
      </c>
      <c r="AA128" s="116">
        <f>('RB FORECAST'!AB130-$S128)*($T128/12)</f>
        <v>60472.970954324999</v>
      </c>
      <c r="AB128" s="116">
        <f>('RB FORECAST'!AC130-$S128)*($T128/12)</f>
        <v>60472.970954324999</v>
      </c>
      <c r="AC128" s="116">
        <f>('RB FORECAST'!AD130-$S128)*($T128/12)</f>
        <v>60472.970954324999</v>
      </c>
      <c r="AD128" s="116">
        <f>('RB FORECAST'!AE130-$S128)*($T128/12)</f>
        <v>60472.970954324999</v>
      </c>
      <c r="AE128" s="116">
        <f>('RB FORECAST'!AF130-$S128)*($T128/12)</f>
        <v>60472.970954324999</v>
      </c>
      <c r="AF128" s="116">
        <f>('RB FORECAST'!AG130-$S128)*($T128/12)</f>
        <v>60472.970954324999</v>
      </c>
      <c r="AG128" s="116">
        <f>('RB FORECAST'!AL130-$S128)*($T128/12)</f>
        <v>60472.970954324999</v>
      </c>
      <c r="AH128" s="116">
        <f>('RB FORECAST'!AM130-$S128)*($T128/12)</f>
        <v>60472.970954324999</v>
      </c>
      <c r="AI128" s="116">
        <f>('RB FORECAST'!AN130-$S128)*($T128/12)</f>
        <v>60472.970954324999</v>
      </c>
      <c r="AJ128" s="116">
        <f>('RB FORECAST'!AO130-$S128)*($T128/12)</f>
        <v>60472.970954324999</v>
      </c>
      <c r="AK128" s="116">
        <f>('RB FORECAST'!AP130-$S128)*($T128/12)</f>
        <v>60472.970954324999</v>
      </c>
      <c r="AL128" s="116">
        <f>('RB FORECAST'!AQ130-$S128)*($T128/12)</f>
        <v>60472.970954324999</v>
      </c>
      <c r="AM128" s="116">
        <f>('RB FORECAST'!AR130-$S128)*($T128/12)</f>
        <v>60472.970954324999</v>
      </c>
      <c r="AN128" s="116">
        <f>('RB FORECAST'!AS130-$S128)*($T128/12)</f>
        <v>60472.970954324999</v>
      </c>
      <c r="AO128" s="116">
        <f>('RB FORECAST'!AT130-$S128)*($T128/12)</f>
        <v>60472.970954324999</v>
      </c>
      <c r="AP128" s="116">
        <f>('RB FORECAST'!AU130-$S128)*($T128/12)</f>
        <v>60472.970954324999</v>
      </c>
      <c r="AQ128" s="116">
        <f>('RB FORECAST'!AV130-$S128)*($T128/12)</f>
        <v>60472.970954324999</v>
      </c>
      <c r="AR128" s="116">
        <f>('RB FORECAST'!AW130-$S128)*($T128/12)</f>
        <v>60472.970954324999</v>
      </c>
      <c r="AS128" s="116"/>
      <c r="AT128" s="30">
        <f t="shared" si="136"/>
        <v>725675.65145190014</v>
      </c>
      <c r="AU128" s="30">
        <f t="shared" si="137"/>
        <v>725675.65145190014</v>
      </c>
      <c r="AV128" s="30">
        <f t="shared" si="138"/>
        <v>0</v>
      </c>
    </row>
    <row r="129" spans="2:48">
      <c r="B129" s="15"/>
      <c r="C129" s="15"/>
      <c r="D129" s="15"/>
      <c r="E129" s="15"/>
      <c r="F129" s="15"/>
      <c r="G129" s="15"/>
      <c r="N129" s="15">
        <f t="shared" si="70"/>
        <v>120</v>
      </c>
      <c r="R129" s="15" t="s">
        <v>595</v>
      </c>
      <c r="S129" s="1429"/>
      <c r="T129" s="1223">
        <f>T130</f>
        <v>6.5610000000000002E-2</v>
      </c>
      <c r="U129" s="256">
        <f>('RB FORECAST'!V131-$S129)*($T129/12)</f>
        <v>0</v>
      </c>
      <c r="V129" s="256">
        <f>('RB FORECAST'!W131-$S129)*($T129/12)</f>
        <v>0</v>
      </c>
      <c r="W129" s="256">
        <f>('RB FORECAST'!X131-$S129)*($T129/12)</f>
        <v>0</v>
      </c>
      <c r="X129" s="256">
        <f>('RB FORECAST'!Y131-$S129)*($T129/12)</f>
        <v>0</v>
      </c>
      <c r="Y129" s="256">
        <f>('RB FORECAST'!Z131-$S129)*($T129/12)</f>
        <v>0</v>
      </c>
      <c r="Z129" s="256">
        <f>('RB FORECAST'!AA131-$S129)*($T129/12)</f>
        <v>0</v>
      </c>
      <c r="AA129" s="256">
        <f>('RB FORECAST'!AB131-$S129)*($T129/12)</f>
        <v>0</v>
      </c>
      <c r="AB129" s="256">
        <f>('RB FORECAST'!AC131-$S129)*($T129/12)</f>
        <v>0</v>
      </c>
      <c r="AC129" s="256">
        <f>('RB FORECAST'!AD131-$S129)*($T129/12)</f>
        <v>0</v>
      </c>
      <c r="AD129" s="256">
        <f>('RB FORECAST'!AE131-$S129)*($T129/12)</f>
        <v>0</v>
      </c>
      <c r="AE129" s="256">
        <f>('RB FORECAST'!AF131-$S129)*($T129/12)</f>
        <v>0</v>
      </c>
      <c r="AF129" s="256">
        <f>('RB FORECAST'!AG131-$S129)*($T129/12)</f>
        <v>0</v>
      </c>
      <c r="AG129" s="256">
        <f>('RB FORECAST'!AL131-$S129)*($T129/12)</f>
        <v>0</v>
      </c>
      <c r="AH129" s="256">
        <f>('RB FORECAST'!AM131-$S129)*($T129/12)</f>
        <v>0</v>
      </c>
      <c r="AI129" s="256">
        <f>('RB FORECAST'!AN131-$S129)*($T129/12)</f>
        <v>0</v>
      </c>
      <c r="AJ129" s="256">
        <f>('RB FORECAST'!AO131-$S129)*($T129/12)</f>
        <v>0</v>
      </c>
      <c r="AK129" s="256">
        <f>('RB FORECAST'!AP131-$S129)*($T129/12)</f>
        <v>0</v>
      </c>
      <c r="AL129" s="256">
        <f>('RB FORECAST'!AQ131-$S129)*($T129/12)</f>
        <v>0</v>
      </c>
      <c r="AM129" s="256">
        <f>('RB FORECAST'!AR131-$S129)*($T129/12)</f>
        <v>0</v>
      </c>
      <c r="AN129" s="256">
        <f>('RB FORECAST'!AS131-$S129)*($T129/12)</f>
        <v>0</v>
      </c>
      <c r="AO129" s="256">
        <f>('RB FORECAST'!AT131-$S129)*($T129/12)</f>
        <v>0</v>
      </c>
      <c r="AP129" s="256">
        <f>('RB FORECAST'!AU131-$S129)*($T129/12)</f>
        <v>0</v>
      </c>
      <c r="AQ129" s="256">
        <f>('RB FORECAST'!AV131-$S129)*($T129/12)</f>
        <v>0</v>
      </c>
      <c r="AR129" s="256">
        <f>('RB FORECAST'!AW131-$S129)*($T129/12)</f>
        <v>0</v>
      </c>
      <c r="AS129" s="116"/>
      <c r="AT129" s="30">
        <f t="shared" si="136"/>
        <v>0</v>
      </c>
      <c r="AU129" s="30">
        <f t="shared" si="137"/>
        <v>0</v>
      </c>
      <c r="AV129" s="30">
        <f t="shared" si="138"/>
        <v>0</v>
      </c>
    </row>
    <row r="130" spans="2:48">
      <c r="B130" s="15"/>
      <c r="C130" s="15"/>
      <c r="D130" s="15"/>
      <c r="E130" s="15"/>
      <c r="F130" s="15"/>
      <c r="G130" s="15"/>
      <c r="N130" s="15">
        <f t="shared" si="70"/>
        <v>121</v>
      </c>
      <c r="R130" s="15" t="s">
        <v>170</v>
      </c>
      <c r="S130" s="1429"/>
      <c r="T130" s="1113">
        <v>6.5610000000000002E-2</v>
      </c>
      <c r="U130" s="186">
        <f t="shared" ref="U130:W130" si="139">SUM(U127:U129)</f>
        <v>66172.587597899997</v>
      </c>
      <c r="V130" s="186">
        <f t="shared" si="139"/>
        <v>66172.587597899997</v>
      </c>
      <c r="W130" s="186">
        <f t="shared" si="139"/>
        <v>66172.587597899997</v>
      </c>
      <c r="X130" s="186">
        <f t="shared" ref="X130:AF130" si="140">SUM(X127:X129)</f>
        <v>66172.587597899997</v>
      </c>
      <c r="Y130" s="186">
        <f t="shared" si="140"/>
        <v>66172.587597899997</v>
      </c>
      <c r="Z130" s="186">
        <f t="shared" si="140"/>
        <v>66172.587597899997</v>
      </c>
      <c r="AA130" s="186">
        <f t="shared" si="140"/>
        <v>66172.587597899997</v>
      </c>
      <c r="AB130" s="186">
        <f t="shared" si="140"/>
        <v>66172.587597899997</v>
      </c>
      <c r="AC130" s="186">
        <f t="shared" si="140"/>
        <v>66172.587597899997</v>
      </c>
      <c r="AD130" s="186">
        <f t="shared" si="140"/>
        <v>66172.587597899997</v>
      </c>
      <c r="AE130" s="186">
        <f t="shared" si="140"/>
        <v>66172.587597899997</v>
      </c>
      <c r="AF130" s="186">
        <f t="shared" si="140"/>
        <v>66172.587597899997</v>
      </c>
      <c r="AG130" s="186">
        <f t="shared" ref="AG130" si="141">SUM(AG127:AG129)</f>
        <v>66172.587597899997</v>
      </c>
      <c r="AH130" s="186">
        <f t="shared" ref="AH130:AR130" si="142">SUM(AH127:AH129)</f>
        <v>66172.587597899997</v>
      </c>
      <c r="AI130" s="186">
        <f t="shared" si="142"/>
        <v>66172.587597899997</v>
      </c>
      <c r="AJ130" s="186">
        <f t="shared" si="142"/>
        <v>66172.587597899997</v>
      </c>
      <c r="AK130" s="186">
        <f t="shared" si="142"/>
        <v>66172.587597899997</v>
      </c>
      <c r="AL130" s="186">
        <f t="shared" si="142"/>
        <v>66172.587597899997</v>
      </c>
      <c r="AM130" s="186">
        <f t="shared" si="142"/>
        <v>66172.587597899997</v>
      </c>
      <c r="AN130" s="186">
        <f t="shared" si="142"/>
        <v>66172.587597899997</v>
      </c>
      <c r="AO130" s="186">
        <f t="shared" si="142"/>
        <v>66172.587597899997</v>
      </c>
      <c r="AP130" s="186">
        <f t="shared" si="142"/>
        <v>66172.587597899997</v>
      </c>
      <c r="AQ130" s="186">
        <f t="shared" si="142"/>
        <v>66172.587597899997</v>
      </c>
      <c r="AR130" s="186">
        <f t="shared" si="142"/>
        <v>66172.587597899997</v>
      </c>
      <c r="AS130" s="186"/>
      <c r="AT130" s="30">
        <f t="shared" si="136"/>
        <v>794071.0511747998</v>
      </c>
      <c r="AU130" s="30">
        <f t="shared" si="137"/>
        <v>794071.0511747998</v>
      </c>
      <c r="AV130" s="30">
        <f t="shared" si="138"/>
        <v>0</v>
      </c>
    </row>
    <row r="131" spans="2:48">
      <c r="B131" s="15"/>
      <c r="C131" s="15"/>
      <c r="D131" s="15"/>
      <c r="E131" s="15"/>
      <c r="F131" s="15"/>
      <c r="G131" s="15"/>
      <c r="N131" s="15">
        <f t="shared" si="70"/>
        <v>122</v>
      </c>
      <c r="S131" s="1429"/>
      <c r="T131" s="1113"/>
    </row>
    <row r="132" spans="2:48">
      <c r="B132" s="15"/>
      <c r="C132" s="15"/>
      <c r="D132" s="15"/>
      <c r="E132" s="15"/>
      <c r="F132" s="15"/>
      <c r="G132" s="15"/>
      <c r="N132" s="15">
        <f t="shared" si="70"/>
        <v>123</v>
      </c>
      <c r="P132" s="15" t="s">
        <v>272</v>
      </c>
      <c r="Q132" s="15" t="s">
        <v>273</v>
      </c>
      <c r="S132" s="1429"/>
      <c r="T132" s="1113"/>
    </row>
    <row r="133" spans="2:48">
      <c r="B133" s="15"/>
      <c r="C133" s="15"/>
      <c r="D133" s="15"/>
      <c r="E133" s="15"/>
      <c r="F133" s="15"/>
      <c r="G133" s="15"/>
      <c r="N133" s="15">
        <f t="shared" si="70"/>
        <v>124</v>
      </c>
      <c r="R133" s="15" t="s">
        <v>592</v>
      </c>
      <c r="S133" s="1429">
        <f>S135*('RB FORECAST'!R135/'RB FORECAST'!R137)</f>
        <v>41427.413003403955</v>
      </c>
      <c r="T133" s="1251">
        <f>T134</f>
        <v>8.0769999999999995E-2</v>
      </c>
      <c r="U133" s="116">
        <f ca="1">('RB FORECAST'!V135-$S133)*($T133/12)</f>
        <v>397.41442810959057</v>
      </c>
      <c r="V133" s="116">
        <f ca="1">('RB FORECAST'!W135-$S133)*($T133/12)</f>
        <v>356.82796327145797</v>
      </c>
      <c r="W133" s="116">
        <f ca="1">('RB FORECAST'!X135-$S133)*($T133/12)</f>
        <v>407.94063389698613</v>
      </c>
      <c r="X133" s="116">
        <f ca="1">('RB FORECAST'!Y135-$S133)*($T133/12)</f>
        <v>364.30050295444568</v>
      </c>
      <c r="Y133" s="116">
        <f ca="1">('RB FORECAST'!Z135-$S133)*($T133/12)</f>
        <v>355.96443641467158</v>
      </c>
      <c r="Z133" s="116">
        <f ca="1">('RB FORECAST'!AA135-$S133)*($T133/12)</f>
        <v>1003.4950140060392</v>
      </c>
      <c r="AA133" s="116">
        <f ca="1">('RB FORECAST'!AB135-$S133)*($T133/12)</f>
        <v>993.83167872790489</v>
      </c>
      <c r="AB133" s="116">
        <f ca="1">('RB FORECAST'!AC135-$S133)*($T133/12)</f>
        <v>977.24681213618851</v>
      </c>
      <c r="AC133" s="116">
        <f ca="1">('RB FORECAST'!AD135-$S133)*($T133/12)</f>
        <v>977.24681213618851</v>
      </c>
      <c r="AD133" s="116">
        <f ca="1">('RB FORECAST'!AE135-$S133)*($T133/12)</f>
        <v>760.17893467482565</v>
      </c>
      <c r="AE133" s="116">
        <f ca="1">('RB FORECAST'!AF135-$S133)*($T133/12)</f>
        <v>618.36906157121655</v>
      </c>
      <c r="AF133" s="116">
        <f ca="1">('RB FORECAST'!AG135-$S133)*($T133/12)</f>
        <v>617.38000131702495</v>
      </c>
      <c r="AG133" s="116">
        <f ca="1">('RB FORECAST'!AL135-$S133)*($T133/12)</f>
        <v>617.38000131702495</v>
      </c>
      <c r="AH133" s="116">
        <f ca="1">('RB FORECAST'!AM135-$S133)*($T133/12)</f>
        <v>567.95834304012487</v>
      </c>
      <c r="AI133" s="116">
        <f ca="1">('RB FORECAST'!AN135-$S133)*($T133/12)</f>
        <v>630.19763762636501</v>
      </c>
      <c r="AJ133" s="116">
        <f ca="1">('RB FORECAST'!AO135-$S133)*($T133/12)</f>
        <v>577.05756624535013</v>
      </c>
      <c r="AK133" s="116">
        <f ca="1">('RB FORECAST'!AP135-$S133)*($T133/12)</f>
        <v>566.9068365982796</v>
      </c>
      <c r="AL133" s="116">
        <f ca="1">('RB FORECAST'!AQ135-$S133)*($T133/12)</f>
        <v>1355.3971635384389</v>
      </c>
      <c r="AM133" s="116">
        <f ca="1">('RB FORECAST'!AR135-$S133)*($T133/12)</f>
        <v>1343.6302344443247</v>
      </c>
      <c r="AN133" s="116">
        <f ca="1">('RB FORECAST'!AS135-$S133)*($T133/12)</f>
        <v>1323.4350385204439</v>
      </c>
      <c r="AO133" s="116">
        <f ca="1">('RB FORECAST'!AT135-$S133)*($T133/12)</f>
        <v>1323.4350385204439</v>
      </c>
      <c r="AP133" s="116">
        <f ca="1">('RB FORECAST'!AU135-$S133)*($T133/12)</f>
        <v>1059.1140510786331</v>
      </c>
      <c r="AQ133" s="116">
        <f ca="1">('RB FORECAST'!AV135-$S133)*($T133/12)</f>
        <v>886.43384557740342</v>
      </c>
      <c r="AR133" s="116">
        <f ca="1">('RB FORECAST'!AW135-$S133)*($T133/12)</f>
        <v>885.22947860203681</v>
      </c>
      <c r="AS133" s="116"/>
      <c r="AT133" s="30">
        <f t="shared" ref="AT133:AT135" ca="1" si="143">SUM(U133:AF133)</f>
        <v>7830.1962792165396</v>
      </c>
      <c r="AU133" s="30">
        <f t="shared" ref="AU133:AU135" ca="1" si="144">SUM(AG133:AR133)</f>
        <v>11136.175235108869</v>
      </c>
      <c r="AV133" s="30">
        <f t="shared" ref="AV133:AV135" ca="1" si="145">AU133-AT133</f>
        <v>3305.9789558923294</v>
      </c>
    </row>
    <row r="134" spans="2:48">
      <c r="B134" s="15"/>
      <c r="C134" s="15"/>
      <c r="D134" s="15"/>
      <c r="E134" s="15"/>
      <c r="F134" s="15"/>
      <c r="G134" s="15"/>
      <c r="N134" s="15">
        <f t="shared" si="70"/>
        <v>125</v>
      </c>
      <c r="R134" s="15" t="s">
        <v>593</v>
      </c>
      <c r="S134" s="1429">
        <f>S135*'RB FORECAST'!R136/'RB FORECAST'!R137</f>
        <v>6246297.7869965956</v>
      </c>
      <c r="T134" s="1251">
        <f>T135</f>
        <v>8.0769999999999995E-2</v>
      </c>
      <c r="U134" s="256">
        <f ca="1">('RB FORECAST'!V136-$S134)*($T134/12)</f>
        <v>59920.923921015405</v>
      </c>
      <c r="V134" s="256">
        <f ca="1">('RB FORECAST'!W136-$S134)*($T134/12)</f>
        <v>53801.421709288799</v>
      </c>
      <c r="W134" s="256">
        <f ca="1">('RB FORECAST'!X136-$S134)*($T134/12)</f>
        <v>61508.03282182652</v>
      </c>
      <c r="X134" s="256">
        <f ca="1">('RB FORECAST'!Y136-$S134)*($T134/12)</f>
        <v>54928.10823642616</v>
      </c>
      <c r="Y134" s="256">
        <f ca="1">('RB FORECAST'!Z136-$S134)*($T134/12)</f>
        <v>53671.221788426883</v>
      </c>
      <c r="Z134" s="256">
        <f ca="1">('RB FORECAST'!AA136-$S134)*($T134/12)</f>
        <v>151303.88867711849</v>
      </c>
      <c r="AA134" s="256">
        <f ca="1">('RB FORECAST'!AB136-$S134)*($T134/12)</f>
        <v>149846.8807351102</v>
      </c>
      <c r="AB134" s="256">
        <f ca="1">('RB FORECAST'!AC136-$S134)*($T134/12)</f>
        <v>147346.26561147309</v>
      </c>
      <c r="AC134" s="256">
        <f ca="1">('RB FORECAST'!AD136-$S134)*($T134/12)</f>
        <v>147346.26561147309</v>
      </c>
      <c r="AD134" s="256">
        <f ca="1">('RB FORECAST'!AE136-$S134)*($T134/12)</f>
        <v>114617.4393508627</v>
      </c>
      <c r="AE134" s="256">
        <f ca="1">('RB FORECAST'!AF136-$S134)*($T134/12)</f>
        <v>93235.783284900768</v>
      </c>
      <c r="AF134" s="256">
        <f ca="1">('RB FORECAST'!AG136-$S134)*($T134/12)</f>
        <v>93086.655824867106</v>
      </c>
      <c r="AG134" s="256">
        <f ca="1">('RB FORECAST'!AL136-$S134)*($T134/12)</f>
        <v>93086.655824867106</v>
      </c>
      <c r="AH134" s="256">
        <f ca="1">('RB FORECAST'!AM136-$S134)*($T134/12)</f>
        <v>85635.010348010081</v>
      </c>
      <c r="AI134" s="256">
        <f ca="1">('RB FORECAST'!AN136-$S134)*($T134/12)</f>
        <v>95019.259564979468</v>
      </c>
      <c r="AJ134" s="256">
        <f ca="1">('RB FORECAST'!AO136-$S134)*($T134/12)</f>
        <v>87006.963208438901</v>
      </c>
      <c r="AK134" s="256">
        <f ca="1">('RB FORECAST'!AP136-$S134)*($T134/12)</f>
        <v>85476.467444059701</v>
      </c>
      <c r="AL134" s="256">
        <f ca="1">('RB FORECAST'!AQ136-$S134)*($T134/12)</f>
        <v>204362.61135630097</v>
      </c>
      <c r="AM134" s="256">
        <f ca="1">('RB FORECAST'!AR136-$S134)*($T134/12)</f>
        <v>202588.43001520995</v>
      </c>
      <c r="AN134" s="256">
        <f ca="1">('RB FORECAST'!AS136-$S134)*($T134/12)</f>
        <v>199543.4605502584</v>
      </c>
      <c r="AO134" s="256">
        <f ca="1">('RB FORECAST'!AT136-$S134)*($T134/12)</f>
        <v>199543.4605502584</v>
      </c>
      <c r="AP134" s="256">
        <f ca="1">('RB FORECAST'!AU136-$S134)*($T134/12)</f>
        <v>159689.95584845921</v>
      </c>
      <c r="AQ134" s="256">
        <f ca="1">('RB FORECAST'!AV136-$S134)*($T134/12)</f>
        <v>133653.76610637171</v>
      </c>
      <c r="AR134" s="256">
        <f ca="1">('RB FORECAST'!AW136-$S134)*($T134/12)</f>
        <v>133472.17536180009</v>
      </c>
      <c r="AS134" s="116"/>
      <c r="AT134" s="30">
        <f t="shared" ca="1" si="143"/>
        <v>1180612.8875727893</v>
      </c>
      <c r="AU134" s="30">
        <f t="shared" ca="1" si="144"/>
        <v>1679078.216179014</v>
      </c>
      <c r="AV134" s="30">
        <f t="shared" ca="1" si="145"/>
        <v>498465.32860622462</v>
      </c>
    </row>
    <row r="135" spans="2:48">
      <c r="B135" s="15"/>
      <c r="C135" s="15"/>
      <c r="D135" s="15"/>
      <c r="E135" s="15"/>
      <c r="F135" s="15"/>
      <c r="G135" s="15"/>
      <c r="N135" s="15">
        <f t="shared" si="70"/>
        <v>126</v>
      </c>
      <c r="R135" s="15" t="s">
        <v>170</v>
      </c>
      <c r="S135" s="1429">
        <v>6287725.1999999993</v>
      </c>
      <c r="T135" s="7">
        <v>8.0769999999999995E-2</v>
      </c>
      <c r="U135" s="186">
        <f t="shared" ref="U135:W135" ca="1" si="146">SUM(U133:U134)</f>
        <v>60318.338349124999</v>
      </c>
      <c r="V135" s="186">
        <f t="shared" ca="1" si="146"/>
        <v>54158.249672560254</v>
      </c>
      <c r="W135" s="186">
        <f t="shared" ca="1" si="146"/>
        <v>61915.973455723506</v>
      </c>
      <c r="X135" s="186">
        <f t="shared" ref="X135:AF135" ca="1" si="147">SUM(X133:X134)</f>
        <v>55292.408739380604</v>
      </c>
      <c r="Y135" s="186">
        <f t="shared" ca="1" si="147"/>
        <v>54027.186224841556</v>
      </c>
      <c r="Z135" s="186">
        <f t="shared" ca="1" si="147"/>
        <v>152307.38369112453</v>
      </c>
      <c r="AA135" s="186">
        <f t="shared" ca="1" si="147"/>
        <v>150840.7124138381</v>
      </c>
      <c r="AB135" s="186">
        <f t="shared" ca="1" si="147"/>
        <v>148323.51242360927</v>
      </c>
      <c r="AC135" s="186">
        <f t="shared" ca="1" si="147"/>
        <v>148323.51242360927</v>
      </c>
      <c r="AD135" s="186">
        <f t="shared" ca="1" si="147"/>
        <v>115377.61828553752</v>
      </c>
      <c r="AE135" s="186">
        <f t="shared" ca="1" si="147"/>
        <v>93854.152346471979</v>
      </c>
      <c r="AF135" s="186">
        <f t="shared" ca="1" si="147"/>
        <v>93704.035826184132</v>
      </c>
      <c r="AG135" s="186">
        <f t="shared" ref="AG135" ca="1" si="148">SUM(AG133:AG134)</f>
        <v>93704.035826184132</v>
      </c>
      <c r="AH135" s="186">
        <f t="shared" ref="AH135:AR135" ca="1" si="149">SUM(AH133:AH134)</f>
        <v>86202.968691050206</v>
      </c>
      <c r="AI135" s="186">
        <f t="shared" ca="1" si="149"/>
        <v>95649.45720260583</v>
      </c>
      <c r="AJ135" s="186">
        <f t="shared" ca="1" si="149"/>
        <v>87584.02077468425</v>
      </c>
      <c r="AK135" s="186">
        <f t="shared" ca="1" si="149"/>
        <v>86043.374280657983</v>
      </c>
      <c r="AL135" s="186">
        <f t="shared" ca="1" si="149"/>
        <v>205718.00851983941</v>
      </c>
      <c r="AM135" s="186">
        <f t="shared" ca="1" si="149"/>
        <v>203932.06024965429</v>
      </c>
      <c r="AN135" s="186">
        <f t="shared" ca="1" si="149"/>
        <v>200866.89558877883</v>
      </c>
      <c r="AO135" s="186">
        <f t="shared" ca="1" si="149"/>
        <v>200866.89558877883</v>
      </c>
      <c r="AP135" s="186">
        <f t="shared" ca="1" si="149"/>
        <v>160749.06989953783</v>
      </c>
      <c r="AQ135" s="186">
        <f t="shared" ca="1" si="149"/>
        <v>134540.19995194912</v>
      </c>
      <c r="AR135" s="186">
        <f t="shared" ca="1" si="149"/>
        <v>134357.40484040213</v>
      </c>
      <c r="AS135" s="1427"/>
      <c r="AT135" s="1322">
        <f t="shared" ca="1" si="143"/>
        <v>1188443.0838520057</v>
      </c>
      <c r="AU135" s="1322">
        <f t="shared" ca="1" si="144"/>
        <v>1690214.3914141229</v>
      </c>
      <c r="AV135" s="30">
        <f t="shared" ca="1" si="145"/>
        <v>501771.30756211723</v>
      </c>
    </row>
    <row r="136" spans="2:48">
      <c r="B136" s="15"/>
      <c r="C136" s="15"/>
      <c r="D136" s="15"/>
      <c r="E136" s="15"/>
      <c r="F136" s="15"/>
      <c r="G136" s="15"/>
      <c r="N136" s="15">
        <f t="shared" si="70"/>
        <v>127</v>
      </c>
      <c r="S136" s="1428"/>
      <c r="T136" s="1113"/>
    </row>
    <row r="137" spans="2:48">
      <c r="B137" s="15"/>
      <c r="C137" s="15"/>
      <c r="D137" s="15"/>
      <c r="E137" s="15"/>
      <c r="F137" s="15"/>
      <c r="G137" s="15"/>
      <c r="N137" s="15">
        <f t="shared" si="70"/>
        <v>128</v>
      </c>
      <c r="P137" s="15" t="s">
        <v>274</v>
      </c>
      <c r="Q137" s="15" t="s">
        <v>275</v>
      </c>
      <c r="S137" s="1428"/>
      <c r="T137" s="1113"/>
    </row>
    <row r="138" spans="2:48">
      <c r="B138" s="15"/>
      <c r="C138" s="15"/>
      <c r="D138" s="15"/>
      <c r="E138" s="15"/>
      <c r="F138" s="15"/>
      <c r="G138" s="15"/>
      <c r="N138" s="15">
        <f t="shared" si="70"/>
        <v>129</v>
      </c>
      <c r="R138" s="15" t="s">
        <v>592</v>
      </c>
      <c r="S138" s="1428"/>
      <c r="T138" s="1223">
        <f>T139</f>
        <v>6.6699999999999995E-2</v>
      </c>
      <c r="U138" s="116">
        <f>('RB FORECAST'!V140-$S138)*($T138/12)</f>
        <v>21.476955333333333</v>
      </c>
      <c r="V138" s="116">
        <f>('RB FORECAST'!W140-$S138)*($T138/12)</f>
        <v>21.476955333333333</v>
      </c>
      <c r="W138" s="116">
        <f>('RB FORECAST'!X140-$S138)*($T138/12)</f>
        <v>21.974477429207326</v>
      </c>
      <c r="X138" s="116">
        <f>('RB FORECAST'!Y140-$S138)*($T138/12)</f>
        <v>21.974477429207326</v>
      </c>
      <c r="Y138" s="116">
        <f>('RB FORECAST'!Z140-$S138)*($T138/12)</f>
        <v>21.974477429207326</v>
      </c>
      <c r="Z138" s="116">
        <f>('RB FORECAST'!AA140-$S138)*($T138/12)</f>
        <v>21.46074363576713</v>
      </c>
      <c r="AA138" s="116">
        <f>('RB FORECAST'!AB140-$S138)*($T138/12)</f>
        <v>21.46074363576713</v>
      </c>
      <c r="AB138" s="116">
        <f>('RB FORECAST'!AC140-$S138)*($T138/12)</f>
        <v>21.46074363576713</v>
      </c>
      <c r="AC138" s="116">
        <f>('RB FORECAST'!AD140-$S138)*($T138/12)</f>
        <v>21.46074363576713</v>
      </c>
      <c r="AD138" s="116">
        <f>('RB FORECAST'!AE140-$S138)*($T138/12)</f>
        <v>21.065904107837277</v>
      </c>
      <c r="AE138" s="116">
        <f>('RB FORECAST'!AF140-$S138)*($T138/12)</f>
        <v>21.065904107837277</v>
      </c>
      <c r="AF138" s="116">
        <f>('RB FORECAST'!AG140-$S138)*($T138/12)</f>
        <v>21.065904107837277</v>
      </c>
      <c r="AG138" s="116">
        <f>('RB FORECAST'!AL140-$S138)*($T138/12)</f>
        <v>21.065904107837277</v>
      </c>
      <c r="AH138" s="116">
        <f>('RB FORECAST'!AM140-$S138)*($T138/12)</f>
        <v>21.065904107837277</v>
      </c>
      <c r="AI138" s="116">
        <f>('RB FORECAST'!AN140-$S138)*($T138/12)</f>
        <v>21.563426203711273</v>
      </c>
      <c r="AJ138" s="116">
        <f>('RB FORECAST'!AO140-$S138)*($T138/12)</f>
        <v>21.563426203711273</v>
      </c>
      <c r="AK138" s="116">
        <f>('RB FORECAST'!AP140-$S138)*($T138/12)</f>
        <v>21.563426203711273</v>
      </c>
      <c r="AL138" s="116">
        <f>('RB FORECAST'!AQ140-$S138)*($T138/12)</f>
        <v>21.049692410271078</v>
      </c>
      <c r="AM138" s="116">
        <f>('RB FORECAST'!AR140-$S138)*($T138/12)</f>
        <v>21.049692410271078</v>
      </c>
      <c r="AN138" s="116">
        <f>('RB FORECAST'!AS140-$S138)*($T138/12)</f>
        <v>21.049692410271078</v>
      </c>
      <c r="AO138" s="116">
        <f>('RB FORECAST'!AT140-$S138)*($T138/12)</f>
        <v>21.049692410271078</v>
      </c>
      <c r="AP138" s="116">
        <f>('RB FORECAST'!AU140-$S138)*($T138/12)</f>
        <v>20.654852882341224</v>
      </c>
      <c r="AQ138" s="116">
        <f>('RB FORECAST'!AV140-$S138)*($T138/12)</f>
        <v>20.654852882341224</v>
      </c>
      <c r="AR138" s="116">
        <f>('RB FORECAST'!AW140-$S138)*($T138/12)</f>
        <v>20.654852882341224</v>
      </c>
      <c r="AS138" s="116"/>
      <c r="AT138" s="30">
        <f t="shared" ref="AT138:AT141" si="150">SUM(U138:AF138)</f>
        <v>257.91802982086898</v>
      </c>
      <c r="AU138" s="30">
        <f t="shared" ref="AU138:AU141" si="151">SUM(AG138:AR138)</f>
        <v>252.98541511491635</v>
      </c>
      <c r="AV138" s="30">
        <f t="shared" ref="AV138:AV141" si="152">AU138-AT138</f>
        <v>-4.9326147059526306</v>
      </c>
    </row>
    <row r="139" spans="2:48">
      <c r="B139" s="15"/>
      <c r="C139" s="15"/>
      <c r="D139" s="15"/>
      <c r="E139" s="15"/>
      <c r="F139" s="15"/>
      <c r="G139" s="15"/>
      <c r="N139" s="15">
        <f t="shared" si="70"/>
        <v>130</v>
      </c>
      <c r="R139" s="15" t="s">
        <v>593</v>
      </c>
      <c r="S139" s="1428"/>
      <c r="T139" s="1223">
        <f>T140</f>
        <v>6.6699999999999995E-2</v>
      </c>
      <c r="U139" s="116">
        <f>('RB FORECAST'!V141-$S139)*($T139/12)</f>
        <v>1792.4764014166665</v>
      </c>
      <c r="V139" s="116">
        <f>('RB FORECAST'!W141-$S139)*($T139/12)</f>
        <v>1792.4764014166665</v>
      </c>
      <c r="W139" s="116">
        <f>('RB FORECAST'!X141-$S139)*($T139/12)</f>
        <v>1833.9998204579763</v>
      </c>
      <c r="X139" s="116">
        <f>('RB FORECAST'!Y141-$S139)*($T139/12)</f>
        <v>1833.9998204579763</v>
      </c>
      <c r="Y139" s="116">
        <f>('RB FORECAST'!Z141-$S139)*($T139/12)</f>
        <v>1833.9998204579763</v>
      </c>
      <c r="Z139" s="116">
        <f>('RB FORECAST'!AA141-$S139)*($T139/12)</f>
        <v>1791.1233658088111</v>
      </c>
      <c r="AA139" s="116">
        <f>('RB FORECAST'!AB141-$S139)*($T139/12)</f>
        <v>1791.1233658088111</v>
      </c>
      <c r="AB139" s="116">
        <f>('RB FORECAST'!AC141-$S139)*($T139/12)</f>
        <v>1791.1233658088111</v>
      </c>
      <c r="AC139" s="116">
        <f>('RB FORECAST'!AD141-$S139)*($T139/12)</f>
        <v>1791.1233658088111</v>
      </c>
      <c r="AD139" s="116">
        <f>('RB FORECAST'!AE141-$S139)*($T139/12)</f>
        <v>1758.1698803088293</v>
      </c>
      <c r="AE139" s="116">
        <f>('RB FORECAST'!AF141-$S139)*($T139/12)</f>
        <v>1758.1698803088293</v>
      </c>
      <c r="AF139" s="116">
        <f>('RB FORECAST'!AG141-$S139)*($T139/12)</f>
        <v>1758.1698803088293</v>
      </c>
      <c r="AG139" s="116">
        <f>('RB FORECAST'!AL141-$S139)*($T139/12)</f>
        <v>1758.1698803088293</v>
      </c>
      <c r="AH139" s="116">
        <f>('RB FORECAST'!AM141-$S139)*($T139/12)</f>
        <v>1758.1698803088293</v>
      </c>
      <c r="AI139" s="116">
        <f>('RB FORECAST'!AN141-$S139)*($T139/12)</f>
        <v>1799.6932993501391</v>
      </c>
      <c r="AJ139" s="116">
        <f>('RB FORECAST'!AO141-$S139)*($T139/12)</f>
        <v>1799.6932993501391</v>
      </c>
      <c r="AK139" s="116">
        <f>('RB FORECAST'!AP141-$S139)*($T139/12)</f>
        <v>1799.6932993501391</v>
      </c>
      <c r="AL139" s="116">
        <f>('RB FORECAST'!AQ141-$S139)*($T139/12)</f>
        <v>1756.8168447009737</v>
      </c>
      <c r="AM139" s="116">
        <f>('RB FORECAST'!AR141-$S139)*($T139/12)</f>
        <v>1756.8168447009737</v>
      </c>
      <c r="AN139" s="116">
        <f>('RB FORECAST'!AS141-$S139)*($T139/12)</f>
        <v>1756.8168447009737</v>
      </c>
      <c r="AO139" s="116">
        <f>('RB FORECAST'!AT141-$S139)*($T139/12)</f>
        <v>1756.8168447009737</v>
      </c>
      <c r="AP139" s="116">
        <f>('RB FORECAST'!AU141-$S139)*($T139/12)</f>
        <v>1723.8633592009917</v>
      </c>
      <c r="AQ139" s="116">
        <f>('RB FORECAST'!AV141-$S139)*($T139/12)</f>
        <v>1723.8633592009917</v>
      </c>
      <c r="AR139" s="116">
        <f>('RB FORECAST'!AW141-$S139)*($T139/12)</f>
        <v>1723.8633592009917</v>
      </c>
      <c r="AS139" s="116"/>
      <c r="AT139" s="30">
        <f t="shared" si="150"/>
        <v>21525.955368368996</v>
      </c>
      <c r="AU139" s="30">
        <f t="shared" si="151"/>
        <v>21114.277115074943</v>
      </c>
      <c r="AV139" s="30">
        <f t="shared" si="152"/>
        <v>-411.67825329405241</v>
      </c>
    </row>
    <row r="140" spans="2:48">
      <c r="B140" s="15"/>
      <c r="C140" s="15"/>
      <c r="D140" s="15"/>
      <c r="E140" s="15"/>
      <c r="F140" s="15"/>
      <c r="G140" s="15"/>
      <c r="N140" s="15">
        <f t="shared" ref="N140:N171" si="153">N139+1</f>
        <v>131</v>
      </c>
      <c r="R140" s="15" t="s">
        <v>595</v>
      </c>
      <c r="S140" s="1428"/>
      <c r="T140" s="1223">
        <f>T141</f>
        <v>6.6699999999999995E-2</v>
      </c>
      <c r="U140" s="256">
        <f>('RB FORECAST'!V142-$S140)*($T140/12)</f>
        <v>0</v>
      </c>
      <c r="V140" s="256">
        <f>('RB FORECAST'!W142-$S140)*($T140/12)</f>
        <v>0</v>
      </c>
      <c r="W140" s="256">
        <f>('RB FORECAST'!X142-$S140)*($T140/12)</f>
        <v>0</v>
      </c>
      <c r="X140" s="256">
        <f>('RB FORECAST'!Y142-$S140)*($T140/12)</f>
        <v>0</v>
      </c>
      <c r="Y140" s="256">
        <f>('RB FORECAST'!Z142-$S140)*($T140/12)</f>
        <v>0</v>
      </c>
      <c r="Z140" s="256">
        <f>('RB FORECAST'!AA142-$S140)*($T140/12)</f>
        <v>0</v>
      </c>
      <c r="AA140" s="256">
        <f>('RB FORECAST'!AB142-$S140)*($T140/12)</f>
        <v>0</v>
      </c>
      <c r="AB140" s="256">
        <f>('RB FORECAST'!AC142-$S140)*($T140/12)</f>
        <v>0</v>
      </c>
      <c r="AC140" s="256">
        <f>('RB FORECAST'!AD142-$S140)*($T140/12)</f>
        <v>0</v>
      </c>
      <c r="AD140" s="256">
        <f>('RB FORECAST'!AE142-$S140)*($T140/12)</f>
        <v>0</v>
      </c>
      <c r="AE140" s="256">
        <f>('RB FORECAST'!AF142-$S140)*($T140/12)</f>
        <v>0</v>
      </c>
      <c r="AF140" s="256">
        <f>('RB FORECAST'!AG142-$S140)*($T140/12)</f>
        <v>0</v>
      </c>
      <c r="AG140" s="256">
        <f>('RB FORECAST'!AL142-$S140)*($T140/12)</f>
        <v>0</v>
      </c>
      <c r="AH140" s="256">
        <f>('RB FORECAST'!AM142-$S140)*($T140/12)</f>
        <v>0</v>
      </c>
      <c r="AI140" s="256">
        <f>('RB FORECAST'!AN142-$S140)*($T140/12)</f>
        <v>0</v>
      </c>
      <c r="AJ140" s="256">
        <f>('RB FORECAST'!AO142-$S140)*($T140/12)</f>
        <v>0</v>
      </c>
      <c r="AK140" s="256">
        <f>('RB FORECAST'!AP142-$S140)*($T140/12)</f>
        <v>0</v>
      </c>
      <c r="AL140" s="256">
        <f>('RB FORECAST'!AQ142-$S140)*($T140/12)</f>
        <v>0</v>
      </c>
      <c r="AM140" s="256">
        <f>('RB FORECAST'!AR142-$S140)*($T140/12)</f>
        <v>0</v>
      </c>
      <c r="AN140" s="256">
        <f>('RB FORECAST'!AS142-$S140)*($T140/12)</f>
        <v>0</v>
      </c>
      <c r="AO140" s="256">
        <f>('RB FORECAST'!AT142-$S140)*($T140/12)</f>
        <v>0</v>
      </c>
      <c r="AP140" s="256">
        <f>('RB FORECAST'!AU142-$S140)*($T140/12)</f>
        <v>0</v>
      </c>
      <c r="AQ140" s="256">
        <f>('RB FORECAST'!AV142-$S140)*($T140/12)</f>
        <v>0</v>
      </c>
      <c r="AR140" s="256">
        <f>('RB FORECAST'!AW142-$S140)*($T140/12)</f>
        <v>0</v>
      </c>
      <c r="AS140" s="116"/>
      <c r="AT140" s="30">
        <f t="shared" si="150"/>
        <v>0</v>
      </c>
      <c r="AU140" s="30">
        <f t="shared" si="151"/>
        <v>0</v>
      </c>
      <c r="AV140" s="30">
        <f t="shared" si="152"/>
        <v>0</v>
      </c>
    </row>
    <row r="141" spans="2:48">
      <c r="B141" s="15"/>
      <c r="C141" s="15"/>
      <c r="D141" s="15"/>
      <c r="E141" s="15"/>
      <c r="F141" s="15"/>
      <c r="G141" s="15"/>
      <c r="N141" s="15">
        <f t="shared" si="153"/>
        <v>132</v>
      </c>
      <c r="R141" s="15" t="s">
        <v>170</v>
      </c>
      <c r="S141" s="1428"/>
      <c r="T141" s="1113">
        <v>6.6699999999999995E-2</v>
      </c>
      <c r="U141" s="186">
        <f t="shared" ref="U141:W141" si="154">SUM(U138:U140)</f>
        <v>1813.9533567499998</v>
      </c>
      <c r="V141" s="186">
        <f t="shared" si="154"/>
        <v>1813.9533567499998</v>
      </c>
      <c r="W141" s="186">
        <f t="shared" si="154"/>
        <v>1855.9742978871836</v>
      </c>
      <c r="X141" s="186">
        <f t="shared" ref="X141:AF141" si="155">SUM(X138:X140)</f>
        <v>1855.9742978871836</v>
      </c>
      <c r="Y141" s="186">
        <f t="shared" si="155"/>
        <v>1855.9742978871836</v>
      </c>
      <c r="Z141" s="186">
        <f t="shared" si="155"/>
        <v>1812.5841094445782</v>
      </c>
      <c r="AA141" s="186">
        <f t="shared" si="155"/>
        <v>1812.5841094445782</v>
      </c>
      <c r="AB141" s="186">
        <f t="shared" si="155"/>
        <v>1812.5841094445782</v>
      </c>
      <c r="AC141" s="186">
        <f t="shared" si="155"/>
        <v>1812.5841094445782</v>
      </c>
      <c r="AD141" s="186">
        <f t="shared" si="155"/>
        <v>1779.2357844166665</v>
      </c>
      <c r="AE141" s="186">
        <f t="shared" si="155"/>
        <v>1779.2357844166665</v>
      </c>
      <c r="AF141" s="186">
        <f t="shared" si="155"/>
        <v>1779.2357844166665</v>
      </c>
      <c r="AG141" s="186">
        <f t="shared" ref="AG141" si="156">SUM(AG138:AG140)</f>
        <v>1779.2357844166665</v>
      </c>
      <c r="AH141" s="186">
        <f t="shared" ref="AH141:AR141" si="157">SUM(AH138:AH140)</f>
        <v>1779.2357844166665</v>
      </c>
      <c r="AI141" s="186">
        <f t="shared" si="157"/>
        <v>1821.2567255538504</v>
      </c>
      <c r="AJ141" s="186">
        <f t="shared" si="157"/>
        <v>1821.2567255538504</v>
      </c>
      <c r="AK141" s="186">
        <f t="shared" si="157"/>
        <v>1821.2567255538504</v>
      </c>
      <c r="AL141" s="186">
        <f t="shared" si="157"/>
        <v>1777.8665371112447</v>
      </c>
      <c r="AM141" s="186">
        <f t="shared" si="157"/>
        <v>1777.8665371112447</v>
      </c>
      <c r="AN141" s="186">
        <f t="shared" si="157"/>
        <v>1777.8665371112447</v>
      </c>
      <c r="AO141" s="186">
        <f t="shared" si="157"/>
        <v>1777.8665371112447</v>
      </c>
      <c r="AP141" s="186">
        <f t="shared" si="157"/>
        <v>1744.5182120833329</v>
      </c>
      <c r="AQ141" s="186">
        <f t="shared" si="157"/>
        <v>1744.5182120833329</v>
      </c>
      <c r="AR141" s="186">
        <f t="shared" si="157"/>
        <v>1744.5182120833329</v>
      </c>
      <c r="AS141" s="186"/>
      <c r="AT141" s="30">
        <f t="shared" si="150"/>
        <v>21783.873398189862</v>
      </c>
      <c r="AU141" s="30">
        <f t="shared" si="151"/>
        <v>21367.262530189862</v>
      </c>
      <c r="AV141" s="30">
        <f t="shared" si="152"/>
        <v>-416.61086799999975</v>
      </c>
    </row>
    <row r="142" spans="2:48">
      <c r="B142" s="15"/>
      <c r="C142" s="15"/>
      <c r="D142" s="15"/>
      <c r="E142" s="15"/>
      <c r="F142" s="15"/>
      <c r="G142" s="15"/>
      <c r="N142" s="15">
        <f t="shared" si="153"/>
        <v>133</v>
      </c>
      <c r="S142" s="1428"/>
      <c r="T142" s="1113"/>
    </row>
    <row r="143" spans="2:48">
      <c r="B143" s="15"/>
      <c r="C143" s="15"/>
      <c r="D143" s="15"/>
      <c r="E143" s="15"/>
      <c r="F143" s="15"/>
      <c r="G143" s="15"/>
      <c r="N143" s="15">
        <f t="shared" si="153"/>
        <v>134</v>
      </c>
      <c r="P143" s="15" t="s">
        <v>1112</v>
      </c>
      <c r="S143" s="1428"/>
      <c r="T143" s="9">
        <v>-2589352</v>
      </c>
      <c r="U143" s="186">
        <f t="shared" ref="U143:W143" si="158">$T$143/12</f>
        <v>-215779.33333333334</v>
      </c>
      <c r="V143" s="186">
        <f t="shared" si="158"/>
        <v>-215779.33333333334</v>
      </c>
      <c r="W143" s="186">
        <f t="shared" si="158"/>
        <v>-215779.33333333334</v>
      </c>
      <c r="X143" s="186">
        <f t="shared" ref="X143:AF143" si="159">$T$143/12</f>
        <v>-215779.33333333334</v>
      </c>
      <c r="Y143" s="186">
        <f t="shared" si="159"/>
        <v>-215779.33333333334</v>
      </c>
      <c r="Z143" s="186">
        <f t="shared" si="159"/>
        <v>-215779.33333333334</v>
      </c>
      <c r="AA143" s="186">
        <f t="shared" si="159"/>
        <v>-215779.33333333334</v>
      </c>
      <c r="AB143" s="186">
        <f t="shared" si="159"/>
        <v>-215779.33333333334</v>
      </c>
      <c r="AC143" s="186">
        <f t="shared" si="159"/>
        <v>-215779.33333333334</v>
      </c>
      <c r="AD143" s="186">
        <f t="shared" si="159"/>
        <v>-215779.33333333334</v>
      </c>
      <c r="AE143" s="186">
        <f t="shared" si="159"/>
        <v>-215779.33333333334</v>
      </c>
      <c r="AF143" s="186">
        <f t="shared" si="159"/>
        <v>-215779.33333333334</v>
      </c>
      <c r="AG143" s="186">
        <f t="shared" ref="AG143:AR143" si="160">$T$143/12</f>
        <v>-215779.33333333334</v>
      </c>
      <c r="AH143" s="186">
        <f t="shared" si="160"/>
        <v>-215779.33333333334</v>
      </c>
      <c r="AI143" s="186">
        <f t="shared" si="160"/>
        <v>-215779.33333333334</v>
      </c>
      <c r="AJ143" s="186">
        <f t="shared" si="160"/>
        <v>-215779.33333333334</v>
      </c>
      <c r="AK143" s="186">
        <f t="shared" si="160"/>
        <v>-215779.33333333334</v>
      </c>
      <c r="AL143" s="186">
        <f t="shared" si="160"/>
        <v>-215779.33333333334</v>
      </c>
      <c r="AM143" s="186">
        <f t="shared" si="160"/>
        <v>-215779.33333333334</v>
      </c>
      <c r="AN143" s="186">
        <f t="shared" si="160"/>
        <v>-215779.33333333334</v>
      </c>
      <c r="AO143" s="186">
        <f t="shared" si="160"/>
        <v>-215779.33333333334</v>
      </c>
      <c r="AP143" s="186">
        <f t="shared" si="160"/>
        <v>-215779.33333333334</v>
      </c>
      <c r="AQ143" s="186">
        <f t="shared" si="160"/>
        <v>-215779.33333333334</v>
      </c>
      <c r="AR143" s="186">
        <f t="shared" si="160"/>
        <v>-215779.33333333334</v>
      </c>
      <c r="AS143" s="186"/>
      <c r="AT143" s="30">
        <f t="shared" ref="AT143" si="161">SUM(U143:AF143)</f>
        <v>-2589352</v>
      </c>
      <c r="AU143" s="30">
        <f t="shared" ref="AU143" si="162">SUM(AG143:AR143)</f>
        <v>-2589352</v>
      </c>
      <c r="AV143" s="30">
        <f t="shared" ref="AV143" si="163">AU143-AT143</f>
        <v>0</v>
      </c>
    </row>
    <row r="144" spans="2:48">
      <c r="B144" s="15"/>
      <c r="C144" s="15"/>
      <c r="D144" s="15"/>
      <c r="E144" s="15"/>
      <c r="F144" s="15"/>
      <c r="G144" s="15"/>
      <c r="N144" s="15">
        <f t="shared" si="153"/>
        <v>135</v>
      </c>
      <c r="T144" s="703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</row>
    <row r="145" spans="1:133">
      <c r="N145" s="15">
        <f t="shared" si="153"/>
        <v>136</v>
      </c>
      <c r="Q145" s="15" t="s">
        <v>276</v>
      </c>
      <c r="T145" s="199"/>
      <c r="U145" s="116">
        <f t="shared" ref="U145:W145" ca="1" si="164">SUM(U143,U141,U135,U130,U124,U118,U112,U107,U101,U95,U89)</f>
        <v>940470.4616888226</v>
      </c>
      <c r="V145" s="116">
        <f t="shared" ca="1" si="164"/>
        <v>939224.11935525411</v>
      </c>
      <c r="W145" s="116">
        <f t="shared" ca="1" si="164"/>
        <v>910027.20324353618</v>
      </c>
      <c r="X145" s="116">
        <f ca="1">SUM(X143,X141,X135,X130,X124,X118,X112,X107,X101,X95,X89)</f>
        <v>928044.34389441786</v>
      </c>
      <c r="Y145" s="116">
        <f t="shared" ref="Y145:AR145" ca="1" si="165">SUM(Y143,Y141,Y135,Y130,Y124,Y118,Y112,Y107,Y101,Y95,Y89)</f>
        <v>945794.0592663486</v>
      </c>
      <c r="Z145" s="116">
        <f t="shared" ca="1" si="165"/>
        <v>1043872.6065316673</v>
      </c>
      <c r="AA145" s="116">
        <f t="shared" ca="1" si="165"/>
        <v>1063058.8211639442</v>
      </c>
      <c r="AB145" s="116">
        <f t="shared" ca="1" si="165"/>
        <v>1089987.9317602543</v>
      </c>
      <c r="AC145" s="116">
        <f t="shared" ca="1" si="165"/>
        <v>1093523.9534165983</v>
      </c>
      <c r="AD145" s="116">
        <f t="shared" ca="1" si="165"/>
        <v>1089478.6597539803</v>
      </c>
      <c r="AE145" s="116">
        <f t="shared" ca="1" si="165"/>
        <v>952027.95486556657</v>
      </c>
      <c r="AF145" s="116">
        <f t="shared" ca="1" si="165"/>
        <v>979403.31155939517</v>
      </c>
      <c r="AG145" s="116">
        <f t="shared" ca="1" si="165"/>
        <v>957223.46987103624</v>
      </c>
      <c r="AH145" s="116">
        <f t="shared" ca="1" si="165"/>
        <v>959549.95601076493</v>
      </c>
      <c r="AI145" s="116">
        <f t="shared" ca="1" si="165"/>
        <v>942258.14030118892</v>
      </c>
      <c r="AJ145" s="116">
        <f t="shared" ca="1" si="165"/>
        <v>949577.57140165358</v>
      </c>
      <c r="AK145" s="116">
        <f t="shared" ca="1" si="165"/>
        <v>958444.46250251657</v>
      </c>
      <c r="AL145" s="116">
        <f t="shared" ca="1" si="165"/>
        <v>1065586.9227031353</v>
      </c>
      <c r="AM145" s="116">
        <f t="shared" ca="1" si="165"/>
        <v>1074640.3784704586</v>
      </c>
      <c r="AN145" s="116">
        <f t="shared" ca="1" si="165"/>
        <v>1089776.7893645102</v>
      </c>
      <c r="AO145" s="116">
        <f t="shared" ca="1" si="165"/>
        <v>1091253.5221760634</v>
      </c>
      <c r="AP145" s="116">
        <f t="shared" ca="1" si="165"/>
        <v>1066786.1817373324</v>
      </c>
      <c r="AQ145" s="116">
        <f t="shared" ca="1" si="165"/>
        <v>977833.09345168585</v>
      </c>
      <c r="AR145" s="116">
        <f t="shared" ca="1" si="165"/>
        <v>992788.17992263346</v>
      </c>
      <c r="AS145" s="116"/>
      <c r="AT145" s="30">
        <f t="shared" ref="AT145" ca="1" si="166">SUM(U145:AF145)</f>
        <v>11974913.426499788</v>
      </c>
      <c r="AU145" s="30">
        <f t="shared" ref="AU145" ca="1" si="167">SUM(AG145:AR145)</f>
        <v>12125718.667912979</v>
      </c>
      <c r="AV145" s="30">
        <f t="shared" ref="AV145" ca="1" si="168">AU145-AT145</f>
        <v>150805.24141319096</v>
      </c>
    </row>
    <row r="146" spans="1:133">
      <c r="N146" s="15">
        <f t="shared" si="153"/>
        <v>137</v>
      </c>
      <c r="T146" s="199"/>
    </row>
    <row r="147" spans="1:133">
      <c r="N147" s="15">
        <f t="shared" si="153"/>
        <v>138</v>
      </c>
      <c r="O147" s="427" t="s">
        <v>1111</v>
      </c>
      <c r="P147" s="427"/>
      <c r="Q147" s="427"/>
      <c r="R147" s="427"/>
      <c r="S147" s="427"/>
      <c r="T147" s="432"/>
      <c r="U147" s="431"/>
      <c r="V147" s="431"/>
      <c r="W147" s="431"/>
      <c r="X147" s="431"/>
      <c r="Y147" s="431"/>
      <c r="Z147" s="431"/>
      <c r="AA147" s="431"/>
      <c r="AB147" s="431"/>
      <c r="AC147" s="431"/>
      <c r="AD147" s="431"/>
      <c r="AE147" s="431"/>
      <c r="AF147" s="431"/>
      <c r="AG147" s="431"/>
      <c r="AH147" s="431"/>
      <c r="AI147" s="431"/>
      <c r="AJ147" s="431"/>
      <c r="AK147" s="431"/>
      <c r="AL147" s="431"/>
      <c r="AM147" s="431"/>
      <c r="AN147" s="431"/>
      <c r="AO147" s="431"/>
      <c r="AP147" s="431"/>
      <c r="AQ147" s="431"/>
      <c r="AR147" s="431"/>
      <c r="AS147" s="431"/>
      <c r="AT147" s="427"/>
      <c r="AU147" s="427"/>
      <c r="AV147" s="427"/>
      <c r="AW147" s="427"/>
      <c r="AX147" s="427"/>
      <c r="AY147" s="427"/>
      <c r="AZ147" s="427"/>
      <c r="BA147" s="427"/>
      <c r="BB147" s="427"/>
      <c r="BC147" s="427"/>
      <c r="BD147" s="427"/>
      <c r="BE147" s="427"/>
      <c r="BF147" s="427"/>
      <c r="BG147" s="427"/>
      <c r="BH147" s="427"/>
      <c r="BI147" s="427"/>
      <c r="BJ147" s="427"/>
      <c r="BK147" s="427"/>
      <c r="BL147" s="427"/>
      <c r="BM147" s="427"/>
      <c r="BN147" s="427"/>
      <c r="BO147" s="427"/>
      <c r="BP147" s="427"/>
      <c r="BQ147" s="427"/>
      <c r="BR147" s="427"/>
      <c r="BS147" s="427"/>
      <c r="BT147" s="427"/>
      <c r="BU147" s="427"/>
      <c r="BV147" s="427"/>
      <c r="BW147" s="427"/>
      <c r="BX147" s="427"/>
      <c r="BY147" s="427"/>
      <c r="BZ147" s="427"/>
      <c r="CA147" s="427"/>
      <c r="CB147" s="427"/>
      <c r="CC147" s="427"/>
      <c r="CD147" s="427"/>
      <c r="CE147" s="427"/>
      <c r="CF147" s="427"/>
      <c r="CG147" s="427"/>
      <c r="CH147" s="427"/>
      <c r="CI147" s="427"/>
      <c r="CJ147" s="427"/>
      <c r="CK147" s="427"/>
      <c r="CL147" s="427"/>
      <c r="CM147" s="427"/>
      <c r="CN147" s="427"/>
      <c r="CO147" s="427"/>
      <c r="CP147" s="427"/>
      <c r="CQ147" s="427"/>
      <c r="CR147" s="427"/>
      <c r="CS147" s="427"/>
      <c r="CT147" s="427"/>
      <c r="CU147" s="427"/>
      <c r="CV147" s="427"/>
      <c r="CW147" s="427"/>
      <c r="CX147" s="427"/>
      <c r="CY147" s="427"/>
      <c r="CZ147" s="427"/>
      <c r="DA147" s="427"/>
      <c r="DB147" s="427"/>
      <c r="DC147" s="427"/>
      <c r="DD147" s="427"/>
      <c r="DE147" s="427"/>
      <c r="DF147" s="427"/>
      <c r="DG147" s="427"/>
      <c r="DH147" s="427"/>
      <c r="DI147" s="427"/>
      <c r="DJ147" s="427"/>
      <c r="DK147" s="427"/>
      <c r="DL147" s="427"/>
      <c r="DM147" s="427"/>
      <c r="DN147" s="427"/>
      <c r="DO147" s="427"/>
      <c r="DP147" s="427"/>
      <c r="DQ147" s="427"/>
      <c r="DR147" s="427"/>
      <c r="DS147" s="427"/>
      <c r="DT147" s="427"/>
      <c r="DU147" s="427"/>
      <c r="DV147" s="427"/>
      <c r="DW147" s="427"/>
      <c r="DX147" s="427"/>
      <c r="DY147" s="427"/>
      <c r="DZ147" s="427"/>
      <c r="EA147" s="427"/>
      <c r="EB147" s="427"/>
      <c r="EC147" s="427"/>
    </row>
    <row r="148" spans="1:133">
      <c r="N148" s="15">
        <f t="shared" si="153"/>
        <v>139</v>
      </c>
      <c r="O148" s="427"/>
      <c r="P148" s="427"/>
      <c r="Q148" s="427" t="s">
        <v>443</v>
      </c>
      <c r="R148" s="427"/>
      <c r="S148" s="427"/>
      <c r="T148" s="432"/>
      <c r="U148" s="435">
        <f>(HIST_403_PROD+EXPENSES!$G$395)/12</f>
        <v>55546.669999999991</v>
      </c>
      <c r="V148" s="435">
        <f>(HIST_403_PROD+EXPENSES!$G$395)/12</f>
        <v>55546.669999999991</v>
      </c>
      <c r="W148" s="435">
        <f>(HIST_403_PROD+EXPENSES!$G$395)/12</f>
        <v>55546.669999999991</v>
      </c>
      <c r="X148" s="435">
        <f>(HIST_403_PROD+EXPENSES!$G$395)/12</f>
        <v>55546.669999999991</v>
      </c>
      <c r="Y148" s="435">
        <f>(HIST_403_PROD+EXPENSES!$G$395)/12</f>
        <v>55546.669999999991</v>
      </c>
      <c r="Z148" s="435">
        <f>(HIST_403_PROD+EXPENSES!$G$395)/12</f>
        <v>55546.669999999991</v>
      </c>
      <c r="AA148" s="435">
        <f>(HIST_403_PROD+EXPENSES!$G$395)/12</f>
        <v>55546.669999999991</v>
      </c>
      <c r="AB148" s="435">
        <f>(HIST_403_PROD+EXPENSES!$G$395)/12</f>
        <v>55546.669999999991</v>
      </c>
      <c r="AC148" s="435">
        <f>(HIST_403_PROD+EXPENSES!$G$395)/12</f>
        <v>55546.669999999991</v>
      </c>
      <c r="AD148" s="435">
        <f>(HIST_403_PROD+EXPENSES!$G$395)/12</f>
        <v>55546.669999999991</v>
      </c>
      <c r="AE148" s="435">
        <f>(HIST_403_PROD+EXPENSES!$G$395)/12</f>
        <v>55546.669999999991</v>
      </c>
      <c r="AF148" s="435">
        <f>(HIST_403_PROD+EXPENSES!$G$395)/12</f>
        <v>55546.669999999991</v>
      </c>
      <c r="AG148" s="435">
        <f>(HIST_403_PROD+EXPENSES!$G$395)/12</f>
        <v>55546.669999999991</v>
      </c>
      <c r="AH148" s="435">
        <f>(HIST_403_PROD+EXPENSES!$G$395)/12</f>
        <v>55546.669999999991</v>
      </c>
      <c r="AI148" s="435">
        <f>(HIST_403_PROD+EXPENSES!$G$395)/12</f>
        <v>55546.669999999991</v>
      </c>
      <c r="AJ148" s="435">
        <f>(HIST_403_PROD+EXPENSES!$G$395)/12</f>
        <v>55546.669999999991</v>
      </c>
      <c r="AK148" s="435">
        <f>(HIST_403_PROD+EXPENSES!$G$395)/12</f>
        <v>55546.669999999991</v>
      </c>
      <c r="AL148" s="435">
        <f>(HIST_403_PROD+EXPENSES!$G$395)/12</f>
        <v>55546.669999999991</v>
      </c>
      <c r="AM148" s="435">
        <f>(HIST_403_PROD+EXPENSES!$G$395)/12</f>
        <v>55546.669999999991</v>
      </c>
      <c r="AN148" s="435">
        <f>(HIST_403_PROD+EXPENSES!$G$395)/12</f>
        <v>55546.669999999991</v>
      </c>
      <c r="AO148" s="435">
        <f>(HIST_403_PROD+EXPENSES!$G$395)/12</f>
        <v>55546.669999999991</v>
      </c>
      <c r="AP148" s="435">
        <f>(HIST_403_PROD+EXPENSES!$G$395)/12</f>
        <v>55546.669999999991</v>
      </c>
      <c r="AQ148" s="435">
        <f>(HIST_403_PROD+EXPENSES!$G$395)/12</f>
        <v>55546.669999999991</v>
      </c>
      <c r="AR148" s="435">
        <f>(HIST_403_PROD+EXPENSES!$G$395)/12</f>
        <v>55546.669999999991</v>
      </c>
      <c r="AS148" s="435"/>
      <c r="AT148" s="435">
        <f t="shared" ref="AT148:AT153" si="169">SUM(U148:AF148)</f>
        <v>666560.04</v>
      </c>
      <c r="AU148" s="435">
        <f t="shared" ref="AU148:AU153" si="170">SUM(AG148:AR148)</f>
        <v>666560.04</v>
      </c>
      <c r="AV148" s="30">
        <f t="shared" ref="AV148:AV153" si="171">AU148-AT148</f>
        <v>0</v>
      </c>
      <c r="AW148" s="427"/>
      <c r="AX148" s="427"/>
      <c r="AY148" s="427"/>
      <c r="AZ148" s="427"/>
      <c r="BA148" s="427"/>
      <c r="BB148" s="427"/>
      <c r="BC148" s="427"/>
      <c r="BD148" s="427"/>
      <c r="BE148" s="427"/>
      <c r="BF148" s="427"/>
      <c r="BG148" s="427"/>
      <c r="BH148" s="427"/>
      <c r="BI148" s="427"/>
      <c r="BJ148" s="427"/>
      <c r="BK148" s="427"/>
      <c r="BL148" s="427"/>
      <c r="BM148" s="427"/>
      <c r="BN148" s="427"/>
      <c r="BO148" s="427"/>
      <c r="BP148" s="427"/>
      <c r="BQ148" s="427"/>
      <c r="BR148" s="427"/>
      <c r="BS148" s="427"/>
      <c r="BT148" s="427"/>
      <c r="BU148" s="427"/>
      <c r="BV148" s="427"/>
      <c r="BW148" s="427"/>
      <c r="BX148" s="427"/>
      <c r="BY148" s="427"/>
      <c r="BZ148" s="427"/>
      <c r="CA148" s="427"/>
      <c r="CB148" s="427"/>
      <c r="CC148" s="427"/>
      <c r="CD148" s="427"/>
      <c r="CE148" s="427"/>
      <c r="CF148" s="427"/>
      <c r="CG148" s="427"/>
      <c r="CH148" s="427"/>
      <c r="CI148" s="427"/>
      <c r="CJ148" s="427"/>
      <c r="CK148" s="427"/>
      <c r="CL148" s="427"/>
      <c r="CM148" s="427"/>
      <c r="CN148" s="427"/>
      <c r="CO148" s="427"/>
      <c r="CP148" s="427"/>
      <c r="CQ148" s="427"/>
      <c r="CR148" s="427"/>
      <c r="CS148" s="427"/>
      <c r="CT148" s="427"/>
      <c r="CU148" s="427"/>
      <c r="CV148" s="427"/>
      <c r="CW148" s="427"/>
      <c r="CX148" s="427"/>
      <c r="CY148" s="427"/>
      <c r="CZ148" s="427"/>
      <c r="DA148" s="427"/>
      <c r="DB148" s="427"/>
      <c r="DC148" s="427"/>
      <c r="DD148" s="427"/>
      <c r="DE148" s="427"/>
      <c r="DF148" s="427"/>
      <c r="DG148" s="427"/>
      <c r="DH148" s="427"/>
      <c r="DI148" s="427"/>
      <c r="DJ148" s="427"/>
      <c r="DK148" s="427"/>
      <c r="DL148" s="427"/>
      <c r="DM148" s="427"/>
      <c r="DN148" s="427"/>
      <c r="DO148" s="427"/>
      <c r="DP148" s="427"/>
      <c r="DQ148" s="427"/>
      <c r="DR148" s="427"/>
      <c r="DS148" s="427"/>
      <c r="DT148" s="427"/>
      <c r="DU148" s="427"/>
      <c r="DV148" s="427"/>
      <c r="DW148" s="427"/>
      <c r="DX148" s="427"/>
      <c r="DY148" s="427"/>
      <c r="DZ148" s="427"/>
      <c r="EA148" s="427"/>
      <c r="EB148" s="427"/>
      <c r="EC148" s="427"/>
    </row>
    <row r="149" spans="1:133">
      <c r="N149" s="15">
        <f t="shared" si="153"/>
        <v>140</v>
      </c>
      <c r="O149" s="427"/>
      <c r="P149" s="427"/>
      <c r="Q149" s="427" t="s">
        <v>592</v>
      </c>
      <c r="R149" s="427"/>
      <c r="S149" s="427"/>
      <c r="T149" s="432"/>
      <c r="U149" s="434">
        <f ca="1">SUM(U77,U72,U67,U62,U57,U52,U44,U36,U31,U11)+U81*('RB FORECAST'!$U$149/('RB FORECAST'!$U$149+'RB FORECAST'!$U$150))</f>
        <v>173905.73696204467</v>
      </c>
      <c r="V149" s="434">
        <f ca="1">SUM(V77,V72,V67,V62,V57,V52,V44,V36,V31,V11)+V81*('RB FORECAST'!$U$149/('RB FORECAST'!$U$149+'RB FORECAST'!$U$150))</f>
        <v>175085.4545591049</v>
      </c>
      <c r="W149" s="434">
        <f ca="1">SUM(W77,W72,W67,W62,W57,W52,W44,W36,W31,W11)+W81*('RB FORECAST'!$U$149/('RB FORECAST'!$U$149+'RB FORECAST'!$U$150))</f>
        <v>176143.7453329647</v>
      </c>
      <c r="X149" s="434">
        <f ca="1">SUM(X77,X72,X67,X62,X57,X52,X44,X36,X31,X11)+X81*('RB FORECAST'!$U$149/('RB FORECAST'!$U$149+'RB FORECAST'!$U$150))</f>
        <v>177402.67697446875</v>
      </c>
      <c r="Y149" s="434">
        <f ca="1">SUM(Y77,Y72,Y67,Y62,Y57,Y52,Y44,Y36,Y31,Y11)+Y81*('RB FORECAST'!$U$149/('RB FORECAST'!$U$149+'RB FORECAST'!$U$150))</f>
        <v>178048.37554902214</v>
      </c>
      <c r="Z149" s="434">
        <f ca="1">SUM(Z77,Z72,Z67,Z62,Z57,Z52,Z44,Z36,Z31,Z11)+Z81*('RB FORECAST'!$U$149/('RB FORECAST'!$U$149+'RB FORECAST'!$U$150))</f>
        <v>178508.7548626154</v>
      </c>
      <c r="AA149" s="434">
        <f ca="1">SUM(AA77,AA72,AA67,AA62,AA57,AA52,AA44,AA36,AA31,AA11)+AA81*('RB FORECAST'!$U$149/('RB FORECAST'!$U$149+'RB FORECAST'!$U$150))</f>
        <v>178991.09863431167</v>
      </c>
      <c r="AB149" s="434">
        <f ca="1">SUM(AB77,AB72,AB67,AB62,AB57,AB52,AB44,AB36,AB31,AB11)+AB81*('RB FORECAST'!$U$149/('RB FORECAST'!$U$149+'RB FORECAST'!$U$150))</f>
        <v>182114.46513063923</v>
      </c>
      <c r="AC149" s="434">
        <f ca="1">SUM(AC77,AC72,AC67,AC62,AC57,AC52,AC44,AC36,AC31,AC11)+AC81*('RB FORECAST'!$U$149/('RB FORECAST'!$U$149+'RB FORECAST'!$U$150))</f>
        <v>182149.08907237541</v>
      </c>
      <c r="AD149" s="434">
        <f ca="1">SUM(AD77,AD72,AD67,AD62,AD57,AD52,AD44,AD36,AD31,AD11)+AD81*('RB FORECAST'!$U$149/('RB FORECAST'!$U$149+'RB FORECAST'!$U$150))</f>
        <v>184231.382904659</v>
      </c>
      <c r="AE149" s="434">
        <f ca="1">SUM(AE77,AE72,AE67,AE62,AE57,AE52,AE44,AE36,AE31,AE11)+AE81*('RB FORECAST'!$U$149/('RB FORECAST'!$U$149+'RB FORECAST'!$U$150))</f>
        <v>186017.85508992939</v>
      </c>
      <c r="AF149" s="434">
        <f ca="1">SUM(AF77,AF72,AF67,AF62,AF57,AF52,AF44,AF36,AF31,AF11)+AF81*('RB FORECAST'!$U$149/('RB FORECAST'!$U$149+'RB FORECAST'!$U$150))</f>
        <v>187486.85825006609</v>
      </c>
      <c r="AG149" s="434">
        <f ca="1">SUM(AG77,AG72,AG67,AG62,AG57,AG52,AG44,AG36,AG31,AG11)+AG81*('RB FORECAST'!$U$149/('RB FORECAST'!$U$149+'RB FORECAST'!$U$150))</f>
        <v>188330.28812237649</v>
      </c>
      <c r="AH149" s="434">
        <f ca="1">SUM(AH77,AH72,AH67,AH62,AH57,AH52,AH44,AH36,AH31,AH11)+AH81*('RB FORECAST'!$U$149/('RB FORECAST'!$U$149+'RB FORECAST'!$U$150))</f>
        <v>188970.80930484252</v>
      </c>
      <c r="AI149" s="434">
        <f ca="1">SUM(AI77,AI72,AI67,AI62,AI57,AI52,AI44,AI36,AI31,AI11)+AI81*('RB FORECAST'!$U$149/('RB FORECAST'!$U$149+'RB FORECAST'!$U$150))</f>
        <v>190265.56951445114</v>
      </c>
      <c r="AJ149" s="434">
        <f ca="1">SUM(AJ77,AJ72,AJ67,AJ62,AJ57,AJ52,AJ44,AJ36,AJ31,AJ11)+AJ81*('RB FORECAST'!$U$149/('RB FORECAST'!$U$149+'RB FORECAST'!$U$150))</f>
        <v>191444.2725313954</v>
      </c>
      <c r="AK149" s="434">
        <f ca="1">SUM(AK77,AK72,AK67,AK62,AK57,AK52,AK44,AK36,AK31,AK11)+AK81*('RB FORECAST'!$U$149/('RB FORECAST'!$U$149+'RB FORECAST'!$U$150))</f>
        <v>191889.88666453355</v>
      </c>
      <c r="AL149" s="434">
        <f ca="1">SUM(AL77,AL72,AL67,AL62,AL57,AL52,AL44,AL36,AL31,AL11)+AL81*('RB FORECAST'!$U$149/('RB FORECAST'!$U$149+'RB FORECAST'!$U$150))</f>
        <v>192317.00896603492</v>
      </c>
      <c r="AM149" s="434">
        <f ca="1">SUM(AM77,AM72,AM67,AM62,AM57,AM52,AM44,AM36,AM31,AM11)+AM81*('RB FORECAST'!$U$149/('RB FORECAST'!$U$149+'RB FORECAST'!$U$150))</f>
        <v>192683.13504610857</v>
      </c>
      <c r="AN149" s="434">
        <f ca="1">SUM(AN77,AN72,AN67,AN62,AN57,AN52,AN44,AN36,AN31,AN11)+AN81*('RB FORECAST'!$U$149/('RB FORECAST'!$U$149+'RB FORECAST'!$U$150))</f>
        <v>195698.1717420278</v>
      </c>
      <c r="AO149" s="434">
        <f ca="1">SUM(AO77,AO72,AO67,AO62,AO57,AO52,AO44,AO36,AO31,AO11)+AO81*('RB FORECAST'!$U$149/('RB FORECAST'!$U$149+'RB FORECAST'!$U$150))</f>
        <v>195741.07631051721</v>
      </c>
      <c r="AP149" s="434">
        <f ca="1">SUM(AP77,AP72,AP67,AP62,AP57,AP52,AP44,AP36,AP31,AP11)+AP81*('RB FORECAST'!$U$149/('RB FORECAST'!$U$149+'RB FORECAST'!$U$150))</f>
        <v>197697.10768815625</v>
      </c>
      <c r="AQ149" s="434">
        <f ca="1">SUM(AQ77,AQ72,AQ67,AQ62,AQ57,AQ52,AQ44,AQ36,AQ31,AQ11)+AQ81*('RB FORECAST'!$U$149/('RB FORECAST'!$U$149+'RB FORECAST'!$U$150))</f>
        <v>198873.41550298288</v>
      </c>
      <c r="AR149" s="434">
        <f ca="1">SUM(AR77,AR72,AR67,AR62,AR57,AR52,AR44,AR36,AR31,AR11)+AR81*('RB FORECAST'!$U$149/('RB FORECAST'!$U$149+'RB FORECAST'!$U$150))</f>
        <v>200086.15264871882</v>
      </c>
      <c r="AS149" s="434"/>
      <c r="AT149" s="434">
        <f t="shared" ca="1" si="169"/>
        <v>2160085.4933222015</v>
      </c>
      <c r="AU149" s="434">
        <f t="shared" ca="1" si="170"/>
        <v>2323996.8940421459</v>
      </c>
      <c r="AV149" s="30">
        <f t="shared" ca="1" si="171"/>
        <v>163911.40071994439</v>
      </c>
      <c r="AW149" s="427"/>
      <c r="AX149" s="427"/>
      <c r="AY149" s="427"/>
      <c r="AZ149" s="427"/>
      <c r="BA149" s="427"/>
      <c r="BB149" s="427"/>
      <c r="BC149" s="427"/>
      <c r="BD149" s="427"/>
      <c r="BE149" s="427"/>
      <c r="BF149" s="427"/>
      <c r="BG149" s="427"/>
      <c r="BH149" s="427"/>
      <c r="BI149" s="427"/>
      <c r="BJ149" s="427"/>
      <c r="BK149" s="427"/>
      <c r="BL149" s="427"/>
      <c r="BM149" s="427"/>
      <c r="BN149" s="427"/>
      <c r="BO149" s="427"/>
      <c r="BP149" s="427"/>
      <c r="BQ149" s="427"/>
      <c r="BR149" s="427"/>
      <c r="BS149" s="427"/>
      <c r="BT149" s="427"/>
      <c r="BU149" s="427"/>
      <c r="BV149" s="427"/>
      <c r="BW149" s="427"/>
      <c r="BX149" s="427"/>
      <c r="BY149" s="427"/>
      <c r="BZ149" s="427"/>
      <c r="CA149" s="427"/>
      <c r="CB149" s="427"/>
      <c r="CC149" s="427"/>
      <c r="CD149" s="427"/>
      <c r="CE149" s="427"/>
      <c r="CF149" s="427"/>
      <c r="CG149" s="427"/>
      <c r="CH149" s="427"/>
      <c r="CI149" s="427"/>
      <c r="CJ149" s="427"/>
      <c r="CK149" s="427"/>
      <c r="CL149" s="427"/>
      <c r="CM149" s="427"/>
      <c r="CN149" s="427"/>
      <c r="CO149" s="427"/>
      <c r="CP149" s="427"/>
      <c r="CQ149" s="427"/>
      <c r="CR149" s="427"/>
      <c r="CS149" s="427"/>
      <c r="CT149" s="427"/>
      <c r="CU149" s="427"/>
      <c r="CV149" s="427"/>
      <c r="CW149" s="427"/>
      <c r="CX149" s="427"/>
      <c r="CY149" s="427"/>
      <c r="CZ149" s="427"/>
      <c r="DA149" s="427"/>
      <c r="DB149" s="427"/>
      <c r="DC149" s="427"/>
      <c r="DD149" s="427"/>
      <c r="DE149" s="427"/>
      <c r="DF149" s="427"/>
      <c r="DG149" s="427"/>
      <c r="DH149" s="427"/>
      <c r="DI149" s="427"/>
      <c r="DJ149" s="427"/>
      <c r="DK149" s="427"/>
      <c r="DL149" s="427"/>
      <c r="DM149" s="427"/>
      <c r="DN149" s="427"/>
      <c r="DO149" s="427"/>
      <c r="DP149" s="427"/>
      <c r="DQ149" s="427"/>
      <c r="DR149" s="427"/>
      <c r="DS149" s="427"/>
      <c r="DT149" s="427"/>
      <c r="DU149" s="427"/>
      <c r="DV149" s="427"/>
      <c r="DW149" s="427"/>
      <c r="DX149" s="427"/>
      <c r="DY149" s="427"/>
      <c r="DZ149" s="427"/>
      <c r="EA149" s="427"/>
      <c r="EB149" s="427"/>
      <c r="EC149" s="427"/>
    </row>
    <row r="150" spans="1:133">
      <c r="N150" s="15">
        <f t="shared" si="153"/>
        <v>141</v>
      </c>
      <c r="O150" s="427"/>
      <c r="P150" s="427"/>
      <c r="Q150" s="427" t="s">
        <v>593</v>
      </c>
      <c r="R150" s="427"/>
      <c r="S150" s="427"/>
      <c r="T150" s="432"/>
      <c r="U150" s="434">
        <f ca="1">SUM(U78,U73,U68,U63,U58,U53,U48,U37,U32,U12)+U81*('RB FORECAST'!$U$150/('RB FORECAST'!$U$149+'RB FORECAST'!$U$150))</f>
        <v>4853722.0339800958</v>
      </c>
      <c r="V150" s="434">
        <f ca="1">SUM(V78,V73,V68,V63,V58,V53,V48,V37,V32,V12)+V81*('RB FORECAST'!$U$150/('RB FORECAST'!$U$149+'RB FORECAST'!$U$150))</f>
        <v>4875684.2564600911</v>
      </c>
      <c r="W150" s="434">
        <f ca="1">SUM(W78,W73,W68,W63,W58,W53,W48,W37,W32,W12)+W81*('RB FORECAST'!$U$150/('RB FORECAST'!$U$149+'RB FORECAST'!$U$150))</f>
        <v>4898470.5168748312</v>
      </c>
      <c r="X150" s="434">
        <f ca="1">SUM(X78,X73,X68,X63,X58,X53,X48,X37,X32,X12)+X81*('RB FORECAST'!$U$150/('RB FORECAST'!$U$149+'RB FORECAST'!$U$150))</f>
        <v>4938939.7286869762</v>
      </c>
      <c r="Y150" s="434">
        <f ca="1">SUM(Y78,Y73,Y68,Y63,Y58,Y53,Y48,Y37,Y32,Y12)+Y81*('RB FORECAST'!$U$150/('RB FORECAST'!$U$149+'RB FORECAST'!$U$150))</f>
        <v>4957153.7128058514</v>
      </c>
      <c r="Z150" s="434">
        <f ca="1">SUM(Z78,Z73,Z68,Z63,Z58,Z53,Z48,Z37,Z32,Z12)+Z81*('RB FORECAST'!$U$150/('RB FORECAST'!$U$149+'RB FORECAST'!$U$150))</f>
        <v>4971015.4175905883</v>
      </c>
      <c r="AA150" s="434">
        <f ca="1">SUM(AA78,AA73,AA68,AA63,AA58,AA53,AA48,AA37,AA32,AA12)+AA81*('RB FORECAST'!$U$150/('RB FORECAST'!$U$149+'RB FORECAST'!$U$150))</f>
        <v>4985608.8459332492</v>
      </c>
      <c r="AB150" s="434">
        <f ca="1">SUM(AB78,AB73,AB68,AB63,AB58,AB53,AB48,AB37,AB32,AB12)+AB81*('RB FORECAST'!$U$150/('RB FORECAST'!$U$149+'RB FORECAST'!$U$150))</f>
        <v>5092521.9545171335</v>
      </c>
      <c r="AC150" s="434">
        <f ca="1">SUM(AC78,AC73,AC68,AC63,AC58,AC53,AC48,AC37,AC32,AC12)+AC81*('RB FORECAST'!$U$150/('RB FORECAST'!$U$149+'RB FORECAST'!$U$150))</f>
        <v>5093950.7536971606</v>
      </c>
      <c r="AD150" s="434">
        <f ca="1">SUM(AD78,AD73,AD68,AD63,AD58,AD53,AD48,AD37,AD32,AD12)+AD81*('RB FORECAST'!$U$150/('RB FORECAST'!$U$149+'RB FORECAST'!$U$150))</f>
        <v>5160808.6104686121</v>
      </c>
      <c r="AE150" s="434">
        <f ca="1">SUM(AE78,AE73,AE68,AE63,AE58,AE53,AE48,AE37,AE32,AE12)+AE81*('RB FORECAST'!$U$150/('RB FORECAST'!$U$149+'RB FORECAST'!$U$150))</f>
        <v>5197970.9465510854</v>
      </c>
      <c r="AF150" s="434">
        <f ca="1">SUM(AF78,AF73,AF68,AF63,AF58,AF53,AF48,AF37,AF32,AF12)+AF81*('RB FORECAST'!$U$150/('RB FORECAST'!$U$149+'RB FORECAST'!$U$150))</f>
        <v>5239202.495282202</v>
      </c>
      <c r="AG150" s="434">
        <f ca="1">SUM(AG78,AG73,AG68,AG63,AG58,AG53,AG48,AG37,AG32,AG12)+AG81*('RB FORECAST'!$U$150/('RB FORECAST'!$U$149+'RB FORECAST'!$U$150))</f>
        <v>5259476.2587606171</v>
      </c>
      <c r="AH150" s="434">
        <f ca="1">SUM(AH78,AH73,AH68,AH63,AH58,AH53,AH48,AH37,AH32,AH12)+AH81*('RB FORECAST'!$U$150/('RB FORECAST'!$U$149+'RB FORECAST'!$U$150))</f>
        <v>5272804.0886325585</v>
      </c>
      <c r="AI150" s="434">
        <f ca="1">SUM(AI78,AI73,AI68,AI63,AI58,AI53,AI48,AI37,AI32,AI12)+AI81*('RB FORECAST'!$U$150/('RB FORECAST'!$U$149+'RB FORECAST'!$U$150))</f>
        <v>5300317.85664606</v>
      </c>
      <c r="AJ150" s="434">
        <f ca="1">SUM(AJ78,AJ73,AJ68,AJ63,AJ58,AJ53,AJ48,AJ37,AJ32,AJ12)+AJ81*('RB FORECAST'!$U$150/('RB FORECAST'!$U$149+'RB FORECAST'!$U$150))</f>
        <v>5339499.1049531614</v>
      </c>
      <c r="AK150" s="434">
        <f ca="1">SUM(AK78,AK73,AK68,AK63,AK58,AK53,AK48,AK37,AK32,AK12)+AK81*('RB FORECAST'!$U$150/('RB FORECAST'!$U$149+'RB FORECAST'!$U$150))</f>
        <v>5352309.8403359624</v>
      </c>
      <c r="AL150" s="434">
        <f ca="1">SUM(AL78,AL73,AL68,AL63,AL58,AL53,AL48,AL37,AL32,AL12)+AL81*('RB FORECAST'!$U$150/('RB FORECAST'!$U$149+'RB FORECAST'!$U$150))</f>
        <v>5365381.0560734933</v>
      </c>
      <c r="AM150" s="434">
        <f ca="1">SUM(AM78,AM73,AM68,AM63,AM58,AM53,AM48,AM37,AM32,AM12)+AM81*('RB FORECAST'!$U$150/('RB FORECAST'!$U$149+'RB FORECAST'!$U$150))</f>
        <v>5375902.2084537512</v>
      </c>
      <c r="AN150" s="434">
        <f ca="1">SUM(AN78,AN73,AN68,AN63,AN58,AN53,AN48,AN37,AN32,AN12)+AN81*('RB FORECAST'!$U$150/('RB FORECAST'!$U$149+'RB FORECAST'!$U$150))</f>
        <v>5481649.2198062334</v>
      </c>
      <c r="AO150" s="434">
        <f ca="1">SUM(AO78,AO73,AO68,AO63,AO58,AO53,AO48,AO37,AO32,AO12)+AO81*('RB FORECAST'!$U$150/('RB FORECAST'!$U$149+'RB FORECAST'!$U$150))</f>
        <v>5483361.5954880891</v>
      </c>
      <c r="AP150" s="434">
        <f ca="1">SUM(AP78,AP73,AP68,AP63,AP58,AP53,AP48,AP37,AP32,AP12)+AP81*('RB FORECAST'!$U$150/('RB FORECAST'!$U$149+'RB FORECAST'!$U$150))</f>
        <v>5547846.1253238777</v>
      </c>
      <c r="AQ150" s="434">
        <f ca="1">SUM(AQ78,AQ73,AQ68,AQ63,AQ58,AQ53,AQ48,AQ37,AQ32,AQ12)+AQ81*('RB FORECAST'!$U$150/('RB FORECAST'!$U$149+'RB FORECAST'!$U$150))</f>
        <v>5575084.4113931106</v>
      </c>
      <c r="AR150" s="434">
        <f ca="1">SUM(AR78,AR73,AR68,AR63,AR58,AR53,AR48,AR37,AR32,AR12)+AR81*('RB FORECAST'!$U$150/('RB FORECAST'!$U$149+'RB FORECAST'!$U$150))</f>
        <v>5609811.0773879066</v>
      </c>
      <c r="AS150" s="434"/>
      <c r="AT150" s="434">
        <f t="shared" ca="1" si="169"/>
        <v>60265049.272847876</v>
      </c>
      <c r="AU150" s="434">
        <f t="shared" ca="1" si="170"/>
        <v>64963442.84325482</v>
      </c>
      <c r="AV150" s="30">
        <f ca="1">AU150-AT150</f>
        <v>4698393.5704069436</v>
      </c>
      <c r="AW150" s="427"/>
      <c r="AX150" s="427"/>
      <c r="AY150" s="427"/>
      <c r="AZ150" s="427"/>
      <c r="BA150" s="427"/>
      <c r="BB150" s="427"/>
      <c r="BC150" s="427"/>
      <c r="BD150" s="427"/>
      <c r="BE150" s="427"/>
      <c r="BF150" s="427"/>
      <c r="BG150" s="427"/>
      <c r="BH150" s="427"/>
      <c r="BI150" s="427"/>
      <c r="BJ150" s="427"/>
      <c r="BK150" s="427"/>
      <c r="BL150" s="427"/>
      <c r="BM150" s="427"/>
      <c r="BN150" s="427"/>
      <c r="BO150" s="427"/>
      <c r="BP150" s="427"/>
      <c r="BQ150" s="427"/>
      <c r="BR150" s="427"/>
      <c r="BS150" s="427"/>
      <c r="BT150" s="427"/>
      <c r="BU150" s="427"/>
      <c r="BV150" s="427"/>
      <c r="BW150" s="427"/>
      <c r="BX150" s="427"/>
      <c r="BY150" s="427"/>
      <c r="BZ150" s="427"/>
      <c r="CA150" s="427"/>
      <c r="CB150" s="427"/>
      <c r="CC150" s="427"/>
      <c r="CD150" s="427"/>
      <c r="CE150" s="427"/>
      <c r="CF150" s="427"/>
      <c r="CG150" s="427"/>
      <c r="CH150" s="427"/>
      <c r="CI150" s="427"/>
      <c r="CJ150" s="427"/>
      <c r="CK150" s="427"/>
      <c r="CL150" s="427"/>
      <c r="CM150" s="427"/>
      <c r="CN150" s="427"/>
      <c r="CO150" s="427"/>
      <c r="CP150" s="427"/>
      <c r="CQ150" s="427"/>
      <c r="CR150" s="427"/>
      <c r="CS150" s="427"/>
      <c r="CT150" s="427"/>
      <c r="CU150" s="427"/>
      <c r="CV150" s="427"/>
      <c r="CW150" s="427"/>
      <c r="CX150" s="427"/>
      <c r="CY150" s="427"/>
      <c r="CZ150" s="427"/>
      <c r="DA150" s="427"/>
      <c r="DB150" s="427"/>
      <c r="DC150" s="427"/>
      <c r="DD150" s="427"/>
      <c r="DE150" s="427"/>
      <c r="DF150" s="427"/>
      <c r="DG150" s="427"/>
      <c r="DH150" s="427"/>
      <c r="DI150" s="427"/>
      <c r="DJ150" s="427"/>
      <c r="DK150" s="427"/>
      <c r="DL150" s="427"/>
      <c r="DM150" s="427"/>
      <c r="DN150" s="427"/>
      <c r="DO150" s="427"/>
      <c r="DP150" s="427"/>
      <c r="DQ150" s="427"/>
      <c r="DR150" s="427"/>
      <c r="DS150" s="427"/>
      <c r="DT150" s="427"/>
      <c r="DU150" s="427"/>
      <c r="DV150" s="427"/>
      <c r="DW150" s="427"/>
      <c r="DX150" s="427"/>
      <c r="DY150" s="427"/>
      <c r="DZ150" s="427"/>
      <c r="EA150" s="427"/>
      <c r="EB150" s="427"/>
      <c r="EC150" s="427"/>
    </row>
    <row r="151" spans="1:133" s="427" customFormat="1">
      <c r="A151" s="15"/>
      <c r="B151" s="429"/>
      <c r="C151" s="429"/>
      <c r="D151" s="429"/>
      <c r="E151" s="429"/>
      <c r="F151" s="429"/>
      <c r="G151" s="429"/>
      <c r="H151" s="15"/>
      <c r="I151" s="15"/>
      <c r="J151" s="15"/>
      <c r="K151" s="15"/>
      <c r="L151" s="15"/>
      <c r="N151" s="15">
        <f t="shared" si="153"/>
        <v>142</v>
      </c>
      <c r="Q151" s="427" t="s">
        <v>595</v>
      </c>
      <c r="T151" s="432"/>
      <c r="U151" s="434">
        <f t="shared" ref="U151:W151" ca="1" si="172">U145</f>
        <v>940470.4616888226</v>
      </c>
      <c r="V151" s="434">
        <f t="shared" ca="1" si="172"/>
        <v>939224.11935525411</v>
      </c>
      <c r="W151" s="434">
        <f t="shared" ca="1" si="172"/>
        <v>910027.20324353618</v>
      </c>
      <c r="X151" s="434">
        <f t="shared" ref="X151" ca="1" si="173">X145</f>
        <v>928044.34389441786</v>
      </c>
      <c r="Y151" s="434">
        <f t="shared" ref="Y151:AR151" ca="1" si="174">Y145</f>
        <v>945794.0592663486</v>
      </c>
      <c r="Z151" s="434">
        <f t="shared" ca="1" si="174"/>
        <v>1043872.6065316673</v>
      </c>
      <c r="AA151" s="434">
        <f t="shared" ca="1" si="174"/>
        <v>1063058.8211639442</v>
      </c>
      <c r="AB151" s="434">
        <f t="shared" ca="1" si="174"/>
        <v>1089987.9317602543</v>
      </c>
      <c r="AC151" s="434">
        <f t="shared" ca="1" si="174"/>
        <v>1093523.9534165983</v>
      </c>
      <c r="AD151" s="434">
        <f t="shared" ca="1" si="174"/>
        <v>1089478.6597539803</v>
      </c>
      <c r="AE151" s="434">
        <f t="shared" ca="1" si="174"/>
        <v>952027.95486556657</v>
      </c>
      <c r="AF151" s="434">
        <f t="shared" ca="1" si="174"/>
        <v>979403.31155939517</v>
      </c>
      <c r="AG151" s="434">
        <f t="shared" ca="1" si="174"/>
        <v>957223.46987103624</v>
      </c>
      <c r="AH151" s="434">
        <f t="shared" ca="1" si="174"/>
        <v>959549.95601076493</v>
      </c>
      <c r="AI151" s="434">
        <f t="shared" ca="1" si="174"/>
        <v>942258.14030118892</v>
      </c>
      <c r="AJ151" s="434">
        <f t="shared" ca="1" si="174"/>
        <v>949577.57140165358</v>
      </c>
      <c r="AK151" s="434">
        <f t="shared" ca="1" si="174"/>
        <v>958444.46250251657</v>
      </c>
      <c r="AL151" s="434">
        <f t="shared" ca="1" si="174"/>
        <v>1065586.9227031353</v>
      </c>
      <c r="AM151" s="434">
        <f t="shared" ca="1" si="174"/>
        <v>1074640.3784704586</v>
      </c>
      <c r="AN151" s="434">
        <f t="shared" ca="1" si="174"/>
        <v>1089776.7893645102</v>
      </c>
      <c r="AO151" s="434">
        <f t="shared" ca="1" si="174"/>
        <v>1091253.5221760634</v>
      </c>
      <c r="AP151" s="434">
        <f t="shared" ca="1" si="174"/>
        <v>1066786.1817373324</v>
      </c>
      <c r="AQ151" s="434">
        <f t="shared" ca="1" si="174"/>
        <v>977833.09345168585</v>
      </c>
      <c r="AR151" s="434">
        <f t="shared" ca="1" si="174"/>
        <v>992788.17992263346</v>
      </c>
      <c r="AS151" s="434"/>
      <c r="AT151" s="434">
        <f t="shared" ca="1" si="169"/>
        <v>11974913.426499788</v>
      </c>
      <c r="AU151" s="434">
        <f t="shared" ca="1" si="170"/>
        <v>12125718.667912979</v>
      </c>
      <c r="AV151" s="30">
        <f t="shared" ca="1" si="171"/>
        <v>150805.24141319096</v>
      </c>
    </row>
    <row r="152" spans="1:133" s="427" customFormat="1">
      <c r="A152" s="15"/>
      <c r="B152" s="429"/>
      <c r="C152" s="429"/>
      <c r="D152" s="429"/>
      <c r="E152" s="429"/>
      <c r="F152" s="429"/>
      <c r="G152" s="429"/>
      <c r="H152" s="15"/>
      <c r="I152" s="15"/>
      <c r="J152" s="15"/>
      <c r="K152" s="15"/>
      <c r="L152" s="15"/>
      <c r="N152" s="15">
        <f t="shared" si="153"/>
        <v>143</v>
      </c>
      <c r="Q152" s="427" t="s">
        <v>1110</v>
      </c>
      <c r="T152" s="432"/>
      <c r="U152" s="433">
        <f t="shared" ref="U152:W152" ca="1" si="175">SUM(U148:U151)</f>
        <v>6023644.9026309624</v>
      </c>
      <c r="V152" s="433">
        <f t="shared" ca="1" si="175"/>
        <v>6045540.5003744494</v>
      </c>
      <c r="W152" s="433">
        <f t="shared" ca="1" si="175"/>
        <v>6040188.1354513317</v>
      </c>
      <c r="X152" s="433">
        <f t="shared" ref="X152" ca="1" si="176">SUM(X148:X151)</f>
        <v>6099933.4195558634</v>
      </c>
      <c r="Y152" s="433">
        <f t="shared" ref="Y152:AR152" ca="1" si="177">SUM(Y148:Y151)</f>
        <v>6136542.8176212218</v>
      </c>
      <c r="Z152" s="433">
        <f t="shared" ca="1" si="177"/>
        <v>6248943.4489848716</v>
      </c>
      <c r="AA152" s="433">
        <f t="shared" ca="1" si="177"/>
        <v>6283205.435731505</v>
      </c>
      <c r="AB152" s="433">
        <f t="shared" ca="1" si="177"/>
        <v>6420171.021408027</v>
      </c>
      <c r="AC152" s="433">
        <f t="shared" ca="1" si="177"/>
        <v>6425170.4661861341</v>
      </c>
      <c r="AD152" s="433">
        <f t="shared" ca="1" si="177"/>
        <v>6490065.3231272511</v>
      </c>
      <c r="AE152" s="433">
        <f t="shared" ca="1" si="177"/>
        <v>6391563.4265065817</v>
      </c>
      <c r="AF152" s="433">
        <f t="shared" ca="1" si="177"/>
        <v>6461639.3350916626</v>
      </c>
      <c r="AG152" s="433">
        <f t="shared" ca="1" si="177"/>
        <v>6460576.6867540292</v>
      </c>
      <c r="AH152" s="433">
        <f t="shared" ca="1" si="177"/>
        <v>6476871.5239481665</v>
      </c>
      <c r="AI152" s="433">
        <f t="shared" ca="1" si="177"/>
        <v>6488388.2364617009</v>
      </c>
      <c r="AJ152" s="433">
        <f t="shared" ca="1" si="177"/>
        <v>6536067.618886211</v>
      </c>
      <c r="AK152" s="433">
        <f t="shared" ca="1" si="177"/>
        <v>6558190.8595030131</v>
      </c>
      <c r="AL152" s="433">
        <f t="shared" ca="1" si="177"/>
        <v>6678831.6577426642</v>
      </c>
      <c r="AM152" s="433">
        <f t="shared" ca="1" si="177"/>
        <v>6698772.3919703178</v>
      </c>
      <c r="AN152" s="433">
        <f t="shared" ca="1" si="177"/>
        <v>6822670.8509127712</v>
      </c>
      <c r="AO152" s="433">
        <f t="shared" ca="1" si="177"/>
        <v>6825902.8639746699</v>
      </c>
      <c r="AP152" s="433">
        <f t="shared" ca="1" si="177"/>
        <v>6867876.0847493662</v>
      </c>
      <c r="AQ152" s="433">
        <f t="shared" ca="1" si="177"/>
        <v>6807337.5903477799</v>
      </c>
      <c r="AR152" s="433">
        <f t="shared" ca="1" si="177"/>
        <v>6858232.0799592594</v>
      </c>
      <c r="AS152" s="1426"/>
      <c r="AT152" s="433">
        <f t="shared" ca="1" si="169"/>
        <v>75066608.232669875</v>
      </c>
      <c r="AU152" s="433">
        <f t="shared" ca="1" si="170"/>
        <v>80079718.445209935</v>
      </c>
      <c r="AV152" s="30">
        <f t="shared" ca="1" si="171"/>
        <v>5013110.2125400603</v>
      </c>
    </row>
    <row r="153" spans="1:133" s="427" customFormat="1">
      <c r="B153" s="436"/>
      <c r="C153" s="436"/>
      <c r="D153" s="436"/>
      <c r="E153" s="436"/>
      <c r="F153" s="436"/>
      <c r="G153" s="436"/>
      <c r="N153" s="15">
        <f t="shared" si="153"/>
        <v>144</v>
      </c>
      <c r="R153" s="427" t="s">
        <v>914</v>
      </c>
      <c r="T153" s="432"/>
      <c r="U153" s="431">
        <f t="shared" ref="U153:W153" ca="1" si="178">U130+U107+U118*0.25</f>
        <v>461194.85812474985</v>
      </c>
      <c r="V153" s="431">
        <f t="shared" ca="1" si="178"/>
        <v>463985.26826618938</v>
      </c>
      <c r="W153" s="431">
        <f t="shared" ca="1" si="178"/>
        <v>455027.31139720778</v>
      </c>
      <c r="X153" s="431">
        <f ca="1">X130+X107+X118*0.25</f>
        <v>460624.329816629</v>
      </c>
      <c r="Y153" s="431">
        <f t="shared" ref="Y153:AR153" ca="1" si="179">Y130+Y107+Y118*0.25</f>
        <v>464815.22049144894</v>
      </c>
      <c r="Z153" s="431">
        <f t="shared" ca="1" si="179"/>
        <v>465357.09638389782</v>
      </c>
      <c r="AA153" s="431">
        <f t="shared" ca="1" si="179"/>
        <v>470509.41942942893</v>
      </c>
      <c r="AB153" s="431">
        <f t="shared" ca="1" si="179"/>
        <v>477947.93703522085</v>
      </c>
      <c r="AC153" s="431">
        <f t="shared" ca="1" si="179"/>
        <v>478722.33771295217</v>
      </c>
      <c r="AD153" s="431">
        <f t="shared" ca="1" si="179"/>
        <v>485626.83350004297</v>
      </c>
      <c r="AE153" s="431">
        <f t="shared" ca="1" si="179"/>
        <v>454782.00148209353</v>
      </c>
      <c r="AF153" s="431">
        <f t="shared" ca="1" si="179"/>
        <v>462488.12866297911</v>
      </c>
      <c r="AG153" s="431">
        <f t="shared" ca="1" si="179"/>
        <v>472266.65546529385</v>
      </c>
      <c r="AH153" s="431">
        <f t="shared" ca="1" si="179"/>
        <v>479934.31371732295</v>
      </c>
      <c r="AI153" s="431">
        <f t="shared" ca="1" si="179"/>
        <v>474873.3221974019</v>
      </c>
      <c r="AJ153" s="431">
        <f t="shared" ca="1" si="179"/>
        <v>477842.76687330805</v>
      </c>
      <c r="AK153" s="431">
        <f t="shared" ca="1" si="179"/>
        <v>479045.55812263186</v>
      </c>
      <c r="AL153" s="431">
        <f t="shared" ca="1" si="179"/>
        <v>478173.82579767302</v>
      </c>
      <c r="AM153" s="431">
        <f t="shared" ca="1" si="179"/>
        <v>480689.12081814901</v>
      </c>
      <c r="AN153" s="431">
        <f t="shared" ca="1" si="179"/>
        <v>485773.14210097527</v>
      </c>
      <c r="AO153" s="431">
        <f t="shared" ca="1" si="179"/>
        <v>485784.72327333491</v>
      </c>
      <c r="AP153" s="431">
        <f t="shared" ca="1" si="179"/>
        <v>488661.42971541226</v>
      </c>
      <c r="AQ153" s="431">
        <f t="shared" ca="1" si="179"/>
        <v>467878.09669576964</v>
      </c>
      <c r="AR153" s="431">
        <f t="shared" ca="1" si="179"/>
        <v>474590.2858014066</v>
      </c>
      <c r="AS153" s="431"/>
      <c r="AT153" s="431">
        <f t="shared" ca="1" si="169"/>
        <v>5601080.7423028396</v>
      </c>
      <c r="AU153" s="431">
        <f t="shared" ca="1" si="170"/>
        <v>5745513.2405786794</v>
      </c>
      <c r="AV153" s="30">
        <f t="shared" ca="1" si="171"/>
        <v>144432.49827583972</v>
      </c>
    </row>
    <row r="154" spans="1:133" s="427" customFormat="1">
      <c r="B154" s="436"/>
      <c r="C154" s="436"/>
      <c r="D154" s="436"/>
      <c r="E154" s="436"/>
      <c r="F154" s="436"/>
      <c r="G154" s="436"/>
      <c r="N154" s="15">
        <f t="shared" si="153"/>
        <v>145</v>
      </c>
      <c r="O154" s="15"/>
      <c r="P154" s="15"/>
      <c r="Q154" s="15"/>
      <c r="R154" s="19" t="s">
        <v>442</v>
      </c>
      <c r="S154" s="19"/>
      <c r="T154" s="7"/>
      <c r="U154" s="430">
        <f t="shared" ref="U154:W154" ca="1" si="180">U152-U153</f>
        <v>5562450.0445062127</v>
      </c>
      <c r="V154" s="430">
        <f t="shared" ca="1" si="180"/>
        <v>5581555.2321082596</v>
      </c>
      <c r="W154" s="430">
        <f t="shared" ca="1" si="180"/>
        <v>5585160.8240541238</v>
      </c>
      <c r="X154" s="430">
        <f ca="1">X152-X153</f>
        <v>5639309.0897392342</v>
      </c>
      <c r="Y154" s="430">
        <f t="shared" ref="Y154:AR154" ca="1" si="181">Y152-Y153</f>
        <v>5671727.5971297724</v>
      </c>
      <c r="Z154" s="430">
        <f t="shared" ca="1" si="181"/>
        <v>5783586.352600974</v>
      </c>
      <c r="AA154" s="430">
        <f t="shared" ca="1" si="181"/>
        <v>5812696.0163020762</v>
      </c>
      <c r="AB154" s="430">
        <f t="shared" ca="1" si="181"/>
        <v>5942223.0843728064</v>
      </c>
      <c r="AC154" s="430">
        <f t="shared" ca="1" si="181"/>
        <v>5946448.1284731822</v>
      </c>
      <c r="AD154" s="430">
        <f t="shared" ca="1" si="181"/>
        <v>6004438.4896272086</v>
      </c>
      <c r="AE154" s="430">
        <f t="shared" ca="1" si="181"/>
        <v>5936781.425024488</v>
      </c>
      <c r="AF154" s="430">
        <f t="shared" ca="1" si="181"/>
        <v>5999151.2064286834</v>
      </c>
      <c r="AG154" s="430">
        <f t="shared" ca="1" si="181"/>
        <v>5988310.0312887356</v>
      </c>
      <c r="AH154" s="430">
        <f t="shared" ca="1" si="181"/>
        <v>5996937.2102308432</v>
      </c>
      <c r="AI154" s="430">
        <f t="shared" ca="1" si="181"/>
        <v>6013514.914264299</v>
      </c>
      <c r="AJ154" s="430">
        <f t="shared" ca="1" si="181"/>
        <v>6058224.8520129025</v>
      </c>
      <c r="AK154" s="430">
        <f t="shared" ca="1" si="181"/>
        <v>6079145.301380381</v>
      </c>
      <c r="AL154" s="430">
        <f t="shared" ca="1" si="181"/>
        <v>6200657.8319449909</v>
      </c>
      <c r="AM154" s="430">
        <f t="shared" ca="1" si="181"/>
        <v>6218083.2711521685</v>
      </c>
      <c r="AN154" s="430">
        <f t="shared" ca="1" si="181"/>
        <v>6336897.7088117963</v>
      </c>
      <c r="AO154" s="430">
        <f t="shared" ca="1" si="181"/>
        <v>6340118.1407013349</v>
      </c>
      <c r="AP154" s="430">
        <f t="shared" ca="1" si="181"/>
        <v>6379214.6550339535</v>
      </c>
      <c r="AQ154" s="430">
        <f t="shared" ca="1" si="181"/>
        <v>6339459.4936520103</v>
      </c>
      <c r="AR154" s="430">
        <f t="shared" ca="1" si="181"/>
        <v>6383641.7941578524</v>
      </c>
      <c r="AS154" s="60"/>
      <c r="AT154" s="30"/>
      <c r="AU154" s="30">
        <f ca="1">AU152-AU153</f>
        <v>74334205.204631254</v>
      </c>
      <c r="AV154" s="30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</row>
    <row r="155" spans="1:133" s="427" customFormat="1">
      <c r="N155" s="15">
        <f t="shared" si="153"/>
        <v>146</v>
      </c>
      <c r="O155" s="15"/>
      <c r="P155" s="15"/>
      <c r="Q155" s="15"/>
      <c r="R155" s="15"/>
      <c r="S155" s="15"/>
      <c r="T155" s="199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5"/>
      <c r="AU155" s="30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</row>
    <row r="156" spans="1:133" s="427" customFormat="1">
      <c r="N156" s="15">
        <f t="shared" si="153"/>
        <v>147</v>
      </c>
      <c r="O156" s="15"/>
      <c r="P156" s="15"/>
      <c r="Q156" s="15"/>
      <c r="R156" s="15"/>
      <c r="S156" s="15"/>
      <c r="T156" s="15"/>
      <c r="U156" s="763"/>
      <c r="V156" s="763"/>
      <c r="W156" s="763"/>
      <c r="X156" s="763"/>
      <c r="Y156" s="763"/>
      <c r="Z156" s="763"/>
      <c r="AA156" s="763"/>
      <c r="AB156" s="763"/>
      <c r="AC156" s="763"/>
      <c r="AD156" s="763"/>
      <c r="AE156" s="763"/>
      <c r="AF156" s="763"/>
      <c r="AG156" s="763"/>
      <c r="AH156" s="763"/>
      <c r="AI156" s="763"/>
      <c r="AJ156" s="763"/>
      <c r="AK156" s="763"/>
      <c r="AL156" s="763"/>
      <c r="AM156" s="763"/>
      <c r="AN156" s="763"/>
      <c r="AO156" s="763"/>
      <c r="AP156" s="763"/>
      <c r="AQ156" s="763"/>
      <c r="AR156" s="763"/>
      <c r="AS156" s="763"/>
      <c r="AT156" s="15"/>
      <c r="AU156" s="30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</row>
    <row r="157" spans="1:133" s="427" customFormat="1">
      <c r="N157" s="15">
        <f t="shared" si="153"/>
        <v>148</v>
      </c>
      <c r="O157" s="15"/>
      <c r="P157" s="15"/>
      <c r="Q157" s="15"/>
      <c r="R157" s="15"/>
      <c r="S157" s="1490">
        <f>YEAR(F4)</f>
        <v>2016</v>
      </c>
      <c r="T157" s="1490">
        <f>YEAR(G4)</f>
        <v>2017</v>
      </c>
      <c r="U157" s="763">
        <f t="shared" ref="U157:W157" si="182">U5</f>
        <v>43115</v>
      </c>
      <c r="V157" s="763">
        <f t="shared" si="182"/>
        <v>43145</v>
      </c>
      <c r="W157" s="763">
        <f t="shared" si="182"/>
        <v>43175</v>
      </c>
      <c r="X157" s="763">
        <f t="shared" ref="X157:AR157" si="183">X5</f>
        <v>43205</v>
      </c>
      <c r="Y157" s="763">
        <f t="shared" si="183"/>
        <v>43235</v>
      </c>
      <c r="Z157" s="763">
        <f t="shared" si="183"/>
        <v>43265</v>
      </c>
      <c r="AA157" s="763">
        <f t="shared" si="183"/>
        <v>43295</v>
      </c>
      <c r="AB157" s="763">
        <f t="shared" si="183"/>
        <v>43325</v>
      </c>
      <c r="AC157" s="763">
        <f t="shared" si="183"/>
        <v>43355</v>
      </c>
      <c r="AD157" s="763">
        <f t="shared" si="183"/>
        <v>43385</v>
      </c>
      <c r="AE157" s="763">
        <f t="shared" si="183"/>
        <v>43415</v>
      </c>
      <c r="AF157" s="763">
        <f t="shared" si="183"/>
        <v>43445</v>
      </c>
      <c r="AG157" s="763">
        <f t="shared" si="183"/>
        <v>43475</v>
      </c>
      <c r="AH157" s="763">
        <f t="shared" si="183"/>
        <v>43505</v>
      </c>
      <c r="AI157" s="763">
        <f t="shared" si="183"/>
        <v>43535</v>
      </c>
      <c r="AJ157" s="763">
        <f t="shared" si="183"/>
        <v>43565</v>
      </c>
      <c r="AK157" s="763">
        <f t="shared" si="183"/>
        <v>43595</v>
      </c>
      <c r="AL157" s="763">
        <f t="shared" si="183"/>
        <v>43625</v>
      </c>
      <c r="AM157" s="763">
        <f t="shared" si="183"/>
        <v>43655</v>
      </c>
      <c r="AN157" s="763">
        <f t="shared" si="183"/>
        <v>43685</v>
      </c>
      <c r="AO157" s="763">
        <f t="shared" si="183"/>
        <v>43715</v>
      </c>
      <c r="AP157" s="763">
        <f t="shared" si="183"/>
        <v>43745</v>
      </c>
      <c r="AQ157" s="763">
        <f t="shared" si="183"/>
        <v>43775</v>
      </c>
      <c r="AR157" s="763">
        <f t="shared" si="183"/>
        <v>43805</v>
      </c>
      <c r="AS157" s="763"/>
      <c r="AT157" s="15"/>
      <c r="AU157" s="9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</row>
    <row r="158" spans="1:133">
      <c r="A158" s="427"/>
      <c r="B158" s="427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N158" s="15">
        <f t="shared" si="153"/>
        <v>149</v>
      </c>
      <c r="R158" s="429" t="s">
        <v>1109</v>
      </c>
      <c r="S158" s="1222">
        <f t="shared" ref="S158:S167" si="184">F7</f>
        <v>-811193246.86999977</v>
      </c>
      <c r="T158" s="1222">
        <f t="shared" ref="T158:T167" si="185">G7</f>
        <v>-736648017.28999972</v>
      </c>
      <c r="U158" s="95">
        <f t="shared" ref="U158" si="186">T171</f>
        <v>-744926548.90999973</v>
      </c>
      <c r="V158" s="95">
        <f t="shared" ref="V158" ca="1" si="187">U171</f>
        <v>-755166482.0507735</v>
      </c>
      <c r="W158" s="95">
        <f t="shared" ref="W158" ca="1" si="188">V171</f>
        <v>-764905902.47683358</v>
      </c>
      <c r="X158" s="95">
        <f t="shared" ref="X158:AR158" ca="1" si="189">W171</f>
        <v>-772034458.85697353</v>
      </c>
      <c r="Y158" s="95">
        <f t="shared" ca="1" si="189"/>
        <v>-773071163.84566891</v>
      </c>
      <c r="Z158" s="95">
        <f t="shared" ca="1" si="189"/>
        <v>-775172068.72648549</v>
      </c>
      <c r="AA158" s="95">
        <f t="shared" ca="1" si="189"/>
        <v>-778233893.23182237</v>
      </c>
      <c r="AB158" s="95">
        <f t="shared" ca="1" si="189"/>
        <v>-781800703.68918729</v>
      </c>
      <c r="AC158" s="95">
        <f t="shared" ca="1" si="189"/>
        <v>-785231125.97430706</v>
      </c>
      <c r="AD158" s="95">
        <f t="shared" ca="1" si="189"/>
        <v>-788547436.16271436</v>
      </c>
      <c r="AE158" s="95">
        <f t="shared" ca="1" si="189"/>
        <v>-791913505.5106951</v>
      </c>
      <c r="AF158" s="95">
        <f t="shared" ca="1" si="189"/>
        <v>-795230285.44434965</v>
      </c>
      <c r="AG158" s="95">
        <f t="shared" ca="1" si="189"/>
        <v>-798621361.49701631</v>
      </c>
      <c r="AH158" s="95">
        <f t="shared" ca="1" si="189"/>
        <v>-802056934.69397461</v>
      </c>
      <c r="AI158" s="95">
        <f t="shared" ca="1" si="189"/>
        <v>-805508072.48272812</v>
      </c>
      <c r="AJ158" s="95">
        <f t="shared" ca="1" si="189"/>
        <v>-808969323.76839304</v>
      </c>
      <c r="AK158" s="95">
        <f t="shared" ca="1" si="189"/>
        <v>-812474469.97500944</v>
      </c>
      <c r="AL158" s="95">
        <f t="shared" ca="1" si="189"/>
        <v>-815999968.61605024</v>
      </c>
      <c r="AM158" s="95">
        <f t="shared" ca="1" si="189"/>
        <v>-819635822.65764141</v>
      </c>
      <c r="AN158" s="95">
        <f t="shared" ca="1" si="189"/>
        <v>-823290142.46152675</v>
      </c>
      <c r="AO158" s="95">
        <f t="shared" ca="1" si="189"/>
        <v>-827058303.70606291</v>
      </c>
      <c r="AP158" s="95">
        <f t="shared" ca="1" si="189"/>
        <v>-830829424.37101102</v>
      </c>
      <c r="AQ158" s="95">
        <f t="shared" ca="1" si="189"/>
        <v>-834639208.94207883</v>
      </c>
      <c r="AR158" s="95">
        <f t="shared" ca="1" si="189"/>
        <v>-838391820.08441448</v>
      </c>
      <c r="AS158" s="95"/>
    </row>
    <row r="159" spans="1:133">
      <c r="A159" s="427"/>
      <c r="B159" s="427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N159" s="15">
        <f t="shared" si="153"/>
        <v>150</v>
      </c>
      <c r="R159" s="429" t="s">
        <v>1071</v>
      </c>
      <c r="S159" s="1222">
        <f t="shared" si="184"/>
        <v>19280529.110000007</v>
      </c>
      <c r="T159" s="1222">
        <f t="shared" si="185"/>
        <v>53761996.999999985</v>
      </c>
      <c r="U159" s="95">
        <f t="shared" ref="U159:W159" si="190">($H8-SUM(R159:T159))/9</f>
        <v>-4687120.4277777765</v>
      </c>
      <c r="V159" s="95">
        <f t="shared" si="190"/>
        <v>-4166329.2691358007</v>
      </c>
      <c r="W159" s="95">
        <f t="shared" si="190"/>
        <v>-1561122.7825651567</v>
      </c>
      <c r="X159" s="95">
        <f t="shared" ref="X159:AF159" si="191">($H8-SUM(U159:W159))/9</f>
        <v>4585890.5266087474</v>
      </c>
      <c r="Y159" s="95">
        <f t="shared" si="191"/>
        <v>3555555.9761213567</v>
      </c>
      <c r="Z159" s="95">
        <f t="shared" si="191"/>
        <v>2697568.7266483391</v>
      </c>
      <c r="AA159" s="95">
        <f t="shared" si="191"/>
        <v>2224380.7811801727</v>
      </c>
      <c r="AB159" s="95">
        <f t="shared" si="191"/>
        <v>2486770.7528944588</v>
      </c>
      <c r="AC159" s="95">
        <f t="shared" si="191"/>
        <v>2605524.6665863362</v>
      </c>
      <c r="AD159" s="95">
        <f t="shared" si="191"/>
        <v>2615751.7843710035</v>
      </c>
      <c r="AE159" s="95">
        <f t="shared" si="191"/>
        <v>2572266.1173498002</v>
      </c>
      <c r="AF159" s="95">
        <f t="shared" si="191"/>
        <v>2562766.6324103177</v>
      </c>
      <c r="AG159" s="95">
        <f t="shared" ref="AG159:AR159" si="192">$I8/12</f>
        <v>2518124.4883333333</v>
      </c>
      <c r="AH159" s="95">
        <f t="shared" si="192"/>
        <v>2518124.4883333333</v>
      </c>
      <c r="AI159" s="95">
        <f t="shared" si="192"/>
        <v>2518124.4883333333</v>
      </c>
      <c r="AJ159" s="95">
        <f t="shared" si="192"/>
        <v>2518124.4883333333</v>
      </c>
      <c r="AK159" s="95">
        <f t="shared" si="192"/>
        <v>2518124.4883333333</v>
      </c>
      <c r="AL159" s="95">
        <f t="shared" si="192"/>
        <v>2518124.4883333333</v>
      </c>
      <c r="AM159" s="95">
        <f t="shared" si="192"/>
        <v>2518124.4883333333</v>
      </c>
      <c r="AN159" s="95">
        <f t="shared" si="192"/>
        <v>2518124.4883333333</v>
      </c>
      <c r="AO159" s="95">
        <f t="shared" si="192"/>
        <v>2518124.4883333333</v>
      </c>
      <c r="AP159" s="95">
        <f t="shared" si="192"/>
        <v>2518124.4883333333</v>
      </c>
      <c r="AQ159" s="95">
        <f t="shared" si="192"/>
        <v>2518124.4883333333</v>
      </c>
      <c r="AR159" s="95">
        <f t="shared" si="192"/>
        <v>2518124.4883333333</v>
      </c>
      <c r="AS159" s="95"/>
    </row>
    <row r="160" spans="1:133">
      <c r="B160" s="15"/>
      <c r="C160" s="15"/>
      <c r="D160" s="15"/>
      <c r="E160" s="15"/>
      <c r="F160" s="15"/>
      <c r="G160" s="15"/>
      <c r="N160" s="15">
        <f t="shared" si="153"/>
        <v>151</v>
      </c>
      <c r="R160" s="429" t="s">
        <v>1108</v>
      </c>
      <c r="S160" s="1222">
        <f t="shared" si="184"/>
        <v>-8195805.5499999998</v>
      </c>
      <c r="T160" s="1222">
        <f t="shared" si="185"/>
        <v>-355518</v>
      </c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</row>
    <row r="161" spans="2:46">
      <c r="B161" s="15"/>
      <c r="C161" s="15"/>
      <c r="D161" s="15"/>
      <c r="E161" s="15"/>
      <c r="F161" s="15"/>
      <c r="G161" s="15"/>
      <c r="N161" s="15">
        <f t="shared" si="153"/>
        <v>152</v>
      </c>
      <c r="R161" s="429" t="s">
        <v>39</v>
      </c>
      <c r="S161" s="1222">
        <f t="shared" si="184"/>
        <v>0</v>
      </c>
      <c r="T161" s="1222">
        <f t="shared" si="185"/>
        <v>0</v>
      </c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282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</row>
    <row r="162" spans="2:46">
      <c r="B162" s="15"/>
      <c r="C162" s="15"/>
      <c r="D162" s="15"/>
      <c r="E162" s="15"/>
      <c r="F162" s="15"/>
      <c r="G162" s="15"/>
      <c r="N162" s="15">
        <f t="shared" si="153"/>
        <v>153</v>
      </c>
      <c r="R162" s="429" t="s">
        <v>1107</v>
      </c>
      <c r="S162" s="1222">
        <f t="shared" si="184"/>
        <v>148372.64000000001</v>
      </c>
      <c r="T162" s="1222">
        <f t="shared" si="185"/>
        <v>10969.68</v>
      </c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</row>
    <row r="163" spans="2:46">
      <c r="B163" s="15"/>
      <c r="C163" s="15"/>
      <c r="D163" s="15"/>
      <c r="E163" s="15"/>
      <c r="F163" s="15"/>
      <c r="G163" s="15"/>
      <c r="N163" s="15">
        <f t="shared" si="153"/>
        <v>154</v>
      </c>
      <c r="R163" s="429" t="s">
        <v>1106</v>
      </c>
      <c r="S163" s="1222">
        <f t="shared" si="184"/>
        <v>0</v>
      </c>
      <c r="T163" s="1222">
        <f t="shared" si="185"/>
        <v>-4444.3500000000004</v>
      </c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</row>
    <row r="164" spans="2:46">
      <c r="B164" s="15"/>
      <c r="C164" s="15"/>
      <c r="D164" s="15"/>
      <c r="E164" s="15"/>
      <c r="F164" s="15"/>
      <c r="G164" s="15"/>
      <c r="N164" s="15">
        <f t="shared" si="153"/>
        <v>155</v>
      </c>
      <c r="R164" s="429" t="s">
        <v>1105</v>
      </c>
      <c r="S164" s="1222">
        <f t="shared" si="184"/>
        <v>-471928.96</v>
      </c>
      <c r="T164" s="1222">
        <f t="shared" si="185"/>
        <v>-689374.73</v>
      </c>
      <c r="U164" s="95">
        <f t="shared" ref="U164:W164" si="193">($H13-SUM(R164:T164))/9</f>
        <v>70163.388456895875</v>
      </c>
      <c r="V164" s="95">
        <f t="shared" si="193"/>
        <v>62367.456406129655</v>
      </c>
      <c r="W164" s="95">
        <f t="shared" si="193"/>
        <v>3001.1879165597106</v>
      </c>
      <c r="X164" s="95">
        <f>($H13-SUM(U164:W164))/9</f>
        <v>-73929.469629724699</v>
      </c>
      <c r="Y164" s="95">
        <f t="shared" ref="Y164:AF165" si="194">$H13/12</f>
        <v>-44152.766157328093</v>
      </c>
      <c r="Z164" s="95">
        <f t="shared" si="194"/>
        <v>-44152.766157328093</v>
      </c>
      <c r="AA164" s="95">
        <f t="shared" si="194"/>
        <v>-44152.766157328093</v>
      </c>
      <c r="AB164" s="95">
        <f t="shared" si="194"/>
        <v>-44152.766157328093</v>
      </c>
      <c r="AC164" s="95">
        <f t="shared" si="194"/>
        <v>-44152.766157328093</v>
      </c>
      <c r="AD164" s="95">
        <f t="shared" si="194"/>
        <v>-44152.766157328093</v>
      </c>
      <c r="AE164" s="95">
        <f t="shared" si="194"/>
        <v>-44152.766157328093</v>
      </c>
      <c r="AF164" s="95">
        <f t="shared" si="194"/>
        <v>-44152.766157328093</v>
      </c>
      <c r="AG164" s="95">
        <f t="shared" ref="AG164:AR164" si="195">$I13/12</f>
        <v>-40986.078063075322</v>
      </c>
      <c r="AH164" s="95">
        <f t="shared" si="195"/>
        <v>-40986.078063075322</v>
      </c>
      <c r="AI164" s="95">
        <f t="shared" si="195"/>
        <v>-40986.078063075322</v>
      </c>
      <c r="AJ164" s="95">
        <f t="shared" si="195"/>
        <v>-40986.078063075322</v>
      </c>
      <c r="AK164" s="95">
        <f t="shared" si="195"/>
        <v>-40986.078063075322</v>
      </c>
      <c r="AL164" s="95">
        <f t="shared" si="195"/>
        <v>-40986.078063075322</v>
      </c>
      <c r="AM164" s="95">
        <f t="shared" si="195"/>
        <v>-40986.078063075322</v>
      </c>
      <c r="AN164" s="95">
        <f t="shared" si="195"/>
        <v>-40986.078063075322</v>
      </c>
      <c r="AO164" s="95">
        <f t="shared" si="195"/>
        <v>-40986.078063075322</v>
      </c>
      <c r="AP164" s="95">
        <f t="shared" si="195"/>
        <v>-40986.078063075322</v>
      </c>
      <c r="AQ164" s="95">
        <f t="shared" si="195"/>
        <v>-40986.078063075322</v>
      </c>
      <c r="AR164" s="95">
        <f t="shared" si="195"/>
        <v>-40986.078063075322</v>
      </c>
      <c r="AS164" s="95"/>
    </row>
    <row r="165" spans="2:46">
      <c r="B165" s="15"/>
      <c r="C165" s="15"/>
      <c r="D165" s="15"/>
      <c r="E165" s="15"/>
      <c r="F165" s="15"/>
      <c r="G165" s="15"/>
      <c r="N165" s="15">
        <f t="shared" si="153"/>
        <v>156</v>
      </c>
      <c r="R165" s="429" t="s">
        <v>1104</v>
      </c>
      <c r="S165" s="1222">
        <f t="shared" si="184"/>
        <v>4492517.87</v>
      </c>
      <c r="T165" s="1222">
        <f t="shared" si="185"/>
        <v>5488278.8700000001</v>
      </c>
      <c r="U165" s="95">
        <f>($H14-SUM(R165:T165))/9</f>
        <v>-599581.58825452079</v>
      </c>
      <c r="V165" s="95">
        <f t="shared" ref="V165:W165" si="196">($H14-SUM(S165:U165))/9</f>
        <v>-532961.41178179625</v>
      </c>
      <c r="W165" s="95">
        <f t="shared" si="196"/>
        <v>25425.175082847785</v>
      </c>
      <c r="X165" s="95">
        <f>($H14-SUM(U165:W165))/9</f>
        <v>632408.91896253137</v>
      </c>
      <c r="Y165" s="95">
        <f t="shared" si="194"/>
        <v>382046.87047577609</v>
      </c>
      <c r="Z165" s="95">
        <f t="shared" si="194"/>
        <v>382046.87047577609</v>
      </c>
      <c r="AA165" s="95">
        <f t="shared" si="194"/>
        <v>382046.87047577609</v>
      </c>
      <c r="AB165" s="95">
        <f t="shared" si="194"/>
        <v>382046.87047577609</v>
      </c>
      <c r="AC165" s="95">
        <f t="shared" si="194"/>
        <v>382046.87047577609</v>
      </c>
      <c r="AD165" s="95">
        <f t="shared" si="194"/>
        <v>382046.87047577609</v>
      </c>
      <c r="AE165" s="95">
        <f t="shared" si="194"/>
        <v>382046.87047577609</v>
      </c>
      <c r="AF165" s="95">
        <f t="shared" si="194"/>
        <v>382046.87047577609</v>
      </c>
      <c r="AG165" s="95">
        <f t="shared" ref="AG165:AR165" si="197">$I14/12</f>
        <v>353003.32828751177</v>
      </c>
      <c r="AH165" s="95">
        <f t="shared" si="197"/>
        <v>353003.32828751177</v>
      </c>
      <c r="AI165" s="95">
        <f t="shared" si="197"/>
        <v>353003.32828751177</v>
      </c>
      <c r="AJ165" s="95">
        <f t="shared" si="197"/>
        <v>353003.32828751177</v>
      </c>
      <c r="AK165" s="95">
        <f t="shared" si="197"/>
        <v>353003.32828751177</v>
      </c>
      <c r="AL165" s="95">
        <f t="shared" si="197"/>
        <v>353003.32828751177</v>
      </c>
      <c r="AM165" s="95">
        <f t="shared" si="197"/>
        <v>353003.32828751177</v>
      </c>
      <c r="AN165" s="95">
        <f t="shared" si="197"/>
        <v>353003.32828751177</v>
      </c>
      <c r="AO165" s="95">
        <f t="shared" si="197"/>
        <v>353003.32828751177</v>
      </c>
      <c r="AP165" s="95">
        <f t="shared" si="197"/>
        <v>353003.32828751177</v>
      </c>
      <c r="AQ165" s="95">
        <f t="shared" si="197"/>
        <v>353003.32828751177</v>
      </c>
      <c r="AR165" s="95">
        <f t="shared" si="197"/>
        <v>353003.32828751177</v>
      </c>
      <c r="AS165" s="95"/>
      <c r="AT165" s="95"/>
    </row>
    <row r="166" spans="2:46">
      <c r="B166" s="15"/>
      <c r="C166" s="15"/>
      <c r="D166" s="15"/>
      <c r="E166" s="15"/>
      <c r="F166" s="15"/>
      <c r="G166" s="15"/>
      <c r="N166" s="15">
        <f t="shared" si="153"/>
        <v>157</v>
      </c>
      <c r="R166" s="429" t="s">
        <v>1115</v>
      </c>
      <c r="S166" s="1222">
        <f t="shared" si="184"/>
        <v>-60986810.549999997</v>
      </c>
      <c r="T166" s="1222">
        <f t="shared" si="185"/>
        <v>-66734933.770000003</v>
      </c>
      <c r="U166" s="95">
        <f t="shared" ref="U166:W166" ca="1" si="198">-U154</f>
        <v>-5562450.0445062127</v>
      </c>
      <c r="V166" s="95">
        <f t="shared" ca="1" si="198"/>
        <v>-5581555.2321082596</v>
      </c>
      <c r="W166" s="95">
        <f t="shared" ca="1" si="198"/>
        <v>-5585160.8240541238</v>
      </c>
      <c r="X166" s="95">
        <f ca="1">-X154</f>
        <v>-5639309.0897392342</v>
      </c>
      <c r="Y166" s="95">
        <f t="shared" ref="Y166:AR166" ca="1" si="199">-Y154</f>
        <v>-5671727.5971297724</v>
      </c>
      <c r="Z166" s="95">
        <f t="shared" ca="1" si="199"/>
        <v>-5783586.352600974</v>
      </c>
      <c r="AA166" s="95">
        <f t="shared" ca="1" si="199"/>
        <v>-5812696.0163020762</v>
      </c>
      <c r="AB166" s="95">
        <f t="shared" ca="1" si="199"/>
        <v>-5942223.0843728064</v>
      </c>
      <c r="AC166" s="95">
        <f t="shared" ca="1" si="199"/>
        <v>-5946448.1284731822</v>
      </c>
      <c r="AD166" s="95">
        <f t="shared" ca="1" si="199"/>
        <v>-6004438.4896272086</v>
      </c>
      <c r="AE166" s="95">
        <f t="shared" ca="1" si="199"/>
        <v>-5936781.425024488</v>
      </c>
      <c r="AF166" s="95">
        <f t="shared" ca="1" si="199"/>
        <v>-5999151.2064286834</v>
      </c>
      <c r="AG166" s="95">
        <f t="shared" ca="1" si="199"/>
        <v>-5988310.0312887356</v>
      </c>
      <c r="AH166" s="95">
        <f t="shared" ca="1" si="199"/>
        <v>-5996937.2102308432</v>
      </c>
      <c r="AI166" s="95">
        <f t="shared" ca="1" si="199"/>
        <v>-6013514.914264299</v>
      </c>
      <c r="AJ166" s="95">
        <f t="shared" ca="1" si="199"/>
        <v>-6058224.8520129025</v>
      </c>
      <c r="AK166" s="95">
        <f t="shared" ca="1" si="199"/>
        <v>-6079145.301380381</v>
      </c>
      <c r="AL166" s="95">
        <f t="shared" ca="1" si="199"/>
        <v>-6200657.8319449909</v>
      </c>
      <c r="AM166" s="95">
        <f t="shared" ca="1" si="199"/>
        <v>-6218083.2711521685</v>
      </c>
      <c r="AN166" s="95">
        <f t="shared" ca="1" si="199"/>
        <v>-6336897.7088117963</v>
      </c>
      <c r="AO166" s="95">
        <f t="shared" ca="1" si="199"/>
        <v>-6340118.1407013349</v>
      </c>
      <c r="AP166" s="95">
        <f t="shared" ca="1" si="199"/>
        <v>-6379214.6550339535</v>
      </c>
      <c r="AQ166" s="95">
        <f t="shared" ca="1" si="199"/>
        <v>-6339459.4936520103</v>
      </c>
      <c r="AR166" s="95">
        <f t="shared" ca="1" si="199"/>
        <v>-6383641.7941578524</v>
      </c>
      <c r="AS166" s="95"/>
    </row>
    <row r="167" spans="2:46">
      <c r="B167" s="15"/>
      <c r="C167" s="15"/>
      <c r="D167" s="15"/>
      <c r="E167" s="15"/>
      <c r="F167" s="15"/>
      <c r="G167" s="15"/>
      <c r="N167" s="15">
        <f t="shared" si="153"/>
        <v>158</v>
      </c>
      <c r="R167" s="429" t="s">
        <v>1114</v>
      </c>
      <c r="S167" s="1222">
        <f t="shared" si="184"/>
        <v>-5163454.8199999994</v>
      </c>
      <c r="T167" s="1222">
        <f t="shared" si="185"/>
        <v>-5404268.0599999996</v>
      </c>
      <c r="U167" s="102">
        <f t="shared" ref="U167:W167" ca="1" si="200">-U153</f>
        <v>-461194.85812474985</v>
      </c>
      <c r="V167" s="102">
        <f t="shared" ca="1" si="200"/>
        <v>-463985.26826618938</v>
      </c>
      <c r="W167" s="102">
        <f t="shared" ca="1" si="200"/>
        <v>-455027.31139720778</v>
      </c>
      <c r="X167" s="102">
        <f t="shared" ref="X167:AR167" ca="1" si="201">-X153</f>
        <v>-460624.329816629</v>
      </c>
      <c r="Y167" s="102">
        <f t="shared" ca="1" si="201"/>
        <v>-464815.22049144894</v>
      </c>
      <c r="Z167" s="102">
        <f t="shared" ca="1" si="201"/>
        <v>-465357.09638389782</v>
      </c>
      <c r="AA167" s="102">
        <f t="shared" ca="1" si="201"/>
        <v>-470509.41942942893</v>
      </c>
      <c r="AB167" s="102">
        <f t="shared" ca="1" si="201"/>
        <v>-477947.93703522085</v>
      </c>
      <c r="AC167" s="102">
        <f t="shared" ca="1" si="201"/>
        <v>-478722.33771295217</v>
      </c>
      <c r="AD167" s="102">
        <f t="shared" ca="1" si="201"/>
        <v>-485626.83350004297</v>
      </c>
      <c r="AE167" s="102">
        <f t="shared" ca="1" si="201"/>
        <v>-454782.00148209353</v>
      </c>
      <c r="AF167" s="102">
        <f t="shared" ca="1" si="201"/>
        <v>-462488.12866297911</v>
      </c>
      <c r="AG167" s="102">
        <f t="shared" ca="1" si="201"/>
        <v>-472266.65546529385</v>
      </c>
      <c r="AH167" s="102">
        <f t="shared" ca="1" si="201"/>
        <v>-479934.31371732295</v>
      </c>
      <c r="AI167" s="102">
        <f t="shared" ca="1" si="201"/>
        <v>-474873.3221974019</v>
      </c>
      <c r="AJ167" s="102">
        <f t="shared" ca="1" si="201"/>
        <v>-477842.76687330805</v>
      </c>
      <c r="AK167" s="102">
        <f t="shared" ca="1" si="201"/>
        <v>-479045.55812263186</v>
      </c>
      <c r="AL167" s="102">
        <f t="shared" ca="1" si="201"/>
        <v>-478173.82579767302</v>
      </c>
      <c r="AM167" s="102">
        <f t="shared" ca="1" si="201"/>
        <v>-480689.12081814901</v>
      </c>
      <c r="AN167" s="102">
        <f t="shared" ca="1" si="201"/>
        <v>-485773.14210097527</v>
      </c>
      <c r="AO167" s="102">
        <f t="shared" ca="1" si="201"/>
        <v>-485784.72327333491</v>
      </c>
      <c r="AP167" s="102">
        <f t="shared" ca="1" si="201"/>
        <v>-488661.42971541226</v>
      </c>
      <c r="AQ167" s="102">
        <f t="shared" ca="1" si="201"/>
        <v>-467878.09669576964</v>
      </c>
      <c r="AR167" s="102">
        <f t="shared" ca="1" si="201"/>
        <v>-474590.2858014066</v>
      </c>
      <c r="AS167" s="102"/>
    </row>
    <row r="168" spans="2:46">
      <c r="B168" s="15"/>
      <c r="C168" s="15"/>
      <c r="D168" s="15"/>
      <c r="E168" s="15"/>
      <c r="F168" s="15"/>
      <c r="G168" s="15"/>
      <c r="N168" s="15">
        <f t="shared" si="153"/>
        <v>159</v>
      </c>
      <c r="R168" s="429"/>
      <c r="S168" s="1222"/>
      <c r="T168" s="1222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</row>
    <row r="169" spans="2:46">
      <c r="B169" s="15"/>
      <c r="C169" s="15"/>
      <c r="D169" s="15"/>
      <c r="E169" s="15"/>
      <c r="F169" s="15"/>
      <c r="G169" s="15"/>
      <c r="N169" s="15">
        <f t="shared" si="153"/>
        <v>160</v>
      </c>
      <c r="R169" s="1220" t="s">
        <v>1270</v>
      </c>
      <c r="S169" s="1222">
        <f>F18</f>
        <v>125441809.84</v>
      </c>
      <c r="T169" s="1222">
        <f>G18</f>
        <v>5648761.7400000002</v>
      </c>
      <c r="U169" s="282">
        <f ca="1">((SUM($T$169/$T$166))*U166)-SUM(U164:U165)</f>
        <v>1000250.3894325078</v>
      </c>
      <c r="V169" s="282">
        <f t="shared" ref="V169:AR169" ca="1" si="202">((SUM($T$169/$T$166))*V166)-SUM(V164:V165)</f>
        <v>943043.2988258797</v>
      </c>
      <c r="W169" s="282">
        <f t="shared" ca="1" si="202"/>
        <v>444328.17487722164</v>
      </c>
      <c r="X169" s="282">
        <f t="shared" ca="1" si="202"/>
        <v>-81141.545081025572</v>
      </c>
      <c r="Y169" s="282">
        <f t="shared" ca="1" si="202"/>
        <v>142187.85636480735</v>
      </c>
      <c r="Z169" s="282">
        <f t="shared" ca="1" si="202"/>
        <v>151656.11268116842</v>
      </c>
      <c r="AA169" s="282">
        <f t="shared" ca="1" si="202"/>
        <v>154120.09286800382</v>
      </c>
      <c r="AB169" s="282">
        <f t="shared" ca="1" si="202"/>
        <v>165083.87907529948</v>
      </c>
      <c r="AC169" s="282">
        <f t="shared" ca="1" si="202"/>
        <v>165441.50687405135</v>
      </c>
      <c r="AD169" s="282">
        <f t="shared" ca="1" si="202"/>
        <v>170350.08645704185</v>
      </c>
      <c r="AE169" s="282">
        <f t="shared" ca="1" si="202"/>
        <v>164623.27118386392</v>
      </c>
      <c r="AF169" s="282">
        <f t="shared" ca="1" si="202"/>
        <v>169902.54569610686</v>
      </c>
      <c r="AG169" s="282">
        <f t="shared" ca="1" si="202"/>
        <v>194861.75123803865</v>
      </c>
      <c r="AH169" s="282">
        <f t="shared" ca="1" si="202"/>
        <v>195591.99663695175</v>
      </c>
      <c r="AI169" s="282">
        <f t="shared" ca="1" si="202"/>
        <v>196995.2122392024</v>
      </c>
      <c r="AJ169" s="282">
        <f t="shared" ca="1" si="202"/>
        <v>200779.67371214728</v>
      </c>
      <c r="AK169" s="282">
        <f t="shared" ca="1" si="202"/>
        <v>202550.47990456678</v>
      </c>
      <c r="AL169" s="282">
        <f t="shared" ca="1" si="202"/>
        <v>212835.87759372295</v>
      </c>
      <c r="AM169" s="282">
        <f t="shared" ca="1" si="202"/>
        <v>214310.84952724498</v>
      </c>
      <c r="AN169" s="282">
        <f t="shared" ca="1" si="202"/>
        <v>224367.86781881069</v>
      </c>
      <c r="AO169" s="282">
        <f t="shared" ca="1" si="202"/>
        <v>224640.46046881023</v>
      </c>
      <c r="AP169" s="282">
        <f t="shared" ca="1" si="202"/>
        <v>227949.77512386924</v>
      </c>
      <c r="AQ169" s="282">
        <f t="shared" ca="1" si="202"/>
        <v>224584.70945442823</v>
      </c>
      <c r="AR169" s="282">
        <f t="shared" ca="1" si="202"/>
        <v>228324.5092052265</v>
      </c>
      <c r="AS169" s="282"/>
    </row>
    <row r="170" spans="2:46">
      <c r="B170" s="15"/>
      <c r="C170" s="15"/>
      <c r="D170" s="15"/>
      <c r="E170" s="15"/>
      <c r="F170" s="15"/>
      <c r="G170" s="15"/>
      <c r="N170" s="15">
        <f t="shared" si="153"/>
        <v>161</v>
      </c>
      <c r="R170" s="429"/>
      <c r="S170" s="1222"/>
      <c r="T170" s="1222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</row>
    <row r="171" spans="2:46">
      <c r="B171" s="15"/>
      <c r="C171" s="15"/>
      <c r="D171" s="15"/>
      <c r="E171" s="15"/>
      <c r="F171" s="15"/>
      <c r="G171" s="15"/>
      <c r="N171" s="15">
        <f t="shared" si="153"/>
        <v>162</v>
      </c>
      <c r="R171" s="439" t="s">
        <v>1103</v>
      </c>
      <c r="S171" s="1222">
        <f>F20</f>
        <v>-736648017.28999972</v>
      </c>
      <c r="T171" s="1222">
        <f>G20</f>
        <v>-744926548.90999973</v>
      </c>
      <c r="U171" s="95">
        <f t="shared" ref="U171:W171" ca="1" si="203">SUM(U158:U169)</f>
        <v>-755166482.0507735</v>
      </c>
      <c r="V171" s="95">
        <f t="shared" ca="1" si="203"/>
        <v>-764905902.47683358</v>
      </c>
      <c r="W171" s="95">
        <f t="shared" ca="1" si="203"/>
        <v>-772034458.85697353</v>
      </c>
      <c r="X171" s="95">
        <f ca="1">SUM(X158:X169)</f>
        <v>-773071163.84566891</v>
      </c>
      <c r="Y171" s="95">
        <f t="shared" ref="Y171:AE171" ca="1" si="204">SUM(Y158:Y169)</f>
        <v>-775172068.72648549</v>
      </c>
      <c r="Z171" s="95">
        <f t="shared" ca="1" si="204"/>
        <v>-778233893.23182237</v>
      </c>
      <c r="AA171" s="95">
        <f t="shared" ca="1" si="204"/>
        <v>-781800703.68918729</v>
      </c>
      <c r="AB171" s="95">
        <f t="shared" ca="1" si="204"/>
        <v>-785231125.97430706</v>
      </c>
      <c r="AC171" s="95">
        <f t="shared" ca="1" si="204"/>
        <v>-788547436.16271436</v>
      </c>
      <c r="AD171" s="95">
        <f t="shared" ca="1" si="204"/>
        <v>-791913505.5106951</v>
      </c>
      <c r="AE171" s="95">
        <f t="shared" ca="1" si="204"/>
        <v>-795230285.44434965</v>
      </c>
      <c r="AF171" s="95">
        <f ca="1">SUM(AF158:AF169)</f>
        <v>-798621361.49701631</v>
      </c>
      <c r="AG171" s="95">
        <f t="shared" ref="AG171:AR171" ca="1" si="205">SUM(AG158:AG169)</f>
        <v>-802056934.69397461</v>
      </c>
      <c r="AH171" s="95">
        <f t="shared" ca="1" si="205"/>
        <v>-805508072.48272812</v>
      </c>
      <c r="AI171" s="95">
        <f t="shared" ca="1" si="205"/>
        <v>-808969323.76839304</v>
      </c>
      <c r="AJ171" s="95">
        <f t="shared" ca="1" si="205"/>
        <v>-812474469.97500944</v>
      </c>
      <c r="AK171" s="95">
        <f t="shared" ca="1" si="205"/>
        <v>-815999968.61605024</v>
      </c>
      <c r="AL171" s="95">
        <f t="shared" ca="1" si="205"/>
        <v>-819635822.65764141</v>
      </c>
      <c r="AM171" s="95">
        <f t="shared" ca="1" si="205"/>
        <v>-823290142.46152675</v>
      </c>
      <c r="AN171" s="95">
        <f t="shared" ca="1" si="205"/>
        <v>-827058303.70606291</v>
      </c>
      <c r="AO171" s="95">
        <f t="shared" ca="1" si="205"/>
        <v>-830829424.37101102</v>
      </c>
      <c r="AP171" s="95">
        <f t="shared" ca="1" si="205"/>
        <v>-834639208.94207883</v>
      </c>
      <c r="AQ171" s="95">
        <f t="shared" ca="1" si="205"/>
        <v>-838391820.08441448</v>
      </c>
      <c r="AR171" s="95">
        <f t="shared" ca="1" si="205"/>
        <v>-842191585.91661084</v>
      </c>
      <c r="AS171" s="95"/>
    </row>
    <row r="172" spans="2:46">
      <c r="B172" s="15"/>
      <c r="C172" s="15"/>
      <c r="D172" s="15"/>
      <c r="E172" s="15"/>
      <c r="F172" s="15"/>
      <c r="G172" s="15"/>
      <c r="R172" s="429"/>
      <c r="S172" s="1222"/>
      <c r="T172" s="1222"/>
    </row>
    <row r="173" spans="2:46">
      <c r="V173" s="95"/>
      <c r="W173" s="282"/>
      <c r="X173" s="282"/>
      <c r="AT173" s="95"/>
    </row>
    <row r="174" spans="2:46">
      <c r="B174" s="15"/>
      <c r="C174" s="15"/>
      <c r="D174" s="15"/>
      <c r="E174" s="15"/>
      <c r="F174" s="15"/>
      <c r="G174" s="15"/>
      <c r="U174" s="282"/>
      <c r="X174" s="282"/>
    </row>
    <row r="175" spans="2:46">
      <c r="B175" s="15"/>
      <c r="C175" s="15"/>
      <c r="D175" s="15"/>
      <c r="E175" s="15"/>
      <c r="F175" s="15"/>
      <c r="G175" s="15"/>
      <c r="T175" s="102"/>
      <c r="U175" s="282"/>
    </row>
    <row r="176" spans="2:46"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</row>
    <row r="177" spans="2:21">
      <c r="T177" s="102"/>
    </row>
    <row r="184" spans="2:21">
      <c r="U184" s="194"/>
    </row>
    <row r="185" spans="2:21">
      <c r="U185" s="194"/>
    </row>
    <row r="186" spans="2:21">
      <c r="U186" s="194"/>
    </row>
    <row r="187" spans="2:21">
      <c r="U187" s="194"/>
    </row>
    <row r="188" spans="2:21">
      <c r="U188" s="194"/>
    </row>
    <row r="189" spans="2:21">
      <c r="B189" s="15"/>
      <c r="C189" s="15"/>
      <c r="D189" s="15"/>
      <c r="E189" s="15"/>
      <c r="F189" s="15"/>
      <c r="G189" s="15"/>
      <c r="U189" s="194"/>
    </row>
    <row r="190" spans="2:21">
      <c r="B190" s="15"/>
      <c r="C190" s="15"/>
      <c r="D190" s="15"/>
      <c r="E190" s="15"/>
      <c r="F190" s="15"/>
      <c r="G190" s="15"/>
      <c r="U190" s="106"/>
    </row>
    <row r="191" spans="2:21">
      <c r="B191" s="15"/>
      <c r="C191" s="15"/>
      <c r="D191" s="15"/>
      <c r="E191" s="15"/>
      <c r="F191" s="15"/>
      <c r="G191" s="15"/>
      <c r="U191" s="106"/>
    </row>
    <row r="192" spans="2:21">
      <c r="B192" s="15"/>
      <c r="C192" s="15"/>
      <c r="D192" s="15"/>
      <c r="E192" s="15"/>
      <c r="F192" s="15"/>
      <c r="G192" s="15"/>
      <c r="U192" s="106"/>
    </row>
    <row r="193" spans="2:21">
      <c r="B193" s="15"/>
      <c r="C193" s="15"/>
      <c r="D193" s="15"/>
      <c r="E193" s="15"/>
      <c r="F193" s="15"/>
      <c r="G193" s="15"/>
      <c r="U193" s="106"/>
    </row>
    <row r="194" spans="2:21">
      <c r="B194" s="15"/>
      <c r="C194" s="15"/>
      <c r="D194" s="15"/>
      <c r="E194" s="15"/>
      <c r="F194" s="15"/>
      <c r="G194" s="15"/>
      <c r="U194" s="106"/>
    </row>
    <row r="195" spans="2:21">
      <c r="B195" s="15"/>
      <c r="C195" s="15"/>
      <c r="D195" s="15"/>
      <c r="E195" s="15"/>
      <c r="F195" s="15"/>
      <c r="G195" s="15"/>
      <c r="U195" s="194"/>
    </row>
    <row r="196" spans="2:21">
      <c r="B196" s="15"/>
      <c r="C196" s="15"/>
      <c r="D196" s="15"/>
      <c r="E196" s="15"/>
      <c r="F196" s="15"/>
      <c r="G196" s="15"/>
      <c r="U196" s="194"/>
    </row>
    <row r="197" spans="2:21">
      <c r="B197" s="15"/>
      <c r="C197" s="15"/>
      <c r="D197" s="15"/>
      <c r="E197" s="15"/>
      <c r="F197" s="15"/>
      <c r="G197" s="15"/>
      <c r="U197" s="194"/>
    </row>
    <row r="198" spans="2:21">
      <c r="B198" s="15"/>
      <c r="C198" s="15"/>
      <c r="D198" s="15"/>
      <c r="E198" s="15"/>
      <c r="F198" s="15"/>
      <c r="G198" s="15"/>
      <c r="U198" s="194"/>
    </row>
    <row r="199" spans="2:21">
      <c r="B199" s="15"/>
      <c r="C199" s="15"/>
      <c r="D199" s="15"/>
      <c r="E199" s="15"/>
      <c r="F199" s="15"/>
      <c r="G199" s="15"/>
    </row>
    <row r="200" spans="2:21">
      <c r="B200" s="15"/>
      <c r="C200" s="15"/>
      <c r="D200" s="15"/>
      <c r="E200" s="15"/>
      <c r="F200" s="15"/>
      <c r="G200" s="15"/>
    </row>
    <row r="201" spans="2:21">
      <c r="B201" s="15"/>
      <c r="C201" s="15"/>
      <c r="D201" s="15"/>
      <c r="E201" s="15"/>
      <c r="F201" s="15"/>
      <c r="G201" s="15"/>
    </row>
    <row r="202" spans="2:21">
      <c r="B202" s="15"/>
      <c r="C202" s="15"/>
      <c r="D202" s="15"/>
      <c r="E202" s="15"/>
      <c r="F202" s="15"/>
      <c r="G202" s="15"/>
    </row>
  </sheetData>
  <mergeCells count="2">
    <mergeCell ref="C3:G3"/>
    <mergeCell ref="U7:W7"/>
  </mergeCells>
  <pageMargins left="0.7" right="0.7" top="0.75" bottom="0.75" header="0.3" footer="0.3"/>
  <pageSetup scale="60" orientation="landscape" r:id="rId1"/>
  <headerFooter>
    <oddFooter>&amp;R&amp;Z&amp;F\&amp;A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14761" r:id="rId4" name="Button 9">
              <controlPr defaultSize="0" print="0" autoFill="0" autoPict="0" macro="[0]!Macro5">
                <anchor moveWithCells="1" sizeWithCells="1">
                  <from>
                    <xdr:col>1</xdr:col>
                    <xdr:colOff>1695450</xdr:colOff>
                    <xdr:row>2</xdr:row>
                    <xdr:rowOff>0</xdr:rowOff>
                  </from>
                  <to>
                    <xdr:col>1</xdr:col>
                    <xdr:colOff>2066925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K23"/>
  <sheetViews>
    <sheetView workbookViewId="0">
      <selection activeCell="H26" sqref="H26"/>
    </sheetView>
  </sheetViews>
  <sheetFormatPr defaultRowHeight="12.75"/>
  <cols>
    <col min="1" max="1" width="9.140625" style="15"/>
    <col min="2" max="2" width="46.140625" style="15" customWidth="1"/>
    <col min="3" max="3" width="13.5703125" style="15" customWidth="1"/>
    <col min="4" max="4" width="11.85546875" style="15" bestFit="1" customWidth="1"/>
    <col min="5" max="7" width="11.28515625" style="15" bestFit="1" customWidth="1"/>
    <col min="8" max="8" width="13.5703125" style="15" bestFit="1" customWidth="1"/>
    <col min="9" max="9" width="11.28515625" style="15" bestFit="1" customWidth="1"/>
    <col min="10" max="10" width="11.28515625" style="15" hidden="1" customWidth="1"/>
    <col min="11" max="11" width="2.5703125" style="15" bestFit="1" customWidth="1"/>
    <col min="12" max="17" width="14" style="15" bestFit="1" customWidth="1"/>
    <col min="18" max="16384" width="9.140625" style="15"/>
  </cols>
  <sheetData>
    <row r="1" spans="1:11">
      <c r="A1" s="1141" t="str">
        <f>'Control Panel'!$B$1</f>
        <v>Dominion Energy</v>
      </c>
      <c r="B1" s="405"/>
      <c r="C1" s="405"/>
      <c r="D1" s="405"/>
      <c r="F1" s="265"/>
    </row>
    <row r="2" spans="1:11">
      <c r="A2" s="1141" t="str">
        <f>'Control Panel'!$B$2</f>
        <v>Utah - DEC 2019 Adjusted Avg  Results</v>
      </c>
      <c r="B2" s="405"/>
      <c r="C2" s="405"/>
      <c r="D2" s="405"/>
      <c r="F2" s="265"/>
    </row>
    <row r="3" spans="1:11">
      <c r="A3" s="1141" t="str">
        <f>'Control Panel'!$B$3</f>
        <v>12 Months Ended : Dec-2019</v>
      </c>
      <c r="B3" s="405"/>
      <c r="C3" s="405"/>
      <c r="D3" s="405"/>
      <c r="F3" s="265"/>
    </row>
    <row r="4" spans="1:11">
      <c r="A4" s="405"/>
      <c r="B4" s="405"/>
      <c r="C4" s="405"/>
      <c r="D4" s="405"/>
      <c r="F4" s="265"/>
    </row>
    <row r="5" spans="1:11" ht="18">
      <c r="A5" s="1131"/>
      <c r="B5" s="1565" t="s">
        <v>154</v>
      </c>
      <c r="C5" s="1565"/>
      <c r="D5" s="1565"/>
      <c r="E5" s="1565"/>
      <c r="F5" s="1565"/>
      <c r="G5" s="1132"/>
      <c r="H5" s="1132"/>
      <c r="I5" s="1132"/>
      <c r="J5" s="1324"/>
      <c r="K5"/>
    </row>
    <row r="6" spans="1:11" ht="26.25">
      <c r="A6" s="1131"/>
      <c r="B6" s="1065"/>
      <c r="C6" s="1133"/>
      <c r="D6" s="1"/>
      <c r="E6" s="1"/>
      <c r="F6" s="1"/>
      <c r="G6" s="1"/>
      <c r="H6" s="1"/>
      <c r="I6" s="1"/>
      <c r="J6" s="1"/>
      <c r="K6"/>
    </row>
    <row r="7" spans="1:11" ht="26.25">
      <c r="A7" s="1131"/>
      <c r="B7" s="1065"/>
      <c r="C7" s="1133"/>
      <c r="D7" s="1"/>
      <c r="E7" s="1"/>
      <c r="F7" s="1"/>
      <c r="G7" s="1"/>
      <c r="H7" s="1"/>
      <c r="I7" s="1"/>
      <c r="J7" s="1"/>
      <c r="K7"/>
    </row>
    <row r="8" spans="1:11">
      <c r="A8" s="1131"/>
      <c r="B8" s="1131"/>
      <c r="C8" s="406" t="s">
        <v>422</v>
      </c>
      <c r="D8" s="408" t="s">
        <v>45</v>
      </c>
      <c r="E8" s="406" t="s">
        <v>46</v>
      </c>
      <c r="F8" s="406" t="s">
        <v>688</v>
      </c>
      <c r="G8" s="406" t="s">
        <v>689</v>
      </c>
      <c r="H8" s="406" t="s">
        <v>794</v>
      </c>
      <c r="I8" s="406" t="s">
        <v>767</v>
      </c>
      <c r="J8" s="406"/>
      <c r="K8"/>
    </row>
    <row r="9" spans="1:11">
      <c r="A9" s="1131"/>
      <c r="B9" s="1131"/>
      <c r="C9" s="1134">
        <v>2013</v>
      </c>
      <c r="D9" s="1134">
        <v>2014</v>
      </c>
      <c r="E9" s="1134">
        <v>2015</v>
      </c>
      <c r="F9" s="1134">
        <v>2016</v>
      </c>
      <c r="G9" s="1135">
        <v>2017</v>
      </c>
      <c r="H9" s="1135">
        <v>2018</v>
      </c>
      <c r="I9" s="1135">
        <v>2019</v>
      </c>
      <c r="J9" s="1135">
        <v>2020</v>
      </c>
      <c r="K9"/>
    </row>
    <row r="10" spans="1:11">
      <c r="A10" s="405"/>
      <c r="B10" s="1131"/>
      <c r="C10" s="964"/>
      <c r="D10" s="964"/>
      <c r="E10" s="964"/>
      <c r="F10" s="964"/>
      <c r="G10" s="964"/>
      <c r="H10" s="221"/>
      <c r="I10" s="221"/>
      <c r="J10" s="221"/>
      <c r="K10"/>
    </row>
    <row r="11" spans="1:11">
      <c r="A11" s="1136">
        <v>1</v>
      </c>
      <c r="B11" s="405" t="s">
        <v>1077</v>
      </c>
      <c r="C11" s="95">
        <v>24439159.129999995</v>
      </c>
      <c r="D11" s="95">
        <v>29131278.079999994</v>
      </c>
      <c r="E11" s="95">
        <v>31556631.579999994</v>
      </c>
      <c r="F11" s="95">
        <v>24527224.149999995</v>
      </c>
      <c r="G11" s="95">
        <f t="shared" ref="G11:I11" si="0">+F17</f>
        <v>19720559.149999995</v>
      </c>
      <c r="H11" s="95">
        <f t="shared" si="0"/>
        <v>12128596.149999995</v>
      </c>
      <c r="I11" s="95">
        <f t="shared" si="0"/>
        <v>6668020.7880343981</v>
      </c>
      <c r="J11" s="95">
        <f t="shared" ref="J11" si="1">+I17</f>
        <v>3000000.0000000005</v>
      </c>
      <c r="K11"/>
    </row>
    <row r="12" spans="1:11">
      <c r="A12" s="1136">
        <v>2</v>
      </c>
      <c r="B12" s="405" t="s">
        <v>1286</v>
      </c>
      <c r="C12" s="95">
        <v>13841326</v>
      </c>
      <c r="D12" s="95">
        <v>3757777</v>
      </c>
      <c r="E12" s="1124">
        <v>0</v>
      </c>
      <c r="F12" s="782"/>
      <c r="G12" s="782"/>
      <c r="H12" s="782">
        <v>0</v>
      </c>
      <c r="I12" s="782">
        <v>0</v>
      </c>
      <c r="J12" s="782">
        <v>0</v>
      </c>
      <c r="K12" t="s">
        <v>455</v>
      </c>
    </row>
    <row r="13" spans="1:11">
      <c r="A13" s="1136">
        <v>3</v>
      </c>
      <c r="B13" s="405" t="s">
        <v>1076</v>
      </c>
      <c r="C13" s="95">
        <v>-3232317</v>
      </c>
      <c r="D13" s="95">
        <v>-3883690</v>
      </c>
      <c r="E13" s="1124">
        <v>-4431816</v>
      </c>
      <c r="F13" s="1124">
        <v>-1924893</v>
      </c>
      <c r="G13" s="1124">
        <v>-2369340</v>
      </c>
      <c r="H13" s="95">
        <f>ROUND(AVERAGE($C$13:$G$13)/1000000,0)*1000000</f>
        <v>-3000000</v>
      </c>
      <c r="I13" s="95">
        <f>ROUND(AVERAGE($C$13:$G$13)/1000000,0)*1000000</f>
        <v>-3000000</v>
      </c>
      <c r="J13" s="95">
        <f>ROUND(AVERAGE($C$13:$G$13)/1000000,0)*1000000</f>
        <v>-3000000</v>
      </c>
      <c r="K13" t="s">
        <v>401</v>
      </c>
    </row>
    <row r="14" spans="1:11">
      <c r="A14" s="1136">
        <v>4</v>
      </c>
      <c r="B14" s="405" t="s">
        <v>1075</v>
      </c>
      <c r="C14" s="95">
        <v>-4385546</v>
      </c>
      <c r="D14" s="95">
        <v>150537</v>
      </c>
      <c r="E14" s="1124">
        <v>-1016987</v>
      </c>
      <c r="F14" s="1124">
        <v>-2825320</v>
      </c>
      <c r="G14" s="1124">
        <v>-4458951</v>
      </c>
      <c r="H14" s="1124">
        <f>-SUM($G$17,$H$13:$J$13)*C12/SUM($C$12:$G$12)</f>
        <v>-2460575.3619655971</v>
      </c>
      <c r="I14" s="1124">
        <f>-SUM($G$17,$H$13:$J$13)*D12/SUM($C$12:$G$12)</f>
        <v>-668020.78803439764</v>
      </c>
      <c r="J14" s="1124">
        <f>-SUM($G$17,$H$13:$J$13)*E12/SUM($C$12:$G$12)</f>
        <v>0</v>
      </c>
      <c r="K14" s="221" t="s">
        <v>1155</v>
      </c>
    </row>
    <row r="15" spans="1:11">
      <c r="A15" s="1136">
        <v>5</v>
      </c>
      <c r="B15" s="1131" t="s">
        <v>1252</v>
      </c>
      <c r="C15" s="1139">
        <v>-1531344.05</v>
      </c>
      <c r="D15" s="1139">
        <v>2400729.5</v>
      </c>
      <c r="E15" s="1139">
        <v>-1580604.4300000002</v>
      </c>
      <c r="F15" s="1139">
        <v>-56452</v>
      </c>
      <c r="G15" s="1492">
        <v>-763672</v>
      </c>
      <c r="H15" s="1491"/>
      <c r="I15" s="1491"/>
      <c r="J15" s="1491"/>
      <c r="K15"/>
    </row>
    <row r="16" spans="1:11">
      <c r="A16" s="405"/>
      <c r="B16" s="405"/>
      <c r="D16" s="265"/>
      <c r="E16" s="265"/>
      <c r="F16" s="265"/>
      <c r="G16" s="265"/>
      <c r="H16" s="265"/>
      <c r="I16" s="265"/>
      <c r="J16" s="265"/>
      <c r="K16"/>
    </row>
    <row r="17" spans="1:11" ht="13.5" thickBot="1">
      <c r="A17" s="1136">
        <f>+A15+1</f>
        <v>6</v>
      </c>
      <c r="B17" s="405" t="s">
        <v>1074</v>
      </c>
      <c r="C17" s="1137">
        <v>29131278.079999994</v>
      </c>
      <c r="D17" s="1137">
        <v>31556631.579999994</v>
      </c>
      <c r="E17" s="1137">
        <v>24527224.149999995</v>
      </c>
      <c r="F17" s="1137">
        <v>19720559.149999995</v>
      </c>
      <c r="G17" s="1137">
        <f t="shared" ref="G17:I17" si="2">SUM(G11:G15)</f>
        <v>12128596.149999995</v>
      </c>
      <c r="H17" s="1137">
        <f>SUM(H11:H15)</f>
        <v>6668020.7880343981</v>
      </c>
      <c r="I17" s="1137">
        <f t="shared" si="2"/>
        <v>3000000.0000000005</v>
      </c>
      <c r="J17" s="1137">
        <f t="shared" ref="J17" si="3">SUM(J11:J15)</f>
        <v>4.6566128730773926E-10</v>
      </c>
      <c r="K17"/>
    </row>
    <row r="18" spans="1:11" ht="13.5" thickTop="1">
      <c r="A18" s="405"/>
      <c r="B18" s="405"/>
      <c r="C18" s="95"/>
      <c r="D18" s="95"/>
      <c r="E18" s="95"/>
      <c r="F18" s="95"/>
      <c r="G18" s="95"/>
      <c r="H18" s="95"/>
      <c r="I18" s="95"/>
      <c r="K18"/>
    </row>
    <row r="19" spans="1:11">
      <c r="A19" s="221"/>
      <c r="B19" s="407" t="s">
        <v>1073</v>
      </c>
      <c r="C19" s="265"/>
      <c r="D19" s="265"/>
      <c r="E19" s="95"/>
      <c r="F19" s="95"/>
      <c r="G19" s="95"/>
      <c r="H19" s="95"/>
      <c r="I19" s="95"/>
      <c r="J19" s="95"/>
      <c r="K19"/>
    </row>
    <row r="20" spans="1:11">
      <c r="A20" s="1136" t="s">
        <v>455</v>
      </c>
      <c r="B20" s="407" t="s">
        <v>1250</v>
      </c>
      <c r="C20" s="265"/>
      <c r="K20"/>
    </row>
    <row r="21" spans="1:11">
      <c r="A21" s="1136" t="s">
        <v>401</v>
      </c>
      <c r="B21" s="407" t="s">
        <v>1251</v>
      </c>
      <c r="C21" s="545"/>
      <c r="K21"/>
    </row>
    <row r="22" spans="1:11">
      <c r="A22" s="1136" t="s">
        <v>1155</v>
      </c>
      <c r="B22" s="221" t="s">
        <v>1543</v>
      </c>
      <c r="C22" s="1"/>
      <c r="D22" s="1"/>
      <c r="E22" s="1"/>
      <c r="F22" s="1"/>
      <c r="G22" s="1"/>
      <c r="H22" s="1"/>
      <c r="I22" s="1"/>
      <c r="J22" s="1"/>
      <c r="K22"/>
    </row>
    <row r="23" spans="1:11">
      <c r="A23" s="1138"/>
      <c r="B23" s="1138"/>
      <c r="C23" s="1131"/>
      <c r="D23" s="1131"/>
      <c r="E23" s="1131"/>
      <c r="F23" s="1131"/>
      <c r="G23" s="1131"/>
      <c r="H23" s="1131"/>
      <c r="I23" s="1131"/>
      <c r="J23" s="1131"/>
      <c r="K23" s="1131"/>
    </row>
  </sheetData>
  <mergeCells count="1">
    <mergeCell ref="B5:F5"/>
  </mergeCells>
  <pageMargins left="0.7" right="0.7" top="0.75" bottom="0.75" header="0.3" footer="0.3"/>
  <pageSetup scale="86" orientation="landscape" r:id="rId1"/>
  <headerFooter>
    <oddFooter>&amp;R&amp;Z&amp;F\&amp;A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AP105"/>
  <sheetViews>
    <sheetView topLeftCell="A39" zoomScale="90" zoomScaleNormal="90" workbookViewId="0">
      <selection activeCell="I65" sqref="I65"/>
    </sheetView>
  </sheetViews>
  <sheetFormatPr defaultColWidth="20.28515625" defaultRowHeight="12.75"/>
  <cols>
    <col min="1" max="1" width="19.85546875" style="15" customWidth="1"/>
    <col min="2" max="2" width="52" style="15" customWidth="1"/>
    <col min="3" max="3" width="8.140625" style="15" customWidth="1"/>
    <col min="4" max="4" width="21.5703125" style="15" customWidth="1"/>
    <col min="5" max="6" width="14.140625" style="15" bestFit="1" customWidth="1"/>
    <col min="7" max="7" width="17" style="102" bestFit="1" customWidth="1"/>
    <col min="8" max="8" width="16.42578125" style="15" bestFit="1" customWidth="1"/>
    <col min="9" max="9" width="21.140625" style="15" customWidth="1"/>
    <col min="10" max="10" width="20.28515625" style="15" customWidth="1"/>
    <col min="11" max="11" width="34.42578125" style="15" customWidth="1"/>
    <col min="12" max="12" width="17.85546875" style="15" customWidth="1"/>
    <col min="13" max="13" width="20.140625" style="15" customWidth="1"/>
    <col min="14" max="14" width="17.140625" style="15" bestFit="1" customWidth="1"/>
    <col min="15" max="17" width="17.85546875" style="15" customWidth="1"/>
    <col min="18" max="18" width="13.5703125" style="15" customWidth="1"/>
    <col min="19" max="19" width="12" style="15" bestFit="1" customWidth="1"/>
    <col min="20" max="20" width="14.140625" style="15" customWidth="1"/>
    <col min="21" max="21" width="15" style="15" customWidth="1"/>
    <col min="22" max="22" width="12" style="15" bestFit="1" customWidth="1"/>
    <col min="23" max="23" width="16.140625" style="15" customWidth="1"/>
    <col min="24" max="30" width="20.28515625" style="15"/>
    <col min="31" max="31" width="21.28515625" style="1398" customWidth="1"/>
    <col min="32" max="32" width="21.28515625" style="526" customWidth="1"/>
    <col min="33" max="33" width="3" style="1200" customWidth="1"/>
    <col min="34" max="16384" width="20.28515625" style="15"/>
  </cols>
  <sheetData>
    <row r="1" spans="1:42">
      <c r="A1" s="1566"/>
      <c r="B1" s="1566"/>
      <c r="C1" s="1566"/>
      <c r="D1" s="1566"/>
      <c r="E1" s="1566"/>
      <c r="F1" s="1566"/>
      <c r="G1" s="1566"/>
      <c r="H1" s="1566"/>
      <c r="M1" s="414" t="s">
        <v>1101</v>
      </c>
      <c r="AE1" s="1494"/>
      <c r="AF1" s="1494"/>
      <c r="AG1" s="1399"/>
      <c r="AH1" s="631"/>
      <c r="AN1" s="209"/>
      <c r="AO1" s="209"/>
    </row>
    <row r="2" spans="1:42">
      <c r="A2" s="1141" t="str">
        <f>'Control Panel'!$B$1</f>
        <v>Dominion Energy</v>
      </c>
      <c r="B2" s="578"/>
      <c r="C2" s="303"/>
      <c r="D2" s="24"/>
      <c r="E2" s="24"/>
      <c r="F2" s="24"/>
      <c r="H2" s="24"/>
      <c r="I2" s="24"/>
      <c r="M2" s="414" t="s">
        <v>1100</v>
      </c>
      <c r="AE2" s="1495"/>
      <c r="AF2" s="1400"/>
      <c r="AG2" s="1401"/>
      <c r="AH2" s="632"/>
      <c r="AJ2" s="274"/>
      <c r="AN2" s="209"/>
      <c r="AO2" s="209"/>
    </row>
    <row r="3" spans="1:42">
      <c r="A3" s="1141" t="str">
        <f>'Control Panel'!$B$2</f>
        <v>Utah - DEC 2019 Adjusted Avg  Results</v>
      </c>
      <c r="B3" s="578"/>
      <c r="C3" s="578"/>
      <c r="D3" s="414" t="s">
        <v>1099</v>
      </c>
      <c r="E3" s="414"/>
      <c r="F3" s="414"/>
      <c r="H3" s="414"/>
      <c r="I3" s="414"/>
      <c r="M3" s="428" t="s">
        <v>1377</v>
      </c>
      <c r="AE3" s="1198"/>
      <c r="AF3" s="1199"/>
      <c r="AG3" s="1401"/>
      <c r="AH3" s="632"/>
      <c r="AJ3" s="274"/>
      <c r="AM3" s="274"/>
      <c r="AN3" s="209"/>
      <c r="AO3" s="209"/>
    </row>
    <row r="4" spans="1:42">
      <c r="A4" s="1141" t="str">
        <f>'Control Panel'!$B$3</f>
        <v>12 Months Ended : Dec-2019</v>
      </c>
      <c r="B4" s="578"/>
      <c r="C4" s="578"/>
      <c r="D4" s="414" t="s">
        <v>1098</v>
      </c>
      <c r="E4" s="414"/>
      <c r="F4" s="414"/>
      <c r="H4" s="414"/>
      <c r="I4" s="414"/>
      <c r="R4" s="15" t="s">
        <v>1188</v>
      </c>
      <c r="AE4" s="1197"/>
      <c r="AF4" s="1201"/>
      <c r="AG4" s="1401"/>
      <c r="AH4" s="632"/>
      <c r="AN4" s="209"/>
      <c r="AO4" s="209"/>
    </row>
    <row r="5" spans="1:42" s="194" customFormat="1" ht="15.75">
      <c r="A5" s="193"/>
      <c r="G5" s="106"/>
      <c r="K5" s="15"/>
      <c r="L5" s="1408" t="s">
        <v>1268</v>
      </c>
      <c r="M5" s="1409" t="s">
        <v>1561</v>
      </c>
      <c r="N5" s="1410" t="s">
        <v>1097</v>
      </c>
      <c r="O5" s="1409" t="s">
        <v>1097</v>
      </c>
      <c r="P5" s="1409" t="s">
        <v>1097</v>
      </c>
      <c r="R5" s="15"/>
      <c r="S5" s="15"/>
      <c r="T5" s="15"/>
      <c r="U5" s="15"/>
      <c r="V5" s="15"/>
      <c r="W5" s="15"/>
      <c r="AE5" s="1496" t="s">
        <v>14</v>
      </c>
      <c r="AF5" s="1402" t="s">
        <v>24</v>
      </c>
      <c r="AG5" s="1401"/>
      <c r="AH5" s="632"/>
      <c r="AI5" s="15"/>
      <c r="AJ5" s="15"/>
      <c r="AK5" s="15"/>
      <c r="AL5" s="15"/>
      <c r="AM5" s="15"/>
      <c r="AN5" s="209"/>
      <c r="AO5" s="209"/>
      <c r="AP5" s="15"/>
    </row>
    <row r="6" spans="1:42" s="194" customFormat="1" ht="16.5" thickBot="1">
      <c r="A6" s="193"/>
      <c r="G6" s="106"/>
      <c r="K6" s="15"/>
      <c r="L6" s="1411" t="s">
        <v>453</v>
      </c>
      <c r="M6" s="1412" t="s">
        <v>1063</v>
      </c>
      <c r="N6" s="1413" t="s">
        <v>453</v>
      </c>
      <c r="O6" s="1412" t="s">
        <v>856</v>
      </c>
      <c r="P6" s="1412" t="s">
        <v>453</v>
      </c>
      <c r="R6" s="15">
        <v>2018</v>
      </c>
      <c r="S6" s="15"/>
      <c r="T6" s="15"/>
      <c r="U6" s="15">
        <v>2019</v>
      </c>
      <c r="V6" s="15"/>
      <c r="W6" s="15"/>
      <c r="AE6" s="1202" t="s">
        <v>500</v>
      </c>
      <c r="AF6" s="1203" t="s">
        <v>500</v>
      </c>
      <c r="AG6" s="1401"/>
      <c r="AH6" s="632"/>
      <c r="AI6" s="15"/>
      <c r="AJ6" s="15"/>
      <c r="AK6" s="15"/>
      <c r="AL6" s="15"/>
      <c r="AM6" s="15"/>
      <c r="AN6" s="209"/>
      <c r="AO6" s="209"/>
      <c r="AP6" s="15"/>
    </row>
    <row r="7" spans="1:42" s="194" customFormat="1" ht="16.5" thickBot="1">
      <c r="A7" s="193"/>
      <c r="B7" s="15"/>
      <c r="C7" s="425"/>
      <c r="D7" s="15"/>
      <c r="E7" s="425"/>
      <c r="F7" s="425"/>
      <c r="G7" s="766"/>
      <c r="H7" s="425"/>
      <c r="I7" s="425"/>
      <c r="K7" s="15"/>
      <c r="L7" s="1414">
        <v>43100</v>
      </c>
      <c r="M7" s="1505" t="s">
        <v>1562</v>
      </c>
      <c r="N7" s="1506">
        <v>43465</v>
      </c>
      <c r="O7" s="1505" t="s">
        <v>1547</v>
      </c>
      <c r="P7" s="1507">
        <v>43830</v>
      </c>
      <c r="R7" s="1508" t="s">
        <v>1186</v>
      </c>
      <c r="S7" s="1509" t="s">
        <v>1187</v>
      </c>
      <c r="T7" s="1510"/>
      <c r="U7" s="1508" t="s">
        <v>1186</v>
      </c>
      <c r="V7" s="1509" t="s">
        <v>1187</v>
      </c>
      <c r="W7" s="1510"/>
      <c r="AE7" s="1197"/>
      <c r="AF7" s="1201"/>
      <c r="AG7" s="1401"/>
      <c r="AH7" s="632"/>
      <c r="AI7" s="15"/>
      <c r="AJ7" s="15"/>
      <c r="AK7" s="15"/>
      <c r="AL7" s="15"/>
      <c r="AM7" s="15"/>
      <c r="AN7" s="209"/>
      <c r="AO7" s="209"/>
      <c r="AP7" s="15"/>
    </row>
    <row r="8" spans="1:42" s="194" customFormat="1" ht="13.5" thickBot="1">
      <c r="A8" s="767" t="s">
        <v>1096</v>
      </c>
      <c r="B8" s="663"/>
      <c r="C8" s="768"/>
      <c r="D8" s="458"/>
      <c r="E8" s="459"/>
      <c r="F8" s="769"/>
      <c r="G8" s="768"/>
      <c r="H8" s="768"/>
      <c r="J8" s="15"/>
      <c r="K8" s="193" t="s">
        <v>1563</v>
      </c>
      <c r="L8" s="460">
        <v>99248.19</v>
      </c>
      <c r="M8" s="332">
        <v>-99248.19</v>
      </c>
      <c r="N8" s="332">
        <f>+L8+M8</f>
        <v>0</v>
      </c>
      <c r="O8" s="332"/>
      <c r="P8" s="332">
        <f>+N8+O8</f>
        <v>0</v>
      </c>
      <c r="Q8" s="15"/>
      <c r="R8" s="694"/>
      <c r="T8" s="668"/>
      <c r="U8" s="694"/>
      <c r="W8" s="668"/>
      <c r="AE8" s="1497">
        <v>2447896239.6560001</v>
      </c>
      <c r="AF8" s="1403">
        <v>82055245.603999987</v>
      </c>
      <c r="AG8" s="1401"/>
      <c r="AH8" s="15"/>
      <c r="AI8" s="15"/>
      <c r="AJ8" s="15"/>
      <c r="AK8" s="15"/>
      <c r="AL8" s="15"/>
      <c r="AM8" s="209"/>
      <c r="AN8" s="209"/>
      <c r="AO8" s="15"/>
    </row>
    <row r="9" spans="1:42" s="194" customFormat="1">
      <c r="A9" s="770"/>
      <c r="D9" s="471" t="s">
        <v>1163</v>
      </c>
      <c r="E9" s="459" t="s">
        <v>1095</v>
      </c>
      <c r="F9" s="769"/>
      <c r="G9" s="494" t="s">
        <v>1528</v>
      </c>
      <c r="H9" s="494" t="s">
        <v>1529</v>
      </c>
      <c r="J9" s="15"/>
      <c r="K9" s="193" t="s">
        <v>1094</v>
      </c>
      <c r="L9" s="102">
        <v>57435073</v>
      </c>
      <c r="M9" s="332">
        <v>-25759399.960000001</v>
      </c>
      <c r="N9" s="332">
        <f t="shared" ref="N9:N10" si="0">+L9+M9</f>
        <v>31675673.039999999</v>
      </c>
      <c r="O9" s="332"/>
      <c r="P9" s="332">
        <f t="shared" ref="P9:P10" si="1">+N9</f>
        <v>31675673.039999999</v>
      </c>
      <c r="Q9" s="15"/>
      <c r="R9" s="1511">
        <v>0.96809999999999996</v>
      </c>
      <c r="S9" s="625">
        <v>3.1899999999999998E-2</v>
      </c>
      <c r="T9" s="298">
        <f>+N11+N12</f>
        <v>-312972324.45000005</v>
      </c>
      <c r="U9" s="1511">
        <f>R9</f>
        <v>0.96809999999999996</v>
      </c>
      <c r="V9" s="625">
        <f>S9</f>
        <v>3.1899999999999998E-2</v>
      </c>
      <c r="W9" s="298">
        <f>+P11+P12</f>
        <v>-312972324.45000005</v>
      </c>
      <c r="AE9" s="526">
        <v>74113227.260000005</v>
      </c>
      <c r="AF9" s="528">
        <v>7220</v>
      </c>
      <c r="AG9" s="1401"/>
      <c r="AH9" s="15"/>
      <c r="AI9" s="15"/>
      <c r="AJ9" s="464"/>
      <c r="AK9" s="15"/>
      <c r="AL9" s="15"/>
      <c r="AM9" s="209"/>
      <c r="AN9" s="209"/>
      <c r="AO9" s="15"/>
    </row>
    <row r="10" spans="1:42" s="194" customFormat="1">
      <c r="A10" s="770"/>
      <c r="D10" s="584"/>
      <c r="J10" s="15"/>
      <c r="K10" s="193" t="s">
        <v>1093</v>
      </c>
      <c r="L10" s="102">
        <v>13135753</v>
      </c>
      <c r="M10" s="332">
        <v>-5425386.5499999998</v>
      </c>
      <c r="N10" s="332">
        <f t="shared" si="0"/>
        <v>7710366.4500000002</v>
      </c>
      <c r="O10" s="332"/>
      <c r="P10" s="332">
        <f t="shared" si="1"/>
        <v>7710366.4500000002</v>
      </c>
      <c r="Q10" s="15"/>
      <c r="R10" s="694"/>
      <c r="T10" s="668"/>
      <c r="U10" s="694"/>
      <c r="W10" s="668"/>
      <c r="AE10" s="463">
        <v>5036.83</v>
      </c>
      <c r="AF10" s="528">
        <v>0</v>
      </c>
      <c r="AG10" s="1401"/>
      <c r="AH10" s="15"/>
      <c r="AI10" s="15"/>
      <c r="AJ10" s="15"/>
      <c r="AK10" s="15"/>
      <c r="AL10" s="15"/>
      <c r="AM10" s="209"/>
      <c r="AN10" s="209"/>
      <c r="AO10" s="15"/>
    </row>
    <row r="11" spans="1:42" s="194" customFormat="1">
      <c r="A11" s="770"/>
      <c r="D11" s="426" t="s">
        <v>1527</v>
      </c>
      <c r="J11" s="15"/>
      <c r="K11" s="193" t="s">
        <v>1092</v>
      </c>
      <c r="L11" s="102">
        <v>-278819828.72000003</v>
      </c>
      <c r="M11" s="332">
        <v>26110643.27</v>
      </c>
      <c r="N11" s="332">
        <f>+L11+M11</f>
        <v>-252709185.45000002</v>
      </c>
      <c r="O11" s="332"/>
      <c r="P11" s="332">
        <f>+N11</f>
        <v>-252709185.45000002</v>
      </c>
      <c r="Q11" s="15"/>
      <c r="R11" s="1512">
        <f>+N11</f>
        <v>-252709185.45000002</v>
      </c>
      <c r="S11" s="186">
        <f>+N12</f>
        <v>-60263139</v>
      </c>
      <c r="T11" s="298">
        <f>+S11+R11</f>
        <v>-312972324.45000005</v>
      </c>
      <c r="U11" s="1512">
        <f>+P11</f>
        <v>-252709185.45000002</v>
      </c>
      <c r="V11" s="186">
        <f>+P12</f>
        <v>-60263139</v>
      </c>
      <c r="W11" s="298">
        <f>+V11+U11</f>
        <v>-312972324.45000005</v>
      </c>
      <c r="AE11" s="526">
        <v>22418304.780000001</v>
      </c>
      <c r="AF11" s="528">
        <v>710920.69</v>
      </c>
      <c r="AG11" s="1401"/>
      <c r="AH11" s="15"/>
      <c r="AI11" s="15"/>
      <c r="AJ11" s="15"/>
      <c r="AK11" s="15"/>
      <c r="AL11" s="15"/>
      <c r="AM11" s="209"/>
      <c r="AN11" s="209"/>
      <c r="AO11" s="15"/>
    </row>
    <row r="12" spans="1:42" s="194" customFormat="1">
      <c r="A12" s="770"/>
      <c r="J12" s="15"/>
      <c r="K12" s="193" t="s">
        <v>1091</v>
      </c>
      <c r="L12" s="102">
        <v>-65890989</v>
      </c>
      <c r="M12" s="1513">
        <v>5627850</v>
      </c>
      <c r="N12" s="332">
        <f>+L12+M12</f>
        <v>-60263139</v>
      </c>
      <c r="O12" s="382"/>
      <c r="P12" s="332">
        <f>+N12</f>
        <v>-60263139</v>
      </c>
      <c r="Q12" s="15"/>
      <c r="R12" s="694"/>
      <c r="T12" s="668"/>
      <c r="U12" s="694"/>
      <c r="W12" s="668"/>
      <c r="AE12" s="526">
        <v>52701458.560000002</v>
      </c>
      <c r="AF12" s="528">
        <v>32858.71</v>
      </c>
      <c r="AG12" s="1401"/>
      <c r="AH12" s="15"/>
      <c r="AI12" s="15"/>
      <c r="AJ12" s="15"/>
      <c r="AK12" s="15"/>
      <c r="AL12" s="15"/>
      <c r="AM12" s="209"/>
      <c r="AN12" s="209"/>
      <c r="AO12" s="15"/>
    </row>
    <row r="13" spans="1:42" s="194" customFormat="1">
      <c r="A13" s="770" t="s">
        <v>303</v>
      </c>
      <c r="B13" s="232" t="s">
        <v>305</v>
      </c>
      <c r="C13" s="106"/>
      <c r="J13" s="15"/>
      <c r="K13" s="15"/>
      <c r="L13" s="1213">
        <f>SUM(L8:L12)</f>
        <v>-274040743.53000003</v>
      </c>
      <c r="M13" s="1514">
        <f>SUM(M8:M12)</f>
        <v>454458.56999999657</v>
      </c>
      <c r="N13" s="1514">
        <f>SUM(N8:N12)</f>
        <v>-273586284.96000004</v>
      </c>
      <c r="O13" s="1514"/>
      <c r="P13" s="1514">
        <f>SUM(P9:P12)</f>
        <v>-273586284.96000004</v>
      </c>
      <c r="Q13" s="15"/>
      <c r="R13" s="694"/>
      <c r="T13" s="668"/>
      <c r="U13" s="694"/>
      <c r="W13" s="668"/>
      <c r="AE13" s="526">
        <v>-512951843.95999998</v>
      </c>
      <c r="AF13" s="526">
        <v>-27333445.210000001</v>
      </c>
      <c r="AG13" s="1401"/>
      <c r="AH13" s="15"/>
      <c r="AI13" s="15"/>
      <c r="AJ13" s="15"/>
      <c r="AK13" s="15"/>
      <c r="AL13" s="15"/>
      <c r="AM13" s="15"/>
      <c r="AN13" s="15"/>
      <c r="AO13" s="15"/>
    </row>
    <row r="14" spans="1:42" s="194" customFormat="1">
      <c r="A14" s="770"/>
      <c r="B14" s="106" t="s">
        <v>443</v>
      </c>
      <c r="C14" s="15"/>
      <c r="D14" s="106">
        <f>+'Rate Base'!$AE$211</f>
        <v>0</v>
      </c>
      <c r="E14" s="171">
        <f>D14/D18</f>
        <v>0</v>
      </c>
      <c r="F14" s="171"/>
      <c r="G14" s="389">
        <f>(E14*$N$9)+N72+N82</f>
        <v>144.88182128304408</v>
      </c>
      <c r="H14" s="389">
        <f>(E14*$P$9)+N72+N82</f>
        <v>144.88182128304408</v>
      </c>
      <c r="J14" s="15"/>
      <c r="K14" s="193"/>
      <c r="L14" s="1515"/>
      <c r="M14" s="425"/>
      <c r="N14" s="425"/>
      <c r="O14" s="425"/>
      <c r="P14" s="425"/>
      <c r="Q14" s="15"/>
      <c r="R14" s="694"/>
      <c r="T14" s="668"/>
      <c r="U14" s="694"/>
      <c r="W14" s="668"/>
      <c r="AE14" s="526">
        <v>-58742.880000000005</v>
      </c>
      <c r="AF14" s="528">
        <v>-10883.08</v>
      </c>
      <c r="AG14" s="1401"/>
      <c r="AH14" s="15"/>
      <c r="AI14" s="15"/>
      <c r="AJ14" s="15"/>
      <c r="AK14" s="15"/>
      <c r="AL14" s="15"/>
      <c r="AM14" s="15"/>
      <c r="AN14" s="15"/>
      <c r="AO14" s="15"/>
    </row>
    <row r="15" spans="1:42" s="194" customFormat="1">
      <c r="A15" s="770"/>
      <c r="B15" s="106" t="s">
        <v>592</v>
      </c>
      <c r="C15" s="1538"/>
      <c r="D15" s="106">
        <f>+'Rate Base'!$AE$212</f>
        <v>1832178.8287000023</v>
      </c>
      <c r="E15" s="171">
        <f>D15/D18</f>
        <v>3.1900000000000039E-2</v>
      </c>
      <c r="F15" s="171"/>
      <c r="G15" s="389">
        <f>(E15*$N$9)+N73+N83</f>
        <v>982601.96573135909</v>
      </c>
      <c r="H15" s="389">
        <f t="shared" ref="H15:H17" si="2">(E15*$P$9)+N73+N83</f>
        <v>982601.96573135909</v>
      </c>
      <c r="J15" s="15"/>
      <c r="K15" s="193" t="s">
        <v>1090</v>
      </c>
      <c r="L15" s="193"/>
      <c r="M15" s="332">
        <f>+M47</f>
        <v>-2135208</v>
      </c>
      <c r="N15" s="332">
        <f>+M15</f>
        <v>-2135208</v>
      </c>
      <c r="O15" s="332">
        <f>+N47</f>
        <v>-3216527</v>
      </c>
      <c r="P15" s="332">
        <f>SUM(N15:O15)</f>
        <v>-5351735</v>
      </c>
      <c r="Q15" s="15"/>
      <c r="R15" s="1516">
        <f>+N15*$R$9</f>
        <v>-2067094.8647999999</v>
      </c>
      <c r="S15" s="1517">
        <f>+N15*$S$9</f>
        <v>-68113.13519999999</v>
      </c>
      <c r="T15" s="671">
        <f>+R15+S15</f>
        <v>-2135208</v>
      </c>
      <c r="U15" s="1516">
        <f>+P15*$U$9</f>
        <v>-5181014.6535</v>
      </c>
      <c r="V15" s="1517">
        <f>+P15*$V$9</f>
        <v>-170720.34649999999</v>
      </c>
      <c r="W15" s="671">
        <f>+U15+V15</f>
        <v>-5351735</v>
      </c>
      <c r="AE15" s="463">
        <v>6644450.1500000004</v>
      </c>
      <c r="AF15" s="528">
        <v>0</v>
      </c>
      <c r="AG15" s="1401"/>
      <c r="AH15" s="15"/>
      <c r="AI15" s="15"/>
      <c r="AJ15" s="15"/>
      <c r="AK15" s="15"/>
      <c r="AL15" s="15"/>
      <c r="AM15" s="15"/>
      <c r="AN15" s="15"/>
      <c r="AO15" s="15"/>
    </row>
    <row r="16" spans="1:42" s="194" customFormat="1">
      <c r="A16" s="770"/>
      <c r="B16" s="106" t="s">
        <v>593</v>
      </c>
      <c r="C16" s="15"/>
      <c r="D16" s="106">
        <f>+'Rate Base'!$AE$213</f>
        <v>55602894.171299994</v>
      </c>
      <c r="E16" s="171">
        <f>D16/D18</f>
        <v>0.96809999999999985</v>
      </c>
      <c r="F16" s="171"/>
      <c r="G16" s="389">
        <f>(E16*$N$9)+N74+N84</f>
        <v>29819967.492931895</v>
      </c>
      <c r="H16" s="389">
        <f t="shared" si="2"/>
        <v>29819967.492931895</v>
      </c>
      <c r="J16" s="15"/>
      <c r="K16" s="15"/>
      <c r="L16" s="15"/>
      <c r="M16" s="424"/>
      <c r="N16" s="332"/>
      <c r="O16" s="332"/>
      <c r="P16" s="332"/>
      <c r="Q16" s="15"/>
      <c r="R16" s="694"/>
      <c r="T16" s="668"/>
      <c r="U16" s="694"/>
      <c r="W16" s="668"/>
      <c r="AE16" s="463">
        <v>-992000.05</v>
      </c>
      <c r="AF16" s="528">
        <v>0</v>
      </c>
      <c r="AG16" s="1401"/>
      <c r="AH16" s="15"/>
      <c r="AI16" s="15"/>
      <c r="AJ16" s="15"/>
      <c r="AK16" s="15"/>
      <c r="AL16" s="15"/>
      <c r="AM16" s="15"/>
      <c r="AN16" s="15"/>
      <c r="AO16" s="15"/>
    </row>
    <row r="17" spans="1:41" s="194" customFormat="1" ht="13.5" thickBot="1">
      <c r="A17" s="770"/>
      <c r="B17" s="106" t="s">
        <v>595</v>
      </c>
      <c r="C17" s="15"/>
      <c r="D17" s="419">
        <f>+'Rate Base'!$AE$214</f>
        <v>0</v>
      </c>
      <c r="E17" s="1537">
        <f>D17/D18</f>
        <v>0</v>
      </c>
      <c r="F17" s="409"/>
      <c r="G17" s="1539">
        <f>(E17*$N$9)+N75+N85</f>
        <v>-42063.300484538369</v>
      </c>
      <c r="H17" s="1539">
        <f t="shared" si="2"/>
        <v>-42063.300484538369</v>
      </c>
      <c r="J17" s="15"/>
      <c r="K17" s="193" t="s">
        <v>1089</v>
      </c>
      <c r="L17" s="193"/>
      <c r="M17" s="332"/>
      <c r="N17" s="332"/>
      <c r="O17" s="332"/>
      <c r="P17" s="332"/>
      <c r="Q17" s="15"/>
      <c r="R17" s="694"/>
      <c r="T17" s="668"/>
      <c r="U17" s="694"/>
      <c r="W17" s="668"/>
      <c r="AE17" s="1204"/>
      <c r="AF17" s="1204"/>
      <c r="AG17" s="1401"/>
      <c r="AH17" s="15"/>
      <c r="AI17" s="15"/>
      <c r="AJ17" s="15"/>
      <c r="AK17" s="15"/>
      <c r="AL17" s="15"/>
      <c r="AM17" s="15"/>
      <c r="AN17" s="15"/>
      <c r="AO17" s="15"/>
    </row>
    <row r="18" spans="1:41" s="194" customFormat="1">
      <c r="A18" s="770"/>
      <c r="B18" s="106" t="s">
        <v>170</v>
      </c>
      <c r="C18" s="15"/>
      <c r="D18" s="106">
        <f>SUM(D14:D17)</f>
        <v>57435073</v>
      </c>
      <c r="E18" s="171">
        <f>SUM(E14:E17)</f>
        <v>0.99999999999999989</v>
      </c>
      <c r="F18" s="171"/>
      <c r="G18" s="106">
        <f>SUM(G14:G17)</f>
        <v>30760651.039999999</v>
      </c>
      <c r="H18" s="106">
        <f>SUM(H14:H17)</f>
        <v>30760651.039999999</v>
      </c>
      <c r="I18" s="670"/>
      <c r="J18" s="1518" t="s">
        <v>1564</v>
      </c>
      <c r="K18" s="193" t="s">
        <v>1088</v>
      </c>
      <c r="L18" s="193"/>
      <c r="M18" s="1322"/>
      <c r="N18" s="332">
        <f>+M18</f>
        <v>0</v>
      </c>
      <c r="O18" s="1415"/>
      <c r="P18" s="332">
        <f>+N18+O18</f>
        <v>0</v>
      </c>
      <c r="Q18" s="15"/>
      <c r="R18" s="1516">
        <f t="shared" ref="R18:R24" si="3">+N18*$R$9</f>
        <v>0</v>
      </c>
      <c r="S18" s="1517">
        <f t="shared" ref="S18:S24" si="4">+N18*$S$9</f>
        <v>0</v>
      </c>
      <c r="T18" s="671">
        <f t="shared" ref="T18:T24" si="5">+R18+S18</f>
        <v>0</v>
      </c>
      <c r="U18" s="1516">
        <f t="shared" ref="U18:U24" si="6">+P18*$U$9</f>
        <v>0</v>
      </c>
      <c r="V18" s="1517">
        <f t="shared" ref="V18:V24" si="7">+P18*$V$9</f>
        <v>0</v>
      </c>
      <c r="W18" s="671">
        <f t="shared" ref="W18:W24" si="8">+U18+V18</f>
        <v>0</v>
      </c>
      <c r="AE18" s="529">
        <v>0</v>
      </c>
      <c r="AF18" s="530">
        <v>0</v>
      </c>
      <c r="AG18" s="1401"/>
      <c r="AH18" s="15"/>
      <c r="AI18" s="15"/>
      <c r="AJ18" s="15"/>
      <c r="AK18" s="15"/>
      <c r="AL18" s="15"/>
      <c r="AM18" s="15"/>
      <c r="AN18" s="15"/>
      <c r="AO18" s="15"/>
    </row>
    <row r="19" spans="1:41" s="194" customFormat="1">
      <c r="A19" s="770"/>
      <c r="B19" s="106"/>
      <c r="C19" s="15"/>
      <c r="D19" s="106"/>
      <c r="G19" s="106"/>
      <c r="H19" s="106"/>
      <c r="J19" s="1518" t="s">
        <v>1565</v>
      </c>
      <c r="K19" s="193" t="s">
        <v>1087</v>
      </c>
      <c r="L19" s="193"/>
      <c r="M19" s="1322">
        <f>-22000000*M46</f>
        <v>-5440511.5599999996</v>
      </c>
      <c r="N19" s="332">
        <f t="shared" ref="N19:N23" si="9">+M19</f>
        <v>-5440511.5599999996</v>
      </c>
      <c r="O19" s="1322"/>
      <c r="P19" s="332">
        <f t="shared" ref="P19:P23" si="10">+N19+O19</f>
        <v>-5440511.5599999996</v>
      </c>
      <c r="Q19" s="15"/>
      <c r="R19" s="1516">
        <f t="shared" si="3"/>
        <v>-5266959.2412359994</v>
      </c>
      <c r="S19" s="1517">
        <f t="shared" si="4"/>
        <v>-173552.31876399997</v>
      </c>
      <c r="T19" s="671">
        <f t="shared" si="5"/>
        <v>-5440511.5599999996</v>
      </c>
      <c r="U19" s="1516">
        <f t="shared" si="6"/>
        <v>-5266959.2412359994</v>
      </c>
      <c r="V19" s="1517">
        <f t="shared" si="7"/>
        <v>-173552.31876399997</v>
      </c>
      <c r="W19" s="671">
        <f t="shared" si="8"/>
        <v>-5440511.5599999996</v>
      </c>
      <c r="AE19" s="1204"/>
      <c r="AF19" s="1204"/>
      <c r="AG19" s="1401"/>
      <c r="AH19" s="15"/>
      <c r="AI19" s="15"/>
      <c r="AJ19" s="15"/>
      <c r="AK19" s="15"/>
      <c r="AL19" s="15"/>
      <c r="AM19" s="15"/>
      <c r="AN19" s="15"/>
      <c r="AO19" s="15"/>
    </row>
    <row r="20" spans="1:41" s="194" customFormat="1">
      <c r="A20" s="770" t="s">
        <v>304</v>
      </c>
      <c r="B20" s="232" t="s">
        <v>306</v>
      </c>
      <c r="C20" s="15"/>
      <c r="D20" s="106"/>
      <c r="G20" s="106"/>
      <c r="H20" s="106"/>
      <c r="J20" s="1518" t="s">
        <v>1566</v>
      </c>
      <c r="K20" s="193" t="s">
        <v>1086</v>
      </c>
      <c r="L20" s="193"/>
      <c r="M20" s="1415">
        <f>24000000*M46</f>
        <v>5935103.5199999996</v>
      </c>
      <c r="N20" s="332">
        <f t="shared" si="9"/>
        <v>5935103.5199999996</v>
      </c>
      <c r="O20" s="1415"/>
      <c r="P20" s="332">
        <f t="shared" si="10"/>
        <v>5935103.5199999996</v>
      </c>
      <c r="Q20" s="15"/>
      <c r="R20" s="1516">
        <f t="shared" si="3"/>
        <v>5745773.7177119991</v>
      </c>
      <c r="S20" s="1517">
        <f t="shared" si="4"/>
        <v>189329.80228799998</v>
      </c>
      <c r="T20" s="671">
        <f t="shared" si="5"/>
        <v>5935103.5199999986</v>
      </c>
      <c r="U20" s="1516">
        <f t="shared" si="6"/>
        <v>5745773.7177119991</v>
      </c>
      <c r="V20" s="1517">
        <f t="shared" si="7"/>
        <v>189329.80228799998</v>
      </c>
      <c r="W20" s="671">
        <f t="shared" si="8"/>
        <v>5935103.5199999986</v>
      </c>
      <c r="AE20" s="1497"/>
      <c r="AF20" s="1497">
        <v>0</v>
      </c>
      <c r="AG20" s="1404"/>
      <c r="AH20" s="15"/>
      <c r="AI20" s="15"/>
      <c r="AJ20" s="15"/>
      <c r="AK20" s="15"/>
      <c r="AL20" s="15"/>
      <c r="AM20" s="15"/>
      <c r="AN20" s="15"/>
      <c r="AO20" s="15"/>
    </row>
    <row r="21" spans="1:41" s="194" customFormat="1">
      <c r="A21" s="770"/>
      <c r="B21" s="106" t="s">
        <v>443</v>
      </c>
      <c r="C21" s="15"/>
      <c r="D21" s="106">
        <f>+'Rate Base'!$AE$218</f>
        <v>0</v>
      </c>
      <c r="E21" s="171">
        <f>D21/D25</f>
        <v>0</v>
      </c>
      <c r="F21" s="171"/>
      <c r="G21" s="389">
        <f>(E21*$N$10)+S82</f>
        <v>34.18479592095921</v>
      </c>
      <c r="H21" s="389">
        <f>(E21*$N$10)+S82</f>
        <v>34.18479592095921</v>
      </c>
      <c r="J21" s="1518"/>
      <c r="K21" s="193" t="s">
        <v>1085</v>
      </c>
      <c r="L21" s="193"/>
      <c r="M21" s="1415"/>
      <c r="N21" s="332">
        <f t="shared" si="9"/>
        <v>0</v>
      </c>
      <c r="O21" s="1415"/>
      <c r="P21" s="332">
        <f t="shared" si="10"/>
        <v>0</v>
      </c>
      <c r="Q21" s="15"/>
      <c r="R21" s="1516">
        <f t="shared" si="3"/>
        <v>0</v>
      </c>
      <c r="S21" s="1517">
        <f t="shared" si="4"/>
        <v>0</v>
      </c>
      <c r="T21" s="671">
        <f t="shared" si="5"/>
        <v>0</v>
      </c>
      <c r="U21" s="1516">
        <f t="shared" si="6"/>
        <v>0</v>
      </c>
      <c r="V21" s="1517">
        <f t="shared" si="7"/>
        <v>0</v>
      </c>
      <c r="W21" s="671">
        <f t="shared" si="8"/>
        <v>0</v>
      </c>
      <c r="AE21" s="526">
        <v>0</v>
      </c>
      <c r="AF21" s="526">
        <v>0</v>
      </c>
      <c r="AG21" s="1404"/>
      <c r="AH21" s="15"/>
      <c r="AI21" s="15"/>
      <c r="AJ21" s="15"/>
      <c r="AK21" s="15"/>
      <c r="AL21" s="15"/>
      <c r="AM21" s="15"/>
      <c r="AN21" s="15"/>
      <c r="AO21" s="15"/>
    </row>
    <row r="22" spans="1:41" s="194" customFormat="1">
      <c r="A22" s="770"/>
      <c r="B22" s="106" t="s">
        <v>592</v>
      </c>
      <c r="C22" s="15"/>
      <c r="D22" s="106">
        <f>+'Rate Base'!$AE$219</f>
        <v>0</v>
      </c>
      <c r="E22" s="171">
        <f>D22/D25</f>
        <v>0</v>
      </c>
      <c r="F22" s="171"/>
      <c r="G22" s="106">
        <f t="shared" ref="G22:G24" si="11">(E22*$N$10)+S83</f>
        <v>-6571.6669811370621</v>
      </c>
      <c r="H22" s="106">
        <f t="shared" ref="H22:H23" si="12">(E22*$N$10)+S83</f>
        <v>-6571.6669811370621</v>
      </c>
      <c r="J22" s="1518" t="s">
        <v>1567</v>
      </c>
      <c r="K22" s="193" t="s">
        <v>1084</v>
      </c>
      <c r="L22" s="193"/>
      <c r="M22" s="1322"/>
      <c r="N22" s="332">
        <f t="shared" si="9"/>
        <v>0</v>
      </c>
      <c r="O22" s="1415"/>
      <c r="P22" s="332">
        <f t="shared" si="10"/>
        <v>0</v>
      </c>
      <c r="Q22" s="15"/>
      <c r="R22" s="1516">
        <f t="shared" si="3"/>
        <v>0</v>
      </c>
      <c r="S22" s="1517">
        <f t="shared" si="4"/>
        <v>0</v>
      </c>
      <c r="T22" s="671">
        <f t="shared" si="5"/>
        <v>0</v>
      </c>
      <c r="U22" s="1516">
        <f t="shared" si="6"/>
        <v>0</v>
      </c>
      <c r="V22" s="1517">
        <f t="shared" si="7"/>
        <v>0</v>
      </c>
      <c r="W22" s="671">
        <f t="shared" si="8"/>
        <v>0</v>
      </c>
      <c r="AE22" s="465">
        <v>64575</v>
      </c>
      <c r="AF22" s="465">
        <v>2691.5</v>
      </c>
      <c r="AG22" s="1404"/>
      <c r="AH22" s="15"/>
      <c r="AI22" s="15"/>
      <c r="AJ22" s="15"/>
      <c r="AK22" s="15"/>
      <c r="AL22" s="15"/>
      <c r="AM22" s="15"/>
      <c r="AN22" s="15"/>
      <c r="AO22" s="15"/>
    </row>
    <row r="23" spans="1:41" s="194" customFormat="1">
      <c r="A23" s="770"/>
      <c r="B23" s="106" t="s">
        <v>593</v>
      </c>
      <c r="C23" s="15"/>
      <c r="D23" s="106">
        <f>+'Rate Base'!$AE$220</f>
        <v>13135753</v>
      </c>
      <c r="E23" s="171">
        <f>D23/D25</f>
        <v>1</v>
      </c>
      <c r="F23" s="171"/>
      <c r="G23" s="106">
        <f t="shared" si="11"/>
        <v>7510929.7476664959</v>
      </c>
      <c r="H23" s="106">
        <f t="shared" si="12"/>
        <v>7510929.7476664959</v>
      </c>
      <c r="J23" s="1518" t="s">
        <v>1568</v>
      </c>
      <c r="K23" s="193" t="s">
        <v>1083</v>
      </c>
      <c r="L23" s="193"/>
      <c r="M23" s="1415"/>
      <c r="N23" s="332">
        <f t="shared" si="9"/>
        <v>0</v>
      </c>
      <c r="O23" s="1415"/>
      <c r="P23" s="332">
        <f t="shared" si="10"/>
        <v>0</v>
      </c>
      <c r="Q23" s="15"/>
      <c r="R23" s="1516">
        <f t="shared" si="3"/>
        <v>0</v>
      </c>
      <c r="S23" s="1517">
        <f t="shared" si="4"/>
        <v>0</v>
      </c>
      <c r="T23" s="671">
        <f t="shared" si="5"/>
        <v>0</v>
      </c>
      <c r="U23" s="1516">
        <f t="shared" si="6"/>
        <v>0</v>
      </c>
      <c r="V23" s="1517">
        <f t="shared" si="7"/>
        <v>0</v>
      </c>
      <c r="W23" s="671">
        <f t="shared" si="8"/>
        <v>0</v>
      </c>
      <c r="AE23" s="526">
        <v>0</v>
      </c>
      <c r="AF23" s="526">
        <v>0</v>
      </c>
      <c r="AG23" s="1404"/>
      <c r="AH23" s="15"/>
      <c r="AI23" s="15"/>
      <c r="AJ23" s="15"/>
      <c r="AK23" s="15"/>
      <c r="AL23" s="15"/>
      <c r="AM23" s="15"/>
      <c r="AN23" s="15"/>
      <c r="AO23" s="15"/>
    </row>
    <row r="24" spans="1:41" s="194" customFormat="1" ht="13.5" thickBot="1">
      <c r="A24" s="770"/>
      <c r="B24" s="106" t="s">
        <v>595</v>
      </c>
      <c r="C24" s="15"/>
      <c r="D24" s="419">
        <f>+'Rate Base'!$AE$221</f>
        <v>0</v>
      </c>
      <c r="E24" s="1537">
        <f>D24/D25</f>
        <v>0</v>
      </c>
      <c r="F24" s="409"/>
      <c r="G24" s="1396">
        <f t="shared" si="11"/>
        <v>-9924.8154812795201</v>
      </c>
      <c r="H24" s="1539">
        <f>(E24*$N$10)+S85</f>
        <v>-9924.8154812795201</v>
      </c>
      <c r="J24" s="15"/>
      <c r="K24" s="15"/>
      <c r="L24" s="15"/>
      <c r="M24" s="332"/>
      <c r="N24" s="332"/>
      <c r="O24" s="332"/>
      <c r="P24" s="332"/>
      <c r="Q24" s="15"/>
      <c r="R24" s="1516">
        <f t="shared" si="3"/>
        <v>0</v>
      </c>
      <c r="S24" s="1517">
        <f t="shared" si="4"/>
        <v>0</v>
      </c>
      <c r="T24" s="671">
        <f t="shared" si="5"/>
        <v>0</v>
      </c>
      <c r="U24" s="1516">
        <f t="shared" si="6"/>
        <v>0</v>
      </c>
      <c r="V24" s="1517">
        <f t="shared" si="7"/>
        <v>0</v>
      </c>
      <c r="W24" s="671">
        <f t="shared" si="8"/>
        <v>0</v>
      </c>
      <c r="AE24" s="526">
        <v>0</v>
      </c>
      <c r="AF24" s="526">
        <v>0</v>
      </c>
      <c r="AG24" s="1404"/>
      <c r="AH24" s="15"/>
      <c r="AI24" s="15"/>
      <c r="AJ24" s="15"/>
      <c r="AK24" s="15"/>
      <c r="AL24" s="15"/>
      <c r="AM24" s="15"/>
      <c r="AN24" s="15"/>
      <c r="AO24" s="15"/>
    </row>
    <row r="25" spans="1:41" s="194" customFormat="1" ht="13.5" thickBot="1">
      <c r="A25" s="770"/>
      <c r="B25" s="106" t="s">
        <v>170</v>
      </c>
      <c r="C25" s="15"/>
      <c r="D25" s="106">
        <f>SUM(D21:D24)</f>
        <v>13135753</v>
      </c>
      <c r="E25" s="171">
        <f>SUM(E21:E24)</f>
        <v>1</v>
      </c>
      <c r="F25" s="171"/>
      <c r="G25" s="106">
        <f>SUM(G21:G24)</f>
        <v>7494467.4500000002</v>
      </c>
      <c r="H25" s="106">
        <f>SUM(H21:H24)</f>
        <v>7494467.4500000002</v>
      </c>
      <c r="J25" s="15"/>
      <c r="K25" s="193" t="s">
        <v>1082</v>
      </c>
      <c r="L25" s="193"/>
      <c r="M25" s="15"/>
      <c r="N25" s="633">
        <f>SUM(N15:N24,N11,N12)</f>
        <v>-314612940.49000001</v>
      </c>
      <c r="O25" s="633"/>
      <c r="P25" s="633">
        <f>SUM(P13:P24)</f>
        <v>-278443428.00000006</v>
      </c>
      <c r="Q25" s="15"/>
      <c r="R25" s="694"/>
      <c r="T25" s="668"/>
      <c r="U25" s="694"/>
      <c r="W25" s="668"/>
      <c r="AE25" s="466">
        <v>170900782.08999997</v>
      </c>
      <c r="AF25" s="465">
        <v>2688909.04</v>
      </c>
      <c r="AG25" s="1404"/>
      <c r="AH25" s="15"/>
      <c r="AI25" s="15"/>
      <c r="AJ25" s="15"/>
      <c r="AK25" s="15"/>
      <c r="AL25" s="15"/>
      <c r="AM25" s="15"/>
      <c r="AN25" s="15"/>
      <c r="AO25" s="15"/>
    </row>
    <row r="26" spans="1:41" s="194" customFormat="1" ht="14.25" thickTop="1" thickBot="1">
      <c r="A26" s="770"/>
      <c r="C26" s="15"/>
      <c r="G26" s="106"/>
      <c r="H26" s="106"/>
      <c r="J26" s="15"/>
      <c r="K26" s="15"/>
      <c r="L26" s="15"/>
      <c r="M26" s="332"/>
      <c r="N26" s="332"/>
      <c r="O26" s="332"/>
      <c r="P26" s="332"/>
      <c r="Q26" s="15"/>
      <c r="R26" s="1519">
        <f>SUM(R11:R25)</f>
        <v>-254297465.83832404</v>
      </c>
      <c r="S26" s="633">
        <f>SUM(S11:S25)</f>
        <v>-60315474.651675999</v>
      </c>
      <c r="T26" s="1520">
        <f>SUM(T11:T25)</f>
        <v>-314612940.49000007</v>
      </c>
      <c r="U26" s="1519">
        <f t="shared" ref="U26:W26" si="13">SUM(U11:U25)</f>
        <v>-257411385.62702402</v>
      </c>
      <c r="V26" s="633">
        <f t="shared" si="13"/>
        <v>-60418081.862976</v>
      </c>
      <c r="W26" s="1520">
        <f t="shared" si="13"/>
        <v>-317829467.49000007</v>
      </c>
      <c r="AE26" s="466"/>
      <c r="AF26" s="465">
        <v>0</v>
      </c>
      <c r="AG26" s="1404"/>
      <c r="AH26" s="15"/>
      <c r="AI26" s="15"/>
      <c r="AJ26" s="15"/>
      <c r="AK26" s="15"/>
      <c r="AL26" s="15"/>
      <c r="AM26" s="15"/>
      <c r="AN26" s="15"/>
      <c r="AO26" s="15"/>
    </row>
    <row r="27" spans="1:41" s="194" customFormat="1" ht="13.5" thickTop="1">
      <c r="A27" s="770">
        <v>2820</v>
      </c>
      <c r="B27" s="106" t="s">
        <v>477</v>
      </c>
      <c r="C27" s="15"/>
      <c r="E27" s="267"/>
      <c r="F27" s="267"/>
      <c r="G27" s="771"/>
      <c r="H27" s="771"/>
      <c r="J27" s="15"/>
      <c r="K27" s="193" t="s">
        <v>1081</v>
      </c>
      <c r="L27" s="106"/>
      <c r="M27" s="382">
        <v>-28629.62</v>
      </c>
      <c r="N27" s="382">
        <f>SUM(M27:M27)-D54</f>
        <v>0</v>
      </c>
      <c r="O27" s="382">
        <v>0</v>
      </c>
      <c r="P27" s="382">
        <f>SUM(N27:O27)</f>
        <v>0</v>
      </c>
      <c r="Q27" s="15"/>
      <c r="R27" s="694"/>
      <c r="T27" s="668"/>
      <c r="U27" s="694"/>
      <c r="W27" s="668"/>
      <c r="AE27" s="465">
        <v>-1740840.07</v>
      </c>
      <c r="AF27" s="531">
        <v>27785.53</v>
      </c>
      <c r="AG27" s="1404"/>
      <c r="AH27" s="15"/>
      <c r="AI27" s="15"/>
      <c r="AJ27" s="15"/>
      <c r="AK27" s="15"/>
      <c r="AL27" s="15"/>
      <c r="AM27" s="15"/>
      <c r="AN27" s="15"/>
      <c r="AO27" s="15"/>
    </row>
    <row r="28" spans="1:41" s="194" customFormat="1" ht="13.5" thickBot="1">
      <c r="A28" s="770"/>
      <c r="B28" s="106" t="s">
        <v>443</v>
      </c>
      <c r="C28" s="15"/>
      <c r="D28" s="213">
        <f>+'Rate Base'!$AE$246</f>
        <v>44147.49</v>
      </c>
      <c r="E28" s="171">
        <f>D28/D32</f>
        <v>-1.5833698127809396E-4</v>
      </c>
      <c r="F28" s="171"/>
      <c r="G28" s="106">
        <f t="shared" ref="G28:G31" si="14">+E28*$G$32</f>
        <v>40264.693087509455</v>
      </c>
      <c r="H28" s="106">
        <f>+E28*H32</f>
        <v>40757.741746794331</v>
      </c>
      <c r="J28" s="15"/>
      <c r="K28" s="193"/>
      <c r="L28" s="193"/>
      <c r="M28" s="332"/>
      <c r="N28" s="382"/>
      <c r="P28" s="382"/>
      <c r="Q28" s="15"/>
      <c r="R28" s="1194"/>
      <c r="S28" s="1393"/>
      <c r="T28" s="1521">
        <f>SUM(N15:N24)+N11+N12</f>
        <v>-314612940.49000001</v>
      </c>
      <c r="U28" s="1194"/>
      <c r="V28" s="1393"/>
      <c r="W28" s="1521">
        <f>SUM(P15:P24)+P12+P11</f>
        <v>-317829467.49000001</v>
      </c>
      <c r="AE28" s="526">
        <v>0</v>
      </c>
      <c r="AF28" s="526">
        <v>0</v>
      </c>
      <c r="AG28" s="1404"/>
      <c r="AH28" s="15"/>
      <c r="AI28" s="15"/>
      <c r="AJ28" s="15"/>
      <c r="AK28" s="15"/>
      <c r="AL28" s="15"/>
      <c r="AM28" s="15"/>
      <c r="AN28" s="15"/>
      <c r="AO28" s="15"/>
    </row>
    <row r="29" spans="1:41" s="194" customFormat="1">
      <c r="A29" s="770"/>
      <c r="B29" s="106" t="s">
        <v>592</v>
      </c>
      <c r="C29" s="15"/>
      <c r="D29" s="213">
        <f>+'Rate Base'!$AE$247</f>
        <v>-8486889.9906229991</v>
      </c>
      <c r="E29" s="171">
        <f>D29/D32</f>
        <v>3.0438617043789282E-2</v>
      </c>
      <c r="F29" s="171"/>
      <c r="G29" s="106">
        <f t="shared" si="14"/>
        <v>-7740463.1778588332</v>
      </c>
      <c r="H29" s="106">
        <f>+E29*H32</f>
        <v>-7835246.5898121493</v>
      </c>
      <c r="J29" s="15"/>
      <c r="K29" s="193"/>
      <c r="L29" s="193"/>
      <c r="M29" s="332"/>
      <c r="N29" s="382"/>
      <c r="O29" s="382"/>
      <c r="P29" s="382"/>
      <c r="Q29" s="15"/>
      <c r="R29" s="15"/>
      <c r="S29" s="15"/>
      <c r="T29" s="15"/>
      <c r="U29" s="15"/>
      <c r="V29" s="15"/>
      <c r="W29" s="15"/>
      <c r="AE29" s="527">
        <v>0</v>
      </c>
      <c r="AF29" s="527">
        <v>0</v>
      </c>
      <c r="AG29" s="1404"/>
      <c r="AH29" s="15"/>
      <c r="AI29" s="15"/>
      <c r="AJ29" s="15"/>
      <c r="AK29" s="15"/>
      <c r="AL29" s="15"/>
      <c r="AM29" s="15"/>
      <c r="AN29" s="15"/>
      <c r="AO29" s="15"/>
    </row>
    <row r="30" spans="1:41" s="194" customFormat="1">
      <c r="A30" s="770"/>
      <c r="B30" s="106" t="s">
        <v>593</v>
      </c>
      <c r="C30" s="15"/>
      <c r="D30" s="213">
        <f>+'Rate Base'!$AE$248</f>
        <v>-257559818.17937699</v>
      </c>
      <c r="E30" s="171">
        <f>D30/D32</f>
        <v>0.92375000501857063</v>
      </c>
      <c r="F30" s="171"/>
      <c r="G30" s="106">
        <f t="shared" si="14"/>
        <v>-234907285.34436163</v>
      </c>
      <c r="H30" s="106">
        <f>+E30*H32</f>
        <v>-237783768.76480067</v>
      </c>
      <c r="J30" s="15"/>
      <c r="K30" s="193"/>
      <c r="L30" s="193"/>
      <c r="M30" s="332"/>
      <c r="N30" s="382"/>
      <c r="O30" s="382"/>
      <c r="P30" s="382"/>
      <c r="Q30" s="15"/>
      <c r="R30" s="15"/>
      <c r="S30" s="15"/>
      <c r="T30" s="15"/>
      <c r="U30" s="15"/>
      <c r="V30" s="15"/>
      <c r="W30" s="15"/>
      <c r="AE30" s="527">
        <v>0</v>
      </c>
      <c r="AF30" s="527">
        <v>0</v>
      </c>
      <c r="AG30" s="1404"/>
      <c r="AH30" s="15"/>
      <c r="AI30" s="15"/>
      <c r="AJ30" s="15"/>
      <c r="AK30" s="465"/>
      <c r="AL30" s="15"/>
      <c r="AM30" s="467"/>
      <c r="AN30" s="15"/>
      <c r="AO30" s="15"/>
    </row>
    <row r="31" spans="1:41" s="194" customFormat="1" ht="13.5" thickBot="1">
      <c r="A31" s="770"/>
      <c r="B31" s="106" t="s">
        <v>595</v>
      </c>
      <c r="C31" s="15"/>
      <c r="D31" s="419">
        <f>+'Rate Base'!$AE$249</f>
        <v>-12817268.039999999</v>
      </c>
      <c r="E31" s="1537">
        <f>D31/D32</f>
        <v>4.59697149189182E-2</v>
      </c>
      <c r="F31" s="409"/>
      <c r="G31" s="1396">
        <f t="shared" si="14"/>
        <v>-11689982.009191096</v>
      </c>
      <c r="H31" s="1396">
        <f>+E31*H32</f>
        <v>-11833128.014158012</v>
      </c>
      <c r="J31" s="15"/>
      <c r="K31" s="193"/>
      <c r="L31" s="193"/>
      <c r="M31" s="332"/>
      <c r="N31" s="382"/>
      <c r="O31" s="382"/>
      <c r="P31" s="382"/>
      <c r="Q31" s="15"/>
      <c r="R31" s="15"/>
      <c r="S31" s="15"/>
      <c r="T31" s="15"/>
      <c r="U31" s="15"/>
      <c r="V31" s="15"/>
      <c r="W31" s="15"/>
      <c r="AE31" s="465">
        <v>25178231.680000003</v>
      </c>
      <c r="AF31" s="465">
        <v>0</v>
      </c>
      <c r="AG31" s="1404"/>
      <c r="AH31" s="15"/>
      <c r="AI31" s="15"/>
      <c r="AJ31" s="15"/>
      <c r="AK31" s="15"/>
      <c r="AL31" s="15"/>
      <c r="AM31" s="15"/>
      <c r="AN31" s="15"/>
      <c r="AO31" s="15"/>
    </row>
    <row r="32" spans="1:41" s="194" customFormat="1">
      <c r="A32" s="770"/>
      <c r="B32" s="106" t="s">
        <v>170</v>
      </c>
      <c r="C32" s="15"/>
      <c r="D32" s="213">
        <f>SUM(D28:D31)</f>
        <v>-278819828.71999997</v>
      </c>
      <c r="E32" s="171">
        <f>SUM(E28:E31)</f>
        <v>1</v>
      </c>
      <c r="F32" s="171"/>
      <c r="G32" s="106">
        <f>R26</f>
        <v>-254297465.83832404</v>
      </c>
      <c r="H32" s="106">
        <f>U26</f>
        <v>-257411385.62702402</v>
      </c>
      <c r="I32" s="468">
        <f>+G32-D32</f>
        <v>24522362.881675929</v>
      </c>
      <c r="J32" s="95">
        <f>+H32-G32</f>
        <v>-3113919.7886999846</v>
      </c>
      <c r="K32" s="15"/>
      <c r="L32" s="15"/>
      <c r="M32" s="1522"/>
      <c r="O32" s="332"/>
      <c r="P32" s="332"/>
      <c r="Q32" s="15"/>
      <c r="R32" s="15"/>
      <c r="S32" s="15"/>
      <c r="T32" s="15"/>
      <c r="U32" s="15"/>
      <c r="V32" s="15"/>
      <c r="W32" s="15"/>
      <c r="AE32" s="465">
        <v>0</v>
      </c>
      <c r="AF32" s="465">
        <v>0</v>
      </c>
      <c r="AG32" s="1404"/>
      <c r="AH32" s="15"/>
      <c r="AI32" s="15"/>
      <c r="AJ32" s="15"/>
      <c r="AK32" s="15"/>
      <c r="AL32" s="15"/>
      <c r="AM32" s="15"/>
      <c r="AN32" s="15"/>
      <c r="AO32" s="15"/>
    </row>
    <row r="33" spans="1:41" s="194" customFormat="1">
      <c r="A33" s="770"/>
      <c r="B33" s="106"/>
      <c r="C33" s="15"/>
      <c r="D33" s="213"/>
      <c r="E33" s="171"/>
      <c r="F33" s="171"/>
      <c r="G33" s="106"/>
      <c r="H33" s="106"/>
      <c r="J33" s="15"/>
      <c r="K33" s="15"/>
      <c r="L33" s="15"/>
      <c r="M33" s="422" t="s">
        <v>913</v>
      </c>
      <c r="N33" s="422" t="s">
        <v>913</v>
      </c>
      <c r="O33" s="421"/>
      <c r="P33" s="421"/>
      <c r="Q33" s="15"/>
      <c r="R33" s="15"/>
      <c r="S33" s="15"/>
      <c r="T33" s="15"/>
      <c r="U33" s="15"/>
      <c r="V33" s="15"/>
      <c r="W33" s="15"/>
      <c r="AE33" s="526">
        <v>0</v>
      </c>
      <c r="AF33" s="526">
        <v>0</v>
      </c>
      <c r="AG33" s="1404"/>
      <c r="AH33" s="15"/>
      <c r="AI33" s="15"/>
      <c r="AJ33" s="15"/>
      <c r="AK33" s="15"/>
      <c r="AL33" s="15"/>
      <c r="AM33" s="15"/>
      <c r="AN33" s="15"/>
      <c r="AO33" s="15"/>
    </row>
    <row r="34" spans="1:41" s="194" customFormat="1" ht="13.5" thickBot="1">
      <c r="A34" s="770">
        <v>2821</v>
      </c>
      <c r="B34" s="106" t="s">
        <v>478</v>
      </c>
      <c r="C34" s="15"/>
      <c r="E34" s="171"/>
      <c r="F34" s="171"/>
      <c r="G34" s="106"/>
      <c r="H34" s="106"/>
      <c r="J34" s="15"/>
      <c r="K34" s="15"/>
      <c r="L34" s="15"/>
      <c r="M34" s="1523">
        <v>2018</v>
      </c>
      <c r="N34" s="1523">
        <v>2019</v>
      </c>
      <c r="O34" s="1523" t="s">
        <v>856</v>
      </c>
      <c r="P34" s="1523"/>
      <c r="Q34" s="15"/>
      <c r="R34" s="15"/>
      <c r="S34" s="15"/>
      <c r="T34" s="15"/>
      <c r="U34" s="15"/>
      <c r="V34" s="15"/>
      <c r="W34" s="15"/>
      <c r="AE34" s="526">
        <v>0</v>
      </c>
      <c r="AF34" s="527">
        <v>0</v>
      </c>
      <c r="AG34" s="1404"/>
      <c r="AH34" s="15"/>
      <c r="AI34" s="15"/>
      <c r="AJ34" s="15"/>
      <c r="AK34" s="15"/>
      <c r="AL34" s="15"/>
      <c r="AM34" s="15"/>
      <c r="AN34" s="15"/>
      <c r="AO34" s="15"/>
    </row>
    <row r="35" spans="1:41" s="194" customFormat="1">
      <c r="A35" s="770"/>
      <c r="B35" s="106" t="s">
        <v>443</v>
      </c>
      <c r="C35" s="15"/>
      <c r="D35" s="213">
        <f>+'Rate Base'!$AE$253</f>
        <v>-700755.31</v>
      </c>
      <c r="E35" s="171">
        <f>D35/D39</f>
        <v>1.0635070449466162E-2</v>
      </c>
      <c r="F35" s="171"/>
      <c r="G35" s="106">
        <f t="shared" ref="G35:G38" si="15">+E35*$G$39</f>
        <v>-641459.32211356482</v>
      </c>
      <c r="H35" s="106">
        <f>+E35*H39</f>
        <v>-642550.5570343635</v>
      </c>
      <c r="J35" s="15"/>
      <c r="K35" s="1311"/>
      <c r="L35" s="1311"/>
      <c r="M35" s="420"/>
      <c r="O35" s="420"/>
      <c r="P35" s="420"/>
      <c r="Q35" s="15"/>
      <c r="R35" s="15"/>
      <c r="S35" s="15"/>
      <c r="T35" s="15"/>
      <c r="U35" s="15"/>
      <c r="V35" s="15"/>
      <c r="W35" s="15"/>
      <c r="AE35" s="526">
        <v>0</v>
      </c>
      <c r="AF35" s="526">
        <v>0</v>
      </c>
      <c r="AG35" s="1404"/>
      <c r="AH35" s="15"/>
      <c r="AI35" s="15"/>
      <c r="AJ35" s="15"/>
      <c r="AK35" s="15"/>
      <c r="AL35" s="15"/>
      <c r="AM35" s="15"/>
      <c r="AN35" s="15"/>
      <c r="AO35" s="15"/>
    </row>
    <row r="36" spans="1:41" s="194" customFormat="1">
      <c r="A36" s="770"/>
      <c r="B36" s="106" t="s">
        <v>592</v>
      </c>
      <c r="C36" s="15"/>
      <c r="D36" s="213">
        <f>+'Rate Base'!$AE$254</f>
        <v>0</v>
      </c>
      <c r="E36" s="171">
        <f>D36/D39</f>
        <v>0</v>
      </c>
      <c r="F36" s="171"/>
      <c r="G36" s="106">
        <f t="shared" si="15"/>
        <v>0</v>
      </c>
      <c r="H36" s="106">
        <f>+E36*H39</f>
        <v>0</v>
      </c>
      <c r="J36" s="15"/>
      <c r="K36" s="414" t="s">
        <v>1080</v>
      </c>
      <c r="L36" s="414"/>
      <c r="M36" s="1322">
        <f>-Q60</f>
        <v>-83600637</v>
      </c>
      <c r="N36" s="1322">
        <f>-Q61</f>
        <v>-92936837</v>
      </c>
      <c r="O36" s="382">
        <f>+N36-M36</f>
        <v>-9336200</v>
      </c>
      <c r="P36" s="382"/>
      <c r="Q36" s="15"/>
      <c r="R36" s="15"/>
      <c r="S36" s="15"/>
      <c r="T36" s="15"/>
      <c r="U36" s="15"/>
      <c r="V36" s="15"/>
      <c r="W36" s="15"/>
      <c r="AE36" s="526">
        <v>0</v>
      </c>
      <c r="AF36" s="526">
        <v>0</v>
      </c>
      <c r="AG36" s="1404"/>
      <c r="AH36" s="15"/>
      <c r="AI36" s="15"/>
      <c r="AJ36" s="15"/>
      <c r="AK36" s="15"/>
      <c r="AL36" s="15"/>
      <c r="AM36" s="15"/>
      <c r="AN36" s="15"/>
      <c r="AO36" s="15"/>
    </row>
    <row r="37" spans="1:41" s="194" customFormat="1" ht="15.75">
      <c r="A37" s="770"/>
      <c r="B37" s="106" t="s">
        <v>593</v>
      </c>
      <c r="C37" s="15"/>
      <c r="D37" s="213">
        <f>+'Rate Base'!$AE$255</f>
        <v>-64071192.340000004</v>
      </c>
      <c r="E37" s="171">
        <f>D37/D39</f>
        <v>0.97238170670044122</v>
      </c>
      <c r="F37" s="171"/>
      <c r="G37" s="106">
        <f t="shared" si="15"/>
        <v>-58649664.182243906</v>
      </c>
      <c r="H37" s="106">
        <f>+E37*H39</f>
        <v>-58749437.557487577</v>
      </c>
      <c r="J37" s="15"/>
      <c r="K37" s="634"/>
      <c r="L37" s="634"/>
      <c r="M37" s="635"/>
      <c r="N37" s="635"/>
      <c r="O37" s="382"/>
      <c r="P37" s="382"/>
      <c r="Q37" s="15"/>
      <c r="R37" s="15"/>
      <c r="S37" s="15"/>
      <c r="T37" s="15"/>
      <c r="U37" s="15"/>
      <c r="V37" s="15"/>
      <c r="W37" s="15"/>
      <c r="AE37" s="1205">
        <v>0</v>
      </c>
      <c r="AF37" s="1205">
        <v>0</v>
      </c>
      <c r="AG37" s="1401"/>
      <c r="AH37" s="15"/>
      <c r="AI37" s="15"/>
      <c r="AJ37" s="15"/>
      <c r="AK37" s="15"/>
      <c r="AL37" s="15"/>
      <c r="AM37" s="15"/>
      <c r="AN37" s="15"/>
      <c r="AO37" s="15"/>
    </row>
    <row r="38" spans="1:41" ht="13.5" thickBot="1">
      <c r="A38" s="770"/>
      <c r="B38" s="106" t="s">
        <v>595</v>
      </c>
      <c r="D38" s="419">
        <f>+'Rate Base'!$AE$256</f>
        <v>-1119041.3500000001</v>
      </c>
      <c r="E38" s="1537">
        <f>D38/D39</f>
        <v>1.6983222850092596E-2</v>
      </c>
      <c r="F38" s="409"/>
      <c r="G38" s="1396">
        <f t="shared" si="15"/>
        <v>-1024351.1473185247</v>
      </c>
      <c r="H38" s="1396">
        <f>+E38*H39</f>
        <v>-1026093.748454059</v>
      </c>
      <c r="K38" s="416"/>
      <c r="L38" s="416"/>
      <c r="M38" s="382">
        <v>0</v>
      </c>
      <c r="N38" s="382">
        <v>0</v>
      </c>
      <c r="O38" s="382">
        <v>0</v>
      </c>
      <c r="P38" s="382"/>
      <c r="AE38" s="1204"/>
      <c r="AF38" s="1204"/>
      <c r="AG38" s="1401"/>
      <c r="AL38" s="636"/>
    </row>
    <row r="39" spans="1:41" s="194" customFormat="1" ht="15.75">
      <c r="A39" s="770"/>
      <c r="B39" s="106" t="s">
        <v>170</v>
      </c>
      <c r="C39" s="15"/>
      <c r="D39" s="213">
        <f>SUM(D35:D38)</f>
        <v>-65890989.000000007</v>
      </c>
      <c r="E39" s="387">
        <f>SUM(E35:E38)</f>
        <v>1</v>
      </c>
      <c r="F39" s="387"/>
      <c r="G39" s="106">
        <f>S26</f>
        <v>-60315474.651675999</v>
      </c>
      <c r="H39" s="106">
        <f>V26</f>
        <v>-60418081.862976</v>
      </c>
      <c r="I39" s="468">
        <f>+G39-D39</f>
        <v>5575514.3483240083</v>
      </c>
      <c r="J39" s="95">
        <f>+H39-G39</f>
        <v>-102607.21130000055</v>
      </c>
      <c r="K39" s="1311"/>
      <c r="L39" s="1311"/>
      <c r="M39" s="1524"/>
      <c r="N39" s="1524"/>
      <c r="O39" s="1513"/>
      <c r="P39" s="1513"/>
      <c r="Q39" s="15"/>
      <c r="R39" s="15"/>
      <c r="S39" s="15"/>
      <c r="T39" s="15"/>
      <c r="U39" s="15"/>
      <c r="V39" s="15"/>
      <c r="W39" s="15"/>
      <c r="AE39" s="1497">
        <v>0</v>
      </c>
      <c r="AF39" s="1403">
        <v>0</v>
      </c>
      <c r="AG39" s="1401"/>
      <c r="AH39" s="15"/>
      <c r="AI39" s="15"/>
      <c r="AJ39" s="15"/>
      <c r="AK39" s="15"/>
      <c r="AL39" s="636"/>
      <c r="AM39" s="15"/>
      <c r="AN39" s="15"/>
      <c r="AO39" s="15"/>
    </row>
    <row r="40" spans="1:41" s="194" customFormat="1">
      <c r="A40" s="770"/>
      <c r="B40" s="106"/>
      <c r="C40" s="15"/>
      <c r="D40" s="213"/>
      <c r="E40" s="418"/>
      <c r="F40" s="418"/>
      <c r="G40" s="106"/>
      <c r="H40" s="106"/>
      <c r="J40" s="15"/>
      <c r="K40" s="414" t="s">
        <v>1079</v>
      </c>
      <c r="L40" s="414"/>
      <c r="M40" s="382">
        <f>SUM(M36:M39)</f>
        <v>-83600637</v>
      </c>
      <c r="N40" s="382">
        <f>SUM(N36:N39)</f>
        <v>-92936837</v>
      </c>
      <c r="O40" s="382">
        <f>+N40-M40</f>
        <v>-9336200</v>
      </c>
      <c r="P40" s="382"/>
      <c r="Q40" s="15"/>
      <c r="R40" s="15"/>
      <c r="S40" s="15"/>
      <c r="T40" s="15"/>
      <c r="U40" s="15"/>
      <c r="V40" s="15"/>
      <c r="W40" s="15"/>
      <c r="AE40" s="526">
        <v>0</v>
      </c>
      <c r="AF40" s="528">
        <v>0</v>
      </c>
      <c r="AG40" s="1401"/>
      <c r="AH40" s="15"/>
      <c r="AI40" s="15"/>
      <c r="AJ40" s="15"/>
      <c r="AK40" s="15"/>
      <c r="AL40" s="463"/>
      <c r="AM40" s="15"/>
      <c r="AN40" s="15"/>
      <c r="AO40" s="15"/>
    </row>
    <row r="41" spans="1:41" ht="15.75">
      <c r="A41" s="770"/>
      <c r="B41" s="415" t="s">
        <v>987</v>
      </c>
      <c r="D41" s="468">
        <f>+D39+D32+D25+D18</f>
        <v>-274139991.71999997</v>
      </c>
      <c r="E41" s="171"/>
      <c r="F41" s="171"/>
      <c r="G41" s="468">
        <f t="shared" ref="G41:H41" si="16">+G39+G32+G25+G18</f>
        <v>-276357822</v>
      </c>
      <c r="H41" s="468">
        <f t="shared" si="16"/>
        <v>-279574349</v>
      </c>
      <c r="K41" s="417"/>
      <c r="L41" s="417"/>
      <c r="M41" s="1525"/>
      <c r="N41" s="1525"/>
      <c r="O41" s="1526"/>
      <c r="P41" s="1526"/>
      <c r="AE41" s="466">
        <v>3057538.28</v>
      </c>
      <c r="AF41" s="528"/>
      <c r="AG41" s="1401"/>
      <c r="AL41" s="463"/>
    </row>
    <row r="42" spans="1:41">
      <c r="A42" s="770"/>
      <c r="B42" s="194"/>
      <c r="D42" s="106">
        <f>+D39+D32+D25+D18</f>
        <v>-274139991.71999997</v>
      </c>
      <c r="E42" s="402"/>
      <c r="F42" s="402"/>
      <c r="G42" s="106"/>
      <c r="H42" s="106"/>
      <c r="K42" s="414" t="s">
        <v>1294</v>
      </c>
      <c r="L42" s="414"/>
      <c r="M42" s="382">
        <v>74966416.532004878</v>
      </c>
      <c r="N42" s="382">
        <v>79930046.048036143</v>
      </c>
      <c r="O42" s="382">
        <v>3998000</v>
      </c>
      <c r="P42" s="382"/>
      <c r="AE42" s="527">
        <v>0</v>
      </c>
      <c r="AF42" s="465">
        <v>187895.65</v>
      </c>
      <c r="AG42" s="1401"/>
    </row>
    <row r="43" spans="1:41">
      <c r="A43" s="770"/>
      <c r="B43" s="194"/>
      <c r="D43" s="106"/>
      <c r="E43" s="213"/>
      <c r="F43" s="213"/>
      <c r="G43" s="213"/>
      <c r="H43" s="213"/>
      <c r="K43" s="1311"/>
      <c r="L43" s="1311"/>
      <c r="N43" s="194"/>
      <c r="O43" s="194"/>
      <c r="P43" s="194"/>
      <c r="AE43" s="526"/>
      <c r="AF43" s="528"/>
      <c r="AG43" s="1401"/>
    </row>
    <row r="44" spans="1:41" ht="13.5" thickBot="1">
      <c r="A44" s="772"/>
      <c r="B44" s="661"/>
      <c r="D44" s="661"/>
      <c r="E44" s="773"/>
      <c r="F44" s="773"/>
      <c r="G44" s="1540"/>
      <c r="H44" s="1540"/>
      <c r="K44" s="414" t="s">
        <v>390</v>
      </c>
      <c r="L44" s="414"/>
      <c r="M44" s="30">
        <f>+M40+M42</f>
        <v>-8634220.4679951221</v>
      </c>
      <c r="N44" s="30">
        <f>+N40+N42</f>
        <v>-13006790.951963857</v>
      </c>
      <c r="O44" s="382">
        <f>+N44-M44</f>
        <v>-4372570.4839687347</v>
      </c>
      <c r="P44" s="382"/>
      <c r="AE44" s="526"/>
      <c r="AF44" s="528"/>
      <c r="AG44" s="1401"/>
    </row>
    <row r="45" spans="1:41">
      <c r="A45" s="193"/>
      <c r="B45" s="194"/>
      <c r="D45" s="194"/>
      <c r="E45" s="213"/>
      <c r="F45" s="213"/>
      <c r="G45" s="213"/>
      <c r="H45" s="213"/>
      <c r="I45" s="213"/>
      <c r="M45" s="1311"/>
      <c r="O45" s="194"/>
      <c r="P45" s="194"/>
      <c r="Q45" s="194"/>
      <c r="AE45" s="526">
        <v>0</v>
      </c>
      <c r="AF45" s="528">
        <v>0</v>
      </c>
      <c r="AG45" s="1401"/>
      <c r="AH45" s="632"/>
      <c r="AJ45" s="460"/>
      <c r="AK45" s="636"/>
      <c r="AM45" s="636"/>
    </row>
    <row r="46" spans="1:41">
      <c r="A46" s="193"/>
      <c r="B46" s="194"/>
      <c r="D46" s="194"/>
      <c r="E46" s="213"/>
      <c r="F46" s="213"/>
      <c r="G46" s="213"/>
      <c r="H46" s="213"/>
      <c r="I46" s="213"/>
      <c r="M46" s="547">
        <v>0.24729598</v>
      </c>
      <c r="N46" s="547">
        <v>0.24729598</v>
      </c>
      <c r="O46" s="547"/>
      <c r="P46" s="547"/>
      <c r="AE46" s="526"/>
      <c r="AF46" s="528"/>
      <c r="AG46" s="1401"/>
      <c r="AH46" s="632"/>
      <c r="AJ46" s="19"/>
      <c r="AK46" s="636"/>
      <c r="AM46" s="636"/>
    </row>
    <row r="47" spans="1:41">
      <c r="A47" s="770"/>
      <c r="B47" s="415"/>
      <c r="D47" s="468"/>
      <c r="E47" s="171"/>
      <c r="F47" s="171"/>
      <c r="G47" s="106"/>
      <c r="H47" s="106"/>
      <c r="I47" s="106"/>
      <c r="K47" s="414" t="s">
        <v>1078</v>
      </c>
      <c r="M47" s="102">
        <f>ROUND(M44*M46,0)</f>
        <v>-2135208</v>
      </c>
      <c r="N47" s="102">
        <f>ROUND(N44*N46,0)</f>
        <v>-3216527</v>
      </c>
      <c r="O47" s="382">
        <f>+N47-M47</f>
        <v>-1081319</v>
      </c>
      <c r="P47" s="382"/>
      <c r="AE47" s="526">
        <v>0</v>
      </c>
      <c r="AF47" s="528">
        <v>0</v>
      </c>
      <c r="AG47" s="1401"/>
      <c r="AH47" s="632"/>
      <c r="AJ47" s="636"/>
      <c r="AK47" s="463"/>
    </row>
    <row r="48" spans="1:41">
      <c r="A48" s="193"/>
      <c r="E48" s="213"/>
      <c r="F48" s="213"/>
      <c r="G48" s="213"/>
      <c r="H48" s="213"/>
      <c r="I48" s="213"/>
      <c r="M48" s="194"/>
      <c r="N48" s="194"/>
      <c r="P48" s="194"/>
      <c r="Q48" s="194"/>
      <c r="AE48" s="636">
        <v>0</v>
      </c>
      <c r="AF48" s="528"/>
      <c r="AG48" s="1401"/>
      <c r="AH48" s="632"/>
    </row>
    <row r="49" spans="1:34">
      <c r="A49" s="136">
        <v>255</v>
      </c>
      <c r="B49" s="102" t="s">
        <v>313</v>
      </c>
      <c r="E49" s="213"/>
      <c r="F49" s="413" t="s">
        <v>1269</v>
      </c>
      <c r="G49" s="1541" t="str">
        <f>+G9</f>
        <v>2018 CASE</v>
      </c>
      <c r="H49" s="1541" t="str">
        <f>+H9</f>
        <v>2019 CASE</v>
      </c>
      <c r="K49" s="412"/>
      <c r="L49" s="412"/>
      <c r="M49" s="1527"/>
      <c r="N49" s="1528"/>
      <c r="O49" s="410"/>
      <c r="P49" s="410"/>
      <c r="AE49" s="465">
        <v>9902563.2599999998</v>
      </c>
      <c r="AF49" s="528">
        <v>0</v>
      </c>
      <c r="AG49" s="1401"/>
    </row>
    <row r="50" spans="1:34">
      <c r="A50" s="136"/>
      <c r="B50" s="102" t="s">
        <v>443</v>
      </c>
      <c r="D50" s="30">
        <f>+'Rate Base'!$AE$239</f>
        <v>-1310.79</v>
      </c>
      <c r="E50" s="171"/>
      <c r="F50" s="106">
        <f>+D50</f>
        <v>-1310.79</v>
      </c>
      <c r="G50" s="106">
        <f>+F50/$F$54*$G$55</f>
        <v>0</v>
      </c>
      <c r="H50" s="106">
        <f>+F50/$F$54*$H$55</f>
        <v>0</v>
      </c>
      <c r="K50" s="1311"/>
      <c r="L50" s="1311"/>
      <c r="M50" s="411"/>
      <c r="N50" s="410"/>
      <c r="O50" s="410"/>
      <c r="P50" s="410"/>
      <c r="AE50" s="526">
        <v>0</v>
      </c>
      <c r="AF50" s="532">
        <v>782126.97</v>
      </c>
      <c r="AG50" s="1401"/>
    </row>
    <row r="51" spans="1:34">
      <c r="A51" s="136"/>
      <c r="B51" s="102" t="s">
        <v>592</v>
      </c>
      <c r="D51" s="30">
        <f>+'Rate Base'!$AE$240</f>
        <v>-854.65140200000099</v>
      </c>
      <c r="E51" s="171"/>
      <c r="F51" s="106">
        <f t="shared" ref="F51:F53" si="17">+D51</f>
        <v>-854.65140200000099</v>
      </c>
      <c r="G51" s="106">
        <f t="shared" ref="G51:G53" si="18">+F51/$F$54*$G$55</f>
        <v>0</v>
      </c>
      <c r="H51" s="106">
        <f t="shared" ref="H51:H53" si="19">+F51/$F$54*$H$55</f>
        <v>0</v>
      </c>
      <c r="AE51" s="526">
        <v>-60718.380000000005</v>
      </c>
      <c r="AF51" s="532">
        <v>0</v>
      </c>
      <c r="AG51" s="1401"/>
    </row>
    <row r="52" spans="1:34">
      <c r="A52" s="136"/>
      <c r="B52" s="102" t="s">
        <v>593</v>
      </c>
      <c r="D52" s="30">
        <f>+'Rate Base'!$AE$241</f>
        <v>-25936.928597999999</v>
      </c>
      <c r="E52" s="171"/>
      <c r="F52" s="106">
        <f t="shared" si="17"/>
        <v>-25936.928597999999</v>
      </c>
      <c r="G52" s="106">
        <f t="shared" si="18"/>
        <v>0</v>
      </c>
      <c r="H52" s="106">
        <f t="shared" si="19"/>
        <v>0</v>
      </c>
      <c r="L52" s="19" t="s">
        <v>1569</v>
      </c>
      <c r="AE52" s="526">
        <v>-4438824.04</v>
      </c>
      <c r="AF52" s="532">
        <v>0</v>
      </c>
      <c r="AG52" s="1401"/>
    </row>
    <row r="53" spans="1:34" ht="13.5" thickBot="1">
      <c r="A53" s="136"/>
      <c r="B53" s="102" t="s">
        <v>595</v>
      </c>
      <c r="D53" s="202">
        <f>+'Rate Base'!$AE$242</f>
        <v>-527.25</v>
      </c>
      <c r="E53" s="773"/>
      <c r="F53" s="419">
        <f t="shared" si="17"/>
        <v>-527.25</v>
      </c>
      <c r="G53" s="1396">
        <f t="shared" si="18"/>
        <v>0</v>
      </c>
      <c r="H53" s="1396">
        <f t="shared" si="19"/>
        <v>0</v>
      </c>
      <c r="AE53" s="526">
        <v>0</v>
      </c>
      <c r="AF53" s="532">
        <v>118301.5</v>
      </c>
      <c r="AG53" s="1401"/>
    </row>
    <row r="54" spans="1:34">
      <c r="A54" s="136"/>
      <c r="B54" s="102" t="s">
        <v>170</v>
      </c>
      <c r="D54" s="30">
        <f>SUM(D50:D53)</f>
        <v>-28629.62</v>
      </c>
      <c r="E54" s="402"/>
      <c r="F54" s="106">
        <f>SUM(F50:F53)</f>
        <v>-28629.62</v>
      </c>
      <c r="G54" s="106">
        <f>SUM(G50:G53)</f>
        <v>0</v>
      </c>
      <c r="H54" s="106">
        <f>SUM(H50:H53)</f>
        <v>0</v>
      </c>
      <c r="AE54" s="1205">
        <v>0</v>
      </c>
      <c r="AF54" s="1208">
        <v>0</v>
      </c>
      <c r="AG54" s="1401"/>
    </row>
    <row r="55" spans="1:34">
      <c r="A55" s="193"/>
      <c r="B55" s="102" t="s">
        <v>679</v>
      </c>
      <c r="E55" s="213"/>
      <c r="F55" s="213"/>
      <c r="G55" s="106">
        <f>-N27</f>
        <v>0</v>
      </c>
      <c r="H55" s="106">
        <f>-P27</f>
        <v>0</v>
      </c>
      <c r="AE55" s="1204"/>
      <c r="AF55" s="1204"/>
      <c r="AG55" s="1401"/>
    </row>
    <row r="56" spans="1:34">
      <c r="A56" s="193"/>
      <c r="B56" s="102" t="s">
        <v>1162</v>
      </c>
      <c r="E56" s="213"/>
      <c r="F56" s="213"/>
      <c r="G56" s="106">
        <f>F54-G54</f>
        <v>-28629.62</v>
      </c>
      <c r="H56" s="106">
        <f>G54-H54</f>
        <v>0</v>
      </c>
      <c r="AE56" s="529">
        <v>2292639438.1660004</v>
      </c>
      <c r="AF56" s="529">
        <v>59269626.903999977</v>
      </c>
      <c r="AG56" s="1401"/>
    </row>
    <row r="57" spans="1:34">
      <c r="A57" s="193"/>
      <c r="E57" s="213"/>
      <c r="F57" s="213"/>
      <c r="G57" s="213"/>
      <c r="H57" s="213"/>
      <c r="I57" s="213"/>
      <c r="J57" s="213"/>
      <c r="AE57" s="1204"/>
      <c r="AF57" s="1204"/>
      <c r="AG57" s="1401"/>
      <c r="AH57" s="632"/>
    </row>
    <row r="58" spans="1:34">
      <c r="A58" s="193"/>
      <c r="G58" s="15"/>
      <c r="AE58" s="637"/>
      <c r="AF58" s="638"/>
      <c r="AG58" s="1401"/>
      <c r="AH58" s="632"/>
    </row>
    <row r="59" spans="1:34">
      <c r="A59" s="193"/>
      <c r="G59" s="15"/>
      <c r="AE59" s="1204"/>
      <c r="AF59" s="1204"/>
      <c r="AG59" s="1401"/>
      <c r="AH59" s="632"/>
    </row>
    <row r="60" spans="1:34">
      <c r="A60" s="1503">
        <v>254</v>
      </c>
      <c r="B60" s="19" t="s">
        <v>1584</v>
      </c>
      <c r="G60" s="15"/>
      <c r="Q60" s="1529">
        <f>65617857+17982780</f>
        <v>83600637</v>
      </c>
      <c r="R60" s="1530" t="s">
        <v>1570</v>
      </c>
      <c r="AE60" s="1497">
        <v>0</v>
      </c>
      <c r="AF60" s="1403">
        <v>0</v>
      </c>
      <c r="AG60" s="1401"/>
      <c r="AH60" s="632"/>
    </row>
    <row r="61" spans="1:34">
      <c r="A61" s="193"/>
      <c r="B61" s="101" t="s">
        <v>443</v>
      </c>
      <c r="E61" s="101">
        <f>E28</f>
        <v>-1.5833698127809396E-4</v>
      </c>
      <c r="F61" s="102">
        <f>$F$65*E61</f>
        <v>38487.015798653891</v>
      </c>
      <c r="G61" s="95">
        <f>M92+F61</f>
        <v>37762.91750773292</v>
      </c>
      <c r="H61" s="95">
        <f>M92+G61</f>
        <v>37038.819216811949</v>
      </c>
      <c r="Q61" s="1531">
        <f>59812502+33124335</f>
        <v>92936837</v>
      </c>
      <c r="R61" s="1532" t="s">
        <v>1570</v>
      </c>
      <c r="AE61" s="526">
        <v>0</v>
      </c>
      <c r="AF61" s="528">
        <v>0</v>
      </c>
      <c r="AG61" s="1401"/>
      <c r="AH61" s="632"/>
    </row>
    <row r="62" spans="1:34">
      <c r="A62" s="193"/>
      <c r="B62" s="101" t="s">
        <v>592</v>
      </c>
      <c r="E62" s="101">
        <f t="shared" ref="E62:E64" si="20">E29</f>
        <v>3.0438617043789282E-2</v>
      </c>
      <c r="F62" s="102">
        <f t="shared" ref="F62:F64" si="21">$F$65*E62</f>
        <v>-7398723.4415941862</v>
      </c>
      <c r="G62" s="95">
        <f t="shared" ref="G62:G64" si="22">M93+F62</f>
        <v>-7259523.1713762321</v>
      </c>
      <c r="H62" s="95">
        <f t="shared" ref="H62:H64" si="23">M93+G62</f>
        <v>-7120322.9011582779</v>
      </c>
      <c r="AE62" s="526">
        <v>0</v>
      </c>
      <c r="AF62" s="528">
        <v>0</v>
      </c>
      <c r="AG62" s="1401"/>
      <c r="AH62" s="632"/>
    </row>
    <row r="63" spans="1:34">
      <c r="A63" s="193"/>
      <c r="B63" s="101" t="s">
        <v>593</v>
      </c>
      <c r="E63" s="101">
        <f t="shared" si="20"/>
        <v>0.92375000501857063</v>
      </c>
      <c r="F63" s="102">
        <f t="shared" si="21"/>
        <v>-224536180.68361542</v>
      </c>
      <c r="G63" s="95">
        <f t="shared" si="22"/>
        <v>-220311736.11941475</v>
      </c>
      <c r="H63" s="95">
        <f t="shared" si="23"/>
        <v>-216087291.55521408</v>
      </c>
      <c r="AE63" s="526">
        <v>0</v>
      </c>
      <c r="AF63" s="528">
        <v>0</v>
      </c>
      <c r="AG63" s="1401"/>
      <c r="AH63" s="632"/>
    </row>
    <row r="64" spans="1:34">
      <c r="A64" s="193"/>
      <c r="B64" s="101" t="s">
        <v>595</v>
      </c>
      <c r="E64" s="101">
        <f t="shared" si="20"/>
        <v>4.59697149189182E-2</v>
      </c>
      <c r="F64" s="102">
        <f t="shared" si="21"/>
        <v>-11173871.890589058</v>
      </c>
      <c r="G64" s="95">
        <f t="shared" si="22"/>
        <v>-10963645.626716752</v>
      </c>
      <c r="H64" s="95">
        <f t="shared" si="23"/>
        <v>-10753419.362844445</v>
      </c>
      <c r="AE64" s="1209">
        <v>0</v>
      </c>
      <c r="AF64" s="1210">
        <v>0</v>
      </c>
      <c r="AG64" s="1401"/>
      <c r="AH64" s="632"/>
    </row>
    <row r="65" spans="1:34">
      <c r="A65" s="193"/>
      <c r="B65" s="45" t="s">
        <v>170</v>
      </c>
      <c r="F65" s="777">
        <v>-243070289</v>
      </c>
      <c r="G65" s="777">
        <f>SUM(G61:G64)</f>
        <v>-238497142</v>
      </c>
      <c r="H65" s="777">
        <f>SUM(H61:H64)</f>
        <v>-233923994.99999997</v>
      </c>
      <c r="I65" s="95">
        <f>G65-F65</f>
        <v>4573147</v>
      </c>
      <c r="J65" s="95">
        <f>H65-G65</f>
        <v>4573147.0000000298</v>
      </c>
      <c r="AE65" s="1204"/>
      <c r="AF65" s="1204"/>
      <c r="AG65" s="1401"/>
      <c r="AH65" s="632"/>
    </row>
    <row r="66" spans="1:34">
      <c r="A66" s="193"/>
      <c r="G66" s="15"/>
      <c r="AE66" s="1497">
        <v>0</v>
      </c>
      <c r="AF66" s="1403">
        <v>0</v>
      </c>
      <c r="AG66" s="1401"/>
      <c r="AH66" s="632"/>
    </row>
    <row r="67" spans="1:34">
      <c r="A67" s="193"/>
      <c r="G67" s="15"/>
      <c r="AE67" s="526">
        <v>0</v>
      </c>
      <c r="AF67" s="528">
        <v>0</v>
      </c>
      <c r="AG67" s="1401"/>
      <c r="AH67" s="632"/>
    </row>
    <row r="68" spans="1:34">
      <c r="A68" s="193"/>
      <c r="G68" s="15"/>
      <c r="AE68" s="526">
        <v>0</v>
      </c>
      <c r="AF68" s="528">
        <v>0</v>
      </c>
      <c r="AG68" s="1401"/>
      <c r="AH68" s="632"/>
    </row>
    <row r="69" spans="1:34">
      <c r="A69" s="193"/>
      <c r="G69" s="15"/>
      <c r="K69" s="18" t="s">
        <v>1571</v>
      </c>
      <c r="AE69" s="526">
        <v>0</v>
      </c>
      <c r="AF69" s="528">
        <v>0</v>
      </c>
      <c r="AG69" s="1401"/>
      <c r="AH69" s="632"/>
    </row>
    <row r="70" spans="1:34">
      <c r="A70" s="193"/>
      <c r="G70" s="15"/>
      <c r="L70" s="19" t="s">
        <v>1572</v>
      </c>
      <c r="M70" s="1504" t="s">
        <v>1573</v>
      </c>
      <c r="N70" s="1533">
        <f>-960361</f>
        <v>-960361</v>
      </c>
      <c r="AE70" s="1205">
        <v>0</v>
      </c>
      <c r="AF70" s="1211">
        <v>0</v>
      </c>
      <c r="AG70" s="1401"/>
      <c r="AH70" s="632"/>
    </row>
    <row r="71" spans="1:34">
      <c r="A71" s="193"/>
      <c r="G71" s="15"/>
      <c r="M71" s="549" t="s">
        <v>1574</v>
      </c>
      <c r="N71" s="1534" t="s">
        <v>1575</v>
      </c>
      <c r="AE71" s="1204"/>
      <c r="AF71" s="1204"/>
      <c r="AG71" s="1401"/>
      <c r="AH71" s="632"/>
    </row>
    <row r="72" spans="1:34">
      <c r="A72" s="193"/>
      <c r="G72" s="15"/>
      <c r="L72" s="1535" t="s">
        <v>443</v>
      </c>
      <c r="M72" s="101">
        <f>E28</f>
        <v>-1.5833698127809396E-4</v>
      </c>
      <c r="N72" s="102">
        <f>$N$70*M72</f>
        <v>152.06066167721158</v>
      </c>
      <c r="AE72" s="1498">
        <v>0</v>
      </c>
      <c r="AF72" s="1405">
        <v>0</v>
      </c>
      <c r="AG72" s="1401"/>
      <c r="AH72" s="632"/>
    </row>
    <row r="73" spans="1:34">
      <c r="A73" s="193"/>
      <c r="H73" s="102"/>
      <c r="I73" s="102"/>
      <c r="L73" s="1535" t="s">
        <v>592</v>
      </c>
      <c r="M73" s="101">
        <f t="shared" ref="M73:M75" si="24">E29</f>
        <v>3.0438617043789282E-2</v>
      </c>
      <c r="N73" s="102">
        <f t="shared" ref="N73:N75" si="25">$N$70*M73</f>
        <v>-29232.060702790521</v>
      </c>
      <c r="AE73" s="527"/>
      <c r="AF73" s="531"/>
      <c r="AG73" s="1401"/>
      <c r="AH73" s="632"/>
    </row>
    <row r="74" spans="1:34">
      <c r="A74" s="193"/>
      <c r="L74" s="1535" t="s">
        <v>593</v>
      </c>
      <c r="M74" s="101">
        <f t="shared" si="24"/>
        <v>0.92375000501857063</v>
      </c>
      <c r="N74" s="102">
        <f t="shared" si="25"/>
        <v>-887133.4785696395</v>
      </c>
      <c r="AE74" s="526">
        <v>0</v>
      </c>
      <c r="AF74" s="528">
        <v>0</v>
      </c>
      <c r="AG74" s="1401"/>
      <c r="AH74" s="632"/>
    </row>
    <row r="75" spans="1:34">
      <c r="A75" s="193"/>
      <c r="L75" s="1535" t="s">
        <v>595</v>
      </c>
      <c r="M75" s="101">
        <f t="shared" si="24"/>
        <v>4.59697149189182E-2</v>
      </c>
      <c r="N75" s="102">
        <f t="shared" si="25"/>
        <v>-44147.521389247202</v>
      </c>
      <c r="AE75" s="526">
        <v>0</v>
      </c>
      <c r="AF75" s="528">
        <v>0</v>
      </c>
      <c r="AG75" s="1401"/>
      <c r="AH75" s="632"/>
    </row>
    <row r="76" spans="1:34">
      <c r="A76" s="193"/>
      <c r="L76" s="1535" t="s">
        <v>764</v>
      </c>
      <c r="M76" s="1536">
        <f>SUM(M72:M75)</f>
        <v>1</v>
      </c>
      <c r="N76" s="777">
        <f>SUM(N72:N75)</f>
        <v>-960361</v>
      </c>
      <c r="O76" s="15" t="s">
        <v>1576</v>
      </c>
      <c r="AE76" s="526">
        <v>5457546.1899999995</v>
      </c>
      <c r="AF76" s="528">
        <v>248143.61000000002</v>
      </c>
      <c r="AG76" s="1401"/>
      <c r="AH76" s="632"/>
    </row>
    <row r="77" spans="1:34">
      <c r="A77" s="193"/>
      <c r="AE77" s="527">
        <v>0</v>
      </c>
      <c r="AF77" s="531">
        <v>0</v>
      </c>
      <c r="AG77" s="1401"/>
      <c r="AH77" s="632"/>
    </row>
    <row r="78" spans="1:34">
      <c r="AE78" s="526"/>
      <c r="AF78" s="528"/>
      <c r="AG78" s="1401"/>
      <c r="AH78" s="632"/>
    </row>
    <row r="79" spans="1:34">
      <c r="AE79" s="526">
        <v>0</v>
      </c>
      <c r="AF79" s="528">
        <v>0</v>
      </c>
      <c r="AG79" s="1401"/>
      <c r="AH79" s="632"/>
    </row>
    <row r="80" spans="1:34">
      <c r="K80" s="18" t="s">
        <v>1571</v>
      </c>
      <c r="L80" s="18" t="s">
        <v>1577</v>
      </c>
      <c r="M80" s="1504" t="s">
        <v>1573</v>
      </c>
      <c r="N80" s="1533">
        <v>45339</v>
      </c>
      <c r="P80" s="18" t="s">
        <v>1571</v>
      </c>
      <c r="Q80" s="18" t="s">
        <v>1578</v>
      </c>
      <c r="R80" s="1504" t="s">
        <v>1579</v>
      </c>
      <c r="S80" s="1533">
        <v>-215899</v>
      </c>
      <c r="AE80" s="527">
        <v>0</v>
      </c>
      <c r="AF80" s="531">
        <v>0</v>
      </c>
      <c r="AG80" s="1401"/>
      <c r="AH80" s="632"/>
    </row>
    <row r="81" spans="12:37">
      <c r="M81" s="549" t="s">
        <v>1574</v>
      </c>
      <c r="N81" s="1534" t="s">
        <v>1580</v>
      </c>
      <c r="R81" s="549" t="s">
        <v>1574</v>
      </c>
      <c r="S81" s="1534"/>
      <c r="AE81" s="465">
        <v>0</v>
      </c>
      <c r="AF81" s="532">
        <v>0</v>
      </c>
      <c r="AG81" s="1401"/>
      <c r="AH81" s="632"/>
    </row>
    <row r="82" spans="12:37">
      <c r="L82" s="101" t="s">
        <v>443</v>
      </c>
      <c r="M82" s="101">
        <f>E28</f>
        <v>-1.5833698127809396E-4</v>
      </c>
      <c r="N82" s="102">
        <f>$N$80*M82</f>
        <v>-7.1788403941675023</v>
      </c>
      <c r="Q82" s="101" t="s">
        <v>443</v>
      </c>
      <c r="R82" s="101">
        <f>M82</f>
        <v>-1.5833698127809396E-4</v>
      </c>
      <c r="S82" s="102">
        <f>$S$80*R82</f>
        <v>34.18479592095921</v>
      </c>
      <c r="AE82" s="465">
        <v>0</v>
      </c>
      <c r="AF82" s="532">
        <v>0</v>
      </c>
      <c r="AG82" s="1401"/>
      <c r="AH82" s="632"/>
      <c r="AJ82" s="19"/>
    </row>
    <row r="83" spans="12:37">
      <c r="L83" s="101" t="s">
        <v>592</v>
      </c>
      <c r="M83" s="101">
        <f t="shared" ref="M83:M85" si="26">E29</f>
        <v>3.0438617043789282E-2</v>
      </c>
      <c r="N83" s="102">
        <f>$N$80*M83</f>
        <v>1380.0564581483623</v>
      </c>
      <c r="Q83" s="101" t="s">
        <v>592</v>
      </c>
      <c r="R83" s="101">
        <f t="shared" ref="R83:R85" si="27">M83</f>
        <v>3.0438617043789282E-2</v>
      </c>
      <c r="S83" s="102">
        <f t="shared" ref="S83:S85" si="28">$S$80*R83</f>
        <v>-6571.6669811370621</v>
      </c>
      <c r="AE83" s="1207">
        <v>0</v>
      </c>
      <c r="AF83" s="1208">
        <v>0</v>
      </c>
      <c r="AG83" s="1401"/>
      <c r="AH83" s="632"/>
      <c r="AJ83" s="469"/>
    </row>
    <row r="84" spans="12:37">
      <c r="L84" s="101" t="s">
        <v>593</v>
      </c>
      <c r="M84" s="101">
        <f t="shared" si="26"/>
        <v>0.92375000501857063</v>
      </c>
      <c r="N84" s="102">
        <f>$N$80*M84</f>
        <v>41881.901477536972</v>
      </c>
      <c r="Q84" s="101" t="s">
        <v>593</v>
      </c>
      <c r="R84" s="101">
        <f t="shared" si="27"/>
        <v>0.92375000501857063</v>
      </c>
      <c r="S84" s="102">
        <f t="shared" si="28"/>
        <v>-199436.70233350439</v>
      </c>
      <c r="AE84" s="1204"/>
      <c r="AF84" s="1204"/>
      <c r="AG84" s="1401"/>
      <c r="AH84" s="632"/>
    </row>
    <row r="85" spans="12:37">
      <c r="L85" s="101" t="s">
        <v>595</v>
      </c>
      <c r="M85" s="101">
        <f t="shared" si="26"/>
        <v>4.59697149189182E-2</v>
      </c>
      <c r="N85" s="102">
        <f>$N$80*M85</f>
        <v>2084.2209047088322</v>
      </c>
      <c r="Q85" s="101" t="s">
        <v>595</v>
      </c>
      <c r="R85" s="101">
        <f t="shared" si="27"/>
        <v>4.59697149189182E-2</v>
      </c>
      <c r="S85" s="102">
        <f t="shared" si="28"/>
        <v>-9924.8154812795201</v>
      </c>
      <c r="AE85" s="527">
        <v>0</v>
      </c>
      <c r="AF85" s="528">
        <v>0</v>
      </c>
      <c r="AG85" s="1401"/>
      <c r="AH85" s="632"/>
      <c r="AK85" s="463"/>
    </row>
    <row r="86" spans="12:37">
      <c r="L86" s="1535" t="s">
        <v>764</v>
      </c>
      <c r="M86" s="1536">
        <f>SUM(M82:M85)</f>
        <v>1</v>
      </c>
      <c r="N86" s="777">
        <f>SUM(N82:N85)</f>
        <v>45339</v>
      </c>
      <c r="O86" s="15" t="s">
        <v>1581</v>
      </c>
      <c r="Q86" s="1535" t="s">
        <v>764</v>
      </c>
      <c r="R86" s="1536">
        <f>SUM(R82:R85)</f>
        <v>1</v>
      </c>
      <c r="S86" s="777">
        <f>SUM(S82:S85)</f>
        <v>-215899</v>
      </c>
      <c r="AE86" s="527">
        <v>11724439</v>
      </c>
      <c r="AF86" s="528">
        <v>404156.02</v>
      </c>
      <c r="AG86" s="1401"/>
      <c r="AH86" s="632"/>
    </row>
    <row r="87" spans="12:37">
      <c r="AE87" s="527">
        <v>28529.75</v>
      </c>
      <c r="AF87" s="531">
        <v>488.64000000000033</v>
      </c>
      <c r="AG87" s="1401"/>
      <c r="AH87" s="632"/>
    </row>
    <row r="88" spans="12:37">
      <c r="AE88" s="533">
        <v>25936.928598000002</v>
      </c>
      <c r="AF88" s="534">
        <v>854.65140199999996</v>
      </c>
      <c r="AG88" s="1401"/>
      <c r="AH88" s="632"/>
      <c r="AK88" s="636"/>
    </row>
    <row r="89" spans="12:37">
      <c r="L89" s="18" t="s">
        <v>1582</v>
      </c>
      <c r="M89" s="1533">
        <f>3442226+1130921</f>
        <v>4573147</v>
      </c>
      <c r="N89" s="1533"/>
      <c r="O89" s="1533"/>
      <c r="AE89" s="533">
        <v>0</v>
      </c>
      <c r="AF89" s="533">
        <v>0</v>
      </c>
      <c r="AG89" s="1401"/>
      <c r="AH89" s="632"/>
    </row>
    <row r="90" spans="12:37">
      <c r="M90" s="1504">
        <v>2220905</v>
      </c>
      <c r="N90" s="1533"/>
      <c r="O90" s="1533"/>
      <c r="AE90" s="526">
        <v>0</v>
      </c>
      <c r="AF90" s="526">
        <v>0</v>
      </c>
      <c r="AG90" s="1401"/>
      <c r="AH90" s="632"/>
    </row>
    <row r="91" spans="12:37">
      <c r="M91" s="549" t="s">
        <v>1583</v>
      </c>
      <c r="N91" s="1533"/>
      <c r="O91" s="1533"/>
      <c r="AE91" s="526">
        <v>0</v>
      </c>
      <c r="AF91" s="526">
        <v>0</v>
      </c>
      <c r="AG91" s="1401"/>
      <c r="AH91" s="632"/>
    </row>
    <row r="92" spans="12:37">
      <c r="L92" s="101" t="s">
        <v>443</v>
      </c>
      <c r="M92" s="460">
        <f>$M$89*M72</f>
        <v>-724.09829092097152</v>
      </c>
      <c r="N92" s="1533"/>
      <c r="O92" s="1533"/>
      <c r="AE92" s="526">
        <v>188074206.56999999</v>
      </c>
      <c r="AF92" s="526">
        <v>6315729.0099999998</v>
      </c>
      <c r="AG92" s="1401"/>
      <c r="AH92" s="632"/>
    </row>
    <row r="93" spans="12:37">
      <c r="L93" s="101" t="s">
        <v>592</v>
      </c>
      <c r="M93" s="460">
        <f t="shared" ref="M93:M95" si="29">$M$89*M73</f>
        <v>139200.27021795383</v>
      </c>
      <c r="N93" s="1533"/>
      <c r="O93" s="1533"/>
      <c r="AE93" s="1205">
        <v>3706305.38</v>
      </c>
      <c r="AF93" s="1205">
        <v>124461.62</v>
      </c>
      <c r="AG93" s="1401"/>
      <c r="AH93" s="632"/>
    </row>
    <row r="94" spans="12:37">
      <c r="L94" s="101" t="s">
        <v>593</v>
      </c>
      <c r="M94" s="460">
        <f t="shared" si="29"/>
        <v>4224444.5642006611</v>
      </c>
      <c r="N94" s="1533"/>
      <c r="O94" s="1533"/>
      <c r="AE94" s="1212"/>
      <c r="AF94" s="1212"/>
      <c r="AG94" s="1401"/>
      <c r="AH94" s="632"/>
    </row>
    <row r="95" spans="12:37">
      <c r="L95" s="101" t="s">
        <v>595</v>
      </c>
      <c r="M95" s="460">
        <f t="shared" si="29"/>
        <v>210226.26387230601</v>
      </c>
      <c r="N95" s="1533"/>
      <c r="O95" s="1533"/>
      <c r="AE95" s="1497">
        <v>257559818.17937699</v>
      </c>
      <c r="AF95" s="1406">
        <v>8486889.9906229991</v>
      </c>
      <c r="AG95" s="1401"/>
      <c r="AH95" s="632"/>
    </row>
    <row r="96" spans="12:37">
      <c r="L96" s="101" t="s">
        <v>764</v>
      </c>
      <c r="M96" s="1276">
        <f t="shared" ref="M96" si="30">SUM(M92:M95)</f>
        <v>4573147</v>
      </c>
      <c r="N96" s="1533"/>
      <c r="O96" s="1533"/>
      <c r="AE96" s="463">
        <v>64071192.340000004</v>
      </c>
      <c r="AF96" s="528">
        <v>0</v>
      </c>
      <c r="AG96" s="1401"/>
      <c r="AH96" s="632"/>
    </row>
    <row r="97" spans="14:34">
      <c r="N97" s="1533"/>
      <c r="O97" s="1533"/>
      <c r="AE97" s="463">
        <v>0</v>
      </c>
      <c r="AF97" s="528">
        <v>0</v>
      </c>
      <c r="AG97" s="1401"/>
      <c r="AH97" s="632"/>
    </row>
    <row r="98" spans="14:34">
      <c r="N98" s="1533"/>
      <c r="O98" s="1533"/>
      <c r="AE98" s="526">
        <v>0</v>
      </c>
      <c r="AF98" s="528">
        <v>0</v>
      </c>
      <c r="AG98" s="1401"/>
      <c r="AH98" s="639"/>
    </row>
    <row r="99" spans="14:34">
      <c r="AE99" s="526">
        <v>0</v>
      </c>
      <c r="AF99" s="528">
        <v>0</v>
      </c>
      <c r="AG99" s="1401"/>
      <c r="AH99" s="461"/>
    </row>
    <row r="100" spans="14:34">
      <c r="AE100" s="526">
        <v>0</v>
      </c>
      <c r="AF100" s="528">
        <v>0</v>
      </c>
      <c r="AG100" s="1401"/>
    </row>
    <row r="101" spans="14:34">
      <c r="AE101" s="526">
        <v>0</v>
      </c>
      <c r="AF101" s="528">
        <v>0</v>
      </c>
      <c r="AG101" s="1401"/>
    </row>
    <row r="102" spans="14:34">
      <c r="AE102" s="1205">
        <v>0</v>
      </c>
      <c r="AF102" s="1211">
        <v>0</v>
      </c>
      <c r="AG102" s="1401"/>
    </row>
    <row r="103" spans="14:34">
      <c r="AE103" s="1197"/>
      <c r="AF103" s="1201"/>
      <c r="AG103" s="1401"/>
    </row>
    <row r="104" spans="14:34">
      <c r="AE104" s="529">
        <v>530647974.33797503</v>
      </c>
      <c r="AF104" s="530">
        <v>15580723.542025</v>
      </c>
      <c r="AG104" s="1401"/>
    </row>
    <row r="105" spans="14:34">
      <c r="AE105" s="1206"/>
      <c r="AF105" s="1206"/>
      <c r="AG105" s="1407"/>
    </row>
  </sheetData>
  <mergeCells count="1">
    <mergeCell ref="A1:H1"/>
  </mergeCells>
  <pageMargins left="0.7" right="0.7" top="0.75" bottom="0.75" header="0.3" footer="0.3"/>
  <pageSetup scale="1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13729" r:id="rId4" name="Button 1">
              <controlPr defaultSize="0" print="0" autoFill="0" autoPict="0" macro="[0]!Macro5">
                <anchor moveWithCells="1" sizeWithCells="1">
                  <from>
                    <xdr:col>1</xdr:col>
                    <xdr:colOff>828675</xdr:colOff>
                    <xdr:row>5</xdr:row>
                    <xdr:rowOff>0</xdr:rowOff>
                  </from>
                  <to>
                    <xdr:col>1</xdr:col>
                    <xdr:colOff>1447800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3730" r:id="rId5" name="Button 2">
              <controlPr defaultSize="0" print="0" autoFill="0" autoPict="0" macro="[0]!Macro5">
                <anchor moveWithCells="1" sizeWithCells="1">
                  <from>
                    <xdr:col>1</xdr:col>
                    <xdr:colOff>828675</xdr:colOff>
                    <xdr:row>5</xdr:row>
                    <xdr:rowOff>0</xdr:rowOff>
                  </from>
                  <to>
                    <xdr:col>1</xdr:col>
                    <xdr:colOff>1447800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X45"/>
  <sheetViews>
    <sheetView zoomScale="120" zoomScaleNormal="120" workbookViewId="0">
      <selection activeCell="F10" sqref="F10"/>
    </sheetView>
  </sheetViews>
  <sheetFormatPr defaultRowHeight="12.75"/>
  <cols>
    <col min="1" max="1" width="33.85546875" style="510" bestFit="1" customWidth="1"/>
    <col min="2" max="3" width="14.5703125" style="510" bestFit="1" customWidth="1"/>
    <col min="4" max="5" width="12.140625" style="510" customWidth="1"/>
    <col min="6" max="6" width="12.28515625" style="510" customWidth="1"/>
    <col min="7" max="8" width="12.85546875" style="510" bestFit="1" customWidth="1"/>
    <col min="9" max="9" width="11.28515625" style="510" customWidth="1"/>
    <col min="10" max="19" width="12.85546875" style="510" bestFit="1" customWidth="1"/>
    <col min="20" max="20" width="14.140625" style="510" bestFit="1" customWidth="1"/>
    <col min="21" max="21" width="12.85546875" style="510" bestFit="1" customWidth="1"/>
    <col min="22" max="22" width="14" style="510" bestFit="1" customWidth="1"/>
    <col min="23" max="254" width="9.140625" style="510"/>
    <col min="255" max="255" width="28.42578125" style="510" bestFit="1" customWidth="1"/>
    <col min="256" max="256" width="13" style="510" bestFit="1" customWidth="1"/>
    <col min="257" max="259" width="12.140625" style="510" bestFit="1" customWidth="1"/>
    <col min="260" max="510" width="9.140625" style="510"/>
    <col min="511" max="511" width="28.42578125" style="510" bestFit="1" customWidth="1"/>
    <col min="512" max="512" width="13" style="510" bestFit="1" customWidth="1"/>
    <col min="513" max="515" width="12.140625" style="510" bestFit="1" customWidth="1"/>
    <col min="516" max="766" width="9.140625" style="510"/>
    <col min="767" max="767" width="28.42578125" style="510" bestFit="1" customWidth="1"/>
    <col min="768" max="768" width="13" style="510" bestFit="1" customWidth="1"/>
    <col min="769" max="771" width="12.140625" style="510" bestFit="1" customWidth="1"/>
    <col min="772" max="1022" width="9.140625" style="510"/>
    <col min="1023" max="1023" width="28.42578125" style="510" bestFit="1" customWidth="1"/>
    <col min="1024" max="1024" width="13" style="510" bestFit="1" customWidth="1"/>
    <col min="1025" max="1027" width="12.140625" style="510" bestFit="1" customWidth="1"/>
    <col min="1028" max="1278" width="9.140625" style="510"/>
    <col min="1279" max="1279" width="28.42578125" style="510" bestFit="1" customWidth="1"/>
    <col min="1280" max="1280" width="13" style="510" bestFit="1" customWidth="1"/>
    <col min="1281" max="1283" width="12.140625" style="510" bestFit="1" customWidth="1"/>
    <col min="1284" max="1534" width="9.140625" style="510"/>
    <col min="1535" max="1535" width="28.42578125" style="510" bestFit="1" customWidth="1"/>
    <col min="1536" max="1536" width="13" style="510" bestFit="1" customWidth="1"/>
    <col min="1537" max="1539" width="12.140625" style="510" bestFit="1" customWidth="1"/>
    <col min="1540" max="1790" width="9.140625" style="510"/>
    <col min="1791" max="1791" width="28.42578125" style="510" bestFit="1" customWidth="1"/>
    <col min="1792" max="1792" width="13" style="510" bestFit="1" customWidth="1"/>
    <col min="1793" max="1795" width="12.140625" style="510" bestFit="1" customWidth="1"/>
    <col min="1796" max="2046" width="9.140625" style="510"/>
    <col min="2047" max="2047" width="28.42578125" style="510" bestFit="1" customWidth="1"/>
    <col min="2048" max="2048" width="13" style="510" bestFit="1" customWidth="1"/>
    <col min="2049" max="2051" width="12.140625" style="510" bestFit="1" customWidth="1"/>
    <col min="2052" max="2302" width="9.140625" style="510"/>
    <col min="2303" max="2303" width="28.42578125" style="510" bestFit="1" customWidth="1"/>
    <col min="2304" max="2304" width="13" style="510" bestFit="1" customWidth="1"/>
    <col min="2305" max="2307" width="12.140625" style="510" bestFit="1" customWidth="1"/>
    <col min="2308" max="2558" width="9.140625" style="510"/>
    <col min="2559" max="2559" width="28.42578125" style="510" bestFit="1" customWidth="1"/>
    <col min="2560" max="2560" width="13" style="510" bestFit="1" customWidth="1"/>
    <col min="2561" max="2563" width="12.140625" style="510" bestFit="1" customWidth="1"/>
    <col min="2564" max="2814" width="9.140625" style="510"/>
    <col min="2815" max="2815" width="28.42578125" style="510" bestFit="1" customWidth="1"/>
    <col min="2816" max="2816" width="13" style="510" bestFit="1" customWidth="1"/>
    <col min="2817" max="2819" width="12.140625" style="510" bestFit="1" customWidth="1"/>
    <col min="2820" max="3070" width="9.140625" style="510"/>
    <col min="3071" max="3071" width="28.42578125" style="510" bestFit="1" customWidth="1"/>
    <col min="3072" max="3072" width="13" style="510" bestFit="1" customWidth="1"/>
    <col min="3073" max="3075" width="12.140625" style="510" bestFit="1" customWidth="1"/>
    <col min="3076" max="3326" width="9.140625" style="510"/>
    <col min="3327" max="3327" width="28.42578125" style="510" bestFit="1" customWidth="1"/>
    <col min="3328" max="3328" width="13" style="510" bestFit="1" customWidth="1"/>
    <col min="3329" max="3331" width="12.140625" style="510" bestFit="1" customWidth="1"/>
    <col min="3332" max="3582" width="9.140625" style="510"/>
    <col min="3583" max="3583" width="28.42578125" style="510" bestFit="1" customWidth="1"/>
    <col min="3584" max="3584" width="13" style="510" bestFit="1" customWidth="1"/>
    <col min="3585" max="3587" width="12.140625" style="510" bestFit="1" customWidth="1"/>
    <col min="3588" max="3838" width="9.140625" style="510"/>
    <col min="3839" max="3839" width="28.42578125" style="510" bestFit="1" customWidth="1"/>
    <col min="3840" max="3840" width="13" style="510" bestFit="1" customWidth="1"/>
    <col min="3841" max="3843" width="12.140625" style="510" bestFit="1" customWidth="1"/>
    <col min="3844" max="4094" width="9.140625" style="510"/>
    <col min="4095" max="4095" width="28.42578125" style="510" bestFit="1" customWidth="1"/>
    <col min="4096" max="4096" width="13" style="510" bestFit="1" customWidth="1"/>
    <col min="4097" max="4099" width="12.140625" style="510" bestFit="1" customWidth="1"/>
    <col min="4100" max="4350" width="9.140625" style="510"/>
    <col min="4351" max="4351" width="28.42578125" style="510" bestFit="1" customWidth="1"/>
    <col min="4352" max="4352" width="13" style="510" bestFit="1" customWidth="1"/>
    <col min="4353" max="4355" width="12.140625" style="510" bestFit="1" customWidth="1"/>
    <col min="4356" max="4606" width="9.140625" style="510"/>
    <col min="4607" max="4607" width="28.42578125" style="510" bestFit="1" customWidth="1"/>
    <col min="4608" max="4608" width="13" style="510" bestFit="1" customWidth="1"/>
    <col min="4609" max="4611" width="12.140625" style="510" bestFit="1" customWidth="1"/>
    <col min="4612" max="4862" width="9.140625" style="510"/>
    <col min="4863" max="4863" width="28.42578125" style="510" bestFit="1" customWidth="1"/>
    <col min="4864" max="4864" width="13" style="510" bestFit="1" customWidth="1"/>
    <col min="4865" max="4867" width="12.140625" style="510" bestFit="1" customWidth="1"/>
    <col min="4868" max="5118" width="9.140625" style="510"/>
    <col min="5119" max="5119" width="28.42578125" style="510" bestFit="1" customWidth="1"/>
    <col min="5120" max="5120" width="13" style="510" bestFit="1" customWidth="1"/>
    <col min="5121" max="5123" width="12.140625" style="510" bestFit="1" customWidth="1"/>
    <col min="5124" max="5374" width="9.140625" style="510"/>
    <col min="5375" max="5375" width="28.42578125" style="510" bestFit="1" customWidth="1"/>
    <col min="5376" max="5376" width="13" style="510" bestFit="1" customWidth="1"/>
    <col min="5377" max="5379" width="12.140625" style="510" bestFit="1" customWidth="1"/>
    <col min="5380" max="5630" width="9.140625" style="510"/>
    <col min="5631" max="5631" width="28.42578125" style="510" bestFit="1" customWidth="1"/>
    <col min="5632" max="5632" width="13" style="510" bestFit="1" customWidth="1"/>
    <col min="5633" max="5635" width="12.140625" style="510" bestFit="1" customWidth="1"/>
    <col min="5636" max="5886" width="9.140625" style="510"/>
    <col min="5887" max="5887" width="28.42578125" style="510" bestFit="1" customWidth="1"/>
    <col min="5888" max="5888" width="13" style="510" bestFit="1" customWidth="1"/>
    <col min="5889" max="5891" width="12.140625" style="510" bestFit="1" customWidth="1"/>
    <col min="5892" max="6142" width="9.140625" style="510"/>
    <col min="6143" max="6143" width="28.42578125" style="510" bestFit="1" customWidth="1"/>
    <col min="6144" max="6144" width="13" style="510" bestFit="1" customWidth="1"/>
    <col min="6145" max="6147" width="12.140625" style="510" bestFit="1" customWidth="1"/>
    <col min="6148" max="6398" width="9.140625" style="510"/>
    <col min="6399" max="6399" width="28.42578125" style="510" bestFit="1" customWidth="1"/>
    <col min="6400" max="6400" width="13" style="510" bestFit="1" customWidth="1"/>
    <col min="6401" max="6403" width="12.140625" style="510" bestFit="1" customWidth="1"/>
    <col min="6404" max="6654" width="9.140625" style="510"/>
    <col min="6655" max="6655" width="28.42578125" style="510" bestFit="1" customWidth="1"/>
    <col min="6656" max="6656" width="13" style="510" bestFit="1" customWidth="1"/>
    <col min="6657" max="6659" width="12.140625" style="510" bestFit="1" customWidth="1"/>
    <col min="6660" max="6910" width="9.140625" style="510"/>
    <col min="6911" max="6911" width="28.42578125" style="510" bestFit="1" customWidth="1"/>
    <col min="6912" max="6912" width="13" style="510" bestFit="1" customWidth="1"/>
    <col min="6913" max="6915" width="12.140625" style="510" bestFit="1" customWidth="1"/>
    <col min="6916" max="7166" width="9.140625" style="510"/>
    <col min="7167" max="7167" width="28.42578125" style="510" bestFit="1" customWidth="1"/>
    <col min="7168" max="7168" width="13" style="510" bestFit="1" customWidth="1"/>
    <col min="7169" max="7171" width="12.140625" style="510" bestFit="1" customWidth="1"/>
    <col min="7172" max="7422" width="9.140625" style="510"/>
    <col min="7423" max="7423" width="28.42578125" style="510" bestFit="1" customWidth="1"/>
    <col min="7424" max="7424" width="13" style="510" bestFit="1" customWidth="1"/>
    <col min="7425" max="7427" width="12.140625" style="510" bestFit="1" customWidth="1"/>
    <col min="7428" max="7678" width="9.140625" style="510"/>
    <col min="7679" max="7679" width="28.42578125" style="510" bestFit="1" customWidth="1"/>
    <col min="7680" max="7680" width="13" style="510" bestFit="1" customWidth="1"/>
    <col min="7681" max="7683" width="12.140625" style="510" bestFit="1" customWidth="1"/>
    <col min="7684" max="7934" width="9.140625" style="510"/>
    <col min="7935" max="7935" width="28.42578125" style="510" bestFit="1" customWidth="1"/>
    <col min="7936" max="7936" width="13" style="510" bestFit="1" customWidth="1"/>
    <col min="7937" max="7939" width="12.140625" style="510" bestFit="1" customWidth="1"/>
    <col min="7940" max="8190" width="9.140625" style="510"/>
    <col min="8191" max="8191" width="28.42578125" style="510" bestFit="1" customWidth="1"/>
    <col min="8192" max="8192" width="13" style="510" bestFit="1" customWidth="1"/>
    <col min="8193" max="8195" width="12.140625" style="510" bestFit="1" customWidth="1"/>
    <col min="8196" max="8446" width="9.140625" style="510"/>
    <col min="8447" max="8447" width="28.42578125" style="510" bestFit="1" customWidth="1"/>
    <col min="8448" max="8448" width="13" style="510" bestFit="1" customWidth="1"/>
    <col min="8449" max="8451" width="12.140625" style="510" bestFit="1" customWidth="1"/>
    <col min="8452" max="8702" width="9.140625" style="510"/>
    <col min="8703" max="8703" width="28.42578125" style="510" bestFit="1" customWidth="1"/>
    <col min="8704" max="8704" width="13" style="510" bestFit="1" customWidth="1"/>
    <col min="8705" max="8707" width="12.140625" style="510" bestFit="1" customWidth="1"/>
    <col min="8708" max="8958" width="9.140625" style="510"/>
    <col min="8959" max="8959" width="28.42578125" style="510" bestFit="1" customWidth="1"/>
    <col min="8960" max="8960" width="13" style="510" bestFit="1" customWidth="1"/>
    <col min="8961" max="8963" width="12.140625" style="510" bestFit="1" customWidth="1"/>
    <col min="8964" max="9214" width="9.140625" style="510"/>
    <col min="9215" max="9215" width="28.42578125" style="510" bestFit="1" customWidth="1"/>
    <col min="9216" max="9216" width="13" style="510" bestFit="1" customWidth="1"/>
    <col min="9217" max="9219" width="12.140625" style="510" bestFit="1" customWidth="1"/>
    <col min="9220" max="9470" width="9.140625" style="510"/>
    <col min="9471" max="9471" width="28.42578125" style="510" bestFit="1" customWidth="1"/>
    <col min="9472" max="9472" width="13" style="510" bestFit="1" customWidth="1"/>
    <col min="9473" max="9475" width="12.140625" style="510" bestFit="1" customWidth="1"/>
    <col min="9476" max="9726" width="9.140625" style="510"/>
    <col min="9727" max="9727" width="28.42578125" style="510" bestFit="1" customWidth="1"/>
    <col min="9728" max="9728" width="13" style="510" bestFit="1" customWidth="1"/>
    <col min="9729" max="9731" width="12.140625" style="510" bestFit="1" customWidth="1"/>
    <col min="9732" max="9982" width="9.140625" style="510"/>
    <col min="9983" max="9983" width="28.42578125" style="510" bestFit="1" customWidth="1"/>
    <col min="9984" max="9984" width="13" style="510" bestFit="1" customWidth="1"/>
    <col min="9985" max="9987" width="12.140625" style="510" bestFit="1" customWidth="1"/>
    <col min="9988" max="10238" width="9.140625" style="510"/>
    <col min="10239" max="10239" width="28.42578125" style="510" bestFit="1" customWidth="1"/>
    <col min="10240" max="10240" width="13" style="510" bestFit="1" customWidth="1"/>
    <col min="10241" max="10243" width="12.140625" style="510" bestFit="1" customWidth="1"/>
    <col min="10244" max="10494" width="9.140625" style="510"/>
    <col min="10495" max="10495" width="28.42578125" style="510" bestFit="1" customWidth="1"/>
    <col min="10496" max="10496" width="13" style="510" bestFit="1" customWidth="1"/>
    <col min="10497" max="10499" width="12.140625" style="510" bestFit="1" customWidth="1"/>
    <col min="10500" max="10750" width="9.140625" style="510"/>
    <col min="10751" max="10751" width="28.42578125" style="510" bestFit="1" customWidth="1"/>
    <col min="10752" max="10752" width="13" style="510" bestFit="1" customWidth="1"/>
    <col min="10753" max="10755" width="12.140625" style="510" bestFit="1" customWidth="1"/>
    <col min="10756" max="11006" width="9.140625" style="510"/>
    <col min="11007" max="11007" width="28.42578125" style="510" bestFit="1" customWidth="1"/>
    <col min="11008" max="11008" width="13" style="510" bestFit="1" customWidth="1"/>
    <col min="11009" max="11011" width="12.140625" style="510" bestFit="1" customWidth="1"/>
    <col min="11012" max="11262" width="9.140625" style="510"/>
    <col min="11263" max="11263" width="28.42578125" style="510" bestFit="1" customWidth="1"/>
    <col min="11264" max="11264" width="13" style="510" bestFit="1" customWidth="1"/>
    <col min="11265" max="11267" width="12.140625" style="510" bestFit="1" customWidth="1"/>
    <col min="11268" max="11518" width="9.140625" style="510"/>
    <col min="11519" max="11519" width="28.42578125" style="510" bestFit="1" customWidth="1"/>
    <col min="11520" max="11520" width="13" style="510" bestFit="1" customWidth="1"/>
    <col min="11521" max="11523" width="12.140625" style="510" bestFit="1" customWidth="1"/>
    <col min="11524" max="11774" width="9.140625" style="510"/>
    <col min="11775" max="11775" width="28.42578125" style="510" bestFit="1" customWidth="1"/>
    <col min="11776" max="11776" width="13" style="510" bestFit="1" customWidth="1"/>
    <col min="11777" max="11779" width="12.140625" style="510" bestFit="1" customWidth="1"/>
    <col min="11780" max="12030" width="9.140625" style="510"/>
    <col min="12031" max="12031" width="28.42578125" style="510" bestFit="1" customWidth="1"/>
    <col min="12032" max="12032" width="13" style="510" bestFit="1" customWidth="1"/>
    <col min="12033" max="12035" width="12.140625" style="510" bestFit="1" customWidth="1"/>
    <col min="12036" max="12286" width="9.140625" style="510"/>
    <col min="12287" max="12287" width="28.42578125" style="510" bestFit="1" customWidth="1"/>
    <col min="12288" max="12288" width="13" style="510" bestFit="1" customWidth="1"/>
    <col min="12289" max="12291" width="12.140625" style="510" bestFit="1" customWidth="1"/>
    <col min="12292" max="12542" width="9.140625" style="510"/>
    <col min="12543" max="12543" width="28.42578125" style="510" bestFit="1" customWidth="1"/>
    <col min="12544" max="12544" width="13" style="510" bestFit="1" customWidth="1"/>
    <col min="12545" max="12547" width="12.140625" style="510" bestFit="1" customWidth="1"/>
    <col min="12548" max="12798" width="9.140625" style="510"/>
    <col min="12799" max="12799" width="28.42578125" style="510" bestFit="1" customWidth="1"/>
    <col min="12800" max="12800" width="13" style="510" bestFit="1" customWidth="1"/>
    <col min="12801" max="12803" width="12.140625" style="510" bestFit="1" customWidth="1"/>
    <col min="12804" max="13054" width="9.140625" style="510"/>
    <col min="13055" max="13055" width="28.42578125" style="510" bestFit="1" customWidth="1"/>
    <col min="13056" max="13056" width="13" style="510" bestFit="1" customWidth="1"/>
    <col min="13057" max="13059" width="12.140625" style="510" bestFit="1" customWidth="1"/>
    <col min="13060" max="13310" width="9.140625" style="510"/>
    <col min="13311" max="13311" width="28.42578125" style="510" bestFit="1" customWidth="1"/>
    <col min="13312" max="13312" width="13" style="510" bestFit="1" customWidth="1"/>
    <col min="13313" max="13315" width="12.140625" style="510" bestFit="1" customWidth="1"/>
    <col min="13316" max="13566" width="9.140625" style="510"/>
    <col min="13567" max="13567" width="28.42578125" style="510" bestFit="1" customWidth="1"/>
    <col min="13568" max="13568" width="13" style="510" bestFit="1" customWidth="1"/>
    <col min="13569" max="13571" width="12.140625" style="510" bestFit="1" customWidth="1"/>
    <col min="13572" max="13822" width="9.140625" style="510"/>
    <col min="13823" max="13823" width="28.42578125" style="510" bestFit="1" customWidth="1"/>
    <col min="13824" max="13824" width="13" style="510" bestFit="1" customWidth="1"/>
    <col min="13825" max="13827" width="12.140625" style="510" bestFit="1" customWidth="1"/>
    <col min="13828" max="14078" width="9.140625" style="510"/>
    <col min="14079" max="14079" width="28.42578125" style="510" bestFit="1" customWidth="1"/>
    <col min="14080" max="14080" width="13" style="510" bestFit="1" customWidth="1"/>
    <col min="14081" max="14083" width="12.140625" style="510" bestFit="1" customWidth="1"/>
    <col min="14084" max="14334" width="9.140625" style="510"/>
    <col min="14335" max="14335" width="28.42578125" style="510" bestFit="1" customWidth="1"/>
    <col min="14336" max="14336" width="13" style="510" bestFit="1" customWidth="1"/>
    <col min="14337" max="14339" width="12.140625" style="510" bestFit="1" customWidth="1"/>
    <col min="14340" max="14590" width="9.140625" style="510"/>
    <col min="14591" max="14591" width="28.42578125" style="510" bestFit="1" customWidth="1"/>
    <col min="14592" max="14592" width="13" style="510" bestFit="1" customWidth="1"/>
    <col min="14593" max="14595" width="12.140625" style="510" bestFit="1" customWidth="1"/>
    <col min="14596" max="14846" width="9.140625" style="510"/>
    <col min="14847" max="14847" width="28.42578125" style="510" bestFit="1" customWidth="1"/>
    <col min="14848" max="14848" width="13" style="510" bestFit="1" customWidth="1"/>
    <col min="14849" max="14851" width="12.140625" style="510" bestFit="1" customWidth="1"/>
    <col min="14852" max="15102" width="9.140625" style="510"/>
    <col min="15103" max="15103" width="28.42578125" style="510" bestFit="1" customWidth="1"/>
    <col min="15104" max="15104" width="13" style="510" bestFit="1" customWidth="1"/>
    <col min="15105" max="15107" width="12.140625" style="510" bestFit="1" customWidth="1"/>
    <col min="15108" max="15358" width="9.140625" style="510"/>
    <col min="15359" max="15359" width="28.42578125" style="510" bestFit="1" customWidth="1"/>
    <col min="15360" max="15360" width="13" style="510" bestFit="1" customWidth="1"/>
    <col min="15361" max="15363" width="12.140625" style="510" bestFit="1" customWidth="1"/>
    <col min="15364" max="15614" width="9.140625" style="510"/>
    <col min="15615" max="15615" width="28.42578125" style="510" bestFit="1" customWidth="1"/>
    <col min="15616" max="15616" width="13" style="510" bestFit="1" customWidth="1"/>
    <col min="15617" max="15619" width="12.140625" style="510" bestFit="1" customWidth="1"/>
    <col min="15620" max="15870" width="9.140625" style="510"/>
    <col min="15871" max="15871" width="28.42578125" style="510" bestFit="1" customWidth="1"/>
    <col min="15872" max="15872" width="13" style="510" bestFit="1" customWidth="1"/>
    <col min="15873" max="15875" width="12.140625" style="510" bestFit="1" customWidth="1"/>
    <col min="15876" max="16126" width="9.140625" style="510"/>
    <col min="16127" max="16127" width="28.42578125" style="510" bestFit="1" customWidth="1"/>
    <col min="16128" max="16128" width="13" style="510" bestFit="1" customWidth="1"/>
    <col min="16129" max="16131" width="12.140625" style="510" bestFit="1" customWidth="1"/>
    <col min="16132" max="16384" width="9.140625" style="510"/>
  </cols>
  <sheetData>
    <row r="1" spans="1:21">
      <c r="A1" s="1257" t="s">
        <v>1124</v>
      </c>
      <c r="B1" s="1257"/>
      <c r="C1" s="1257"/>
      <c r="I1" s="1230">
        <v>2017</v>
      </c>
      <c r="J1" s="1230">
        <v>2018</v>
      </c>
      <c r="K1" s="1230">
        <v>2019</v>
      </c>
    </row>
    <row r="2" spans="1:21">
      <c r="A2" s="1230"/>
      <c r="B2" s="1230">
        <v>2013</v>
      </c>
      <c r="C2" s="1230">
        <v>2014</v>
      </c>
      <c r="D2" s="1230">
        <v>2015</v>
      </c>
      <c r="E2" s="1230">
        <v>2016</v>
      </c>
      <c r="F2" s="1230">
        <v>2017</v>
      </c>
      <c r="G2" s="1230">
        <v>2018</v>
      </c>
      <c r="H2" s="1230">
        <v>2019</v>
      </c>
      <c r="I2" s="1230" t="s">
        <v>1278</v>
      </c>
      <c r="J2" s="1230" t="s">
        <v>1278</v>
      </c>
      <c r="K2" s="1230" t="s">
        <v>1278</v>
      </c>
    </row>
    <row r="3" spans="1:21">
      <c r="A3" s="510" t="s">
        <v>132</v>
      </c>
      <c r="B3" s="30">
        <f>28318280.87+217531</f>
        <v>28535811.870000001</v>
      </c>
      <c r="C3" s="1243">
        <v>29082799.160000004</v>
      </c>
      <c r="D3" s="30">
        <v>28665979</v>
      </c>
      <c r="E3" s="30">
        <v>29202019.900000006</v>
      </c>
      <c r="F3" s="30">
        <v>27456957.720000003</v>
      </c>
      <c r="G3" s="548">
        <v>28289004</v>
      </c>
      <c r="H3" s="548">
        <f>G3*1.03</f>
        <v>29137674.120000001</v>
      </c>
      <c r="I3" s="1248">
        <f>+(F3-E3)/E3</f>
        <v>-5.9758269666818596E-2</v>
      </c>
      <c r="J3" s="1248">
        <f t="shared" ref="J3:K3" si="0">+(G3-F3)/F3</f>
        <v>3.0303658857074475E-2</v>
      </c>
      <c r="K3" s="1248">
        <f t="shared" si="0"/>
        <v>3.0000000000000037E-2</v>
      </c>
    </row>
    <row r="4" spans="1:21">
      <c r="A4" s="510" t="s">
        <v>1164</v>
      </c>
      <c r="I4" s="1248"/>
      <c r="J4" s="1248"/>
      <c r="K4" s="1248"/>
      <c r="L4" s="1247"/>
      <c r="M4" s="1247"/>
      <c r="N4" s="1247"/>
      <c r="O4" s="1247"/>
      <c r="P4" s="1247"/>
      <c r="Q4" s="1247"/>
      <c r="R4" s="1247"/>
      <c r="S4" s="1247"/>
      <c r="T4" s="1247"/>
    </row>
    <row r="5" spans="1:21">
      <c r="A5" s="511" t="s">
        <v>1123</v>
      </c>
      <c r="B5" s="30">
        <v>4940859.3100000005</v>
      </c>
      <c r="C5" s="1243">
        <v>5905888.2999999998</v>
      </c>
      <c r="D5" s="30">
        <v>4238211</v>
      </c>
      <c r="E5" s="30">
        <v>3823320.5599999996</v>
      </c>
      <c r="F5" s="30">
        <v>4108572.0900000003</v>
      </c>
      <c r="G5" s="548">
        <v>3341781</v>
      </c>
      <c r="H5" s="548">
        <f>G5*1.03</f>
        <v>3442034.43</v>
      </c>
      <c r="I5" s="1248">
        <f>+(F5-E5)/E5</f>
        <v>7.4608321620827089E-2</v>
      </c>
      <c r="J5" s="1248">
        <f t="shared" ref="J5:K5" si="1">+(G5-F5)/F5</f>
        <v>-0.18663201550395583</v>
      </c>
      <c r="K5" s="1248">
        <f t="shared" si="1"/>
        <v>3.0000000000000051E-2</v>
      </c>
      <c r="L5" s="1247"/>
      <c r="M5" s="1247"/>
      <c r="N5" s="1247"/>
      <c r="O5" s="1247"/>
      <c r="P5" s="1247"/>
      <c r="Q5" s="1247"/>
      <c r="R5" s="1247"/>
      <c r="S5" s="1247"/>
      <c r="T5" s="1247"/>
    </row>
    <row r="6" spans="1:21">
      <c r="A6" s="511" t="s">
        <v>1122</v>
      </c>
      <c r="C6" s="102">
        <v>286679.22000000009</v>
      </c>
      <c r="I6" s="1248"/>
      <c r="J6" s="1248"/>
      <c r="K6" s="1248"/>
      <c r="L6" s="1247"/>
      <c r="M6" s="1247"/>
      <c r="N6" s="1247"/>
      <c r="O6" s="1247"/>
      <c r="P6" s="1247"/>
      <c r="Q6" s="1247"/>
      <c r="R6" s="1247"/>
      <c r="S6" s="1247"/>
      <c r="T6" s="1247"/>
      <c r="U6" s="516"/>
    </row>
    <row r="7" spans="1:21">
      <c r="A7" s="511" t="s">
        <v>1121</v>
      </c>
      <c r="B7" s="30">
        <v>1244028</v>
      </c>
      <c r="C7" s="1243">
        <v>1606263.58</v>
      </c>
      <c r="D7" s="30">
        <v>1443456</v>
      </c>
      <c r="E7" s="30">
        <v>1323277.8</v>
      </c>
      <c r="F7" s="30">
        <v>891163.89999999991</v>
      </c>
      <c r="G7" s="548">
        <v>738000</v>
      </c>
      <c r="H7" s="548">
        <f>G7*1.03</f>
        <v>760140</v>
      </c>
      <c r="I7" s="1248">
        <f t="shared" ref="I7:K13" si="2">+(F7-E7)/E7</f>
        <v>-0.32654813675556266</v>
      </c>
      <c r="J7" s="1248">
        <f t="shared" si="2"/>
        <v>-0.17186950683258145</v>
      </c>
      <c r="K7" s="1248">
        <f t="shared" si="2"/>
        <v>0.03</v>
      </c>
      <c r="L7" s="1247"/>
      <c r="M7" s="1247"/>
      <c r="N7" s="1247"/>
      <c r="O7" s="1247"/>
      <c r="P7" s="1247"/>
      <c r="Q7" s="1247"/>
      <c r="R7" s="1247"/>
      <c r="S7" s="1247"/>
      <c r="T7" s="1247"/>
      <c r="U7" s="516"/>
    </row>
    <row r="8" spans="1:21">
      <c r="A8" s="510" t="s">
        <v>1120</v>
      </c>
      <c r="B8" s="1244">
        <f t="shared" ref="B8:D8" si="3">SUM(B3:B7)</f>
        <v>34720699.18</v>
      </c>
      <c r="C8" s="1245">
        <f t="shared" si="3"/>
        <v>36881630.259999998</v>
      </c>
      <c r="D8" s="1244">
        <f t="shared" si="3"/>
        <v>34347646</v>
      </c>
      <c r="E8" s="1244">
        <v>34348618.260000005</v>
      </c>
      <c r="F8" s="1244">
        <f t="shared" ref="F8:H8" si="4">SUM(F3:F7)</f>
        <v>32456693.710000001</v>
      </c>
      <c r="G8" s="1245">
        <f t="shared" si="4"/>
        <v>32368785</v>
      </c>
      <c r="H8" s="1245">
        <f t="shared" si="4"/>
        <v>33339848.550000001</v>
      </c>
      <c r="I8" s="1248">
        <f t="shared" si="2"/>
        <v>-5.5080077331762928E-2</v>
      </c>
      <c r="J8" s="1248">
        <f>+(G8-F8)/F8</f>
        <v>-2.7084924541440881E-3</v>
      </c>
      <c r="K8" s="1248">
        <f t="shared" si="2"/>
        <v>3.0000000000000023E-2</v>
      </c>
      <c r="L8" s="1247"/>
      <c r="M8" s="1247"/>
      <c r="N8" s="1247"/>
      <c r="O8" s="1247"/>
      <c r="P8" s="1247"/>
      <c r="Q8" s="1247"/>
      <c r="R8" s="1247"/>
      <c r="S8" s="1247"/>
      <c r="T8" s="1247"/>
    </row>
    <row r="9" spans="1:21">
      <c r="A9" s="510" t="s">
        <v>1198</v>
      </c>
      <c r="B9" s="548">
        <v>10228277</v>
      </c>
      <c r="C9" s="548">
        <v>4685411.8531766962</v>
      </c>
      <c r="D9" s="548">
        <v>5471473</v>
      </c>
      <c r="E9" s="548">
        <v>3315140.7325836262</v>
      </c>
      <c r="F9" s="548">
        <v>-3496856.7943424857</v>
      </c>
      <c r="G9" s="548">
        <f>-5445794*0.49</f>
        <v>-2668439.06</v>
      </c>
      <c r="H9" s="548">
        <f>-8299078*0.49</f>
        <v>-4066548.2199999997</v>
      </c>
      <c r="I9" s="1248">
        <f t="shared" si="2"/>
        <v>-2.0548139811902466</v>
      </c>
      <c r="J9" s="1248">
        <f t="shared" si="2"/>
        <v>-0.23690353453500607</v>
      </c>
      <c r="K9" s="1248">
        <f>-(H9-G9)/G9</f>
        <v>-0.52394269779576663</v>
      </c>
      <c r="L9" s="1247"/>
      <c r="M9" s="1247"/>
      <c r="N9" s="1247"/>
      <c r="O9" s="1247"/>
      <c r="P9" s="1247"/>
      <c r="Q9" s="1247"/>
      <c r="R9" s="1247"/>
      <c r="S9" s="1247"/>
      <c r="T9" s="1247"/>
    </row>
    <row r="10" spans="1:21">
      <c r="A10" s="510" t="s">
        <v>1199</v>
      </c>
      <c r="B10" s="30">
        <f>23975595-B9</f>
        <v>13747318</v>
      </c>
      <c r="C10" s="1243">
        <v>15047469.006823305</v>
      </c>
      <c r="D10" s="30">
        <f>21750070-D9</f>
        <v>16278597</v>
      </c>
      <c r="E10" s="30">
        <v>15522798.107416373</v>
      </c>
      <c r="F10" s="30">
        <v>12192827.474342486</v>
      </c>
      <c r="G10" s="30">
        <f>12314704-G9</f>
        <v>14983143.060000001</v>
      </c>
      <c r="H10" s="30">
        <f>G10*1.03</f>
        <v>15432637.3518</v>
      </c>
      <c r="I10" s="1248">
        <f t="shared" si="2"/>
        <v>-0.21452128733690848</v>
      </c>
      <c r="J10" s="1248">
        <f t="shared" si="2"/>
        <v>0.22884893528832501</v>
      </c>
      <c r="K10" s="1248">
        <f t="shared" si="2"/>
        <v>2.9999999999999985E-2</v>
      </c>
      <c r="L10" s="1247"/>
      <c r="M10" s="1247"/>
      <c r="N10" s="1247"/>
      <c r="O10" s="1247"/>
      <c r="P10" s="1247"/>
      <c r="Q10" s="1247"/>
      <c r="R10" s="1247"/>
      <c r="S10" s="1247"/>
      <c r="T10" s="1247"/>
    </row>
    <row r="11" spans="1:21">
      <c r="A11" s="510" t="s">
        <v>1553</v>
      </c>
      <c r="B11" s="30">
        <v>9565464</v>
      </c>
      <c r="C11" s="1243">
        <v>9324482.9000000004</v>
      </c>
      <c r="D11" s="30">
        <v>10258925</v>
      </c>
      <c r="E11" s="30">
        <v>11172449.23</v>
      </c>
      <c r="F11" s="30">
        <v>12228030.440000003</v>
      </c>
      <c r="G11" s="30">
        <f>7251767+614927</f>
        <v>7866694</v>
      </c>
      <c r="H11" s="30">
        <f>G11*1.03</f>
        <v>8102694.8200000003</v>
      </c>
      <c r="I11" s="1248">
        <f t="shared" si="2"/>
        <v>9.4480734552418524E-2</v>
      </c>
      <c r="J11" s="1248">
        <f t="shared" si="2"/>
        <v>-0.35666712324605582</v>
      </c>
      <c r="K11" s="1248">
        <f t="shared" si="2"/>
        <v>3.0000000000000037E-2</v>
      </c>
      <c r="L11" s="1247"/>
      <c r="M11" s="1247"/>
      <c r="N11" s="1247"/>
      <c r="O11" s="1247"/>
      <c r="P11" s="1247"/>
      <c r="Q11" s="1247"/>
      <c r="R11" s="1247"/>
      <c r="S11" s="1247"/>
      <c r="T11" s="1247"/>
      <c r="U11" s="516"/>
    </row>
    <row r="12" spans="1:21">
      <c r="A12" s="510" t="s">
        <v>1554</v>
      </c>
      <c r="B12" s="30">
        <v>8577111</v>
      </c>
      <c r="C12" s="1243">
        <v>6665195.4100000001</v>
      </c>
      <c r="D12" s="30">
        <v>8400814</v>
      </c>
      <c r="E12" s="30">
        <v>8085639.080000001</v>
      </c>
      <c r="F12" s="30">
        <v>5122838.41</v>
      </c>
      <c r="G12" s="30">
        <f>2307278+269308</f>
        <v>2576586</v>
      </c>
      <c r="H12" s="30">
        <f>G12*1.03</f>
        <v>2653883.58</v>
      </c>
      <c r="I12" s="1248">
        <f t="shared" si="2"/>
        <v>-0.36642751929511064</v>
      </c>
      <c r="J12" s="1248">
        <f t="shared" si="2"/>
        <v>-0.49703937665291303</v>
      </c>
      <c r="K12" s="1248">
        <f t="shared" si="2"/>
        <v>3.000000000000003E-2</v>
      </c>
      <c r="L12" s="1247"/>
      <c r="M12" s="1247"/>
      <c r="N12" s="1247"/>
      <c r="O12" s="1247"/>
      <c r="P12" s="1247"/>
      <c r="Q12" s="1247"/>
      <c r="R12" s="1247"/>
      <c r="S12" s="1247"/>
      <c r="T12" s="1247"/>
    </row>
    <row r="13" spans="1:21" ht="13.5" thickBot="1">
      <c r="A13" s="510" t="s">
        <v>1119</v>
      </c>
      <c r="B13" s="1246">
        <f t="shared" ref="B13:D13" si="5">SUM(B8:B12)</f>
        <v>76838869.180000007</v>
      </c>
      <c r="C13" s="1246">
        <f t="shared" si="5"/>
        <v>72604189.430000007</v>
      </c>
      <c r="D13" s="1246">
        <f t="shared" si="5"/>
        <v>74757455</v>
      </c>
      <c r="E13" s="1246">
        <v>72444645.410000011</v>
      </c>
      <c r="F13" s="1499">
        <f t="shared" ref="F13" si="6">SUM(F8:F12)</f>
        <v>58503533.24000001</v>
      </c>
      <c r="G13" s="1246">
        <f>SUM(G8:G12)</f>
        <v>55126769</v>
      </c>
      <c r="H13" s="1246">
        <f>SUM(H8:H12)</f>
        <v>55462516.081799999</v>
      </c>
      <c r="I13" s="1248">
        <f t="shared" si="2"/>
        <v>-0.19243813108754093</v>
      </c>
      <c r="J13" s="1248">
        <f t="shared" si="2"/>
        <v>-5.7718979572523491E-2</v>
      </c>
      <c r="K13" s="1248">
        <f t="shared" si="2"/>
        <v>6.090454563009105E-3</v>
      </c>
      <c r="L13" s="1247"/>
      <c r="M13" s="1247"/>
      <c r="N13" s="1247"/>
      <c r="O13" s="1247"/>
      <c r="P13" s="1247"/>
      <c r="Q13" s="1247"/>
      <c r="R13" s="1247"/>
      <c r="S13" s="1247"/>
      <c r="T13" s="1247"/>
      <c r="U13" s="516"/>
    </row>
    <row r="14" spans="1:21" ht="13.5" thickTop="1">
      <c r="A14" s="510" t="s">
        <v>1118</v>
      </c>
      <c r="B14" s="512"/>
      <c r="C14" s="512">
        <f>C13/B13-1</f>
        <v>-5.5111166980867266E-2</v>
      </c>
      <c r="D14" s="513">
        <f>+(D13-C13+C4)/(C13-C4)</f>
        <v>2.9657593961241371E-2</v>
      </c>
      <c r="E14" s="513">
        <f>+E13/D13-1</f>
        <v>-3.0937511048229061E-2</v>
      </c>
      <c r="F14" s="513">
        <f>+F13/E13-1</f>
        <v>-0.19243813108754093</v>
      </c>
      <c r="G14" s="1248">
        <f>(G13-F13)/F13</f>
        <v>-5.7718979572523491E-2</v>
      </c>
      <c r="H14" s="1248">
        <f>(H13-G13)/G13</f>
        <v>6.090454563009105E-3</v>
      </c>
      <c r="I14" s="1247"/>
      <c r="J14" s="1247"/>
      <c r="K14" s="1247"/>
      <c r="L14" s="1247"/>
      <c r="M14" s="1247"/>
      <c r="N14" s="1247"/>
      <c r="O14" s="1247"/>
      <c r="P14" s="1247"/>
      <c r="Q14" s="1247"/>
      <c r="R14" s="1247"/>
      <c r="S14" s="1247"/>
      <c r="T14" s="1247"/>
      <c r="U14" s="516"/>
    </row>
    <row r="15" spans="1:21">
      <c r="B15" s="512"/>
      <c r="C15" s="512"/>
      <c r="D15" s="513"/>
      <c r="E15" s="513"/>
      <c r="F15" s="513"/>
      <c r="G15" s="1248"/>
      <c r="H15" s="1248"/>
      <c r="I15" s="1247"/>
      <c r="J15" s="1247"/>
      <c r="K15" s="1247"/>
      <c r="L15" s="1247"/>
      <c r="M15" s="1247"/>
      <c r="N15" s="1247"/>
      <c r="O15" s="1247"/>
      <c r="P15" s="1247"/>
      <c r="Q15" s="1247"/>
      <c r="R15" s="1247"/>
      <c r="S15" s="1247"/>
      <c r="T15" s="1247"/>
      <c r="U15" s="516"/>
    </row>
    <row r="16" spans="1:21">
      <c r="A16" s="510" t="s">
        <v>1556</v>
      </c>
      <c r="B16" s="512"/>
      <c r="C16" s="512"/>
      <c r="D16" s="513"/>
      <c r="E16" s="513"/>
      <c r="G16" s="516">
        <f>-614927+G11</f>
        <v>7251767</v>
      </c>
      <c r="H16" s="516">
        <f>+G16*(1+K11)</f>
        <v>7469320.0099999998</v>
      </c>
      <c r="I16" s="510" t="s">
        <v>1292</v>
      </c>
    </row>
    <row r="17" spans="1:24">
      <c r="A17" s="510" t="s">
        <v>1557</v>
      </c>
      <c r="B17" s="512"/>
      <c r="C17" s="512"/>
      <c r="D17" s="513"/>
      <c r="E17" s="513"/>
      <c r="G17" s="9">
        <f>-269308+G12</f>
        <v>2307278</v>
      </c>
      <c r="H17" s="516">
        <f>+G17*(1+K12)</f>
        <v>2376496.34</v>
      </c>
      <c r="I17" s="510">
        <v>2018</v>
      </c>
      <c r="J17" s="510" t="s">
        <v>1165</v>
      </c>
      <c r="K17" s="510" t="s">
        <v>1166</v>
      </c>
      <c r="L17" s="510" t="s">
        <v>1167</v>
      </c>
      <c r="M17" s="510" t="s">
        <v>1168</v>
      </c>
      <c r="N17" s="510" t="s">
        <v>1169</v>
      </c>
      <c r="O17" s="510" t="s">
        <v>1170</v>
      </c>
      <c r="P17" s="510" t="s">
        <v>1171</v>
      </c>
      <c r="Q17" s="510" t="s">
        <v>1172</v>
      </c>
      <c r="R17" s="510" t="s">
        <v>1173</v>
      </c>
      <c r="S17" s="510" t="s">
        <v>1174</v>
      </c>
      <c r="T17" s="510" t="s">
        <v>1175</v>
      </c>
      <c r="U17" s="510" t="s">
        <v>1176</v>
      </c>
      <c r="V17" s="510" t="s">
        <v>1177</v>
      </c>
    </row>
    <row r="18" spans="1:24">
      <c r="B18" s="514"/>
      <c r="C18" s="1"/>
      <c r="D18" s="1"/>
      <c r="E18" s="1"/>
      <c r="F18" s="1"/>
      <c r="G18" s="1"/>
      <c r="H18" s="1248"/>
      <c r="I18" s="274" t="s">
        <v>1181</v>
      </c>
      <c r="J18" s="1432"/>
      <c r="K18" s="1432"/>
      <c r="L18" s="1432"/>
      <c r="M18" s="1432"/>
      <c r="N18" s="1432"/>
      <c r="O18" s="1432"/>
      <c r="P18" s="1432"/>
      <c r="Q18" s="1432"/>
      <c r="R18" s="1432"/>
      <c r="S18" s="1432"/>
      <c r="T18" s="1432"/>
      <c r="U18" s="1432"/>
      <c r="V18" s="1247">
        <f t="shared" ref="V18:V23" si="7">SUM(J18:U18)</f>
        <v>0</v>
      </c>
      <c r="W18" s="510" t="s">
        <v>1293</v>
      </c>
    </row>
    <row r="19" spans="1:24">
      <c r="B19" s="515"/>
      <c r="C19" s="1"/>
      <c r="D19" s="1"/>
      <c r="E19" s="1"/>
      <c r="F19" s="1"/>
      <c r="G19" s="1"/>
      <c r="I19" s="274" t="s">
        <v>1182</v>
      </c>
      <c r="J19" s="1432"/>
      <c r="K19" s="1432"/>
      <c r="L19" s="1432"/>
      <c r="M19" s="1432"/>
      <c r="N19" s="1432"/>
      <c r="O19" s="1432"/>
      <c r="P19" s="1432"/>
      <c r="Q19" s="1432"/>
      <c r="R19" s="1432"/>
      <c r="S19" s="1432"/>
      <c r="T19" s="1432"/>
      <c r="U19" s="1432"/>
      <c r="V19" s="1247">
        <f t="shared" si="7"/>
        <v>0</v>
      </c>
      <c r="W19" s="510" t="s">
        <v>1180</v>
      </c>
      <c r="X19" s="516"/>
    </row>
    <row r="20" spans="1:24">
      <c r="C20" s="1"/>
      <c r="D20" s="1"/>
      <c r="E20" s="1"/>
      <c r="F20" s="1"/>
      <c r="G20" s="1">
        <f>+(G16+G17)/4</f>
        <v>2389761.25</v>
      </c>
      <c r="I20" s="274" t="s">
        <v>1183</v>
      </c>
      <c r="J20" s="1432"/>
      <c r="K20" s="1432"/>
      <c r="L20" s="1432"/>
      <c r="M20" s="1432"/>
      <c r="N20" s="1432"/>
      <c r="O20" s="1432"/>
      <c r="P20" s="1432"/>
      <c r="Q20" s="1432"/>
      <c r="R20" s="1432"/>
      <c r="S20" s="1432"/>
      <c r="T20" s="1432"/>
      <c r="U20" s="1432"/>
      <c r="V20" s="1247">
        <f t="shared" si="7"/>
        <v>0</v>
      </c>
      <c r="W20" s="510" t="s">
        <v>1293</v>
      </c>
    </row>
    <row r="21" spans="1:24">
      <c r="C21" s="1"/>
      <c r="D21" s="1"/>
      <c r="E21" s="1"/>
      <c r="F21" s="1"/>
      <c r="G21" s="1">
        <f>+'Corporate Overhead'!M32*4</f>
        <v>1350603.64</v>
      </c>
      <c r="H21" s="1248"/>
      <c r="I21" s="274" t="s">
        <v>865</v>
      </c>
      <c r="J21" s="1432"/>
      <c r="K21" s="1432"/>
      <c r="L21" s="1432"/>
      <c r="M21" s="1432"/>
      <c r="N21" s="1432"/>
      <c r="O21" s="1432"/>
      <c r="P21" s="1432"/>
      <c r="Q21" s="1432"/>
      <c r="R21" s="1432"/>
      <c r="S21" s="1432"/>
      <c r="T21" s="1432"/>
      <c r="U21" s="1432"/>
      <c r="V21" s="1247">
        <f t="shared" si="7"/>
        <v>0</v>
      </c>
      <c r="W21" s="510" t="s">
        <v>1293</v>
      </c>
    </row>
    <row r="22" spans="1:24">
      <c r="C22" s="1"/>
      <c r="D22" s="1"/>
      <c r="E22" s="1"/>
      <c r="F22" s="1"/>
      <c r="G22" s="9">
        <f>+G20-G21</f>
        <v>1039157.6100000001</v>
      </c>
      <c r="H22" s="1248"/>
      <c r="I22" s="274" t="s">
        <v>1184</v>
      </c>
      <c r="J22" s="1432"/>
      <c r="K22" s="1432"/>
      <c r="L22" s="1432"/>
      <c r="M22" s="1432"/>
      <c r="N22" s="1432"/>
      <c r="O22" s="1432"/>
      <c r="P22" s="1432"/>
      <c r="Q22" s="1432"/>
      <c r="R22" s="1432"/>
      <c r="S22" s="1432"/>
      <c r="T22" s="1432"/>
      <c r="U22" s="1432"/>
      <c r="V22" s="1247">
        <f t="shared" si="7"/>
        <v>0</v>
      </c>
      <c r="W22" s="510" t="s">
        <v>1293</v>
      </c>
    </row>
    <row r="23" spans="1:24">
      <c r="A23" s="548"/>
      <c r="C23" s="1"/>
      <c r="D23" s="1"/>
      <c r="E23" s="1"/>
      <c r="F23" s="1"/>
      <c r="G23" s="9"/>
      <c r="H23" s="1248"/>
      <c r="I23" s="274" t="s">
        <v>1185</v>
      </c>
      <c r="J23" s="1432"/>
      <c r="K23" s="1432"/>
      <c r="L23" s="1432"/>
      <c r="M23" s="1432"/>
      <c r="N23" s="1432"/>
      <c r="O23" s="1432"/>
      <c r="P23" s="1432"/>
      <c r="Q23" s="1432"/>
      <c r="R23" s="1432"/>
      <c r="S23" s="1432"/>
      <c r="T23" s="1432"/>
      <c r="U23" s="1432"/>
      <c r="V23" s="1247">
        <f t="shared" si="7"/>
        <v>0</v>
      </c>
      <c r="W23" s="510" t="s">
        <v>1293</v>
      </c>
    </row>
    <row r="24" spans="1:24" ht="13.5" thickBot="1">
      <c r="A24" s="548"/>
      <c r="C24" s="1"/>
      <c r="D24" s="1"/>
      <c r="E24" s="1"/>
      <c r="F24" s="1"/>
      <c r="I24" s="510" t="s">
        <v>897</v>
      </c>
      <c r="J24" s="1433">
        <f>SUM(J18:J23)</f>
        <v>0</v>
      </c>
      <c r="K24" s="1433">
        <f t="shared" ref="K24:U24" si="8">SUM(K18:K23)</f>
        <v>0</v>
      </c>
      <c r="L24" s="1433">
        <f t="shared" si="8"/>
        <v>0</v>
      </c>
      <c r="M24" s="1433">
        <f t="shared" si="8"/>
        <v>0</v>
      </c>
      <c r="N24" s="1433">
        <f t="shared" si="8"/>
        <v>0</v>
      </c>
      <c r="O24" s="1433">
        <f t="shared" si="8"/>
        <v>0</v>
      </c>
      <c r="P24" s="1433">
        <f t="shared" si="8"/>
        <v>0</v>
      </c>
      <c r="Q24" s="1433">
        <f t="shared" si="8"/>
        <v>0</v>
      </c>
      <c r="R24" s="1433">
        <f t="shared" si="8"/>
        <v>0</v>
      </c>
      <c r="S24" s="1433">
        <f t="shared" si="8"/>
        <v>0</v>
      </c>
      <c r="T24" s="1433">
        <f t="shared" si="8"/>
        <v>0</v>
      </c>
      <c r="U24" s="1433">
        <f t="shared" si="8"/>
        <v>0</v>
      </c>
      <c r="V24" s="1246">
        <f>SUM(V18:V23)</f>
        <v>0</v>
      </c>
    </row>
    <row r="25" spans="1:24" ht="13.5" thickTop="1">
      <c r="A25" s="548"/>
      <c r="C25" s="1"/>
      <c r="D25" s="1"/>
      <c r="E25" s="1"/>
      <c r="F25" s="15"/>
      <c r="G25" s="9"/>
      <c r="J25" s="1434"/>
      <c r="K25" s="1434"/>
      <c r="L25" s="1434"/>
      <c r="M25" s="1434"/>
      <c r="N25" s="1434"/>
      <c r="O25" s="1434"/>
      <c r="P25" s="1434"/>
      <c r="Q25" s="1434"/>
      <c r="R25" s="1434"/>
      <c r="S25" s="1434"/>
      <c r="T25" s="1434"/>
      <c r="U25" s="1434"/>
      <c r="V25" s="1435"/>
    </row>
    <row r="26" spans="1:24">
      <c r="A26" s="548"/>
      <c r="C26" s="1"/>
      <c r="D26" s="1"/>
      <c r="E26" s="1"/>
      <c r="F26" s="15"/>
      <c r="G26" s="9"/>
      <c r="J26" s="1434"/>
      <c r="K26" s="1434"/>
      <c r="L26" s="1434"/>
      <c r="M26" s="1434"/>
      <c r="N26" s="1434"/>
      <c r="O26" s="1434"/>
      <c r="P26" s="1434"/>
      <c r="Q26" s="1434"/>
      <c r="R26" s="1434"/>
      <c r="S26" s="1434"/>
      <c r="T26" s="1434"/>
      <c r="U26" s="1434"/>
      <c r="V26" s="1435"/>
    </row>
    <row r="27" spans="1:24">
      <c r="A27" s="548"/>
      <c r="C27" s="1"/>
      <c r="D27" s="1"/>
      <c r="E27" s="1"/>
      <c r="F27" s="1"/>
      <c r="G27" s="516"/>
      <c r="I27" s="510">
        <v>2019</v>
      </c>
      <c r="V27" s="1247"/>
    </row>
    <row r="28" spans="1:24">
      <c r="A28" s="548"/>
      <c r="C28" s="1"/>
      <c r="D28" s="1"/>
      <c r="E28" s="1"/>
      <c r="F28" s="1"/>
      <c r="H28" s="1249"/>
      <c r="I28" s="274" t="s">
        <v>1181</v>
      </c>
      <c r="J28" s="1247">
        <f>+J18*1.03</f>
        <v>0</v>
      </c>
      <c r="K28" s="1247">
        <f t="shared" ref="K28:U28" si="9">+K18*1.03</f>
        <v>0</v>
      </c>
      <c r="L28" s="1247">
        <f t="shared" si="9"/>
        <v>0</v>
      </c>
      <c r="M28" s="1247">
        <f t="shared" si="9"/>
        <v>0</v>
      </c>
      <c r="N28" s="1247">
        <f t="shared" si="9"/>
        <v>0</v>
      </c>
      <c r="O28" s="1247">
        <f t="shared" si="9"/>
        <v>0</v>
      </c>
      <c r="P28" s="1247">
        <f t="shared" si="9"/>
        <v>0</v>
      </c>
      <c r="Q28" s="1247">
        <f t="shared" si="9"/>
        <v>0</v>
      </c>
      <c r="R28" s="1247">
        <f t="shared" si="9"/>
        <v>0</v>
      </c>
      <c r="S28" s="1247">
        <f t="shared" si="9"/>
        <v>0</v>
      </c>
      <c r="T28" s="1247">
        <f t="shared" si="9"/>
        <v>0</v>
      </c>
      <c r="U28" s="1247">
        <f t="shared" si="9"/>
        <v>0</v>
      </c>
      <c r="V28" s="1247">
        <f t="shared" ref="V28:V34" si="10">SUM(J28:U28)</f>
        <v>0</v>
      </c>
      <c r="W28" s="1248" t="e">
        <f t="shared" ref="W28:W34" si="11">+V28/V18-1</f>
        <v>#DIV/0!</v>
      </c>
      <c r="X28" s="15"/>
    </row>
    <row r="29" spans="1:24">
      <c r="A29" s="548"/>
      <c r="C29" s="1"/>
      <c r="D29" s="1"/>
      <c r="E29" s="1"/>
      <c r="F29" s="15"/>
      <c r="G29" s="102"/>
      <c r="I29" s="274" t="s">
        <v>1182</v>
      </c>
      <c r="J29" s="1247">
        <f t="shared" ref="J29:U33" si="12">+J19*1.03</f>
        <v>0</v>
      </c>
      <c r="K29" s="1247">
        <f t="shared" si="12"/>
        <v>0</v>
      </c>
      <c r="L29" s="1247">
        <f t="shared" si="12"/>
        <v>0</v>
      </c>
      <c r="M29" s="1247">
        <f t="shared" si="12"/>
        <v>0</v>
      </c>
      <c r="N29" s="1247">
        <f t="shared" si="12"/>
        <v>0</v>
      </c>
      <c r="O29" s="1247">
        <f t="shared" si="12"/>
        <v>0</v>
      </c>
      <c r="P29" s="1247">
        <f t="shared" si="12"/>
        <v>0</v>
      </c>
      <c r="Q29" s="1247">
        <f t="shared" si="12"/>
        <v>0</v>
      </c>
      <c r="R29" s="1247">
        <f t="shared" si="12"/>
        <v>0</v>
      </c>
      <c r="S29" s="1247">
        <f t="shared" si="12"/>
        <v>0</v>
      </c>
      <c r="T29" s="1247">
        <f t="shared" si="12"/>
        <v>0</v>
      </c>
      <c r="U29" s="1247">
        <f t="shared" si="12"/>
        <v>0</v>
      </c>
      <c r="V29" s="1247">
        <f t="shared" si="10"/>
        <v>0</v>
      </c>
      <c r="W29" s="1248" t="e">
        <f t="shared" si="11"/>
        <v>#DIV/0!</v>
      </c>
      <c r="X29" s="15"/>
    </row>
    <row r="30" spans="1:24">
      <c r="A30" s="548"/>
      <c r="C30" s="1"/>
      <c r="D30" s="1"/>
      <c r="E30" s="1"/>
      <c r="F30" s="1"/>
      <c r="I30" s="274" t="s">
        <v>1183</v>
      </c>
      <c r="J30" s="1247">
        <f t="shared" si="12"/>
        <v>0</v>
      </c>
      <c r="K30" s="1247">
        <f t="shared" si="12"/>
        <v>0</v>
      </c>
      <c r="L30" s="1247">
        <f t="shared" si="12"/>
        <v>0</v>
      </c>
      <c r="M30" s="1247">
        <f t="shared" si="12"/>
        <v>0</v>
      </c>
      <c r="N30" s="1247">
        <f t="shared" si="12"/>
        <v>0</v>
      </c>
      <c r="O30" s="1247">
        <f t="shared" si="12"/>
        <v>0</v>
      </c>
      <c r="P30" s="1247">
        <f t="shared" si="12"/>
        <v>0</v>
      </c>
      <c r="Q30" s="1247">
        <f t="shared" si="12"/>
        <v>0</v>
      </c>
      <c r="R30" s="1247">
        <f t="shared" si="12"/>
        <v>0</v>
      </c>
      <c r="S30" s="1247">
        <f t="shared" si="12"/>
        <v>0</v>
      </c>
      <c r="T30" s="1247">
        <f t="shared" si="12"/>
        <v>0</v>
      </c>
      <c r="U30" s="1247">
        <f t="shared" si="12"/>
        <v>0</v>
      </c>
      <c r="V30" s="1247">
        <f t="shared" si="10"/>
        <v>0</v>
      </c>
      <c r="W30" s="1248" t="e">
        <f t="shared" si="11"/>
        <v>#DIV/0!</v>
      </c>
      <c r="X30" s="15"/>
    </row>
    <row r="31" spans="1:24">
      <c r="A31" s="548"/>
      <c r="C31" s="1"/>
      <c r="D31" s="1"/>
      <c r="E31" s="15"/>
      <c r="G31" s="102"/>
      <c r="H31" s="1249"/>
      <c r="I31" s="274" t="s">
        <v>865</v>
      </c>
      <c r="J31" s="1247">
        <f t="shared" si="12"/>
        <v>0</v>
      </c>
      <c r="K31" s="1247">
        <f t="shared" si="12"/>
        <v>0</v>
      </c>
      <c r="L31" s="1247">
        <f t="shared" si="12"/>
        <v>0</v>
      </c>
      <c r="M31" s="1247">
        <f t="shared" si="12"/>
        <v>0</v>
      </c>
      <c r="N31" s="1247">
        <f t="shared" si="12"/>
        <v>0</v>
      </c>
      <c r="O31" s="1247">
        <f t="shared" si="12"/>
        <v>0</v>
      </c>
      <c r="P31" s="1247">
        <f t="shared" si="12"/>
        <v>0</v>
      </c>
      <c r="Q31" s="1247">
        <f t="shared" si="12"/>
        <v>0</v>
      </c>
      <c r="R31" s="1247">
        <f t="shared" si="12"/>
        <v>0</v>
      </c>
      <c r="S31" s="1247">
        <f t="shared" si="12"/>
        <v>0</v>
      </c>
      <c r="T31" s="1247">
        <f t="shared" si="12"/>
        <v>0</v>
      </c>
      <c r="U31" s="1247">
        <f t="shared" si="12"/>
        <v>0</v>
      </c>
      <c r="V31" s="1247">
        <f t="shared" si="10"/>
        <v>0</v>
      </c>
      <c r="W31" s="1248" t="e">
        <f t="shared" si="11"/>
        <v>#DIV/0!</v>
      </c>
      <c r="X31" s="15"/>
    </row>
    <row r="32" spans="1:24">
      <c r="A32" s="548"/>
      <c r="C32" s="1"/>
      <c r="D32" s="1"/>
      <c r="E32" s="1"/>
      <c r="F32" s="1"/>
      <c r="H32" s="1249"/>
      <c r="I32" s="274" t="s">
        <v>1184</v>
      </c>
      <c r="J32" s="1247">
        <f t="shared" si="12"/>
        <v>0</v>
      </c>
      <c r="K32" s="1247">
        <f t="shared" si="12"/>
        <v>0</v>
      </c>
      <c r="L32" s="1247">
        <f t="shared" si="12"/>
        <v>0</v>
      </c>
      <c r="M32" s="1247">
        <f t="shared" si="12"/>
        <v>0</v>
      </c>
      <c r="N32" s="1247">
        <f t="shared" si="12"/>
        <v>0</v>
      </c>
      <c r="O32" s="1247">
        <f t="shared" si="12"/>
        <v>0</v>
      </c>
      <c r="P32" s="1247">
        <f t="shared" si="12"/>
        <v>0</v>
      </c>
      <c r="Q32" s="1247">
        <f t="shared" si="12"/>
        <v>0</v>
      </c>
      <c r="R32" s="1247">
        <f t="shared" si="12"/>
        <v>0</v>
      </c>
      <c r="S32" s="1247">
        <f t="shared" si="12"/>
        <v>0</v>
      </c>
      <c r="T32" s="1247">
        <f t="shared" si="12"/>
        <v>0</v>
      </c>
      <c r="U32" s="1247">
        <f t="shared" si="12"/>
        <v>0</v>
      </c>
      <c r="V32" s="1247">
        <f t="shared" si="10"/>
        <v>0</v>
      </c>
      <c r="W32" s="1248" t="e">
        <f t="shared" si="11"/>
        <v>#DIV/0!</v>
      </c>
      <c r="X32" s="15"/>
    </row>
    <row r="33" spans="1:24">
      <c r="A33" s="548"/>
      <c r="C33" s="1"/>
      <c r="D33" s="1"/>
      <c r="E33" s="1"/>
      <c r="F33" s="1"/>
      <c r="H33" s="1249"/>
      <c r="I33" s="274" t="s">
        <v>1185</v>
      </c>
      <c r="J33" s="1247">
        <f t="shared" si="12"/>
        <v>0</v>
      </c>
      <c r="K33" s="1247">
        <f t="shared" si="12"/>
        <v>0</v>
      </c>
      <c r="L33" s="1247">
        <f t="shared" si="12"/>
        <v>0</v>
      </c>
      <c r="M33" s="1247">
        <f t="shared" si="12"/>
        <v>0</v>
      </c>
      <c r="N33" s="1247">
        <f t="shared" si="12"/>
        <v>0</v>
      </c>
      <c r="O33" s="1247">
        <f t="shared" si="12"/>
        <v>0</v>
      </c>
      <c r="P33" s="1247">
        <f t="shared" si="12"/>
        <v>0</v>
      </c>
      <c r="Q33" s="1247">
        <f t="shared" si="12"/>
        <v>0</v>
      </c>
      <c r="R33" s="1247">
        <f t="shared" si="12"/>
        <v>0</v>
      </c>
      <c r="S33" s="1247">
        <f t="shared" si="12"/>
        <v>0</v>
      </c>
      <c r="T33" s="1247">
        <f t="shared" si="12"/>
        <v>0</v>
      </c>
      <c r="U33" s="1247">
        <f t="shared" si="12"/>
        <v>0</v>
      </c>
      <c r="V33" s="1247">
        <f t="shared" si="10"/>
        <v>0</v>
      </c>
      <c r="W33" s="1248" t="e">
        <f t="shared" si="11"/>
        <v>#DIV/0!</v>
      </c>
      <c r="X33" s="15"/>
    </row>
    <row r="34" spans="1:24" ht="13.5" thickBot="1">
      <c r="A34" s="548"/>
      <c r="C34" s="1"/>
      <c r="D34" s="1"/>
      <c r="E34" s="1"/>
      <c r="F34" s="1"/>
      <c r="I34" s="510" t="s">
        <v>897</v>
      </c>
      <c r="J34" s="1433">
        <f>SUM(J28:J33)</f>
        <v>0</v>
      </c>
      <c r="K34" s="1433">
        <f t="shared" ref="K34:U34" si="13">SUM(K28:K33)</f>
        <v>0</v>
      </c>
      <c r="L34" s="1433">
        <f t="shared" si="13"/>
        <v>0</v>
      </c>
      <c r="M34" s="1433">
        <f t="shared" si="13"/>
        <v>0</v>
      </c>
      <c r="N34" s="1433">
        <f t="shared" si="13"/>
        <v>0</v>
      </c>
      <c r="O34" s="1433">
        <f t="shared" si="13"/>
        <v>0</v>
      </c>
      <c r="P34" s="1433">
        <f t="shared" si="13"/>
        <v>0</v>
      </c>
      <c r="Q34" s="1433">
        <f t="shared" si="13"/>
        <v>0</v>
      </c>
      <c r="R34" s="1433">
        <f t="shared" si="13"/>
        <v>0</v>
      </c>
      <c r="S34" s="1433">
        <f t="shared" si="13"/>
        <v>0</v>
      </c>
      <c r="T34" s="1433">
        <f t="shared" si="13"/>
        <v>0</v>
      </c>
      <c r="U34" s="1433">
        <f t="shared" si="13"/>
        <v>0</v>
      </c>
      <c r="V34" s="1436">
        <f t="shared" si="10"/>
        <v>0</v>
      </c>
      <c r="W34" s="1248" t="e">
        <f t="shared" si="11"/>
        <v>#DIV/0!</v>
      </c>
      <c r="X34" s="15"/>
    </row>
    <row r="35" spans="1:24" ht="13.5" thickTop="1">
      <c r="A35" s="548"/>
      <c r="C35" s="1"/>
      <c r="D35" s="1"/>
      <c r="E35" s="1"/>
      <c r="F35" s="1"/>
    </row>
    <row r="36" spans="1:24">
      <c r="C36" s="1"/>
      <c r="D36" s="1"/>
      <c r="E36" s="1"/>
      <c r="F36" s="1"/>
      <c r="J36" s="1247"/>
      <c r="K36" s="1247"/>
      <c r="L36" s="1247"/>
      <c r="M36" s="1247"/>
      <c r="N36" s="1247"/>
      <c r="O36" s="1247"/>
      <c r="P36" s="1247"/>
      <c r="Q36" s="1247"/>
      <c r="R36" s="1247"/>
      <c r="S36" s="1247"/>
      <c r="T36" s="1247"/>
      <c r="U36" s="1247"/>
      <c r="V36" s="514"/>
    </row>
    <row r="37" spans="1:24">
      <c r="I37" s="510" t="s">
        <v>1558</v>
      </c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516"/>
    </row>
    <row r="38" spans="1:24">
      <c r="I38" s="510" t="s">
        <v>1559</v>
      </c>
      <c r="J38" s="516"/>
      <c r="K38" s="516"/>
      <c r="L38" s="516"/>
      <c r="M38" s="516"/>
      <c r="N38" s="516"/>
      <c r="O38" s="516"/>
      <c r="P38" s="516"/>
      <c r="Q38" s="516"/>
      <c r="R38" s="516"/>
      <c r="S38" s="516"/>
      <c r="T38" s="516"/>
      <c r="U38" s="516"/>
      <c r="V38" s="516"/>
    </row>
    <row r="39" spans="1:24">
      <c r="W39" s="513" t="e">
        <f>(V37/V38)-1</f>
        <v>#DIV/0!</v>
      </c>
    </row>
    <row r="42" spans="1:24">
      <c r="P42" s="102"/>
      <c r="Q42" s="102"/>
      <c r="R42" s="102"/>
      <c r="S42" s="102"/>
      <c r="T42" s="102"/>
      <c r="U42" s="102"/>
      <c r="V42" s="516"/>
    </row>
    <row r="43" spans="1:24">
      <c r="P43" s="516"/>
      <c r="Q43" s="516"/>
      <c r="R43" s="516"/>
      <c r="S43" s="516"/>
      <c r="T43" s="516"/>
      <c r="U43" s="516"/>
      <c r="V43" s="516"/>
      <c r="W43" s="513"/>
    </row>
    <row r="44" spans="1:24">
      <c r="W44" s="513" t="e">
        <f>(V42/V43)-1</f>
        <v>#DIV/0!</v>
      </c>
    </row>
    <row r="45" spans="1:24">
      <c r="W45" s="513"/>
    </row>
  </sheetData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A28"/>
  <sheetViews>
    <sheetView workbookViewId="0">
      <selection activeCell="J20" sqref="J20"/>
    </sheetView>
  </sheetViews>
  <sheetFormatPr defaultRowHeight="12.75"/>
  <cols>
    <col min="1" max="1" width="8.85546875" style="15" customWidth="1"/>
    <col min="2" max="2" width="15" style="15" customWidth="1"/>
    <col min="3" max="4" width="8.85546875" style="15" customWidth="1"/>
    <col min="5" max="7" width="17.140625" style="15" customWidth="1"/>
    <col min="8" max="8" width="17.140625" style="15" hidden="1" customWidth="1"/>
    <col min="9" max="9" width="3.28515625" style="15" customWidth="1"/>
    <col min="10" max="13" width="3" style="15" customWidth="1"/>
    <col min="14" max="14" width="11.28515625" style="15" customWidth="1"/>
    <col min="15" max="15" width="10.7109375" style="15" bestFit="1" customWidth="1"/>
    <col min="16" max="16" width="8.85546875" style="15" customWidth="1"/>
    <col min="17" max="17" width="10.7109375" style="15" bestFit="1" customWidth="1"/>
    <col min="18" max="18" width="11" style="15" customWidth="1"/>
    <col min="19" max="19" width="9.28515625" style="15" bestFit="1" customWidth="1"/>
    <col min="20" max="20" width="13" style="15" bestFit="1" customWidth="1"/>
    <col min="21" max="21" width="10.85546875" style="15" customWidth="1"/>
    <col min="22" max="22" width="13.140625" style="15" bestFit="1" customWidth="1"/>
    <col min="23" max="23" width="9.28515625" style="15" customWidth="1"/>
    <col min="24" max="24" width="9.28515625" style="15" bestFit="1" customWidth="1"/>
    <col min="25" max="25" width="11" style="15" customWidth="1"/>
    <col min="26" max="26" width="10.85546875" style="15" customWidth="1"/>
    <col min="27" max="27" width="10.7109375" style="15" bestFit="1" customWidth="1"/>
    <col min="28" max="16384" width="9.140625" style="15"/>
  </cols>
  <sheetData>
    <row r="1" spans="1:27">
      <c r="A1" s="578" t="s">
        <v>931</v>
      </c>
    </row>
    <row r="2" spans="1:27">
      <c r="A2" s="578" t="str">
        <f>'Control Panel'!$B$1</f>
        <v>Dominion Energy</v>
      </c>
    </row>
    <row r="3" spans="1:27">
      <c r="A3" s="578" t="str">
        <f>'Control Panel'!$B$2</f>
        <v>Utah - DEC 2019 Adjusted Avg  Results</v>
      </c>
    </row>
    <row r="4" spans="1:27">
      <c r="A4" s="578" t="str">
        <f>'Control Panel'!$B$3</f>
        <v>12 Months Ended : Dec-2019</v>
      </c>
    </row>
    <row r="5" spans="1:27">
      <c r="A5" s="578"/>
    </row>
    <row r="6" spans="1:27" ht="20.25">
      <c r="A6" s="578"/>
      <c r="H6" s="577" t="s">
        <v>768</v>
      </c>
      <c r="N6" s="541" t="s">
        <v>931</v>
      </c>
      <c r="R6" s="1"/>
    </row>
    <row r="7" spans="1:27" ht="27">
      <c r="A7" s="578"/>
      <c r="E7" s="121" t="s">
        <v>1233</v>
      </c>
      <c r="F7" s="121" t="s">
        <v>1358</v>
      </c>
      <c r="G7" s="121" t="s">
        <v>1400</v>
      </c>
      <c r="H7" s="456" t="str">
        <f>+'Control Panel'!B32</f>
        <v>Energy Efficiency 2019</v>
      </c>
      <c r="J7" s="15">
        <v>1</v>
      </c>
      <c r="N7" s="541"/>
      <c r="R7" s="1"/>
    </row>
    <row r="8" spans="1:27">
      <c r="A8" s="578"/>
      <c r="E8" s="749"/>
      <c r="F8" s="749"/>
      <c r="G8" s="749"/>
      <c r="H8" s="749"/>
      <c r="J8" s="15">
        <f t="shared" ref="J8:J23" si="0">+J7+1</f>
        <v>2</v>
      </c>
      <c r="N8" s="19" t="str">
        <f>E7&amp;" Booked"</f>
        <v>Energy Efficiency 2017 Booked</v>
      </c>
      <c r="R8" s="1"/>
      <c r="S8" s="19" t="str">
        <f>F7&amp;" Forecast"</f>
        <v>Energy Efficiency 2018 Forecast</v>
      </c>
      <c r="X8" s="19" t="str">
        <f>G7&amp;" Forecast"</f>
        <v>Energy Efficiency 2019 Forecast</v>
      </c>
    </row>
    <row r="9" spans="1:27" ht="12.75" customHeight="1">
      <c r="E9" s="457"/>
      <c r="F9" s="457"/>
      <c r="G9" s="457"/>
      <c r="H9" s="457"/>
      <c r="J9" s="15">
        <f t="shared" si="0"/>
        <v>3</v>
      </c>
      <c r="O9" s="15" t="s">
        <v>14</v>
      </c>
      <c r="P9" s="15" t="s">
        <v>24</v>
      </c>
      <c r="Q9" s="15" t="s">
        <v>170</v>
      </c>
      <c r="R9" s="1"/>
      <c r="T9" s="15" t="s">
        <v>14</v>
      </c>
      <c r="U9" s="15" t="s">
        <v>24</v>
      </c>
      <c r="V9" s="15" t="s">
        <v>1401</v>
      </c>
      <c r="Y9" s="15" t="s">
        <v>14</v>
      </c>
      <c r="Z9" s="15" t="s">
        <v>24</v>
      </c>
      <c r="AA9" s="15" t="s">
        <v>1295</v>
      </c>
    </row>
    <row r="10" spans="1:27">
      <c r="E10" s="457"/>
      <c r="F10" s="457"/>
      <c r="G10" s="457"/>
      <c r="H10" s="457"/>
      <c r="J10" s="15">
        <f t="shared" si="0"/>
        <v>4</v>
      </c>
      <c r="N10" s="170">
        <f t="shared" ref="N10:N19" si="1">N11-31</f>
        <v>42744</v>
      </c>
      <c r="O10" s="102">
        <v>3596351</v>
      </c>
      <c r="P10" s="95">
        <v>27627.95</v>
      </c>
      <c r="Q10" s="95">
        <f>SUM(O10:P10)</f>
        <v>3623978.95</v>
      </c>
      <c r="R10" s="1"/>
      <c r="S10" s="170">
        <f>N10+365</f>
        <v>43109</v>
      </c>
      <c r="T10" s="95">
        <f>O10*(1+$F$22)</f>
        <v>3650296.2649999997</v>
      </c>
      <c r="U10" s="95">
        <f>P10*(1+F23)</f>
        <v>28042.36925</v>
      </c>
      <c r="V10" s="102">
        <f>SUM(T10:U10)</f>
        <v>3678338.6342499997</v>
      </c>
      <c r="W10" s="519"/>
      <c r="X10" s="170">
        <f>S10+365</f>
        <v>43474</v>
      </c>
      <c r="Y10" s="95">
        <f>T10*(1+$G$22)</f>
        <v>3697750.1164449994</v>
      </c>
      <c r="Z10" s="95">
        <f>U10*(1+$G$23)</f>
        <v>28406.920050249995</v>
      </c>
      <c r="AA10" s="95">
        <f>SUM(Y10:Z10)</f>
        <v>3726157.0364952493</v>
      </c>
    </row>
    <row r="11" spans="1:27">
      <c r="A11" s="15" t="s">
        <v>82</v>
      </c>
      <c r="E11" s="774"/>
      <c r="F11" s="774"/>
      <c r="G11" s="774"/>
      <c r="H11" s="774"/>
      <c r="J11" s="15">
        <f t="shared" si="0"/>
        <v>5</v>
      </c>
      <c r="N11" s="170">
        <f t="shared" si="1"/>
        <v>42775</v>
      </c>
      <c r="O11" s="102">
        <v>3190082</v>
      </c>
      <c r="P11" s="95">
        <v>24808.65</v>
      </c>
      <c r="Q11" s="95">
        <f t="shared" ref="Q11:Q21" si="2">SUM(O11:P11)</f>
        <v>3214890.65</v>
      </c>
      <c r="R11" s="1"/>
      <c r="S11" s="170">
        <f t="shared" ref="S11:S21" si="3">N11+365</f>
        <v>43140</v>
      </c>
      <c r="T11" s="95">
        <f t="shared" ref="T11:T21" si="4">O11*(1+$F$22)</f>
        <v>3237933.2299999995</v>
      </c>
      <c r="U11" s="95">
        <f t="shared" ref="U11:U21" si="5">P11*(1+F24)</f>
        <v>24808.65</v>
      </c>
      <c r="V11" s="102">
        <f t="shared" ref="V11:V21" si="6">SUM(T11:U11)</f>
        <v>3262741.8799999994</v>
      </c>
      <c r="W11" s="519"/>
      <c r="X11" s="170">
        <f t="shared" ref="X11:X21" si="7">S11+365</f>
        <v>43505</v>
      </c>
      <c r="Y11" s="95">
        <f t="shared" ref="Y11:Y21" si="8">T11*(1+$G$22)</f>
        <v>3280026.3619899992</v>
      </c>
      <c r="Z11" s="95">
        <f t="shared" ref="Z11:Z21" si="9">U11*(1+$G$23)</f>
        <v>25131.16245</v>
      </c>
      <c r="AA11" s="95">
        <f t="shared" ref="AA11:AA21" si="10">SUM(Y11:Z11)</f>
        <v>3305157.5244399994</v>
      </c>
    </row>
    <row r="12" spans="1:27">
      <c r="C12" s="102" t="s">
        <v>14</v>
      </c>
      <c r="E12" s="774">
        <f>-Revenue!F196</f>
        <v>-20806992</v>
      </c>
      <c r="F12" s="95"/>
      <c r="G12" s="95"/>
      <c r="H12" s="95">
        <f>HLOOKUP($H$7,$E$7:$G$21,J12,FALSE)</f>
        <v>0</v>
      </c>
      <c r="I12" s="774"/>
      <c r="J12" s="15">
        <f t="shared" si="0"/>
        <v>6</v>
      </c>
      <c r="N12" s="170">
        <f t="shared" si="1"/>
        <v>42806</v>
      </c>
      <c r="O12" s="102">
        <v>2140865</v>
      </c>
      <c r="P12" s="95">
        <v>18899.490000000002</v>
      </c>
      <c r="Q12" s="95">
        <f t="shared" si="2"/>
        <v>2159764.4900000002</v>
      </c>
      <c r="R12" s="1"/>
      <c r="S12" s="170">
        <f t="shared" si="3"/>
        <v>43171</v>
      </c>
      <c r="T12" s="95">
        <f t="shared" si="4"/>
        <v>2172977.9749999996</v>
      </c>
      <c r="U12" s="95">
        <f t="shared" si="5"/>
        <v>18899.490000000002</v>
      </c>
      <c r="V12" s="102">
        <f t="shared" si="6"/>
        <v>2191877.4649999999</v>
      </c>
      <c r="W12" s="519"/>
      <c r="X12" s="170">
        <f t="shared" si="7"/>
        <v>43536</v>
      </c>
      <c r="Y12" s="95">
        <f t="shared" si="8"/>
        <v>2201226.6886749994</v>
      </c>
      <c r="Z12" s="95">
        <f t="shared" si="9"/>
        <v>19145.183369999999</v>
      </c>
      <c r="AA12" s="95">
        <f t="shared" si="10"/>
        <v>2220371.8720449996</v>
      </c>
    </row>
    <row r="13" spans="1:27" ht="13.5" thickBot="1">
      <c r="C13" s="102" t="s">
        <v>24</v>
      </c>
      <c r="E13" s="775">
        <f>-Revenue!F320</f>
        <v>-165057.12000000002</v>
      </c>
      <c r="F13" s="673"/>
      <c r="G13" s="673"/>
      <c r="H13" s="673">
        <f>HLOOKUP($H$7,$E$7:$G$21,J13,FALSE)</f>
        <v>0</v>
      </c>
      <c r="J13" s="15">
        <f t="shared" si="0"/>
        <v>7</v>
      </c>
      <c r="N13" s="170">
        <f t="shared" si="1"/>
        <v>42837</v>
      </c>
      <c r="O13" s="102">
        <v>1507130</v>
      </c>
      <c r="P13" s="95">
        <v>15445.45</v>
      </c>
      <c r="Q13" s="95">
        <f t="shared" si="2"/>
        <v>1522575.45</v>
      </c>
      <c r="R13" s="1"/>
      <c r="S13" s="170">
        <f t="shared" si="3"/>
        <v>43202</v>
      </c>
      <c r="T13" s="95">
        <f t="shared" si="4"/>
        <v>1529736.95</v>
      </c>
      <c r="U13" s="95">
        <f t="shared" si="5"/>
        <v>15445.45</v>
      </c>
      <c r="V13" s="102">
        <f t="shared" si="6"/>
        <v>1545182.4</v>
      </c>
      <c r="W13" s="519"/>
      <c r="X13" s="170">
        <f t="shared" si="7"/>
        <v>43567</v>
      </c>
      <c r="Y13" s="95">
        <f t="shared" si="8"/>
        <v>1549623.5303499999</v>
      </c>
      <c r="Z13" s="95">
        <f t="shared" si="9"/>
        <v>15646.240849999998</v>
      </c>
      <c r="AA13" s="95">
        <f t="shared" si="10"/>
        <v>1565269.7711999998</v>
      </c>
    </row>
    <row r="14" spans="1:27">
      <c r="C14" s="102" t="s">
        <v>170</v>
      </c>
      <c r="E14" s="329">
        <f>SUM(E12:E13)</f>
        <v>-20972049.120000001</v>
      </c>
      <c r="F14" s="329"/>
      <c r="G14" s="329"/>
      <c r="H14" s="95">
        <f>HLOOKUP($H$7,Energy_Efficiency,J14,FALSE)</f>
        <v>0</v>
      </c>
      <c r="J14" s="15">
        <f t="shared" si="0"/>
        <v>8</v>
      </c>
      <c r="N14" s="170">
        <f t="shared" si="1"/>
        <v>42868</v>
      </c>
      <c r="O14" s="102">
        <v>900846</v>
      </c>
      <c r="P14" s="95">
        <v>9145.25</v>
      </c>
      <c r="Q14" s="95">
        <f t="shared" si="2"/>
        <v>909991.25</v>
      </c>
      <c r="R14" s="1"/>
      <c r="S14" s="170">
        <f t="shared" si="3"/>
        <v>43233</v>
      </c>
      <c r="T14" s="95">
        <f t="shared" si="4"/>
        <v>914358.69</v>
      </c>
      <c r="U14" s="95">
        <f t="shared" si="5"/>
        <v>9145.25</v>
      </c>
      <c r="V14" s="102">
        <f t="shared" si="6"/>
        <v>923503.94</v>
      </c>
      <c r="W14" s="519"/>
      <c r="X14" s="170">
        <f t="shared" si="7"/>
        <v>43598</v>
      </c>
      <c r="Y14" s="95">
        <f t="shared" si="8"/>
        <v>926245.35296999989</v>
      </c>
      <c r="Z14" s="95">
        <f>U14*(1+$G$23)</f>
        <v>9264.13825</v>
      </c>
      <c r="AA14" s="95">
        <f t="shared" si="10"/>
        <v>935509.49121999985</v>
      </c>
    </row>
    <row r="15" spans="1:27">
      <c r="J15" s="15">
        <f t="shared" si="0"/>
        <v>9</v>
      </c>
      <c r="N15" s="170">
        <f t="shared" si="1"/>
        <v>42899</v>
      </c>
      <c r="O15" s="102">
        <v>516273</v>
      </c>
      <c r="P15" s="95">
        <v>3078.21</v>
      </c>
      <c r="Q15" s="95">
        <f t="shared" si="2"/>
        <v>519351.21</v>
      </c>
      <c r="R15" s="1"/>
      <c r="S15" s="170">
        <f t="shared" si="3"/>
        <v>43264</v>
      </c>
      <c r="T15" s="95">
        <f t="shared" si="4"/>
        <v>524017.09499999997</v>
      </c>
      <c r="U15" s="95">
        <f t="shared" si="5"/>
        <v>3078.21</v>
      </c>
      <c r="V15" s="102">
        <f t="shared" si="6"/>
        <v>527095.30499999993</v>
      </c>
      <c r="W15" s="519"/>
      <c r="X15" s="170">
        <f t="shared" si="7"/>
        <v>43629</v>
      </c>
      <c r="Y15" s="95">
        <f t="shared" si="8"/>
        <v>530829.31723499997</v>
      </c>
      <c r="Z15" s="95">
        <f t="shared" si="9"/>
        <v>3118.2267299999999</v>
      </c>
      <c r="AA15" s="95">
        <f t="shared" si="10"/>
        <v>533947.54396499996</v>
      </c>
    </row>
    <row r="16" spans="1:27">
      <c r="I16" s="139"/>
      <c r="J16" s="15">
        <f t="shared" si="0"/>
        <v>10</v>
      </c>
      <c r="N16" s="170">
        <f t="shared" si="1"/>
        <v>42930</v>
      </c>
      <c r="O16" s="102">
        <v>417429</v>
      </c>
      <c r="P16" s="95">
        <v>2695.61</v>
      </c>
      <c r="Q16" s="95">
        <f t="shared" si="2"/>
        <v>420124.61</v>
      </c>
      <c r="R16" s="1"/>
      <c r="S16" s="170">
        <f t="shared" si="3"/>
        <v>43295</v>
      </c>
      <c r="T16" s="95">
        <f t="shared" si="4"/>
        <v>423690.43499999994</v>
      </c>
      <c r="U16" s="95">
        <f t="shared" si="5"/>
        <v>2695.61</v>
      </c>
      <c r="V16" s="102">
        <f t="shared" si="6"/>
        <v>426386.04499999993</v>
      </c>
      <c r="X16" s="170">
        <f t="shared" si="7"/>
        <v>43660</v>
      </c>
      <c r="Y16" s="95">
        <f t="shared" si="8"/>
        <v>429198.4106549999</v>
      </c>
      <c r="Z16" s="95">
        <f t="shared" si="9"/>
        <v>2730.6529299999997</v>
      </c>
      <c r="AA16" s="95">
        <f t="shared" si="10"/>
        <v>431929.06358499988</v>
      </c>
    </row>
    <row r="17" spans="1:27">
      <c r="A17" s="212">
        <v>908</v>
      </c>
      <c r="B17" s="102" t="s">
        <v>410</v>
      </c>
      <c r="C17" s="102"/>
      <c r="D17" s="102"/>
      <c r="E17" s="102"/>
      <c r="F17" s="102"/>
      <c r="G17" s="102"/>
      <c r="H17" s="102"/>
      <c r="I17" s="139"/>
      <c r="J17" s="15">
        <f t="shared" si="0"/>
        <v>11</v>
      </c>
      <c r="N17" s="170">
        <f t="shared" si="1"/>
        <v>42961</v>
      </c>
      <c r="O17" s="102">
        <v>404279</v>
      </c>
      <c r="P17" s="95">
        <v>2759.14</v>
      </c>
      <c r="Q17" s="95">
        <f t="shared" si="2"/>
        <v>407038.14</v>
      </c>
      <c r="R17" s="1"/>
      <c r="S17" s="170">
        <f t="shared" si="3"/>
        <v>43326</v>
      </c>
      <c r="T17" s="95">
        <f t="shared" si="4"/>
        <v>410343.18499999994</v>
      </c>
      <c r="U17" s="95">
        <f t="shared" si="5"/>
        <v>2759.14</v>
      </c>
      <c r="V17" s="102">
        <f t="shared" si="6"/>
        <v>413102.32499999995</v>
      </c>
      <c r="X17" s="170">
        <f t="shared" si="7"/>
        <v>43691</v>
      </c>
      <c r="Y17" s="95">
        <f t="shared" si="8"/>
        <v>415677.64640499989</v>
      </c>
      <c r="Z17" s="95">
        <f t="shared" si="9"/>
        <v>2795.0088199999996</v>
      </c>
      <c r="AA17" s="95">
        <f t="shared" si="10"/>
        <v>418472.65522499988</v>
      </c>
    </row>
    <row r="18" spans="1:27">
      <c r="A18" s="212"/>
      <c r="B18" s="102"/>
      <c r="C18" s="102" t="s">
        <v>14</v>
      </c>
      <c r="D18" s="102"/>
      <c r="E18" s="774">
        <f>+E12</f>
        <v>-20806992</v>
      </c>
      <c r="F18" s="102">
        <f>-T22</f>
        <v>-21119096.879999999</v>
      </c>
      <c r="G18" s="102">
        <f>-Y22</f>
        <v>-21393645.139439996</v>
      </c>
      <c r="H18" s="102">
        <f>HLOOKUP($H$7,$E$7:$G$21,J18,FALSE)</f>
        <v>-21393645.139439996</v>
      </c>
      <c r="J18" s="15">
        <f t="shared" si="0"/>
        <v>12</v>
      </c>
      <c r="N18" s="170">
        <f t="shared" si="1"/>
        <v>42992</v>
      </c>
      <c r="O18" s="102">
        <v>501596</v>
      </c>
      <c r="P18" s="95">
        <v>4119.1000000000004</v>
      </c>
      <c r="Q18" s="95">
        <f t="shared" si="2"/>
        <v>505715.1</v>
      </c>
      <c r="R18" s="1"/>
      <c r="S18" s="170">
        <f t="shared" si="3"/>
        <v>43357</v>
      </c>
      <c r="T18" s="95">
        <f t="shared" si="4"/>
        <v>509119.93999999994</v>
      </c>
      <c r="U18" s="95">
        <f t="shared" si="5"/>
        <v>4119.1000000000004</v>
      </c>
      <c r="V18" s="102">
        <f t="shared" si="6"/>
        <v>513239.03999999992</v>
      </c>
      <c r="X18" s="170">
        <f t="shared" si="7"/>
        <v>43722</v>
      </c>
      <c r="Y18" s="95">
        <f t="shared" si="8"/>
        <v>515738.49921999988</v>
      </c>
      <c r="Z18" s="95">
        <f t="shared" si="9"/>
        <v>4172.6482999999998</v>
      </c>
      <c r="AA18" s="95">
        <f t="shared" si="10"/>
        <v>519911.14751999988</v>
      </c>
    </row>
    <row r="19" spans="1:27" ht="13.5" thickBot="1">
      <c r="A19" s="212"/>
      <c r="B19" s="102"/>
      <c r="C19" s="102" t="s">
        <v>24</v>
      </c>
      <c r="D19" s="102"/>
      <c r="E19" s="775">
        <f>+E13</f>
        <v>-165057.12000000002</v>
      </c>
      <c r="F19" s="500">
        <f>-U22</f>
        <v>-165471.53925</v>
      </c>
      <c r="G19" s="500">
        <f>-Z22</f>
        <v>-167622.66926024997</v>
      </c>
      <c r="H19" s="500">
        <f t="shared" ref="H19" si="11">HLOOKUP($H$7,$E$7:$G$21,J19,FALSE)</f>
        <v>-167622.66926024997</v>
      </c>
      <c r="J19" s="15">
        <f t="shared" si="0"/>
        <v>13</v>
      </c>
      <c r="N19" s="170">
        <f t="shared" si="1"/>
        <v>43023</v>
      </c>
      <c r="O19" s="102">
        <v>1254206</v>
      </c>
      <c r="P19" s="95">
        <v>11695.87</v>
      </c>
      <c r="Q19" s="95">
        <f t="shared" si="2"/>
        <v>1265901.8700000001</v>
      </c>
      <c r="R19" s="1"/>
      <c r="S19" s="170">
        <f t="shared" si="3"/>
        <v>43388</v>
      </c>
      <c r="T19" s="95">
        <f t="shared" si="4"/>
        <v>1273019.0899999999</v>
      </c>
      <c r="U19" s="95">
        <f t="shared" si="5"/>
        <v>11695.87</v>
      </c>
      <c r="V19" s="102">
        <f t="shared" si="6"/>
        <v>1284714.96</v>
      </c>
      <c r="X19" s="170">
        <f t="shared" si="7"/>
        <v>43753</v>
      </c>
      <c r="Y19" s="95">
        <f t="shared" si="8"/>
        <v>1289568.3381699997</v>
      </c>
      <c r="Z19" s="95">
        <f t="shared" si="9"/>
        <v>11847.916310000001</v>
      </c>
      <c r="AA19" s="95">
        <f t="shared" si="10"/>
        <v>1301416.2544799997</v>
      </c>
    </row>
    <row r="20" spans="1:27">
      <c r="A20" s="212"/>
      <c r="B20" s="102"/>
      <c r="C20" s="102" t="s">
        <v>170</v>
      </c>
      <c r="D20" s="102"/>
      <c r="E20" s="329">
        <f>SUM(E18:E19)</f>
        <v>-20972049.120000001</v>
      </c>
      <c r="F20" s="670">
        <f>SUM(F18:F19)</f>
        <v>-21284568.41925</v>
      </c>
      <c r="G20" s="670">
        <f>SUM(G18:G19)</f>
        <v>-21561267.808700245</v>
      </c>
      <c r="H20" s="670">
        <f>HLOOKUP($H$7,Energy_Efficiency,J20,FALSE)</f>
        <v>-21561267.808700245</v>
      </c>
      <c r="J20" s="15">
        <f t="shared" si="0"/>
        <v>14</v>
      </c>
      <c r="N20" s="170">
        <f>N21-31</f>
        <v>43054</v>
      </c>
      <c r="O20" s="102">
        <v>2505884</v>
      </c>
      <c r="P20" s="95">
        <v>19441.43</v>
      </c>
      <c r="Q20" s="95">
        <f t="shared" si="2"/>
        <v>2525325.4300000002</v>
      </c>
      <c r="R20" s="1"/>
      <c r="S20" s="170">
        <f t="shared" si="3"/>
        <v>43419</v>
      </c>
      <c r="T20" s="95">
        <f t="shared" si="4"/>
        <v>2543472.2599999998</v>
      </c>
      <c r="U20" s="95">
        <f t="shared" si="5"/>
        <v>19441.43</v>
      </c>
      <c r="V20" s="102">
        <f t="shared" si="6"/>
        <v>2562913.69</v>
      </c>
      <c r="X20" s="170">
        <f t="shared" si="7"/>
        <v>43784</v>
      </c>
      <c r="Y20" s="95">
        <f t="shared" si="8"/>
        <v>2576537.3993799994</v>
      </c>
      <c r="Z20" s="95">
        <f t="shared" si="9"/>
        <v>19694.168589999997</v>
      </c>
      <c r="AA20" s="95">
        <f t="shared" si="10"/>
        <v>2596231.5679699993</v>
      </c>
    </row>
    <row r="21" spans="1:27">
      <c r="J21" s="15">
        <f t="shared" si="0"/>
        <v>15</v>
      </c>
      <c r="N21" s="170">
        <f>'Rate Base'!AE9</f>
        <v>43085</v>
      </c>
      <c r="O21" s="102">
        <v>3872051</v>
      </c>
      <c r="P21" s="95">
        <v>25340.97</v>
      </c>
      <c r="Q21" s="95">
        <f t="shared" si="2"/>
        <v>3897391.97</v>
      </c>
      <c r="R21" s="1"/>
      <c r="S21" s="170">
        <f t="shared" si="3"/>
        <v>43450</v>
      </c>
      <c r="T21" s="95">
        <f t="shared" si="4"/>
        <v>3930131.7649999997</v>
      </c>
      <c r="U21" s="95">
        <f t="shared" si="5"/>
        <v>25340.97</v>
      </c>
      <c r="V21" s="102">
        <f t="shared" si="6"/>
        <v>3955472.7349999999</v>
      </c>
      <c r="X21" s="170">
        <f t="shared" si="7"/>
        <v>43815</v>
      </c>
      <c r="Y21" s="95">
        <f t="shared" si="8"/>
        <v>3981223.4779449995</v>
      </c>
      <c r="Z21" s="95">
        <f t="shared" si="9"/>
        <v>25670.402609999997</v>
      </c>
      <c r="AA21" s="95">
        <f t="shared" si="10"/>
        <v>4006893.8805549997</v>
      </c>
    </row>
    <row r="22" spans="1:27">
      <c r="B22" s="15" t="s">
        <v>1126</v>
      </c>
      <c r="C22" s="102" t="s">
        <v>14</v>
      </c>
      <c r="F22" s="101">
        <f>'PROJECTED EXPENSES'!AU687</f>
        <v>1.4999999999999999E-2</v>
      </c>
      <c r="G22" s="101">
        <f>'PROJECTED EXPENSES'!AV687</f>
        <v>1.3000000000000001E-2</v>
      </c>
      <c r="J22" s="15">
        <f t="shared" si="0"/>
        <v>16</v>
      </c>
      <c r="N22" s="170"/>
      <c r="O22" s="776">
        <f>SUM(O10:O21)</f>
        <v>20806992</v>
      </c>
      <c r="P22" s="776">
        <f>SUM(P10:P21)</f>
        <v>165057.12000000002</v>
      </c>
      <c r="Q22" s="776">
        <f>SUM(Q10:Q21)</f>
        <v>20972049.119999997</v>
      </c>
      <c r="R22" s="1"/>
      <c r="S22" s="170"/>
      <c r="T22" s="777">
        <f>SUM(T10:T21)</f>
        <v>21119096.879999999</v>
      </c>
      <c r="U22" s="777">
        <f>SUM(U10:U21)</f>
        <v>165471.53925</v>
      </c>
      <c r="V22" s="777">
        <f>SUM(V10:V21)</f>
        <v>21284568.419249997</v>
      </c>
      <c r="X22" s="170"/>
      <c r="Y22" s="776">
        <f>SUM(Y10:Y21)</f>
        <v>21393645.139439996</v>
      </c>
      <c r="Z22" s="776">
        <f>SUM(Z10:Z21)</f>
        <v>167622.66926024997</v>
      </c>
      <c r="AA22" s="776">
        <f>SUM(AA10:AA21)</f>
        <v>21561267.808700249</v>
      </c>
    </row>
    <row r="23" spans="1:27">
      <c r="C23" s="102" t="s">
        <v>24</v>
      </c>
      <c r="E23" s="101"/>
      <c r="F23" s="101">
        <f>'PROJECTED EXPENSES'!AU688</f>
        <v>1.4999999999999999E-2</v>
      </c>
      <c r="G23" s="101">
        <f>'PROJECTED EXPENSES'!AV688</f>
        <v>1.3000000000000001E-2</v>
      </c>
      <c r="H23" s="101"/>
      <c r="J23" s="15">
        <f t="shared" si="0"/>
        <v>17</v>
      </c>
    </row>
    <row r="24" spans="1:27" ht="12.75" customHeight="1">
      <c r="T24" s="1274"/>
      <c r="U24" s="1274"/>
      <c r="V24" s="1274"/>
      <c r="W24" s="1274"/>
      <c r="X24" s="269"/>
      <c r="Y24" s="269"/>
      <c r="Z24" s="269"/>
      <c r="AA24" s="269"/>
    </row>
    <row r="25" spans="1:27">
      <c r="S25" s="15" t="s">
        <v>1402</v>
      </c>
      <c r="T25" s="1274"/>
      <c r="U25" s="1274"/>
      <c r="V25" s="1274"/>
      <c r="W25" s="1274"/>
      <c r="X25" s="269"/>
      <c r="Y25" s="269"/>
      <c r="Z25" s="269"/>
      <c r="AA25" s="269"/>
    </row>
    <row r="26" spans="1:27">
      <c r="S26" s="1274"/>
      <c r="T26" s="1274"/>
      <c r="U26" s="1274"/>
      <c r="V26" s="1274"/>
      <c r="W26" s="1274"/>
      <c r="X26" s="269"/>
      <c r="Y26" s="269"/>
      <c r="Z26" s="269"/>
      <c r="AA26" s="269"/>
    </row>
    <row r="27" spans="1:27">
      <c r="E27" s="95"/>
    </row>
    <row r="28" spans="1:27">
      <c r="AA28" s="30"/>
    </row>
  </sheetData>
  <dataValidations count="2">
    <dataValidation showInputMessage="1" showErrorMessage="1" sqref="H7"/>
    <dataValidation type="list" showInputMessage="1" showErrorMessage="1" sqref="I17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scale="9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1"/>
  <sheetViews>
    <sheetView view="pageBreakPreview" topLeftCell="B1" zoomScaleNormal="100" zoomScaleSheetLayoutView="100" workbookViewId="0">
      <selection activeCell="E11" sqref="E11"/>
    </sheetView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9" width="22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" customWidth="1"/>
    <col min="18" max="18" width="17.140625" customWidth="1"/>
    <col min="19" max="16384" width="9.140625" style="15"/>
  </cols>
  <sheetData>
    <row r="2" spans="1:18">
      <c r="A2" s="98" t="str">
        <f>+'Control Panel'!$B$1</f>
        <v>Dominion Energy</v>
      </c>
      <c r="C2" s="1"/>
      <c r="D2" s="1"/>
      <c r="E2" s="1"/>
      <c r="F2" s="1"/>
      <c r="G2" s="1"/>
      <c r="H2" s="1"/>
      <c r="L2" s="1" t="s">
        <v>1448</v>
      </c>
    </row>
    <row r="3" spans="1:18">
      <c r="A3" s="82" t="str">
        <f>+'Control Panel'!$B$2</f>
        <v>Utah - DEC 2019 Adjusted Avg  Results</v>
      </c>
      <c r="C3" s="1"/>
      <c r="D3" s="1"/>
      <c r="E3" s="1"/>
      <c r="F3" s="1"/>
      <c r="G3" s="1"/>
      <c r="H3" s="1"/>
      <c r="L3" s="1" t="s">
        <v>1449</v>
      </c>
    </row>
    <row r="4" spans="1:18">
      <c r="A4" s="123" t="str">
        <f>+'Control Panel'!$B$3</f>
        <v>12 Months Ended : Dec-2019</v>
      </c>
      <c r="I4" s="1500" t="s">
        <v>768</v>
      </c>
      <c r="L4" s="221" t="s">
        <v>1450</v>
      </c>
    </row>
    <row r="5" spans="1:18" ht="15.75">
      <c r="F5" s="221" t="s">
        <v>1549</v>
      </c>
      <c r="G5" s="221" t="s">
        <v>1550</v>
      </c>
      <c r="H5" s="221" t="s">
        <v>1551</v>
      </c>
      <c r="I5" t="str">
        <f>HLOOKUP('Control Panel'!F39,'Corporate Overhead'!$F$5:$H$30,J5)</f>
        <v>Corporate Overhead 2019</v>
      </c>
      <c r="J5">
        <v>1</v>
      </c>
      <c r="L5" s="1"/>
      <c r="M5" s="1"/>
      <c r="N5" s="751" t="s">
        <v>1451</v>
      </c>
      <c r="O5" s="1"/>
      <c r="P5" s="1"/>
      <c r="Q5" s="751" t="s">
        <v>1452</v>
      </c>
      <c r="R5" s="1"/>
    </row>
    <row r="6" spans="1:18" ht="15">
      <c r="B6" s="1"/>
      <c r="C6" s="1455" t="s">
        <v>1453</v>
      </c>
      <c r="D6" s="1"/>
      <c r="E6" s="1"/>
      <c r="F6" s="1456">
        <f>P51</f>
        <v>6726780.1699999999</v>
      </c>
      <c r="G6" s="1"/>
      <c r="I6" s="1456">
        <f>HLOOKUP($I$5,$F$5:$H$31,J6,FALSE)</f>
        <v>0</v>
      </c>
      <c r="J6">
        <v>2</v>
      </c>
      <c r="L6" s="1457" t="s">
        <v>1454</v>
      </c>
      <c r="M6" s="1458" t="s">
        <v>1451</v>
      </c>
      <c r="N6" s="1458" t="s">
        <v>1180</v>
      </c>
      <c r="O6" s="1458" t="s">
        <v>1455</v>
      </c>
      <c r="P6" s="1458" t="s">
        <v>1456</v>
      </c>
      <c r="Q6" s="1458" t="s">
        <v>1180</v>
      </c>
      <c r="R6" s="1458" t="s">
        <v>1455</v>
      </c>
    </row>
    <row r="7" spans="1:18">
      <c r="B7" s="1"/>
      <c r="C7" s="1502" t="s">
        <v>1457</v>
      </c>
      <c r="D7" s="1"/>
      <c r="E7" s="1"/>
      <c r="F7" s="1456">
        <f>-P32</f>
        <v>-1800033.03</v>
      </c>
      <c r="G7" s="1"/>
      <c r="I7" s="1456">
        <f t="shared" ref="I7:I30" si="0">HLOOKUP($I$5,$F$5:$H$31,J7,FALSE)</f>
        <v>0</v>
      </c>
      <c r="J7">
        <v>3</v>
      </c>
      <c r="L7" s="1460" t="s">
        <v>1458</v>
      </c>
      <c r="M7" s="1461">
        <v>4.66</v>
      </c>
      <c r="N7" s="1461">
        <v>0</v>
      </c>
      <c r="O7" s="1461">
        <v>-4.66</v>
      </c>
      <c r="P7" s="1461">
        <v>-75.94</v>
      </c>
      <c r="Q7" s="1461">
        <v>0</v>
      </c>
      <c r="R7" s="1461">
        <v>75.94</v>
      </c>
    </row>
    <row r="8" spans="1:18">
      <c r="F8" s="953"/>
      <c r="G8" s="953"/>
      <c r="I8" s="953">
        <f t="shared" si="0"/>
        <v>0</v>
      </c>
      <c r="J8">
        <v>4</v>
      </c>
      <c r="L8" s="1460" t="s">
        <v>1460</v>
      </c>
      <c r="M8" s="1461">
        <v>41.27</v>
      </c>
      <c r="N8" s="1461">
        <v>0</v>
      </c>
      <c r="O8" s="1461">
        <v>-41.27</v>
      </c>
      <c r="P8" s="1461">
        <v>41.27</v>
      </c>
      <c r="Q8" s="1461">
        <v>0</v>
      </c>
      <c r="R8" s="1461">
        <v>-41.27</v>
      </c>
    </row>
    <row r="9" spans="1:18" ht="13.5" thickBot="1">
      <c r="B9" s="1"/>
      <c r="C9" s="1459" t="s">
        <v>1459</v>
      </c>
      <c r="D9" s="1"/>
      <c r="E9" s="1"/>
      <c r="F9" s="1462">
        <f>SUM(F6:F8)</f>
        <v>4926747.1399999997</v>
      </c>
      <c r="G9" s="1"/>
      <c r="I9" s="1462">
        <f t="shared" si="0"/>
        <v>0</v>
      </c>
      <c r="J9">
        <v>5</v>
      </c>
      <c r="L9" s="1460" t="s">
        <v>1461</v>
      </c>
      <c r="M9" s="1461">
        <v>67450.320000000007</v>
      </c>
      <c r="N9" s="1461">
        <v>0</v>
      </c>
      <c r="O9" s="1461">
        <v>-67450.320000000007</v>
      </c>
      <c r="P9" s="1461">
        <v>-108185.17</v>
      </c>
      <c r="Q9" s="1461">
        <v>0</v>
      </c>
      <c r="R9" s="1461">
        <v>108185.17</v>
      </c>
    </row>
    <row r="10" spans="1:18" ht="13.5" thickTop="1">
      <c r="B10" s="1"/>
      <c r="C10" s="1"/>
      <c r="D10" s="1"/>
      <c r="E10" s="1"/>
      <c r="F10" s="1"/>
      <c r="G10" s="1"/>
      <c r="I10" s="1"/>
      <c r="J10">
        <v>6</v>
      </c>
      <c r="L10" s="1460" t="s">
        <v>1462</v>
      </c>
      <c r="M10" s="1461">
        <v>22626.15</v>
      </c>
      <c r="N10" s="1461">
        <v>0</v>
      </c>
      <c r="O10" s="1461">
        <v>-22626.15</v>
      </c>
      <c r="P10" s="1461">
        <v>43922.31</v>
      </c>
      <c r="Q10" s="1461">
        <v>0</v>
      </c>
      <c r="R10" s="1461">
        <v>-43922.31</v>
      </c>
    </row>
    <row r="11" spans="1:18">
      <c r="B11" s="1"/>
      <c r="C11" s="1"/>
      <c r="D11" s="1"/>
      <c r="E11" s="1"/>
      <c r="F11" s="1"/>
      <c r="G11" s="1"/>
      <c r="I11" s="1"/>
      <c r="J11">
        <v>7</v>
      </c>
      <c r="L11" s="1460" t="s">
        <v>1463</v>
      </c>
      <c r="M11" s="1461">
        <v>1582.85</v>
      </c>
      <c r="N11" s="1461">
        <v>0</v>
      </c>
      <c r="O11" s="1461">
        <v>-1582.85</v>
      </c>
      <c r="P11" s="1461">
        <v>2322.79</v>
      </c>
      <c r="Q11" s="1461">
        <v>0</v>
      </c>
      <c r="R11" s="1461">
        <v>-2322.79</v>
      </c>
    </row>
    <row r="12" spans="1:18">
      <c r="B12" s="1"/>
      <c r="C12" s="1"/>
      <c r="D12" s="1"/>
      <c r="E12" s="1463" t="s">
        <v>1379</v>
      </c>
      <c r="F12" s="1421">
        <f>SUM(EXPENSES!$K$380,EXPENSES!$K$323,EXPENSES!$K$295,EXPENSES!$K$241)/EXPENSES!$K$383</f>
        <v>0.967628879563186</v>
      </c>
      <c r="G12" s="1421">
        <f>SUM(EXPENSES!$F$380,EXPENSES!$F$323,EXPENSES!$F$295,EXPENSES!$F$241)/EXPENSES!$F$383</f>
        <v>0.96174121038878213</v>
      </c>
      <c r="H12" s="1421">
        <f>SUM(EXPENSES!$F$380,EXPENSES!$F$323,EXPENSES!$F$295,EXPENSES!$F$241)/EXPENSES!$F$383</f>
        <v>0.96174121038878213</v>
      </c>
      <c r="I12" s="1421">
        <f t="shared" si="0"/>
        <v>0.96174121038878213</v>
      </c>
      <c r="J12">
        <v>8</v>
      </c>
      <c r="L12" s="1460" t="s">
        <v>1464</v>
      </c>
      <c r="M12" s="1461">
        <v>-3658.35</v>
      </c>
      <c r="N12" s="1461">
        <v>0</v>
      </c>
      <c r="O12" s="1461">
        <v>3658.35</v>
      </c>
      <c r="P12" s="1461">
        <v>-765.51</v>
      </c>
      <c r="Q12" s="1461">
        <v>0</v>
      </c>
      <c r="R12" s="1461">
        <v>765.51</v>
      </c>
    </row>
    <row r="13" spans="1:18">
      <c r="B13" s="1"/>
      <c r="C13" s="1"/>
      <c r="D13" s="1"/>
      <c r="E13" s="1463" t="s">
        <v>1380</v>
      </c>
      <c r="F13" s="1421">
        <f>1-F12</f>
        <v>3.2371120436814005E-2</v>
      </c>
      <c r="G13" s="1421">
        <f t="shared" ref="G13:H13" si="1">1-G12</f>
        <v>3.8258789611217869E-2</v>
      </c>
      <c r="H13" s="1421">
        <f t="shared" si="1"/>
        <v>3.8258789611217869E-2</v>
      </c>
      <c r="I13" s="1421">
        <f t="shared" si="0"/>
        <v>3.8258789611217869E-2</v>
      </c>
      <c r="J13">
        <v>9</v>
      </c>
      <c r="L13" s="1460" t="s">
        <v>1465</v>
      </c>
      <c r="M13" s="1461">
        <v>0</v>
      </c>
      <c r="N13" s="1461">
        <v>0</v>
      </c>
      <c r="O13" s="1461">
        <v>0</v>
      </c>
      <c r="P13" s="1461">
        <v>127.91</v>
      </c>
      <c r="Q13" s="1461">
        <v>0</v>
      </c>
      <c r="R13" s="1461">
        <v>-127.91</v>
      </c>
    </row>
    <row r="14" spans="1:18">
      <c r="B14" s="1"/>
      <c r="C14" s="1"/>
      <c r="D14" s="1"/>
      <c r="E14" s="1"/>
      <c r="F14" s="1"/>
      <c r="G14" s="1"/>
      <c r="I14" s="1"/>
      <c r="J14">
        <v>10</v>
      </c>
      <c r="L14" s="1460" t="s">
        <v>1466</v>
      </c>
      <c r="M14" s="1461">
        <v>12102.7</v>
      </c>
      <c r="N14" s="1461">
        <v>0</v>
      </c>
      <c r="O14" s="1461">
        <v>-12102.7</v>
      </c>
      <c r="P14" s="1461">
        <v>39629.15</v>
      </c>
      <c r="Q14" s="1461">
        <v>0</v>
      </c>
      <c r="R14" s="1461">
        <v>-39629.15</v>
      </c>
    </row>
    <row r="15" spans="1:18">
      <c r="B15" s="1"/>
      <c r="C15" s="1"/>
      <c r="D15" s="1"/>
      <c r="E15" s="1"/>
      <c r="F15" s="1"/>
      <c r="G15" s="1"/>
      <c r="I15" s="1"/>
      <c r="J15">
        <v>11</v>
      </c>
      <c r="L15" s="1460" t="s">
        <v>1467</v>
      </c>
      <c r="M15" s="1461">
        <v>259.8</v>
      </c>
      <c r="N15" s="1461">
        <v>0</v>
      </c>
      <c r="O15" s="1461">
        <v>-259.8</v>
      </c>
      <c r="P15" s="1461">
        <v>25565.59</v>
      </c>
      <c r="Q15" s="1461">
        <v>0</v>
      </c>
      <c r="R15" s="1461">
        <v>-25565.59</v>
      </c>
    </row>
    <row r="16" spans="1:18">
      <c r="B16" s="1"/>
      <c r="C16" s="1"/>
      <c r="D16" s="1"/>
      <c r="E16" s="18" t="s">
        <v>1468</v>
      </c>
      <c r="F16" s="1464">
        <f>F9</f>
        <v>4926747.1399999997</v>
      </c>
      <c r="G16" s="1"/>
      <c r="I16" s="1464">
        <f t="shared" si="0"/>
        <v>0</v>
      </c>
      <c r="J16">
        <v>12</v>
      </c>
      <c r="L16" s="1460" t="s">
        <v>1469</v>
      </c>
      <c r="M16" s="1461">
        <v>29206.89</v>
      </c>
      <c r="N16" s="1461">
        <v>0</v>
      </c>
      <c r="O16" s="1461">
        <v>-29206.89</v>
      </c>
      <c r="P16" s="1461">
        <v>241372.01</v>
      </c>
      <c r="Q16" s="1461">
        <v>0</v>
      </c>
      <c r="R16" s="1461">
        <v>-241372.01</v>
      </c>
    </row>
    <row r="17" spans="2:18">
      <c r="B17" s="1"/>
      <c r="C17" s="1"/>
      <c r="D17" s="1"/>
      <c r="E17" s="18" t="s">
        <v>1471</v>
      </c>
      <c r="F17" s="1465">
        <f>+F16*4</f>
        <v>19706988.559999999</v>
      </c>
      <c r="G17" s="952">
        <f>F17*(1+G$30)</f>
        <v>20002593.388399996</v>
      </c>
      <c r="H17" s="952">
        <f>G17*(1+H$30)</f>
        <v>20282629.695837595</v>
      </c>
      <c r="I17" s="1465">
        <f t="shared" si="0"/>
        <v>20282629.695837595</v>
      </c>
      <c r="J17">
        <v>13</v>
      </c>
      <c r="L17" s="1460" t="s">
        <v>1470</v>
      </c>
      <c r="M17" s="1461">
        <v>41449.86</v>
      </c>
      <c r="N17" s="1461">
        <v>0</v>
      </c>
      <c r="O17" s="1461">
        <v>-41449.86</v>
      </c>
      <c r="P17" s="1461">
        <v>59272.17</v>
      </c>
      <c r="Q17" s="1461">
        <v>0</v>
      </c>
      <c r="R17" s="1461">
        <v>-59272.17</v>
      </c>
    </row>
    <row r="18" spans="2:18">
      <c r="B18" s="1501" t="s">
        <v>1555</v>
      </c>
      <c r="C18" s="1"/>
      <c r="D18" s="551"/>
      <c r="E18" s="1"/>
      <c r="F18" s="952"/>
      <c r="G18" s="952">
        <f>-'Labor Forecast'!G16-'Labor Forecast'!G17</f>
        <v>-9559045</v>
      </c>
      <c r="H18" s="1077">
        <f>-'Labor Forecast'!H16-'Labor Forecast'!H17</f>
        <v>-9845816.3499999996</v>
      </c>
      <c r="I18" s="952">
        <f t="shared" si="0"/>
        <v>-9845816.3499999996</v>
      </c>
      <c r="J18">
        <v>14</v>
      </c>
      <c r="L18" s="1460" t="s">
        <v>1472</v>
      </c>
      <c r="M18" s="1461">
        <v>0</v>
      </c>
      <c r="N18" s="1461">
        <v>0</v>
      </c>
      <c r="O18" s="1461">
        <v>0</v>
      </c>
      <c r="P18" s="1461">
        <v>113242.19</v>
      </c>
      <c r="Q18" s="1461">
        <v>0</v>
      </c>
      <c r="R18" s="1461">
        <v>-113242.19</v>
      </c>
    </row>
    <row r="19" spans="2:18">
      <c r="B19" s="15" t="s">
        <v>1560</v>
      </c>
      <c r="C19" s="1"/>
      <c r="D19" s="551"/>
      <c r="E19" s="1"/>
      <c r="F19" s="952"/>
      <c r="G19" s="952">
        <f>+M32*12</f>
        <v>4051810.92</v>
      </c>
      <c r="H19" s="1077">
        <f>+G19*(1+'Labor Forecast'!K5)</f>
        <v>4173365.2475999999</v>
      </c>
      <c r="I19" s="952">
        <f t="shared" si="0"/>
        <v>4173365.2475999999</v>
      </c>
      <c r="J19">
        <v>15</v>
      </c>
      <c r="L19" s="1460" t="s">
        <v>1473</v>
      </c>
      <c r="M19" s="1461">
        <v>227288.58</v>
      </c>
      <c r="N19" s="1461">
        <v>0</v>
      </c>
      <c r="O19" s="1461">
        <v>-227288.58</v>
      </c>
      <c r="P19" s="1461">
        <v>331798.24</v>
      </c>
      <c r="Q19" s="1461">
        <v>0</v>
      </c>
      <c r="R19" s="1461">
        <v>-331798.24</v>
      </c>
    </row>
    <row r="20" spans="2:18">
      <c r="B20" s="15"/>
      <c r="C20" s="1"/>
      <c r="D20" s="15"/>
      <c r="E20" s="1"/>
      <c r="F20" s="952"/>
      <c r="G20" s="1130"/>
      <c r="H20" s="1130"/>
      <c r="I20" s="952">
        <f t="shared" si="0"/>
        <v>0</v>
      </c>
      <c r="J20">
        <v>16</v>
      </c>
      <c r="L20" s="1460" t="s">
        <v>1474</v>
      </c>
      <c r="M20" s="1461">
        <v>1658.55</v>
      </c>
      <c r="N20" s="1461">
        <v>0</v>
      </c>
      <c r="O20" s="1461">
        <v>-1658.55</v>
      </c>
      <c r="P20" s="1461">
        <v>4854.57</v>
      </c>
      <c r="Q20" s="1461">
        <v>0</v>
      </c>
      <c r="R20" s="1461">
        <v>-4854.57</v>
      </c>
    </row>
    <row r="21" spans="2:18">
      <c r="B21" s="1"/>
      <c r="C21" s="1"/>
      <c r="D21" s="1"/>
      <c r="E21" s="1"/>
      <c r="F21" s="1"/>
      <c r="G21" s="1"/>
      <c r="I21" s="1"/>
      <c r="J21">
        <v>17</v>
      </c>
      <c r="L21" s="1460" t="s">
        <v>1475</v>
      </c>
      <c r="M21" s="1461">
        <v>12267.27</v>
      </c>
      <c r="N21" s="1461">
        <v>0</v>
      </c>
      <c r="O21" s="1461">
        <v>-12267.27</v>
      </c>
      <c r="P21" s="1461">
        <v>66813.570000000007</v>
      </c>
      <c r="Q21" s="1461">
        <v>0</v>
      </c>
      <c r="R21" s="1461">
        <v>-66813.570000000007</v>
      </c>
    </row>
    <row r="22" spans="2:18">
      <c r="B22" s="15"/>
      <c r="C22" s="1"/>
      <c r="D22" s="1"/>
      <c r="E22" s="18" t="s">
        <v>1471</v>
      </c>
      <c r="F22" s="1465">
        <f>SUM(F17:F20)</f>
        <v>19706988.559999999</v>
      </c>
      <c r="G22" s="1465">
        <f t="shared" ref="G22:H22" si="2">SUM(G17:G20)</f>
        <v>14495359.308399996</v>
      </c>
      <c r="H22" s="1465">
        <f t="shared" si="2"/>
        <v>14610178.593437595</v>
      </c>
      <c r="I22" s="1465">
        <f t="shared" si="0"/>
        <v>14610178.593437595</v>
      </c>
      <c r="J22">
        <v>18</v>
      </c>
      <c r="L22" s="1460" t="s">
        <v>1476</v>
      </c>
      <c r="M22" s="1461">
        <v>4930.6099999999997</v>
      </c>
      <c r="N22" s="1461">
        <v>0</v>
      </c>
      <c r="O22" s="1461">
        <v>-4930.6099999999997</v>
      </c>
      <c r="P22" s="1461">
        <v>8703.18</v>
      </c>
      <c r="Q22" s="1461">
        <v>0</v>
      </c>
      <c r="R22" s="1461">
        <v>-8703.18</v>
      </c>
    </row>
    <row r="23" spans="2:18">
      <c r="J23">
        <v>19</v>
      </c>
      <c r="L23" s="1460" t="s">
        <v>1477</v>
      </c>
      <c r="M23" s="1461">
        <v>76089.88</v>
      </c>
      <c r="N23" s="1461">
        <v>418685</v>
      </c>
      <c r="O23" s="1461">
        <v>342595.12</v>
      </c>
      <c r="P23" s="1461">
        <v>59362.34</v>
      </c>
      <c r="Q23" s="1461">
        <v>1256053</v>
      </c>
      <c r="R23" s="1461">
        <v>1196690.6599999999</v>
      </c>
    </row>
    <row r="24" spans="2:18">
      <c r="J24">
        <v>20</v>
      </c>
      <c r="L24" s="1460" t="s">
        <v>1478</v>
      </c>
      <c r="M24" s="1461">
        <v>21134.66</v>
      </c>
      <c r="N24" s="1461">
        <v>0</v>
      </c>
      <c r="O24" s="1461">
        <v>-21134.66</v>
      </c>
      <c r="P24" s="1461">
        <v>49675.37</v>
      </c>
      <c r="Q24" s="1461">
        <v>0</v>
      </c>
      <c r="R24" s="1461">
        <v>-49675.37</v>
      </c>
    </row>
    <row r="25" spans="2:18">
      <c r="J25">
        <v>21</v>
      </c>
      <c r="L25" s="1460" t="s">
        <v>1479</v>
      </c>
      <c r="M25" s="1461">
        <v>12164.92</v>
      </c>
      <c r="N25" s="1461">
        <v>0</v>
      </c>
      <c r="O25" s="1461">
        <v>-12164.92</v>
      </c>
      <c r="P25" s="1461">
        <v>28195.89</v>
      </c>
      <c r="Q25" s="1461">
        <v>0</v>
      </c>
      <c r="R25" s="1461">
        <v>-28195.89</v>
      </c>
    </row>
    <row r="26" spans="2:18">
      <c r="B26" s="1"/>
      <c r="C26" s="1"/>
      <c r="D26" s="19">
        <v>921</v>
      </c>
      <c r="E26" s="1"/>
      <c r="F26" s="1465"/>
      <c r="G26" s="1"/>
      <c r="I26" s="1465"/>
      <c r="J26">
        <v>22</v>
      </c>
      <c r="L26" s="1460" t="s">
        <v>1480</v>
      </c>
      <c r="M26" s="1461">
        <v>128290.44</v>
      </c>
      <c r="N26" s="1461">
        <v>0</v>
      </c>
      <c r="O26" s="1461">
        <v>-128290.44</v>
      </c>
      <c r="P26" s="1461">
        <v>617617.66</v>
      </c>
      <c r="Q26" s="1461">
        <v>0</v>
      </c>
      <c r="R26" s="1461">
        <v>-617617.66</v>
      </c>
    </row>
    <row r="27" spans="2:18">
      <c r="B27" s="1"/>
      <c r="C27" s="1"/>
      <c r="D27" s="18" t="s">
        <v>14</v>
      </c>
      <c r="E27" s="19"/>
      <c r="F27" s="1465">
        <f>F22*F12</f>
        <v>19069051.259877324</v>
      </c>
      <c r="G27" s="1465">
        <f t="shared" ref="G27:H27" si="3">G22*G12</f>
        <v>13940784.406280912</v>
      </c>
      <c r="H27" s="1465">
        <f t="shared" si="3"/>
        <v>14051210.844448946</v>
      </c>
      <c r="I27" s="1465">
        <f>HLOOKUP($I$5,$F$5:$H$31,J27,FALSE)</f>
        <v>14051210.844448946</v>
      </c>
      <c r="J27">
        <v>23</v>
      </c>
      <c r="L27" s="1460" t="s">
        <v>1481</v>
      </c>
      <c r="M27" s="1461">
        <v>0</v>
      </c>
      <c r="N27" s="1461">
        <v>0</v>
      </c>
      <c r="O27" s="1461">
        <v>0</v>
      </c>
      <c r="P27" s="1461">
        <v>2651.29</v>
      </c>
      <c r="Q27" s="1461">
        <v>0</v>
      </c>
      <c r="R27" s="1461">
        <v>-2651.29</v>
      </c>
    </row>
    <row r="28" spans="2:18">
      <c r="B28" s="1"/>
      <c r="C28" s="1"/>
      <c r="D28" s="18" t="s">
        <v>24</v>
      </c>
      <c r="E28" s="19"/>
      <c r="F28" s="1465">
        <f>F22*F13</f>
        <v>637937.30012267572</v>
      </c>
      <c r="G28" s="1465">
        <f t="shared" ref="G28:H28" si="4">G22*G13</f>
        <v>554574.90211908403</v>
      </c>
      <c r="H28" s="1465">
        <f t="shared" si="4"/>
        <v>558967.74898864795</v>
      </c>
      <c r="I28" s="1465">
        <f t="shared" si="0"/>
        <v>558967.74898864795</v>
      </c>
      <c r="J28">
        <v>24</v>
      </c>
      <c r="L28" s="1460" t="s">
        <v>1482</v>
      </c>
      <c r="M28" s="1461">
        <v>497.2</v>
      </c>
      <c r="N28" s="1461">
        <v>0</v>
      </c>
      <c r="O28" s="1461">
        <v>-497.2</v>
      </c>
      <c r="P28" s="1461">
        <v>1380.78</v>
      </c>
      <c r="Q28" s="1461">
        <v>0</v>
      </c>
      <c r="R28" s="1461">
        <v>-1380.78</v>
      </c>
    </row>
    <row r="29" spans="2:18">
      <c r="B29" s="1"/>
      <c r="C29" s="1"/>
      <c r="D29" s="1"/>
      <c r="E29" s="1"/>
      <c r="F29" s="1"/>
      <c r="G29" s="1"/>
      <c r="I29" s="1"/>
      <c r="J29">
        <v>25</v>
      </c>
      <c r="L29" s="1460" t="s">
        <v>1483</v>
      </c>
      <c r="M29" s="1461">
        <v>-32.229999999999997</v>
      </c>
      <c r="N29" s="1461">
        <v>0</v>
      </c>
      <c r="O29" s="1461">
        <v>32.229999999999997</v>
      </c>
      <c r="P29" s="1461">
        <v>-52.02</v>
      </c>
      <c r="Q29" s="1461">
        <v>0</v>
      </c>
      <c r="R29" s="1461">
        <v>52.02</v>
      </c>
    </row>
    <row r="30" spans="2:18">
      <c r="B30" s="1"/>
      <c r="C30" s="1"/>
      <c r="D30" s="19" t="s">
        <v>1548</v>
      </c>
      <c r="E30" s="1"/>
      <c r="F30" s="1"/>
      <c r="G30" s="1084">
        <f>'PROJECTED EXPENSES'!AU714</f>
        <v>1.4999999999999999E-2</v>
      </c>
      <c r="H30" s="1084">
        <f>'PROJECTED EXPENSES'!AV714</f>
        <v>1.3999999999999999E-2</v>
      </c>
      <c r="I30" s="1084">
        <f t="shared" si="0"/>
        <v>1.3999999999999999E-2</v>
      </c>
      <c r="J30">
        <v>26</v>
      </c>
      <c r="L30" s="1460" t="s">
        <v>1484</v>
      </c>
      <c r="M30" s="1461">
        <v>1133.76</v>
      </c>
      <c r="N30" s="1461">
        <v>0</v>
      </c>
      <c r="O30" s="1461">
        <v>-1133.76</v>
      </c>
      <c r="P30" s="1461">
        <v>2895.78</v>
      </c>
      <c r="Q30" s="1461">
        <v>0</v>
      </c>
      <c r="R30" s="1461">
        <v>-2895.78</v>
      </c>
    </row>
    <row r="31" spans="2:18">
      <c r="L31" s="1460" t="s">
        <v>1485</v>
      </c>
      <c r="M31" s="1461">
        <v>130420.29</v>
      </c>
      <c r="N31" s="1461">
        <v>0</v>
      </c>
      <c r="O31" s="1461">
        <v>-130420.29</v>
      </c>
      <c r="P31" s="1461">
        <v>353343.13</v>
      </c>
      <c r="Q31" s="1461">
        <v>0</v>
      </c>
      <c r="R31" s="1461">
        <v>-353343.13</v>
      </c>
    </row>
    <row r="32" spans="2:18">
      <c r="L32" s="1460" t="s">
        <v>1486</v>
      </c>
      <c r="M32" s="1461">
        <v>337650.91</v>
      </c>
      <c r="N32" s="1461">
        <v>0</v>
      </c>
      <c r="O32" s="1461">
        <v>-337650.91</v>
      </c>
      <c r="P32" s="1466">
        <v>1800033.03</v>
      </c>
      <c r="Q32" s="1461">
        <v>0</v>
      </c>
      <c r="R32" s="1461">
        <v>-1800033.03</v>
      </c>
    </row>
    <row r="33" spans="12:18">
      <c r="L33" s="1460" t="s">
        <v>1487</v>
      </c>
      <c r="M33" s="1461">
        <v>-4069.42</v>
      </c>
      <c r="N33" s="1461">
        <v>0</v>
      </c>
      <c r="O33" s="1461">
        <v>4069.42</v>
      </c>
      <c r="P33" s="1461">
        <v>165797.89000000001</v>
      </c>
      <c r="Q33" s="1461">
        <v>0</v>
      </c>
      <c r="R33" s="1461">
        <v>-165797.89000000001</v>
      </c>
    </row>
    <row r="34" spans="12:18">
      <c r="L34" s="1460" t="s">
        <v>1488</v>
      </c>
      <c r="M34" s="1461">
        <v>229205.5</v>
      </c>
      <c r="N34" s="1461">
        <v>0</v>
      </c>
      <c r="O34" s="1461">
        <v>-229205.5</v>
      </c>
      <c r="P34" s="1461">
        <v>572216.41</v>
      </c>
      <c r="Q34" s="1461">
        <v>0</v>
      </c>
      <c r="R34" s="1461">
        <v>-572216.41</v>
      </c>
    </row>
    <row r="35" spans="12:18">
      <c r="L35" s="1460" t="s">
        <v>1489</v>
      </c>
      <c r="M35" s="1461">
        <v>35527.449999999997</v>
      </c>
      <c r="N35" s="1461">
        <v>0</v>
      </c>
      <c r="O35" s="1461">
        <v>-35527.449999999997</v>
      </c>
      <c r="P35" s="1461">
        <v>87707.22</v>
      </c>
      <c r="Q35" s="1461">
        <v>0</v>
      </c>
      <c r="R35" s="1461">
        <v>-87707.22</v>
      </c>
    </row>
    <row r="36" spans="12:18">
      <c r="L36" s="1460" t="s">
        <v>1490</v>
      </c>
      <c r="M36" s="1461">
        <v>79.91</v>
      </c>
      <c r="N36" s="1461">
        <v>0</v>
      </c>
      <c r="O36" s="1461">
        <v>-79.91</v>
      </c>
      <c r="P36" s="1461">
        <v>80.27</v>
      </c>
      <c r="Q36" s="1461">
        <v>0</v>
      </c>
      <c r="R36" s="1461">
        <v>-80.27</v>
      </c>
    </row>
    <row r="37" spans="12:18">
      <c r="L37" s="1460" t="s">
        <v>1491</v>
      </c>
      <c r="M37" s="1461">
        <v>2.34</v>
      </c>
      <c r="N37" s="1461">
        <v>0</v>
      </c>
      <c r="O37" s="1461">
        <v>-2.34</v>
      </c>
      <c r="P37" s="1461">
        <v>293862.46999999997</v>
      </c>
      <c r="Q37" s="1461">
        <v>0</v>
      </c>
      <c r="R37" s="1461">
        <v>-293862.46999999997</v>
      </c>
    </row>
    <row r="38" spans="12:18">
      <c r="L38" s="1460" t="s">
        <v>1492</v>
      </c>
      <c r="M38" s="1461">
        <v>-92119.54</v>
      </c>
      <c r="N38" s="1461">
        <v>0</v>
      </c>
      <c r="O38" s="1461">
        <v>92119.54</v>
      </c>
      <c r="P38" s="1461">
        <v>224303.16</v>
      </c>
      <c r="Q38" s="1461">
        <v>0</v>
      </c>
      <c r="R38" s="1461">
        <v>-224303.16</v>
      </c>
    </row>
    <row r="39" spans="12:18">
      <c r="L39" s="1460" t="s">
        <v>1493</v>
      </c>
      <c r="M39" s="1461">
        <v>0</v>
      </c>
      <c r="N39" s="1461">
        <v>0</v>
      </c>
      <c r="O39" s="1461">
        <v>0</v>
      </c>
      <c r="P39" s="1461">
        <v>-147677.39000000001</v>
      </c>
      <c r="Q39" s="1461">
        <v>0</v>
      </c>
      <c r="R39" s="1461">
        <v>147677.39000000001</v>
      </c>
    </row>
    <row r="40" spans="12:18">
      <c r="L40" s="1460" t="s">
        <v>1494</v>
      </c>
      <c r="M40" s="1461">
        <v>225351.58</v>
      </c>
      <c r="N40" s="1461">
        <v>0</v>
      </c>
      <c r="O40" s="1461">
        <v>-225351.58</v>
      </c>
      <c r="P40" s="1461">
        <v>394339.96</v>
      </c>
      <c r="Q40" s="1461">
        <v>0</v>
      </c>
      <c r="R40" s="1461">
        <v>-394339.96</v>
      </c>
    </row>
    <row r="41" spans="12:18">
      <c r="L41" s="1460" t="s">
        <v>1495</v>
      </c>
      <c r="M41" s="1461">
        <v>48996.06</v>
      </c>
      <c r="N41" s="1461">
        <v>0</v>
      </c>
      <c r="O41" s="1461">
        <v>-48996.06</v>
      </c>
      <c r="P41" s="1461">
        <v>180494.53</v>
      </c>
      <c r="Q41" s="1461">
        <v>0</v>
      </c>
      <c r="R41" s="1461">
        <v>-180494.53</v>
      </c>
    </row>
    <row r="42" spans="12:18">
      <c r="L42" s="1460" t="s">
        <v>1496</v>
      </c>
      <c r="M42" s="1461">
        <v>275.91000000000003</v>
      </c>
      <c r="N42" s="1461">
        <v>0</v>
      </c>
      <c r="O42" s="1461">
        <v>-275.91000000000003</v>
      </c>
      <c r="P42" s="1461">
        <v>1840.46</v>
      </c>
      <c r="Q42" s="1461">
        <v>0</v>
      </c>
      <c r="R42" s="1461">
        <v>-1840.46</v>
      </c>
    </row>
    <row r="43" spans="12:18">
      <c r="L43" s="1460" t="s">
        <v>1497</v>
      </c>
      <c r="M43" s="1461">
        <v>2379</v>
      </c>
      <c r="N43" s="1461">
        <v>0</v>
      </c>
      <c r="O43" s="1461">
        <v>-2379</v>
      </c>
      <c r="P43" s="1461">
        <v>6385.07</v>
      </c>
      <c r="Q43" s="1461">
        <v>0</v>
      </c>
      <c r="R43" s="1461">
        <v>-6385.07</v>
      </c>
    </row>
    <row r="44" spans="12:18">
      <c r="L44" s="1460" t="s">
        <v>1498</v>
      </c>
      <c r="M44" s="1461">
        <v>2763.63</v>
      </c>
      <c r="N44" s="1461">
        <v>0</v>
      </c>
      <c r="O44" s="1461">
        <v>-2763.63</v>
      </c>
      <c r="P44" s="1461">
        <v>241648.65</v>
      </c>
      <c r="Q44" s="1461">
        <v>0</v>
      </c>
      <c r="R44" s="1461">
        <v>-241648.65</v>
      </c>
    </row>
    <row r="45" spans="12:18">
      <c r="L45" s="1460" t="s">
        <v>1499</v>
      </c>
      <c r="M45" s="1461">
        <v>105658.75</v>
      </c>
      <c r="N45" s="1461">
        <v>0</v>
      </c>
      <c r="O45" s="1461">
        <v>-105658.75</v>
      </c>
      <c r="P45" s="1461">
        <v>227955.87</v>
      </c>
      <c r="Q45" s="1461">
        <v>0</v>
      </c>
      <c r="R45" s="1461">
        <v>-227955.87</v>
      </c>
    </row>
    <row r="46" spans="12:18">
      <c r="L46" s="1460" t="s">
        <v>1500</v>
      </c>
      <c r="M46" s="1461">
        <v>-387221.88</v>
      </c>
      <c r="N46" s="1461">
        <v>0</v>
      </c>
      <c r="O46" s="1461">
        <v>387221.88</v>
      </c>
      <c r="P46" s="1461">
        <v>-695782.27</v>
      </c>
      <c r="Q46" s="1461">
        <v>0</v>
      </c>
      <c r="R46" s="1461">
        <v>695782.27</v>
      </c>
    </row>
    <row r="47" spans="12:18">
      <c r="L47" s="1460" t="s">
        <v>1501</v>
      </c>
      <c r="M47" s="1461">
        <v>-100374.48</v>
      </c>
      <c r="N47" s="1461">
        <v>0</v>
      </c>
      <c r="O47" s="1461">
        <v>100374.48</v>
      </c>
      <c r="P47" s="1461">
        <v>-276597.57</v>
      </c>
      <c r="Q47" s="1461">
        <v>0</v>
      </c>
      <c r="R47" s="1461">
        <v>276597.57</v>
      </c>
    </row>
    <row r="48" spans="12:18">
      <c r="L48" s="1460" t="s">
        <v>1502</v>
      </c>
      <c r="M48" s="1461">
        <v>-115265.55</v>
      </c>
      <c r="N48" s="1461">
        <v>0</v>
      </c>
      <c r="O48" s="1461">
        <v>115265.55</v>
      </c>
      <c r="P48" s="1461">
        <v>-246610.08</v>
      </c>
      <c r="Q48" s="1461">
        <v>0</v>
      </c>
      <c r="R48" s="1461">
        <v>246610.08</v>
      </c>
    </row>
    <row r="49" spans="12:18">
      <c r="L49" s="1460" t="s">
        <v>1503</v>
      </c>
      <c r="M49" s="1461">
        <v>-111291.86</v>
      </c>
      <c r="N49" s="1461">
        <v>0</v>
      </c>
      <c r="O49" s="1461">
        <v>111291.86</v>
      </c>
      <c r="P49" s="1461">
        <v>-361585.66</v>
      </c>
      <c r="Q49" s="1461">
        <v>0</v>
      </c>
      <c r="R49" s="1461">
        <v>361585.66</v>
      </c>
    </row>
    <row r="50" spans="12:18">
      <c r="L50" s="1460" t="s">
        <v>1504</v>
      </c>
      <c r="M50" s="1461">
        <v>1045393.02</v>
      </c>
      <c r="N50" s="1461">
        <v>0</v>
      </c>
      <c r="O50" s="1461">
        <v>-1045393.02</v>
      </c>
      <c r="P50" s="1461">
        <v>2314659.6</v>
      </c>
      <c r="Q50" s="1461">
        <v>0</v>
      </c>
      <c r="R50" s="1461">
        <v>-2314659.6</v>
      </c>
    </row>
    <row r="51" spans="12:18">
      <c r="L51" s="1467" t="s">
        <v>1505</v>
      </c>
      <c r="M51" s="1468">
        <v>2009851.41</v>
      </c>
      <c r="N51" s="1468">
        <v>418685</v>
      </c>
      <c r="O51" s="1468">
        <v>-1591166.41</v>
      </c>
      <c r="P51" s="1469">
        <v>6726780.1699999999</v>
      </c>
      <c r="Q51" s="1468">
        <v>1256053</v>
      </c>
      <c r="R51" s="1468">
        <v>-5470727.1699999999</v>
      </c>
    </row>
  </sheetData>
  <pageMargins left="0.7" right="0.7" top="0.75" bottom="0.75" header="0.3" footer="0.3"/>
  <pageSetup scale="8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V45"/>
  <sheetViews>
    <sheetView workbookViewId="0">
      <selection activeCell="B23" sqref="B23"/>
    </sheetView>
  </sheetViews>
  <sheetFormatPr defaultRowHeight="12.75"/>
  <cols>
    <col min="1" max="1" width="2.85546875" style="15" customWidth="1"/>
    <col min="2" max="2" width="37" style="15" customWidth="1"/>
    <col min="3" max="3" width="7.7109375" style="15" customWidth="1"/>
    <col min="4" max="4" width="15.7109375" style="15" bestFit="1" customWidth="1"/>
    <col min="5" max="5" width="7.7109375" style="15" customWidth="1"/>
    <col min="6" max="6" width="15.7109375" style="15" bestFit="1" customWidth="1"/>
    <col min="7" max="7" width="7.85546875" style="15" customWidth="1"/>
    <col min="8" max="8" width="15.7109375" style="15" bestFit="1" customWidth="1"/>
    <col min="9" max="9" width="7.5703125" style="15" customWidth="1"/>
    <col min="10" max="10" width="16.28515625" style="15" customWidth="1"/>
    <col min="11" max="11" width="6.7109375" style="15" customWidth="1"/>
    <col min="12" max="12" width="15.85546875" style="15" customWidth="1"/>
    <col min="13" max="13" width="7.85546875" style="15" customWidth="1"/>
    <col min="14" max="14" width="16.7109375" style="15" bestFit="1" customWidth="1"/>
    <col min="15" max="15" width="7.42578125" style="15" customWidth="1"/>
    <col min="16" max="16" width="16.7109375" style="15" bestFit="1" customWidth="1"/>
    <col min="17" max="17" width="5.28515625" style="15" customWidth="1"/>
    <col min="18" max="18" width="16.7109375" style="15" bestFit="1" customWidth="1"/>
    <col min="19" max="19" width="5.28515625" style="15" bestFit="1" customWidth="1"/>
    <col min="20" max="20" width="14.42578125" style="15" bestFit="1" customWidth="1"/>
    <col min="21" max="21" width="12" style="15" bestFit="1" customWidth="1"/>
    <col min="22" max="22" width="14.28515625" style="15" bestFit="1" customWidth="1"/>
  </cols>
  <sheetData>
    <row r="1" spans="1:22" ht="14.25">
      <c r="A1" s="640"/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</row>
    <row r="2" spans="1:22" ht="14.25">
      <c r="A2" s="640"/>
      <c r="B2" s="640"/>
      <c r="C2" s="502" t="s">
        <v>667</v>
      </c>
      <c r="D2" s="502"/>
      <c r="E2" s="502"/>
      <c r="F2" s="502"/>
      <c r="G2" s="502"/>
      <c r="H2" s="502"/>
      <c r="I2" s="502"/>
      <c r="J2" s="502"/>
      <c r="K2" s="502"/>
      <c r="L2" s="443"/>
      <c r="M2" s="443"/>
    </row>
    <row r="3" spans="1:22" ht="14.25">
      <c r="A3" s="640"/>
      <c r="B3" s="640"/>
      <c r="C3" s="502" t="str">
        <f>+P3&amp;R3</f>
        <v/>
      </c>
      <c r="D3" s="502"/>
      <c r="E3" s="502"/>
      <c r="F3" s="502"/>
      <c r="G3" s="502"/>
      <c r="H3" s="502"/>
      <c r="I3" s="502"/>
      <c r="J3" s="502"/>
      <c r="K3" s="502"/>
      <c r="L3" s="443"/>
      <c r="M3" s="443"/>
    </row>
    <row r="4" spans="1:22" ht="14.25">
      <c r="A4" s="640"/>
      <c r="B4" s="578" t="s">
        <v>599</v>
      </c>
      <c r="C4" s="502" t="str">
        <f>+P4&amp;R4</f>
        <v/>
      </c>
      <c r="D4" s="502"/>
      <c r="E4" s="502"/>
      <c r="F4" s="502"/>
      <c r="G4" s="502"/>
      <c r="H4" s="502"/>
      <c r="I4" s="502"/>
      <c r="J4" s="502"/>
      <c r="K4" s="502"/>
      <c r="L4" s="443"/>
      <c r="M4" s="443"/>
    </row>
    <row r="5" spans="1:22" ht="14.25">
      <c r="A5" s="640"/>
      <c r="B5" s="578" t="str">
        <f>'Control Panel'!$B$1</f>
        <v>Dominion Energy</v>
      </c>
      <c r="C5" s="640"/>
      <c r="D5" s="640"/>
      <c r="E5" s="640"/>
      <c r="F5" s="640"/>
      <c r="G5" s="640"/>
      <c r="H5" s="640"/>
      <c r="I5" s="640"/>
      <c r="J5" s="640"/>
      <c r="K5" s="640"/>
      <c r="L5" s="640"/>
      <c r="M5" s="640"/>
    </row>
    <row r="6" spans="1:22" ht="14.25">
      <c r="A6" s="640"/>
      <c r="B6" s="578" t="str">
        <f>'Control Panel'!$B$2</f>
        <v>Utah - DEC 2019 Adjusted Avg  Results</v>
      </c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</row>
    <row r="7" spans="1:22" ht="14.25">
      <c r="A7" s="640"/>
      <c r="B7" s="578" t="str">
        <f>'Control Panel'!$B$3</f>
        <v>12 Months Ended : Dec-2019</v>
      </c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1260"/>
      <c r="O7" s="1260"/>
      <c r="P7" s="1238"/>
      <c r="Q7" s="1238"/>
      <c r="R7" s="1238"/>
    </row>
    <row r="8" spans="1:22" ht="23.25">
      <c r="A8" s="640"/>
      <c r="B8" s="641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</row>
    <row r="9" spans="1:22" ht="14.25">
      <c r="A9" s="640"/>
      <c r="B9" s="640"/>
      <c r="C9" s="642"/>
      <c r="D9" s="1266" t="s">
        <v>50</v>
      </c>
      <c r="E9" s="642"/>
      <c r="F9" s="1266" t="s">
        <v>50</v>
      </c>
      <c r="G9" s="642"/>
      <c r="H9" s="1266" t="s">
        <v>50</v>
      </c>
      <c r="I9" s="1264"/>
      <c r="J9" s="1266" t="s">
        <v>50</v>
      </c>
      <c r="K9" s="1264"/>
      <c r="L9" s="643" t="s">
        <v>50</v>
      </c>
      <c r="M9" s="584"/>
      <c r="N9" s="643" t="s">
        <v>50</v>
      </c>
      <c r="O9" s="1261"/>
      <c r="P9" s="643" t="s">
        <v>1117</v>
      </c>
      <c r="Q9" s="584"/>
      <c r="R9" s="643" t="s">
        <v>1117</v>
      </c>
    </row>
    <row r="10" spans="1:22">
      <c r="C10" s="574"/>
      <c r="D10" s="1424" t="s">
        <v>422</v>
      </c>
      <c r="E10" s="1422"/>
      <c r="F10" s="1422" t="s">
        <v>45</v>
      </c>
      <c r="G10" s="1422"/>
      <c r="H10" s="1422" t="s">
        <v>46</v>
      </c>
      <c r="I10" s="1312"/>
      <c r="J10" s="549" t="s">
        <v>422</v>
      </c>
      <c r="K10" s="1265"/>
      <c r="L10" s="574" t="s">
        <v>1132</v>
      </c>
      <c r="M10" s="579"/>
      <c r="N10" s="1259" t="s">
        <v>46</v>
      </c>
      <c r="O10" s="1262"/>
      <c r="P10" s="574" t="s">
        <v>688</v>
      </c>
      <c r="Q10" s="579"/>
      <c r="R10" s="574" t="s">
        <v>689</v>
      </c>
    </row>
    <row r="11" spans="1:22">
      <c r="D11" s="1267" t="s">
        <v>50</v>
      </c>
      <c r="F11" s="1267" t="s">
        <v>50</v>
      </c>
      <c r="H11" s="1267" t="s">
        <v>50</v>
      </c>
      <c r="I11" s="645"/>
      <c r="J11" s="1267" t="s">
        <v>50</v>
      </c>
      <c r="K11" s="645"/>
      <c r="L11" s="1267" t="s">
        <v>1128</v>
      </c>
      <c r="M11" s="645"/>
      <c r="N11" s="644" t="s">
        <v>1127</v>
      </c>
      <c r="O11" s="645"/>
      <c r="P11" s="644" t="s">
        <v>1127</v>
      </c>
      <c r="Q11" s="645"/>
      <c r="R11" s="644" t="s">
        <v>1127</v>
      </c>
      <c r="V11"/>
    </row>
    <row r="12" spans="1:22">
      <c r="D12" s="646" t="s">
        <v>996</v>
      </c>
      <c r="F12" s="646" t="s">
        <v>996</v>
      </c>
      <c r="H12" s="646" t="s">
        <v>996</v>
      </c>
      <c r="I12" s="1268"/>
      <c r="J12" s="646" t="s">
        <v>996</v>
      </c>
      <c r="K12" s="1268"/>
      <c r="L12" s="647" t="s">
        <v>840</v>
      </c>
      <c r="M12" s="645"/>
      <c r="N12" s="647" t="s">
        <v>840</v>
      </c>
      <c r="O12" s="645"/>
      <c r="P12" s="647" t="s">
        <v>840</v>
      </c>
      <c r="Q12" s="645"/>
      <c r="R12" s="647" t="s">
        <v>840</v>
      </c>
      <c r="T12" s="1311">
        <v>2017</v>
      </c>
      <c r="U12" s="1311">
        <v>2018</v>
      </c>
      <c r="V12"/>
    </row>
    <row r="13" spans="1:22">
      <c r="D13" s="552">
        <v>40908</v>
      </c>
      <c r="F13" s="552">
        <v>41274</v>
      </c>
      <c r="H13" s="552">
        <v>41639</v>
      </c>
      <c r="I13" s="553"/>
      <c r="J13" s="552">
        <v>42004</v>
      </c>
      <c r="K13" s="553"/>
      <c r="L13" s="552">
        <v>42369</v>
      </c>
      <c r="M13" s="553"/>
      <c r="N13" s="552">
        <v>42735</v>
      </c>
      <c r="O13" s="553"/>
      <c r="P13" s="552">
        <v>43100</v>
      </c>
      <c r="Q13" s="553"/>
      <c r="R13" s="552">
        <v>43465</v>
      </c>
      <c r="T13" s="1311" t="s">
        <v>1338</v>
      </c>
      <c r="U13" s="1311" t="s">
        <v>1338</v>
      </c>
      <c r="V13"/>
    </row>
    <row r="14" spans="1:22">
      <c r="D14" s="265"/>
      <c r="F14" s="265"/>
      <c r="H14" s="265"/>
      <c r="I14" s="265"/>
      <c r="J14" s="265"/>
      <c r="K14" s="265"/>
      <c r="L14" s="265"/>
      <c r="M14" s="265"/>
      <c r="V14"/>
    </row>
    <row r="15" spans="1:22" ht="15" customHeight="1">
      <c r="A15" s="15">
        <v>1</v>
      </c>
      <c r="B15" s="15" t="s">
        <v>1151</v>
      </c>
      <c r="D15" s="953">
        <v>9626942.4700000025</v>
      </c>
      <c r="F15" s="1423">
        <v>10761919.079999996</v>
      </c>
      <c r="G15" s="779">
        <f>+(F15-D15)/D15</f>
        <v>0.11789585463264886</v>
      </c>
      <c r="H15" s="953">
        <v>13008224.09</v>
      </c>
      <c r="I15" s="779">
        <f>+(H15-F15)/F15</f>
        <v>0.20872717898191112</v>
      </c>
      <c r="J15" s="778">
        <v>12559709.829999994</v>
      </c>
      <c r="K15" s="779">
        <f>+(J15-H15)/H15</f>
        <v>-3.4479284558512353E-2</v>
      </c>
      <c r="L15" s="778">
        <v>14132639.639999995</v>
      </c>
      <c r="M15" s="779">
        <f>+(L15-J15)/J15</f>
        <v>0.12523615842166325</v>
      </c>
      <c r="N15" s="1423">
        <v>15429649.49</v>
      </c>
      <c r="O15" s="779">
        <f>+(N15-L15)/L15</f>
        <v>9.1774069320287685E-2</v>
      </c>
      <c r="P15" s="778">
        <f>+N15*(1+T15)</f>
        <v>17208688.076196998</v>
      </c>
      <c r="Q15" s="542" t="s">
        <v>455</v>
      </c>
      <c r="R15" s="778">
        <f>+P15*(1+U15)</f>
        <v>18961062.470091395</v>
      </c>
      <c r="S15" s="542" t="s">
        <v>401</v>
      </c>
      <c r="T15" s="779">
        <v>0.1153</v>
      </c>
      <c r="U15" s="513">
        <f>AVERAGE(G15,I15,K15,M15,O15)</f>
        <v>0.10183079535959971</v>
      </c>
      <c r="V15"/>
    </row>
    <row r="16" spans="1:22">
      <c r="A16" s="15">
        <v>2</v>
      </c>
      <c r="B16" s="15" t="s">
        <v>1150</v>
      </c>
      <c r="D16" s="953">
        <v>2513016.8500000006</v>
      </c>
      <c r="F16" s="1423">
        <v>2493644.5199999996</v>
      </c>
      <c r="G16" s="779">
        <f t="shared" ref="G16:G18" si="0">+(F16-D16)/D16</f>
        <v>-7.7087943123027615E-3</v>
      </c>
      <c r="H16" s="953">
        <v>2319325.3199999994</v>
      </c>
      <c r="I16" s="779">
        <f t="shared" ref="I16:O18" si="1">+(H16-F16)/F16</f>
        <v>-6.9905392930665278E-2</v>
      </c>
      <c r="J16" s="778">
        <v>2458460.7899999991</v>
      </c>
      <c r="K16" s="779">
        <f t="shared" si="1"/>
        <v>5.9989630950090168E-2</v>
      </c>
      <c r="L16" s="778">
        <v>2449640.0300000003</v>
      </c>
      <c r="M16" s="779">
        <f t="shared" si="1"/>
        <v>-3.5879197406271622E-3</v>
      </c>
      <c r="N16" s="1423">
        <v>2609189.2800000007</v>
      </c>
      <c r="O16" s="779">
        <f t="shared" si="1"/>
        <v>6.513171243368375E-2</v>
      </c>
      <c r="P16" s="778">
        <f>+N16*(1+T16)</f>
        <v>2632108.0001602271</v>
      </c>
      <c r="Q16" s="542" t="s">
        <v>401</v>
      </c>
      <c r="R16" s="778">
        <f>+P16*(1+U16)</f>
        <v>2655228.0348581946</v>
      </c>
      <c r="S16" s="542" t="s">
        <v>401</v>
      </c>
      <c r="T16" s="513">
        <f>AVERAGE(G16,I16,K16,M16,O16)</f>
        <v>8.7838472800357455E-3</v>
      </c>
      <c r="U16" s="513">
        <f>AVERAGE(G16,I16,K16,M16,O16)</f>
        <v>8.7838472800357455E-3</v>
      </c>
      <c r="V16"/>
    </row>
    <row r="17" spans="1:22">
      <c r="A17" s="15">
        <v>3</v>
      </c>
      <c r="B17" s="15" t="s">
        <v>1152</v>
      </c>
      <c r="D17" s="1423">
        <v>2632454.4500000025</v>
      </c>
      <c r="F17" s="1423">
        <v>2711158.9899999993</v>
      </c>
      <c r="G17" s="779">
        <f t="shared" si="0"/>
        <v>2.9897778478179062E-2</v>
      </c>
      <c r="H17" s="953">
        <v>2490737.8100000015</v>
      </c>
      <c r="I17" s="779">
        <f t="shared" si="1"/>
        <v>-8.1301458458545764E-2</v>
      </c>
      <c r="J17" s="778">
        <v>2599112.29</v>
      </c>
      <c r="K17" s="779">
        <f t="shared" si="1"/>
        <v>4.3510994840520179E-2</v>
      </c>
      <c r="L17" s="778">
        <v>2482230.4799999981</v>
      </c>
      <c r="M17" s="779">
        <f t="shared" si="1"/>
        <v>-4.4969896240997696E-2</v>
      </c>
      <c r="N17" s="1423">
        <v>2570740.6100000008</v>
      </c>
      <c r="O17" s="779">
        <f t="shared" si="1"/>
        <v>3.5657498654195381E-2</v>
      </c>
      <c r="P17" s="778">
        <f>+N17*(1+T17)</f>
        <v>2647862.8283000011</v>
      </c>
      <c r="Q17" s="542" t="s">
        <v>1155</v>
      </c>
      <c r="R17" s="778">
        <f>+P17*(1+U17)</f>
        <v>2727298.7131490014</v>
      </c>
      <c r="S17" s="542" t="s">
        <v>1155</v>
      </c>
      <c r="T17" s="513">
        <v>0.03</v>
      </c>
      <c r="U17" s="513">
        <v>0.03</v>
      </c>
      <c r="V17"/>
    </row>
    <row r="18" spans="1:22">
      <c r="A18" s="15">
        <v>4</v>
      </c>
      <c r="B18" s="209" t="s">
        <v>1153</v>
      </c>
      <c r="D18" s="1423">
        <v>256663.75</v>
      </c>
      <c r="F18" s="1423">
        <v>217427.35999999996</v>
      </c>
      <c r="G18" s="779">
        <f t="shared" si="0"/>
        <v>-0.15287078911611027</v>
      </c>
      <c r="H18" s="953">
        <v>243690.30000000022</v>
      </c>
      <c r="I18" s="779">
        <f t="shared" si="1"/>
        <v>0.12078949033829169</v>
      </c>
      <c r="J18" s="778">
        <v>246580.72999999995</v>
      </c>
      <c r="K18" s="779">
        <f t="shared" si="1"/>
        <v>1.1861079411038226E-2</v>
      </c>
      <c r="L18" s="778">
        <v>247142.66000000009</v>
      </c>
      <c r="M18" s="779">
        <f t="shared" si="1"/>
        <v>2.2788885408853263E-3</v>
      </c>
      <c r="N18" s="1423">
        <v>255378.97999999989</v>
      </c>
      <c r="O18" s="779">
        <f t="shared" si="1"/>
        <v>3.3326176872903283E-2</v>
      </c>
      <c r="P18" s="778">
        <f>+N18*(1+T18)</f>
        <v>256164.7732581883</v>
      </c>
      <c r="Q18" s="542" t="s">
        <v>401</v>
      </c>
      <c r="R18" s="778">
        <f>+P18*(1+U18)</f>
        <v>256952.98437803713</v>
      </c>
      <c r="S18" s="542" t="s">
        <v>401</v>
      </c>
      <c r="T18" s="513">
        <f t="shared" ref="T18" si="2">AVERAGE(G18,I18,K18,M18,O18)</f>
        <v>3.0769692094016511E-3</v>
      </c>
      <c r="U18" s="513">
        <f>AVERAGE(G18,I18,K18,M18,O18)</f>
        <v>3.0769692094016511E-3</v>
      </c>
      <c r="V18"/>
    </row>
    <row r="19" spans="1:22">
      <c r="A19" s="15">
        <v>5</v>
      </c>
      <c r="B19" s="209" t="s">
        <v>1130</v>
      </c>
      <c r="D19" s="778"/>
      <c r="F19" s="778"/>
      <c r="H19" s="778"/>
      <c r="I19" s="778"/>
      <c r="J19" s="778"/>
      <c r="K19" s="778"/>
      <c r="L19" s="966">
        <v>16</v>
      </c>
      <c r="M19" s="778"/>
      <c r="N19" s="265"/>
      <c r="O19" s="778"/>
      <c r="P19" s="265"/>
      <c r="R19" s="265"/>
      <c r="V19"/>
    </row>
    <row r="20" spans="1:22" ht="12.75" customHeight="1">
      <c r="B20" s="209"/>
      <c r="D20" s="778"/>
      <c r="F20" s="778"/>
      <c r="H20" s="778"/>
      <c r="I20" s="778"/>
      <c r="J20" s="778"/>
      <c r="K20" s="778"/>
      <c r="L20" s="265"/>
      <c r="M20" s="778"/>
      <c r="N20" s="265"/>
      <c r="O20" s="778"/>
      <c r="P20" s="265"/>
      <c r="R20" s="265"/>
      <c r="V20"/>
    </row>
    <row r="21" spans="1:22" ht="13.5" thickBot="1">
      <c r="A21" s="15">
        <v>6</v>
      </c>
      <c r="B21" s="165" t="s">
        <v>1154</v>
      </c>
      <c r="D21" s="543">
        <f>SUM(D15:D20)</f>
        <v>15029077.520000007</v>
      </c>
      <c r="F21" s="543">
        <f>SUM(F15:F20)</f>
        <v>16184149.949999996</v>
      </c>
      <c r="G21" s="779">
        <f t="shared" ref="G21" si="3">+(F21-D21)/D21</f>
        <v>7.6855843511544286E-2</v>
      </c>
      <c r="H21" s="543">
        <f>SUM(H15:H20)</f>
        <v>18061977.520000003</v>
      </c>
      <c r="I21" s="779">
        <f t="shared" ref="I21:O21" si="4">+(H21-F21)/F21</f>
        <v>0.1160288044661875</v>
      </c>
      <c r="J21" s="543">
        <f>SUM(J15:J20)</f>
        <v>17863863.639999993</v>
      </c>
      <c r="K21" s="779">
        <f t="shared" si="4"/>
        <v>-1.0968559770414889E-2</v>
      </c>
      <c r="L21" s="543">
        <f>SUM(L15:L20)</f>
        <v>19311668.809999991</v>
      </c>
      <c r="M21" s="779">
        <f t="shared" si="4"/>
        <v>8.1046586515480065E-2</v>
      </c>
      <c r="N21" s="543">
        <f>SUM(N15:N20)</f>
        <v>20864958.359999999</v>
      </c>
      <c r="O21" s="779">
        <f t="shared" si="4"/>
        <v>8.0432694102318181E-2</v>
      </c>
      <c r="P21" s="543">
        <f>SUM(P15:P20)</f>
        <v>22744823.677915417</v>
      </c>
      <c r="Q21" s="779">
        <f t="shared" ref="Q21:S21" si="5">+(P21-N21)/N21</f>
        <v>9.0096768250412046E-2</v>
      </c>
      <c r="R21" s="543">
        <f>SUM(R15:R20)</f>
        <v>24600542.202476624</v>
      </c>
      <c r="S21" s="779">
        <f t="shared" si="5"/>
        <v>8.1588608944155414E-2</v>
      </c>
      <c r="T21" s="513"/>
      <c r="U21" s="513"/>
      <c r="V21"/>
    </row>
    <row r="22" spans="1:22" ht="15" thickTop="1">
      <c r="A22" s="640"/>
      <c r="B22" s="209"/>
      <c r="C22" s="640"/>
      <c r="D22" s="640"/>
      <c r="E22" s="640"/>
      <c r="F22" s="640"/>
      <c r="G22" s="640"/>
      <c r="L22" s="265"/>
      <c r="M22" s="265"/>
      <c r="N22" s="265"/>
      <c r="O22" s="265"/>
      <c r="P22" s="265"/>
      <c r="Q22" s="265"/>
      <c r="R22" s="265"/>
    </row>
    <row r="23" spans="1:22" ht="14.25">
      <c r="A23" s="640"/>
      <c r="B23" s="209" t="s">
        <v>1383</v>
      </c>
      <c r="C23" s="640"/>
      <c r="D23" s="640"/>
      <c r="E23" s="640"/>
      <c r="F23" s="640"/>
      <c r="G23" s="640"/>
      <c r="L23" s="265"/>
      <c r="M23" s="265"/>
      <c r="N23" s="265"/>
      <c r="O23" s="265"/>
      <c r="P23" s="265"/>
      <c r="R23" s="265"/>
    </row>
    <row r="24" spans="1:22">
      <c r="B24" s="193"/>
      <c r="N24" s="265"/>
      <c r="P24" s="95"/>
      <c r="R24" s="95"/>
    </row>
    <row r="25" spans="1:22">
      <c r="B25" s="193" t="s">
        <v>1381</v>
      </c>
      <c r="N25" s="265"/>
      <c r="P25" s="95"/>
      <c r="R25" s="95"/>
      <c r="T25" s="513"/>
      <c r="V25" s="513"/>
    </row>
    <row r="26" spans="1:22">
      <c r="B26" s="15" t="s">
        <v>1382</v>
      </c>
      <c r="N26" s="265"/>
      <c r="P26" s="95"/>
      <c r="R26" s="95"/>
    </row>
    <row r="27" spans="1:22">
      <c r="B27" s="15" t="s">
        <v>1287</v>
      </c>
      <c r="P27" s="95"/>
      <c r="R27" s="95"/>
    </row>
    <row r="33" spans="8:18">
      <c r="H33" s="30"/>
      <c r="I33" s="30"/>
      <c r="J33" s="30"/>
      <c r="K33" s="30"/>
      <c r="L33" s="30"/>
      <c r="N33" s="30"/>
      <c r="O33" s="30"/>
      <c r="P33" s="30"/>
      <c r="Q33" s="30"/>
      <c r="R33" s="30"/>
    </row>
    <row r="34" spans="8:18">
      <c r="H34" s="30"/>
      <c r="I34" s="30"/>
      <c r="J34" s="30"/>
      <c r="K34" s="30"/>
      <c r="L34" s="30"/>
      <c r="N34" s="95"/>
      <c r="O34" s="95"/>
      <c r="P34" s="95"/>
      <c r="Q34" s="95"/>
      <c r="R34" s="95"/>
    </row>
    <row r="35" spans="8:18">
      <c r="H35" s="30"/>
      <c r="I35" s="30"/>
      <c r="J35" s="30"/>
      <c r="K35" s="30"/>
      <c r="L35" s="513"/>
      <c r="N35" s="513"/>
      <c r="O35" s="513"/>
      <c r="P35" s="513"/>
      <c r="Q35" s="513"/>
      <c r="R35" s="513"/>
    </row>
    <row r="36" spans="8:18">
      <c r="H36" s="30"/>
      <c r="I36" s="30"/>
      <c r="J36" s="30"/>
      <c r="K36" s="30"/>
      <c r="L36" s="30"/>
      <c r="N36" s="30"/>
      <c r="O36" s="30"/>
      <c r="P36" s="30"/>
      <c r="Q36" s="30"/>
      <c r="R36" s="30"/>
    </row>
    <row r="37" spans="8:18">
      <c r="H37" s="30"/>
      <c r="I37" s="30"/>
      <c r="J37" s="30"/>
      <c r="K37" s="30"/>
      <c r="L37" s="30"/>
      <c r="N37" s="95"/>
      <c r="O37" s="95"/>
      <c r="P37" s="95"/>
      <c r="Q37" s="95"/>
      <c r="R37" s="95"/>
    </row>
    <row r="38" spans="8:18">
      <c r="H38" s="30"/>
      <c r="I38" s="30"/>
      <c r="J38" s="30"/>
      <c r="K38" s="30"/>
      <c r="L38" s="513"/>
      <c r="N38" s="513"/>
      <c r="O38" s="513"/>
      <c r="P38" s="513"/>
      <c r="Q38" s="513"/>
      <c r="R38" s="513"/>
    </row>
    <row r="40" spans="8:18" ht="15">
      <c r="H40" s="780"/>
      <c r="I40" s="780"/>
      <c r="J40" s="780"/>
      <c r="K40" s="780"/>
      <c r="L40" s="780"/>
      <c r="N40" s="102"/>
      <c r="O40" s="102"/>
      <c r="P40" s="102"/>
      <c r="Q40" s="102"/>
      <c r="R40" s="102"/>
    </row>
    <row r="41" spans="8:18">
      <c r="L41" s="30"/>
      <c r="N41" s="95"/>
      <c r="O41" s="95"/>
      <c r="P41" s="95"/>
      <c r="Q41" s="95"/>
      <c r="R41" s="95"/>
    </row>
    <row r="42" spans="8:18">
      <c r="L42" s="513"/>
      <c r="N42" s="513"/>
      <c r="O42" s="513"/>
      <c r="P42" s="513"/>
      <c r="Q42" s="513"/>
      <c r="R42" s="513"/>
    </row>
    <row r="43" spans="8:18" ht="15">
      <c r="H43" s="780"/>
      <c r="I43" s="780"/>
      <c r="J43" s="780"/>
      <c r="K43" s="780"/>
      <c r="L43" s="780"/>
      <c r="N43" s="102"/>
      <c r="O43" s="102"/>
      <c r="P43" s="102"/>
      <c r="Q43" s="102"/>
      <c r="R43" s="102"/>
    </row>
    <row r="44" spans="8:18">
      <c r="L44" s="95"/>
      <c r="N44" s="95"/>
      <c r="O44" s="95"/>
      <c r="P44" s="95"/>
      <c r="Q44" s="95"/>
      <c r="R44" s="95"/>
    </row>
    <row r="45" spans="8:18">
      <c r="L45" s="513"/>
      <c r="N45" s="513"/>
      <c r="O45" s="513"/>
      <c r="P45" s="513"/>
      <c r="Q45" s="513"/>
      <c r="R45" s="513"/>
    </row>
  </sheetData>
  <pageMargins left="0.7" right="0.7" top="0.75" bottom="0.75" header="0.3" footer="0.3"/>
  <pageSetup scale="84" orientation="landscape" r:id="rId1"/>
  <headerFooter>
    <oddFooter>&amp;R&amp;Z&amp;F\&amp;A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1:U75"/>
  <sheetViews>
    <sheetView workbookViewId="0">
      <selection activeCell="H35" sqref="H35"/>
    </sheetView>
  </sheetViews>
  <sheetFormatPr defaultRowHeight="12.75"/>
  <cols>
    <col min="1" max="1" width="4.7109375" style="15" customWidth="1"/>
    <col min="2" max="2" width="34" style="15" customWidth="1"/>
    <col min="3" max="3" width="13.7109375" style="15" customWidth="1"/>
    <col min="4" max="4" width="15.85546875" style="15" customWidth="1"/>
    <col min="5" max="6" width="15.85546875" style="15" hidden="1" customWidth="1"/>
    <col min="7" max="7" width="14" style="15" customWidth="1"/>
    <col min="8" max="8" width="12.28515625" style="15" bestFit="1" customWidth="1"/>
    <col min="9" max="9" width="4.7109375" style="15" customWidth="1"/>
    <col min="10" max="10" width="3.7109375" style="15" customWidth="1"/>
    <col min="11" max="11" width="29" style="15" bestFit="1" customWidth="1"/>
    <col min="12" max="12" width="15.140625" style="15" bestFit="1" customWidth="1"/>
    <col min="13" max="13" width="1.7109375" style="15" customWidth="1"/>
    <col min="14" max="14" width="14" style="15" customWidth="1"/>
    <col min="15" max="18" width="11.7109375" style="15" customWidth="1"/>
    <col min="19" max="19" width="16" style="15" bestFit="1" customWidth="1"/>
    <col min="20" max="20" width="13.85546875" style="15" customWidth="1"/>
    <col min="21" max="23" width="9.140625" style="15"/>
    <col min="24" max="24" width="17.28515625" style="15" bestFit="1" customWidth="1"/>
    <col min="25" max="25" width="13.42578125" style="15" bestFit="1" customWidth="1"/>
    <col min="26" max="26" width="9.140625" style="15"/>
    <col min="27" max="27" width="12.7109375" style="15" bestFit="1" customWidth="1"/>
    <col min="28" max="28" width="11.42578125" style="15" bestFit="1" customWidth="1"/>
    <col min="29" max="29" width="9.5703125" style="15" bestFit="1" customWidth="1"/>
    <col min="30" max="30" width="9.28515625" style="15" bestFit="1" customWidth="1"/>
    <col min="31" max="31" width="12.140625" style="15" bestFit="1" customWidth="1"/>
    <col min="32" max="32" width="16" style="15" bestFit="1" customWidth="1"/>
    <col min="33" max="33" width="14.140625" style="15" bestFit="1" customWidth="1"/>
    <col min="34" max="16384" width="9.140625" style="15"/>
  </cols>
  <sheetData>
    <row r="1" spans="2:21">
      <c r="B1" s="578" t="str">
        <f>'Control Panel'!$B$2</f>
        <v>Utah - DEC 2019 Adjusted Avg  Results</v>
      </c>
      <c r="K1" s="82"/>
      <c r="L1" s="186"/>
      <c r="M1" s="186"/>
      <c r="N1" s="186"/>
      <c r="O1" s="186"/>
      <c r="P1" s="28"/>
      <c r="Q1" s="186"/>
      <c r="R1" s="186"/>
      <c r="S1" s="186"/>
      <c r="T1" s="277"/>
    </row>
    <row r="2" spans="2:21">
      <c r="B2" s="578" t="str">
        <f>'Control Panel'!$B$3</f>
        <v>12 Months Ended : Dec-2019</v>
      </c>
    </row>
    <row r="3" spans="2:21">
      <c r="B3" s="578" t="str">
        <f>'Control Panel'!$B$4</f>
        <v>Capital Structure : ORDERED CAP STR 13-057-05</v>
      </c>
    </row>
    <row r="4" spans="2:21">
      <c r="B4" s="578"/>
      <c r="C4" s="1569"/>
      <c r="D4" s="1569"/>
      <c r="E4" s="575"/>
      <c r="F4" s="575"/>
    </row>
    <row r="5" spans="2:21">
      <c r="C5" s="101"/>
      <c r="E5" s="30"/>
    </row>
    <row r="7" spans="2:21">
      <c r="C7" s="1568" t="s">
        <v>803</v>
      </c>
      <c r="D7" s="1568"/>
      <c r="E7" s="574"/>
      <c r="F7" s="574"/>
      <c r="J7" s="82" t="s">
        <v>847</v>
      </c>
      <c r="K7" s="82"/>
      <c r="L7" s="82"/>
    </row>
    <row r="8" spans="2:21">
      <c r="C8" s="574" t="s">
        <v>796</v>
      </c>
      <c r="D8" s="574" t="s">
        <v>797</v>
      </c>
      <c r="E8" s="574" t="s">
        <v>798</v>
      </c>
      <c r="F8" s="574"/>
      <c r="G8" s="574"/>
      <c r="J8" s="1567" t="s">
        <v>932</v>
      </c>
      <c r="K8" s="1567" t="s">
        <v>932</v>
      </c>
      <c r="L8" s="574" t="s">
        <v>796</v>
      </c>
      <c r="M8" s="574"/>
      <c r="N8" s="574" t="s">
        <v>797</v>
      </c>
      <c r="O8" s="574" t="s">
        <v>798</v>
      </c>
      <c r="P8" s="574" t="s">
        <v>799</v>
      </c>
      <c r="Q8" s="574" t="s">
        <v>778</v>
      </c>
      <c r="R8" s="574" t="s">
        <v>779</v>
      </c>
      <c r="S8" s="574" t="s">
        <v>560</v>
      </c>
      <c r="T8" s="574" t="s">
        <v>766</v>
      </c>
    </row>
    <row r="9" spans="2:21">
      <c r="C9" s="577" t="s">
        <v>44</v>
      </c>
      <c r="D9" s="201" t="s">
        <v>14</v>
      </c>
      <c r="E9" s="201" t="s">
        <v>24</v>
      </c>
      <c r="F9" s="201" t="str">
        <f>'Control Panel'!F11</f>
        <v>Utah</v>
      </c>
      <c r="G9" s="201"/>
      <c r="J9" s="1567" t="s">
        <v>933</v>
      </c>
      <c r="K9" s="1567"/>
      <c r="L9" s="193"/>
      <c r="N9" s="15" t="s">
        <v>1196</v>
      </c>
      <c r="O9" s="15" t="s">
        <v>1197</v>
      </c>
      <c r="S9" s="15" t="s">
        <v>1196</v>
      </c>
    </row>
    <row r="10" spans="2:21" ht="13.5" thickBot="1">
      <c r="C10" s="584" t="s">
        <v>170</v>
      </c>
      <c r="D10" s="584" t="s">
        <v>47</v>
      </c>
      <c r="E10" s="546" t="s">
        <v>47</v>
      </c>
      <c r="F10" s="546" t="s">
        <v>47</v>
      </c>
      <c r="G10" s="584"/>
      <c r="J10" s="8" t="s">
        <v>1290</v>
      </c>
      <c r="K10" s="81"/>
      <c r="L10" s="27" t="s">
        <v>170</v>
      </c>
      <c r="M10" s="27"/>
      <c r="N10" s="27" t="s">
        <v>29</v>
      </c>
      <c r="O10" s="27" t="s">
        <v>459</v>
      </c>
      <c r="P10" s="27" t="s">
        <v>782</v>
      </c>
      <c r="Q10" s="27" t="s">
        <v>783</v>
      </c>
      <c r="R10" s="27" t="s">
        <v>784</v>
      </c>
      <c r="S10" s="27" t="s">
        <v>14</v>
      </c>
      <c r="T10" s="27" t="s">
        <v>24</v>
      </c>
    </row>
    <row r="11" spans="2:21">
      <c r="B11" s="187" t="s">
        <v>609</v>
      </c>
      <c r="C11" s="188"/>
      <c r="D11" s="188"/>
      <c r="E11" s="185"/>
      <c r="F11" s="185"/>
      <c r="G11" s="783"/>
      <c r="I11" s="577">
        <v>1</v>
      </c>
      <c r="J11" s="784" t="s">
        <v>3</v>
      </c>
      <c r="K11" s="784"/>
      <c r="L11" s="785"/>
      <c r="N11" s="786">
        <v>4.6300000000000001E-2</v>
      </c>
      <c r="O11" s="787">
        <v>7.3999999999999996E-2</v>
      </c>
      <c r="P11" s="787">
        <v>6.7500000000000004E-2</v>
      </c>
      <c r="Q11" s="787">
        <v>0</v>
      </c>
      <c r="R11" s="787">
        <v>7.5999999999999998E-2</v>
      </c>
      <c r="S11" s="787">
        <v>0.05</v>
      </c>
      <c r="T11" s="787">
        <v>0</v>
      </c>
    </row>
    <row r="12" spans="2:21">
      <c r="B12" s="770" t="s">
        <v>568</v>
      </c>
      <c r="C12" s="788">
        <f>$L$20</f>
        <v>0.21</v>
      </c>
      <c r="D12" s="788">
        <f>$L$20</f>
        <v>0.21</v>
      </c>
      <c r="E12" s="788">
        <f>$L$20</f>
        <v>0.21</v>
      </c>
      <c r="F12" s="788">
        <f>HLOOKUP($F$9,taxes,4)</f>
        <v>0.21</v>
      </c>
      <c r="G12" s="789" t="s">
        <v>611</v>
      </c>
      <c r="I12" s="577">
        <v>2</v>
      </c>
      <c r="J12" s="194" t="s">
        <v>844</v>
      </c>
      <c r="K12" s="194"/>
      <c r="L12" s="228"/>
      <c r="N12" s="194"/>
    </row>
    <row r="13" spans="2:21">
      <c r="B13" s="770" t="s">
        <v>569</v>
      </c>
      <c r="C13" s="46">
        <f>$L$18</f>
        <v>4.7530099999999999E-2</v>
      </c>
      <c r="D13" s="46">
        <f>$L$18</f>
        <v>4.7530099999999999E-2</v>
      </c>
      <c r="E13" s="46">
        <f>$L$18</f>
        <v>4.7530099999999999E-2</v>
      </c>
      <c r="F13" s="46">
        <f>HLOOKUP($F$9,taxes,5)</f>
        <v>4.7530099999999999E-2</v>
      </c>
      <c r="G13" s="790" t="s">
        <v>612</v>
      </c>
      <c r="I13" s="577">
        <v>3</v>
      </c>
      <c r="K13" s="791" t="s">
        <v>934</v>
      </c>
      <c r="L13" s="30">
        <v>2446044422.6700001</v>
      </c>
      <c r="N13" s="30">
        <v>21521802</v>
      </c>
      <c r="O13" s="30">
        <v>5824227</v>
      </c>
      <c r="P13" s="30">
        <v>122836.66</v>
      </c>
      <c r="Q13" s="30">
        <v>0</v>
      </c>
      <c r="R13" s="30">
        <v>250626.01</v>
      </c>
      <c r="S13" s="30">
        <v>2282002956</v>
      </c>
      <c r="T13" s="30">
        <v>136321975</v>
      </c>
      <c r="U13" s="30"/>
    </row>
    <row r="14" spans="2:21">
      <c r="B14" s="770" t="s">
        <v>570</v>
      </c>
      <c r="C14" s="46">
        <f>'Capital Str'!$D$7</f>
        <v>0.47933429200017746</v>
      </c>
      <c r="D14" s="46">
        <f>'Capital Str'!$D$7</f>
        <v>0.47933429200017746</v>
      </c>
      <c r="E14" s="46">
        <f>'Capital Str'!$D$7</f>
        <v>0.47933429200017746</v>
      </c>
      <c r="F14" s="46">
        <f>HLOOKUP($F$9,taxes,6)</f>
        <v>0.47933429200017746</v>
      </c>
      <c r="G14" s="792" t="s">
        <v>613</v>
      </c>
      <c r="I14" s="577">
        <v>4</v>
      </c>
      <c r="K14" s="186" t="s">
        <v>785</v>
      </c>
      <c r="L14" s="30">
        <v>921835703</v>
      </c>
      <c r="N14" s="30">
        <v>1535517</v>
      </c>
      <c r="O14" s="30">
        <v>1865258</v>
      </c>
      <c r="P14" s="30">
        <v>6969</v>
      </c>
      <c r="Q14" s="30">
        <v>0</v>
      </c>
      <c r="R14" s="30">
        <v>290188</v>
      </c>
      <c r="S14" s="30">
        <v>868114555</v>
      </c>
      <c r="T14" s="30">
        <v>50023216</v>
      </c>
      <c r="U14" s="30"/>
    </row>
    <row r="15" spans="2:21">
      <c r="B15" s="770" t="s">
        <v>571</v>
      </c>
      <c r="C15" s="46">
        <f>'Capital Str'!$E$7</f>
        <v>5.2455893909448444E-2</v>
      </c>
      <c r="D15" s="46">
        <f>'Capital Str'!$E$7</f>
        <v>5.2455893909448444E-2</v>
      </c>
      <c r="E15" s="46">
        <f>'Capital Str'!$E$7</f>
        <v>5.2455893909448444E-2</v>
      </c>
      <c r="F15" s="46">
        <f>HLOOKUP($F$9,taxes,7)</f>
        <v>5.2455893909448444E-2</v>
      </c>
      <c r="G15" s="792" t="s">
        <v>614</v>
      </c>
      <c r="I15" s="577">
        <v>5</v>
      </c>
      <c r="K15" s="186" t="s">
        <v>68</v>
      </c>
      <c r="L15" s="30">
        <v>75055100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72403596</v>
      </c>
      <c r="T15" s="30">
        <v>2651504</v>
      </c>
      <c r="U15" s="30"/>
    </row>
    <row r="16" spans="2:21">
      <c r="B16" s="770" t="s">
        <v>572</v>
      </c>
      <c r="C16" s="793">
        <f>'Control Panel'!$F$21</f>
        <v>1.0149999999999999</v>
      </c>
      <c r="D16" s="793">
        <f>'Control Panel'!$F$21</f>
        <v>1.0149999999999999</v>
      </c>
      <c r="E16" s="793">
        <f>'Control Panel'!$F$21</f>
        <v>1.0149999999999999</v>
      </c>
      <c r="F16" s="793">
        <f>HLOOKUP($F$9,taxes,8)</f>
        <v>1.0149999999999999</v>
      </c>
      <c r="G16" s="790" t="s">
        <v>615</v>
      </c>
      <c r="I16" s="577">
        <v>6</v>
      </c>
      <c r="K16" s="186" t="s">
        <v>69</v>
      </c>
      <c r="L16" s="794">
        <f>SUM(N16:T16)</f>
        <v>0.99831599999999987</v>
      </c>
      <c r="N16" s="199">
        <v>1.6659999999999999E-3</v>
      </c>
      <c r="O16" s="794">
        <v>1.6069999999999999E-3</v>
      </c>
      <c r="P16" s="794">
        <v>1.9000000000000001E-5</v>
      </c>
      <c r="Q16" s="794">
        <v>0</v>
      </c>
      <c r="R16" s="794">
        <v>1.3899999999999999E-4</v>
      </c>
      <c r="S16" s="794">
        <v>0.94644399999999995</v>
      </c>
      <c r="T16" s="794">
        <v>4.8440999999999998E-2</v>
      </c>
      <c r="U16" s="794"/>
    </row>
    <row r="17" spans="2:21">
      <c r="B17" s="770" t="s">
        <v>795</v>
      </c>
      <c r="C17" s="228">
        <f>'ROR-Model'!I512</f>
        <v>923011028.36971784</v>
      </c>
      <c r="D17" s="228">
        <f>'ROR-Model'!M512</f>
        <v>891663235.87817156</v>
      </c>
      <c r="E17" s="228">
        <f>'ROR-Model'!N512-'ROR-Model'!N325</f>
        <v>31177534.769226298</v>
      </c>
      <c r="F17" s="228">
        <f>HLOOKUP($F$9,taxes,9)</f>
        <v>891663235.87817156</v>
      </c>
      <c r="G17" s="795" t="s">
        <v>616</v>
      </c>
      <c r="I17" s="577"/>
      <c r="J17" s="194"/>
      <c r="K17" s="194"/>
      <c r="L17" s="794"/>
      <c r="N17" s="794"/>
      <c r="O17" s="794"/>
      <c r="P17" s="794"/>
      <c r="Q17" s="794"/>
      <c r="R17" s="794"/>
      <c r="S17" s="794"/>
      <c r="T17" s="794"/>
      <c r="U17" s="794"/>
    </row>
    <row r="18" spans="2:21">
      <c r="B18" s="770" t="s">
        <v>573</v>
      </c>
      <c r="C18" s="186">
        <f>'ROR-Model'!I640</f>
        <v>544616527.66247499</v>
      </c>
      <c r="D18" s="186">
        <f>'ROR-Model'!M640</f>
        <v>526411526.73077357</v>
      </c>
      <c r="E18" s="186">
        <f>'ROR-Model'!N640</f>
        <v>18205000.9317015</v>
      </c>
      <c r="F18" s="186">
        <f>HLOOKUP($F$9,taxes,10)</f>
        <v>526411526.73077357</v>
      </c>
      <c r="G18" s="795" t="s">
        <v>617</v>
      </c>
      <c r="I18" s="577">
        <v>7</v>
      </c>
      <c r="J18" s="791"/>
      <c r="K18" s="186" t="s">
        <v>935</v>
      </c>
      <c r="L18" s="796">
        <f>SUM(N18:T18)</f>
        <v>4.7530099999999999E-2</v>
      </c>
      <c r="N18" s="1214">
        <f>ROUND(N11*N16,7)</f>
        <v>7.7100000000000004E-5</v>
      </c>
      <c r="O18" s="1214">
        <f t="shared" ref="O18:T18" si="0">ROUND(O11*O16,7)</f>
        <v>1.189E-4</v>
      </c>
      <c r="P18" s="1214">
        <f t="shared" si="0"/>
        <v>1.3E-6</v>
      </c>
      <c r="Q18" s="1214">
        <f t="shared" si="0"/>
        <v>0</v>
      </c>
      <c r="R18" s="1214">
        <f t="shared" si="0"/>
        <v>1.06E-5</v>
      </c>
      <c r="S18" s="1214">
        <f t="shared" si="0"/>
        <v>4.7322200000000002E-2</v>
      </c>
      <c r="T18" s="1214">
        <f t="shared" si="0"/>
        <v>0</v>
      </c>
    </row>
    <row r="19" spans="2:21">
      <c r="B19" s="770" t="s">
        <v>499</v>
      </c>
      <c r="C19" s="186">
        <f ca="1">'ROR-Model'!I905</f>
        <v>127660778.24314514</v>
      </c>
      <c r="D19" s="186">
        <f ca="1">'ROR-Model'!Q905</f>
        <v>122030956.45700756</v>
      </c>
      <c r="E19" s="186">
        <f ca="1">'ROR-Model'!N905</f>
        <v>5629821.7861375827</v>
      </c>
      <c r="F19" s="186">
        <f ca="1">HLOOKUP($F$9,taxes,11)</f>
        <v>122030956.45700756</v>
      </c>
      <c r="G19" s="795" t="s">
        <v>618</v>
      </c>
      <c r="I19" s="577"/>
      <c r="T19" s="797"/>
    </row>
    <row r="20" spans="2:21">
      <c r="B20" s="770" t="s">
        <v>574</v>
      </c>
      <c r="C20" s="186">
        <f ca="1">'ROR-Model'!I917</f>
        <v>74334205.204631254</v>
      </c>
      <c r="D20" s="186">
        <f ca="1">'ROR-Model'!Q917</f>
        <v>71779543.358618006</v>
      </c>
      <c r="E20" s="186">
        <f ca="1">'ROR-Model'!W917</f>
        <v>71779543.358618006</v>
      </c>
      <c r="F20" s="186">
        <f ca="1">HLOOKUP($F$9,taxes,12)</f>
        <v>71779543.358618006</v>
      </c>
      <c r="G20" s="795" t="s">
        <v>619</v>
      </c>
      <c r="I20" s="577">
        <v>8</v>
      </c>
      <c r="J20" s="209" t="s">
        <v>243</v>
      </c>
      <c r="L20" s="798">
        <f>'Control Panel'!F20</f>
        <v>0.21</v>
      </c>
    </row>
    <row r="21" spans="2:21" ht="13.5" thickBot="1">
      <c r="B21" s="770" t="s">
        <v>575</v>
      </c>
      <c r="C21" s="186">
        <f>'ROR-Model'!I924</f>
        <v>0</v>
      </c>
      <c r="D21" s="186">
        <f ca="1">'ROR-Model'!Q924</f>
        <v>0</v>
      </c>
      <c r="E21" s="186">
        <f ca="1">'ROR-Model'!W924</f>
        <v>0</v>
      </c>
      <c r="F21" s="186">
        <f ca="1">HLOOKUP($F$9,taxes,13)</f>
        <v>0</v>
      </c>
      <c r="G21" s="795" t="s">
        <v>620</v>
      </c>
      <c r="I21" s="577"/>
      <c r="L21" s="744"/>
      <c r="N21" s="787"/>
      <c r="O21" s="787"/>
      <c r="P21" s="787"/>
      <c r="Q21" s="787"/>
      <c r="R21" s="787"/>
      <c r="S21" s="787"/>
    </row>
    <row r="22" spans="2:21" ht="13.5" thickTop="1">
      <c r="B22" s="770" t="s">
        <v>576</v>
      </c>
      <c r="C22" s="186">
        <f>'ROR-Model'!I934</f>
        <v>24600542.202476621</v>
      </c>
      <c r="D22" s="186">
        <f ca="1">'ROR-Model'!Q934</f>
        <v>23609036.220154293</v>
      </c>
      <c r="E22" s="186">
        <f ca="1">'ROR-Model'!W934</f>
        <v>23609036.220154293</v>
      </c>
      <c r="F22" s="186">
        <f ca="1">HLOOKUP($F$9,taxes,14)</f>
        <v>23609036.220154293</v>
      </c>
      <c r="G22" s="795" t="s">
        <v>621</v>
      </c>
      <c r="I22" s="577"/>
    </row>
    <row r="23" spans="2:21">
      <c r="B23" s="770" t="s">
        <v>577</v>
      </c>
      <c r="C23" s="186">
        <f ca="1">'ROR-Model'!I1231</f>
        <v>1716600167.2010918</v>
      </c>
      <c r="D23" s="186">
        <f ca="1">'ROR-Model'!Q1231</f>
        <v>1666208168.2094095</v>
      </c>
      <c r="E23" s="186">
        <f ca="1">'ROR-Model'!W1231</f>
        <v>1666208168.2094095</v>
      </c>
      <c r="F23" s="186">
        <f ca="1">HLOOKUP($F$9,taxes,15)</f>
        <v>1666208168.2094095</v>
      </c>
      <c r="G23" s="795" t="s">
        <v>622</v>
      </c>
      <c r="I23" s="577">
        <v>9</v>
      </c>
      <c r="J23" s="82" t="s">
        <v>850</v>
      </c>
      <c r="K23" s="82"/>
      <c r="L23" s="173">
        <f>L20*(1-L18)+L18</f>
        <v>0.24754877899999997</v>
      </c>
      <c r="M23" s="83"/>
      <c r="N23" s="799" t="s">
        <v>848</v>
      </c>
      <c r="O23" s="84"/>
    </row>
    <row r="24" spans="2:21">
      <c r="B24" s="770" t="s">
        <v>604</v>
      </c>
      <c r="C24" s="186">
        <v>0</v>
      </c>
      <c r="D24" s="186">
        <f>'ROR-Model'!W958</f>
        <v>0</v>
      </c>
      <c r="E24" s="186">
        <f>'ROR-Model'!X958</f>
        <v>0</v>
      </c>
      <c r="F24" s="186">
        <f>HLOOKUP($F$9,taxes,16)</f>
        <v>0</v>
      </c>
      <c r="G24" s="795" t="s">
        <v>623</v>
      </c>
      <c r="I24" s="577"/>
      <c r="J24" s="8" t="s">
        <v>1289</v>
      </c>
      <c r="L24" s="83"/>
    </row>
    <row r="25" spans="2:21">
      <c r="B25" s="770" t="s">
        <v>578</v>
      </c>
      <c r="C25" s="186">
        <f>'ROR-Model'!I960</f>
        <v>0</v>
      </c>
      <c r="D25" s="186">
        <f>'ROR-Model'!W960</f>
        <v>0</v>
      </c>
      <c r="E25" s="186">
        <f>'ROR-Model'!X960</f>
        <v>0</v>
      </c>
      <c r="F25" s="186">
        <f>HLOOKUP($F$9,taxes,17)</f>
        <v>0</v>
      </c>
      <c r="G25" s="795" t="s">
        <v>624</v>
      </c>
      <c r="I25" s="577"/>
    </row>
    <row r="26" spans="2:21">
      <c r="B26" s="770" t="s">
        <v>579</v>
      </c>
      <c r="C26" s="266" t="s">
        <v>580</v>
      </c>
      <c r="D26" s="800"/>
      <c r="E26" s="800"/>
      <c r="F26" s="800"/>
      <c r="G26" s="801"/>
      <c r="I26" s="577">
        <v>10</v>
      </c>
      <c r="J26" s="8" t="s">
        <v>845</v>
      </c>
      <c r="K26" s="19"/>
      <c r="L26" s="577" t="s">
        <v>565</v>
      </c>
      <c r="M26" s="713"/>
      <c r="N26" s="577" t="s">
        <v>465</v>
      </c>
    </row>
    <row r="27" spans="2:21">
      <c r="B27" s="770" t="s">
        <v>581</v>
      </c>
      <c r="C27" s="266" t="s">
        <v>582</v>
      </c>
      <c r="D27" s="800"/>
      <c r="E27" s="800"/>
      <c r="F27" s="800"/>
      <c r="G27" s="802"/>
      <c r="I27" s="577">
        <v>11</v>
      </c>
      <c r="K27" s="209" t="s">
        <v>846</v>
      </c>
      <c r="L27" s="803">
        <f>(Taxes!$L$23/(1-Taxes!$L$23))</f>
        <v>0.3289898030479772</v>
      </c>
      <c r="N27" s="803">
        <f>(Taxes!$L$20/(1-Taxes!$L$20))</f>
        <v>0.26582278481012656</v>
      </c>
      <c r="O27" s="209" t="s">
        <v>851</v>
      </c>
    </row>
    <row r="28" spans="2:21">
      <c r="B28" s="770" t="s">
        <v>583</v>
      </c>
      <c r="C28" s="194"/>
      <c r="D28" s="800"/>
      <c r="E28" s="800"/>
      <c r="F28" s="800"/>
      <c r="G28" s="804"/>
      <c r="I28" s="577">
        <v>12</v>
      </c>
      <c r="K28" s="15" t="s">
        <v>539</v>
      </c>
      <c r="L28" s="803">
        <f>1/(1-Taxes!$L$23)</f>
        <v>1.3289898030479772</v>
      </c>
      <c r="N28" s="803">
        <f>1/(1-Taxes!$L$20)</f>
        <v>1.2658227848101264</v>
      </c>
      <c r="O28" s="209" t="s">
        <v>852</v>
      </c>
    </row>
    <row r="29" spans="2:21">
      <c r="B29" s="770" t="s">
        <v>584</v>
      </c>
      <c r="C29" s="186">
        <f ca="1">($C16/365)*(C18+C19+C22)</f>
        <v>1937893.1940540222</v>
      </c>
      <c r="D29" s="186">
        <f ca="1">($D16/365)*(D18+D19+D22)</f>
        <v>1868855.5950659022</v>
      </c>
      <c r="E29" s="186">
        <f ca="1">($D16/365)*(E18+E19+E22)</f>
        <v>131932.92280017334</v>
      </c>
      <c r="F29" s="186">
        <f ca="1">HLOOKUP($F$9,taxes,21)</f>
        <v>1868855.5950659022</v>
      </c>
      <c r="G29" s="298"/>
      <c r="I29" s="577">
        <v>13</v>
      </c>
      <c r="K29" s="209" t="s">
        <v>849</v>
      </c>
      <c r="L29" s="803">
        <f>1/(1-(Taxes!$L$23+('Control Panel'!$F$22*(1-Taxes!$L$23))))</f>
        <v>1.3317049929440763</v>
      </c>
      <c r="N29" s="803">
        <f>1/(1-(Taxes!$L$20+('Control Panel'!$F$22*(1-Taxes!$L$20))))</f>
        <v>1.2684089214589451</v>
      </c>
      <c r="O29" s="209" t="s">
        <v>12</v>
      </c>
    </row>
    <row r="30" spans="2:21">
      <c r="B30" s="770" t="s">
        <v>585</v>
      </c>
      <c r="C30" s="186">
        <f ca="1">($C13+$C12*(1-$C13))*(C17-SUM(C18:C22)-$C15*$C14*C23)</f>
        <v>26892941.123799793</v>
      </c>
      <c r="D30" s="186">
        <f ca="1">($C13+$C12*(1-$C13))*(D17-SUM(D18:D22)-$C15*$C14*D23)</f>
        <v>26224621.277970985</v>
      </c>
      <c r="E30" s="186">
        <f ca="1">($C13+$C12*(1-$C13))*(E17-SUM(E18:E22)-$C15*$C14*E23)</f>
        <v>-32166699.675126638</v>
      </c>
      <c r="F30" s="186">
        <f ca="1">HLOOKUP($F$9,taxes,22)</f>
        <v>26224621.277970985</v>
      </c>
      <c r="G30" s="298"/>
      <c r="I30" s="577">
        <v>14</v>
      </c>
      <c r="K30" s="15" t="s">
        <v>591</v>
      </c>
      <c r="L30" s="803">
        <f>L29-1</f>
        <v>0.33170499294407629</v>
      </c>
      <c r="N30" s="803">
        <f>N29-1</f>
        <v>0.26840892145894513</v>
      </c>
    </row>
    <row r="31" spans="2:21">
      <c r="B31" s="805" t="s">
        <v>586</v>
      </c>
      <c r="C31" s="186"/>
      <c r="D31" s="186"/>
      <c r="E31" s="186"/>
      <c r="F31" s="186"/>
      <c r="G31" s="298"/>
      <c r="Q31" s="194"/>
      <c r="R31" s="194"/>
    </row>
    <row r="32" spans="2:21">
      <c r="B32" s="806" t="s">
        <v>587</v>
      </c>
      <c r="C32" s="186">
        <f ca="1">(C29+($C16/365)*C30)/(1+($C16/365)*($C13+$C12*(1-$C13))*$C15*$C14)</f>
        <v>2012642.8377491969</v>
      </c>
      <c r="D32" s="186">
        <f ca="1">(D29+($C16/365)*D30)/(1+($C16/365)*($C13+$C12*(1-$C13))*$C15*$C14)</f>
        <v>1941747.9873899075</v>
      </c>
      <c r="E32" s="186">
        <f ca="1">(E29+($C16/365)*E30)/(1+($C16/365)*($C13+$C12*(1-$C13))*$C15*$C14)</f>
        <v>42482.324002317582</v>
      </c>
      <c r="F32" s="186">
        <f ca="1">HLOOKUP($F$9,taxes,24)</f>
        <v>1941747.9873899075</v>
      </c>
      <c r="G32" s="298"/>
    </row>
    <row r="33" spans="2:7">
      <c r="B33" s="770" t="s">
        <v>588</v>
      </c>
      <c r="C33" s="186">
        <f ca="1">$C13*(C17-SUM(C18:C22)-$C15*$C14*(C23+C32))</f>
        <v>5161119.187855673</v>
      </c>
      <c r="D33" s="186">
        <f ca="1">$C13*(D17-SUM(D18:D22)-$C15*$C14*(D23+D32))</f>
        <v>5032884.5205774829</v>
      </c>
      <c r="E33" s="186">
        <f ca="1">$C13*(E17-SUM(E18:E22)-$C15*$C14*(E23+E32))</f>
        <v>-6176152.5406520972</v>
      </c>
      <c r="F33" s="186">
        <f ca="1">HLOOKUP($F$9,taxes,25)</f>
        <v>5032884.5205774829</v>
      </c>
      <c r="G33" s="298"/>
    </row>
    <row r="34" spans="2:7">
      <c r="B34" s="770" t="s">
        <v>589</v>
      </c>
      <c r="C34" s="186">
        <f ca="1">$C12*(C17-SUM(C18:C22)-$C15*$C14*(C23+C32)-C33)-C24-C25</f>
        <v>21719294.554744139</v>
      </c>
      <c r="D34" s="186">
        <f ca="1">$C12*(D17-SUM(D18:D22)-$C15*$C14*(D23+D32)-D33)-D24-D25</f>
        <v>21179650.65012395</v>
      </c>
      <c r="E34" s="186">
        <f ca="1">$C12*(E17-SUM(E18:E22)-$C15*$C14*(E23+E32)-E33)-E24-E25</f>
        <v>-25990811.559069436</v>
      </c>
      <c r="F34" s="186">
        <f ca="1">HLOOKUP($F$9,taxes,26)</f>
        <v>21179650.65012395</v>
      </c>
      <c r="G34" s="298"/>
    </row>
    <row r="35" spans="2:7">
      <c r="B35" s="770" t="s">
        <v>590</v>
      </c>
      <c r="C35" s="228">
        <f ca="1">C34+C33+C25+C24</f>
        <v>26880413.742599811</v>
      </c>
      <c r="D35" s="228">
        <f ca="1">D34+D33+D25+D24</f>
        <v>26212535.170701433</v>
      </c>
      <c r="E35" s="228">
        <f ca="1">E34+E33+E25+E24</f>
        <v>-32166964.099721532</v>
      </c>
      <c r="F35" s="228">
        <f ca="1">HLOOKUP($F$9,taxes,27)</f>
        <v>26212535.170701433</v>
      </c>
      <c r="G35" s="807"/>
    </row>
    <row r="36" spans="2:7" ht="13.5" thickBot="1">
      <c r="B36" s="694"/>
      <c r="C36" s="744"/>
      <c r="D36" s="194"/>
      <c r="E36" s="194"/>
      <c r="F36" s="194"/>
      <c r="G36" s="807"/>
    </row>
    <row r="37" spans="2:7" ht="13.5" thickTop="1">
      <c r="B37" s="694"/>
      <c r="C37" s="194"/>
      <c r="D37" s="194"/>
      <c r="E37" s="194"/>
      <c r="F37" s="194"/>
      <c r="G37" s="807"/>
    </row>
    <row r="38" spans="2:7">
      <c r="B38" s="694" t="s">
        <v>683</v>
      </c>
      <c r="C38" s="186">
        <f ca="1">SUM('ROR-Model'!F936:G945)</f>
        <v>46126011.311059743</v>
      </c>
      <c r="D38" s="194"/>
      <c r="E38" s="194"/>
      <c r="F38" s="194"/>
      <c r="G38" s="807"/>
    </row>
    <row r="39" spans="2:7" ht="13.5" thickBot="1">
      <c r="B39" s="698" t="s">
        <v>684</v>
      </c>
      <c r="C39" s="808">
        <f ca="1">C35-C38</f>
        <v>-19245597.568459932</v>
      </c>
      <c r="D39" s="661"/>
      <c r="E39" s="661"/>
      <c r="F39" s="661"/>
      <c r="G39" s="809"/>
    </row>
    <row r="40" spans="2:7">
      <c r="B40" s="187" t="s">
        <v>610</v>
      </c>
      <c r="C40" s="188"/>
      <c r="D40" s="188"/>
      <c r="E40" s="191"/>
      <c r="F40" s="191"/>
      <c r="G40" s="810"/>
    </row>
    <row r="41" spans="2:7">
      <c r="B41" s="694" t="s">
        <v>672</v>
      </c>
      <c r="C41" s="186">
        <f ca="1">'ROR-Model'!I1263</f>
        <v>1718612810.038841</v>
      </c>
      <c r="D41" s="186">
        <f ca="1">'ROR-Model'!Q1263</f>
        <v>1668149916.1967993</v>
      </c>
      <c r="E41" s="298">
        <f ca="1">'ROR-Model'!T1263</f>
        <v>50282591.299120896</v>
      </c>
      <c r="F41" s="298">
        <f ca="1">HLOOKUP($F$9,taxes,33)</f>
        <v>1668149916.1967993</v>
      </c>
      <c r="G41" s="810"/>
    </row>
    <row r="42" spans="2:7">
      <c r="B42" s="694" t="s">
        <v>673</v>
      </c>
      <c r="C42" s="46">
        <f ca="1">Report!I76</f>
        <v>7.2685691963140175E-2</v>
      </c>
      <c r="D42" s="317">
        <f ca="1">D43/D41</f>
        <v>7.2906899290080665E-2</v>
      </c>
      <c r="E42" s="811">
        <f ca="1">E43/E41</f>
        <v>0.71569444987632336</v>
      </c>
      <c r="F42" s="811">
        <f ca="1">HLOOKUP($F$9,taxes,34)</f>
        <v>7.2906899290080665E-2</v>
      </c>
      <c r="G42" s="30"/>
    </row>
    <row r="43" spans="2:7">
      <c r="B43" s="694" t="s">
        <v>674</v>
      </c>
      <c r="C43" s="203">
        <f ca="1">+C41*C42</f>
        <v>124918561.31438994</v>
      </c>
      <c r="D43" s="203">
        <f ca="1">'ROR-Model'!W512-'ROR-Model'!W956</f>
        <v>121619637.94091654</v>
      </c>
      <c r="E43" s="203">
        <f ca="1">'ROR-Model'!T512-'ROR-Model'!T956</f>
        <v>35986971.518180333</v>
      </c>
      <c r="F43" s="812">
        <f ca="1">HLOOKUP($F$9,taxes,35)</f>
        <v>121619637.94091654</v>
      </c>
      <c r="G43" s="30"/>
    </row>
    <row r="44" spans="2:7">
      <c r="B44" s="694"/>
      <c r="C44" s="194"/>
      <c r="D44" s="194"/>
      <c r="E44" s="668"/>
      <c r="F44" s="668"/>
      <c r="G44" s="810"/>
    </row>
    <row r="45" spans="2:7">
      <c r="B45" s="694" t="s">
        <v>672</v>
      </c>
      <c r="C45" s="186">
        <f ca="1">C41</f>
        <v>1718612810.038841</v>
      </c>
      <c r="D45" s="186">
        <f ca="1">D41</f>
        <v>1668149916.1967993</v>
      </c>
      <c r="E45" s="298">
        <f ca="1">E41</f>
        <v>50282591.299120896</v>
      </c>
      <c r="F45" s="298">
        <f ca="1">HLOOKUP($F$9,taxes,37)</f>
        <v>1668149916.1967993</v>
      </c>
      <c r="G45" s="30"/>
    </row>
    <row r="46" spans="2:7">
      <c r="B46" s="694" t="s">
        <v>675</v>
      </c>
      <c r="C46" s="46">
        <f>+'Capital Str'!$F$12</f>
        <v>2.5143908768321892E-2</v>
      </c>
      <c r="D46" s="46">
        <f>+'Capital Str'!$F$12</f>
        <v>2.5143908768321892E-2</v>
      </c>
      <c r="E46" s="801">
        <f>+'Capital Str'!$F$12</f>
        <v>2.5143908768321892E-2</v>
      </c>
      <c r="F46" s="801">
        <f>HLOOKUP($F$9,taxes,38)</f>
        <v>2.5143908768321892E-2</v>
      </c>
      <c r="G46" s="30"/>
    </row>
    <row r="47" spans="2:7">
      <c r="B47" s="694" t="s">
        <v>676</v>
      </c>
      <c r="C47" s="203">
        <f ca="1">+C45*C46</f>
        <v>43212643.703685939</v>
      </c>
      <c r="D47" s="203">
        <f ca="1">+D45*D46</f>
        <v>41943809.30473613</v>
      </c>
      <c r="E47" s="813">
        <f ca="1">+E45*E46</f>
        <v>1264300.8882599119</v>
      </c>
      <c r="F47" s="813">
        <f ca="1">HLOOKUP($F$9,taxes,39)</f>
        <v>41943809.30473613</v>
      </c>
      <c r="G47" s="30"/>
    </row>
    <row r="48" spans="2:7">
      <c r="B48" s="694"/>
      <c r="C48" s="194"/>
      <c r="D48" s="194"/>
      <c r="E48" s="668"/>
      <c r="F48" s="668"/>
      <c r="G48" s="228"/>
    </row>
    <row r="49" spans="2:6">
      <c r="B49" s="694" t="s">
        <v>677</v>
      </c>
      <c r="C49" s="186">
        <f ca="1">+C43-C47</f>
        <v>81705917.610704005</v>
      </c>
      <c r="D49" s="186">
        <f ca="1">+D43-D47</f>
        <v>79675828.636180401</v>
      </c>
      <c r="E49" s="298">
        <f ca="1">+E43-E47</f>
        <v>34722670.629920423</v>
      </c>
      <c r="F49" s="298">
        <f ca="1">HLOOKUP($F$9,taxes,41)</f>
        <v>79675828.636180401</v>
      </c>
    </row>
    <row r="50" spans="2:6">
      <c r="B50" s="694" t="s">
        <v>678</v>
      </c>
      <c r="C50" s="800">
        <f>$L$27</f>
        <v>0.3289898030479772</v>
      </c>
      <c r="D50" s="800">
        <f>$L$27</f>
        <v>0.3289898030479772</v>
      </c>
      <c r="E50" s="800">
        <f>$L$27</f>
        <v>0.3289898030479772</v>
      </c>
      <c r="F50" s="814">
        <f>HLOOKUP($F$9,taxes,42)</f>
        <v>0.3289898030479772</v>
      </c>
    </row>
    <row r="51" spans="2:6" ht="13.5" thickBot="1">
      <c r="B51" s="698" t="s">
        <v>682</v>
      </c>
      <c r="C51" s="808">
        <f ca="1">+C49*C50</f>
        <v>26880413.742599763</v>
      </c>
      <c r="D51" s="808">
        <f ca="1">+D49*D50</f>
        <v>26212535.170701373</v>
      </c>
      <c r="E51" s="815">
        <f ca="1">+E49*E50</f>
        <v>11423404.571837302</v>
      </c>
      <c r="F51" s="815">
        <f ca="1">HLOOKUP($F$9,taxes,43)</f>
        <v>26212535.170701373</v>
      </c>
    </row>
    <row r="52" spans="2:6" ht="13.5" thickBot="1">
      <c r="B52" s="189" t="s">
        <v>625</v>
      </c>
      <c r="C52" s="190"/>
      <c r="D52" s="190"/>
      <c r="E52" s="192"/>
      <c r="F52" s="192"/>
    </row>
    <row r="53" spans="2:6">
      <c r="B53" s="767" t="s">
        <v>497</v>
      </c>
      <c r="C53" s="816">
        <f t="shared" ref="C53:C58" si="1">C17</f>
        <v>923011028.36971784</v>
      </c>
      <c r="D53" s="816">
        <f t="shared" ref="D53:E58" si="2">D17</f>
        <v>891663235.87817156</v>
      </c>
      <c r="E53" s="817">
        <f t="shared" si="2"/>
        <v>31177534.769226298</v>
      </c>
      <c r="F53" s="817">
        <f>HLOOKUP($F$9,taxes,45)</f>
        <v>891663235.87817156</v>
      </c>
    </row>
    <row r="54" spans="2:6">
      <c r="B54" s="770" t="s">
        <v>482</v>
      </c>
      <c r="C54" s="186">
        <f t="shared" si="1"/>
        <v>544616527.66247499</v>
      </c>
      <c r="D54" s="186">
        <f t="shared" si="2"/>
        <v>526411526.73077357</v>
      </c>
      <c r="E54" s="298">
        <f t="shared" si="2"/>
        <v>18205000.9317015</v>
      </c>
      <c r="F54" s="298">
        <f>HLOOKUP($F$9,taxes,46)</f>
        <v>526411526.73077357</v>
      </c>
    </row>
    <row r="55" spans="2:6">
      <c r="B55" s="770" t="s">
        <v>499</v>
      </c>
      <c r="C55" s="186">
        <f t="shared" ca="1" si="1"/>
        <v>127660778.24314514</v>
      </c>
      <c r="D55" s="186">
        <f ca="1">D19</f>
        <v>122030956.45700756</v>
      </c>
      <c r="E55" s="298">
        <f t="shared" ca="1" si="2"/>
        <v>5629821.7861375827</v>
      </c>
      <c r="F55" s="298">
        <f ca="1">HLOOKUP($F$9,taxes,47)</f>
        <v>122030956.45700756</v>
      </c>
    </row>
    <row r="56" spans="2:6">
      <c r="B56" s="770" t="s">
        <v>626</v>
      </c>
      <c r="C56" s="186">
        <f t="shared" ca="1" si="1"/>
        <v>74334205.204631254</v>
      </c>
      <c r="D56" s="186">
        <f t="shared" ca="1" si="2"/>
        <v>71779543.358618006</v>
      </c>
      <c r="E56" s="298">
        <f t="shared" ca="1" si="2"/>
        <v>71779543.358618006</v>
      </c>
      <c r="F56" s="298">
        <f ca="1">HLOOKUP($F$9,taxes,48)</f>
        <v>71779543.358618006</v>
      </c>
    </row>
    <row r="57" spans="2:6">
      <c r="B57" s="770" t="s">
        <v>575</v>
      </c>
      <c r="C57" s="186">
        <f t="shared" si="1"/>
        <v>0</v>
      </c>
      <c r="D57" s="186">
        <f t="shared" ca="1" si="2"/>
        <v>0</v>
      </c>
      <c r="E57" s="298">
        <f t="shared" ca="1" si="2"/>
        <v>0</v>
      </c>
      <c r="F57" s="298">
        <f ca="1">HLOOKUP($F$9,taxes,49)</f>
        <v>0</v>
      </c>
    </row>
    <row r="58" spans="2:6">
      <c r="B58" s="251" t="s">
        <v>627</v>
      </c>
      <c r="C58" s="186">
        <f t="shared" si="1"/>
        <v>24600542.202476621</v>
      </c>
      <c r="D58" s="186">
        <f t="shared" ca="1" si="2"/>
        <v>23609036.220154293</v>
      </c>
      <c r="E58" s="298">
        <f t="shared" ca="1" si="2"/>
        <v>23609036.220154293</v>
      </c>
      <c r="F58" s="298">
        <f ca="1">HLOOKUP($F$9,taxes,50)</f>
        <v>23609036.220154293</v>
      </c>
    </row>
    <row r="59" spans="2:6">
      <c r="B59" s="770" t="s">
        <v>628</v>
      </c>
      <c r="C59" s="228">
        <f ca="1">C53-SUM(C54:C58)</f>
        <v>151798975.05698991</v>
      </c>
      <c r="D59" s="228">
        <f ca="1">D53-SUM(D54:D58)</f>
        <v>147832173.11161816</v>
      </c>
      <c r="E59" s="804">
        <f ca="1">E53-SUM(E54:E58)</f>
        <v>-88045867.527385071</v>
      </c>
      <c r="F59" s="804">
        <f ca="1">HLOOKUP($F$9,taxes,51)</f>
        <v>147832173.11161816</v>
      </c>
    </row>
    <row r="60" spans="2:6">
      <c r="B60" s="770"/>
      <c r="C60" s="194"/>
      <c r="D60" s="228"/>
      <c r="E60" s="668"/>
      <c r="F60" s="668"/>
    </row>
    <row r="61" spans="2:6">
      <c r="B61" s="770" t="s">
        <v>744</v>
      </c>
      <c r="C61" s="186">
        <f ca="1">'ROR-Model'!I1263</f>
        <v>1718612810.038841</v>
      </c>
      <c r="D61" s="186">
        <f ca="1">'ROR-Model'!M1263</f>
        <v>1668149916.1967993</v>
      </c>
      <c r="E61" s="298">
        <f ca="1">'ROR-Model'!T1263</f>
        <v>50282591.299120896</v>
      </c>
      <c r="F61" s="298">
        <f ca="1">HLOOKUP($F$9,taxes,53)</f>
        <v>1668149916.1967993</v>
      </c>
    </row>
    <row r="62" spans="2:6">
      <c r="B62" s="251" t="s">
        <v>629</v>
      </c>
      <c r="C62" s="46">
        <f>C46</f>
        <v>2.5143908768321892E-2</v>
      </c>
      <c r="D62" s="46">
        <f>D46</f>
        <v>2.5143908768321892E-2</v>
      </c>
      <c r="E62" s="801">
        <f>E46</f>
        <v>2.5143908768321892E-2</v>
      </c>
      <c r="F62" s="801">
        <f>HLOOKUP($F$9,taxes,54)</f>
        <v>2.5143908768321892E-2</v>
      </c>
    </row>
    <row r="63" spans="2:6">
      <c r="B63" s="252" t="s">
        <v>630</v>
      </c>
      <c r="C63" s="228">
        <f ca="1">C61*C62</f>
        <v>43212643.703685939</v>
      </c>
      <c r="D63" s="228">
        <f ca="1">D61*D62</f>
        <v>41943809.30473613</v>
      </c>
      <c r="E63" s="804">
        <f ca="1">E61*E62</f>
        <v>1264300.8882599119</v>
      </c>
      <c r="F63" s="804">
        <f ca="1">HLOOKUP($F$9,taxes,55)</f>
        <v>41943809.30473613</v>
      </c>
    </row>
    <row r="64" spans="2:6">
      <c r="B64" s="251"/>
      <c r="C64" s="194"/>
      <c r="D64" s="194"/>
      <c r="E64" s="668"/>
      <c r="F64" s="668"/>
    </row>
    <row r="65" spans="2:6">
      <c r="B65" s="252" t="s">
        <v>631</v>
      </c>
      <c r="C65" s="228">
        <f ca="1">C59-C63</f>
        <v>108586331.35330397</v>
      </c>
      <c r="D65" s="228">
        <f ca="1">D59-D63</f>
        <v>105888363.80688202</v>
      </c>
      <c r="E65" s="804">
        <f ca="1">E59-E63</f>
        <v>-89310168.415644988</v>
      </c>
      <c r="F65" s="804">
        <f ca="1">HLOOKUP($F$9,taxes,57)</f>
        <v>105888363.80688202</v>
      </c>
    </row>
    <row r="66" spans="2:6">
      <c r="B66" s="251" t="s">
        <v>569</v>
      </c>
      <c r="C66" s="245">
        <f>$L$18</f>
        <v>4.7530099999999999E-2</v>
      </c>
      <c r="D66" s="245">
        <f>$L$18</f>
        <v>4.7530099999999999E-2</v>
      </c>
      <c r="E66" s="818">
        <f>$L$18</f>
        <v>4.7530099999999999E-2</v>
      </c>
      <c r="F66" s="818">
        <f>HLOOKUP($F$9,taxes,58)</f>
        <v>4.7530099999999999E-2</v>
      </c>
    </row>
    <row r="67" spans="2:6">
      <c r="B67" s="770" t="s">
        <v>632</v>
      </c>
      <c r="C67" s="228">
        <f ca="1">C65*C66</f>
        <v>5161119.187855673</v>
      </c>
      <c r="D67" s="228">
        <f ca="1">D65*D66</f>
        <v>5032884.5205774829</v>
      </c>
      <c r="E67" s="804">
        <f ca="1">E65*E66</f>
        <v>-4244921.235812448</v>
      </c>
      <c r="F67" s="804">
        <f ca="1">HLOOKUP($F$9,taxes,59)</f>
        <v>5032884.5205774829</v>
      </c>
    </row>
    <row r="68" spans="2:6">
      <c r="B68" s="694"/>
      <c r="C68" s="194"/>
      <c r="D68" s="194"/>
      <c r="E68" s="668"/>
      <c r="F68" s="668"/>
    </row>
    <row r="69" spans="2:6">
      <c r="B69" s="252" t="s">
        <v>633</v>
      </c>
      <c r="C69" s="228">
        <f ca="1">C65-C67-(C24+C25)/C12</f>
        <v>103425212.16544829</v>
      </c>
      <c r="D69" s="228">
        <f ca="1">D65-D67-(D24+D25)/D12</f>
        <v>100855479.28630453</v>
      </c>
      <c r="E69" s="804">
        <f ca="1">E65-E67-(E24+E25)/E12</f>
        <v>-85065247.179832548</v>
      </c>
      <c r="F69" s="804">
        <f ca="1">HLOOKUP($F$9,taxes,61)</f>
        <v>100855479.28630453</v>
      </c>
    </row>
    <row r="70" spans="2:6">
      <c r="B70" s="251" t="s">
        <v>568</v>
      </c>
      <c r="C70" s="245">
        <f>$L$20</f>
        <v>0.21</v>
      </c>
      <c r="D70" s="245">
        <f>$L$20</f>
        <v>0.21</v>
      </c>
      <c r="E70" s="818">
        <f>$L$20</f>
        <v>0.21</v>
      </c>
      <c r="F70" s="818">
        <f>HLOOKUP($F$9,taxes,62)</f>
        <v>0.21</v>
      </c>
    </row>
    <row r="71" spans="2:6">
      <c r="B71" s="770" t="s">
        <v>634</v>
      </c>
      <c r="C71" s="228">
        <f ca="1">C69*C70</f>
        <v>21719294.554744139</v>
      </c>
      <c r="D71" s="228">
        <f ca="1">D69*D70</f>
        <v>21179650.65012395</v>
      </c>
      <c r="E71" s="804">
        <f ca="1">E69*E70</f>
        <v>-17863701.907764833</v>
      </c>
      <c r="F71" s="804">
        <f ca="1">HLOOKUP($F$9,taxes,63)</f>
        <v>21179650.65012395</v>
      </c>
    </row>
    <row r="72" spans="2:6">
      <c r="B72" s="694"/>
      <c r="C72" s="194"/>
      <c r="D72" s="194"/>
      <c r="E72" s="668"/>
      <c r="F72" s="668"/>
    </row>
    <row r="73" spans="2:6">
      <c r="B73" s="770" t="s">
        <v>604</v>
      </c>
      <c r="C73" s="186">
        <f t="shared" ref="C73:E74" si="3">C24</f>
        <v>0</v>
      </c>
      <c r="D73" s="186">
        <f t="shared" si="3"/>
        <v>0</v>
      </c>
      <c r="E73" s="298">
        <f t="shared" si="3"/>
        <v>0</v>
      </c>
      <c r="F73" s="298">
        <f>HLOOKUP($F$9,taxes,65)</f>
        <v>0</v>
      </c>
    </row>
    <row r="74" spans="2:6">
      <c r="B74" s="251" t="s">
        <v>578</v>
      </c>
      <c r="C74" s="186">
        <f t="shared" si="3"/>
        <v>0</v>
      </c>
      <c r="D74" s="186">
        <f t="shared" si="3"/>
        <v>0</v>
      </c>
      <c r="E74" s="298">
        <f t="shared" si="3"/>
        <v>0</v>
      </c>
      <c r="F74" s="298">
        <f>HLOOKUP($F$9,taxes,66)</f>
        <v>0</v>
      </c>
    </row>
    <row r="75" spans="2:6" ht="13.5" thickBot="1">
      <c r="B75" s="772" t="s">
        <v>635</v>
      </c>
      <c r="C75" s="202">
        <f ca="1">C74+C73+C71+C67</f>
        <v>26880413.742599811</v>
      </c>
      <c r="D75" s="202">
        <f ca="1">D74+D73+D71+D67</f>
        <v>26212535.170701433</v>
      </c>
      <c r="E75" s="819">
        <f ca="1">E74+E73+E71+E67</f>
        <v>-22108623.143577281</v>
      </c>
      <c r="F75" s="819">
        <f ca="1">HLOOKUP($F$9,taxes,67)</f>
        <v>26212535.170701433</v>
      </c>
    </row>
  </sheetData>
  <mergeCells count="4">
    <mergeCell ref="J8:K8"/>
    <mergeCell ref="C7:D7"/>
    <mergeCell ref="C4:D4"/>
    <mergeCell ref="J9:K9"/>
  </mergeCells>
  <phoneticPr fontId="0" type="noConversion"/>
  <printOptions horizontalCentered="1"/>
  <pageMargins left="0.75" right="0.75" top="1" bottom="1" header="0.5" footer="0.5"/>
  <pageSetup scale="66" firstPageNumber="3" orientation="portrait" useFirstPageNumber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050" r:id="rId4" name="Button 8754">
              <controlPr defaultSize="0" print="0" autoFill="0" autoPict="0" macro="[0]!Macro5">
                <anchor moveWithCells="1" sizeWithCells="1">
                  <from>
                    <xdr:col>0</xdr:col>
                    <xdr:colOff>47625</xdr:colOff>
                    <xdr:row>1</xdr:row>
                    <xdr:rowOff>85725</xdr:rowOff>
                  </from>
                  <to>
                    <xdr:col>0</xdr:col>
                    <xdr:colOff>219075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36"/>
  <sheetViews>
    <sheetView workbookViewId="0">
      <selection activeCell="H25" sqref="H25"/>
    </sheetView>
  </sheetViews>
  <sheetFormatPr defaultRowHeight="12.75"/>
  <cols>
    <col min="1" max="1" width="4.140625" style="15" customWidth="1"/>
    <col min="2" max="2" width="11" style="15" customWidth="1"/>
    <col min="3" max="3" width="13.7109375" style="15" customWidth="1"/>
    <col min="4" max="4" width="12.7109375" style="15" customWidth="1"/>
    <col min="5" max="5" width="7.28515625" style="15" customWidth="1"/>
    <col min="6" max="7" width="12.7109375" style="15" customWidth="1"/>
    <col min="8" max="8" width="14.28515625" style="15" customWidth="1"/>
    <col min="9" max="9" width="12.7109375" style="15" customWidth="1"/>
    <col min="10" max="16384" width="9.140625" style="15"/>
  </cols>
  <sheetData>
    <row r="1" spans="1:6">
      <c r="A1" s="578" t="s">
        <v>74</v>
      </c>
      <c r="F1" s="16"/>
    </row>
    <row r="2" spans="1:6">
      <c r="A2" s="578" t="str">
        <f>'Control Panel'!$B$1</f>
        <v>Dominion Energy</v>
      </c>
      <c r="F2" s="39"/>
    </row>
    <row r="3" spans="1:6">
      <c r="A3" s="578" t="str">
        <f>'Control Panel'!$B$2</f>
        <v>Utah - DEC 2019 Adjusted Avg  Results</v>
      </c>
      <c r="C3" s="234"/>
    </row>
    <row r="4" spans="1:6">
      <c r="A4" s="578" t="str">
        <f>'Control Panel'!$B$3</f>
        <v>12 Months Ended : Dec-2019</v>
      </c>
    </row>
    <row r="5" spans="1:6">
      <c r="A5" s="8"/>
    </row>
    <row r="7" spans="1:6">
      <c r="B7" s="1568" t="s">
        <v>833</v>
      </c>
      <c r="C7" s="1568"/>
      <c r="D7" s="1568"/>
    </row>
    <row r="9" spans="1:6">
      <c r="B9" s="574" t="s">
        <v>796</v>
      </c>
      <c r="D9" s="574" t="s">
        <v>797</v>
      </c>
    </row>
    <row r="10" spans="1:6">
      <c r="B10" s="574"/>
      <c r="D10" s="574" t="s">
        <v>454</v>
      </c>
    </row>
    <row r="11" spans="1:6" ht="13.5" thickBot="1">
      <c r="B11" s="583" t="s">
        <v>452</v>
      </c>
      <c r="C11" s="583"/>
      <c r="D11" s="583" t="s">
        <v>453</v>
      </c>
    </row>
    <row r="12" spans="1:6">
      <c r="A12" s="577">
        <v>1</v>
      </c>
      <c r="B12" s="820">
        <f>'Rate Base'!S9</f>
        <v>42720</v>
      </c>
      <c r="D12" s="332">
        <f>'Rate Base'!S203</f>
        <v>49333980.549999997</v>
      </c>
    </row>
    <row r="13" spans="1:6">
      <c r="A13" s="577">
        <v>2</v>
      </c>
      <c r="B13" s="820">
        <f>'Rate Base'!T9</f>
        <v>42756</v>
      </c>
      <c r="D13" s="332">
        <f>'Rate Base'!T203</f>
        <v>33078465.640000001</v>
      </c>
    </row>
    <row r="14" spans="1:6">
      <c r="A14" s="577">
        <v>3</v>
      </c>
      <c r="B14" s="820">
        <f>'Rate Base'!U9</f>
        <v>42786</v>
      </c>
      <c r="D14" s="332">
        <f>'Rate Base'!U203</f>
        <v>21745044.18</v>
      </c>
    </row>
    <row r="15" spans="1:6">
      <c r="A15" s="577">
        <v>4</v>
      </c>
      <c r="B15" s="820">
        <f>'Rate Base'!V9</f>
        <v>42815</v>
      </c>
      <c r="D15" s="332">
        <f>'Rate Base'!V203</f>
        <v>8937825.6400000006</v>
      </c>
    </row>
    <row r="16" spans="1:6">
      <c r="A16" s="577">
        <v>5</v>
      </c>
      <c r="B16" s="820">
        <f>'Rate Base'!W9</f>
        <v>42845</v>
      </c>
      <c r="D16" s="332">
        <f>'Rate Base'!W203</f>
        <v>5265628.42</v>
      </c>
    </row>
    <row r="17" spans="1:11">
      <c r="A17" s="577">
        <v>6</v>
      </c>
      <c r="B17" s="820">
        <f>'Rate Base'!X9</f>
        <v>42875</v>
      </c>
      <c r="D17" s="332">
        <f>'Rate Base'!X203</f>
        <v>9895288.8399999999</v>
      </c>
    </row>
    <row r="18" spans="1:11">
      <c r="A18" s="577">
        <v>7</v>
      </c>
      <c r="B18" s="820">
        <f>'Rate Base'!Y9</f>
        <v>42905</v>
      </c>
      <c r="D18" s="332">
        <f>'Rate Base'!Y203</f>
        <v>21769885.129999999</v>
      </c>
    </row>
    <row r="19" spans="1:11">
      <c r="A19" s="577">
        <v>8</v>
      </c>
      <c r="B19" s="820">
        <f>'Rate Base'!Z9</f>
        <v>42935</v>
      </c>
      <c r="D19" s="332">
        <f>'Rate Base'!Z203</f>
        <v>34448175.630000003</v>
      </c>
    </row>
    <row r="20" spans="1:11">
      <c r="A20" s="577">
        <v>9</v>
      </c>
      <c r="B20" s="820">
        <f>'Rate Base'!AA9</f>
        <v>42965</v>
      </c>
      <c r="D20" s="332">
        <f>'Rate Base'!AA203</f>
        <v>48018857.409999996</v>
      </c>
    </row>
    <row r="21" spans="1:11">
      <c r="A21" s="577">
        <v>10</v>
      </c>
      <c r="B21" s="820">
        <f>'Rate Base'!AB9</f>
        <v>42995</v>
      </c>
      <c r="D21" s="332">
        <f>'Rate Base'!AB203</f>
        <v>58860691.740000002</v>
      </c>
      <c r="G21" s="332"/>
      <c r="H21" s="332"/>
    </row>
    <row r="22" spans="1:11">
      <c r="A22" s="577">
        <v>11</v>
      </c>
      <c r="B22" s="820">
        <f>'Rate Base'!AC9</f>
        <v>43025</v>
      </c>
      <c r="D22" s="332">
        <f>'Rate Base'!AC203</f>
        <v>59031895.799999997</v>
      </c>
    </row>
    <row r="23" spans="1:11">
      <c r="A23" s="577">
        <v>12</v>
      </c>
      <c r="B23" s="820">
        <f>'Rate Base'!AD9</f>
        <v>43055</v>
      </c>
      <c r="D23" s="332">
        <f>'Rate Base'!AD203</f>
        <v>59289969.149999999</v>
      </c>
    </row>
    <row r="24" spans="1:11">
      <c r="A24" s="577">
        <v>13</v>
      </c>
      <c r="B24" s="820">
        <f>'Rate Base'!AE9</f>
        <v>43085</v>
      </c>
      <c r="D24" s="332">
        <f>'Rate Base'!AE204</f>
        <v>52891066.75</v>
      </c>
    </row>
    <row r="25" spans="1:11">
      <c r="A25" s="577"/>
    </row>
    <row r="26" spans="1:11">
      <c r="A26" s="577">
        <v>15</v>
      </c>
      <c r="B26" s="15" t="s">
        <v>42</v>
      </c>
      <c r="D26" s="821">
        <f>-D24</f>
        <v>-52891066.75</v>
      </c>
    </row>
    <row r="28" spans="1:11">
      <c r="D28" s="821"/>
    </row>
    <row r="29" spans="1:11">
      <c r="D29" s="30"/>
      <c r="G29" s="332"/>
      <c r="H29" s="30"/>
      <c r="I29" s="95"/>
      <c r="K29" s="30"/>
    </row>
    <row r="36" spans="6:6">
      <c r="F36" s="332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R181"/>
  <sheetViews>
    <sheetView tabSelected="1" workbookViewId="0">
      <selection activeCell="J10" sqref="J10"/>
    </sheetView>
  </sheetViews>
  <sheetFormatPr defaultRowHeight="12.75"/>
  <cols>
    <col min="1" max="1" width="6.5703125" style="15" customWidth="1"/>
    <col min="2" max="2" width="3.7109375" style="15" customWidth="1"/>
    <col min="3" max="3" width="6.7109375" style="15" customWidth="1"/>
    <col min="4" max="4" width="39.140625" style="15" customWidth="1"/>
    <col min="5" max="5" width="15.140625" style="15" hidden="1" customWidth="1"/>
    <col min="6" max="6" width="15.140625" style="15" bestFit="1" customWidth="1"/>
    <col min="7" max="8" width="13.7109375" style="15" customWidth="1"/>
    <col min="9" max="9" width="15.140625" style="15" bestFit="1" customWidth="1"/>
    <col min="10" max="10" width="14.42578125" style="15" bestFit="1" customWidth="1"/>
    <col min="11" max="11" width="20.7109375" style="15" hidden="1" customWidth="1"/>
    <col min="12" max="12" width="15.7109375" style="15" hidden="1" customWidth="1"/>
    <col min="13" max="13" width="14" style="15" customWidth="1"/>
    <col min="14" max="14" width="15.140625" style="15" customWidth="1"/>
    <col min="15" max="15" width="13.42578125" style="15" customWidth="1"/>
    <col min="16" max="16" width="20.7109375" style="15" bestFit="1" customWidth="1"/>
    <col min="17" max="17" width="20.42578125" style="15" customWidth="1"/>
    <col min="18" max="23" width="13.7109375" style="15" customWidth="1"/>
    <col min="24" max="24" width="9.140625" style="15"/>
    <col min="25" max="25" width="13.42578125" style="15" bestFit="1" customWidth="1"/>
    <col min="26" max="26" width="14" style="15" bestFit="1" customWidth="1"/>
    <col min="27" max="27" width="12.7109375" style="15" bestFit="1" customWidth="1"/>
    <col min="28" max="28" width="13.42578125" style="15" bestFit="1" customWidth="1"/>
    <col min="29" max="29" width="14.42578125" style="15" bestFit="1" customWidth="1"/>
    <col min="30" max="30" width="12" style="15" bestFit="1" customWidth="1"/>
    <col min="31" max="31" width="13.42578125" style="15" bestFit="1" customWidth="1"/>
    <col min="32" max="16384" width="9.140625" style="15"/>
  </cols>
  <sheetData>
    <row r="1" spans="1:18">
      <c r="A1" s="578" t="str">
        <f>'Control Panel'!$B$1</f>
        <v>Dominion Energy</v>
      </c>
      <c r="I1" s="311"/>
      <c r="J1" s="19"/>
      <c r="K1" s="19"/>
    </row>
    <row r="2" spans="1:18">
      <c r="A2" s="578" t="str">
        <f>'Control Panel'!$B$2</f>
        <v>Utah - DEC 2019 Adjusted Avg  Results</v>
      </c>
      <c r="D2" s="194"/>
      <c r="E2" s="114"/>
      <c r="F2" s="114"/>
      <c r="G2" s="114"/>
      <c r="H2" s="114"/>
      <c r="I2" s="5"/>
      <c r="J2" s="7"/>
      <c r="K2" s="19"/>
      <c r="L2" s="114"/>
    </row>
    <row r="3" spans="1:18" s="578" customFormat="1" ht="15.75">
      <c r="A3" s="578" t="str">
        <f>'Control Panel'!$B$3</f>
        <v>12 Months Ended : Dec-2019</v>
      </c>
      <c r="F3" s="578" t="str">
        <f>+'Control Panel'!$B$3</f>
        <v>12 Months Ended : Dec-2019</v>
      </c>
      <c r="O3" s="717"/>
    </row>
    <row r="4" spans="1:18" ht="15.75">
      <c r="A4" s="37" t="str">
        <f>+'Control Panel'!B19</f>
        <v>Return On Equity</v>
      </c>
      <c r="B4" s="37"/>
      <c r="C4" s="37"/>
      <c r="D4" s="490">
        <f>+'Control Panel'!F19</f>
        <v>9.8500000000000004E-2</v>
      </c>
      <c r="E4" s="455"/>
      <c r="F4" s="582"/>
      <c r="G4" s="582"/>
      <c r="H4" s="113"/>
      <c r="I4" s="585"/>
      <c r="J4" s="585"/>
      <c r="K4" s="585"/>
      <c r="L4" s="585"/>
      <c r="N4" s="585"/>
      <c r="O4" s="717"/>
    </row>
    <row r="5" spans="1:18" ht="15.75">
      <c r="B5" s="1548" t="s">
        <v>422</v>
      </c>
      <c r="C5" s="1548"/>
      <c r="D5" s="1548"/>
      <c r="E5" s="581"/>
      <c r="F5" s="581" t="s">
        <v>45</v>
      </c>
      <c r="G5" s="581" t="s">
        <v>46</v>
      </c>
      <c r="H5" s="581" t="s">
        <v>688</v>
      </c>
      <c r="I5" s="581" t="s">
        <v>689</v>
      </c>
      <c r="J5" s="581" t="s">
        <v>794</v>
      </c>
      <c r="K5" s="581" t="s">
        <v>767</v>
      </c>
      <c r="L5" s="4" t="s">
        <v>878</v>
      </c>
      <c r="M5" s="194"/>
      <c r="N5" s="581"/>
      <c r="O5" s="717"/>
    </row>
    <row r="6" spans="1:18">
      <c r="A6" s="578"/>
      <c r="B6" s="5"/>
      <c r="C6" s="5"/>
      <c r="D6" s="5"/>
      <c r="E6" s="582"/>
      <c r="F6" s="582" t="str">
        <f>+'ROR-Model'!F7</f>
        <v>Historical</v>
      </c>
      <c r="G6" s="582"/>
      <c r="H6" s="585" t="str">
        <f>+'ROR-Model'!H7</f>
        <v>Imputed</v>
      </c>
      <c r="I6" s="585" t="str">
        <f>+'ROR-Model'!I7</f>
        <v>Adjusted</v>
      </c>
      <c r="J6" s="582" t="str">
        <f>+'ROR-Model'!W9</f>
        <v>Utah</v>
      </c>
      <c r="K6" s="582"/>
      <c r="L6" s="582" t="str">
        <f>+J6</f>
        <v>Utah</v>
      </c>
      <c r="M6" s="585"/>
      <c r="N6" s="585"/>
    </row>
    <row r="7" spans="1:18" ht="24">
      <c r="A7" s="578"/>
      <c r="B7" s="5"/>
      <c r="C7" s="5"/>
      <c r="D7" s="5"/>
      <c r="E7" s="275" t="s">
        <v>888</v>
      </c>
      <c r="F7" s="582" t="str">
        <f>+'ROR-Model'!F8</f>
        <v>12 Months</v>
      </c>
      <c r="G7" s="582" t="s">
        <v>39</v>
      </c>
      <c r="H7" s="585" t="str">
        <f>+'ROR-Model'!H8</f>
        <v>Tax</v>
      </c>
      <c r="I7" s="585" t="str">
        <f>+'ROR-Model'!I8</f>
        <v>System</v>
      </c>
      <c r="J7" s="582" t="s">
        <v>47</v>
      </c>
      <c r="K7" s="582"/>
      <c r="L7" s="582" t="s">
        <v>47</v>
      </c>
      <c r="M7" s="275" t="s">
        <v>888</v>
      </c>
      <c r="N7" s="585"/>
    </row>
    <row r="8" spans="1:18" ht="13.5" thickBot="1">
      <c r="A8" s="237"/>
      <c r="B8" s="1547" t="s">
        <v>842</v>
      </c>
      <c r="C8" s="1547"/>
      <c r="D8" s="1547"/>
      <c r="E8" s="109"/>
      <c r="F8" s="109">
        <v>43100</v>
      </c>
      <c r="G8" s="6" t="s">
        <v>170</v>
      </c>
      <c r="H8" s="6" t="str">
        <f>+'ROR-Model'!H9</f>
        <v>Adjustment</v>
      </c>
      <c r="I8" s="6" t="str">
        <f>+'ROR-Model'!I9</f>
        <v>Total</v>
      </c>
      <c r="J8" s="561" t="s">
        <v>49</v>
      </c>
      <c r="K8" s="561" t="s">
        <v>48</v>
      </c>
      <c r="L8" s="561" t="s">
        <v>170</v>
      </c>
      <c r="M8" s="6"/>
      <c r="N8" s="6"/>
    </row>
    <row r="9" spans="1:18">
      <c r="A9" s="237"/>
      <c r="B9" s="582"/>
      <c r="C9" s="582"/>
      <c r="D9" s="582"/>
      <c r="E9" s="12"/>
      <c r="F9" s="12"/>
      <c r="G9" s="12"/>
      <c r="H9" s="12"/>
      <c r="I9" s="12"/>
      <c r="J9" s="582"/>
      <c r="K9" s="582"/>
      <c r="L9" s="582"/>
      <c r="M9" s="582"/>
      <c r="N9" s="12"/>
    </row>
    <row r="10" spans="1:18">
      <c r="A10" s="237">
        <v>1</v>
      </c>
      <c r="B10" s="580" t="s">
        <v>487</v>
      </c>
      <c r="C10" s="581"/>
      <c r="D10" s="581"/>
      <c r="E10" s="26"/>
      <c r="F10" s="26"/>
      <c r="G10" s="30"/>
      <c r="I10" s="26"/>
      <c r="J10" s="26"/>
      <c r="L10" s="114"/>
      <c r="M10" s="581"/>
      <c r="N10" s="26"/>
    </row>
    <row r="11" spans="1:18">
      <c r="A11" s="237"/>
      <c r="B11" s="585"/>
      <c r="C11" s="585"/>
      <c r="D11" s="581"/>
      <c r="E11" s="585"/>
      <c r="F11" s="585"/>
      <c r="G11" s="585"/>
      <c r="H11" s="585"/>
      <c r="I11" s="585"/>
      <c r="J11" s="114"/>
      <c r="K11" s="114"/>
      <c r="L11" s="114"/>
      <c r="M11" s="581"/>
      <c r="N11" s="585"/>
      <c r="O11" s="30"/>
    </row>
    <row r="12" spans="1:18">
      <c r="A12" s="237">
        <f>+A10+1</f>
        <v>2</v>
      </c>
      <c r="B12" s="5" t="s">
        <v>184</v>
      </c>
      <c r="C12" s="114"/>
      <c r="D12" s="114"/>
      <c r="E12" s="114"/>
      <c r="F12" s="114"/>
      <c r="G12" s="114"/>
      <c r="H12" s="114"/>
      <c r="I12" s="114"/>
      <c r="J12" s="114"/>
      <c r="K12" s="116"/>
      <c r="L12" s="114"/>
      <c r="M12" s="114"/>
      <c r="N12" s="114"/>
    </row>
    <row r="13" spans="1:18">
      <c r="A13" s="237">
        <f t="shared" ref="A13:A18" si="0">+A12+1</f>
        <v>3</v>
      </c>
      <c r="B13" s="5"/>
      <c r="C13" s="114"/>
      <c r="D13" s="114" t="s">
        <v>488</v>
      </c>
      <c r="E13" s="233">
        <f t="shared" ref="E13:E18" si="1">+F13+G13+H13-I13</f>
        <v>0</v>
      </c>
      <c r="F13" s="233">
        <f>+'ROR-Model'!F363+'ROR-Model'!F365</f>
        <v>379555640.95652229</v>
      </c>
      <c r="G13" s="233">
        <f>+'ROR-Model'!G363+'ROR-Model'!G365</f>
        <v>-5965680.626804444</v>
      </c>
      <c r="H13" s="234">
        <f>+'ROR-Model'!H363+'ROR-Model'!H365</f>
        <v>0</v>
      </c>
      <c r="I13" s="234">
        <f>+'ROR-Model'!I363+'ROR-Model'!I365</f>
        <v>373589960.32971781</v>
      </c>
      <c r="J13" s="114">
        <f>'ROR-Model'!W368</f>
        <v>360554699.7273978</v>
      </c>
      <c r="K13" s="60">
        <f ca="1">+K44*Taxes!L29</f>
        <v>7825357.4149520146</v>
      </c>
      <c r="L13" s="114">
        <f ca="1">SUM(J13:K13)</f>
        <v>368380057.14234984</v>
      </c>
      <c r="M13" s="114">
        <f>+N13-I13</f>
        <v>0</v>
      </c>
      <c r="N13" s="234">
        <f>SUM(F13:H13)</f>
        <v>373589960.32971781</v>
      </c>
      <c r="O13" s="30"/>
      <c r="P13" s="30"/>
      <c r="R13" s="30"/>
    </row>
    <row r="14" spans="1:18">
      <c r="A14" s="237">
        <f t="shared" si="0"/>
        <v>4</v>
      </c>
      <c r="B14" s="114"/>
      <c r="C14" s="114"/>
      <c r="D14" s="114" t="s">
        <v>489</v>
      </c>
      <c r="E14" s="234">
        <f t="shared" si="1"/>
        <v>0</v>
      </c>
      <c r="F14" s="234">
        <f>+'ROR-Model'!F364</f>
        <v>104646790.0980107</v>
      </c>
      <c r="G14" s="234">
        <f>+'ROR-Model'!G364</f>
        <v>17380587.811989293</v>
      </c>
      <c r="H14" s="234">
        <f>+'ROR-Model'!H364</f>
        <v>0</v>
      </c>
      <c r="I14" s="234">
        <f>+'ROR-Model'!I364</f>
        <v>122027377.91</v>
      </c>
      <c r="J14" s="114"/>
      <c r="K14" s="116"/>
      <c r="L14" s="114">
        <f>SUM(J14:K14)</f>
        <v>0</v>
      </c>
      <c r="M14" s="114">
        <f t="shared" ref="M14:M45" si="2">+N14-I14</f>
        <v>0</v>
      </c>
      <c r="N14" s="234">
        <f t="shared" ref="N14:N44" si="3">SUM(F14:H14)</f>
        <v>122027377.91</v>
      </c>
      <c r="O14" s="30"/>
    </row>
    <row r="15" spans="1:18">
      <c r="A15" s="237">
        <f t="shared" si="0"/>
        <v>5</v>
      </c>
      <c r="B15" s="5"/>
      <c r="C15" s="114"/>
      <c r="D15" s="114" t="s">
        <v>490</v>
      </c>
      <c r="E15" s="234">
        <f t="shared" si="1"/>
        <v>0</v>
      </c>
      <c r="F15" s="234">
        <f>+'ROR-Model'!F366</f>
        <v>431437243.065467</v>
      </c>
      <c r="G15" s="234">
        <f>+'ROR-Model'!G366</f>
        <v>-28713744.715467051</v>
      </c>
      <c r="H15" s="234">
        <f>+'ROR-Model'!H366</f>
        <v>0</v>
      </c>
      <c r="I15" s="234">
        <f>+'ROR-Model'!I366</f>
        <v>402723498.3499999</v>
      </c>
      <c r="J15" s="114"/>
      <c r="K15" s="114"/>
      <c r="L15" s="114">
        <f>SUM(J15:K15)</f>
        <v>0</v>
      </c>
      <c r="M15" s="114">
        <f t="shared" si="2"/>
        <v>0</v>
      </c>
      <c r="N15" s="234">
        <f t="shared" si="3"/>
        <v>402723498.34999996</v>
      </c>
      <c r="O15" s="30"/>
      <c r="P15" s="30"/>
    </row>
    <row r="16" spans="1:18">
      <c r="A16" s="237">
        <f t="shared" si="0"/>
        <v>6</v>
      </c>
      <c r="B16" s="5"/>
      <c r="C16" s="114"/>
      <c r="D16" s="114" t="s">
        <v>491</v>
      </c>
      <c r="E16" s="233">
        <f t="shared" si="1"/>
        <v>0</v>
      </c>
      <c r="F16" s="233">
        <f>'ROR-Model'!F501+'ROR-Model'!F505</f>
        <v>19865651.402475201</v>
      </c>
      <c r="G16" s="233">
        <f>'ROR-Model'!G501+'ROR-Model'!G505</f>
        <v>0</v>
      </c>
      <c r="H16" s="233">
        <f>'ROR-Model'!H501+'ROR-Model'!H505</f>
        <v>0</v>
      </c>
      <c r="I16" s="233">
        <f>'ROR-Model'!I501+'ROR-Model'!I505</f>
        <v>19865651.402475201</v>
      </c>
      <c r="J16" s="114"/>
      <c r="K16" s="114"/>
      <c r="L16" s="114">
        <f>SUM(J16:K16)</f>
        <v>0</v>
      </c>
      <c r="M16" s="114">
        <f t="shared" si="2"/>
        <v>0</v>
      </c>
      <c r="N16" s="233">
        <f t="shared" si="3"/>
        <v>19865651.402475201</v>
      </c>
      <c r="O16" s="30"/>
    </row>
    <row r="17" spans="1:15" ht="13.5" thickBot="1">
      <c r="A17" s="237">
        <f t="shared" si="0"/>
        <v>7</v>
      </c>
      <c r="B17" s="5"/>
      <c r="C17" s="114"/>
      <c r="D17" s="114" t="s">
        <v>492</v>
      </c>
      <c r="E17" s="233">
        <f t="shared" si="1"/>
        <v>0</v>
      </c>
      <c r="F17" s="233">
        <f>'ROR-Model'!F502+'ROR-Model'!F506</f>
        <v>4804540.3775247997</v>
      </c>
      <c r="G17" s="233">
        <f>'ROR-Model'!G502+'ROR-Model'!G506</f>
        <v>0</v>
      </c>
      <c r="H17" s="233">
        <f>'ROR-Model'!H502+'ROR-Model'!H506</f>
        <v>0</v>
      </c>
      <c r="I17" s="233">
        <f>'ROR-Model'!I502+'ROR-Model'!I506</f>
        <v>4804540.3775247997</v>
      </c>
      <c r="J17" s="114">
        <f>'ROR-Model'!W509</f>
        <v>4697009.42</v>
      </c>
      <c r="K17" s="114"/>
      <c r="L17" s="114">
        <f>SUM(J17:K17)</f>
        <v>4697009.42</v>
      </c>
      <c r="M17" s="114">
        <f t="shared" si="2"/>
        <v>0</v>
      </c>
      <c r="N17" s="233">
        <f t="shared" si="3"/>
        <v>4804540.3775247997</v>
      </c>
      <c r="O17" s="30"/>
    </row>
    <row r="18" spans="1:15">
      <c r="A18" s="237">
        <f t="shared" si="0"/>
        <v>8</v>
      </c>
      <c r="B18" s="5"/>
      <c r="C18" s="5" t="s">
        <v>497</v>
      </c>
      <c r="D18" s="114"/>
      <c r="E18" s="137">
        <f t="shared" si="1"/>
        <v>0</v>
      </c>
      <c r="F18" s="137">
        <f t="shared" ref="F18:L18" si="4">SUM(F13:F17)</f>
        <v>940309865.9000001</v>
      </c>
      <c r="G18" s="137">
        <f t="shared" si="4"/>
        <v>-17298837.530282203</v>
      </c>
      <c r="H18" s="137">
        <f t="shared" si="4"/>
        <v>0</v>
      </c>
      <c r="I18" s="137">
        <f>SUM(I13:I17)</f>
        <v>923011028.36971784</v>
      </c>
      <c r="J18" s="137">
        <f t="shared" si="4"/>
        <v>365251709.14739782</v>
      </c>
      <c r="K18" s="137">
        <f t="shared" ca="1" si="4"/>
        <v>7825357.4149520146</v>
      </c>
      <c r="L18" s="137">
        <f t="shared" ca="1" si="4"/>
        <v>373077066.56234986</v>
      </c>
      <c r="M18" s="114">
        <f t="shared" si="2"/>
        <v>0</v>
      </c>
      <c r="N18" s="137">
        <f t="shared" si="3"/>
        <v>923011028.36971784</v>
      </c>
      <c r="O18" s="30"/>
    </row>
    <row r="19" spans="1:15">
      <c r="A19" s="237"/>
      <c r="B19" s="5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>
        <f t="shared" si="2"/>
        <v>0</v>
      </c>
      <c r="N19" s="114">
        <f t="shared" si="3"/>
        <v>0</v>
      </c>
      <c r="O19" s="30"/>
    </row>
    <row r="20" spans="1:15">
      <c r="A20" s="237">
        <f>+A18+1</f>
        <v>9</v>
      </c>
      <c r="B20" s="5" t="s">
        <v>185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>
        <f t="shared" si="2"/>
        <v>0</v>
      </c>
      <c r="N20" s="114">
        <f t="shared" si="3"/>
        <v>0</v>
      </c>
      <c r="O20" s="30"/>
    </row>
    <row r="21" spans="1:15">
      <c r="A21" s="237">
        <f>+A20+1</f>
        <v>10</v>
      </c>
      <c r="B21" s="5"/>
      <c r="C21" s="114" t="s">
        <v>482</v>
      </c>
      <c r="D21" s="114"/>
      <c r="E21" s="114"/>
      <c r="F21" s="114"/>
      <c r="G21" s="114"/>
      <c r="H21" s="114"/>
      <c r="I21" s="114"/>
      <c r="J21" s="114"/>
      <c r="K21" s="114"/>
      <c r="L21" s="114"/>
      <c r="M21" s="114">
        <f t="shared" si="2"/>
        <v>0</v>
      </c>
      <c r="N21" s="114">
        <f t="shared" si="3"/>
        <v>0</v>
      </c>
      <c r="O21" s="30"/>
    </row>
    <row r="22" spans="1:15">
      <c r="A22" s="237">
        <f>+A21+1</f>
        <v>11</v>
      </c>
      <c r="B22" s="5"/>
      <c r="C22" s="114"/>
      <c r="D22" s="114" t="s">
        <v>14</v>
      </c>
      <c r="E22" s="114">
        <f>+F22+G22+H22-I22</f>
        <v>0</v>
      </c>
      <c r="F22" s="114">
        <f>'ROR-Model'!F633+'ROR-Model'!F636</f>
        <v>536464433.88394201</v>
      </c>
      <c r="G22" s="114">
        <f>'ROR-Model'!G633+'ROR-Model'!G636</f>
        <v>-10052907.153168358</v>
      </c>
      <c r="H22" s="114">
        <f>'ROR-Model'!H633+'ROR-Model'!H636</f>
        <v>0</v>
      </c>
      <c r="I22" s="114">
        <f>'ROR-Model'!I633+'ROR-Model'!I636</f>
        <v>526411526.73077357</v>
      </c>
      <c r="J22" s="114"/>
      <c r="K22" s="114"/>
      <c r="L22" s="114">
        <f>SUM(J22:K22)</f>
        <v>0</v>
      </c>
      <c r="M22" s="114">
        <f t="shared" si="2"/>
        <v>0</v>
      </c>
      <c r="N22" s="114">
        <f t="shared" si="3"/>
        <v>526411526.73077363</v>
      </c>
      <c r="O22" s="30"/>
    </row>
    <row r="23" spans="1:15" ht="13.5" thickBot="1">
      <c r="A23" s="237">
        <f>+A22+1</f>
        <v>12</v>
      </c>
      <c r="B23" s="5"/>
      <c r="C23" s="114"/>
      <c r="D23" s="114" t="s">
        <v>24</v>
      </c>
      <c r="E23" s="114">
        <f>+F23+G23+H23-I23</f>
        <v>0</v>
      </c>
      <c r="F23" s="114">
        <f>'ROR-Model'!F635+'ROR-Model'!F637</f>
        <v>19485250.6820109</v>
      </c>
      <c r="G23" s="114">
        <f>'ROR-Model'!G635+'ROR-Model'!G637</f>
        <v>-1280249.7503094005</v>
      </c>
      <c r="H23" s="114">
        <f>'ROR-Model'!H635+'ROR-Model'!H637</f>
        <v>0</v>
      </c>
      <c r="I23" s="114">
        <f>'ROR-Model'!I635+'ROR-Model'!I637</f>
        <v>18205000.9317015</v>
      </c>
      <c r="J23" s="114"/>
      <c r="K23" s="114"/>
      <c r="L23" s="114">
        <f>SUM(J23:K23)</f>
        <v>0</v>
      </c>
      <c r="M23" s="114">
        <f t="shared" si="2"/>
        <v>0</v>
      </c>
      <c r="N23" s="114">
        <f t="shared" si="3"/>
        <v>18205000.9317015</v>
      </c>
      <c r="O23" s="30"/>
    </row>
    <row r="24" spans="1:15">
      <c r="A24" s="237">
        <f>+A23+1</f>
        <v>13</v>
      </c>
      <c r="B24" s="5"/>
      <c r="C24" s="114"/>
      <c r="D24" s="114" t="s">
        <v>170</v>
      </c>
      <c r="E24" s="137">
        <f>+F24+G24+H24-I24</f>
        <v>0</v>
      </c>
      <c r="F24" s="137">
        <f t="shared" ref="F24:L24" si="5">SUM(F22:F23)</f>
        <v>555949684.5659529</v>
      </c>
      <c r="G24" s="137">
        <f t="shared" si="5"/>
        <v>-11333156.903477758</v>
      </c>
      <c r="H24" s="137">
        <f t="shared" si="5"/>
        <v>0</v>
      </c>
      <c r="I24" s="137">
        <f t="shared" si="5"/>
        <v>544616527.66247511</v>
      </c>
      <c r="J24" s="137">
        <f t="shared" si="5"/>
        <v>0</v>
      </c>
      <c r="K24" s="137">
        <f t="shared" si="5"/>
        <v>0</v>
      </c>
      <c r="L24" s="137">
        <f t="shared" si="5"/>
        <v>0</v>
      </c>
      <c r="M24" s="114">
        <f t="shared" si="2"/>
        <v>0</v>
      </c>
      <c r="N24" s="137">
        <f t="shared" si="3"/>
        <v>544616527.66247511</v>
      </c>
      <c r="O24" s="30"/>
    </row>
    <row r="25" spans="1:15">
      <c r="A25" s="237"/>
      <c r="B25" s="5"/>
      <c r="C25" s="114"/>
      <c r="D25" s="114"/>
      <c r="E25" s="116">
        <f>+F25+G25+H25-I25</f>
        <v>0</v>
      </c>
      <c r="F25" s="116"/>
      <c r="G25" s="116"/>
      <c r="H25" s="116"/>
      <c r="I25" s="116"/>
      <c r="J25" s="116"/>
      <c r="K25" s="116"/>
      <c r="L25" s="116"/>
      <c r="M25" s="114">
        <f t="shared" si="2"/>
        <v>0</v>
      </c>
      <c r="N25" s="116">
        <f>SUM(F25:H25)</f>
        <v>0</v>
      </c>
      <c r="O25" s="30"/>
    </row>
    <row r="26" spans="1:15">
      <c r="A26" s="237">
        <f>A24+1</f>
        <v>14</v>
      </c>
      <c r="B26" s="5"/>
      <c r="C26" s="114" t="s">
        <v>499</v>
      </c>
      <c r="D26" s="114"/>
      <c r="E26" s="114"/>
      <c r="F26" s="114"/>
      <c r="G26" s="114"/>
      <c r="H26" s="114"/>
      <c r="I26" s="114"/>
      <c r="J26" s="114"/>
      <c r="K26" s="114"/>
      <c r="L26" s="114"/>
      <c r="M26" s="114">
        <f t="shared" si="2"/>
        <v>0</v>
      </c>
      <c r="N26" s="114">
        <f t="shared" si="3"/>
        <v>0</v>
      </c>
      <c r="O26" s="30"/>
    </row>
    <row r="27" spans="1:15">
      <c r="A27" s="237">
        <f t="shared" ref="A27:A32" si="6">+A26+1</f>
        <v>15</v>
      </c>
      <c r="B27" s="5"/>
      <c r="C27" s="114"/>
      <c r="D27" s="114" t="s">
        <v>443</v>
      </c>
      <c r="E27" s="114">
        <f t="shared" ref="E27:E32" si="7">+F27+G27+H27-I27</f>
        <v>0</v>
      </c>
      <c r="F27" s="114">
        <f>'ROR-Model'!F650</f>
        <v>-907324.92999999993</v>
      </c>
      <c r="G27" s="114">
        <f>'ROR-Model'!G650</f>
        <v>-37579.583950740096</v>
      </c>
      <c r="H27" s="114">
        <f>'ROR-Model'!H650</f>
        <v>0</v>
      </c>
      <c r="I27" s="114">
        <f>'ROR-Model'!I650</f>
        <v>-944904.51395073999</v>
      </c>
      <c r="J27" s="114">
        <f>'ROR-Model'!W650</f>
        <v>-911643.47530230263</v>
      </c>
      <c r="K27" s="114"/>
      <c r="L27" s="114">
        <f>SUM(J27:K27)</f>
        <v>-911643.47530230263</v>
      </c>
      <c r="M27" s="114">
        <f t="shared" si="2"/>
        <v>0</v>
      </c>
      <c r="N27" s="114">
        <f t="shared" si="3"/>
        <v>-944904.51395073999</v>
      </c>
      <c r="O27" s="30"/>
    </row>
    <row r="28" spans="1:15">
      <c r="A28" s="237">
        <f t="shared" si="6"/>
        <v>16</v>
      </c>
      <c r="B28" s="5"/>
      <c r="C28" s="114"/>
      <c r="D28" s="114" t="s">
        <v>500</v>
      </c>
      <c r="E28" s="114">
        <f t="shared" si="7"/>
        <v>0</v>
      </c>
      <c r="F28" s="114">
        <f>'ROR-Model'!F753</f>
        <v>54949884.13000001</v>
      </c>
      <c r="G28" s="114">
        <f>'ROR-Model'!G753</f>
        <v>-177800.01848267906</v>
      </c>
      <c r="H28" s="114">
        <f>'ROR-Model'!H753</f>
        <v>0</v>
      </c>
      <c r="I28" s="114">
        <f>'ROR-Model'!I753</f>
        <v>54772084.111517325</v>
      </c>
      <c r="J28" s="114">
        <f>'ROR-Model'!W753</f>
        <v>52126362.85000243</v>
      </c>
      <c r="K28" s="114"/>
      <c r="L28" s="114">
        <f>SUM(J28:K28)</f>
        <v>52126362.85000243</v>
      </c>
      <c r="M28" s="114">
        <f t="shared" si="2"/>
        <v>0</v>
      </c>
      <c r="N28" s="114">
        <f t="shared" si="3"/>
        <v>54772084.111517332</v>
      </c>
      <c r="O28" s="30"/>
    </row>
    <row r="29" spans="1:15">
      <c r="A29" s="237">
        <f t="shared" si="6"/>
        <v>17</v>
      </c>
      <c r="B29" s="5"/>
      <c r="C29" s="114"/>
      <c r="D29" s="114" t="s">
        <v>501</v>
      </c>
      <c r="E29" s="114">
        <f t="shared" si="7"/>
        <v>0</v>
      </c>
      <c r="F29" s="114">
        <f>'ROR-Model'!F806</f>
        <v>19085579.969999999</v>
      </c>
      <c r="G29" s="114">
        <f>'ROR-Model'!G806</f>
        <v>-1341958.9293875168</v>
      </c>
      <c r="H29" s="114">
        <f>'ROR-Model'!H806</f>
        <v>0</v>
      </c>
      <c r="I29" s="114">
        <f>'ROR-Model'!I806</f>
        <v>17743621.040612482</v>
      </c>
      <c r="J29" s="114">
        <f>'ROR-Model'!W806</f>
        <v>17050337.971140258</v>
      </c>
      <c r="K29" s="114">
        <f ca="1">+K13*'Control Panel'!F22</f>
        <v>15954.983648043979</v>
      </c>
      <c r="L29" s="114">
        <f ca="1">SUM(J29:K29)</f>
        <v>17066292.954788301</v>
      </c>
      <c r="M29" s="114">
        <f t="shared" si="2"/>
        <v>0</v>
      </c>
      <c r="N29" s="114">
        <f t="shared" si="3"/>
        <v>17743621.040612482</v>
      </c>
      <c r="O29" s="30"/>
    </row>
    <row r="30" spans="1:15">
      <c r="A30" s="237">
        <f t="shared" si="6"/>
        <v>18</v>
      </c>
      <c r="B30" s="5"/>
      <c r="C30" s="114"/>
      <c r="D30" s="114" t="s">
        <v>502</v>
      </c>
      <c r="E30" s="114">
        <f t="shared" ca="1" si="7"/>
        <v>0</v>
      </c>
      <c r="F30" s="114">
        <f>'ROR-Model'!F834</f>
        <v>24653125.220000003</v>
      </c>
      <c r="G30" s="114">
        <f ca="1">'ROR-Model'!G834</f>
        <v>-21089874.017488644</v>
      </c>
      <c r="H30" s="114">
        <f>'ROR-Model'!H834</f>
        <v>0</v>
      </c>
      <c r="I30" s="114">
        <f ca="1">'ROR-Model'!I834</f>
        <v>3563251.2025113604</v>
      </c>
      <c r="J30" s="114">
        <f ca="1">'ROR-Model'!W834</f>
        <v>3456125.4092282779</v>
      </c>
      <c r="K30" s="114"/>
      <c r="L30" s="114">
        <f ca="1">SUM(J30:K30)</f>
        <v>3456125.4092282779</v>
      </c>
      <c r="M30" s="114">
        <f t="shared" ca="1" si="2"/>
        <v>0</v>
      </c>
      <c r="N30" s="114">
        <f t="shared" ca="1" si="3"/>
        <v>3563251.202511359</v>
      </c>
      <c r="O30" s="30"/>
    </row>
    <row r="31" spans="1:15" ht="13.5" thickBot="1">
      <c r="A31" s="237">
        <f t="shared" si="6"/>
        <v>19</v>
      </c>
      <c r="B31" s="5"/>
      <c r="C31" s="114"/>
      <c r="D31" s="114" t="s">
        <v>503</v>
      </c>
      <c r="E31" s="114">
        <f t="shared" ca="1" si="7"/>
        <v>0</v>
      </c>
      <c r="F31" s="114">
        <f>'ROR-Model'!F902</f>
        <v>39652833.079999998</v>
      </c>
      <c r="G31" s="114">
        <f ca="1">'ROR-Model'!G902</f>
        <v>12873893.32245471</v>
      </c>
      <c r="H31" s="114">
        <f>'ROR-Model'!H902</f>
        <v>0</v>
      </c>
      <c r="I31" s="114">
        <f ca="1">'ROR-Model'!I902</f>
        <v>52526726.402454711</v>
      </c>
      <c r="J31" s="114">
        <f ca="1">'ROR-Model'!W902</f>
        <v>50309773.70193889</v>
      </c>
      <c r="K31" s="114"/>
      <c r="L31" s="114">
        <f ca="1">SUM(J31:K31)</f>
        <v>50309773.70193889</v>
      </c>
      <c r="M31" s="114">
        <f t="shared" ca="1" si="2"/>
        <v>0</v>
      </c>
      <c r="N31" s="114">
        <f t="shared" ca="1" si="3"/>
        <v>52526726.402454704</v>
      </c>
      <c r="O31" s="30"/>
    </row>
    <row r="32" spans="1:15">
      <c r="A32" s="237">
        <f t="shared" si="6"/>
        <v>20</v>
      </c>
      <c r="B32" s="5"/>
      <c r="C32" s="114"/>
      <c r="D32" s="114" t="s">
        <v>504</v>
      </c>
      <c r="E32" s="137">
        <f t="shared" ca="1" si="7"/>
        <v>0</v>
      </c>
      <c r="F32" s="137">
        <f t="shared" ref="F32:L32" si="8">SUM(F27:F31)</f>
        <v>137434097.47000003</v>
      </c>
      <c r="G32" s="137">
        <f ca="1">SUM(G27:G31)</f>
        <v>-9773319.2268548682</v>
      </c>
      <c r="H32" s="137">
        <f t="shared" si="8"/>
        <v>0</v>
      </c>
      <c r="I32" s="137">
        <f t="shared" ca="1" si="8"/>
        <v>127660778.24314514</v>
      </c>
      <c r="J32" s="137">
        <f t="shared" ca="1" si="8"/>
        <v>122030956.45700756</v>
      </c>
      <c r="K32" s="137">
        <f t="shared" ca="1" si="8"/>
        <v>15954.983648043979</v>
      </c>
      <c r="L32" s="137">
        <f t="shared" ca="1" si="8"/>
        <v>122046911.44065559</v>
      </c>
      <c r="M32" s="114">
        <f t="shared" ca="1" si="2"/>
        <v>0</v>
      </c>
      <c r="N32" s="137">
        <f t="shared" ca="1" si="3"/>
        <v>127660778.24314517</v>
      </c>
      <c r="O32" s="30"/>
    </row>
    <row r="33" spans="1:15">
      <c r="A33" s="237"/>
      <c r="B33" s="5"/>
      <c r="C33" s="114"/>
      <c r="D33" s="114"/>
      <c r="E33" s="114"/>
      <c r="F33" s="114"/>
      <c r="G33" s="114"/>
      <c r="H33" s="114"/>
      <c r="I33" s="114"/>
      <c r="J33" s="718"/>
      <c r="K33" s="719"/>
      <c r="L33" s="114"/>
      <c r="M33" s="114">
        <f t="shared" si="2"/>
        <v>0</v>
      </c>
      <c r="N33" s="114">
        <f t="shared" si="3"/>
        <v>0</v>
      </c>
      <c r="O33" s="30"/>
    </row>
    <row r="34" spans="1:15">
      <c r="A34" s="237">
        <f>+A32+1</f>
        <v>21</v>
      </c>
      <c r="B34" s="5"/>
      <c r="C34" s="114" t="s">
        <v>505</v>
      </c>
      <c r="D34" s="114"/>
      <c r="E34" s="114"/>
      <c r="F34" s="114"/>
      <c r="G34" s="114"/>
      <c r="H34" s="114"/>
      <c r="I34" s="114"/>
      <c r="J34" s="114"/>
      <c r="K34" s="114"/>
      <c r="L34" s="114"/>
      <c r="M34" s="114">
        <f t="shared" si="2"/>
        <v>0</v>
      </c>
      <c r="N34" s="114">
        <f t="shared" si="3"/>
        <v>0</v>
      </c>
      <c r="O34" s="30"/>
    </row>
    <row r="35" spans="1:15">
      <c r="A35" s="237">
        <f>+A34+1</f>
        <v>22</v>
      </c>
      <c r="B35" s="5"/>
      <c r="C35" s="114"/>
      <c r="D35" s="114" t="s">
        <v>285</v>
      </c>
      <c r="E35" s="114">
        <f ca="1">+F35+G35+H35-I35</f>
        <v>0</v>
      </c>
      <c r="F35" s="114">
        <f>'ROR-Model'!F926</f>
        <v>66734933.770000011</v>
      </c>
      <c r="G35" s="114">
        <f ca="1">'ROR-Model'!G926</f>
        <v>7599271.4346312564</v>
      </c>
      <c r="H35" s="114">
        <f>'ROR-Model'!H926</f>
        <v>0</v>
      </c>
      <c r="I35" s="114">
        <f ca="1">'ROR-Model'!I926</f>
        <v>74334205.204631254</v>
      </c>
      <c r="J35" s="114">
        <f ca="1">'ROR-Model'!W926</f>
        <v>71779543.358618006</v>
      </c>
      <c r="K35" s="114"/>
      <c r="L35" s="114">
        <f ca="1">SUM(J35:K35)</f>
        <v>71779543.358618006</v>
      </c>
      <c r="M35" s="114">
        <f t="shared" ca="1" si="2"/>
        <v>0</v>
      </c>
      <c r="N35" s="114">
        <f t="shared" ca="1" si="3"/>
        <v>74334205.204631269</v>
      </c>
      <c r="O35" s="30"/>
    </row>
    <row r="36" spans="1:15">
      <c r="A36" s="237">
        <f>+A35+1</f>
        <v>23</v>
      </c>
      <c r="B36" s="5"/>
      <c r="C36" s="114"/>
      <c r="D36" s="114" t="s">
        <v>599</v>
      </c>
      <c r="E36" s="114">
        <f>+F36+G36+H36-I36</f>
        <v>0</v>
      </c>
      <c r="F36" s="114">
        <f>'ROR-Model'!F934</f>
        <v>22257842.259999998</v>
      </c>
      <c r="G36" s="114">
        <f>'ROR-Model'!G934</f>
        <v>2342699.9424766232</v>
      </c>
      <c r="H36" s="114">
        <f>'ROR-Model'!H934</f>
        <v>0</v>
      </c>
      <c r="I36" s="114">
        <f>'ROR-Model'!I934</f>
        <v>24600542.202476621</v>
      </c>
      <c r="J36" s="114">
        <f ca="1">'ROR-Model'!W934</f>
        <v>23609036.220154293</v>
      </c>
      <c r="K36" s="114"/>
      <c r="L36" s="114">
        <f ca="1">SUM(J36:K36)</f>
        <v>23609036.220154293</v>
      </c>
      <c r="M36" s="114">
        <f t="shared" si="2"/>
        <v>0</v>
      </c>
      <c r="N36" s="114">
        <f t="shared" si="3"/>
        <v>24600542.202476621</v>
      </c>
      <c r="O36" s="30"/>
    </row>
    <row r="37" spans="1:15" ht="13.5" thickBot="1">
      <c r="A37" s="237">
        <f>+A36+1</f>
        <v>24</v>
      </c>
      <c r="B37" s="5"/>
      <c r="C37" s="114"/>
      <c r="D37" s="114" t="s">
        <v>601</v>
      </c>
      <c r="E37" s="114">
        <f ca="1">+F37+G37+H37-I37</f>
        <v>0</v>
      </c>
      <c r="F37" s="114">
        <f>'ROR-Model'!F936+'ROR-Model'!F938+'ROR-Model'!F940+'ROR-Model'!F942</f>
        <v>47644557.899999991</v>
      </c>
      <c r="G37" s="114">
        <f ca="1">'ROR-Model'!G936+'ROR-Model'!G938+'ROR-Model'!G940+'ROR-Model'!G942</f>
        <v>-1518546.5889402514</v>
      </c>
      <c r="H37" s="114">
        <f ca="1">'ROR-Model'!H936+'ROR-Model'!H938+'ROR-Model'!H940+'ROR-Model'!H942</f>
        <v>-19245597.568459932</v>
      </c>
      <c r="I37" s="114">
        <f ca="1">'ROR-Model'!I936+'ROR-Model'!I938+'ROR-Model'!I940+'ROR-Model'!I942</f>
        <v>26880413.742599815</v>
      </c>
      <c r="J37" s="114">
        <f ca="1">'ROR-Model'!W936</f>
        <v>26212535.170701433</v>
      </c>
      <c r="K37" s="114">
        <f ca="1">(K13-K29)*Taxes!L23</f>
        <v>1933208.0365889291</v>
      </c>
      <c r="L37" s="114">
        <f ca="1">SUM(J37:K37)</f>
        <v>28145743.207290363</v>
      </c>
      <c r="M37" s="114">
        <f t="shared" ca="1" si="2"/>
        <v>0</v>
      </c>
      <c r="N37" s="114">
        <f t="shared" ca="1" si="3"/>
        <v>26880413.742599811</v>
      </c>
      <c r="O37" s="30"/>
    </row>
    <row r="38" spans="1:15">
      <c r="A38" s="237">
        <f>+A37+1</f>
        <v>25</v>
      </c>
      <c r="B38" s="5"/>
      <c r="C38" s="114"/>
      <c r="D38" s="114" t="s">
        <v>511</v>
      </c>
      <c r="E38" s="137">
        <f ca="1">+F38+G38+H38-I38</f>
        <v>0</v>
      </c>
      <c r="F38" s="137">
        <f t="shared" ref="F38:L38" si="9">SUM(F35:F37)</f>
        <v>136637333.93000001</v>
      </c>
      <c r="G38" s="137">
        <f t="shared" ca="1" si="9"/>
        <v>8423424.7881676275</v>
      </c>
      <c r="H38" s="137">
        <f t="shared" ca="1" si="9"/>
        <v>-19245597.568459932</v>
      </c>
      <c r="I38" s="137">
        <f ca="1">SUM(I35:I37)</f>
        <v>125815161.14970769</v>
      </c>
      <c r="J38" s="137">
        <f t="shared" ca="1" si="9"/>
        <v>121601114.74947374</v>
      </c>
      <c r="K38" s="137">
        <f t="shared" ca="1" si="9"/>
        <v>1933208.0365889291</v>
      </c>
      <c r="L38" s="137">
        <f t="shared" ca="1" si="9"/>
        <v>123534322.78606267</v>
      </c>
      <c r="M38" s="114">
        <f t="shared" ca="1" si="2"/>
        <v>0</v>
      </c>
      <c r="N38" s="137">
        <f t="shared" ca="1" si="3"/>
        <v>125815161.1497077</v>
      </c>
      <c r="O38" s="30"/>
    </row>
    <row r="39" spans="1:15" ht="6.95" customHeight="1" thickBot="1">
      <c r="A39" s="237"/>
      <c r="B39" s="5"/>
      <c r="C39" s="114"/>
      <c r="D39" s="114"/>
      <c r="E39" s="235"/>
      <c r="F39" s="235"/>
      <c r="G39" s="235"/>
      <c r="H39" s="235"/>
      <c r="I39" s="235"/>
      <c r="J39" s="235"/>
      <c r="K39" s="235"/>
      <c r="L39" s="235"/>
      <c r="M39" s="114">
        <f t="shared" si="2"/>
        <v>0</v>
      </c>
      <c r="N39" s="235">
        <f t="shared" si="3"/>
        <v>0</v>
      </c>
      <c r="O39" s="30"/>
    </row>
    <row r="40" spans="1:15" ht="6.95" customHeight="1" thickTop="1">
      <c r="A40" s="237"/>
      <c r="B40" s="5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>
        <f t="shared" si="2"/>
        <v>0</v>
      </c>
      <c r="N40" s="114">
        <f t="shared" si="3"/>
        <v>0</v>
      </c>
      <c r="O40" s="30"/>
    </row>
    <row r="41" spans="1:15">
      <c r="A41" s="237">
        <f>+A38+1</f>
        <v>26</v>
      </c>
      <c r="B41" s="5"/>
      <c r="C41" s="5" t="s">
        <v>512</v>
      </c>
      <c r="D41" s="114"/>
      <c r="E41" s="114">
        <f ca="1">+F41+G41+H41-I41</f>
        <v>0</v>
      </c>
      <c r="F41" s="114">
        <f>+F24+F32+F38</f>
        <v>830021115.96595287</v>
      </c>
      <c r="G41" s="114">
        <f t="shared" ref="G41:L41" ca="1" si="10">+G24+G32+G38</f>
        <v>-12683051.342164999</v>
      </c>
      <c r="H41" s="114">
        <f t="shared" ca="1" si="10"/>
        <v>-19245597.568459932</v>
      </c>
      <c r="I41" s="114">
        <f ca="1">+I24+I32+I38</f>
        <v>798092467.05532789</v>
      </c>
      <c r="J41" s="114">
        <f t="shared" ca="1" si="10"/>
        <v>243632071.20648128</v>
      </c>
      <c r="K41" s="114">
        <f t="shared" ca="1" si="10"/>
        <v>1949163.0202369732</v>
      </c>
      <c r="L41" s="114">
        <f t="shared" ca="1" si="10"/>
        <v>245581234.22671825</v>
      </c>
      <c r="M41" s="114">
        <f t="shared" ca="1" si="2"/>
        <v>0</v>
      </c>
      <c r="N41" s="114">
        <f t="shared" ca="1" si="3"/>
        <v>798092467.05532789</v>
      </c>
      <c r="O41" s="30"/>
    </row>
    <row r="42" spans="1:15" ht="6.95" customHeight="1" thickBot="1">
      <c r="A42" s="237"/>
      <c r="B42" s="5"/>
      <c r="C42" s="114"/>
      <c r="D42" s="114"/>
      <c r="E42" s="235"/>
      <c r="F42" s="235"/>
      <c r="G42" s="235"/>
      <c r="H42" s="235"/>
      <c r="I42" s="235"/>
      <c r="J42" s="235"/>
      <c r="K42" s="235"/>
      <c r="L42" s="235"/>
      <c r="M42" s="114">
        <f t="shared" si="2"/>
        <v>0</v>
      </c>
      <c r="N42" s="235">
        <f t="shared" si="3"/>
        <v>0</v>
      </c>
      <c r="O42" s="30"/>
    </row>
    <row r="43" spans="1:15" ht="6.95" customHeight="1" thickTop="1">
      <c r="A43" s="237"/>
      <c r="B43" s="5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>
        <f t="shared" si="2"/>
        <v>0</v>
      </c>
      <c r="N43" s="114">
        <f t="shared" si="3"/>
        <v>0</v>
      </c>
      <c r="O43" s="30"/>
    </row>
    <row r="44" spans="1:15">
      <c r="A44" s="237">
        <f>+A41+1</f>
        <v>27</v>
      </c>
      <c r="B44" s="5" t="s">
        <v>513</v>
      </c>
      <c r="C44" s="114"/>
      <c r="D44" s="114"/>
      <c r="E44" s="114">
        <f ca="1">+F44+G44+H44-I44</f>
        <v>0</v>
      </c>
      <c r="F44" s="114">
        <f>+F18-F41</f>
        <v>110288749.93404722</v>
      </c>
      <c r="G44" s="114">
        <f ca="1">+G18-G41</f>
        <v>-4615786.1881172042</v>
      </c>
      <c r="H44" s="114">
        <f ca="1">+H18-H41</f>
        <v>19245597.568459932</v>
      </c>
      <c r="I44" s="114">
        <f ca="1">+I18-I41</f>
        <v>124918561.31438994</v>
      </c>
      <c r="J44" s="114">
        <f ca="1">+J18-J41</f>
        <v>121619637.94091654</v>
      </c>
      <c r="K44" s="114">
        <f ca="1">+L44-J44</f>
        <v>5876194.3947150409</v>
      </c>
      <c r="L44" s="114">
        <f ca="1">L73*L76</f>
        <v>127495832.33563158</v>
      </c>
      <c r="M44" s="114">
        <f t="shared" ca="1" si="2"/>
        <v>0</v>
      </c>
      <c r="N44" s="114">
        <f t="shared" ca="1" si="3"/>
        <v>124918561.31438994</v>
      </c>
      <c r="O44" s="30"/>
    </row>
    <row r="45" spans="1:15" ht="13.5" thickBot="1">
      <c r="A45" s="11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>
        <f t="shared" si="2"/>
        <v>0</v>
      </c>
      <c r="N45" s="236"/>
      <c r="O45" s="30"/>
    </row>
    <row r="46" spans="1:15">
      <c r="A46" s="194"/>
      <c r="E46" s="30"/>
      <c r="F46" s="30"/>
      <c r="G46" s="30"/>
      <c r="H46" s="715"/>
      <c r="I46" s="715"/>
      <c r="N46" s="715"/>
      <c r="O46" s="30"/>
    </row>
    <row r="47" spans="1:15">
      <c r="A47" s="237">
        <f>+A44+1</f>
        <v>28</v>
      </c>
      <c r="B47" s="114" t="s">
        <v>181</v>
      </c>
      <c r="C47" s="114"/>
      <c r="D47" s="114"/>
      <c r="E47" s="114"/>
      <c r="F47" s="114"/>
      <c r="G47" s="114"/>
      <c r="H47" s="460"/>
      <c r="J47" s="114"/>
      <c r="L47" s="114"/>
      <c r="M47" s="114"/>
      <c r="O47" s="30"/>
    </row>
    <row r="48" spans="1:15">
      <c r="A48" s="237"/>
      <c r="B48" s="581"/>
      <c r="C48" s="581"/>
      <c r="D48" s="581"/>
      <c r="E48" s="114"/>
      <c r="F48" s="114"/>
      <c r="G48" s="114"/>
      <c r="H48" s="715"/>
      <c r="J48" s="114"/>
      <c r="K48" s="30"/>
      <c r="L48" s="114"/>
      <c r="M48" s="114"/>
      <c r="O48" s="30"/>
    </row>
    <row r="49" spans="1:15">
      <c r="A49" s="237">
        <f>+A47+1</f>
        <v>29</v>
      </c>
      <c r="B49" s="5" t="s">
        <v>291</v>
      </c>
      <c r="C49" s="114"/>
      <c r="D49" s="114"/>
      <c r="E49" s="114"/>
      <c r="F49" s="114"/>
      <c r="G49" s="114"/>
      <c r="H49" s="114"/>
      <c r="J49" s="114"/>
      <c r="K49" s="114"/>
      <c r="L49" s="114"/>
      <c r="M49" s="114"/>
      <c r="O49" s="30"/>
    </row>
    <row r="50" spans="1:15">
      <c r="A50" s="237">
        <f t="shared" ref="A50:A56" si="11">+A49+1</f>
        <v>30</v>
      </c>
      <c r="C50" s="113">
        <v>101</v>
      </c>
      <c r="D50" s="114" t="s">
        <v>298</v>
      </c>
      <c r="E50" s="114">
        <f t="shared" ref="E50:E56" ca="1" si="12">+F50+G50+H50-I50</f>
        <v>0</v>
      </c>
      <c r="F50" s="114">
        <f>'ROR-Model'!F1102</f>
        <v>2875465647.7900004</v>
      </c>
      <c r="G50" s="114">
        <f ca="1">'ROR-Model'!G1102</f>
        <v>297700070.35127664</v>
      </c>
      <c r="H50" s="114">
        <f>'ROR-Model'!H1102</f>
        <v>0</v>
      </c>
      <c r="I50" s="114">
        <f ca="1">'ROR-Model'!I1102</f>
        <v>3173165718.1412768</v>
      </c>
      <c r="J50" s="114">
        <f ca="1">'ROR-Model'!W1102</f>
        <v>3067311019.4032364</v>
      </c>
      <c r="K50" s="114"/>
      <c r="L50" s="114">
        <f t="shared" ref="L50:L55" ca="1" si="13">SUM(J50:K50)</f>
        <v>3067311019.4032364</v>
      </c>
      <c r="M50" s="114">
        <f t="shared" ref="M50:M75" ca="1" si="14">+N50-I50</f>
        <v>0</v>
      </c>
      <c r="N50" s="114">
        <f t="shared" ref="N50:N56" ca="1" si="15">SUM(F50:H50)</f>
        <v>3173165718.1412773</v>
      </c>
      <c r="O50" s="30"/>
    </row>
    <row r="51" spans="1:15">
      <c r="A51" s="237">
        <f t="shared" si="11"/>
        <v>31</v>
      </c>
      <c r="C51" s="113">
        <v>105</v>
      </c>
      <c r="D51" s="114" t="s">
        <v>299</v>
      </c>
      <c r="E51" s="114">
        <f t="shared" si="12"/>
        <v>0</v>
      </c>
      <c r="F51" s="114">
        <f>'ROR-Model'!F1106</f>
        <v>5036.83</v>
      </c>
      <c r="G51" s="114">
        <f>'ROR-Model'!G1106</f>
        <v>0</v>
      </c>
      <c r="H51" s="114">
        <f>'ROR-Model'!H1106</f>
        <v>0</v>
      </c>
      <c r="I51" s="114">
        <f>'ROR-Model'!I1106</f>
        <v>5036.83</v>
      </c>
      <c r="J51" s="114">
        <f>'ROR-Model'!W1106</f>
        <v>5036.83</v>
      </c>
      <c r="K51" s="114"/>
      <c r="L51" s="114">
        <f t="shared" si="13"/>
        <v>5036.83</v>
      </c>
      <c r="M51" s="114">
        <f t="shared" si="14"/>
        <v>0</v>
      </c>
      <c r="N51" s="114">
        <f t="shared" si="15"/>
        <v>5036.83</v>
      </c>
      <c r="O51" s="30"/>
    </row>
    <row r="52" spans="1:15">
      <c r="A52" s="237">
        <f t="shared" si="11"/>
        <v>32</v>
      </c>
      <c r="C52" s="113">
        <v>106</v>
      </c>
      <c r="D52" s="114" t="s">
        <v>515</v>
      </c>
      <c r="E52" s="114">
        <f t="shared" si="12"/>
        <v>0</v>
      </c>
      <c r="F52" s="114">
        <f>'ROR-Model'!F1113</f>
        <v>26747430.722000003</v>
      </c>
      <c r="G52" s="114">
        <f>'ROR-Model'!G1113</f>
        <v>0</v>
      </c>
      <c r="H52" s="114">
        <f>'ROR-Model'!H1113</f>
        <v>0</v>
      </c>
      <c r="I52" s="114">
        <f>'ROR-Model'!I1113</f>
        <v>26747430.722000003</v>
      </c>
      <c r="J52" s="114">
        <f ca="1">'ROR-Model'!W1113</f>
        <v>25919006.21618288</v>
      </c>
      <c r="K52" s="114"/>
      <c r="L52" s="114">
        <f t="shared" ca="1" si="13"/>
        <v>25919006.21618288</v>
      </c>
      <c r="M52" s="114">
        <f t="shared" si="14"/>
        <v>0</v>
      </c>
      <c r="N52" s="114">
        <f t="shared" si="15"/>
        <v>26747430.722000003</v>
      </c>
      <c r="O52" s="30"/>
    </row>
    <row r="53" spans="1:15">
      <c r="A53" s="237">
        <f t="shared" si="11"/>
        <v>33</v>
      </c>
      <c r="C53" s="113">
        <v>108</v>
      </c>
      <c r="D53" s="114" t="s">
        <v>520</v>
      </c>
      <c r="E53" s="114">
        <f t="shared" ca="1" si="12"/>
        <v>0</v>
      </c>
      <c r="F53" s="114">
        <f>'ROR-Model'!F1120</f>
        <v>-738706646.27999997</v>
      </c>
      <c r="G53" s="114">
        <f ca="1">'ROR-Model'!G1120</f>
        <v>-5121781.1599048078</v>
      </c>
      <c r="H53" s="114">
        <f>'ROR-Model'!H1120</f>
        <v>0</v>
      </c>
      <c r="I53" s="114">
        <f ca="1">'ROR-Model'!I1120</f>
        <v>-743828427.43990481</v>
      </c>
      <c r="J53" s="114">
        <f ca="1">'ROR-Model'!W1120</f>
        <v>-709578153.39008451</v>
      </c>
      <c r="K53" s="114"/>
      <c r="L53" s="114">
        <f t="shared" ca="1" si="13"/>
        <v>-709578153.39008451</v>
      </c>
      <c r="M53" s="114">
        <f t="shared" ca="1" si="14"/>
        <v>0</v>
      </c>
      <c r="N53" s="114">
        <f t="shared" ca="1" si="15"/>
        <v>-743828427.43990481</v>
      </c>
      <c r="O53" s="30"/>
    </row>
    <row r="54" spans="1:15">
      <c r="A54" s="237">
        <f t="shared" si="11"/>
        <v>34</v>
      </c>
      <c r="C54" s="113">
        <v>111</v>
      </c>
      <c r="D54" s="114" t="s">
        <v>521</v>
      </c>
      <c r="E54" s="114">
        <f t="shared" si="12"/>
        <v>0</v>
      </c>
      <c r="F54" s="114">
        <f>'ROR-Model'!F1127</f>
        <v>-6219902.6200000001</v>
      </c>
      <c r="G54" s="114">
        <f>'ROR-Model'!G1127</f>
        <v>387467.42957999994</v>
      </c>
      <c r="H54" s="114">
        <f>'ROR-Model'!H1127</f>
        <v>0</v>
      </c>
      <c r="I54" s="114">
        <f>'ROR-Model'!I1127</f>
        <v>-5832435.1904199999</v>
      </c>
      <c r="J54" s="114">
        <f ca="1">'ROR-Model'!W1127</f>
        <v>-5618698.7874581367</v>
      </c>
      <c r="K54" s="114"/>
      <c r="L54" s="114">
        <f t="shared" ca="1" si="13"/>
        <v>-5618698.7874581367</v>
      </c>
      <c r="M54" s="114">
        <f t="shared" si="14"/>
        <v>0</v>
      </c>
      <c r="N54" s="114">
        <f t="shared" si="15"/>
        <v>-5832435.1904199999</v>
      </c>
      <c r="O54" s="30"/>
    </row>
    <row r="55" spans="1:15" ht="13.5" thickBot="1">
      <c r="A55" s="237">
        <f t="shared" si="11"/>
        <v>35</v>
      </c>
      <c r="C55" s="113">
        <v>254</v>
      </c>
      <c r="D55" s="114" t="s">
        <v>1231</v>
      </c>
      <c r="E55" s="114"/>
      <c r="F55" s="1054">
        <f>'ROR-Model'!F1134</f>
        <v>-437460224.57999998</v>
      </c>
      <c r="G55" s="1054">
        <f ca="1">'ROR-Model'!G1134</f>
        <v>1083595.9353223844</v>
      </c>
      <c r="H55" s="1054">
        <f>'ROR-Model'!H1134</f>
        <v>0</v>
      </c>
      <c r="I55" s="1054">
        <f ca="1">'ROR-Model'!I1134</f>
        <v>-436376628.64467764</v>
      </c>
      <c r="J55" s="1054">
        <f ca="1">'ROR-Model'!W1134</f>
        <v>-422202214.74352962</v>
      </c>
      <c r="K55" s="114"/>
      <c r="L55" s="114">
        <f t="shared" ca="1" si="13"/>
        <v>-422202214.74352962</v>
      </c>
      <c r="M55" s="114"/>
      <c r="N55" s="114"/>
      <c r="O55" s="30"/>
    </row>
    <row r="56" spans="1:15">
      <c r="A56" s="237">
        <f t="shared" si="11"/>
        <v>36</v>
      </c>
      <c r="C56" s="580" t="s">
        <v>182</v>
      </c>
      <c r="D56" s="114"/>
      <c r="E56" s="137">
        <f t="shared" ca="1" si="12"/>
        <v>0</v>
      </c>
      <c r="F56" s="137">
        <f>SUM(F50:F55)</f>
        <v>1719831341.8620005</v>
      </c>
      <c r="G56" s="137">
        <f ca="1">SUM(G50:G55)</f>
        <v>294049352.55627418</v>
      </c>
      <c r="H56" s="137">
        <f>SUM(H50:H55)</f>
        <v>0</v>
      </c>
      <c r="I56" s="137">
        <f ca="1">SUM(I50:I55)</f>
        <v>2013880694.4182744</v>
      </c>
      <c r="J56" s="137">
        <f ca="1">SUM(J50:J55)</f>
        <v>1955835995.5283473</v>
      </c>
      <c r="K56" s="137">
        <f t="shared" ref="K56" si="16">SUM(K50:K54)</f>
        <v>0</v>
      </c>
      <c r="L56" s="137">
        <f ca="1">SUM(L50:L55)</f>
        <v>1955835995.5283473</v>
      </c>
      <c r="M56" s="114">
        <f t="shared" ca="1" si="14"/>
        <v>0</v>
      </c>
      <c r="N56" s="137">
        <f t="shared" ca="1" si="15"/>
        <v>2013880694.4182746</v>
      </c>
      <c r="O56" s="30"/>
    </row>
    <row r="57" spans="1:15">
      <c r="A57" s="237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>
        <f t="shared" si="14"/>
        <v>0</v>
      </c>
      <c r="N57" s="114"/>
      <c r="O57" s="30"/>
    </row>
    <row r="58" spans="1:15">
      <c r="A58" s="237">
        <f>+A56+1</f>
        <v>37</v>
      </c>
      <c r="B58" s="5" t="s">
        <v>186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>
        <f t="shared" si="14"/>
        <v>0</v>
      </c>
      <c r="N58" s="114"/>
      <c r="O58" s="30"/>
    </row>
    <row r="59" spans="1:15">
      <c r="A59" s="237">
        <f t="shared" ref="A59:A70" si="17">+A58+1</f>
        <v>38</v>
      </c>
      <c r="C59" s="113">
        <v>154</v>
      </c>
      <c r="D59" s="114" t="s">
        <v>516</v>
      </c>
      <c r="E59" s="114">
        <f t="shared" ref="E59:E68" si="18">+F59+G59+H59-I59</f>
        <v>0</v>
      </c>
      <c r="F59" s="114">
        <f>'ROR-Model'!F1152</f>
        <v>25178231.68</v>
      </c>
      <c r="G59" s="114">
        <f>'ROR-Model'!G1152</f>
        <v>643674.57333332824</v>
      </c>
      <c r="H59" s="114">
        <f>'ROR-Model'!H1152</f>
        <v>0</v>
      </c>
      <c r="I59" s="114">
        <f>'ROR-Model'!I1152</f>
        <v>25821906.253333326</v>
      </c>
      <c r="J59" s="114">
        <f>'ROR-Model'!W1152</f>
        <v>24979630.60592176</v>
      </c>
      <c r="K59" s="114"/>
      <c r="L59" s="114">
        <f t="shared" ref="L59:L68" si="19">SUM(J59:K59)</f>
        <v>24979630.60592176</v>
      </c>
      <c r="M59" s="114">
        <f t="shared" si="14"/>
        <v>0</v>
      </c>
      <c r="N59" s="114">
        <f t="shared" ref="N59:N73" si="20">SUM(F59:H59)</f>
        <v>25821906.253333326</v>
      </c>
      <c r="O59" s="30"/>
    </row>
    <row r="60" spans="1:15">
      <c r="A60" s="237">
        <f t="shared" si="17"/>
        <v>39</v>
      </c>
      <c r="C60" s="113" t="s">
        <v>540</v>
      </c>
      <c r="D60" s="114" t="s">
        <v>309</v>
      </c>
      <c r="E60" s="114">
        <f t="shared" si="18"/>
        <v>0</v>
      </c>
      <c r="F60" s="114">
        <f>'ROR-Model'!F1156</f>
        <v>52891066.75</v>
      </c>
      <c r="G60" s="114">
        <f>'ROR-Model'!G1156</f>
        <v>-52891066.75</v>
      </c>
      <c r="H60" s="114">
        <f>'ROR-Model'!H1156</f>
        <v>0</v>
      </c>
      <c r="I60" s="114">
        <f>'ROR-Model'!I1156</f>
        <v>0</v>
      </c>
      <c r="J60" s="114">
        <f>'ROR-Model'!W1156</f>
        <v>0</v>
      </c>
      <c r="K60" s="114"/>
      <c r="L60" s="114">
        <f t="shared" si="19"/>
        <v>0</v>
      </c>
      <c r="M60" s="114">
        <f t="shared" si="14"/>
        <v>0</v>
      </c>
      <c r="N60" s="114">
        <f t="shared" si="20"/>
        <v>0</v>
      </c>
      <c r="O60" s="30"/>
    </row>
    <row r="61" spans="1:15">
      <c r="A61" s="237">
        <f t="shared" si="17"/>
        <v>40</v>
      </c>
      <c r="C61" s="113">
        <v>165</v>
      </c>
      <c r="D61" s="114" t="s">
        <v>310</v>
      </c>
      <c r="E61" s="114">
        <f t="shared" si="18"/>
        <v>0</v>
      </c>
      <c r="F61" s="114">
        <f>'ROR-Model'!F1160</f>
        <v>3910153.76</v>
      </c>
      <c r="G61" s="114">
        <f>'ROR-Model'!G1160</f>
        <v>-257724.94083333341</v>
      </c>
      <c r="H61" s="114">
        <f>'ROR-Model'!H1160</f>
        <v>0</v>
      </c>
      <c r="I61" s="114">
        <f>'ROR-Model'!I1160</f>
        <v>3652428.8191666664</v>
      </c>
      <c r="J61" s="114">
        <f ca="1">'ROR-Model'!W1160</f>
        <v>3533813.5683451435</v>
      </c>
      <c r="K61" s="114"/>
      <c r="L61" s="114">
        <f t="shared" ca="1" si="19"/>
        <v>3533813.5683451435</v>
      </c>
      <c r="M61" s="114">
        <f t="shared" si="14"/>
        <v>0</v>
      </c>
      <c r="N61" s="114">
        <f t="shared" si="20"/>
        <v>3652428.8191666664</v>
      </c>
      <c r="O61" s="30"/>
    </row>
    <row r="62" spans="1:15">
      <c r="A62" s="237">
        <f t="shared" si="17"/>
        <v>41</v>
      </c>
      <c r="C62" s="238" t="s">
        <v>303</v>
      </c>
      <c r="D62" s="119" t="s">
        <v>305</v>
      </c>
      <c r="E62" s="102">
        <f t="shared" si="18"/>
        <v>0</v>
      </c>
      <c r="F62" s="102">
        <f>+'ROR-Model'!F1167</f>
        <v>57435073</v>
      </c>
      <c r="G62" s="114">
        <f>+'ROR-Model'!G1167</f>
        <v>-57435073</v>
      </c>
      <c r="H62" s="114">
        <f>'ROR-Model'!H1167</f>
        <v>0</v>
      </c>
      <c r="I62" s="114">
        <f>+'ROR-Model'!I1167</f>
        <v>0</v>
      </c>
      <c r="J62" s="114">
        <f ca="1">+'ROR-Model'!W1167</f>
        <v>0</v>
      </c>
      <c r="K62" s="114"/>
      <c r="L62" s="114">
        <f t="shared" ca="1" si="19"/>
        <v>0</v>
      </c>
      <c r="M62" s="114">
        <f t="shared" si="14"/>
        <v>0</v>
      </c>
      <c r="N62" s="114">
        <f t="shared" si="20"/>
        <v>0</v>
      </c>
      <c r="O62" s="30"/>
    </row>
    <row r="63" spans="1:15">
      <c r="A63" s="237">
        <f t="shared" si="17"/>
        <v>42</v>
      </c>
      <c r="C63" s="238" t="s">
        <v>304</v>
      </c>
      <c r="D63" s="119" t="s">
        <v>306</v>
      </c>
      <c r="E63" s="114">
        <f t="shared" si="18"/>
        <v>0</v>
      </c>
      <c r="F63" s="114">
        <f>+'ROR-Model'!F1174</f>
        <v>13135753</v>
      </c>
      <c r="G63" s="114">
        <f>+'ROR-Model'!G1174</f>
        <v>-13135753</v>
      </c>
      <c r="H63" s="114">
        <f>'ROR-Model'!H1174</f>
        <v>0</v>
      </c>
      <c r="I63" s="114">
        <f>+'ROR-Model'!I1174</f>
        <v>0</v>
      </c>
      <c r="J63" s="114">
        <f ca="1">+'ROR-Model'!W1174</f>
        <v>0</v>
      </c>
      <c r="K63" s="114"/>
      <c r="L63" s="114">
        <f t="shared" ca="1" si="19"/>
        <v>0</v>
      </c>
      <c r="M63" s="114">
        <f t="shared" si="14"/>
        <v>0</v>
      </c>
      <c r="N63" s="114">
        <f t="shared" si="20"/>
        <v>0</v>
      </c>
      <c r="O63" s="30"/>
    </row>
    <row r="64" spans="1:15">
      <c r="A64" s="237">
        <f t="shared" si="17"/>
        <v>43</v>
      </c>
      <c r="C64" s="113" t="s">
        <v>541</v>
      </c>
      <c r="D64" s="114" t="s">
        <v>311</v>
      </c>
      <c r="E64" s="114">
        <f t="shared" si="18"/>
        <v>0</v>
      </c>
      <c r="F64" s="114">
        <f>'ROR-Model'!F1179</f>
        <v>-5705689.7999999998</v>
      </c>
      <c r="G64" s="114">
        <f>'ROR-Model'!G1179</f>
        <v>-1121111.2216666667</v>
      </c>
      <c r="H64" s="114">
        <f>'ROR-Model'!H1179</f>
        <v>0</v>
      </c>
      <c r="I64" s="114">
        <f>'ROR-Model'!I1179</f>
        <v>-6826801.0216666665</v>
      </c>
      <c r="J64" s="114">
        <f>'ROR-Model'!W1179</f>
        <v>-6563505.7299999995</v>
      </c>
      <c r="K64" s="114"/>
      <c r="L64" s="114">
        <f t="shared" si="19"/>
        <v>-6563505.7299999995</v>
      </c>
      <c r="M64" s="114">
        <f t="shared" si="14"/>
        <v>0</v>
      </c>
      <c r="N64" s="114">
        <f t="shared" si="20"/>
        <v>-6826801.0216666665</v>
      </c>
      <c r="O64" s="30"/>
    </row>
    <row r="65" spans="1:15">
      <c r="A65" s="237">
        <f t="shared" si="17"/>
        <v>44</v>
      </c>
      <c r="C65" s="212">
        <v>252</v>
      </c>
      <c r="D65" s="114" t="s">
        <v>278</v>
      </c>
      <c r="E65" s="114">
        <f t="shared" si="18"/>
        <v>0</v>
      </c>
      <c r="F65" s="114">
        <f>+'ROR-Model'!F1184</f>
        <v>-12128595.02</v>
      </c>
      <c r="G65" s="114">
        <f>'ROR-Model'!G1184</f>
        <v>6537409.8470155885</v>
      </c>
      <c r="H65" s="114">
        <f>'ROR-Model'!H1184</f>
        <v>0</v>
      </c>
      <c r="I65" s="114">
        <f>'ROR-Model'!I1184</f>
        <v>-5591185.1729844119</v>
      </c>
      <c r="J65" s="114">
        <f>'ROR-Model'!W1184</f>
        <v>-5404872.484427317</v>
      </c>
      <c r="K65" s="114"/>
      <c r="L65" s="114">
        <f t="shared" si="19"/>
        <v>-5404872.484427317</v>
      </c>
      <c r="M65" s="114">
        <f t="shared" si="14"/>
        <v>0</v>
      </c>
      <c r="N65" s="114">
        <f t="shared" si="20"/>
        <v>-5591185.172984411</v>
      </c>
      <c r="O65" s="30"/>
    </row>
    <row r="66" spans="1:15">
      <c r="A66" s="237">
        <f t="shared" si="17"/>
        <v>45</v>
      </c>
      <c r="C66" s="113" t="s">
        <v>542</v>
      </c>
      <c r="D66" s="114" t="s">
        <v>312</v>
      </c>
      <c r="E66" s="114">
        <f t="shared" si="18"/>
        <v>0</v>
      </c>
      <c r="F66" s="114">
        <f>'ROR-Model'!F1188</f>
        <v>-29018.39</v>
      </c>
      <c r="G66" s="114">
        <f>'ROR-Model'!G1188</f>
        <v>-6807.9666666666672</v>
      </c>
      <c r="H66" s="114">
        <f>'ROR-Model'!H1188</f>
        <v>0</v>
      </c>
      <c r="I66" s="114">
        <f>'ROR-Model'!I1188</f>
        <v>-35826.356666666667</v>
      </c>
      <c r="J66" s="114">
        <f ca="1">'ROR-Model'!W1188</f>
        <v>-34662.869986313628</v>
      </c>
      <c r="K66" s="114"/>
      <c r="L66" s="114">
        <f t="shared" ca="1" si="19"/>
        <v>-34662.869986313628</v>
      </c>
      <c r="M66" s="114">
        <f t="shared" si="14"/>
        <v>0</v>
      </c>
      <c r="N66" s="114">
        <f t="shared" si="20"/>
        <v>-35826.356666666667</v>
      </c>
      <c r="O66" s="30"/>
    </row>
    <row r="67" spans="1:15" ht="12.75" customHeight="1">
      <c r="A67" s="237">
        <f t="shared" si="17"/>
        <v>46</v>
      </c>
      <c r="C67" s="113">
        <v>255</v>
      </c>
      <c r="D67" s="114" t="s">
        <v>313</v>
      </c>
      <c r="E67" s="114">
        <f t="shared" si="18"/>
        <v>0</v>
      </c>
      <c r="F67" s="114">
        <f>'ROR-Model'!F1195</f>
        <v>-28629.62</v>
      </c>
      <c r="G67" s="114">
        <f>'ROR-Model'!G1195</f>
        <v>28629.62</v>
      </c>
      <c r="H67" s="114">
        <f>'ROR-Model'!H1195</f>
        <v>0</v>
      </c>
      <c r="I67" s="114">
        <f>'ROR-Model'!I1195</f>
        <v>0</v>
      </c>
      <c r="J67" s="114">
        <f ca="1">'ROR-Model'!W1195</f>
        <v>0</v>
      </c>
      <c r="K67" s="114"/>
      <c r="L67" s="114">
        <f t="shared" ca="1" si="19"/>
        <v>0</v>
      </c>
      <c r="M67" s="114">
        <f t="shared" si="14"/>
        <v>0</v>
      </c>
      <c r="N67" s="114">
        <f t="shared" si="20"/>
        <v>0</v>
      </c>
      <c r="O67" s="30"/>
    </row>
    <row r="68" spans="1:15" ht="12.75" customHeight="1">
      <c r="A68" s="237">
        <f t="shared" si="17"/>
        <v>47</v>
      </c>
      <c r="C68" s="113">
        <v>282</v>
      </c>
      <c r="D68" s="114" t="s">
        <v>34</v>
      </c>
      <c r="E68" s="114">
        <f t="shared" si="18"/>
        <v>0</v>
      </c>
      <c r="F68" s="114">
        <f>'ROR-Model'!F1202+'ROR-Model'!F1209+'ROR-Model'!F1213</f>
        <v>-344710817.71999997</v>
      </c>
      <c r="G68" s="114">
        <f>'ROR-Model'!G1202+'ROR-Model'!G1209+'ROR-Model'!G1213</f>
        <v>30409767.981635131</v>
      </c>
      <c r="H68" s="114">
        <f>'ROR-Model'!H1202+'ROR-Model'!H1209+'ROR-Model'!H1213</f>
        <v>0</v>
      </c>
      <c r="I68" s="114">
        <f>'ROR-Model'!I1202+'ROR-Model'!I1209+'ROR-Model'!I1213</f>
        <v>-314301049.73836482</v>
      </c>
      <c r="J68" s="114">
        <f ca="1">'ROR-Model'!W1202+'ROR-Model'!W1209+'ROR-Model'!W1213</f>
        <v>-306138230.40879095</v>
      </c>
      <c r="K68" s="114"/>
      <c r="L68" s="114">
        <f t="shared" ca="1" si="19"/>
        <v>-306138230.40879095</v>
      </c>
      <c r="M68" s="114">
        <f t="shared" si="14"/>
        <v>0</v>
      </c>
      <c r="N68" s="114">
        <f t="shared" si="20"/>
        <v>-314301049.73836482</v>
      </c>
      <c r="O68" s="30"/>
    </row>
    <row r="69" spans="1:15" ht="12.75" customHeight="1" thickBot="1">
      <c r="A69" s="237">
        <f t="shared" si="17"/>
        <v>48</v>
      </c>
      <c r="C69" s="114"/>
      <c r="D69" s="114" t="s">
        <v>517</v>
      </c>
      <c r="E69" s="114"/>
      <c r="F69" s="114">
        <f>'ROR-Model'!F1253</f>
        <v>2122562.945010663</v>
      </c>
      <c r="G69" s="114">
        <f ca="1">'ROR-Model'!G1253</f>
        <v>-56401.527721775885</v>
      </c>
      <c r="H69" s="114">
        <f ca="1">'ROR-Model'!H1253</f>
        <v>-53518.579539689941</v>
      </c>
      <c r="I69" s="114">
        <f ca="1">'ROR-Model'!I1253</f>
        <v>2012642.8377491971</v>
      </c>
      <c r="J69" s="114">
        <f ca="1">'ROR-Model'!W1253</f>
        <v>1941747.9873899075</v>
      </c>
      <c r="K69" s="114"/>
      <c r="L69" s="114">
        <f ca="1">SUM(J69:K69)</f>
        <v>1941747.9873899075</v>
      </c>
      <c r="M69" s="114">
        <f t="shared" ca="1" si="14"/>
        <v>0</v>
      </c>
      <c r="N69" s="114">
        <f t="shared" ca="1" si="20"/>
        <v>2012642.8377491971</v>
      </c>
      <c r="O69" s="30"/>
    </row>
    <row r="70" spans="1:15" ht="12.75" customHeight="1">
      <c r="A70" s="237">
        <f t="shared" si="17"/>
        <v>49</v>
      </c>
      <c r="C70" s="580" t="s">
        <v>183</v>
      </c>
      <c r="D70" s="114"/>
      <c r="E70" s="137"/>
      <c r="F70" s="137">
        <f>SUM(F59:F69)</f>
        <v>-207929909.41498932</v>
      </c>
      <c r="G70" s="137">
        <f t="shared" ref="G70:L70" ca="1" si="21">SUM(G59:G69)</f>
        <v>-87284456.3849044</v>
      </c>
      <c r="H70" s="137">
        <f t="shared" ca="1" si="21"/>
        <v>-53518.579539689941</v>
      </c>
      <c r="I70" s="137">
        <f ca="1">SUM(I59:I69)</f>
        <v>-295267884.37943339</v>
      </c>
      <c r="J70" s="137">
        <f ca="1">SUM(J59:J69)</f>
        <v>-287686079.33154774</v>
      </c>
      <c r="K70" s="137">
        <f t="shared" si="21"/>
        <v>0</v>
      </c>
      <c r="L70" s="137">
        <f t="shared" ca="1" si="21"/>
        <v>-287686079.33154774</v>
      </c>
      <c r="M70" s="114">
        <f t="shared" ca="1" si="14"/>
        <v>0</v>
      </c>
      <c r="N70" s="137">
        <f t="shared" ca="1" si="20"/>
        <v>-295267884.37943345</v>
      </c>
      <c r="O70" s="30"/>
    </row>
    <row r="71" spans="1:15" ht="12.75" customHeight="1" thickBot="1">
      <c r="A71" s="237"/>
      <c r="B71" s="5"/>
      <c r="C71" s="114"/>
      <c r="D71" s="114"/>
      <c r="E71" s="235"/>
      <c r="F71" s="235"/>
      <c r="G71" s="235"/>
      <c r="H71" s="235"/>
      <c r="I71" s="235"/>
      <c r="J71" s="235"/>
      <c r="K71" s="235"/>
      <c r="L71" s="235"/>
      <c r="M71" s="114">
        <f t="shared" si="14"/>
        <v>0</v>
      </c>
      <c r="N71" s="235">
        <f t="shared" si="20"/>
        <v>0</v>
      </c>
      <c r="O71" s="30"/>
    </row>
    <row r="72" spans="1:15" ht="12.75" customHeight="1" thickTop="1">
      <c r="A72" s="237"/>
      <c r="B72" s="5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>
        <f t="shared" si="14"/>
        <v>0</v>
      </c>
      <c r="N72" s="114">
        <f t="shared" si="20"/>
        <v>0</v>
      </c>
      <c r="O72" s="30"/>
    </row>
    <row r="73" spans="1:15" ht="12.75" customHeight="1">
      <c r="A73" s="237">
        <f>+A70+1</f>
        <v>50</v>
      </c>
      <c r="B73" s="580" t="s">
        <v>802</v>
      </c>
      <c r="C73" s="114"/>
      <c r="D73" s="114"/>
      <c r="E73" s="114"/>
      <c r="F73" s="114">
        <f>+F56+F70</f>
        <v>1511901432.4470112</v>
      </c>
      <c r="G73" s="114">
        <f ca="1">+G56+G70</f>
        <v>206764896.17136979</v>
      </c>
      <c r="H73" s="114">
        <f ca="1">+H56+H70</f>
        <v>-53518.579539689941</v>
      </c>
      <c r="I73" s="114">
        <f ca="1">+I56+I70</f>
        <v>1718612810.038841</v>
      </c>
      <c r="J73" s="114">
        <f ca="1">+J56+J70</f>
        <v>1668149916.1967995</v>
      </c>
      <c r="K73" s="114"/>
      <c r="L73" s="114">
        <f ca="1">+L56+L70</f>
        <v>1668149916.1967995</v>
      </c>
      <c r="M73" s="114">
        <f t="shared" ca="1" si="14"/>
        <v>0</v>
      </c>
      <c r="N73" s="114">
        <f t="shared" ca="1" si="20"/>
        <v>1718612810.0388412</v>
      </c>
      <c r="O73" s="30"/>
    </row>
    <row r="74" spans="1:15" ht="12.75" customHeight="1" thickBot="1">
      <c r="A74" s="11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114">
        <f t="shared" si="14"/>
        <v>0</v>
      </c>
      <c r="N74" s="236"/>
      <c r="O74" s="30"/>
    </row>
    <row r="75" spans="1:15" ht="12.75" customHeight="1">
      <c r="A75" s="194"/>
      <c r="E75" s="30">
        <f ca="1">SUM(E13:E73)</f>
        <v>0</v>
      </c>
      <c r="M75" s="114">
        <f t="shared" si="14"/>
        <v>0</v>
      </c>
      <c r="N75" s="15">
        <f>SUM(F75:H75)</f>
        <v>0</v>
      </c>
      <c r="O75" s="30"/>
    </row>
    <row r="76" spans="1:15" ht="12.75" customHeight="1">
      <c r="A76" s="237">
        <f>+A73+1</f>
        <v>51</v>
      </c>
      <c r="B76" s="580" t="s">
        <v>800</v>
      </c>
      <c r="C76" s="114"/>
      <c r="D76" s="114"/>
      <c r="E76" s="7"/>
      <c r="F76" s="7">
        <f>F44/F73</f>
        <v>7.2947050361308913E-2</v>
      </c>
      <c r="G76" s="7"/>
      <c r="H76" s="720"/>
      <c r="I76" s="7">
        <f ca="1">I44/I73</f>
        <v>7.2685691963140175E-2</v>
      </c>
      <c r="J76" s="7">
        <f ca="1">J44/J73</f>
        <v>7.2906899290080651E-2</v>
      </c>
      <c r="K76" s="7"/>
      <c r="L76" s="7">
        <f>'Capital Str'!F10</f>
        <v>7.6429481006304409E-2</v>
      </c>
      <c r="M76" s="114">
        <f ca="1">+N76-I76</f>
        <v>2.6135839816873729E-4</v>
      </c>
      <c r="N76" s="7">
        <f>SUM(F76:H76)</f>
        <v>7.2947050361308913E-2</v>
      </c>
      <c r="O76" s="30"/>
    </row>
    <row r="77" spans="1:15" ht="12.75" customHeight="1">
      <c r="A77" s="237"/>
      <c r="B77" s="5"/>
      <c r="C77" s="114"/>
      <c r="D77" s="114"/>
      <c r="E77" s="68"/>
      <c r="F77" s="68"/>
      <c r="G77" s="68"/>
      <c r="H77" s="67"/>
      <c r="I77" s="7"/>
      <c r="J77" s="7"/>
      <c r="K77" s="7"/>
      <c r="L77" s="7"/>
      <c r="M77" s="114"/>
      <c r="N77" s="7">
        <f>SUM(F77:H77)</f>
        <v>0</v>
      </c>
      <c r="O77" s="30"/>
    </row>
    <row r="78" spans="1:15" ht="12.75" customHeight="1">
      <c r="A78" s="237">
        <f>+A76+1</f>
        <v>52</v>
      </c>
      <c r="B78" s="5" t="s">
        <v>38</v>
      </c>
      <c r="C78" s="114"/>
      <c r="D78" s="114"/>
      <c r="E78" s="7"/>
      <c r="F78" s="7">
        <f>(F76-'Capital Str'!$F$7)/'Capital Str'!$D$9</f>
        <v>9.1811580556412059E-2</v>
      </c>
      <c r="G78" s="7"/>
      <c r="H78" s="66"/>
      <c r="I78" s="7">
        <f ca="1">(I76-'Capital Str'!$F$7)/'Capital Str'!$D$9</f>
        <v>9.1309610877685257E-2</v>
      </c>
      <c r="J78" s="7">
        <f ca="1">(J76-'Capital Str'!$F$7)/'Capital Str'!$D$9</f>
        <v>9.1734465680952906E-2</v>
      </c>
      <c r="K78" s="7"/>
      <c r="L78" s="7">
        <f>'Capital Str'!E9</f>
        <v>9.8500000000000004E-2</v>
      </c>
      <c r="M78" s="114">
        <f ca="1">+N78-I78</f>
        <v>5.0196967872680187E-4</v>
      </c>
      <c r="N78" s="7">
        <f>SUM(F78:H78)</f>
        <v>9.1811580556412059E-2</v>
      </c>
      <c r="O78" s="30"/>
    </row>
    <row r="79" spans="1:15" ht="12.75" customHeight="1"/>
    <row r="80" spans="1:15" customFormat="1" ht="12.75" customHeight="1"/>
    <row r="81" customFormat="1" ht="12.75" customHeigh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51" ht="6.95" customHeight="1"/>
    <row r="152" ht="6.95" customHeight="1"/>
    <row r="154" ht="6.95" customHeight="1"/>
    <row r="155" ht="6.95" customHeight="1"/>
    <row r="180" ht="6.95" customHeight="1"/>
    <row r="181" ht="6.95" customHeight="1"/>
  </sheetData>
  <mergeCells count="2">
    <mergeCell ref="B8:D8"/>
    <mergeCell ref="B5:D5"/>
  </mergeCells>
  <phoneticPr fontId="0" type="noConversion"/>
  <printOptions horizontalCentered="1"/>
  <pageMargins left="0" right="0" top="0" bottom="0.5" header="1.5" footer="0.28000000000000003"/>
  <pageSetup scale="77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59" r:id="rId4" name="Button 13427">
              <controlPr defaultSize="0" print="0" autoFill="0" autoPict="0">
                <anchor moveWithCells="1" sizeWithCells="1">
                  <from>
                    <xdr:col>3</xdr:col>
                    <xdr:colOff>2543175</xdr:colOff>
                    <xdr:row>31</xdr:row>
                    <xdr:rowOff>123825</xdr:rowOff>
                  </from>
                  <to>
                    <xdr:col>3</xdr:col>
                    <xdr:colOff>2543175</xdr:colOff>
                    <xdr:row>31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79" r:id="rId5" name="Button 13647">
              <controlPr defaultSize="0" print="0" autoFill="0" autoPict="0">
                <anchor moveWithCells="1" sizeWithCells="1">
                  <from>
                    <xdr:col>3</xdr:col>
                    <xdr:colOff>2543175</xdr:colOff>
                    <xdr:row>75</xdr:row>
                    <xdr:rowOff>123825</xdr:rowOff>
                  </from>
                  <to>
                    <xdr:col>3</xdr:col>
                    <xdr:colOff>2543175</xdr:colOff>
                    <xdr:row>75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6" name="Button 13742">
              <controlPr defaultSize="0" print="0" autoFill="0" autoPict="0">
                <anchor moveWithCells="1" sizeWithCells="1">
                  <from>
                    <xdr:col>3</xdr:col>
                    <xdr:colOff>2543175</xdr:colOff>
                    <xdr:row>31</xdr:row>
                    <xdr:rowOff>123825</xdr:rowOff>
                  </from>
                  <to>
                    <xdr:col>3</xdr:col>
                    <xdr:colOff>2543175</xdr:colOff>
                    <xdr:row>31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6" r:id="rId7" name="Button 13744">
              <controlPr defaultSize="0" print="0" autoFill="0" autoPict="0">
                <anchor moveWithCells="1" sizeWithCells="1">
                  <from>
                    <xdr:col>3</xdr:col>
                    <xdr:colOff>2543175</xdr:colOff>
                    <xdr:row>75</xdr:row>
                    <xdr:rowOff>123825</xdr:rowOff>
                  </from>
                  <to>
                    <xdr:col>3</xdr:col>
                    <xdr:colOff>2543175</xdr:colOff>
                    <xdr:row>75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9"/>
  <sheetViews>
    <sheetView workbookViewId="0">
      <selection activeCell="H28" sqref="H28"/>
    </sheetView>
  </sheetViews>
  <sheetFormatPr defaultRowHeight="12.75"/>
  <cols>
    <col min="1" max="1" width="3.28515625" style="15" customWidth="1"/>
    <col min="2" max="2" width="2.140625" style="15" customWidth="1"/>
    <col min="3" max="3" width="5.7109375" style="15" customWidth="1"/>
    <col min="4" max="4" width="38.140625" style="15" customWidth="1"/>
    <col min="5" max="5" width="12.28515625" style="15" hidden="1" customWidth="1"/>
    <col min="6" max="6" width="11.5703125" style="15" customWidth="1"/>
    <col min="7" max="7" width="9.140625" style="15"/>
    <col min="8" max="8" width="12.28515625" style="15" customWidth="1"/>
    <col min="9" max="9" width="10.7109375" style="15" bestFit="1" customWidth="1"/>
    <col min="10" max="10" width="9.140625" style="15"/>
    <col min="11" max="11" width="10.140625" style="15" bestFit="1" customWidth="1"/>
    <col min="12" max="16384" width="9.140625" style="15"/>
  </cols>
  <sheetData>
    <row r="1" spans="1:12">
      <c r="A1" s="108" t="s">
        <v>73</v>
      </c>
      <c r="B1" s="332"/>
      <c r="C1" s="332"/>
      <c r="E1" s="822"/>
      <c r="F1" s="822"/>
      <c r="G1" s="127"/>
      <c r="H1" s="128"/>
      <c r="I1" s="127"/>
    </row>
    <row r="2" spans="1:12">
      <c r="A2" s="578" t="str">
        <f>'Control Panel'!$B$1</f>
        <v>Dominion Energy</v>
      </c>
      <c r="B2" s="332"/>
      <c r="C2" s="332"/>
      <c r="D2" s="17"/>
      <c r="E2" s="822"/>
      <c r="F2" s="822"/>
      <c r="G2" s="129"/>
      <c r="H2" s="130"/>
      <c r="I2" s="127"/>
    </row>
    <row r="3" spans="1:12">
      <c r="A3" s="578" t="str">
        <f>'Control Panel'!$B$2</f>
        <v>Utah - DEC 2019 Adjusted Avg  Results</v>
      </c>
      <c r="B3" s="332"/>
      <c r="C3" s="332"/>
      <c r="D3" s="332"/>
      <c r="E3" s="822"/>
      <c r="F3" s="822"/>
      <c r="G3" s="823"/>
      <c r="H3" s="127"/>
      <c r="I3" s="127"/>
    </row>
    <row r="4" spans="1:12">
      <c r="A4" s="578" t="str">
        <f>'Control Panel'!$B$3</f>
        <v>12 Months Ended : Dec-2019</v>
      </c>
      <c r="B4" s="332"/>
      <c r="C4" s="332"/>
      <c r="D4" s="332"/>
      <c r="E4" s="823"/>
      <c r="F4" s="823"/>
      <c r="G4" s="823"/>
      <c r="H4" s="823"/>
      <c r="I4" s="127"/>
    </row>
    <row r="5" spans="1:12">
      <c r="A5" s="8"/>
      <c r="B5" s="332"/>
      <c r="C5" s="332"/>
      <c r="D5" s="332"/>
      <c r="E5" s="332"/>
      <c r="F5" s="332"/>
      <c r="G5" s="332"/>
      <c r="H5" s="332"/>
      <c r="I5" s="715"/>
    </row>
    <row r="6" spans="1:12" s="332" customFormat="1">
      <c r="B6" s="332" t="s">
        <v>73</v>
      </c>
    </row>
    <row r="7" spans="1:12">
      <c r="A7" s="417"/>
      <c r="B7" s="332"/>
      <c r="C7" s="332"/>
      <c r="D7" s="332"/>
      <c r="E7" s="332"/>
      <c r="F7" s="332"/>
      <c r="G7" s="332"/>
      <c r="H7" s="332"/>
    </row>
    <row r="8" spans="1:12">
      <c r="A8" s="417"/>
      <c r="C8" s="417"/>
      <c r="D8" s="417"/>
      <c r="E8" s="417"/>
      <c r="F8" s="417" t="s">
        <v>797</v>
      </c>
      <c r="G8" s="417" t="s">
        <v>779</v>
      </c>
      <c r="H8" s="417" t="s">
        <v>560</v>
      </c>
    </row>
    <row r="9" spans="1:12">
      <c r="A9" s="417"/>
      <c r="B9" s="417"/>
      <c r="C9" s="417"/>
      <c r="D9" s="417"/>
      <c r="E9" s="417"/>
      <c r="F9" s="417" t="s">
        <v>443</v>
      </c>
      <c r="G9" s="417" t="s">
        <v>199</v>
      </c>
      <c r="H9" s="417" t="s">
        <v>42</v>
      </c>
    </row>
    <row r="10" spans="1:12" ht="13.5" thickBot="1">
      <c r="A10" s="417"/>
      <c r="C10" s="824"/>
      <c r="D10" s="825" t="s">
        <v>200</v>
      </c>
      <c r="E10" s="826"/>
      <c r="F10" s="826" t="s">
        <v>201</v>
      </c>
      <c r="G10" s="826" t="s">
        <v>202</v>
      </c>
      <c r="H10" s="826" t="s">
        <v>203</v>
      </c>
    </row>
    <row r="11" spans="1:12">
      <c r="A11" s="417">
        <v>1</v>
      </c>
      <c r="B11" s="827" t="s">
        <v>514</v>
      </c>
      <c r="C11" s="332"/>
      <c r="D11" s="332"/>
      <c r="E11" s="828"/>
      <c r="F11" s="828"/>
      <c r="G11" s="828"/>
      <c r="H11" s="332"/>
    </row>
    <row r="12" spans="1:12">
      <c r="A12" s="417">
        <v>10</v>
      </c>
      <c r="B12" s="332"/>
      <c r="C12" s="827" t="s">
        <v>204</v>
      </c>
      <c r="D12" s="827" t="s">
        <v>790</v>
      </c>
      <c r="E12" s="382">
        <f>+'Rate Base'!$Y$146</f>
        <v>79968136</v>
      </c>
      <c r="F12" s="382">
        <f>+'Rate Base'!$AP$146</f>
        <v>79968136</v>
      </c>
      <c r="G12" s="828">
        <v>6.3E-2</v>
      </c>
      <c r="H12" s="382">
        <f>-(F12*G12)</f>
        <v>-5037992.568</v>
      </c>
      <c r="I12" s="30"/>
      <c r="K12" s="265"/>
      <c r="L12" s="265"/>
    </row>
    <row r="13" spans="1:12">
      <c r="A13" s="417">
        <v>11</v>
      </c>
      <c r="B13" s="332"/>
      <c r="C13" s="827" t="s">
        <v>205</v>
      </c>
      <c r="D13" s="827" t="s">
        <v>299</v>
      </c>
      <c r="E13" s="332">
        <v>0</v>
      </c>
      <c r="F13" s="332">
        <v>0</v>
      </c>
      <c r="G13" s="828">
        <f t="shared" ref="G13:G18" si="0">$G$12</f>
        <v>6.3E-2</v>
      </c>
      <c r="H13" s="332">
        <f t="shared" ref="H13:H18" si="1">-ROUND(F13*G13,0)</f>
        <v>0</v>
      </c>
    </row>
    <row r="14" spans="1:12">
      <c r="A14" s="417">
        <v>12</v>
      </c>
      <c r="B14" s="332"/>
      <c r="C14" s="827" t="s">
        <v>206</v>
      </c>
      <c r="D14" s="827" t="s">
        <v>515</v>
      </c>
      <c r="E14" s="332">
        <v>0</v>
      </c>
      <c r="F14" s="332">
        <v>0</v>
      </c>
      <c r="G14" s="828">
        <f t="shared" si="0"/>
        <v>6.3E-2</v>
      </c>
      <c r="H14" s="332">
        <f t="shared" si="1"/>
        <v>0</v>
      </c>
    </row>
    <row r="15" spans="1:12">
      <c r="A15" s="417">
        <v>13</v>
      </c>
      <c r="B15" s="332"/>
      <c r="C15" s="827" t="s">
        <v>207</v>
      </c>
      <c r="D15" s="827" t="s">
        <v>516</v>
      </c>
      <c r="E15" s="332">
        <v>0</v>
      </c>
      <c r="F15" s="332">
        <v>0</v>
      </c>
      <c r="G15" s="828">
        <f t="shared" si="0"/>
        <v>6.3E-2</v>
      </c>
      <c r="H15" s="332">
        <f t="shared" si="1"/>
        <v>0</v>
      </c>
    </row>
    <row r="16" spans="1:12">
      <c r="A16" s="417">
        <v>14</v>
      </c>
      <c r="B16" s="332"/>
      <c r="C16" s="827" t="s">
        <v>208</v>
      </c>
      <c r="D16" s="827" t="s">
        <v>309</v>
      </c>
      <c r="E16" s="332">
        <v>0</v>
      </c>
      <c r="F16" s="332">
        <v>0</v>
      </c>
      <c r="G16" s="828">
        <f t="shared" si="0"/>
        <v>6.3E-2</v>
      </c>
      <c r="H16" s="332">
        <f t="shared" si="1"/>
        <v>0</v>
      </c>
    </row>
    <row r="17" spans="1:8">
      <c r="A17" s="417">
        <v>15</v>
      </c>
      <c r="B17" s="332"/>
      <c r="C17" s="827" t="s">
        <v>210</v>
      </c>
      <c r="D17" s="827" t="s">
        <v>310</v>
      </c>
      <c r="E17" s="332">
        <v>0</v>
      </c>
      <c r="F17" s="332">
        <v>0</v>
      </c>
      <c r="G17" s="828">
        <f t="shared" si="0"/>
        <v>6.3E-2</v>
      </c>
      <c r="H17" s="332">
        <f t="shared" si="1"/>
        <v>0</v>
      </c>
    </row>
    <row r="18" spans="1:8">
      <c r="A18" s="417">
        <v>16</v>
      </c>
      <c r="B18" s="332"/>
      <c r="C18" s="827"/>
      <c r="D18" s="827" t="s">
        <v>517</v>
      </c>
      <c r="E18" s="332">
        <v>0</v>
      </c>
      <c r="F18" s="332">
        <v>0</v>
      </c>
      <c r="G18" s="828">
        <f t="shared" si="0"/>
        <v>6.3E-2</v>
      </c>
      <c r="H18" s="332">
        <f t="shared" si="1"/>
        <v>0</v>
      </c>
    </row>
    <row r="19" spans="1:8" ht="13.5" thickBot="1">
      <c r="A19" s="417">
        <v>17</v>
      </c>
      <c r="B19" s="827" t="s">
        <v>518</v>
      </c>
      <c r="C19" s="332"/>
      <c r="D19" s="332"/>
      <c r="E19" s="829">
        <f>SUM(E11:E17)</f>
        <v>79968136</v>
      </c>
      <c r="F19" s="829">
        <f>SUM(F11:F17)</f>
        <v>79968136</v>
      </c>
      <c r="G19" s="829"/>
      <c r="H19" s="829">
        <f>SUM(H12:H18)</f>
        <v>-5037992.568</v>
      </c>
    </row>
    <row r="20" spans="1:8" ht="13.5" thickTop="1">
      <c r="A20" s="417"/>
      <c r="B20" s="332"/>
      <c r="C20" s="332"/>
      <c r="D20" s="332"/>
    </row>
    <row r="21" spans="1:8">
      <c r="A21" s="417">
        <v>18</v>
      </c>
      <c r="B21" s="827" t="s">
        <v>519</v>
      </c>
      <c r="C21" s="332"/>
      <c r="D21" s="332"/>
    </row>
    <row r="22" spans="1:8">
      <c r="A22" s="417">
        <v>19</v>
      </c>
      <c r="B22" s="332"/>
      <c r="C22" s="827" t="s">
        <v>211</v>
      </c>
      <c r="D22" s="827" t="s">
        <v>520</v>
      </c>
      <c r="E22" s="332">
        <f>+'Rate Base'!$Y$164</f>
        <v>-69256660.719999999</v>
      </c>
      <c r="F22" s="332">
        <f ca="1">+'Rate Base'!$AP$164</f>
        <v>-70477322.21544008</v>
      </c>
      <c r="G22" s="828">
        <f t="shared" ref="G22:G29" si="2">$G$12</f>
        <v>6.3E-2</v>
      </c>
      <c r="H22" s="332">
        <f ca="1">-F22*G22</f>
        <v>4440071.2995727248</v>
      </c>
    </row>
    <row r="23" spans="1:8">
      <c r="A23" s="417">
        <v>20</v>
      </c>
      <c r="B23" s="827"/>
      <c r="C23" s="827" t="s">
        <v>212</v>
      </c>
      <c r="D23" s="827" t="s">
        <v>521</v>
      </c>
      <c r="E23" s="332">
        <f>+'Rate Base'!$Y$171</f>
        <v>-6141845.8700000001</v>
      </c>
      <c r="F23" s="332">
        <f>+'Rate Base'!$AP$171</f>
        <v>-6150276.6599999992</v>
      </c>
      <c r="G23" s="828">
        <f t="shared" si="2"/>
        <v>6.3E-2</v>
      </c>
      <c r="H23" s="332">
        <f>-F23*G23</f>
        <v>387467.42957999994</v>
      </c>
    </row>
    <row r="24" spans="1:8">
      <c r="A24" s="417">
        <v>21</v>
      </c>
      <c r="B24" s="332"/>
      <c r="C24" s="827" t="s">
        <v>213</v>
      </c>
      <c r="D24" s="827" t="s">
        <v>311</v>
      </c>
      <c r="E24" s="332">
        <v>0</v>
      </c>
      <c r="F24" s="332">
        <v>0</v>
      </c>
      <c r="G24" s="828">
        <f t="shared" si="2"/>
        <v>6.3E-2</v>
      </c>
      <c r="H24" s="332">
        <f t="shared" ref="H24:H29" si="3">-ROUND(F24*G24,0)</f>
        <v>0</v>
      </c>
    </row>
    <row r="25" spans="1:8">
      <c r="A25" s="417">
        <v>22</v>
      </c>
      <c r="B25" s="332"/>
      <c r="C25" s="830">
        <v>252</v>
      </c>
      <c r="D25" s="827" t="s">
        <v>493</v>
      </c>
      <c r="E25" s="332">
        <v>0</v>
      </c>
      <c r="F25" s="332">
        <v>0</v>
      </c>
      <c r="G25" s="828">
        <f t="shared" si="2"/>
        <v>6.3E-2</v>
      </c>
      <c r="H25" s="332">
        <f t="shared" si="3"/>
        <v>0</v>
      </c>
    </row>
    <row r="26" spans="1:8">
      <c r="A26" s="417">
        <v>23</v>
      </c>
      <c r="B26" s="332"/>
      <c r="C26" s="827" t="s">
        <v>214</v>
      </c>
      <c r="D26" s="827" t="s">
        <v>312</v>
      </c>
      <c r="E26" s="332">
        <v>0</v>
      </c>
      <c r="F26" s="332">
        <v>0</v>
      </c>
      <c r="G26" s="828">
        <f t="shared" si="2"/>
        <v>6.3E-2</v>
      </c>
      <c r="H26" s="332">
        <f t="shared" si="3"/>
        <v>0</v>
      </c>
    </row>
    <row r="27" spans="1:8">
      <c r="A27" s="417">
        <v>24</v>
      </c>
      <c r="B27" s="332"/>
      <c r="C27" s="827" t="s">
        <v>444</v>
      </c>
      <c r="D27" s="827" t="s">
        <v>313</v>
      </c>
      <c r="E27" s="332">
        <v>0</v>
      </c>
      <c r="F27" s="332">
        <v>0</v>
      </c>
      <c r="G27" s="828">
        <f t="shared" si="2"/>
        <v>6.3E-2</v>
      </c>
      <c r="H27" s="332">
        <f t="shared" si="3"/>
        <v>0</v>
      </c>
    </row>
    <row r="28" spans="1:8">
      <c r="A28" s="417">
        <v>25</v>
      </c>
      <c r="B28" s="332"/>
      <c r="C28" s="827" t="s">
        <v>445</v>
      </c>
      <c r="D28" s="827" t="s">
        <v>477</v>
      </c>
      <c r="E28" s="332">
        <v>0</v>
      </c>
      <c r="F28" s="332">
        <v>0</v>
      </c>
      <c r="G28" s="828">
        <f t="shared" si="2"/>
        <v>6.3E-2</v>
      </c>
      <c r="H28" s="332">
        <f t="shared" si="3"/>
        <v>0</v>
      </c>
    </row>
    <row r="29" spans="1:8">
      <c r="A29" s="417">
        <v>26</v>
      </c>
      <c r="B29" s="332"/>
      <c r="C29" s="827" t="s">
        <v>446</v>
      </c>
      <c r="D29" s="827" t="s">
        <v>478</v>
      </c>
      <c r="E29" s="332">
        <v>0</v>
      </c>
      <c r="F29" s="332">
        <v>0</v>
      </c>
      <c r="G29" s="828">
        <f t="shared" si="2"/>
        <v>6.3E-2</v>
      </c>
      <c r="H29" s="332">
        <f t="shared" si="3"/>
        <v>0</v>
      </c>
    </row>
    <row r="30" spans="1:8">
      <c r="A30" s="417">
        <v>27</v>
      </c>
      <c r="B30" s="827" t="s">
        <v>35</v>
      </c>
      <c r="C30" s="332"/>
      <c r="D30" s="332"/>
      <c r="E30" s="831">
        <f>SUM(E22:E29)</f>
        <v>-75398506.590000004</v>
      </c>
      <c r="F30" s="831">
        <f ca="1">SUM(F22:F29)</f>
        <v>-76627598.875440076</v>
      </c>
      <c r="G30" s="831"/>
      <c r="H30" s="831">
        <f ca="1">SUM(H22:H29)</f>
        <v>4827538.7291527251</v>
      </c>
    </row>
    <row r="31" spans="1:8" ht="13.5" thickBot="1">
      <c r="A31" s="417"/>
      <c r="B31" s="332"/>
      <c r="C31" s="332"/>
      <c r="D31" s="332"/>
      <c r="E31" s="332"/>
      <c r="F31" s="332"/>
      <c r="G31" s="332"/>
      <c r="H31" s="423"/>
    </row>
    <row r="32" spans="1:8" ht="13.5" thickTop="1">
      <c r="A32" s="417"/>
      <c r="B32" s="332"/>
      <c r="C32" s="332"/>
      <c r="D32" s="332"/>
      <c r="E32" s="332"/>
      <c r="F32" s="332"/>
      <c r="G32" s="332"/>
      <c r="H32" s="332"/>
    </row>
    <row r="33" spans="1:8">
      <c r="A33" s="417">
        <v>28</v>
      </c>
      <c r="B33" s="832" t="s">
        <v>640</v>
      </c>
      <c r="C33" s="332"/>
      <c r="D33" s="332"/>
      <c r="E33" s="332"/>
      <c r="F33" s="332"/>
      <c r="G33" s="332"/>
      <c r="H33" s="382">
        <f ca="1">+H19+H30</f>
        <v>-210453.83884727489</v>
      </c>
    </row>
    <row r="34" spans="1:8">
      <c r="A34" s="417"/>
      <c r="B34" s="827"/>
      <c r="C34" s="332"/>
      <c r="D34" s="332"/>
      <c r="E34" s="332"/>
      <c r="F34" s="332"/>
      <c r="G34" s="332"/>
      <c r="H34" s="332"/>
    </row>
    <row r="35" spans="1:8">
      <c r="A35" s="833"/>
      <c r="B35" s="834"/>
      <c r="C35" s="834"/>
      <c r="D35" s="834"/>
      <c r="E35" s="332"/>
      <c r="F35" s="332"/>
      <c r="G35" s="332"/>
      <c r="H35" s="332"/>
    </row>
    <row r="36" spans="1:8" s="332" customFormat="1"/>
    <row r="37" spans="1:8" s="332" customFormat="1">
      <c r="A37" s="332" t="s">
        <v>447</v>
      </c>
      <c r="B37" s="332" t="s">
        <v>377</v>
      </c>
    </row>
    <row r="38" spans="1:8" s="332" customFormat="1">
      <c r="A38" s="332" t="s">
        <v>448</v>
      </c>
      <c r="B38" s="332" t="s">
        <v>449</v>
      </c>
    </row>
    <row r="39" spans="1:8">
      <c r="A39" s="332" t="s">
        <v>450</v>
      </c>
      <c r="B39" s="835" t="s">
        <v>451</v>
      </c>
      <c r="C39" s="332"/>
      <c r="D39" s="332"/>
      <c r="E39" s="332"/>
      <c r="F39" s="332"/>
      <c r="G39" s="332"/>
      <c r="H39" s="332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32"/>
  <sheetViews>
    <sheetView workbookViewId="0">
      <selection sqref="A1:H26"/>
    </sheetView>
  </sheetViews>
  <sheetFormatPr defaultRowHeight="12.75"/>
  <cols>
    <col min="1" max="1" width="4.42578125" style="577" customWidth="1"/>
    <col min="2" max="2" width="36.28515625" style="15" bestFit="1" customWidth="1"/>
    <col min="3" max="3" width="15.7109375" style="15" customWidth="1"/>
    <col min="4" max="6" width="15" style="15" customWidth="1"/>
    <col min="7" max="7" width="3.5703125" style="15" customWidth="1"/>
    <col min="8" max="8" width="13.140625" style="15" hidden="1" customWidth="1"/>
    <col min="9" max="9" width="3" style="15" customWidth="1"/>
    <col min="10" max="16384" width="9.140625" style="15"/>
  </cols>
  <sheetData>
    <row r="1" spans="1:9">
      <c r="A1" s="19" t="s">
        <v>877</v>
      </c>
    </row>
    <row r="2" spans="1:9">
      <c r="A2" s="38" t="str">
        <f>'Control Panel'!$B$1</f>
        <v>Dominion Energy</v>
      </c>
    </row>
    <row r="3" spans="1:9">
      <c r="A3" s="19" t="str">
        <f>'Control Panel'!$B$2</f>
        <v>Utah - DEC 2019 Adjusted Avg  Results</v>
      </c>
    </row>
    <row r="4" spans="1:9">
      <c r="A4" s="19" t="str">
        <f>'Control Panel'!$B$3</f>
        <v>12 Months Ended : Dec-2019</v>
      </c>
    </row>
    <row r="5" spans="1:9">
      <c r="A5" s="15"/>
      <c r="D5" s="577"/>
      <c r="E5" s="577"/>
      <c r="F5" s="577"/>
      <c r="H5" s="574" t="s">
        <v>768</v>
      </c>
    </row>
    <row r="6" spans="1:9" ht="25.5">
      <c r="A6" s="19"/>
      <c r="B6" s="194"/>
      <c r="C6" s="305"/>
      <c r="D6" s="159" t="str">
        <f>"Reserve Accrual "&amp;'Control Panel'!H8</f>
        <v>Reserve Accrual 2017</v>
      </c>
      <c r="E6" s="159" t="str">
        <f>"Reserve Accrual "&amp;'Control Panel'!J8</f>
        <v>Reserve Accrual 2018</v>
      </c>
      <c r="F6" s="159" t="str">
        <f>"Reserve Accrual "&amp;'Control Panel'!L8</f>
        <v>Reserve Accrual 2019</v>
      </c>
      <c r="G6" s="159"/>
      <c r="H6" s="159" t="str">
        <f>+'Control Panel'!B38</f>
        <v>Reserve Accrual 2019</v>
      </c>
      <c r="I6" s="15">
        <v>1</v>
      </c>
    </row>
    <row r="7" spans="1:9">
      <c r="B7" s="87"/>
      <c r="C7" s="87"/>
      <c r="I7" s="15">
        <f>+I6+1</f>
        <v>2</v>
      </c>
    </row>
    <row r="8" spans="1:9">
      <c r="B8" s="19" t="s">
        <v>637</v>
      </c>
      <c r="C8" s="19"/>
      <c r="I8" s="15">
        <f t="shared" ref="I8:I28" si="0">+I7+1</f>
        <v>3</v>
      </c>
    </row>
    <row r="9" spans="1:9" ht="13.5" thickBot="1">
      <c r="B9" s="583"/>
      <c r="C9" s="583"/>
      <c r="D9" s="583"/>
      <c r="E9" s="583"/>
      <c r="F9" s="583"/>
      <c r="G9" s="583"/>
      <c r="H9" s="583"/>
      <c r="I9" s="15">
        <f t="shared" si="0"/>
        <v>4</v>
      </c>
    </row>
    <row r="10" spans="1:9">
      <c r="D10" s="248"/>
      <c r="E10" s="248"/>
      <c r="F10" s="248"/>
      <c r="H10" s="248"/>
      <c r="I10" s="15">
        <f t="shared" si="0"/>
        <v>5</v>
      </c>
    </row>
    <row r="11" spans="1:9">
      <c r="A11" s="577">
        <v>1</v>
      </c>
      <c r="B11" s="15" t="s">
        <v>1149</v>
      </c>
      <c r="D11" s="249">
        <v>337092</v>
      </c>
      <c r="E11" s="249">
        <f t="shared" ref="E11:F11" si="1">255901.14+10850+612433.64</f>
        <v>879184.78</v>
      </c>
      <c r="F11" s="249">
        <f t="shared" si="1"/>
        <v>879184.78</v>
      </c>
      <c r="H11" s="248">
        <f t="shared" ref="H11:H17" si="2">HLOOKUP($H$6,RESERVEACCRUALSCENARIO,I11,FALSE)</f>
        <v>879184.78</v>
      </c>
      <c r="I11" s="15">
        <f t="shared" si="0"/>
        <v>6</v>
      </c>
    </row>
    <row r="12" spans="1:9">
      <c r="A12" s="577">
        <v>2</v>
      </c>
      <c r="B12" s="15" t="s">
        <v>1192</v>
      </c>
      <c r="D12" s="249">
        <v>0</v>
      </c>
      <c r="E12" s="249">
        <v>225475</v>
      </c>
      <c r="F12" s="249">
        <v>225475</v>
      </c>
      <c r="H12" s="249">
        <f t="shared" si="2"/>
        <v>225475</v>
      </c>
      <c r="I12" s="15">
        <f t="shared" si="0"/>
        <v>7</v>
      </c>
    </row>
    <row r="13" spans="1:9">
      <c r="A13" s="577">
        <v>3</v>
      </c>
      <c r="B13" s="15" t="s">
        <v>1193</v>
      </c>
      <c r="D13" s="249">
        <v>34800</v>
      </c>
      <c r="E13" s="249">
        <v>337091.85</v>
      </c>
      <c r="F13" s="249">
        <v>337091.85</v>
      </c>
      <c r="H13" s="249">
        <f t="shared" si="2"/>
        <v>337091.85</v>
      </c>
      <c r="I13" s="15">
        <f t="shared" si="0"/>
        <v>8</v>
      </c>
    </row>
    <row r="14" spans="1:9">
      <c r="A14" s="577">
        <v>4</v>
      </c>
      <c r="B14" s="15" t="s">
        <v>1253</v>
      </c>
      <c r="D14" s="249">
        <v>215113</v>
      </c>
      <c r="E14" s="249">
        <v>0</v>
      </c>
      <c r="F14" s="249">
        <v>0</v>
      </c>
      <c r="H14" s="249">
        <f t="shared" si="2"/>
        <v>0</v>
      </c>
      <c r="I14" s="15">
        <f t="shared" si="0"/>
        <v>9</v>
      </c>
    </row>
    <row r="15" spans="1:9">
      <c r="A15" s="577">
        <v>5</v>
      </c>
      <c r="B15" s="15" t="s">
        <v>1356</v>
      </c>
      <c r="D15" s="249">
        <v>107195</v>
      </c>
      <c r="E15" s="249">
        <v>34800</v>
      </c>
      <c r="F15" s="249">
        <v>34800</v>
      </c>
      <c r="H15" s="249">
        <f t="shared" si="2"/>
        <v>34800</v>
      </c>
      <c r="I15" s="15">
        <f t="shared" si="0"/>
        <v>10</v>
      </c>
    </row>
    <row r="16" spans="1:9" ht="13.5" thickBot="1">
      <c r="A16" s="577">
        <v>8</v>
      </c>
      <c r="B16" s="15" t="s">
        <v>170</v>
      </c>
      <c r="D16" s="836">
        <f>SUM(D11:D15)</f>
        <v>694200</v>
      </c>
      <c r="E16" s="836">
        <f t="shared" ref="E16:F16" si="3">SUM(E11:E15)</f>
        <v>1476551.63</v>
      </c>
      <c r="F16" s="836">
        <f t="shared" si="3"/>
        <v>1476551.63</v>
      </c>
      <c r="H16" s="836">
        <f>HLOOKUP($H$6,RESERVEACCRUALSCENARIO,I16,FALSE)</f>
        <v>1476551.63</v>
      </c>
      <c r="I16" s="15">
        <f t="shared" si="0"/>
        <v>11</v>
      </c>
    </row>
    <row r="17" spans="1:9" ht="13.5" thickTop="1">
      <c r="A17" s="577">
        <v>9</v>
      </c>
      <c r="B17" s="15" t="s">
        <v>645</v>
      </c>
      <c r="D17" s="248">
        <f>AVERAGE(D11:D15)</f>
        <v>138840</v>
      </c>
      <c r="E17" s="234">
        <f t="shared" ref="E17:F17" si="4">E16/5</f>
        <v>295310.326</v>
      </c>
      <c r="F17" s="234">
        <f t="shared" si="4"/>
        <v>295310.326</v>
      </c>
      <c r="H17" s="248">
        <f t="shared" si="2"/>
        <v>295310.326</v>
      </c>
      <c r="I17" s="15">
        <f t="shared" si="0"/>
        <v>12</v>
      </c>
    </row>
    <row r="18" spans="1:9">
      <c r="D18" s="248"/>
      <c r="E18" s="248"/>
      <c r="F18" s="248"/>
      <c r="H18" s="248"/>
      <c r="I18" s="15">
        <f t="shared" si="0"/>
        <v>13</v>
      </c>
    </row>
    <row r="19" spans="1:9">
      <c r="D19" s="248"/>
      <c r="E19" s="248"/>
      <c r="F19" s="248"/>
      <c r="H19" s="248"/>
      <c r="I19" s="15">
        <f t="shared" si="0"/>
        <v>14</v>
      </c>
    </row>
    <row r="20" spans="1:9">
      <c r="A20" s="577">
        <f>+A17+1</f>
        <v>10</v>
      </c>
      <c r="B20" s="15" t="s">
        <v>1357</v>
      </c>
      <c r="D20" s="249">
        <v>143507</v>
      </c>
      <c r="E20" s="248">
        <f>D20*(1+E28)</f>
        <v>145659.60499999998</v>
      </c>
      <c r="F20" s="248">
        <f>E20*(1+F28)</f>
        <v>147698.83946999998</v>
      </c>
      <c r="H20" s="248">
        <f>HLOOKUP($H$6,RESERVEACCRUALSCENARIO,I20,FALSE)</f>
        <v>147698.83946999998</v>
      </c>
      <c r="I20" s="15">
        <f t="shared" si="0"/>
        <v>15</v>
      </c>
    </row>
    <row r="21" spans="1:9">
      <c r="D21" s="1"/>
      <c r="I21" s="15">
        <f t="shared" si="0"/>
        <v>16</v>
      </c>
    </row>
    <row r="22" spans="1:9">
      <c r="A22" s="577">
        <f>+A20+1</f>
        <v>11</v>
      </c>
      <c r="B22" s="15" t="s">
        <v>476</v>
      </c>
      <c r="D22" s="248">
        <f>D17-D20</f>
        <v>-4667</v>
      </c>
      <c r="E22" s="1275">
        <f>E17-E20</f>
        <v>149650.72100000002</v>
      </c>
      <c r="F22" s="248">
        <f t="shared" ref="F22" si="5">F17-F20</f>
        <v>147611.48653000002</v>
      </c>
      <c r="H22" s="248">
        <f>HLOOKUP($H$6,RESERVEACCRUALSCENARIO,I22,FALSE)</f>
        <v>147611.48653000002</v>
      </c>
      <c r="I22" s="15">
        <f t="shared" si="0"/>
        <v>17</v>
      </c>
    </row>
    <row r="23" spans="1:9">
      <c r="D23" s="248"/>
      <c r="E23" s="248"/>
      <c r="F23" s="248"/>
      <c r="H23" s="248"/>
      <c r="I23" s="15">
        <f t="shared" si="0"/>
        <v>18</v>
      </c>
    </row>
    <row r="24" spans="1:9">
      <c r="D24" s="248"/>
      <c r="E24" s="248"/>
      <c r="F24" s="248"/>
      <c r="H24" s="248"/>
      <c r="I24" s="15">
        <f t="shared" si="0"/>
        <v>19</v>
      </c>
    </row>
    <row r="25" spans="1:9">
      <c r="A25" s="577">
        <f>+A22+1</f>
        <v>12</v>
      </c>
      <c r="B25" s="15" t="s">
        <v>128</v>
      </c>
      <c r="D25" s="248">
        <v>-4514.7687740051206</v>
      </c>
      <c r="E25" s="248">
        <f ca="1">E22*'ROR-Model'!$M$2</f>
        <v>144790.70628489141</v>
      </c>
      <c r="F25" s="248">
        <f ca="1">F22*'ROR-Model'!$M$2</f>
        <v>142817.69741985697</v>
      </c>
      <c r="H25" s="248">
        <f ca="1">HLOOKUP($H$6,RESERVEACCRUALSCENARIO,I25,FALSE)</f>
        <v>142817.69741985697</v>
      </c>
      <c r="I25" s="15">
        <f t="shared" si="0"/>
        <v>20</v>
      </c>
    </row>
    <row r="26" spans="1:9">
      <c r="A26" s="577">
        <f t="shared" ref="A26" si="6">+A25+1</f>
        <v>13</v>
      </c>
      <c r="B26" s="15" t="s">
        <v>129</v>
      </c>
      <c r="D26" s="249">
        <v>-152.23122599487928</v>
      </c>
      <c r="E26" s="248">
        <f ca="1">E22*'ROR-Model'!$N$2</f>
        <v>4860.0147151085966</v>
      </c>
      <c r="F26" s="248">
        <f ca="1">F22*'ROR-Model'!$N$2</f>
        <v>4793.7891101430405</v>
      </c>
      <c r="G26" s="774"/>
      <c r="H26" s="248">
        <f ca="1">HLOOKUP($H$6,RESERVEACCRUALSCENARIO,I26,FALSE)</f>
        <v>4793.7891101430405</v>
      </c>
      <c r="I26" s="15">
        <f t="shared" si="0"/>
        <v>21</v>
      </c>
    </row>
    <row r="27" spans="1:9">
      <c r="D27" s="1332">
        <f>SUM(D25:D26)</f>
        <v>-4667</v>
      </c>
      <c r="E27" s="1332">
        <f t="shared" ref="E27:F27" ca="1" si="7">SUM(E25:E26)</f>
        <v>149650.72099999999</v>
      </c>
      <c r="F27" s="1332">
        <f t="shared" ca="1" si="7"/>
        <v>147611.48652999999</v>
      </c>
      <c r="I27" s="15">
        <f t="shared" si="0"/>
        <v>22</v>
      </c>
    </row>
    <row r="28" spans="1:9">
      <c r="B28" s="15" t="s">
        <v>1285</v>
      </c>
      <c r="E28" s="101">
        <f>'PROJECTED EXPENSES'!AU714</f>
        <v>1.4999999999999999E-2</v>
      </c>
      <c r="F28" s="101">
        <f>'PROJECTED EXPENSES'!AV714</f>
        <v>1.3999999999999999E-2</v>
      </c>
      <c r="I28" s="15">
        <f t="shared" si="0"/>
        <v>23</v>
      </c>
    </row>
    <row r="29" spans="1:9">
      <c r="D29" s="513"/>
    </row>
    <row r="30" spans="1:9">
      <c r="D30" s="139"/>
      <c r="E30" s="139"/>
      <c r="F30" s="139"/>
      <c r="G30" s="139"/>
      <c r="H30" s="139"/>
    </row>
    <row r="31" spans="1:9">
      <c r="D31" s="139"/>
      <c r="E31" s="139"/>
      <c r="F31" s="139"/>
      <c r="G31" s="139"/>
      <c r="H31" s="139"/>
    </row>
    <row r="32" spans="1:9">
      <c r="D32" s="139"/>
      <c r="E32" s="139"/>
      <c r="F32" s="139"/>
      <c r="G32" s="139"/>
      <c r="H32" s="139"/>
    </row>
  </sheetData>
  <phoneticPr fontId="16" type="noConversion"/>
  <dataValidations count="2">
    <dataValidation type="list" showInputMessage="1" showErrorMessage="1" sqref="G31:H31">
      <formula1>"Expense QGC,Expense DPU,Expense CCS,Expense FINAL ORDER,Expense HISTORICAL,,Expense Dec 08,Expense Jun 09"</formula1>
    </dataValidation>
    <dataValidation type="list" showInputMessage="1" showErrorMessage="1" sqref="G6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scale="85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C1076"/>
  <sheetViews>
    <sheetView view="pageBreakPreview" zoomScale="85" zoomScaleNormal="100" zoomScaleSheetLayoutView="85" workbookViewId="0">
      <selection activeCell="J22" sqref="J22"/>
    </sheetView>
  </sheetViews>
  <sheetFormatPr defaultRowHeight="12.75"/>
  <cols>
    <col min="1" max="1" width="9.140625" style="193"/>
    <col min="2" max="5" width="9.140625" style="15"/>
    <col min="6" max="6" width="0" style="15" hidden="1" customWidth="1"/>
    <col min="7" max="7" width="5.42578125" style="15" hidden="1" customWidth="1"/>
    <col min="8" max="8" width="15.140625" style="15" customWidth="1"/>
    <col min="9" max="9" width="12.28515625" style="15" customWidth="1"/>
    <col min="10" max="10" width="15.140625" style="15" customWidth="1"/>
    <col min="11" max="11" width="2.5703125" style="15" customWidth="1"/>
    <col min="12" max="12" width="15.140625" style="15" customWidth="1"/>
    <col min="13" max="13" width="3.5703125" style="15" customWidth="1"/>
    <col min="14" max="14" width="4.85546875" style="1" customWidth="1"/>
    <col min="15" max="15" width="4.5703125" style="1" customWidth="1"/>
    <col min="16" max="16" width="41.85546875" style="1" bestFit="1" customWidth="1"/>
    <col min="17" max="17" width="53" style="1" customWidth="1"/>
    <col min="18" max="18" width="12.42578125" style="1" customWidth="1"/>
    <col min="19" max="20" width="4.7109375" style="1" customWidth="1"/>
    <col min="21" max="21" width="17.85546875" style="1" customWidth="1"/>
    <col min="22" max="22" width="43.140625" style="1" bestFit="1" customWidth="1"/>
    <col min="23" max="23" width="12.5703125" style="1" bestFit="1" customWidth="1"/>
    <col min="24" max="24" width="20" style="1" bestFit="1" customWidth="1"/>
    <col min="25" max="25" width="15.140625" style="1" bestFit="1" customWidth="1"/>
    <col min="26" max="26" width="6.140625" style="1" bestFit="1" customWidth="1"/>
    <col min="27" max="29" width="9.140625" style="1"/>
    <col min="30" max="16384" width="9.140625" style="15"/>
  </cols>
  <sheetData>
    <row r="1" spans="1:26">
      <c r="A1" s="578" t="s">
        <v>136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O1" s="296" t="s">
        <v>136</v>
      </c>
      <c r="U1" s="296" t="s">
        <v>136</v>
      </c>
    </row>
    <row r="2" spans="1:26">
      <c r="A2" s="578" t="str">
        <f>'Control Panel'!$B$1</f>
        <v>Dominion Energy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O2" s="296" t="str">
        <f>A2</f>
        <v>Dominion Energy</v>
      </c>
      <c r="U2" s="296" t="str">
        <f>A2</f>
        <v>Dominion Energy</v>
      </c>
    </row>
    <row r="3" spans="1:26">
      <c r="A3" s="578" t="str">
        <f>'Control Panel'!$B$2</f>
        <v>Utah - DEC 2019 Adjusted Avg  Results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O3" s="296" t="str">
        <f>A3</f>
        <v>Utah - DEC 2019 Adjusted Avg  Results</v>
      </c>
      <c r="U3" s="296" t="str">
        <f>A3</f>
        <v>Utah - DEC 2019 Adjusted Avg  Results</v>
      </c>
    </row>
    <row r="4" spans="1:26">
      <c r="A4" s="578" t="str">
        <f>'Control Panel'!$B$3</f>
        <v>12 Months Ended : Dec-2019</v>
      </c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O4" s="296" t="str">
        <f>A4</f>
        <v>12 Months Ended : Dec-2019</v>
      </c>
      <c r="U4" s="296" t="str">
        <f>A4</f>
        <v>12 Months Ended : Dec-2019</v>
      </c>
    </row>
    <row r="5" spans="1:26">
      <c r="A5" s="578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 t="s">
        <v>768</v>
      </c>
      <c r="O5" s="297"/>
      <c r="U5" s="297"/>
    </row>
    <row r="6" spans="1:26" ht="38.25">
      <c r="A6" s="578"/>
      <c r="B6" s="577"/>
      <c r="C6" s="577"/>
      <c r="D6" s="577"/>
      <c r="E6" s="577"/>
      <c r="F6" s="584"/>
      <c r="G6" s="837"/>
      <c r="H6" s="139" t="str">
        <f>"Donations &amp; Membership "&amp;'Control Panel'!H8</f>
        <v>Donations &amp; Membership 2017</v>
      </c>
      <c r="I6" s="139" t="str">
        <f>"Donations &amp; Membership "&amp;'Control Panel'!J8</f>
        <v>Donations &amp; Membership 2018</v>
      </c>
      <c r="J6" s="139" t="str">
        <f>"Donations &amp; Membership "&amp;'Control Panel'!L8</f>
        <v>Donations &amp; Membership 2019</v>
      </c>
      <c r="K6" s="584"/>
      <c r="L6" s="838" t="str">
        <f>+'Control Panel'!F37</f>
        <v>Donations &amp; Membership 2019</v>
      </c>
      <c r="M6" s="15">
        <v>1</v>
      </c>
      <c r="O6" s="24"/>
      <c r="U6" s="297"/>
    </row>
    <row r="7" spans="1:26">
      <c r="A7" s="578"/>
      <c r="B7" s="577"/>
      <c r="C7" s="577"/>
      <c r="D7" s="577"/>
      <c r="E7" s="577"/>
      <c r="F7" s="584"/>
      <c r="G7" s="837"/>
      <c r="H7" s="838"/>
      <c r="I7" s="838"/>
      <c r="J7" s="838"/>
      <c r="K7" s="584"/>
      <c r="L7" s="838"/>
      <c r="M7" s="15">
        <f>+M6+1</f>
        <v>2</v>
      </c>
      <c r="O7" s="1140"/>
      <c r="P7" s="1568" t="s">
        <v>136</v>
      </c>
      <c r="Q7" s="1568"/>
      <c r="U7" s="1572" t="s">
        <v>136</v>
      </c>
      <c r="V7" s="1572"/>
      <c r="W7" s="1572"/>
      <c r="X7" s="1572"/>
    </row>
    <row r="8" spans="1:26">
      <c r="A8" s="578"/>
      <c r="B8" s="577"/>
      <c r="C8" s="577"/>
      <c r="D8" s="577"/>
      <c r="E8" s="577"/>
      <c r="F8" s="584"/>
      <c r="G8" s="837"/>
      <c r="H8" s="838"/>
      <c r="I8" s="838"/>
      <c r="J8" s="838"/>
      <c r="K8" s="584"/>
      <c r="L8" s="838"/>
      <c r="M8" s="15">
        <f t="shared" ref="M8:M34" si="0">+M7+1</f>
        <v>3</v>
      </c>
      <c r="O8" s="1140"/>
      <c r="P8" s="1568" t="s">
        <v>137</v>
      </c>
      <c r="Q8" s="1568"/>
      <c r="U8" s="1572" t="s">
        <v>71</v>
      </c>
      <c r="V8" s="1572"/>
      <c r="W8" s="1572"/>
      <c r="X8" s="1572"/>
      <c r="Y8" s="1317"/>
      <c r="Z8" s="1317"/>
    </row>
    <row r="9" spans="1:26">
      <c r="A9" s="573" t="s">
        <v>1131</v>
      </c>
      <c r="B9" s="577"/>
      <c r="C9" s="577"/>
      <c r="D9" s="261"/>
      <c r="E9" s="577"/>
      <c r="F9" s="577"/>
      <c r="G9" s="577"/>
      <c r="H9" s="577"/>
      <c r="I9" s="261">
        <f>+'PROJECTED EXPENSES'!AU714</f>
        <v>1.4999999999999999E-2</v>
      </c>
      <c r="J9" s="261">
        <f>+'PROJECTED EXPENSES'!AV714</f>
        <v>1.3999999999999999E-2</v>
      </c>
      <c r="K9" s="584"/>
      <c r="L9" s="838"/>
      <c r="M9" s="15">
        <f t="shared" si="0"/>
        <v>4</v>
      </c>
      <c r="O9" s="1140"/>
      <c r="P9" s="1571" t="s">
        <v>796</v>
      </c>
      <c r="Q9" s="1571"/>
      <c r="R9" s="1320" t="s">
        <v>797</v>
      </c>
      <c r="S9" s="1320"/>
      <c r="U9" s="1317" t="s">
        <v>796</v>
      </c>
      <c r="V9" s="1317" t="s">
        <v>797</v>
      </c>
      <c r="W9" s="1317" t="s">
        <v>798</v>
      </c>
      <c r="X9" s="1317" t="s">
        <v>799</v>
      </c>
      <c r="Y9" s="1319"/>
      <c r="Z9" s="1319"/>
    </row>
    <row r="10" spans="1:26">
      <c r="A10" s="578"/>
      <c r="B10" s="577"/>
      <c r="C10" s="577"/>
      <c r="D10" s="577"/>
      <c r="E10" s="577"/>
      <c r="F10" s="577"/>
      <c r="G10" s="160"/>
      <c r="H10" s="160"/>
      <c r="I10" s="160"/>
      <c r="J10" s="160"/>
      <c r="K10" s="577"/>
      <c r="L10" s="160"/>
      <c r="M10" s="15">
        <f t="shared" si="0"/>
        <v>5</v>
      </c>
      <c r="O10" s="1140"/>
      <c r="R10" s="1325">
        <v>43100</v>
      </c>
      <c r="S10" s="1143"/>
      <c r="T10" s="1144"/>
      <c r="U10" s="1317"/>
      <c r="V10" s="1317"/>
      <c r="W10" s="1317"/>
      <c r="X10" s="1317"/>
    </row>
    <row r="11" spans="1:26">
      <c r="A11" s="108" t="s">
        <v>137</v>
      </c>
      <c r="B11" s="577"/>
      <c r="C11" s="577"/>
      <c r="D11" s="577"/>
      <c r="E11" s="577"/>
      <c r="F11" s="577"/>
      <c r="G11" s="839"/>
      <c r="H11" s="839">
        <f>R29</f>
        <v>-156846.26848200001</v>
      </c>
      <c r="I11" s="839">
        <f>H11*(1+$I$9)</f>
        <v>-159198.96250923001</v>
      </c>
      <c r="J11" s="839">
        <f>I11*(1+J9)</f>
        <v>-161427.74798435924</v>
      </c>
      <c r="K11" s="577"/>
      <c r="L11" s="839">
        <f>HLOOKUP($L$6,DONATIONSSCENARIO,M11,FALSE)</f>
        <v>-161427.74798435924</v>
      </c>
      <c r="M11" s="15">
        <f t="shared" si="0"/>
        <v>6</v>
      </c>
      <c r="O11" s="1140"/>
      <c r="P11" s="1570" t="s">
        <v>842</v>
      </c>
      <c r="Q11" s="1570"/>
      <c r="R11" s="1326" t="s">
        <v>668</v>
      </c>
      <c r="S11" s="1160"/>
      <c r="T11" s="1144"/>
      <c r="U11" s="1327" t="s">
        <v>7</v>
      </c>
      <c r="V11" s="1327" t="s">
        <v>842</v>
      </c>
      <c r="W11" s="1327" t="s">
        <v>668</v>
      </c>
      <c r="X11" s="1328" t="s">
        <v>835</v>
      </c>
      <c r="Y11" s="294"/>
      <c r="Z11" s="1133"/>
    </row>
    <row r="12" spans="1:26" ht="13.5" thickBot="1">
      <c r="A12" s="108" t="s">
        <v>71</v>
      </c>
      <c r="B12" s="577"/>
      <c r="C12" s="577"/>
      <c r="D12" s="577"/>
      <c r="E12" s="577"/>
      <c r="F12" s="577"/>
      <c r="G12" s="162"/>
      <c r="H12" s="840">
        <f>W28</f>
        <v>-29569.379999999994</v>
      </c>
      <c r="I12" s="840">
        <f>H12*(1+$I$9)</f>
        <v>-30012.920699999991</v>
      </c>
      <c r="J12" s="840">
        <f>I12*(1+J9)</f>
        <v>-30433.101589799993</v>
      </c>
      <c r="K12" s="546"/>
      <c r="L12" s="840">
        <f>HLOOKUP($L$6,DONATIONSSCENARIO,M12,FALSE)</f>
        <v>-30433.101589799993</v>
      </c>
      <c r="M12" s="15">
        <f t="shared" si="0"/>
        <v>7</v>
      </c>
      <c r="O12" s="1140">
        <v>1</v>
      </c>
      <c r="P12" s="44" t="s">
        <v>152</v>
      </c>
      <c r="Q12" s="88"/>
      <c r="R12" s="1145"/>
      <c r="S12" s="1145"/>
      <c r="T12" s="1110"/>
      <c r="U12" s="43"/>
      <c r="W12" s="1">
        <f>YEAR(R10)</f>
        <v>2017</v>
      </c>
      <c r="Y12" s="294"/>
      <c r="Z12" s="1133"/>
    </row>
    <row r="13" spans="1:26">
      <c r="A13" s="472" t="s">
        <v>170</v>
      </c>
      <c r="B13" s="577"/>
      <c r="C13" s="577"/>
      <c r="D13" s="577"/>
      <c r="E13" s="577"/>
      <c r="F13" s="577"/>
      <c r="G13" s="839"/>
      <c r="H13" s="839">
        <f>SUM(H11:H12)</f>
        <v>-186415.64848200002</v>
      </c>
      <c r="I13" s="839">
        <f>SUM(I11:I12)</f>
        <v>-189211.88320923</v>
      </c>
      <c r="J13" s="839">
        <f>SUM(J11:J12)</f>
        <v>-191860.84957415925</v>
      </c>
      <c r="K13" s="577"/>
      <c r="L13" s="839">
        <f>HLOOKUP($L$6,DONATIONSSCENARIO,M13,FALSE)</f>
        <v>-191860.84957415925</v>
      </c>
      <c r="M13" s="15">
        <f t="shared" si="0"/>
        <v>8</v>
      </c>
      <c r="O13" s="1140">
        <v>2</v>
      </c>
      <c r="P13" s="88">
        <v>921000</v>
      </c>
      <c r="Q13" s="24" t="s">
        <v>153</v>
      </c>
      <c r="R13" s="168">
        <v>0</v>
      </c>
      <c r="S13" s="295"/>
      <c r="T13" s="1140">
        <v>1</v>
      </c>
      <c r="U13" s="43" t="s">
        <v>771</v>
      </c>
      <c r="V13" s="88" t="s">
        <v>1351</v>
      </c>
      <c r="W13" s="168">
        <v>0</v>
      </c>
      <c r="X13" s="1113">
        <v>1</v>
      </c>
      <c r="Y13" s="294"/>
      <c r="Z13" s="1133"/>
    </row>
    <row r="14" spans="1:26"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15">
        <f t="shared" si="0"/>
        <v>9</v>
      </c>
      <c r="O14" s="1140">
        <v>3</v>
      </c>
      <c r="P14" s="88">
        <v>921000</v>
      </c>
      <c r="Q14" s="24" t="s">
        <v>155</v>
      </c>
      <c r="R14" s="168">
        <v>19360</v>
      </c>
      <c r="S14" s="295"/>
      <c r="T14" s="1140">
        <v>2</v>
      </c>
      <c r="U14" s="43">
        <v>923000</v>
      </c>
      <c r="V14" s="88" t="s">
        <v>1352</v>
      </c>
      <c r="W14" s="168">
        <v>0</v>
      </c>
      <c r="X14" s="1113">
        <v>1</v>
      </c>
      <c r="Y14" s="294"/>
      <c r="Z14" s="1133"/>
    </row>
    <row r="15" spans="1:26">
      <c r="A15" s="107" t="s">
        <v>641</v>
      </c>
      <c r="B15" s="577"/>
      <c r="C15" s="577"/>
      <c r="D15" s="841"/>
      <c r="E15" s="577"/>
      <c r="F15" s="577"/>
      <c r="G15" s="841"/>
      <c r="H15" s="841">
        <f ca="1">'ROR-Model'!$M$2*H13</f>
        <v>-180361.66632478053</v>
      </c>
      <c r="I15" s="841">
        <f ca="1">'ROR-Model'!$M$2*I13</f>
        <v>-183067.09131965222</v>
      </c>
      <c r="J15" s="841">
        <f ca="1">'ROR-Model'!$M$2*J13</f>
        <v>-185630.03059812737</v>
      </c>
      <c r="K15" s="577"/>
      <c r="L15" s="841">
        <f ca="1">HLOOKUP($L$6,DONATIONSSCENARIO,M15,FALSE)</f>
        <v>-185630.03059812737</v>
      </c>
      <c r="M15" s="15">
        <f t="shared" si="0"/>
        <v>10</v>
      </c>
      <c r="O15" s="1140">
        <v>4</v>
      </c>
      <c r="P15" s="88">
        <v>921000</v>
      </c>
      <c r="Q15" s="24" t="s">
        <v>1353</v>
      </c>
      <c r="R15" s="168">
        <v>7061.64</v>
      </c>
      <c r="S15" s="295"/>
      <c r="T15" s="1140">
        <v>3</v>
      </c>
      <c r="U15" s="43">
        <v>921000</v>
      </c>
      <c r="V15" s="88" t="s">
        <v>815</v>
      </c>
      <c r="W15" s="168">
        <v>0</v>
      </c>
      <c r="X15" s="1113">
        <v>1</v>
      </c>
      <c r="Y15" s="294"/>
      <c r="Z15" s="1133"/>
    </row>
    <row r="16" spans="1:26" ht="13.5" thickBot="1">
      <c r="A16" s="107" t="s">
        <v>642</v>
      </c>
      <c r="B16" s="577"/>
      <c r="C16" s="577"/>
      <c r="D16" s="841"/>
      <c r="E16" s="577"/>
      <c r="F16" s="577"/>
      <c r="G16" s="842"/>
      <c r="H16" s="842">
        <f ca="1">'ROR-Model'!$N$2*H13</f>
        <v>-6053.982157219486</v>
      </c>
      <c r="I16" s="842">
        <f ca="1">'ROR-Model'!$N$2*I13</f>
        <v>-6144.7918895777775</v>
      </c>
      <c r="J16" s="842">
        <f ca="1">'ROR-Model'!$N$2*J13</f>
        <v>-6230.8189760318674</v>
      </c>
      <c r="K16" s="577"/>
      <c r="L16" s="842">
        <f ca="1">HLOOKUP($L$6,DONATIONSSCENARIO,M16,FALSE)</f>
        <v>-6230.8189760318674</v>
      </c>
      <c r="M16" s="15">
        <f t="shared" si="0"/>
        <v>11</v>
      </c>
      <c r="O16" s="1140">
        <v>5</v>
      </c>
      <c r="P16" s="88">
        <v>921000</v>
      </c>
      <c r="Q16" s="24" t="s">
        <v>722</v>
      </c>
      <c r="R16" s="168">
        <v>242628.04000000004</v>
      </c>
      <c r="S16" s="295"/>
      <c r="T16" s="1140">
        <v>4</v>
      </c>
      <c r="U16" s="43">
        <v>908</v>
      </c>
      <c r="V16" s="88" t="s">
        <v>1354</v>
      </c>
      <c r="W16" s="168">
        <v>9569.3799999999992</v>
      </c>
      <c r="X16" s="1113">
        <v>1</v>
      </c>
      <c r="Y16" s="294"/>
      <c r="Z16" s="1133"/>
    </row>
    <row r="17" spans="1:26">
      <c r="A17" s="843" t="s">
        <v>170</v>
      </c>
      <c r="B17" s="577"/>
      <c r="C17" s="577"/>
      <c r="D17" s="841"/>
      <c r="E17" s="577"/>
      <c r="F17" s="577"/>
      <c r="G17" s="841"/>
      <c r="H17" s="841">
        <f ca="1">SUM(H15:H16)</f>
        <v>-186415.64848200002</v>
      </c>
      <c r="I17" s="841">
        <f ca="1">SUM(I15:I16)</f>
        <v>-189211.88320923</v>
      </c>
      <c r="J17" s="841">
        <f t="shared" ref="J17" ca="1" si="1">SUM(J15:J16)</f>
        <v>-191860.84957415925</v>
      </c>
      <c r="K17" s="577"/>
      <c r="L17" s="841">
        <f ca="1">HLOOKUP($L$6,DONATIONSSCENARIO,M17,FALSE)</f>
        <v>-191860.84957415925</v>
      </c>
      <c r="M17" s="15">
        <f t="shared" si="0"/>
        <v>12</v>
      </c>
      <c r="O17" s="1140">
        <v>6</v>
      </c>
      <c r="P17" s="88">
        <v>921000</v>
      </c>
      <c r="Q17" s="24" t="s">
        <v>356</v>
      </c>
      <c r="R17" s="168">
        <v>39338.159999999974</v>
      </c>
      <c r="S17" s="295"/>
      <c r="T17" s="1140">
        <v>5</v>
      </c>
      <c r="U17" s="43">
        <v>921000</v>
      </c>
      <c r="V17" s="88" t="s">
        <v>1355</v>
      </c>
      <c r="W17" s="168">
        <v>20000</v>
      </c>
      <c r="X17" s="1113">
        <v>1</v>
      </c>
      <c r="Y17" s="294"/>
      <c r="Z17" s="1133"/>
    </row>
    <row r="18" spans="1:26"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15">
        <f t="shared" si="0"/>
        <v>13</v>
      </c>
      <c r="O18" s="1140">
        <v>7</v>
      </c>
      <c r="P18" s="88">
        <v>930200</v>
      </c>
      <c r="Q18" s="24" t="s">
        <v>941</v>
      </c>
      <c r="R18" s="168">
        <v>11054.662000000004</v>
      </c>
      <c r="S18" s="295"/>
      <c r="T18" s="1140">
        <v>6</v>
      </c>
      <c r="Y18" s="294"/>
      <c r="Z18" s="1133"/>
    </row>
    <row r="19" spans="1:26">
      <c r="M19" s="15">
        <f t="shared" si="0"/>
        <v>14</v>
      </c>
      <c r="O19" s="1140">
        <v>8</v>
      </c>
      <c r="P19" s="24"/>
      <c r="Q19" s="1110" t="s">
        <v>170</v>
      </c>
      <c r="R19" s="95">
        <f>SUM(R13:R18)</f>
        <v>319442.50200000004</v>
      </c>
      <c r="S19" s="95"/>
      <c r="T19" s="1140">
        <v>7</v>
      </c>
      <c r="U19" s="43"/>
      <c r="V19" s="1072"/>
      <c r="W19" s="168"/>
      <c r="X19" s="1113"/>
      <c r="Y19" s="294"/>
      <c r="Z19" s="1133"/>
    </row>
    <row r="20" spans="1:26">
      <c r="H20" s="194"/>
      <c r="I20" s="194"/>
      <c r="J20" s="194"/>
      <c r="M20" s="15">
        <f t="shared" si="0"/>
        <v>15</v>
      </c>
      <c r="O20" s="1140">
        <v>9</v>
      </c>
      <c r="P20" s="52"/>
      <c r="Q20" s="1146"/>
      <c r="R20" s="30"/>
      <c r="S20" s="30"/>
      <c r="T20" s="1140">
        <v>8</v>
      </c>
      <c r="U20" s="43"/>
      <c r="V20" s="88"/>
      <c r="W20" s="168"/>
      <c r="X20" s="1113"/>
      <c r="Y20" s="1113"/>
      <c r="Z20" s="172"/>
    </row>
    <row r="21" spans="1:26">
      <c r="M21" s="15">
        <f t="shared" si="0"/>
        <v>16</v>
      </c>
      <c r="O21" s="1140">
        <v>10</v>
      </c>
      <c r="P21" s="1147" t="s">
        <v>159</v>
      </c>
      <c r="Q21" s="1147"/>
      <c r="R21" s="30"/>
      <c r="S21" s="30"/>
      <c r="T21" s="1140">
        <v>9</v>
      </c>
      <c r="U21" s="43"/>
      <c r="V21" s="88"/>
      <c r="W21" s="168"/>
      <c r="X21" s="1113"/>
      <c r="Z21" s="168"/>
    </row>
    <row r="22" spans="1:26">
      <c r="M22" s="15">
        <f t="shared" si="0"/>
        <v>17</v>
      </c>
      <c r="O22" s="1140">
        <v>11</v>
      </c>
      <c r="P22" s="1147"/>
      <c r="Q22" s="1147"/>
      <c r="R22" s="1320" t="s">
        <v>763</v>
      </c>
      <c r="S22" s="1147"/>
      <c r="T22" s="1140">
        <v>10</v>
      </c>
      <c r="V22" s="43"/>
      <c r="W22" s="88"/>
      <c r="X22" s="168"/>
      <c r="Y22" s="99"/>
      <c r="Z22" s="169"/>
    </row>
    <row r="23" spans="1:26" ht="13.5" thickBot="1">
      <c r="J23" s="101"/>
      <c r="M23" s="15">
        <f t="shared" si="0"/>
        <v>18</v>
      </c>
      <c r="O23" s="1140">
        <v>12</v>
      </c>
      <c r="P23" s="1148" t="s">
        <v>161</v>
      </c>
      <c r="Q23" s="1148"/>
      <c r="R23" s="1318" t="s">
        <v>668</v>
      </c>
      <c r="S23" s="1329"/>
      <c r="T23" s="1140">
        <v>11</v>
      </c>
      <c r="U23" s="1130"/>
      <c r="V23" s="1" t="s">
        <v>170</v>
      </c>
      <c r="W23" s="168">
        <f>SUM(W13:W22)</f>
        <v>29569.379999999997</v>
      </c>
      <c r="Z23" s="1130"/>
    </row>
    <row r="24" spans="1:26" ht="13.5" thickTop="1">
      <c r="M24" s="15">
        <f t="shared" si="0"/>
        <v>19</v>
      </c>
      <c r="O24" s="1140">
        <v>13</v>
      </c>
      <c r="T24" s="1140">
        <v>12</v>
      </c>
      <c r="U24" s="1130"/>
      <c r="V24" s="99" t="s">
        <v>42</v>
      </c>
      <c r="W24" s="1094">
        <f>-W23</f>
        <v>-29569.379999999997</v>
      </c>
      <c r="X24" s="99"/>
      <c r="Y24" s="1094"/>
      <c r="Z24" s="1094"/>
    </row>
    <row r="25" spans="1:26">
      <c r="H25" s="199"/>
      <c r="I25" s="199"/>
      <c r="J25" s="199"/>
      <c r="L25" s="199"/>
      <c r="M25" s="15">
        <f t="shared" si="0"/>
        <v>20</v>
      </c>
      <c r="O25" s="1140">
        <v>14</v>
      </c>
      <c r="P25" s="1110" t="s">
        <v>115</v>
      </c>
      <c r="Q25" s="1110"/>
      <c r="R25" s="1111"/>
      <c r="S25" s="1111"/>
      <c r="T25" s="1140">
        <v>13</v>
      </c>
      <c r="U25" s="1130"/>
      <c r="W25" s="1130"/>
      <c r="Y25" s="1094"/>
      <c r="Z25" s="1094"/>
    </row>
    <row r="26" spans="1:26" ht="13.5" thickBot="1">
      <c r="M26" s="15">
        <f t="shared" si="0"/>
        <v>21</v>
      </c>
      <c r="O26" s="1140">
        <v>15</v>
      </c>
      <c r="P26" s="1126" t="s">
        <v>133</v>
      </c>
      <c r="Q26" s="1126"/>
      <c r="R26" s="1330">
        <v>0.49099999999999999</v>
      </c>
      <c r="S26" s="1331"/>
      <c r="T26" s="1140">
        <v>14</v>
      </c>
      <c r="U26" s="1130"/>
      <c r="V26" s="107" t="s">
        <v>641</v>
      </c>
      <c r="W26" s="1094">
        <v>-28604.866828946113</v>
      </c>
      <c r="Y26" s="1094"/>
      <c r="Z26" s="1094"/>
    </row>
    <row r="27" spans="1:26">
      <c r="M27" s="15">
        <f t="shared" si="0"/>
        <v>22</v>
      </c>
      <c r="O27" s="1140">
        <v>16</v>
      </c>
      <c r="P27" s="1150" t="s">
        <v>134</v>
      </c>
      <c r="Q27" s="1150"/>
      <c r="R27" s="1117">
        <f>R19*R26</f>
        <v>156846.26848200001</v>
      </c>
      <c r="S27" s="1117"/>
      <c r="T27" s="1140">
        <v>15</v>
      </c>
      <c r="V27" s="107" t="s">
        <v>642</v>
      </c>
      <c r="W27" s="1094">
        <v>-964.51317105388114</v>
      </c>
    </row>
    <row r="28" spans="1:26">
      <c r="M28" s="15">
        <f t="shared" si="0"/>
        <v>23</v>
      </c>
      <c r="O28" s="1140">
        <v>17</v>
      </c>
      <c r="P28"/>
      <c r="Q28"/>
      <c r="R28"/>
      <c r="S28"/>
      <c r="T28" s="1140">
        <v>16</v>
      </c>
      <c r="V28" s="1149" t="s">
        <v>170</v>
      </c>
      <c r="W28" s="1094">
        <f>SUM(W26:W27)</f>
        <v>-29569.379999999994</v>
      </c>
    </row>
    <row r="29" spans="1:26">
      <c r="M29" s="15">
        <f t="shared" si="0"/>
        <v>24</v>
      </c>
      <c r="O29" s="1140">
        <v>18</v>
      </c>
      <c r="P29" s="221" t="s">
        <v>777</v>
      </c>
      <c r="Q29"/>
      <c r="R29" s="1151">
        <f>-R27</f>
        <v>-156846.26848200001</v>
      </c>
      <c r="S29" s="1151"/>
      <c r="T29" s="1140"/>
    </row>
    <row r="30" spans="1:26">
      <c r="M30" s="15">
        <f t="shared" si="0"/>
        <v>25</v>
      </c>
      <c r="O30"/>
      <c r="P30"/>
      <c r="Q30"/>
      <c r="R30"/>
      <c r="S30"/>
      <c r="T30" s="1140"/>
    </row>
    <row r="31" spans="1:26">
      <c r="M31" s="15">
        <f t="shared" si="0"/>
        <v>26</v>
      </c>
      <c r="O31"/>
      <c r="P31"/>
      <c r="Q31"/>
      <c r="R31"/>
      <c r="S31"/>
      <c r="V31" s="276"/>
    </row>
    <row r="32" spans="1:26">
      <c r="M32" s="15">
        <f t="shared" si="0"/>
        <v>27</v>
      </c>
      <c r="O32"/>
      <c r="P32"/>
      <c r="Q32"/>
      <c r="R32"/>
      <c r="S32"/>
    </row>
    <row r="33" spans="13:21">
      <c r="M33" s="15">
        <f t="shared" si="0"/>
        <v>28</v>
      </c>
      <c r="O33"/>
      <c r="P33"/>
      <c r="Q33"/>
      <c r="R33"/>
      <c r="S33"/>
    </row>
    <row r="34" spans="13:21">
      <c r="M34" s="15">
        <f t="shared" si="0"/>
        <v>29</v>
      </c>
      <c r="O34"/>
      <c r="P34"/>
      <c r="Q34"/>
      <c r="R34"/>
      <c r="S34"/>
    </row>
    <row r="35" spans="13:21">
      <c r="M35" s="15">
        <f t="shared" ref="M35:M42" si="2">+M34+1</f>
        <v>30</v>
      </c>
      <c r="O35"/>
      <c r="P35"/>
      <c r="Q35"/>
      <c r="R35"/>
      <c r="S35"/>
    </row>
    <row r="36" spans="13:21">
      <c r="M36" s="15">
        <f t="shared" si="2"/>
        <v>31</v>
      </c>
      <c r="O36"/>
      <c r="P36"/>
      <c r="Q36"/>
      <c r="R36"/>
      <c r="S36"/>
    </row>
    <row r="37" spans="13:21">
      <c r="M37" s="15">
        <f t="shared" si="2"/>
        <v>32</v>
      </c>
      <c r="O37"/>
      <c r="P37"/>
      <c r="Q37"/>
      <c r="R37"/>
      <c r="S37"/>
    </row>
    <row r="38" spans="13:21">
      <c r="M38" s="15">
        <f t="shared" si="2"/>
        <v>33</v>
      </c>
      <c r="O38"/>
      <c r="P38"/>
      <c r="Q38"/>
      <c r="R38"/>
      <c r="S38"/>
      <c r="U38" s="1152"/>
    </row>
    <row r="39" spans="13:21">
      <c r="M39" s="15">
        <f t="shared" si="2"/>
        <v>34</v>
      </c>
      <c r="O39"/>
      <c r="P39"/>
      <c r="Q39"/>
      <c r="R39"/>
      <c r="S39"/>
    </row>
    <row r="40" spans="13:21">
      <c r="M40" s="15">
        <f t="shared" si="2"/>
        <v>35</v>
      </c>
      <c r="O40"/>
      <c r="P40"/>
      <c r="Q40"/>
      <c r="R40"/>
      <c r="S40"/>
    </row>
    <row r="41" spans="13:21">
      <c r="M41" s="15">
        <f t="shared" si="2"/>
        <v>36</v>
      </c>
      <c r="O41"/>
      <c r="P41"/>
      <c r="Q41"/>
      <c r="R41"/>
      <c r="S41"/>
    </row>
    <row r="42" spans="13:21">
      <c r="M42" s="15">
        <f t="shared" si="2"/>
        <v>37</v>
      </c>
      <c r="O42"/>
      <c r="P42"/>
      <c r="Q42"/>
      <c r="R42"/>
      <c r="S42"/>
    </row>
    <row r="135" spans="15:15">
      <c r="O135" s="24"/>
    </row>
    <row r="136" spans="15:15">
      <c r="O136" s="24"/>
    </row>
    <row r="137" spans="15:15">
      <c r="O137" s="24"/>
    </row>
    <row r="138" spans="15:15">
      <c r="O138" s="24"/>
    </row>
    <row r="139" spans="15:15">
      <c r="O139" s="24"/>
    </row>
    <row r="140" spans="15:15">
      <c r="O140" s="24"/>
    </row>
    <row r="141" spans="15:15">
      <c r="O141" s="24"/>
    </row>
    <row r="142" spans="15:15">
      <c r="O142" s="24"/>
    </row>
    <row r="143" spans="15:15">
      <c r="O143" s="24"/>
    </row>
    <row r="144" spans="15:15">
      <c r="O144" s="24"/>
    </row>
    <row r="145" spans="15:15">
      <c r="O145" s="24"/>
    </row>
    <row r="146" spans="15:15">
      <c r="O146" s="24"/>
    </row>
    <row r="147" spans="15:15">
      <c r="O147" s="24"/>
    </row>
    <row r="148" spans="15:15">
      <c r="O148" s="24"/>
    </row>
    <row r="149" spans="15:15">
      <c r="O149" s="24"/>
    </row>
    <row r="150" spans="15:15">
      <c r="O150" s="24"/>
    </row>
    <row r="151" spans="15:15">
      <c r="O151" s="24"/>
    </row>
    <row r="152" spans="15:15">
      <c r="O152" s="24"/>
    </row>
    <row r="153" spans="15:15">
      <c r="O153" s="24"/>
    </row>
    <row r="154" spans="15:15">
      <c r="O154" s="24"/>
    </row>
    <row r="155" spans="15:15">
      <c r="O155" s="24"/>
    </row>
    <row r="156" spans="15:15">
      <c r="O156" s="24"/>
    </row>
    <row r="157" spans="15:15">
      <c r="O157" s="24"/>
    </row>
    <row r="158" spans="15:15">
      <c r="O158" s="24"/>
    </row>
    <row r="159" spans="15:15">
      <c r="O159" s="24"/>
    </row>
    <row r="160" spans="15:15">
      <c r="O160" s="24"/>
    </row>
    <row r="161" spans="15:15">
      <c r="O161" s="24"/>
    </row>
    <row r="162" spans="15:15">
      <c r="O162" s="24"/>
    </row>
    <row r="163" spans="15:15">
      <c r="O163" s="24"/>
    </row>
    <row r="164" spans="15:15">
      <c r="O164" s="24"/>
    </row>
    <row r="165" spans="15:15">
      <c r="O165" s="24"/>
    </row>
    <row r="166" spans="15:15">
      <c r="O166" s="24"/>
    </row>
    <row r="167" spans="15:15">
      <c r="O167" s="24"/>
    </row>
    <row r="168" spans="15:15">
      <c r="O168" s="24"/>
    </row>
    <row r="169" spans="15:15">
      <c r="O169" s="24"/>
    </row>
    <row r="170" spans="15:15">
      <c r="O170" s="24"/>
    </row>
    <row r="171" spans="15:15">
      <c r="O171" s="24"/>
    </row>
    <row r="172" spans="15:15">
      <c r="O172" s="24"/>
    </row>
    <row r="173" spans="15:15">
      <c r="O173" s="24"/>
    </row>
    <row r="174" spans="15:15">
      <c r="O174" s="24"/>
    </row>
    <row r="175" spans="15:15">
      <c r="O175" s="24"/>
    </row>
    <row r="176" spans="15:15">
      <c r="O176" s="24"/>
    </row>
    <row r="177" spans="15:15">
      <c r="O177" s="24"/>
    </row>
    <row r="178" spans="15:15">
      <c r="O178" s="24"/>
    </row>
    <row r="179" spans="15:15">
      <c r="O179" s="24"/>
    </row>
    <row r="180" spans="15:15">
      <c r="O180" s="24"/>
    </row>
    <row r="181" spans="15:15">
      <c r="O181" s="24"/>
    </row>
    <row r="182" spans="15:15">
      <c r="O182" s="24"/>
    </row>
    <row r="183" spans="15:15">
      <c r="O183" s="24"/>
    </row>
    <row r="184" spans="15:15">
      <c r="O184" s="24"/>
    </row>
    <row r="185" spans="15:15">
      <c r="O185" s="24"/>
    </row>
    <row r="186" spans="15:15">
      <c r="O186" s="24"/>
    </row>
    <row r="187" spans="15:15">
      <c r="O187" s="24"/>
    </row>
    <row r="188" spans="15:15">
      <c r="O188" s="24"/>
    </row>
    <row r="189" spans="15:15">
      <c r="O189" s="24"/>
    </row>
    <row r="190" spans="15:15">
      <c r="O190" s="24"/>
    </row>
    <row r="191" spans="15:15">
      <c r="O191" s="24"/>
    </row>
    <row r="192" spans="15:15">
      <c r="O192" s="24"/>
    </row>
    <row r="193" spans="15:15">
      <c r="O193" s="24"/>
    </row>
    <row r="194" spans="15:15">
      <c r="O194" s="24"/>
    </row>
    <row r="195" spans="15:15">
      <c r="O195" s="24"/>
    </row>
    <row r="196" spans="15:15">
      <c r="O196" s="24"/>
    </row>
    <row r="197" spans="15:15">
      <c r="O197" s="24"/>
    </row>
    <row r="198" spans="15:15">
      <c r="O198" s="24"/>
    </row>
    <row r="199" spans="15:15">
      <c r="O199" s="24"/>
    </row>
    <row r="200" spans="15:15">
      <c r="O200" s="24"/>
    </row>
    <row r="201" spans="15:15">
      <c r="O201" s="24"/>
    </row>
    <row r="202" spans="15:15">
      <c r="O202" s="24"/>
    </row>
    <row r="203" spans="15:15">
      <c r="O203" s="24"/>
    </row>
    <row r="204" spans="15:15">
      <c r="O204" s="24"/>
    </row>
    <row r="205" spans="15:15">
      <c r="O205" s="24"/>
    </row>
    <row r="206" spans="15:15">
      <c r="O206" s="24"/>
    </row>
    <row r="207" spans="15:15">
      <c r="O207" s="24"/>
    </row>
    <row r="208" spans="15:15">
      <c r="O208" s="24"/>
    </row>
    <row r="209" spans="15:15">
      <c r="O209" s="24"/>
    </row>
    <row r="210" spans="15:15">
      <c r="O210" s="24"/>
    </row>
    <row r="211" spans="15:15">
      <c r="O211" s="24"/>
    </row>
    <row r="212" spans="15:15">
      <c r="O212" s="24"/>
    </row>
    <row r="213" spans="15:15">
      <c r="O213" s="24"/>
    </row>
    <row r="214" spans="15:15">
      <c r="O214" s="24"/>
    </row>
    <row r="215" spans="15:15">
      <c r="O215" s="24"/>
    </row>
    <row r="216" spans="15:15">
      <c r="O216" s="24"/>
    </row>
    <row r="217" spans="15:15">
      <c r="O217" s="24"/>
    </row>
    <row r="218" spans="15:15">
      <c r="O218" s="24"/>
    </row>
    <row r="219" spans="15:15">
      <c r="O219" s="24"/>
    </row>
    <row r="220" spans="15:15">
      <c r="O220" s="24"/>
    </row>
    <row r="221" spans="15:15">
      <c r="O221" s="24"/>
    </row>
    <row r="222" spans="15:15">
      <c r="O222" s="24"/>
    </row>
    <row r="223" spans="15:15">
      <c r="O223" s="24"/>
    </row>
    <row r="224" spans="15:15">
      <c r="O224" s="24"/>
    </row>
    <row r="225" spans="15:15">
      <c r="O225" s="24"/>
    </row>
    <row r="226" spans="15:15">
      <c r="O226" s="24"/>
    </row>
    <row r="227" spans="15:15">
      <c r="O227" s="24"/>
    </row>
    <row r="228" spans="15:15">
      <c r="O228" s="24"/>
    </row>
    <row r="229" spans="15:15">
      <c r="O229" s="24"/>
    </row>
    <row r="230" spans="15:15">
      <c r="O230" s="24"/>
    </row>
    <row r="231" spans="15:15">
      <c r="O231" s="24"/>
    </row>
    <row r="232" spans="15:15">
      <c r="O232" s="24"/>
    </row>
    <row r="233" spans="15:15">
      <c r="O233" s="24"/>
    </row>
    <row r="234" spans="15:15">
      <c r="O234" s="24"/>
    </row>
    <row r="235" spans="15:15">
      <c r="O235" s="24"/>
    </row>
    <row r="236" spans="15:15">
      <c r="O236" s="24"/>
    </row>
    <row r="237" spans="15:15">
      <c r="O237" s="24"/>
    </row>
    <row r="238" spans="15:15">
      <c r="O238" s="24"/>
    </row>
    <row r="239" spans="15:15">
      <c r="O239" s="24"/>
    </row>
    <row r="240" spans="15:15">
      <c r="O240" s="24"/>
    </row>
    <row r="241" spans="15:15">
      <c r="O241" s="24"/>
    </row>
    <row r="242" spans="15:15">
      <c r="O242" s="24"/>
    </row>
    <row r="243" spans="15:15">
      <c r="O243" s="24"/>
    </row>
    <row r="244" spans="15:15">
      <c r="O244" s="24"/>
    </row>
    <row r="245" spans="15:15">
      <c r="O245" s="24"/>
    </row>
    <row r="246" spans="15:15">
      <c r="O246" s="24"/>
    </row>
    <row r="247" spans="15:15">
      <c r="O247" s="24"/>
    </row>
    <row r="248" spans="15:15">
      <c r="O248" s="24"/>
    </row>
    <row r="249" spans="15:15">
      <c r="O249" s="24"/>
    </row>
    <row r="250" spans="15:15">
      <c r="O250" s="24"/>
    </row>
    <row r="251" spans="15:15">
      <c r="O251" s="24"/>
    </row>
    <row r="252" spans="15:15">
      <c r="O252" s="24"/>
    </row>
    <row r="253" spans="15:15">
      <c r="O253" s="24"/>
    </row>
    <row r="254" spans="15:15">
      <c r="O254" s="24"/>
    </row>
    <row r="255" spans="15:15">
      <c r="O255" s="24"/>
    </row>
    <row r="256" spans="15:15">
      <c r="O256" s="24"/>
    </row>
    <row r="257" spans="15:15">
      <c r="O257" s="24"/>
    </row>
    <row r="258" spans="15:15">
      <c r="O258" s="24"/>
    </row>
    <row r="259" spans="15:15">
      <c r="O259" s="24"/>
    </row>
    <row r="260" spans="15:15">
      <c r="O260" s="24"/>
    </row>
    <row r="261" spans="15:15">
      <c r="O261" s="24"/>
    </row>
    <row r="262" spans="15:15">
      <c r="O262" s="24"/>
    </row>
    <row r="263" spans="15:15">
      <c r="O263" s="24"/>
    </row>
    <row r="264" spans="15:15">
      <c r="O264" s="24"/>
    </row>
    <row r="265" spans="15:15">
      <c r="O265" s="24"/>
    </row>
    <row r="266" spans="15:15">
      <c r="O266" s="24"/>
    </row>
    <row r="267" spans="15:15">
      <c r="O267" s="24"/>
    </row>
    <row r="268" spans="15:15">
      <c r="O268" s="24"/>
    </row>
    <row r="269" spans="15:15">
      <c r="O269" s="24"/>
    </row>
    <row r="270" spans="15:15">
      <c r="O270" s="24"/>
    </row>
    <row r="271" spans="15:15">
      <c r="O271" s="24"/>
    </row>
    <row r="272" spans="15:15">
      <c r="O272" s="24"/>
    </row>
    <row r="273" spans="15:15">
      <c r="O273" s="24"/>
    </row>
    <row r="274" spans="15:15">
      <c r="O274" s="24"/>
    </row>
    <row r="275" spans="15:15">
      <c r="O275" s="24"/>
    </row>
    <row r="276" spans="15:15">
      <c r="O276" s="24"/>
    </row>
    <row r="277" spans="15:15">
      <c r="O277" s="24"/>
    </row>
    <row r="278" spans="15:15">
      <c r="O278" s="24"/>
    </row>
    <row r="279" spans="15:15">
      <c r="O279" s="24"/>
    </row>
    <row r="280" spans="15:15">
      <c r="O280" s="24"/>
    </row>
    <row r="281" spans="15:15">
      <c r="O281" s="24"/>
    </row>
    <row r="282" spans="15:15">
      <c r="O282" s="24"/>
    </row>
    <row r="283" spans="15:15">
      <c r="O283" s="24"/>
    </row>
    <row r="284" spans="15:15">
      <c r="O284" s="24"/>
    </row>
    <row r="285" spans="15:15">
      <c r="O285" s="24"/>
    </row>
    <row r="286" spans="15:15">
      <c r="O286" s="24"/>
    </row>
    <row r="287" spans="15:15">
      <c r="O287" s="24"/>
    </row>
    <row r="288" spans="15:15">
      <c r="O288" s="24"/>
    </row>
    <row r="289" spans="15:15">
      <c r="O289" s="24"/>
    </row>
    <row r="290" spans="15:15">
      <c r="O290" s="24"/>
    </row>
    <row r="291" spans="15:15">
      <c r="O291" s="24"/>
    </row>
    <row r="292" spans="15:15">
      <c r="O292" s="24"/>
    </row>
    <row r="293" spans="15:15">
      <c r="O293" s="24"/>
    </row>
    <row r="294" spans="15:15">
      <c r="O294" s="24"/>
    </row>
    <row r="295" spans="15:15">
      <c r="O295" s="24"/>
    </row>
    <row r="296" spans="15:15">
      <c r="O296" s="24"/>
    </row>
    <row r="297" spans="15:15">
      <c r="O297" s="24"/>
    </row>
    <row r="298" spans="15:15">
      <c r="O298" s="24"/>
    </row>
    <row r="299" spans="15:15">
      <c r="O299" s="24"/>
    </row>
    <row r="300" spans="15:15">
      <c r="O300" s="24"/>
    </row>
    <row r="301" spans="15:15">
      <c r="O301" s="24"/>
    </row>
    <row r="302" spans="15:15">
      <c r="O302" s="24"/>
    </row>
    <row r="303" spans="15:15">
      <c r="O303" s="24"/>
    </row>
    <row r="304" spans="15:15">
      <c r="O304" s="24"/>
    </row>
    <row r="305" spans="15:15">
      <c r="O305" s="24"/>
    </row>
    <row r="306" spans="15:15">
      <c r="O306" s="24"/>
    </row>
    <row r="307" spans="15:15">
      <c r="O307" s="24"/>
    </row>
    <row r="308" spans="15:15">
      <c r="O308" s="24"/>
    </row>
    <row r="309" spans="15:15">
      <c r="O309" s="24"/>
    </row>
    <row r="310" spans="15:15">
      <c r="O310" s="24"/>
    </row>
    <row r="311" spans="15:15">
      <c r="O311" s="24"/>
    </row>
    <row r="312" spans="15:15">
      <c r="O312" s="24"/>
    </row>
    <row r="313" spans="15:15">
      <c r="O313" s="24"/>
    </row>
    <row r="314" spans="15:15">
      <c r="O314" s="24"/>
    </row>
    <row r="315" spans="15:15">
      <c r="O315" s="24"/>
    </row>
    <row r="316" spans="15:15">
      <c r="O316" s="24"/>
    </row>
    <row r="317" spans="15:15">
      <c r="O317" s="24"/>
    </row>
    <row r="318" spans="15:15">
      <c r="O318" s="24"/>
    </row>
    <row r="319" spans="15:15">
      <c r="O319" s="24"/>
    </row>
    <row r="320" spans="15:15">
      <c r="O320" s="24"/>
    </row>
    <row r="321" spans="15:15">
      <c r="O321" s="24"/>
    </row>
    <row r="322" spans="15:15">
      <c r="O322" s="24"/>
    </row>
    <row r="323" spans="15:15">
      <c r="O323" s="24"/>
    </row>
    <row r="324" spans="15:15">
      <c r="O324" s="24"/>
    </row>
    <row r="325" spans="15:15">
      <c r="O325" s="24"/>
    </row>
    <row r="326" spans="15:15">
      <c r="O326" s="24"/>
    </row>
    <row r="327" spans="15:15">
      <c r="O327" s="24"/>
    </row>
    <row r="328" spans="15:15">
      <c r="O328" s="24"/>
    </row>
    <row r="329" spans="15:15">
      <c r="O329" s="24"/>
    </row>
    <row r="330" spans="15:15">
      <c r="O330" s="24"/>
    </row>
    <row r="331" spans="15:15">
      <c r="O331" s="24"/>
    </row>
    <row r="332" spans="15:15">
      <c r="O332" s="24"/>
    </row>
    <row r="333" spans="15:15">
      <c r="O333" s="24"/>
    </row>
    <row r="334" spans="15:15">
      <c r="O334" s="24"/>
    </row>
    <row r="335" spans="15:15">
      <c r="O335" s="24"/>
    </row>
    <row r="336" spans="15:15">
      <c r="O336" s="24"/>
    </row>
    <row r="337" spans="15:15">
      <c r="O337" s="24"/>
    </row>
    <row r="338" spans="15:15">
      <c r="O338" s="24"/>
    </row>
    <row r="339" spans="15:15">
      <c r="O339" s="24"/>
    </row>
    <row r="340" spans="15:15">
      <c r="O340" s="24"/>
    </row>
    <row r="341" spans="15:15">
      <c r="O341" s="24"/>
    </row>
    <row r="342" spans="15:15">
      <c r="O342" s="24"/>
    </row>
    <row r="343" spans="15:15">
      <c r="O343" s="24"/>
    </row>
    <row r="344" spans="15:15">
      <c r="O344" s="24"/>
    </row>
    <row r="345" spans="15:15">
      <c r="O345" s="24"/>
    </row>
    <row r="346" spans="15:15">
      <c r="O346" s="24"/>
    </row>
    <row r="347" spans="15:15">
      <c r="O347" s="24"/>
    </row>
    <row r="348" spans="15:15">
      <c r="O348" s="24"/>
    </row>
    <row r="349" spans="15:15">
      <c r="O349" s="24"/>
    </row>
    <row r="350" spans="15:15">
      <c r="O350" s="24"/>
    </row>
    <row r="351" spans="15:15">
      <c r="O351" s="24"/>
    </row>
    <row r="352" spans="15:15">
      <c r="O352" s="24"/>
    </row>
    <row r="353" spans="15:15">
      <c r="O353" s="24"/>
    </row>
    <row r="354" spans="15:15">
      <c r="O354" s="24"/>
    </row>
    <row r="355" spans="15:15">
      <c r="O355" s="24"/>
    </row>
    <row r="356" spans="15:15">
      <c r="O356" s="24"/>
    </row>
    <row r="357" spans="15:15">
      <c r="O357" s="24"/>
    </row>
    <row r="358" spans="15:15">
      <c r="O358" s="24"/>
    </row>
    <row r="359" spans="15:15">
      <c r="O359" s="24"/>
    </row>
    <row r="360" spans="15:15">
      <c r="O360" s="24"/>
    </row>
    <row r="361" spans="15:15">
      <c r="O361" s="24"/>
    </row>
    <row r="362" spans="15:15">
      <c r="O362" s="24"/>
    </row>
    <row r="363" spans="15:15">
      <c r="O363" s="24"/>
    </row>
    <row r="364" spans="15:15">
      <c r="O364" s="24"/>
    </row>
    <row r="365" spans="15:15">
      <c r="O365" s="24"/>
    </row>
    <row r="366" spans="15:15">
      <c r="O366" s="24"/>
    </row>
    <row r="367" spans="15:15">
      <c r="O367" s="24"/>
    </row>
    <row r="368" spans="15:15">
      <c r="O368" s="24"/>
    </row>
    <row r="369" spans="15:15">
      <c r="O369" s="24"/>
    </row>
    <row r="370" spans="15:15">
      <c r="O370" s="24"/>
    </row>
    <row r="371" spans="15:15">
      <c r="O371" s="24"/>
    </row>
    <row r="372" spans="15:15">
      <c r="O372" s="24"/>
    </row>
    <row r="373" spans="15:15">
      <c r="O373" s="24"/>
    </row>
    <row r="374" spans="15:15">
      <c r="O374" s="24"/>
    </row>
    <row r="375" spans="15:15">
      <c r="O375" s="24"/>
    </row>
    <row r="376" spans="15:15">
      <c r="O376" s="24"/>
    </row>
    <row r="377" spans="15:15">
      <c r="O377" s="24"/>
    </row>
    <row r="378" spans="15:15">
      <c r="O378" s="24"/>
    </row>
    <row r="379" spans="15:15">
      <c r="O379" s="24"/>
    </row>
    <row r="380" spans="15:15">
      <c r="O380" s="24"/>
    </row>
    <row r="381" spans="15:15">
      <c r="O381" s="24"/>
    </row>
    <row r="382" spans="15:15">
      <c r="O382" s="24"/>
    </row>
    <row r="383" spans="15:15">
      <c r="O383" s="24"/>
    </row>
    <row r="384" spans="15:15">
      <c r="O384" s="24"/>
    </row>
    <row r="385" spans="15:15">
      <c r="O385" s="24"/>
    </row>
    <row r="386" spans="15:15">
      <c r="O386" s="24"/>
    </row>
    <row r="387" spans="15:15">
      <c r="O387" s="24"/>
    </row>
    <row r="388" spans="15:15">
      <c r="O388" s="24"/>
    </row>
    <row r="389" spans="15:15">
      <c r="O389" s="24"/>
    </row>
    <row r="390" spans="15:15">
      <c r="O390" s="24"/>
    </row>
    <row r="391" spans="15:15">
      <c r="O391" s="24"/>
    </row>
    <row r="392" spans="15:15">
      <c r="O392" s="24"/>
    </row>
    <row r="393" spans="15:15">
      <c r="O393" s="24"/>
    </row>
    <row r="394" spans="15:15">
      <c r="O394" s="24"/>
    </row>
    <row r="395" spans="15:15">
      <c r="O395" s="24"/>
    </row>
    <row r="396" spans="15:15">
      <c r="O396" s="24"/>
    </row>
    <row r="397" spans="15:15">
      <c r="O397" s="24"/>
    </row>
    <row r="398" spans="15:15">
      <c r="O398" s="24"/>
    </row>
    <row r="399" spans="15:15">
      <c r="O399" s="24"/>
    </row>
    <row r="400" spans="15:15">
      <c r="O400" s="24"/>
    </row>
    <row r="401" spans="15:15">
      <c r="O401" s="24"/>
    </row>
    <row r="402" spans="15:15">
      <c r="O402" s="24"/>
    </row>
    <row r="403" spans="15:15">
      <c r="O403" s="24"/>
    </row>
    <row r="404" spans="15:15">
      <c r="O404" s="24"/>
    </row>
    <row r="405" spans="15:15">
      <c r="O405" s="24"/>
    </row>
    <row r="406" spans="15:15">
      <c r="O406" s="24"/>
    </row>
    <row r="407" spans="15:15">
      <c r="O407" s="24"/>
    </row>
    <row r="408" spans="15:15">
      <c r="O408" s="24"/>
    </row>
    <row r="409" spans="15:15">
      <c r="O409" s="24"/>
    </row>
    <row r="410" spans="15:15">
      <c r="O410" s="24"/>
    </row>
    <row r="411" spans="15:15">
      <c r="O411" s="24"/>
    </row>
    <row r="412" spans="15:15">
      <c r="O412" s="24"/>
    </row>
    <row r="413" spans="15:15">
      <c r="O413" s="24"/>
    </row>
    <row r="414" spans="15:15">
      <c r="O414" s="24"/>
    </row>
    <row r="415" spans="15:15">
      <c r="O415" s="24"/>
    </row>
    <row r="416" spans="15:15">
      <c r="O416" s="24"/>
    </row>
    <row r="417" spans="15:15">
      <c r="O417" s="24"/>
    </row>
    <row r="418" spans="15:15">
      <c r="O418" s="24"/>
    </row>
    <row r="419" spans="15:15">
      <c r="O419" s="24"/>
    </row>
    <row r="420" spans="15:15">
      <c r="O420" s="24"/>
    </row>
    <row r="421" spans="15:15">
      <c r="O421" s="24"/>
    </row>
    <row r="422" spans="15:15">
      <c r="O422" s="24"/>
    </row>
    <row r="423" spans="15:15">
      <c r="O423" s="24"/>
    </row>
    <row r="424" spans="15:15">
      <c r="O424" s="24"/>
    </row>
    <row r="425" spans="15:15">
      <c r="O425" s="24"/>
    </row>
    <row r="426" spans="15:15">
      <c r="O426" s="24"/>
    </row>
    <row r="427" spans="15:15">
      <c r="O427" s="24"/>
    </row>
    <row r="428" spans="15:15">
      <c r="O428" s="24"/>
    </row>
    <row r="429" spans="15:15">
      <c r="O429" s="24"/>
    </row>
    <row r="430" spans="15:15">
      <c r="O430" s="24"/>
    </row>
    <row r="431" spans="15:15">
      <c r="O431" s="24"/>
    </row>
    <row r="432" spans="15:15">
      <c r="O432" s="24"/>
    </row>
    <row r="433" spans="15:15">
      <c r="O433" s="24"/>
    </row>
    <row r="434" spans="15:15">
      <c r="O434" s="24"/>
    </row>
    <row r="435" spans="15:15">
      <c r="O435" s="24"/>
    </row>
    <row r="436" spans="15:15">
      <c r="O436" s="24"/>
    </row>
    <row r="437" spans="15:15">
      <c r="O437" s="24"/>
    </row>
    <row r="438" spans="15:15">
      <c r="O438" s="24"/>
    </row>
    <row r="439" spans="15:15">
      <c r="O439" s="24"/>
    </row>
    <row r="440" spans="15:15">
      <c r="O440" s="24"/>
    </row>
    <row r="441" spans="15:15">
      <c r="O441" s="24"/>
    </row>
    <row r="442" spans="15:15">
      <c r="O442" s="24"/>
    </row>
    <row r="443" spans="15:15">
      <c r="O443" s="24"/>
    </row>
    <row r="444" spans="15:15">
      <c r="O444" s="24"/>
    </row>
    <row r="445" spans="15:15">
      <c r="O445" s="24"/>
    </row>
    <row r="446" spans="15:15">
      <c r="O446" s="24"/>
    </row>
    <row r="447" spans="15:15">
      <c r="O447" s="24"/>
    </row>
    <row r="448" spans="15:15">
      <c r="O448" s="24"/>
    </row>
    <row r="449" spans="15:15">
      <c r="O449" s="24"/>
    </row>
    <row r="450" spans="15:15">
      <c r="O450" s="24"/>
    </row>
    <row r="451" spans="15:15">
      <c r="O451" s="24"/>
    </row>
    <row r="452" spans="15:15">
      <c r="O452" s="24"/>
    </row>
    <row r="453" spans="15:15">
      <c r="O453" s="24"/>
    </row>
    <row r="454" spans="15:15">
      <c r="O454" s="24"/>
    </row>
    <row r="455" spans="15:15">
      <c r="O455" s="24"/>
    </row>
    <row r="456" spans="15:15">
      <c r="O456" s="24"/>
    </row>
    <row r="457" spans="15:15">
      <c r="O457" s="24"/>
    </row>
    <row r="458" spans="15:15">
      <c r="O458" s="24"/>
    </row>
    <row r="459" spans="15:15">
      <c r="O459" s="24"/>
    </row>
    <row r="460" spans="15:15">
      <c r="O460" s="24"/>
    </row>
    <row r="461" spans="15:15">
      <c r="O461" s="24"/>
    </row>
    <row r="462" spans="15:15">
      <c r="O462" s="24"/>
    </row>
    <row r="463" spans="15:15">
      <c r="O463" s="24"/>
    </row>
    <row r="464" spans="15:15">
      <c r="O464" s="24"/>
    </row>
    <row r="465" spans="15:15">
      <c r="O465" s="24"/>
    </row>
    <row r="466" spans="15:15">
      <c r="O466" s="24"/>
    </row>
    <row r="467" spans="15:15">
      <c r="O467" s="24"/>
    </row>
    <row r="468" spans="15:15">
      <c r="O468" s="24"/>
    </row>
    <row r="469" spans="15:15">
      <c r="O469" s="24"/>
    </row>
    <row r="470" spans="15:15">
      <c r="O470" s="24"/>
    </row>
    <row r="471" spans="15:15">
      <c r="O471" s="24"/>
    </row>
    <row r="472" spans="15:15">
      <c r="O472" s="24"/>
    </row>
    <row r="473" spans="15:15">
      <c r="O473" s="24"/>
    </row>
    <row r="474" spans="15:15">
      <c r="O474" s="24"/>
    </row>
    <row r="475" spans="15:15">
      <c r="O475" s="24"/>
    </row>
    <row r="476" spans="15:15">
      <c r="O476" s="24"/>
    </row>
    <row r="477" spans="15:15">
      <c r="O477" s="24"/>
    </row>
    <row r="478" spans="15:15">
      <c r="O478" s="24"/>
    </row>
    <row r="479" spans="15:15">
      <c r="O479" s="24"/>
    </row>
    <row r="480" spans="15:15">
      <c r="O480" s="24"/>
    </row>
    <row r="481" spans="15:15">
      <c r="O481" s="24"/>
    </row>
    <row r="482" spans="15:15">
      <c r="O482" s="24"/>
    </row>
    <row r="483" spans="15:15">
      <c r="O483" s="24"/>
    </row>
    <row r="484" spans="15:15">
      <c r="O484" s="24"/>
    </row>
    <row r="485" spans="15:15">
      <c r="O485" s="24"/>
    </row>
    <row r="486" spans="15:15">
      <c r="O486" s="24"/>
    </row>
    <row r="487" spans="15:15">
      <c r="O487" s="24"/>
    </row>
    <row r="488" spans="15:15">
      <c r="O488" s="24"/>
    </row>
    <row r="489" spans="15:15">
      <c r="O489" s="24"/>
    </row>
    <row r="490" spans="15:15">
      <c r="O490" s="24"/>
    </row>
    <row r="491" spans="15:15">
      <c r="O491" s="24"/>
    </row>
    <row r="492" spans="15:15">
      <c r="O492" s="24"/>
    </row>
    <row r="493" spans="15:15">
      <c r="O493" s="24"/>
    </row>
    <row r="494" spans="15:15">
      <c r="O494" s="24"/>
    </row>
    <row r="495" spans="15:15">
      <c r="O495" s="24"/>
    </row>
    <row r="496" spans="15:15">
      <c r="O496" s="24"/>
    </row>
    <row r="497" spans="15:15">
      <c r="O497" s="24"/>
    </row>
    <row r="498" spans="15:15">
      <c r="O498" s="24"/>
    </row>
    <row r="499" spans="15:15">
      <c r="O499" s="24"/>
    </row>
    <row r="500" spans="15:15">
      <c r="O500" s="24"/>
    </row>
    <row r="501" spans="15:15">
      <c r="O501" s="24"/>
    </row>
    <row r="502" spans="15:15">
      <c r="O502" s="24"/>
    </row>
    <row r="503" spans="15:15">
      <c r="O503" s="24"/>
    </row>
    <row r="504" spans="15:15">
      <c r="O504" s="24"/>
    </row>
    <row r="505" spans="15:15">
      <c r="O505" s="24"/>
    </row>
    <row r="506" spans="15:15">
      <c r="O506" s="24"/>
    </row>
    <row r="507" spans="15:15">
      <c r="O507" s="24"/>
    </row>
    <row r="508" spans="15:15">
      <c r="O508" s="24"/>
    </row>
    <row r="509" spans="15:15">
      <c r="O509" s="24"/>
    </row>
    <row r="510" spans="15:15">
      <c r="O510" s="24"/>
    </row>
    <row r="511" spans="15:15">
      <c r="O511" s="24"/>
    </row>
    <row r="512" spans="15:15">
      <c r="O512" s="24"/>
    </row>
    <row r="513" spans="15:15">
      <c r="O513" s="24"/>
    </row>
    <row r="514" spans="15:15">
      <c r="O514" s="24"/>
    </row>
    <row r="515" spans="15:15">
      <c r="O515" s="24"/>
    </row>
    <row r="516" spans="15:15">
      <c r="O516" s="24"/>
    </row>
    <row r="517" spans="15:15">
      <c r="O517" s="24"/>
    </row>
    <row r="518" spans="15:15">
      <c r="O518" s="24"/>
    </row>
    <row r="519" spans="15:15">
      <c r="O519" s="24"/>
    </row>
    <row r="520" spans="15:15">
      <c r="O520" s="24"/>
    </row>
    <row r="521" spans="15:15">
      <c r="O521" s="24"/>
    </row>
    <row r="522" spans="15:15">
      <c r="O522" s="24"/>
    </row>
    <row r="523" spans="15:15">
      <c r="O523" s="24"/>
    </row>
    <row r="524" spans="15:15">
      <c r="O524" s="24"/>
    </row>
    <row r="525" spans="15:15">
      <c r="O525" s="24"/>
    </row>
    <row r="526" spans="15:15">
      <c r="O526" s="24"/>
    </row>
    <row r="527" spans="15:15">
      <c r="O527" s="24"/>
    </row>
    <row r="528" spans="15:15">
      <c r="O528" s="24"/>
    </row>
    <row r="529" spans="15:15">
      <c r="O529" s="24"/>
    </row>
    <row r="530" spans="15:15">
      <c r="O530" s="24"/>
    </row>
    <row r="531" spans="15:15">
      <c r="O531" s="24"/>
    </row>
    <row r="532" spans="15:15">
      <c r="O532" s="24"/>
    </row>
    <row r="533" spans="15:15">
      <c r="O533" s="24"/>
    </row>
    <row r="534" spans="15:15">
      <c r="O534" s="24"/>
    </row>
    <row r="535" spans="15:15">
      <c r="O535" s="24"/>
    </row>
    <row r="536" spans="15:15">
      <c r="O536" s="24"/>
    </row>
    <row r="537" spans="15:15">
      <c r="O537" s="24"/>
    </row>
    <row r="538" spans="15:15">
      <c r="O538" s="24"/>
    </row>
    <row r="539" spans="15:15">
      <c r="O539" s="24"/>
    </row>
    <row r="540" spans="15:15">
      <c r="O540" s="24"/>
    </row>
    <row r="541" spans="15:15">
      <c r="O541" s="24"/>
    </row>
    <row r="542" spans="15:15">
      <c r="O542" s="24"/>
    </row>
    <row r="543" spans="15:15">
      <c r="O543" s="24"/>
    </row>
    <row r="544" spans="15:15">
      <c r="O544" s="24"/>
    </row>
    <row r="545" spans="15:15">
      <c r="O545" s="24"/>
    </row>
    <row r="546" spans="15:15">
      <c r="O546" s="24"/>
    </row>
    <row r="547" spans="15:15">
      <c r="O547" s="24"/>
    </row>
    <row r="548" spans="15:15">
      <c r="O548" s="24"/>
    </row>
    <row r="549" spans="15:15">
      <c r="O549" s="24"/>
    </row>
    <row r="550" spans="15:15">
      <c r="O550" s="24"/>
    </row>
    <row r="551" spans="15:15">
      <c r="O551" s="24"/>
    </row>
    <row r="552" spans="15:15">
      <c r="O552" s="24"/>
    </row>
    <row r="553" spans="15:15">
      <c r="O553" s="24"/>
    </row>
    <row r="554" spans="15:15">
      <c r="O554" s="24"/>
    </row>
    <row r="555" spans="15:15">
      <c r="O555" s="24"/>
    </row>
    <row r="556" spans="15:15">
      <c r="O556" s="24"/>
    </row>
    <row r="557" spans="15:15">
      <c r="O557" s="24"/>
    </row>
    <row r="558" spans="15:15">
      <c r="O558" s="24"/>
    </row>
    <row r="559" spans="15:15">
      <c r="O559" s="24"/>
    </row>
    <row r="560" spans="15:15">
      <c r="O560" s="24"/>
    </row>
    <row r="561" spans="15:15">
      <c r="O561" s="24"/>
    </row>
    <row r="562" spans="15:15">
      <c r="O562" s="24"/>
    </row>
    <row r="563" spans="15:15">
      <c r="O563" s="24"/>
    </row>
    <row r="564" spans="15:15">
      <c r="O564" s="24"/>
    </row>
    <row r="565" spans="15:15">
      <c r="O565" s="24"/>
    </row>
    <row r="566" spans="15:15">
      <c r="O566" s="24"/>
    </row>
    <row r="567" spans="15:15">
      <c r="O567" s="24"/>
    </row>
    <row r="568" spans="15:15">
      <c r="O568" s="24"/>
    </row>
    <row r="569" spans="15:15">
      <c r="O569" s="24"/>
    </row>
    <row r="570" spans="15:15">
      <c r="O570" s="24"/>
    </row>
    <row r="571" spans="15:15">
      <c r="O571" s="24"/>
    </row>
    <row r="572" spans="15:15">
      <c r="O572" s="24"/>
    </row>
    <row r="573" spans="15:15">
      <c r="O573" s="24"/>
    </row>
    <row r="574" spans="15:15">
      <c r="O574" s="24"/>
    </row>
    <row r="575" spans="15:15">
      <c r="O575" s="24"/>
    </row>
    <row r="576" spans="15:15">
      <c r="O576" s="24"/>
    </row>
    <row r="577" spans="15:15">
      <c r="O577" s="24"/>
    </row>
    <row r="578" spans="15:15">
      <c r="O578" s="24"/>
    </row>
    <row r="579" spans="15:15">
      <c r="O579" s="24"/>
    </row>
    <row r="580" spans="15:15">
      <c r="O580" s="24"/>
    </row>
    <row r="581" spans="15:15">
      <c r="O581" s="24"/>
    </row>
    <row r="582" spans="15:15">
      <c r="O582" s="24"/>
    </row>
    <row r="583" spans="15:15">
      <c r="O583" s="24"/>
    </row>
    <row r="584" spans="15:15">
      <c r="O584" s="24"/>
    </row>
    <row r="585" spans="15:15">
      <c r="O585" s="24"/>
    </row>
    <row r="586" spans="15:15">
      <c r="O586" s="24"/>
    </row>
    <row r="587" spans="15:15">
      <c r="O587" s="24"/>
    </row>
    <row r="588" spans="15:15">
      <c r="O588" s="24"/>
    </row>
    <row r="589" spans="15:15">
      <c r="O589" s="24"/>
    </row>
    <row r="590" spans="15:15">
      <c r="O590" s="24"/>
    </row>
    <row r="591" spans="15:15">
      <c r="O591" s="24"/>
    </row>
    <row r="592" spans="15:15">
      <c r="O592" s="24"/>
    </row>
    <row r="593" spans="15:15">
      <c r="O593" s="24"/>
    </row>
    <row r="594" spans="15:15">
      <c r="O594" s="24"/>
    </row>
    <row r="595" spans="15:15">
      <c r="O595" s="24"/>
    </row>
    <row r="596" spans="15:15">
      <c r="O596" s="24"/>
    </row>
    <row r="597" spans="15:15">
      <c r="O597" s="24"/>
    </row>
    <row r="598" spans="15:15">
      <c r="O598" s="24"/>
    </row>
    <row r="599" spans="15:15">
      <c r="O599" s="24"/>
    </row>
    <row r="600" spans="15:15">
      <c r="O600" s="24"/>
    </row>
    <row r="601" spans="15:15">
      <c r="O601" s="24"/>
    </row>
    <row r="602" spans="15:15">
      <c r="O602" s="24"/>
    </row>
    <row r="603" spans="15:15">
      <c r="O603" s="24"/>
    </row>
    <row r="604" spans="15:15">
      <c r="O604" s="24"/>
    </row>
    <row r="605" spans="15:15">
      <c r="O605" s="24"/>
    </row>
    <row r="606" spans="15:15">
      <c r="O606" s="24"/>
    </row>
    <row r="607" spans="15:15">
      <c r="O607" s="24"/>
    </row>
    <row r="608" spans="15:15">
      <c r="O608" s="24"/>
    </row>
    <row r="609" spans="15:15">
      <c r="O609" s="24"/>
    </row>
    <row r="610" spans="15:15">
      <c r="O610" s="24"/>
    </row>
    <row r="611" spans="15:15">
      <c r="O611" s="24"/>
    </row>
    <row r="612" spans="15:15">
      <c r="O612" s="24"/>
    </row>
    <row r="613" spans="15:15">
      <c r="O613" s="24"/>
    </row>
    <row r="614" spans="15:15">
      <c r="O614" s="24"/>
    </row>
    <row r="615" spans="15:15">
      <c r="O615" s="24"/>
    </row>
    <row r="616" spans="15:15">
      <c r="O616" s="24"/>
    </row>
    <row r="617" spans="15:15">
      <c r="O617" s="24"/>
    </row>
    <row r="618" spans="15:15">
      <c r="O618" s="24"/>
    </row>
    <row r="619" spans="15:15">
      <c r="O619" s="24"/>
    </row>
    <row r="620" spans="15:15">
      <c r="O620" s="24"/>
    </row>
    <row r="621" spans="15:15">
      <c r="O621" s="24"/>
    </row>
    <row r="622" spans="15:15">
      <c r="O622" s="24"/>
    </row>
    <row r="623" spans="15:15">
      <c r="O623" s="24"/>
    </row>
    <row r="624" spans="15:15">
      <c r="O624" s="24"/>
    </row>
    <row r="625" spans="15:15">
      <c r="O625" s="24"/>
    </row>
    <row r="626" spans="15:15">
      <c r="O626" s="24"/>
    </row>
    <row r="627" spans="15:15">
      <c r="O627" s="24"/>
    </row>
    <row r="628" spans="15:15">
      <c r="O628" s="24"/>
    </row>
    <row r="629" spans="15:15">
      <c r="O629" s="24"/>
    </row>
    <row r="630" spans="15:15">
      <c r="O630" s="24"/>
    </row>
    <row r="631" spans="15:15">
      <c r="O631" s="24"/>
    </row>
    <row r="632" spans="15:15">
      <c r="O632" s="24"/>
    </row>
    <row r="633" spans="15:15">
      <c r="O633" s="24"/>
    </row>
    <row r="634" spans="15:15">
      <c r="O634" s="24"/>
    </row>
    <row r="635" spans="15:15">
      <c r="O635" s="24"/>
    </row>
    <row r="636" spans="15:15">
      <c r="O636" s="24"/>
    </row>
    <row r="637" spans="15:15">
      <c r="O637" s="24"/>
    </row>
    <row r="638" spans="15:15">
      <c r="O638" s="24"/>
    </row>
    <row r="639" spans="15:15">
      <c r="O639" s="24"/>
    </row>
    <row r="640" spans="15:15">
      <c r="O640" s="24"/>
    </row>
    <row r="641" spans="15:15">
      <c r="O641" s="24"/>
    </row>
    <row r="642" spans="15:15">
      <c r="O642" s="24"/>
    </row>
    <row r="643" spans="15:15">
      <c r="O643" s="24"/>
    </row>
    <row r="644" spans="15:15">
      <c r="O644" s="24"/>
    </row>
    <row r="645" spans="15:15">
      <c r="O645" s="24"/>
    </row>
    <row r="646" spans="15:15">
      <c r="O646" s="24"/>
    </row>
    <row r="647" spans="15:15">
      <c r="O647" s="24"/>
    </row>
    <row r="648" spans="15:15">
      <c r="O648" s="24"/>
    </row>
    <row r="649" spans="15:15">
      <c r="O649" s="24"/>
    </row>
    <row r="650" spans="15:15">
      <c r="O650" s="24"/>
    </row>
    <row r="651" spans="15:15">
      <c r="O651" s="24"/>
    </row>
    <row r="652" spans="15:15">
      <c r="O652" s="24"/>
    </row>
    <row r="653" spans="15:15">
      <c r="O653" s="24"/>
    </row>
    <row r="654" spans="15:15">
      <c r="O654" s="24"/>
    </row>
    <row r="655" spans="15:15">
      <c r="O655" s="24"/>
    </row>
    <row r="656" spans="15:15">
      <c r="O656" s="24"/>
    </row>
    <row r="657" spans="15:15">
      <c r="O657" s="24"/>
    </row>
    <row r="658" spans="15:15">
      <c r="O658" s="24"/>
    </row>
    <row r="659" spans="15:15">
      <c r="O659" s="24"/>
    </row>
    <row r="660" spans="15:15">
      <c r="O660" s="24"/>
    </row>
    <row r="661" spans="15:15">
      <c r="O661" s="24"/>
    </row>
    <row r="662" spans="15:15">
      <c r="O662" s="24"/>
    </row>
    <row r="663" spans="15:15">
      <c r="O663" s="24"/>
    </row>
    <row r="664" spans="15:15">
      <c r="O664" s="24"/>
    </row>
    <row r="665" spans="15:15">
      <c r="O665" s="24"/>
    </row>
    <row r="666" spans="15:15">
      <c r="O666" s="24"/>
    </row>
    <row r="667" spans="15:15">
      <c r="O667" s="24"/>
    </row>
    <row r="668" spans="15:15">
      <c r="O668" s="24"/>
    </row>
    <row r="669" spans="15:15">
      <c r="O669" s="24"/>
    </row>
    <row r="670" spans="15:15">
      <c r="O670" s="24"/>
    </row>
    <row r="671" spans="15:15">
      <c r="O671" s="24"/>
    </row>
    <row r="672" spans="15:15">
      <c r="O672" s="24"/>
    </row>
    <row r="673" spans="15:15">
      <c r="O673" s="24"/>
    </row>
    <row r="674" spans="15:15">
      <c r="O674" s="24"/>
    </row>
    <row r="675" spans="15:15">
      <c r="O675" s="24"/>
    </row>
    <row r="676" spans="15:15">
      <c r="O676" s="24"/>
    </row>
    <row r="677" spans="15:15">
      <c r="O677" s="24"/>
    </row>
    <row r="678" spans="15:15">
      <c r="O678" s="24"/>
    </row>
    <row r="679" spans="15:15">
      <c r="O679" s="24"/>
    </row>
    <row r="680" spans="15:15">
      <c r="O680" s="24"/>
    </row>
    <row r="681" spans="15:15">
      <c r="O681" s="24"/>
    </row>
    <row r="682" spans="15:15">
      <c r="O682" s="24"/>
    </row>
    <row r="683" spans="15:15">
      <c r="O683" s="24"/>
    </row>
    <row r="684" spans="15:15">
      <c r="O684" s="24"/>
    </row>
    <row r="685" spans="15:15">
      <c r="O685" s="24"/>
    </row>
    <row r="686" spans="15:15">
      <c r="O686" s="24"/>
    </row>
    <row r="687" spans="15:15">
      <c r="O687" s="24"/>
    </row>
    <row r="688" spans="15:15">
      <c r="O688" s="24"/>
    </row>
    <row r="689" spans="15:15">
      <c r="O689" s="24"/>
    </row>
    <row r="690" spans="15:15">
      <c r="O690" s="24"/>
    </row>
    <row r="691" spans="15:15">
      <c r="O691" s="24"/>
    </row>
    <row r="692" spans="15:15">
      <c r="O692" s="24"/>
    </row>
    <row r="693" spans="15:15">
      <c r="O693" s="24"/>
    </row>
    <row r="694" spans="15:15">
      <c r="O694" s="24"/>
    </row>
    <row r="695" spans="15:15">
      <c r="O695" s="24"/>
    </row>
    <row r="696" spans="15:15">
      <c r="O696" s="24"/>
    </row>
    <row r="697" spans="15:15">
      <c r="O697" s="24"/>
    </row>
    <row r="698" spans="15:15">
      <c r="O698" s="24"/>
    </row>
    <row r="699" spans="15:15">
      <c r="O699" s="24"/>
    </row>
    <row r="700" spans="15:15">
      <c r="O700" s="24"/>
    </row>
    <row r="701" spans="15:15">
      <c r="O701" s="24"/>
    </row>
    <row r="702" spans="15:15">
      <c r="O702" s="24"/>
    </row>
    <row r="703" spans="15:15">
      <c r="O703" s="24"/>
    </row>
    <row r="704" spans="15:15">
      <c r="O704" s="24"/>
    </row>
    <row r="705" spans="15:15">
      <c r="O705" s="24"/>
    </row>
    <row r="706" spans="15:15">
      <c r="O706" s="24"/>
    </row>
    <row r="707" spans="15:15">
      <c r="O707" s="24"/>
    </row>
    <row r="708" spans="15:15">
      <c r="O708" s="24"/>
    </row>
    <row r="709" spans="15:15">
      <c r="O709" s="24"/>
    </row>
    <row r="710" spans="15:15">
      <c r="O710" s="24"/>
    </row>
    <row r="711" spans="15:15">
      <c r="O711" s="24"/>
    </row>
    <row r="712" spans="15:15">
      <c r="O712" s="24"/>
    </row>
    <row r="713" spans="15:15">
      <c r="O713" s="24"/>
    </row>
    <row r="714" spans="15:15">
      <c r="O714" s="24"/>
    </row>
    <row r="715" spans="15:15">
      <c r="O715" s="24"/>
    </row>
    <row r="716" spans="15:15">
      <c r="O716" s="24"/>
    </row>
    <row r="717" spans="15:15">
      <c r="O717" s="24"/>
    </row>
    <row r="718" spans="15:15">
      <c r="O718" s="24"/>
    </row>
    <row r="719" spans="15:15">
      <c r="O719" s="24"/>
    </row>
    <row r="720" spans="15:15">
      <c r="O720" s="24"/>
    </row>
    <row r="721" spans="15:15">
      <c r="O721" s="24"/>
    </row>
    <row r="722" spans="15:15">
      <c r="O722" s="24"/>
    </row>
    <row r="723" spans="15:15">
      <c r="O723" s="24"/>
    </row>
    <row r="724" spans="15:15">
      <c r="O724" s="24"/>
    </row>
    <row r="725" spans="15:15">
      <c r="O725" s="24"/>
    </row>
    <row r="726" spans="15:15">
      <c r="O726" s="24"/>
    </row>
    <row r="727" spans="15:15">
      <c r="O727" s="24"/>
    </row>
    <row r="728" spans="15:15">
      <c r="O728" s="24"/>
    </row>
    <row r="729" spans="15:15">
      <c r="O729" s="24"/>
    </row>
    <row r="730" spans="15:15">
      <c r="O730" s="24"/>
    </row>
    <row r="731" spans="15:15">
      <c r="O731" s="24"/>
    </row>
    <row r="732" spans="15:15">
      <c r="O732" s="24"/>
    </row>
    <row r="733" spans="15:15">
      <c r="O733" s="24"/>
    </row>
    <row r="734" spans="15:15">
      <c r="O734" s="24"/>
    </row>
    <row r="735" spans="15:15">
      <c r="O735" s="24"/>
    </row>
    <row r="736" spans="15:15">
      <c r="O736" s="24"/>
    </row>
    <row r="737" spans="15:15">
      <c r="O737" s="24"/>
    </row>
    <row r="738" spans="15:15">
      <c r="O738" s="24"/>
    </row>
    <row r="739" spans="15:15">
      <c r="O739" s="24"/>
    </row>
    <row r="740" spans="15:15">
      <c r="O740" s="24"/>
    </row>
    <row r="741" spans="15:15">
      <c r="O741" s="24"/>
    </row>
    <row r="742" spans="15:15">
      <c r="O742" s="24"/>
    </row>
    <row r="743" spans="15:15">
      <c r="O743" s="24"/>
    </row>
    <row r="744" spans="15:15">
      <c r="O744" s="24"/>
    </row>
    <row r="745" spans="15:15">
      <c r="O745" s="24"/>
    </row>
    <row r="746" spans="15:15">
      <c r="O746" s="24"/>
    </row>
    <row r="747" spans="15:15">
      <c r="O747" s="24"/>
    </row>
    <row r="748" spans="15:15">
      <c r="O748" s="24"/>
    </row>
    <row r="749" spans="15:15">
      <c r="O749" s="24"/>
    </row>
    <row r="750" spans="15:15">
      <c r="O750" s="24"/>
    </row>
    <row r="751" spans="15:15">
      <c r="O751" s="24"/>
    </row>
    <row r="752" spans="15:15">
      <c r="O752" s="24"/>
    </row>
    <row r="753" spans="15:15">
      <c r="O753" s="24"/>
    </row>
    <row r="754" spans="15:15">
      <c r="O754" s="24"/>
    </row>
    <row r="755" spans="15:15">
      <c r="O755" s="24"/>
    </row>
    <row r="756" spans="15:15">
      <c r="O756" s="24"/>
    </row>
    <row r="757" spans="15:15">
      <c r="O757" s="24"/>
    </row>
    <row r="758" spans="15:15">
      <c r="O758" s="24"/>
    </row>
    <row r="759" spans="15:15">
      <c r="O759" s="24"/>
    </row>
    <row r="760" spans="15:15">
      <c r="O760" s="24"/>
    </row>
    <row r="761" spans="15:15">
      <c r="O761" s="24"/>
    </row>
    <row r="762" spans="15:15">
      <c r="O762" s="24"/>
    </row>
    <row r="763" spans="15:15">
      <c r="O763" s="24"/>
    </row>
    <row r="764" spans="15:15">
      <c r="O764" s="24"/>
    </row>
    <row r="765" spans="15:15">
      <c r="O765" s="24"/>
    </row>
    <row r="766" spans="15:15">
      <c r="O766" s="24"/>
    </row>
    <row r="767" spans="15:15">
      <c r="O767" s="24"/>
    </row>
    <row r="768" spans="15:15">
      <c r="O768" s="24"/>
    </row>
    <row r="769" spans="15:15">
      <c r="O769" s="24"/>
    </row>
    <row r="770" spans="15:15">
      <c r="O770" s="24"/>
    </row>
    <row r="771" spans="15:15">
      <c r="O771" s="24"/>
    </row>
    <row r="772" spans="15:15">
      <c r="O772" s="24"/>
    </row>
    <row r="773" spans="15:15">
      <c r="O773" s="24"/>
    </row>
    <row r="774" spans="15:15">
      <c r="O774" s="24"/>
    </row>
    <row r="775" spans="15:15">
      <c r="O775" s="24"/>
    </row>
    <row r="776" spans="15:15">
      <c r="O776" s="24"/>
    </row>
    <row r="777" spans="15:15">
      <c r="O777" s="24"/>
    </row>
    <row r="778" spans="15:15">
      <c r="O778" s="24"/>
    </row>
    <row r="779" spans="15:15">
      <c r="O779" s="24"/>
    </row>
    <row r="780" spans="15:15">
      <c r="O780" s="24"/>
    </row>
    <row r="781" spans="15:15">
      <c r="O781" s="24"/>
    </row>
    <row r="782" spans="15:15">
      <c r="O782" s="24"/>
    </row>
    <row r="783" spans="15:15">
      <c r="O783" s="24"/>
    </row>
    <row r="784" spans="15:15">
      <c r="O784" s="24"/>
    </row>
    <row r="785" spans="15:15">
      <c r="O785" s="24"/>
    </row>
    <row r="786" spans="15:15">
      <c r="O786" s="24"/>
    </row>
    <row r="787" spans="15:15">
      <c r="O787" s="24"/>
    </row>
    <row r="788" spans="15:15">
      <c r="O788" s="24"/>
    </row>
    <row r="789" spans="15:15">
      <c r="O789" s="24"/>
    </row>
    <row r="790" spans="15:15">
      <c r="O790" s="24"/>
    </row>
    <row r="791" spans="15:15">
      <c r="O791" s="24"/>
    </row>
    <row r="792" spans="15:15">
      <c r="O792" s="24"/>
    </row>
    <row r="793" spans="15:15">
      <c r="O793" s="24"/>
    </row>
    <row r="794" spans="15:15">
      <c r="O794" s="24"/>
    </row>
    <row r="795" spans="15:15">
      <c r="O795" s="24"/>
    </row>
    <row r="796" spans="15:15">
      <c r="O796" s="24"/>
    </row>
    <row r="797" spans="15:15">
      <c r="O797" s="24"/>
    </row>
    <row r="798" spans="15:15">
      <c r="O798" s="24"/>
    </row>
    <row r="799" spans="15:15">
      <c r="O799" s="24"/>
    </row>
    <row r="800" spans="15:15">
      <c r="O800" s="24"/>
    </row>
    <row r="801" spans="15:15">
      <c r="O801" s="24"/>
    </row>
    <row r="802" spans="15:15">
      <c r="O802" s="24"/>
    </row>
    <row r="803" spans="15:15">
      <c r="O803" s="24"/>
    </row>
    <row r="804" spans="15:15">
      <c r="O804" s="24"/>
    </row>
    <row r="805" spans="15:15">
      <c r="O805" s="24"/>
    </row>
    <row r="806" spans="15:15">
      <c r="O806" s="24"/>
    </row>
    <row r="807" spans="15:15">
      <c r="O807" s="24"/>
    </row>
    <row r="808" spans="15:15">
      <c r="O808" s="24"/>
    </row>
    <row r="809" spans="15:15">
      <c r="O809" s="24"/>
    </row>
    <row r="810" spans="15:15">
      <c r="O810" s="24"/>
    </row>
    <row r="811" spans="15:15">
      <c r="O811" s="24"/>
    </row>
    <row r="812" spans="15:15">
      <c r="O812" s="24"/>
    </row>
    <row r="813" spans="15:15">
      <c r="O813" s="24"/>
    </row>
    <row r="814" spans="15:15">
      <c r="O814" s="24"/>
    </row>
    <row r="815" spans="15:15">
      <c r="O815" s="24"/>
    </row>
    <row r="816" spans="15:15">
      <c r="O816" s="24"/>
    </row>
    <row r="817" spans="15:15">
      <c r="O817" s="24"/>
    </row>
    <row r="818" spans="15:15">
      <c r="O818" s="24"/>
    </row>
    <row r="819" spans="15:15">
      <c r="O819" s="24"/>
    </row>
    <row r="820" spans="15:15">
      <c r="O820" s="24"/>
    </row>
    <row r="821" spans="15:15">
      <c r="O821" s="24"/>
    </row>
    <row r="822" spans="15:15">
      <c r="O822" s="24"/>
    </row>
    <row r="823" spans="15:15">
      <c r="O823" s="24"/>
    </row>
    <row r="824" spans="15:15">
      <c r="O824" s="24"/>
    </row>
    <row r="825" spans="15:15">
      <c r="O825" s="24"/>
    </row>
    <row r="826" spans="15:15">
      <c r="O826" s="24"/>
    </row>
    <row r="827" spans="15:15">
      <c r="O827" s="24"/>
    </row>
    <row r="828" spans="15:15">
      <c r="O828" s="24"/>
    </row>
    <row r="829" spans="15:15">
      <c r="O829" s="24"/>
    </row>
    <row r="830" spans="15:15">
      <c r="O830" s="24"/>
    </row>
    <row r="831" spans="15:15">
      <c r="O831" s="24"/>
    </row>
    <row r="832" spans="15:15">
      <c r="O832" s="24"/>
    </row>
    <row r="833" spans="15:15">
      <c r="O833" s="24"/>
    </row>
    <row r="834" spans="15:15">
      <c r="O834" s="24"/>
    </row>
    <row r="835" spans="15:15">
      <c r="O835" s="24"/>
    </row>
    <row r="836" spans="15:15">
      <c r="O836" s="24"/>
    </row>
    <row r="837" spans="15:15">
      <c r="O837" s="24"/>
    </row>
    <row r="838" spans="15:15">
      <c r="O838" s="24"/>
    </row>
    <row r="839" spans="15:15">
      <c r="O839" s="24"/>
    </row>
    <row r="840" spans="15:15">
      <c r="O840" s="24"/>
    </row>
    <row r="841" spans="15:15">
      <c r="O841" s="24"/>
    </row>
    <row r="842" spans="15:15">
      <c r="O842" s="24"/>
    </row>
    <row r="843" spans="15:15">
      <c r="O843" s="24"/>
    </row>
    <row r="844" spans="15:15">
      <c r="O844" s="24"/>
    </row>
    <row r="845" spans="15:15">
      <c r="O845" s="24"/>
    </row>
    <row r="846" spans="15:15">
      <c r="O846" s="24"/>
    </row>
    <row r="847" spans="15:15">
      <c r="O847" s="24"/>
    </row>
    <row r="848" spans="15:15">
      <c r="O848" s="24"/>
    </row>
    <row r="849" spans="15:15">
      <c r="O849" s="24"/>
    </row>
    <row r="850" spans="15:15">
      <c r="O850" s="24"/>
    </row>
    <row r="851" spans="15:15">
      <c r="O851" s="24"/>
    </row>
    <row r="852" spans="15:15">
      <c r="O852" s="24"/>
    </row>
    <row r="853" spans="15:15">
      <c r="O853" s="24"/>
    </row>
    <row r="854" spans="15:15">
      <c r="O854" s="24"/>
    </row>
    <row r="855" spans="15:15">
      <c r="O855" s="24"/>
    </row>
    <row r="856" spans="15:15">
      <c r="O856" s="24"/>
    </row>
    <row r="857" spans="15:15">
      <c r="O857" s="24"/>
    </row>
    <row r="858" spans="15:15">
      <c r="O858" s="24"/>
    </row>
    <row r="859" spans="15:15">
      <c r="O859" s="24"/>
    </row>
    <row r="860" spans="15:15">
      <c r="O860" s="24"/>
    </row>
    <row r="861" spans="15:15">
      <c r="O861" s="24"/>
    </row>
    <row r="862" spans="15:15">
      <c r="O862" s="24"/>
    </row>
    <row r="863" spans="15:15">
      <c r="O863" s="24"/>
    </row>
    <row r="864" spans="15:15">
      <c r="O864" s="24"/>
    </row>
    <row r="865" spans="15:15">
      <c r="O865" s="24"/>
    </row>
    <row r="866" spans="15:15">
      <c r="O866" s="24"/>
    </row>
    <row r="867" spans="15:15">
      <c r="O867" s="24"/>
    </row>
    <row r="868" spans="15:15">
      <c r="O868" s="24"/>
    </row>
    <row r="869" spans="15:15">
      <c r="O869" s="24"/>
    </row>
    <row r="870" spans="15:15">
      <c r="O870" s="24"/>
    </row>
    <row r="871" spans="15:15">
      <c r="O871" s="24"/>
    </row>
    <row r="872" spans="15:15">
      <c r="O872" s="24"/>
    </row>
    <row r="873" spans="15:15">
      <c r="O873" s="24"/>
    </row>
    <row r="874" spans="15:15">
      <c r="O874" s="24"/>
    </row>
    <row r="875" spans="15:15">
      <c r="O875" s="24"/>
    </row>
    <row r="876" spans="15:15">
      <c r="O876" s="24"/>
    </row>
    <row r="877" spans="15:15">
      <c r="O877" s="24"/>
    </row>
    <row r="878" spans="15:15">
      <c r="O878" s="24"/>
    </row>
    <row r="879" spans="15:15">
      <c r="O879" s="24"/>
    </row>
    <row r="880" spans="15:15">
      <c r="O880" s="24"/>
    </row>
    <row r="881" spans="15:15">
      <c r="O881" s="24"/>
    </row>
    <row r="882" spans="15:15">
      <c r="O882" s="24"/>
    </row>
    <row r="883" spans="15:15">
      <c r="O883" s="24"/>
    </row>
    <row r="884" spans="15:15">
      <c r="O884" s="24"/>
    </row>
    <row r="885" spans="15:15">
      <c r="O885" s="24"/>
    </row>
    <row r="886" spans="15:15">
      <c r="O886" s="24"/>
    </row>
    <row r="887" spans="15:15">
      <c r="O887" s="24"/>
    </row>
    <row r="888" spans="15:15">
      <c r="O888" s="24"/>
    </row>
    <row r="889" spans="15:15">
      <c r="O889" s="24"/>
    </row>
    <row r="890" spans="15:15">
      <c r="O890" s="24"/>
    </row>
    <row r="891" spans="15:15">
      <c r="O891" s="24"/>
    </row>
    <row r="892" spans="15:15">
      <c r="O892" s="24"/>
    </row>
    <row r="893" spans="15:15">
      <c r="O893" s="24"/>
    </row>
    <row r="894" spans="15:15">
      <c r="O894" s="24"/>
    </row>
    <row r="895" spans="15:15">
      <c r="O895" s="24"/>
    </row>
    <row r="896" spans="15:15">
      <c r="O896" s="24"/>
    </row>
    <row r="897" spans="15:15">
      <c r="O897" s="24"/>
    </row>
    <row r="898" spans="15:15">
      <c r="O898" s="24"/>
    </row>
    <row r="899" spans="15:15">
      <c r="O899" s="24"/>
    </row>
    <row r="900" spans="15:15">
      <c r="O900" s="24"/>
    </row>
    <row r="901" spans="15:15">
      <c r="O901" s="24"/>
    </row>
    <row r="902" spans="15:15">
      <c r="O902" s="24"/>
    </row>
    <row r="903" spans="15:15">
      <c r="O903" s="24"/>
    </row>
    <row r="904" spans="15:15">
      <c r="O904" s="24"/>
    </row>
    <row r="905" spans="15:15">
      <c r="O905" s="24"/>
    </row>
    <row r="906" spans="15:15">
      <c r="O906" s="24"/>
    </row>
    <row r="907" spans="15:15">
      <c r="O907" s="24"/>
    </row>
    <row r="908" spans="15:15">
      <c r="O908" s="24"/>
    </row>
    <row r="909" spans="15:15">
      <c r="O909" s="24"/>
    </row>
    <row r="910" spans="15:15">
      <c r="O910" s="24"/>
    </row>
    <row r="911" spans="15:15">
      <c r="O911" s="24"/>
    </row>
    <row r="912" spans="15:15">
      <c r="O912" s="24"/>
    </row>
    <row r="913" spans="15:15">
      <c r="O913" s="24"/>
    </row>
    <row r="914" spans="15:15">
      <c r="O914" s="24"/>
    </row>
    <row r="915" spans="15:15">
      <c r="O915" s="24"/>
    </row>
    <row r="916" spans="15:15">
      <c r="O916" s="24"/>
    </row>
    <row r="917" spans="15:15">
      <c r="O917" s="24"/>
    </row>
    <row r="918" spans="15:15">
      <c r="O918" s="24"/>
    </row>
    <row r="919" spans="15:15">
      <c r="O919" s="24"/>
    </row>
    <row r="920" spans="15:15">
      <c r="O920" s="24"/>
    </row>
    <row r="921" spans="15:15">
      <c r="O921" s="24"/>
    </row>
    <row r="922" spans="15:15">
      <c r="O922" s="24"/>
    </row>
    <row r="923" spans="15:15">
      <c r="O923" s="24"/>
    </row>
    <row r="924" spans="15:15">
      <c r="O924" s="24"/>
    </row>
    <row r="925" spans="15:15">
      <c r="O925" s="24"/>
    </row>
    <row r="926" spans="15:15">
      <c r="O926" s="24"/>
    </row>
    <row r="927" spans="15:15">
      <c r="O927" s="24"/>
    </row>
    <row r="928" spans="15:15">
      <c r="O928" s="24"/>
    </row>
    <row r="929" spans="15:15">
      <c r="O929" s="24"/>
    </row>
    <row r="930" spans="15:15">
      <c r="O930" s="24"/>
    </row>
    <row r="931" spans="15:15">
      <c r="O931" s="24"/>
    </row>
    <row r="932" spans="15:15">
      <c r="O932" s="24"/>
    </row>
    <row r="933" spans="15:15">
      <c r="O933" s="24"/>
    </row>
    <row r="934" spans="15:15">
      <c r="O934" s="24"/>
    </row>
    <row r="935" spans="15:15">
      <c r="O935" s="24"/>
    </row>
    <row r="936" spans="15:15">
      <c r="O936" s="24"/>
    </row>
    <row r="937" spans="15:15">
      <c r="O937" s="24"/>
    </row>
    <row r="938" spans="15:15">
      <c r="O938" s="24"/>
    </row>
    <row r="939" spans="15:15">
      <c r="O939" s="24"/>
    </row>
    <row r="940" spans="15:15">
      <c r="O940" s="24"/>
    </row>
    <row r="941" spans="15:15">
      <c r="O941" s="24"/>
    </row>
    <row r="942" spans="15:15">
      <c r="O942" s="24"/>
    </row>
    <row r="943" spans="15:15">
      <c r="O943" s="24"/>
    </row>
    <row r="944" spans="15:15">
      <c r="O944" s="24"/>
    </row>
    <row r="945" spans="15:15">
      <c r="O945" s="24"/>
    </row>
    <row r="946" spans="15:15">
      <c r="O946" s="24"/>
    </row>
    <row r="947" spans="15:15">
      <c r="O947" s="24"/>
    </row>
    <row r="948" spans="15:15">
      <c r="O948" s="24"/>
    </row>
    <row r="949" spans="15:15">
      <c r="O949" s="24"/>
    </row>
    <row r="950" spans="15:15">
      <c r="O950" s="24"/>
    </row>
    <row r="951" spans="15:15">
      <c r="O951" s="24"/>
    </row>
    <row r="952" spans="15:15">
      <c r="O952" s="24"/>
    </row>
    <row r="953" spans="15:15">
      <c r="O953" s="24"/>
    </row>
    <row r="954" spans="15:15">
      <c r="O954" s="24"/>
    </row>
    <row r="955" spans="15:15">
      <c r="O955" s="24"/>
    </row>
    <row r="956" spans="15:15">
      <c r="O956" s="24"/>
    </row>
    <row r="957" spans="15:15">
      <c r="O957" s="24"/>
    </row>
    <row r="958" spans="15:15">
      <c r="O958" s="24"/>
    </row>
    <row r="959" spans="15:15">
      <c r="O959" s="24"/>
    </row>
    <row r="960" spans="15:15">
      <c r="O960" s="24"/>
    </row>
    <row r="961" spans="15:15">
      <c r="O961" s="24"/>
    </row>
    <row r="962" spans="15:15">
      <c r="O962" s="24"/>
    </row>
    <row r="963" spans="15:15">
      <c r="O963" s="24"/>
    </row>
    <row r="964" spans="15:15">
      <c r="O964" s="24"/>
    </row>
    <row r="965" spans="15:15">
      <c r="O965" s="24"/>
    </row>
    <row r="966" spans="15:15">
      <c r="O966" s="24"/>
    </row>
    <row r="967" spans="15:15">
      <c r="O967" s="24"/>
    </row>
    <row r="968" spans="15:15">
      <c r="O968" s="24"/>
    </row>
    <row r="969" spans="15:15">
      <c r="O969" s="24"/>
    </row>
    <row r="970" spans="15:15">
      <c r="O970" s="24"/>
    </row>
    <row r="971" spans="15:15">
      <c r="O971" s="24"/>
    </row>
    <row r="972" spans="15:15">
      <c r="O972" s="24"/>
    </row>
    <row r="973" spans="15:15">
      <c r="O973" s="24"/>
    </row>
    <row r="974" spans="15:15">
      <c r="O974" s="24"/>
    </row>
    <row r="975" spans="15:15">
      <c r="O975" s="24"/>
    </row>
    <row r="976" spans="15:15">
      <c r="O976" s="24"/>
    </row>
    <row r="977" spans="15:15">
      <c r="O977" s="24"/>
    </row>
    <row r="978" spans="15:15">
      <c r="O978" s="24"/>
    </row>
    <row r="979" spans="15:15">
      <c r="O979" s="24"/>
    </row>
    <row r="980" spans="15:15">
      <c r="O980" s="24"/>
    </row>
    <row r="981" spans="15:15">
      <c r="O981" s="24"/>
    </row>
    <row r="982" spans="15:15">
      <c r="O982" s="24"/>
    </row>
    <row r="983" spans="15:15">
      <c r="O983" s="24"/>
    </row>
    <row r="984" spans="15:15">
      <c r="O984" s="24"/>
    </row>
    <row r="985" spans="15:15">
      <c r="O985" s="24"/>
    </row>
    <row r="986" spans="15:15">
      <c r="O986" s="24"/>
    </row>
    <row r="987" spans="15:15">
      <c r="O987" s="24"/>
    </row>
    <row r="988" spans="15:15">
      <c r="O988" s="24"/>
    </row>
    <row r="989" spans="15:15">
      <c r="O989" s="24"/>
    </row>
    <row r="990" spans="15:15">
      <c r="O990" s="24"/>
    </row>
    <row r="991" spans="15:15">
      <c r="O991" s="24"/>
    </row>
    <row r="992" spans="15:15">
      <c r="O992" s="24"/>
    </row>
    <row r="993" spans="15:15">
      <c r="O993" s="24"/>
    </row>
    <row r="994" spans="15:15">
      <c r="O994" s="24"/>
    </row>
    <row r="995" spans="15:15">
      <c r="O995" s="24"/>
    </row>
    <row r="996" spans="15:15">
      <c r="O996" s="24"/>
    </row>
    <row r="997" spans="15:15">
      <c r="O997" s="24"/>
    </row>
    <row r="998" spans="15:15">
      <c r="O998" s="24"/>
    </row>
    <row r="999" spans="15:15">
      <c r="O999" s="24"/>
    </row>
    <row r="1000" spans="15:15">
      <c r="O1000" s="24"/>
    </row>
    <row r="1001" spans="15:15">
      <c r="O1001" s="24"/>
    </row>
    <row r="1002" spans="15:15">
      <c r="O1002" s="24"/>
    </row>
    <row r="1003" spans="15:15">
      <c r="O1003" s="24"/>
    </row>
    <row r="1004" spans="15:15">
      <c r="O1004" s="24"/>
    </row>
    <row r="1005" spans="15:15">
      <c r="O1005" s="24"/>
    </row>
    <row r="1006" spans="15:15">
      <c r="O1006" s="24"/>
    </row>
    <row r="1007" spans="15:15">
      <c r="O1007" s="24"/>
    </row>
    <row r="1008" spans="15:15">
      <c r="O1008" s="24"/>
    </row>
    <row r="1009" spans="15:15">
      <c r="O1009" s="24"/>
    </row>
    <row r="1010" spans="15:15">
      <c r="O1010" s="24"/>
    </row>
    <row r="1011" spans="15:15">
      <c r="O1011" s="24"/>
    </row>
    <row r="1012" spans="15:15">
      <c r="O1012" s="24"/>
    </row>
    <row r="1013" spans="15:15">
      <c r="O1013" s="24"/>
    </row>
    <row r="1014" spans="15:15">
      <c r="O1014" s="24"/>
    </row>
    <row r="1015" spans="15:15">
      <c r="O1015" s="24"/>
    </row>
    <row r="1016" spans="15:15">
      <c r="O1016" s="24"/>
    </row>
    <row r="1017" spans="15:15">
      <c r="O1017" s="24"/>
    </row>
    <row r="1018" spans="15:15">
      <c r="O1018" s="24"/>
    </row>
    <row r="1019" spans="15:15">
      <c r="O1019" s="24"/>
    </row>
    <row r="1020" spans="15:15">
      <c r="O1020" s="24"/>
    </row>
    <row r="1021" spans="15:15">
      <c r="O1021" s="24"/>
    </row>
    <row r="1022" spans="15:15">
      <c r="O1022" s="24"/>
    </row>
    <row r="1023" spans="15:15">
      <c r="O1023" s="24"/>
    </row>
    <row r="1024" spans="15:15">
      <c r="O1024" s="24"/>
    </row>
    <row r="1025" spans="15:15">
      <c r="O1025" s="24"/>
    </row>
    <row r="1026" spans="15:15">
      <c r="O1026" s="24"/>
    </row>
    <row r="1027" spans="15:15">
      <c r="O1027" s="24"/>
    </row>
    <row r="1028" spans="15:15">
      <c r="O1028" s="24"/>
    </row>
    <row r="1029" spans="15:15">
      <c r="O1029" s="24"/>
    </row>
    <row r="1030" spans="15:15">
      <c r="O1030" s="24"/>
    </row>
    <row r="1031" spans="15:15">
      <c r="O1031" s="24"/>
    </row>
    <row r="1032" spans="15:15">
      <c r="O1032" s="24"/>
    </row>
    <row r="1033" spans="15:15">
      <c r="O1033" s="24"/>
    </row>
    <row r="1034" spans="15:15">
      <c r="O1034" s="24"/>
    </row>
    <row r="1035" spans="15:15">
      <c r="O1035" s="24"/>
    </row>
    <row r="1036" spans="15:15">
      <c r="O1036" s="24"/>
    </row>
    <row r="1037" spans="15:15">
      <c r="O1037" s="24"/>
    </row>
    <row r="1038" spans="15:15">
      <c r="O1038" s="24"/>
    </row>
    <row r="1039" spans="15:15">
      <c r="O1039" s="24"/>
    </row>
    <row r="1040" spans="15:15">
      <c r="O1040" s="24"/>
    </row>
    <row r="1041" spans="15:15">
      <c r="O1041" s="24"/>
    </row>
    <row r="1042" spans="15:15">
      <c r="O1042" s="24"/>
    </row>
    <row r="1043" spans="15:15">
      <c r="O1043" s="24"/>
    </row>
    <row r="1044" spans="15:15">
      <c r="O1044" s="24"/>
    </row>
    <row r="1045" spans="15:15">
      <c r="O1045" s="24"/>
    </row>
    <row r="1046" spans="15:15">
      <c r="O1046" s="24"/>
    </row>
    <row r="1047" spans="15:15">
      <c r="O1047" s="24"/>
    </row>
    <row r="1048" spans="15:15">
      <c r="O1048" s="24"/>
    </row>
    <row r="1049" spans="15:15">
      <c r="O1049" s="24"/>
    </row>
    <row r="1050" spans="15:15">
      <c r="O1050" s="24"/>
    </row>
    <row r="1051" spans="15:15">
      <c r="O1051" s="24"/>
    </row>
    <row r="1052" spans="15:15">
      <c r="O1052" s="24"/>
    </row>
    <row r="1053" spans="15:15">
      <c r="O1053" s="24"/>
    </row>
    <row r="1054" spans="15:15">
      <c r="O1054" s="24"/>
    </row>
    <row r="1055" spans="15:15">
      <c r="O1055" s="24"/>
    </row>
    <row r="1056" spans="15:15">
      <c r="O1056" s="24"/>
    </row>
    <row r="1057" spans="15:15">
      <c r="O1057" s="24"/>
    </row>
    <row r="1058" spans="15:15">
      <c r="O1058" s="24"/>
    </row>
    <row r="1059" spans="15:15">
      <c r="O1059" s="24"/>
    </row>
    <row r="1060" spans="15:15">
      <c r="O1060" s="24"/>
    </row>
    <row r="1061" spans="15:15">
      <c r="O1061" s="24"/>
    </row>
    <row r="1062" spans="15:15">
      <c r="O1062" s="24"/>
    </row>
    <row r="1063" spans="15:15">
      <c r="O1063" s="24"/>
    </row>
    <row r="1064" spans="15:15">
      <c r="O1064" s="24"/>
    </row>
    <row r="1065" spans="15:15">
      <c r="O1065" s="24"/>
    </row>
    <row r="1066" spans="15:15">
      <c r="O1066" s="24"/>
    </row>
    <row r="1067" spans="15:15">
      <c r="O1067" s="24"/>
    </row>
    <row r="1068" spans="15:15">
      <c r="O1068" s="24"/>
    </row>
    <row r="1069" spans="15:15">
      <c r="O1069" s="24"/>
    </row>
    <row r="1070" spans="15:15">
      <c r="O1070" s="24"/>
    </row>
    <row r="1071" spans="15:15">
      <c r="O1071" s="24"/>
    </row>
    <row r="1072" spans="15:15">
      <c r="O1072" s="24"/>
    </row>
    <row r="1073" spans="15:15">
      <c r="O1073" s="24"/>
    </row>
    <row r="1074" spans="15:15">
      <c r="O1074" s="24"/>
    </row>
    <row r="1075" spans="15:15">
      <c r="O1075" s="24"/>
    </row>
    <row r="1076" spans="15:15">
      <c r="O1076" s="24"/>
    </row>
  </sheetData>
  <mergeCells count="6">
    <mergeCell ref="P11:Q11"/>
    <mergeCell ref="P7:Q7"/>
    <mergeCell ref="P8:Q8"/>
    <mergeCell ref="P9:Q9"/>
    <mergeCell ref="U7:X7"/>
    <mergeCell ref="U8:X8"/>
  </mergeCells>
  <phoneticPr fontId="0" type="noConversion"/>
  <dataValidations count="1">
    <dataValidation showInputMessage="1" showErrorMessage="1" sqref="H6:J8"/>
  </dataValidations>
  <printOptions horizontalCentered="1"/>
  <pageMargins left="0.75" right="0.75" top="1" bottom="1" header="0.5" footer="0.5"/>
  <pageSetup scale="9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233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3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FE382"/>
  <sheetViews>
    <sheetView zoomScaleNormal="100" zoomScaleSheetLayoutView="100" workbookViewId="0">
      <selection activeCell="C27" sqref="C27"/>
    </sheetView>
  </sheetViews>
  <sheetFormatPr defaultRowHeight="12.75"/>
  <cols>
    <col min="1" max="1" width="14.7109375" style="24" bestFit="1" customWidth="1"/>
    <col min="2" max="2" width="26.85546875" style="24" bestFit="1" customWidth="1"/>
    <col min="3" max="5" width="20.5703125" style="24" customWidth="1"/>
    <col min="6" max="6" width="4.28515625" style="24" customWidth="1"/>
    <col min="7" max="7" width="20.5703125" style="24" customWidth="1"/>
    <col min="8" max="9" width="3.7109375" style="24" customWidth="1"/>
    <col min="10" max="10" width="3" style="1153" bestFit="1" customWidth="1"/>
    <col min="11" max="11" width="10" style="24" customWidth="1"/>
    <col min="12" max="12" width="2.85546875" style="24" customWidth="1"/>
    <col min="13" max="13" width="32.7109375" style="24" customWidth="1"/>
    <col min="14" max="14" width="13.42578125" style="24" bestFit="1" customWidth="1"/>
    <col min="15" max="15" width="15.28515625" style="24" customWidth="1"/>
    <col min="16" max="16" width="15.42578125" style="24" customWidth="1"/>
    <col min="17" max="17" width="11.7109375" style="24" customWidth="1"/>
    <col min="18" max="18" width="15.28515625" style="24" customWidth="1"/>
    <col min="19" max="19" width="3.42578125" style="24" customWidth="1"/>
    <col min="20" max="20" width="5.7109375" style="24" customWidth="1"/>
    <col min="21" max="21" width="31" style="24" customWidth="1"/>
    <col min="22" max="22" width="27.28515625" style="24" customWidth="1"/>
    <col min="23" max="23" width="14.7109375" style="24" customWidth="1"/>
    <col min="24" max="24" width="12.85546875" style="1" customWidth="1"/>
    <col min="25" max="26" width="9.140625" style="1"/>
    <col min="27" max="27" width="5.7109375" style="24" customWidth="1"/>
    <col min="28" max="28" width="37" style="24" customWidth="1"/>
    <col min="29" max="29" width="27.28515625" style="24" customWidth="1"/>
    <col min="30" max="30" width="14.7109375" style="24" customWidth="1"/>
    <col min="31" max="31" width="13.28515625" style="24" customWidth="1"/>
    <col min="32" max="32" width="11.140625" style="24" customWidth="1"/>
    <col min="33" max="33" width="7.28515625" style="24" customWidth="1"/>
    <col min="34" max="34" width="27.42578125" style="24" customWidth="1"/>
    <col min="35" max="38" width="11.7109375" style="24" customWidth="1"/>
    <col min="39" max="40" width="9.140625" style="1"/>
    <col min="41" max="41" width="40.5703125" style="1" customWidth="1"/>
    <col min="42" max="42" width="17.28515625" style="1" customWidth="1"/>
    <col min="43" max="43" width="17.85546875" style="952" customWidth="1"/>
    <col min="44" max="44" width="39.7109375" style="1" customWidth="1"/>
    <col min="45" max="45" width="11.5703125" style="1" bestFit="1" customWidth="1"/>
    <col min="46" max="46" width="5.140625" style="1" bestFit="1" customWidth="1"/>
    <col min="47" max="47" width="4.28515625" style="1" customWidth="1"/>
    <col min="48" max="48" width="36.5703125" style="1" bestFit="1" customWidth="1"/>
    <col min="49" max="49" width="15.140625" style="1" bestFit="1" customWidth="1"/>
    <col min="50" max="50" width="23" style="1" customWidth="1"/>
    <col min="51" max="51" width="29.7109375" style="1" bestFit="1" customWidth="1"/>
    <col min="52" max="52" width="10.140625" style="1" bestFit="1" customWidth="1"/>
    <col min="53" max="53" width="39.7109375" style="1" bestFit="1" customWidth="1"/>
    <col min="54" max="54" width="29.7109375" style="1" bestFit="1" customWidth="1"/>
    <col min="55" max="55" width="10.140625" style="1" bestFit="1" customWidth="1"/>
    <col min="56" max="56" width="39.7109375" style="1" bestFit="1" customWidth="1"/>
    <col min="57" max="57" width="4.5703125" style="1" customWidth="1"/>
    <col min="58" max="158" width="9.140625" style="15"/>
    <col min="159" max="16384" width="9.140625" style="24"/>
  </cols>
  <sheetData>
    <row r="1" spans="1:161">
      <c r="A1" s="75" t="s">
        <v>6</v>
      </c>
      <c r="K1" s="1141" t="s">
        <v>6</v>
      </c>
      <c r="T1" s="1142" t="str">
        <f>AA1</f>
        <v>Advertising</v>
      </c>
      <c r="W1" s="16"/>
      <c r="AA1" s="1142" t="str">
        <f>K1</f>
        <v>Advertising</v>
      </c>
      <c r="AD1" s="16"/>
      <c r="AG1" s="1141" t="s">
        <v>1594</v>
      </c>
      <c r="AJ1" s="16"/>
      <c r="AK1" s="16"/>
      <c r="AL1" s="16"/>
      <c r="AO1" s="15" t="s">
        <v>1359</v>
      </c>
      <c r="AV1" s="15" t="s">
        <v>1360</v>
      </c>
    </row>
    <row r="2" spans="1:161" ht="13.5" thickBot="1">
      <c r="A2" s="75" t="str">
        <f>'Control Panel'!$B$1</f>
        <v>Dominion Energy</v>
      </c>
      <c r="K2" s="75" t="str">
        <f>A2</f>
        <v>Dominion Energy</v>
      </c>
      <c r="T2" s="1142" t="str">
        <f>AA2</f>
        <v>Dominion Energy</v>
      </c>
      <c r="W2" s="39"/>
      <c r="AA2" s="1142" t="str">
        <f>K2</f>
        <v>Dominion Energy</v>
      </c>
      <c r="AD2" s="39"/>
      <c r="AG2" s="1141">
        <f>AA4</f>
        <v>0</v>
      </c>
      <c r="AJ2" s="39"/>
      <c r="AK2" s="39"/>
      <c r="AL2" s="39"/>
      <c r="AO2" s="1333" t="s">
        <v>7</v>
      </c>
      <c r="AP2" s="1333"/>
      <c r="AQ2" s="1334" t="s">
        <v>668</v>
      </c>
      <c r="AV2" s="1333" t="s">
        <v>7</v>
      </c>
      <c r="AW2" s="1333" t="s">
        <v>643</v>
      </c>
      <c r="AX2" s="1333" t="s">
        <v>668</v>
      </c>
      <c r="FC2" s="15"/>
      <c r="FD2" s="15"/>
      <c r="FE2" s="15"/>
    </row>
    <row r="3" spans="1:161" ht="15">
      <c r="A3" s="75" t="str">
        <f>'Control Panel'!$B$2</f>
        <v>Utah - DEC 2019 Adjusted Avg  Results</v>
      </c>
      <c r="K3" s="75" t="str">
        <f t="shared" ref="K3:K4" si="0">A3</f>
        <v>Utah - DEC 2019 Adjusted Avg  Results</v>
      </c>
      <c r="T3" s="1142" t="str">
        <f>AA3</f>
        <v>Utah - DEC 2019 Adjusted Avg  Results</v>
      </c>
      <c r="W3" s="25"/>
      <c r="AA3" s="1142" t="str">
        <f>K3</f>
        <v>Utah - DEC 2019 Adjusted Avg  Results</v>
      </c>
      <c r="AD3" s="25"/>
      <c r="AG3" s="1141"/>
      <c r="AJ3" s="25"/>
      <c r="AK3" s="25"/>
      <c r="AL3" s="25"/>
      <c r="AO3" s="214" t="s">
        <v>1147</v>
      </c>
      <c r="AP3" s="309"/>
      <c r="AQ3" s="370">
        <v>0</v>
      </c>
      <c r="AV3" s="214" t="s">
        <v>863</v>
      </c>
      <c r="AW3" s="309"/>
      <c r="AX3" s="316">
        <v>0</v>
      </c>
      <c r="FC3" s="15"/>
      <c r="FD3" s="15"/>
      <c r="FE3" s="15"/>
    </row>
    <row r="4" spans="1:161" ht="15">
      <c r="A4" s="75" t="str">
        <f>'Control Panel'!$B$3</f>
        <v>12 Months Ended : Dec-2019</v>
      </c>
      <c r="K4" s="75" t="str">
        <f t="shared" si="0"/>
        <v>12 Months Ended : Dec-2019</v>
      </c>
      <c r="T4" s="1142"/>
      <c r="AA4" s="1142"/>
      <c r="AO4" s="214" t="s">
        <v>857</v>
      </c>
      <c r="AP4" s="309"/>
      <c r="AQ4" s="370">
        <v>1148</v>
      </c>
      <c r="AV4" s="214" t="s">
        <v>862</v>
      </c>
      <c r="AW4" s="309"/>
      <c r="AX4" s="316">
        <f>AW22</f>
        <v>3132.55</v>
      </c>
      <c r="FC4" s="15"/>
      <c r="FD4" s="15"/>
      <c r="FE4" s="15"/>
    </row>
    <row r="5" spans="1:161" ht="15">
      <c r="K5" s="8"/>
      <c r="T5" s="1142" t="s">
        <v>464</v>
      </c>
      <c r="AA5" s="1142" t="s">
        <v>135</v>
      </c>
      <c r="AO5" s="214" t="s">
        <v>858</v>
      </c>
      <c r="AP5" s="309"/>
      <c r="AQ5" s="370">
        <v>3504</v>
      </c>
      <c r="AV5" s="214" t="s">
        <v>861</v>
      </c>
      <c r="AW5" s="309"/>
      <c r="AX5" s="316">
        <v>0</v>
      </c>
      <c r="FC5" s="15"/>
      <c r="FD5" s="15"/>
      <c r="FE5" s="15"/>
    </row>
    <row r="6" spans="1:161" ht="15">
      <c r="AE6" s="1147"/>
      <c r="AF6" s="1147"/>
      <c r="AG6" s="1147" t="s">
        <v>1260</v>
      </c>
      <c r="AH6" s="1147"/>
      <c r="AI6" s="1147"/>
      <c r="AJ6" s="1147"/>
      <c r="AK6" s="1147"/>
      <c r="AL6" s="1147"/>
      <c r="AO6" s="214" t="s">
        <v>859</v>
      </c>
      <c r="AP6" s="309"/>
      <c r="AQ6" s="370">
        <v>15860.440000000002</v>
      </c>
      <c r="AV6" s="214" t="s">
        <v>837</v>
      </c>
      <c r="AW6" s="309"/>
      <c r="AX6" s="310">
        <f>SUM(AX3:AX5)</f>
        <v>3132.55</v>
      </c>
      <c r="FC6" s="15"/>
      <c r="FD6" s="15"/>
      <c r="FE6" s="15"/>
    </row>
    <row r="7" spans="1:161" ht="15">
      <c r="T7" s="1573" t="s">
        <v>216</v>
      </c>
      <c r="U7" s="1573"/>
      <c r="V7" s="1573"/>
      <c r="W7" s="1573"/>
      <c r="AA7" s="1573" t="s">
        <v>116</v>
      </c>
      <c r="AB7" s="1573"/>
      <c r="AC7" s="1573"/>
      <c r="AD7" s="1573"/>
      <c r="AE7" s="1147"/>
      <c r="AF7" s="1147"/>
      <c r="AG7" s="1147"/>
      <c r="AI7" s="1147"/>
      <c r="AJ7" s="1147"/>
      <c r="AK7" s="1147"/>
      <c r="AL7" s="1147"/>
      <c r="AO7" s="214" t="s">
        <v>860</v>
      </c>
      <c r="AP7" s="309"/>
      <c r="AQ7" s="370">
        <v>23531.65</v>
      </c>
      <c r="FC7" s="15"/>
      <c r="FD7" s="15"/>
      <c r="FE7" s="15"/>
    </row>
    <row r="8" spans="1:161">
      <c r="L8" s="1154"/>
      <c r="M8" s="44" t="s">
        <v>75</v>
      </c>
      <c r="T8" s="1147"/>
      <c r="U8" s="1147"/>
      <c r="V8" s="1147"/>
      <c r="W8" s="1146"/>
      <c r="AA8" s="1147"/>
      <c r="AB8" s="1147"/>
      <c r="AC8" s="1147"/>
      <c r="AD8" s="1146"/>
      <c r="AE8" s="1147"/>
      <c r="AF8" s="1147"/>
      <c r="AG8" s="1147"/>
      <c r="AI8" s="1147"/>
      <c r="AJ8" s="1146"/>
      <c r="AK8" s="1146"/>
      <c r="AL8" s="1146"/>
      <c r="AO8" s="214" t="s">
        <v>863</v>
      </c>
      <c r="AQ8" s="370">
        <v>0</v>
      </c>
      <c r="FC8" s="15"/>
      <c r="FD8" s="15"/>
      <c r="FE8" s="15"/>
    </row>
    <row r="9" spans="1:161" ht="15">
      <c r="G9" s="24" t="s">
        <v>768</v>
      </c>
      <c r="L9" s="1154"/>
      <c r="M9" s="1156"/>
      <c r="P9" s="1117"/>
      <c r="Q9" s="1157"/>
      <c r="T9" s="1147"/>
      <c r="U9" s="1147"/>
      <c r="V9" s="1147"/>
      <c r="W9" s="1146"/>
      <c r="AA9" s="1109" t="s">
        <v>1263</v>
      </c>
      <c r="AB9" s="1110"/>
      <c r="AC9" s="1155">
        <v>0</v>
      </c>
      <c r="AD9" s="1110"/>
      <c r="AE9" s="1110"/>
      <c r="AF9" s="1110"/>
      <c r="AG9" s="44" t="s">
        <v>1441</v>
      </c>
      <c r="AH9" s="1110"/>
      <c r="AI9" s="1155">
        <v>0</v>
      </c>
      <c r="AJ9" s="1110"/>
      <c r="AK9" s="1110"/>
      <c r="AL9" s="1110"/>
      <c r="AO9" s="214" t="s">
        <v>837</v>
      </c>
      <c r="AP9" s="309"/>
      <c r="AQ9" s="1454">
        <f>SUM(AQ3:AQ8)</f>
        <v>44044.090000000004</v>
      </c>
      <c r="BB9"/>
      <c r="BC9"/>
      <c r="BD9"/>
      <c r="FC9" s="15"/>
      <c r="FD9" s="15"/>
      <c r="FE9" s="15"/>
    </row>
    <row r="10" spans="1:161">
      <c r="B10" s="139"/>
      <c r="C10" s="139" t="str">
        <f>"Advertising "&amp;'Control Panel'!H8</f>
        <v>Advertising 2017</v>
      </c>
      <c r="D10" s="139" t="str">
        <f>"Advertising "&amp;'Control Panel'!J8</f>
        <v>Advertising 2018</v>
      </c>
      <c r="E10" s="139" t="str">
        <f>"Advertising "&amp;'Control Panel'!L8</f>
        <v>Advertising 2019</v>
      </c>
      <c r="F10" s="139"/>
      <c r="G10" s="139" t="str">
        <f>+'Control Panel'!F36</f>
        <v>Advertising 2019</v>
      </c>
      <c r="H10" s="24">
        <v>1</v>
      </c>
      <c r="L10" s="1147"/>
      <c r="M10" s="1320" t="s">
        <v>796</v>
      </c>
      <c r="N10" s="1321" t="s">
        <v>797</v>
      </c>
      <c r="O10" s="1320" t="s">
        <v>798</v>
      </c>
      <c r="P10" s="1320" t="s">
        <v>799</v>
      </c>
      <c r="Q10" s="1321" t="s">
        <v>778</v>
      </c>
      <c r="R10" s="1321" t="s">
        <v>779</v>
      </c>
      <c r="S10" s="1321"/>
      <c r="T10" s="1147"/>
      <c r="U10" s="1320" t="s">
        <v>796</v>
      </c>
      <c r="V10" s="1321" t="s">
        <v>797</v>
      </c>
      <c r="W10" s="1320" t="s">
        <v>798</v>
      </c>
      <c r="X10" s="1320" t="s">
        <v>799</v>
      </c>
      <c r="AA10" s="1147"/>
      <c r="AB10" s="1147"/>
      <c r="AC10" s="1147"/>
      <c r="AD10" s="1146"/>
      <c r="AE10" s="1147"/>
      <c r="AF10" s="1147"/>
      <c r="AG10" s="1147"/>
      <c r="AH10" s="1147"/>
      <c r="AI10" s="1147"/>
      <c r="AJ10" s="1146"/>
      <c r="AK10" s="1146"/>
      <c r="AL10" s="1146"/>
      <c r="BB10"/>
      <c r="BC10"/>
      <c r="BD10"/>
      <c r="FC10" s="15"/>
      <c r="FD10" s="15"/>
      <c r="FE10" s="15"/>
    </row>
    <row r="11" spans="1:161">
      <c r="B11" s="576"/>
      <c r="C11" s="576"/>
      <c r="D11" s="576"/>
      <c r="E11" s="576"/>
      <c r="F11" s="576"/>
      <c r="G11" s="576"/>
      <c r="H11" s="24">
        <f>H10+1</f>
        <v>2</v>
      </c>
      <c r="N11" s="1320" t="s">
        <v>110</v>
      </c>
      <c r="O11" s="1320" t="s">
        <v>110</v>
      </c>
      <c r="P11" s="1320" t="s">
        <v>763</v>
      </c>
      <c r="Q11" s="1320" t="s">
        <v>170</v>
      </c>
      <c r="R11" s="1321" t="s">
        <v>494</v>
      </c>
      <c r="S11" s="1321"/>
      <c r="T11" s="1154">
        <v>1</v>
      </c>
      <c r="U11" s="1109" t="s">
        <v>1262</v>
      </c>
      <c r="W11" s="1155">
        <v>2950</v>
      </c>
      <c r="Z11" s="1111"/>
      <c r="AA11" s="1147"/>
      <c r="AB11" s="1147"/>
      <c r="AC11" s="1147"/>
      <c r="AD11" s="1146"/>
      <c r="AE11" s="1159"/>
      <c r="AF11" s="1159"/>
      <c r="AG11" s="1147"/>
      <c r="AH11" s="1147"/>
      <c r="AI11" s="1147"/>
      <c r="AJ11" s="1146"/>
      <c r="AK11" s="1146"/>
      <c r="AL11" s="1146"/>
      <c r="AO11" s="214" t="s">
        <v>902</v>
      </c>
      <c r="AV11" s="214" t="s">
        <v>901</v>
      </c>
      <c r="BB11"/>
      <c r="BC11"/>
      <c r="BD11"/>
      <c r="FC11" s="15"/>
      <c r="FD11" s="15"/>
      <c r="FE11" s="15"/>
    </row>
    <row r="12" spans="1:161">
      <c r="H12" s="24">
        <f t="shared" ref="H12:H35" si="1">H11+1</f>
        <v>3</v>
      </c>
      <c r="L12" s="1154"/>
      <c r="M12" s="1320"/>
      <c r="N12" s="1320" t="s">
        <v>111</v>
      </c>
      <c r="O12" s="1320" t="s">
        <v>111</v>
      </c>
      <c r="P12" s="1106" t="s">
        <v>495</v>
      </c>
      <c r="Q12" s="1320" t="s">
        <v>189</v>
      </c>
      <c r="R12" s="1320" t="s">
        <v>668</v>
      </c>
      <c r="S12" s="1320"/>
      <c r="T12" s="1154">
        <f>T11+1</f>
        <v>2</v>
      </c>
      <c r="U12" s="1147"/>
      <c r="V12" s="1158"/>
      <c r="W12" s="1158"/>
      <c r="X12" s="1158"/>
      <c r="Y12" s="1158"/>
      <c r="AA12" s="1147" t="s">
        <v>115</v>
      </c>
      <c r="AB12" s="1147"/>
      <c r="AC12" s="1320" t="s">
        <v>199</v>
      </c>
      <c r="AD12" s="1147" t="s">
        <v>763</v>
      </c>
      <c r="AE12" s="1147" t="s">
        <v>42</v>
      </c>
      <c r="AF12" s="1159"/>
      <c r="AG12" s="1147" t="s">
        <v>115</v>
      </c>
      <c r="AH12" s="1147"/>
      <c r="AI12" s="1320" t="s">
        <v>199</v>
      </c>
      <c r="AJ12" s="1147" t="s">
        <v>763</v>
      </c>
      <c r="AK12" s="1147" t="s">
        <v>42</v>
      </c>
      <c r="AL12" s="1111"/>
      <c r="AW12" s="1335"/>
      <c r="AX12" s="1335"/>
      <c r="AY12" s="1335"/>
      <c r="BB12"/>
      <c r="BC12"/>
      <c r="BD12"/>
      <c r="FC12" s="15"/>
      <c r="FD12" s="15"/>
      <c r="FE12" s="15"/>
    </row>
    <row r="13" spans="1:161" ht="13.5" thickBot="1">
      <c r="A13" s="51" t="s">
        <v>7</v>
      </c>
      <c r="B13" s="162" t="s">
        <v>112</v>
      </c>
      <c r="C13" s="162"/>
      <c r="D13" s="162"/>
      <c r="E13" s="162"/>
      <c r="F13" s="162"/>
      <c r="G13" s="162"/>
      <c r="H13" s="24">
        <f t="shared" si="1"/>
        <v>4</v>
      </c>
      <c r="K13" s="1336" t="s">
        <v>7</v>
      </c>
      <c r="L13" s="1337"/>
      <c r="M13" s="1338" t="s">
        <v>112</v>
      </c>
      <c r="N13" s="1338" t="s">
        <v>113</v>
      </c>
      <c r="O13" s="1339" t="s">
        <v>188</v>
      </c>
      <c r="P13" s="1339" t="s">
        <v>113</v>
      </c>
      <c r="Q13" s="1340"/>
      <c r="R13" s="1338"/>
      <c r="S13" s="1160"/>
      <c r="T13" s="1154">
        <f t="shared" ref="T13:T32" si="2">T12+1</f>
        <v>3</v>
      </c>
      <c r="U13" s="1147"/>
      <c r="V13" s="1147"/>
      <c r="W13" s="1146"/>
      <c r="AA13" s="1110"/>
      <c r="AB13" s="1110" t="s">
        <v>161</v>
      </c>
      <c r="AC13" s="1318" t="s">
        <v>162</v>
      </c>
      <c r="AD13" s="1148" t="s">
        <v>668</v>
      </c>
      <c r="AE13" s="1148" t="s">
        <v>668</v>
      </c>
      <c r="AF13" s="1159"/>
      <c r="AG13" s="1110"/>
      <c r="AH13" s="1110" t="s">
        <v>161</v>
      </c>
      <c r="AI13" s="1318" t="s">
        <v>162</v>
      </c>
      <c r="AJ13" s="1148" t="s">
        <v>668</v>
      </c>
      <c r="AK13" s="1148" t="s">
        <v>668</v>
      </c>
      <c r="AL13" s="1111"/>
      <c r="AO13" s="1341" t="s">
        <v>7</v>
      </c>
      <c r="AP13" s="1341" t="s">
        <v>643</v>
      </c>
      <c r="AQ13" s="1341" t="s">
        <v>793</v>
      </c>
      <c r="AR13" s="1341" t="s">
        <v>98</v>
      </c>
      <c r="AS13" s="1341" t="s">
        <v>99</v>
      </c>
      <c r="AT13" s="1341" t="s">
        <v>100</v>
      </c>
      <c r="AV13" s="1341" t="s">
        <v>7</v>
      </c>
      <c r="AW13" s="1341" t="s">
        <v>793</v>
      </c>
      <c r="AX13" s="1341" t="s">
        <v>911</v>
      </c>
      <c r="AY13" s="1341" t="s">
        <v>694</v>
      </c>
      <c r="AZ13" s="1341" t="s">
        <v>99</v>
      </c>
      <c r="BA13" s="1341" t="s">
        <v>98</v>
      </c>
      <c r="BB13"/>
      <c r="BC13"/>
      <c r="BD13"/>
      <c r="FC13" s="15"/>
      <c r="FD13" s="15"/>
      <c r="FE13" s="15"/>
    </row>
    <row r="14" spans="1:161">
      <c r="A14" s="24">
        <v>909003</v>
      </c>
      <c r="B14" s="24" t="s">
        <v>529</v>
      </c>
      <c r="C14" s="457">
        <f>R14</f>
        <v>0</v>
      </c>
      <c r="D14" s="457">
        <f t="shared" ref="D14:E18" si="3">C14*(1+D$31)</f>
        <v>0</v>
      </c>
      <c r="E14" s="457">
        <f t="shared" si="3"/>
        <v>0</v>
      </c>
      <c r="G14" s="457">
        <f>HLOOKUP($G$10,Advertisingscenario,H14,FALSE)</f>
        <v>0</v>
      </c>
      <c r="H14" s="24">
        <f t="shared" si="1"/>
        <v>5</v>
      </c>
      <c r="J14" s="1154">
        <v>1</v>
      </c>
      <c r="K14" s="24">
        <v>909003</v>
      </c>
      <c r="M14" s="24" t="s">
        <v>529</v>
      </c>
      <c r="N14" s="1117">
        <f>AQ3</f>
        <v>0</v>
      </c>
      <c r="O14" s="1116">
        <v>0</v>
      </c>
      <c r="P14" s="1117">
        <v>0</v>
      </c>
      <c r="Q14" s="1117">
        <f>+P14+N14</f>
        <v>0</v>
      </c>
      <c r="R14" s="1116">
        <f>N14</f>
        <v>0</v>
      </c>
      <c r="S14" s="1159"/>
      <c r="T14" s="1154">
        <f t="shared" si="2"/>
        <v>4</v>
      </c>
      <c r="U14" s="1147"/>
      <c r="V14" s="1320" t="s">
        <v>199</v>
      </c>
      <c r="W14" s="1147" t="s">
        <v>763</v>
      </c>
      <c r="X14" s="1147" t="s">
        <v>42</v>
      </c>
      <c r="Y14" s="1111"/>
      <c r="Z14" s="1111"/>
      <c r="AA14" s="1110"/>
      <c r="AB14" s="1"/>
      <c r="AC14" s="1"/>
      <c r="AD14" s="1"/>
      <c r="AE14" s="1"/>
      <c r="AF14" s="1"/>
      <c r="AG14" s="1110"/>
      <c r="AH14" s="1"/>
      <c r="AI14" s="1"/>
      <c r="AJ14" s="1"/>
      <c r="AK14" s="1"/>
      <c r="AL14" s="1094"/>
      <c r="AO14" s="496"/>
      <c r="AP14" s="496"/>
      <c r="AQ14" s="497"/>
      <c r="AR14" s="496"/>
      <c r="AS14" s="498"/>
      <c r="AT14" s="496"/>
      <c r="AV14" s="1072" t="s">
        <v>1361</v>
      </c>
      <c r="AW14" s="1074">
        <v>182.55</v>
      </c>
      <c r="AX14" s="1072"/>
      <c r="AY14" s="1072" t="s">
        <v>940</v>
      </c>
      <c r="AZ14" s="1073" t="s">
        <v>1350</v>
      </c>
      <c r="BA14" s="1072" t="s">
        <v>1258</v>
      </c>
      <c r="BB14"/>
      <c r="BC14"/>
      <c r="BD14"/>
      <c r="FC14" s="15"/>
      <c r="FD14" s="15"/>
      <c r="FE14" s="15"/>
    </row>
    <row r="15" spans="1:161" ht="13.5" customHeight="1" thickBot="1">
      <c r="A15" s="24">
        <v>909005</v>
      </c>
      <c r="B15" s="24" t="s">
        <v>1139</v>
      </c>
      <c r="C15" s="457">
        <f>R15</f>
        <v>3504</v>
      </c>
      <c r="D15" s="457">
        <f t="shared" si="3"/>
        <v>3528.5279999999998</v>
      </c>
      <c r="E15" s="457">
        <f t="shared" si="3"/>
        <v>3574.3988639999993</v>
      </c>
      <c r="G15" s="457">
        <f>HLOOKUP($G$10,Advertisingscenario,H15,FALSE)</f>
        <v>3574.3988639999993</v>
      </c>
      <c r="H15" s="24">
        <f t="shared" si="1"/>
        <v>6</v>
      </c>
      <c r="J15" s="1154">
        <v>2</v>
      </c>
      <c r="K15" s="24">
        <v>909005</v>
      </c>
      <c r="M15" s="24" t="s">
        <v>1139</v>
      </c>
      <c r="N15" s="1117">
        <f>AQ5</f>
        <v>3504</v>
      </c>
      <c r="O15" s="1116">
        <v>0</v>
      </c>
      <c r="P15" s="1117">
        <v>0</v>
      </c>
      <c r="Q15" s="1117">
        <f>+P15+N15</f>
        <v>3504</v>
      </c>
      <c r="R15" s="1116">
        <f>N15</f>
        <v>3504</v>
      </c>
      <c r="S15" s="1117"/>
      <c r="T15" s="1154">
        <f t="shared" si="2"/>
        <v>5</v>
      </c>
      <c r="U15" s="1110" t="s">
        <v>161</v>
      </c>
      <c r="V15" s="1318" t="s">
        <v>162</v>
      </c>
      <c r="W15" s="1148" t="s">
        <v>668</v>
      </c>
      <c r="X15" s="1148" t="s">
        <v>668</v>
      </c>
      <c r="Y15" s="1111"/>
      <c r="Z15" s="1159"/>
      <c r="AA15" s="1147"/>
      <c r="AB15" s="1110" t="s">
        <v>115</v>
      </c>
      <c r="AC15" s="1110"/>
      <c r="AD15" s="1111"/>
      <c r="AE15" s="1111"/>
      <c r="AF15" s="1111"/>
      <c r="AG15" s="1147"/>
      <c r="AH15" s="1110" t="s">
        <v>115</v>
      </c>
      <c r="AI15" s="1110"/>
      <c r="AJ15" s="1111"/>
      <c r="AK15" s="1111"/>
      <c r="AL15" s="1146"/>
      <c r="AO15" s="499" t="s">
        <v>857</v>
      </c>
      <c r="AP15" s="496"/>
      <c r="AQ15" s="497">
        <f>SUM(AQ14)</f>
        <v>0</v>
      </c>
      <c r="AR15" s="496"/>
      <c r="AS15" s="498"/>
      <c r="AT15" s="496"/>
      <c r="AV15" s="1072" t="s">
        <v>994</v>
      </c>
      <c r="AW15" s="1074">
        <v>2950</v>
      </c>
      <c r="AX15" s="1072"/>
      <c r="AY15" s="1072" t="s">
        <v>940</v>
      </c>
      <c r="AZ15" s="1073" t="s">
        <v>1342</v>
      </c>
      <c r="BA15" s="1072" t="s">
        <v>1148</v>
      </c>
      <c r="BB15"/>
      <c r="BC15"/>
      <c r="BD15"/>
      <c r="FC15" s="15"/>
      <c r="FD15" s="15"/>
      <c r="FE15" s="15"/>
    </row>
    <row r="16" spans="1:161" ht="16.5" customHeight="1" thickTop="1" thickBot="1">
      <c r="A16" s="29">
        <v>930100</v>
      </c>
      <c r="B16" s="457" t="s">
        <v>433</v>
      </c>
      <c r="C16" s="457">
        <f>R16</f>
        <v>943.94749999999999</v>
      </c>
      <c r="D16" s="457">
        <f t="shared" si="3"/>
        <v>950.5551324999999</v>
      </c>
      <c r="E16" s="457">
        <f t="shared" si="3"/>
        <v>962.91234922249976</v>
      </c>
      <c r="F16" s="457"/>
      <c r="G16" s="457">
        <f>HLOOKUP($G$10,Advertisingscenario,H16,FALSE)</f>
        <v>962.91234922249976</v>
      </c>
      <c r="H16" s="24">
        <f t="shared" si="1"/>
        <v>7</v>
      </c>
      <c r="J16" s="1154">
        <v>3</v>
      </c>
      <c r="K16" s="29">
        <v>930100</v>
      </c>
      <c r="M16" s="24" t="s">
        <v>433</v>
      </c>
      <c r="N16" s="1117">
        <f>AQ8</f>
        <v>0</v>
      </c>
      <c r="O16" s="1117">
        <f>+AX3</f>
        <v>0</v>
      </c>
      <c r="P16" s="1117">
        <f>X32</f>
        <v>943.94749999999999</v>
      </c>
      <c r="Q16" s="1117">
        <f>+P16+N16</f>
        <v>943.94749999999999</v>
      </c>
      <c r="R16" s="1117">
        <f>Q16</f>
        <v>943.94749999999999</v>
      </c>
      <c r="T16" s="1154">
        <f t="shared" si="2"/>
        <v>6</v>
      </c>
      <c r="U16" s="1"/>
      <c r="V16" s="1"/>
      <c r="W16" s="1"/>
      <c r="Z16" s="1117"/>
      <c r="AA16" s="1147"/>
      <c r="AB16" s="1126" t="s">
        <v>133</v>
      </c>
      <c r="AC16" s="1330">
        <v>0.49099999999999999</v>
      </c>
      <c r="AD16" s="1342"/>
      <c r="AE16" s="1342"/>
      <c r="AF16" s="1159"/>
      <c r="AG16" s="1147"/>
      <c r="AH16" s="1126" t="s">
        <v>133</v>
      </c>
      <c r="AI16" s="1330">
        <v>0.49099999999999999</v>
      </c>
      <c r="AJ16" s="1342"/>
      <c r="AK16" s="1342"/>
      <c r="AL16" s="1146"/>
      <c r="AO16" s="499" t="s">
        <v>858</v>
      </c>
      <c r="AP16" s="496"/>
      <c r="AQ16" s="497">
        <v>0</v>
      </c>
      <c r="AR16" s="496"/>
      <c r="AS16" s="498"/>
      <c r="AT16" s="496"/>
      <c r="AV16" s="1161"/>
      <c r="AW16" s="1162"/>
      <c r="AX16" s="1161"/>
      <c r="AY16" s="1161"/>
      <c r="AZ16" s="1163"/>
      <c r="BA16" s="1161"/>
      <c r="BB16"/>
      <c r="BC16"/>
      <c r="BD16"/>
      <c r="FC16" s="15"/>
      <c r="FD16" s="15"/>
      <c r="FE16" s="15"/>
    </row>
    <row r="17" spans="1:161" ht="12.75" customHeight="1">
      <c r="A17" s="29">
        <v>930101</v>
      </c>
      <c r="B17" s="457" t="s">
        <v>216</v>
      </c>
      <c r="C17" s="457">
        <f>R17</f>
        <v>1448.45</v>
      </c>
      <c r="D17" s="457">
        <f t="shared" si="3"/>
        <v>1458.5891499999998</v>
      </c>
      <c r="E17" s="457">
        <f t="shared" si="3"/>
        <v>1477.5508089499997</v>
      </c>
      <c r="F17" s="457"/>
      <c r="G17" s="457">
        <f>HLOOKUP($G$10,Advertisingscenario,H17,FALSE)</f>
        <v>1477.5508089499997</v>
      </c>
      <c r="H17" s="24">
        <f t="shared" si="1"/>
        <v>8</v>
      </c>
      <c r="J17" s="1154">
        <v>4</v>
      </c>
      <c r="K17" s="29">
        <v>930101</v>
      </c>
      <c r="M17" s="24" t="s">
        <v>216</v>
      </c>
      <c r="N17" s="1117">
        <v>0</v>
      </c>
      <c r="O17" s="1117">
        <f>+AX4</f>
        <v>3132.55</v>
      </c>
      <c r="P17" s="1117">
        <f>X19</f>
        <v>1448.45</v>
      </c>
      <c r="Q17" s="1117">
        <f>+P17+N17</f>
        <v>1448.45</v>
      </c>
      <c r="R17" s="1117">
        <f>+Q17</f>
        <v>1448.45</v>
      </c>
      <c r="S17" s="302" t="s">
        <v>56</v>
      </c>
      <c r="T17" s="1154">
        <f t="shared" si="2"/>
        <v>7</v>
      </c>
      <c r="U17" s="1110" t="s">
        <v>115</v>
      </c>
      <c r="V17" s="1110"/>
      <c r="W17" s="1111"/>
      <c r="X17" s="1111"/>
      <c r="Y17" s="1111"/>
      <c r="Z17" s="1110"/>
      <c r="AA17" s="1"/>
      <c r="AB17" s="1150" t="s">
        <v>134</v>
      </c>
      <c r="AC17" s="1164">
        <f>+AC9*AC16</f>
        <v>0</v>
      </c>
      <c r="AD17" s="1117">
        <f>+AC17</f>
        <v>0</v>
      </c>
      <c r="AE17" s="1117">
        <f>+AD17</f>
        <v>0</v>
      </c>
      <c r="AF17" s="1117"/>
      <c r="AG17" s="1"/>
      <c r="AH17" s="1150" t="s">
        <v>134</v>
      </c>
      <c r="AI17" s="1164">
        <f>+AI9*AI16</f>
        <v>0</v>
      </c>
      <c r="AJ17" s="1117">
        <f>+AI17</f>
        <v>0</v>
      </c>
      <c r="AK17" s="1117">
        <f>+AJ17</f>
        <v>0</v>
      </c>
      <c r="AL17" s="1"/>
      <c r="AO17" s="1072" t="s">
        <v>770</v>
      </c>
      <c r="AP17" s="1072" t="s">
        <v>1255</v>
      </c>
      <c r="AQ17" s="1074">
        <v>1319.24</v>
      </c>
      <c r="AR17" s="1072" t="s">
        <v>1265</v>
      </c>
      <c r="AS17" s="1073" t="s">
        <v>1342</v>
      </c>
      <c r="AT17" s="1072" t="s">
        <v>792</v>
      </c>
      <c r="AV17" s="1161"/>
      <c r="AW17" s="1162"/>
      <c r="AX17" s="1161"/>
      <c r="AY17" s="1161"/>
      <c r="AZ17" s="1163"/>
      <c r="BA17" s="1161"/>
      <c r="BB17"/>
      <c r="BC17"/>
      <c r="BD17"/>
      <c r="FC17" s="15"/>
      <c r="FD17" s="15"/>
      <c r="FE17" s="15"/>
    </row>
    <row r="18" spans="1:161" ht="12.75" customHeight="1" thickBot="1">
      <c r="A18" s="29">
        <v>930102</v>
      </c>
      <c r="B18" s="457" t="s">
        <v>116</v>
      </c>
      <c r="C18" s="457">
        <f>R18</f>
        <v>0</v>
      </c>
      <c r="D18" s="457">
        <f t="shared" si="3"/>
        <v>0</v>
      </c>
      <c r="E18" s="457">
        <f t="shared" si="3"/>
        <v>0</v>
      </c>
      <c r="F18" s="457"/>
      <c r="G18" s="457">
        <f>HLOOKUP($G$10,Advertisingscenario,H18,FALSE)</f>
        <v>0</v>
      </c>
      <c r="H18" s="24">
        <f t="shared" si="1"/>
        <v>9</v>
      </c>
      <c r="J18" s="1154">
        <v>5</v>
      </c>
      <c r="K18" s="29">
        <v>930102</v>
      </c>
      <c r="M18" s="24" t="s">
        <v>116</v>
      </c>
      <c r="N18" s="1117">
        <v>0</v>
      </c>
      <c r="O18" s="1117">
        <v>0</v>
      </c>
      <c r="P18" s="1117">
        <v>0</v>
      </c>
      <c r="Q18" s="1117">
        <v>0</v>
      </c>
      <c r="R18" s="1117">
        <v>0</v>
      </c>
      <c r="S18" s="1117"/>
      <c r="T18" s="1154">
        <f t="shared" si="2"/>
        <v>8</v>
      </c>
      <c r="U18" s="1126" t="s">
        <v>133</v>
      </c>
      <c r="V18" s="1330">
        <v>0.49099999999999999</v>
      </c>
      <c r="W18" s="1342"/>
      <c r="X18" s="1342"/>
      <c r="Y18" s="1159"/>
      <c r="AA18" s="1"/>
      <c r="AB18" s="1146"/>
      <c r="AC18" s="1146"/>
      <c r="AD18" s="1110"/>
      <c r="AE18" s="1110"/>
      <c r="AF18" s="1110"/>
      <c r="AG18" s="1"/>
      <c r="AH18" s="1146"/>
      <c r="AI18" s="1146"/>
      <c r="AJ18" s="1110"/>
      <c r="AK18" s="1110"/>
      <c r="AL18" s="1"/>
      <c r="AO18" s="1072" t="s">
        <v>770</v>
      </c>
      <c r="AP18" s="1072" t="s">
        <v>1255</v>
      </c>
      <c r="AQ18" s="1074">
        <v>247.57</v>
      </c>
      <c r="AR18" s="1072" t="s">
        <v>1265</v>
      </c>
      <c r="AS18" s="1073" t="s">
        <v>1347</v>
      </c>
      <c r="AT18" s="1072" t="s">
        <v>792</v>
      </c>
      <c r="AV18" s="1161"/>
      <c r="AW18" s="1162"/>
      <c r="AX18" s="1161"/>
      <c r="AY18" s="1161"/>
      <c r="AZ18" s="1163"/>
      <c r="BA18" s="1161"/>
      <c r="BB18"/>
      <c r="BC18"/>
      <c r="BD18"/>
      <c r="FC18" s="15"/>
      <c r="FD18" s="15"/>
      <c r="FE18" s="15"/>
    </row>
    <row r="19" spans="1:161" ht="17.25" thickTop="1" thickBot="1">
      <c r="A19" s="845"/>
      <c r="B19" s="102"/>
      <c r="C19" s="102"/>
      <c r="D19" s="102"/>
      <c r="E19" s="102"/>
      <c r="F19" s="102"/>
      <c r="G19" s="102"/>
      <c r="H19" s="24">
        <f t="shared" si="1"/>
        <v>10</v>
      </c>
      <c r="J19" s="1154">
        <v>7</v>
      </c>
      <c r="K19" s="29"/>
      <c r="M19" s="1166"/>
      <c r="N19" s="1167"/>
      <c r="O19" s="1166"/>
      <c r="P19" s="1166"/>
      <c r="Q19" s="1166"/>
      <c r="R19" s="1166"/>
      <c r="S19" s="1117"/>
      <c r="T19" s="1154">
        <f t="shared" si="2"/>
        <v>9</v>
      </c>
      <c r="U19" s="1150" t="s">
        <v>134</v>
      </c>
      <c r="V19" s="1164">
        <f>+W11*V18</f>
        <v>1448.45</v>
      </c>
      <c r="W19" s="1117">
        <f>+V19</f>
        <v>1448.45</v>
      </c>
      <c r="X19" s="1117">
        <f>+W19</f>
        <v>1448.45</v>
      </c>
      <c r="Y19" s="1117"/>
      <c r="Z19" s="111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O19" s="1072" t="s">
        <v>770</v>
      </c>
      <c r="AP19" s="1072" t="s">
        <v>1255</v>
      </c>
      <c r="AQ19" s="1074">
        <v>1838.33</v>
      </c>
      <c r="AR19" s="1072" t="s">
        <v>1265</v>
      </c>
      <c r="AS19" s="1073" t="s">
        <v>1348</v>
      </c>
      <c r="AT19" s="1072" t="s">
        <v>792</v>
      </c>
      <c r="AV19" s="1161"/>
      <c r="AW19" s="1162"/>
      <c r="AX19" s="1161"/>
      <c r="AY19" s="1161"/>
      <c r="AZ19" s="1163"/>
      <c r="BA19" s="1161"/>
      <c r="BB19"/>
      <c r="BC19"/>
      <c r="BD19"/>
      <c r="FC19" s="15"/>
      <c r="FD19" s="15"/>
      <c r="FE19" s="15"/>
    </row>
    <row r="20" spans="1:161" ht="13.5" customHeight="1" thickTop="1">
      <c r="B20" s="846"/>
      <c r="C20" s="846"/>
      <c r="D20" s="846"/>
      <c r="E20" s="846"/>
      <c r="F20" s="846"/>
      <c r="G20" s="846"/>
      <c r="H20" s="24">
        <f t="shared" si="1"/>
        <v>11</v>
      </c>
      <c r="J20" s="1154">
        <v>8</v>
      </c>
      <c r="M20" s="1110" t="s">
        <v>170</v>
      </c>
      <c r="N20" s="1117">
        <f>SUM(N14:N18)</f>
        <v>3504</v>
      </c>
      <c r="O20" s="1117">
        <f>SUM(O14:O18)</f>
        <v>3132.55</v>
      </c>
      <c r="P20" s="1117">
        <f>SUM(P14:P18)</f>
        <v>2392.3975</v>
      </c>
      <c r="Q20" s="1117">
        <f>SUM(Q14:Q18)</f>
        <v>5896.3975</v>
      </c>
      <c r="R20" s="1117">
        <f>SUM(R14:R18)</f>
        <v>5896.3975</v>
      </c>
      <c r="S20" s="1117"/>
      <c r="T20" s="1154">
        <f t="shared" si="2"/>
        <v>10</v>
      </c>
      <c r="U20"/>
      <c r="V20"/>
      <c r="W20"/>
      <c r="X20"/>
      <c r="Y20" s="1110"/>
      <c r="Z20" s="1159"/>
      <c r="AA20" s="1"/>
      <c r="AB20"/>
      <c r="AC20"/>
      <c r="AD20"/>
      <c r="AE20"/>
      <c r="AF20" s="1111"/>
      <c r="AG20" s="1"/>
      <c r="AH20"/>
      <c r="AI20"/>
      <c r="AJ20"/>
      <c r="AK20"/>
      <c r="AL20" s="1"/>
      <c r="AO20" s="1072" t="s">
        <v>770</v>
      </c>
      <c r="AP20" s="1072" t="s">
        <v>1255</v>
      </c>
      <c r="AQ20" s="1074">
        <v>85.58</v>
      </c>
      <c r="AR20" s="1072" t="s">
        <v>1265</v>
      </c>
      <c r="AS20" s="1073" t="s">
        <v>1350</v>
      </c>
      <c r="AT20" s="1072" t="s">
        <v>792</v>
      </c>
      <c r="AV20" s="1161"/>
      <c r="AW20" s="1162"/>
      <c r="AX20" s="1161"/>
      <c r="AY20" s="1161"/>
      <c r="AZ20" s="1163"/>
      <c r="BA20" s="1161"/>
      <c r="BB20"/>
      <c r="BC20"/>
      <c r="BD20"/>
      <c r="FC20" s="15"/>
      <c r="FD20" s="15"/>
      <c r="FE20" s="15"/>
    </row>
    <row r="21" spans="1:161" ht="13.5" thickBot="1">
      <c r="B21" s="106"/>
      <c r="C21" s="106"/>
      <c r="D21" s="106"/>
      <c r="E21" s="106"/>
      <c r="F21" s="106"/>
      <c r="G21" s="106"/>
      <c r="H21" s="24">
        <f t="shared" si="1"/>
        <v>12</v>
      </c>
      <c r="J21" s="1154">
        <v>9</v>
      </c>
      <c r="M21" s="1168"/>
      <c r="N21" s="1169"/>
      <c r="O21" s="1169"/>
      <c r="P21" s="1169"/>
      <c r="Q21" s="1169"/>
      <c r="R21" s="1170"/>
      <c r="T21" s="1154">
        <f t="shared" si="2"/>
        <v>11</v>
      </c>
      <c r="U21"/>
      <c r="V21"/>
      <c r="W21"/>
      <c r="X21"/>
      <c r="Z21" s="1117"/>
      <c r="AA21" s="1"/>
      <c r="AB21"/>
      <c r="AC21"/>
      <c r="AD21"/>
      <c r="AE21"/>
      <c r="AF21" s="1159"/>
      <c r="AG21" s="1"/>
      <c r="AH21"/>
      <c r="AI21"/>
      <c r="AJ21"/>
      <c r="AK21"/>
      <c r="AL21" s="1"/>
      <c r="AO21" s="1072" t="s">
        <v>770</v>
      </c>
      <c r="AP21" s="1072" t="s">
        <v>1255</v>
      </c>
      <c r="AQ21" s="1074">
        <v>53.69</v>
      </c>
      <c r="AR21" s="1072" t="s">
        <v>1266</v>
      </c>
      <c r="AS21" s="1073" t="s">
        <v>1346</v>
      </c>
      <c r="AT21" s="1072" t="s">
        <v>792</v>
      </c>
      <c r="BB21"/>
      <c r="BC21"/>
      <c r="BD21"/>
      <c r="FC21" s="15"/>
      <c r="FD21" s="15"/>
      <c r="FE21" s="15"/>
    </row>
    <row r="22" spans="1:161" ht="13.5" thickTop="1">
      <c r="B22" s="14" t="s">
        <v>170</v>
      </c>
      <c r="C22" s="14">
        <f>SUM(C14:C21)</f>
        <v>5896.3975</v>
      </c>
      <c r="D22" s="14">
        <f>SUM(D14:D21)</f>
        <v>5937.6722824999997</v>
      </c>
      <c r="E22" s="14">
        <f>SUM(E14:E21)</f>
        <v>6014.8620221724987</v>
      </c>
      <c r="F22" s="14"/>
      <c r="G22" s="844">
        <f>HLOOKUP($G$10,Advertisingscenario,H22,FALSE)</f>
        <v>6014.8620221724987</v>
      </c>
      <c r="H22" s="24">
        <f t="shared" si="1"/>
        <v>13</v>
      </c>
      <c r="J22" s="1154">
        <v>10</v>
      </c>
      <c r="M22" s="44"/>
      <c r="R22" s="311"/>
      <c r="S22" s="302"/>
      <c r="T22" s="1154">
        <f t="shared" si="2"/>
        <v>12</v>
      </c>
      <c r="Y22" s="1111"/>
      <c r="Z22" s="1110"/>
      <c r="AA22" s="1"/>
      <c r="AB22"/>
      <c r="AC22"/>
      <c r="AD22"/>
      <c r="AE22"/>
      <c r="AF22" s="1117"/>
      <c r="AG22" s="1"/>
      <c r="AH22"/>
      <c r="AI22"/>
      <c r="AJ22"/>
      <c r="AK22"/>
      <c r="AL22" s="1"/>
      <c r="AO22" s="1072" t="s">
        <v>770</v>
      </c>
      <c r="AP22" s="1072" t="s">
        <v>930</v>
      </c>
      <c r="AQ22" s="1074">
        <v>243</v>
      </c>
      <c r="AR22" s="1072" t="s">
        <v>989</v>
      </c>
      <c r="AS22" s="1073" t="s">
        <v>1344</v>
      </c>
      <c r="AT22" s="1072" t="s">
        <v>792</v>
      </c>
      <c r="AV22" s="19" t="s">
        <v>862</v>
      </c>
      <c r="AW22" s="1105">
        <f>SUM(AW14:AW20)</f>
        <v>3132.55</v>
      </c>
      <c r="BB22"/>
      <c r="BC22"/>
      <c r="BD22"/>
      <c r="FC22" s="15"/>
      <c r="FD22" s="15"/>
      <c r="FE22" s="15"/>
    </row>
    <row r="23" spans="1:161" ht="13.5" thickBot="1">
      <c r="B23" s="847"/>
      <c r="C23" s="847"/>
      <c r="D23" s="847"/>
      <c r="E23" s="847"/>
      <c r="F23" s="847"/>
      <c r="G23" s="847"/>
      <c r="H23" s="24">
        <f t="shared" si="1"/>
        <v>14</v>
      </c>
      <c r="J23" s="1154">
        <v>11</v>
      </c>
      <c r="M23" s="1171" t="s">
        <v>42</v>
      </c>
      <c r="N23" s="1117"/>
      <c r="O23" s="1117"/>
      <c r="P23" s="1117"/>
      <c r="Q23" s="1117"/>
      <c r="R23" s="37">
        <f>-R20</f>
        <v>-5896.3975</v>
      </c>
      <c r="S23" s="302"/>
      <c r="T23" s="1154">
        <f t="shared" si="2"/>
        <v>13</v>
      </c>
      <c r="U23" s="1573" t="s">
        <v>433</v>
      </c>
      <c r="V23" s="1573"/>
      <c r="W23" s="1573"/>
      <c r="X23" s="1573"/>
      <c r="Y23" s="1159"/>
      <c r="AA23" s="1"/>
      <c r="AB23"/>
      <c r="AC23"/>
      <c r="AD23"/>
      <c r="AE23"/>
      <c r="AF23" s="1110"/>
      <c r="AG23" s="1"/>
      <c r="AH23"/>
      <c r="AI23"/>
      <c r="AJ23"/>
      <c r="AK23"/>
      <c r="AL23" s="1"/>
      <c r="AN23" s="1335"/>
      <c r="AO23" s="1072" t="s">
        <v>770</v>
      </c>
      <c r="AP23" s="1072" t="s">
        <v>930</v>
      </c>
      <c r="AQ23" s="1074">
        <v>297</v>
      </c>
      <c r="AR23" s="1072" t="s">
        <v>989</v>
      </c>
      <c r="AS23" s="1073" t="s">
        <v>1347</v>
      </c>
      <c r="AT23" s="1072" t="s">
        <v>792</v>
      </c>
      <c r="BB23"/>
      <c r="BC23"/>
      <c r="BD23"/>
      <c r="FC23" s="15"/>
      <c r="FD23" s="15"/>
      <c r="FE23" s="15"/>
    </row>
    <row r="24" spans="1:161" ht="16.5" thickTop="1">
      <c r="B24" s="102"/>
      <c r="C24" s="102"/>
      <c r="D24" s="102"/>
      <c r="E24" s="102"/>
      <c r="F24" s="102"/>
      <c r="G24" s="14"/>
      <c r="H24" s="24">
        <f t="shared" si="1"/>
        <v>15</v>
      </c>
      <c r="J24" s="1154">
        <v>12</v>
      </c>
      <c r="S24" s="302"/>
      <c r="T24" s="1154">
        <f t="shared" si="2"/>
        <v>14</v>
      </c>
      <c r="U24" s="1147"/>
      <c r="W24" s="1147"/>
      <c r="X24" s="1155"/>
      <c r="Y24" s="1117"/>
      <c r="Z24" s="1111"/>
      <c r="AA24" s="1"/>
      <c r="AB24"/>
      <c r="AC24"/>
      <c r="AD24"/>
      <c r="AE24"/>
      <c r="AF24" s="1"/>
      <c r="AG24" s="1"/>
      <c r="AH24"/>
      <c r="AI24"/>
      <c r="AJ24"/>
      <c r="AK24"/>
      <c r="AL24" s="1"/>
      <c r="AN24" s="1172"/>
      <c r="AO24" s="1072" t="s">
        <v>770</v>
      </c>
      <c r="AP24" s="1072" t="s">
        <v>930</v>
      </c>
      <c r="AQ24" s="1074">
        <v>162</v>
      </c>
      <c r="AR24" s="1072" t="s">
        <v>989</v>
      </c>
      <c r="AS24" s="1073" t="s">
        <v>1343</v>
      </c>
      <c r="AT24" s="1072" t="s">
        <v>792</v>
      </c>
      <c r="AV24" s="1161"/>
      <c r="AW24" s="1162"/>
      <c r="AX24" s="1161"/>
      <c r="AY24" s="1161"/>
      <c r="AZ24" s="1163"/>
      <c r="BA24" s="1161"/>
      <c r="BB24"/>
      <c r="BC24"/>
      <c r="BD24"/>
      <c r="FC24" s="15"/>
      <c r="FD24" s="15"/>
      <c r="FE24" s="15"/>
    </row>
    <row r="25" spans="1:161" ht="15.75">
      <c r="B25" s="14" t="s">
        <v>42</v>
      </c>
      <c r="C25" s="14">
        <f>-C22</f>
        <v>-5896.3975</v>
      </c>
      <c r="D25" s="14">
        <f>-D22</f>
        <v>-5937.6722824999997</v>
      </c>
      <c r="E25" s="14">
        <f>-E22</f>
        <v>-6014.8620221724987</v>
      </c>
      <c r="F25" s="14"/>
      <c r="G25" s="844">
        <f>HLOOKUP($G$10,Advertisingscenario,H25,FALSE)</f>
        <v>-6014.8620221724987</v>
      </c>
      <c r="H25" s="24">
        <f t="shared" si="1"/>
        <v>16</v>
      </c>
      <c r="J25" s="1154">
        <v>13</v>
      </c>
      <c r="M25" s="1109" t="s">
        <v>641</v>
      </c>
      <c r="N25" s="1117"/>
      <c r="O25" s="1117"/>
      <c r="Q25" s="1117"/>
      <c r="R25" s="1173">
        <v>-5704.0649908124824</v>
      </c>
      <c r="S25" s="302"/>
      <c r="T25" s="1154">
        <f t="shared" si="2"/>
        <v>15</v>
      </c>
      <c r="U25" s="89" t="s">
        <v>1261</v>
      </c>
      <c r="V25" s="1110"/>
      <c r="W25" s="1155">
        <v>1922.5</v>
      </c>
      <c r="X25" s="1110"/>
      <c r="Y25" s="1110"/>
      <c r="Z25" s="1159"/>
      <c r="AA25" s="1"/>
      <c r="AB25"/>
      <c r="AC25"/>
      <c r="AD25"/>
      <c r="AE25"/>
      <c r="AF25" s="1111"/>
      <c r="AG25" s="1"/>
      <c r="AH25"/>
      <c r="AI25"/>
      <c r="AJ25"/>
      <c r="AK25"/>
      <c r="AL25" s="1"/>
      <c r="AN25" s="1172"/>
      <c r="AO25" s="1072" t="s">
        <v>770</v>
      </c>
      <c r="AP25" s="1072" t="s">
        <v>930</v>
      </c>
      <c r="AQ25" s="1074">
        <v>216</v>
      </c>
      <c r="AR25" s="1072" t="s">
        <v>989</v>
      </c>
      <c r="AS25" s="1073" t="s">
        <v>1349</v>
      </c>
      <c r="AT25" s="1072" t="s">
        <v>792</v>
      </c>
      <c r="AV25" s="1161"/>
      <c r="AW25" s="1162"/>
      <c r="AX25" s="1161"/>
      <c r="AY25" s="1161"/>
      <c r="AZ25" s="1163"/>
      <c r="BA25" s="1161"/>
      <c r="BB25"/>
      <c r="BC25"/>
      <c r="BD25"/>
      <c r="FC25" s="15"/>
      <c r="FD25" s="15"/>
      <c r="FE25" s="15"/>
    </row>
    <row r="26" spans="1:161" ht="16.5" thickBot="1">
      <c r="B26" s="102"/>
      <c r="C26" s="102"/>
      <c r="D26" s="102"/>
      <c r="E26" s="102"/>
      <c r="F26" s="102"/>
      <c r="G26" s="14"/>
      <c r="H26" s="24">
        <f t="shared" si="1"/>
        <v>17</v>
      </c>
      <c r="J26" s="1154">
        <v>14</v>
      </c>
      <c r="M26" s="1109" t="s">
        <v>642</v>
      </c>
      <c r="N26" s="1117"/>
      <c r="O26" s="1117"/>
      <c r="Q26" s="1117"/>
      <c r="R26" s="1343">
        <v>-192.33250918751688</v>
      </c>
      <c r="S26" s="1117"/>
      <c r="T26" s="1154">
        <f t="shared" si="2"/>
        <v>16</v>
      </c>
      <c r="U26" s="1147"/>
      <c r="V26" s="1147"/>
      <c r="W26" s="1147"/>
      <c r="X26" s="1146"/>
      <c r="Z26" s="1117"/>
      <c r="AA26" s="1"/>
      <c r="AB26"/>
      <c r="AC26"/>
      <c r="AD26"/>
      <c r="AE26"/>
      <c r="AF26" s="1159"/>
      <c r="AG26" s="1"/>
      <c r="AH26"/>
      <c r="AI26"/>
      <c r="AJ26"/>
      <c r="AK26"/>
      <c r="AL26" s="1"/>
      <c r="AN26" s="1172"/>
      <c r="AO26" s="1072" t="s">
        <v>770</v>
      </c>
      <c r="AP26" s="1072" t="s">
        <v>930</v>
      </c>
      <c r="AQ26" s="1074">
        <v>981</v>
      </c>
      <c r="AR26" s="1072" t="s">
        <v>989</v>
      </c>
      <c r="AS26" s="1073" t="s">
        <v>1350</v>
      </c>
      <c r="AT26" s="1072" t="s">
        <v>792</v>
      </c>
      <c r="AV26" s="1161"/>
      <c r="AW26" s="1162"/>
      <c r="AX26" s="1161"/>
      <c r="AY26" s="1161"/>
      <c r="AZ26" s="1163"/>
      <c r="BA26" s="1161"/>
      <c r="BB26" s="1161"/>
      <c r="BC26" s="1163"/>
      <c r="BD26" s="1161"/>
      <c r="FC26" s="15"/>
      <c r="FD26" s="15"/>
      <c r="FE26" s="15"/>
    </row>
    <row r="27" spans="1:161" ht="15.75">
      <c r="A27" s="24">
        <v>930</v>
      </c>
      <c r="B27" s="848" t="s">
        <v>641</v>
      </c>
      <c r="C27" s="848">
        <f ca="1">'ROR-Model'!$M$2*C25</f>
        <v>-5704.9077535781998</v>
      </c>
      <c r="D27" s="848">
        <f ca="1">'ROR-Model'!$M$2*D25</f>
        <v>-5744.8421078532465</v>
      </c>
      <c r="E27" s="848">
        <f ca="1">'ROR-Model'!$M$2*E25</f>
        <v>-5819.525055255338</v>
      </c>
      <c r="F27" s="848"/>
      <c r="G27" s="844">
        <f ca="1">HLOOKUP($G$10,Advertisingscenario,H27,FALSE)</f>
        <v>-5819.525055255338</v>
      </c>
      <c r="H27" s="24">
        <f t="shared" si="1"/>
        <v>18</v>
      </c>
      <c r="J27" s="1154">
        <v>15</v>
      </c>
      <c r="M27" s="1171" t="s">
        <v>777</v>
      </c>
      <c r="N27" s="1117"/>
      <c r="O27" s="1117"/>
      <c r="Q27" s="1117"/>
      <c r="R27" s="1174">
        <f>SUM(R25:R26)</f>
        <v>-5896.3974999999991</v>
      </c>
      <c r="S27" s="1159"/>
      <c r="T27" s="1154">
        <f t="shared" si="2"/>
        <v>17</v>
      </c>
      <c r="U27" s="1147"/>
      <c r="V27" s="1320" t="s">
        <v>199</v>
      </c>
      <c r="W27" s="1147" t="s">
        <v>763</v>
      </c>
      <c r="X27" s="1147" t="s">
        <v>42</v>
      </c>
      <c r="Y27" s="1111"/>
      <c r="AA27" s="1"/>
      <c r="AB27"/>
      <c r="AC27"/>
      <c r="AD27"/>
      <c r="AE27"/>
      <c r="AF27" s="1117"/>
      <c r="AG27" s="1"/>
      <c r="AH27"/>
      <c r="AI27"/>
      <c r="AJ27"/>
      <c r="AK27"/>
      <c r="AL27" s="1"/>
      <c r="AN27" s="1172"/>
      <c r="AO27" s="1072" t="s">
        <v>770</v>
      </c>
      <c r="AP27" s="1072" t="s">
        <v>930</v>
      </c>
      <c r="AQ27" s="1074">
        <v>710.02</v>
      </c>
      <c r="AR27" s="1072" t="s">
        <v>993</v>
      </c>
      <c r="AS27" s="1073" t="s">
        <v>1350</v>
      </c>
      <c r="AT27" s="1072" t="s">
        <v>792</v>
      </c>
      <c r="AV27" s="1161"/>
      <c r="AW27" s="1162"/>
      <c r="AX27" s="1161"/>
      <c r="AY27" s="1161"/>
      <c r="AZ27" s="1163"/>
      <c r="BA27" s="1161"/>
      <c r="BB27" s="1161"/>
      <c r="BC27" s="1163"/>
      <c r="BD27" s="1161"/>
      <c r="FC27" s="15"/>
      <c r="FD27" s="15"/>
      <c r="FE27" s="15"/>
    </row>
    <row r="28" spans="1:161" ht="16.5" thickBot="1">
      <c r="A28" s="24">
        <v>930</v>
      </c>
      <c r="B28" s="850" t="s">
        <v>642</v>
      </c>
      <c r="C28" s="849">
        <f ca="1">'ROR-Model'!$N$2*C25</f>
        <v>-191.48974642179999</v>
      </c>
      <c r="D28" s="849">
        <f ca="1">'ROR-Model'!$N$2*D25</f>
        <v>-192.83017464675257</v>
      </c>
      <c r="E28" s="849">
        <f ca="1">'ROR-Model'!$N$2*E25</f>
        <v>-195.33696691716031</v>
      </c>
      <c r="F28" s="850"/>
      <c r="G28" s="849">
        <f ca="1">HLOOKUP($G$10,Advertisingscenario,H28,FALSE)</f>
        <v>-195.33696691716031</v>
      </c>
      <c r="H28" s="24">
        <f t="shared" si="1"/>
        <v>19</v>
      </c>
      <c r="L28" s="1154"/>
      <c r="M28" s="1171"/>
      <c r="R28" s="300"/>
      <c r="S28" s="1094"/>
      <c r="T28" s="1154">
        <f t="shared" si="2"/>
        <v>18</v>
      </c>
      <c r="U28" s="1110" t="s">
        <v>161</v>
      </c>
      <c r="V28" s="1318" t="s">
        <v>162</v>
      </c>
      <c r="W28" s="1148" t="s">
        <v>668</v>
      </c>
      <c r="X28" s="1148" t="s">
        <v>668</v>
      </c>
      <c r="Y28" s="1159"/>
      <c r="Z28" s="1096"/>
      <c r="AA28" s="1"/>
      <c r="AB28"/>
      <c r="AC28"/>
      <c r="AD28"/>
      <c r="AE28"/>
      <c r="AF28" s="1"/>
      <c r="AG28" s="1"/>
      <c r="AH28"/>
      <c r="AI28"/>
      <c r="AJ28"/>
      <c r="AK28"/>
      <c r="AL28" s="1"/>
      <c r="AN28" s="1172"/>
      <c r="AO28" s="1072" t="s">
        <v>770</v>
      </c>
      <c r="AP28" s="1072" t="s">
        <v>930</v>
      </c>
      <c r="AQ28" s="1074">
        <v>319.5</v>
      </c>
      <c r="AR28" s="1072" t="s">
        <v>1362</v>
      </c>
      <c r="AS28" s="1073" t="s">
        <v>1349</v>
      </c>
      <c r="AT28" s="1072" t="s">
        <v>792</v>
      </c>
      <c r="AV28" s="1161"/>
      <c r="AW28" s="1162"/>
      <c r="AX28" s="1161"/>
      <c r="AY28" s="1161"/>
      <c r="AZ28" s="1163"/>
      <c r="BA28" s="1161"/>
      <c r="BB28" s="1161"/>
      <c r="BC28" s="1163"/>
      <c r="BD28" s="1161"/>
      <c r="FC28" s="15"/>
      <c r="FD28" s="15"/>
      <c r="FE28" s="15"/>
    </row>
    <row r="29" spans="1:161" ht="15.75">
      <c r="B29" s="15"/>
      <c r="C29" s="95">
        <f ca="1">SUM(C27:C28)</f>
        <v>-5896.3975</v>
      </c>
      <c r="D29" s="95">
        <f t="shared" ref="D29:E29" ca="1" si="4">SUM(D27:D28)</f>
        <v>-5937.6722824999988</v>
      </c>
      <c r="E29" s="95">
        <f t="shared" ca="1" si="4"/>
        <v>-6014.8620221724987</v>
      </c>
      <c r="F29" s="15"/>
      <c r="G29" s="329">
        <f ca="1">HLOOKUP($G$10,Advertisingscenario,H29,FALSE)</f>
        <v>-6014.8620221724987</v>
      </c>
      <c r="H29" s="24">
        <f t="shared" si="1"/>
        <v>20</v>
      </c>
      <c r="L29" s="302" t="s">
        <v>56</v>
      </c>
      <c r="M29" s="1142" t="s">
        <v>464</v>
      </c>
      <c r="N29" s="1117"/>
      <c r="P29" s="1140"/>
      <c r="Q29" s="45"/>
      <c r="R29" s="1117"/>
      <c r="S29" s="1175"/>
      <c r="T29" s="1154">
        <f t="shared" si="2"/>
        <v>19</v>
      </c>
      <c r="U29" s="1"/>
      <c r="V29" s="1"/>
      <c r="W29" s="1"/>
      <c r="Y29" s="1117"/>
      <c r="Z29" s="1096"/>
      <c r="AA29" s="1"/>
      <c r="AB29"/>
      <c r="AC29"/>
      <c r="AD29"/>
      <c r="AE29"/>
      <c r="AF29" s="1094"/>
      <c r="AG29" s="1"/>
      <c r="AH29"/>
      <c r="AI29"/>
      <c r="AJ29"/>
      <c r="AK29"/>
      <c r="AL29" s="1"/>
      <c r="AN29" s="1172"/>
      <c r="AO29" s="1072" t="s">
        <v>770</v>
      </c>
      <c r="AP29" s="1072" t="s">
        <v>930</v>
      </c>
      <c r="AQ29" s="1074">
        <v>985.13</v>
      </c>
      <c r="AR29" s="1072" t="s">
        <v>1362</v>
      </c>
      <c r="AS29" s="1073" t="s">
        <v>1350</v>
      </c>
      <c r="AT29" s="1072" t="s">
        <v>792</v>
      </c>
      <c r="AV29" s="1161"/>
      <c r="AW29" s="1162"/>
      <c r="AX29" s="1161"/>
      <c r="AY29" s="1161"/>
      <c r="AZ29" s="1163"/>
      <c r="BA29" s="1161"/>
      <c r="BB29" s="1161"/>
      <c r="BC29" s="1163"/>
      <c r="BD29" s="1161"/>
      <c r="FC29" s="15"/>
      <c r="FD29" s="15"/>
      <c r="FE29" s="15"/>
    </row>
    <row r="30" spans="1:161" ht="15.75">
      <c r="B30" s="15"/>
      <c r="C30" s="15"/>
      <c r="D30" s="15"/>
      <c r="E30" s="15"/>
      <c r="F30" s="15"/>
      <c r="G30" s="15"/>
      <c r="H30" s="24">
        <f t="shared" si="1"/>
        <v>21</v>
      </c>
      <c r="L30" s="302"/>
      <c r="M30" s="1142"/>
      <c r="T30" s="1154">
        <f t="shared" si="2"/>
        <v>20</v>
      </c>
      <c r="U30" s="1110" t="s">
        <v>115</v>
      </c>
      <c r="V30" s="1110"/>
      <c r="W30" s="1111"/>
      <c r="X30" s="1111"/>
      <c r="AA30" s="1"/>
      <c r="AB30"/>
      <c r="AC30"/>
      <c r="AD30"/>
      <c r="AE30"/>
      <c r="AF30" s="1110"/>
      <c r="AG30" s="1"/>
      <c r="AH30" s="1"/>
      <c r="AI30" s="1"/>
      <c r="AJ30" s="1"/>
      <c r="AK30" s="1110"/>
      <c r="AL30" s="1"/>
      <c r="AN30" s="1172"/>
      <c r="AO30" s="1072" t="s">
        <v>770</v>
      </c>
      <c r="AP30" s="1072" t="s">
        <v>930</v>
      </c>
      <c r="AQ30" s="1074">
        <v>415.2</v>
      </c>
      <c r="AR30" s="1072" t="s">
        <v>992</v>
      </c>
      <c r="AS30" s="1073" t="s">
        <v>1347</v>
      </c>
      <c r="AT30" s="1072" t="s">
        <v>792</v>
      </c>
      <c r="AV30" s="1161"/>
      <c r="AW30" s="1162"/>
      <c r="AX30" s="1161"/>
      <c r="AY30" s="1161"/>
      <c r="AZ30" s="1163"/>
      <c r="BA30" s="1161"/>
      <c r="BB30" s="1161"/>
      <c r="BC30" s="1163"/>
      <c r="BD30" s="1161"/>
      <c r="FC30" s="15"/>
      <c r="FD30" s="15"/>
      <c r="FE30" s="15"/>
    </row>
    <row r="31" spans="1:161" ht="13.5" thickBot="1">
      <c r="B31" s="101" t="s">
        <v>1284</v>
      </c>
      <c r="C31" s="101"/>
      <c r="D31" s="101">
        <v>7.0000000000000001E-3</v>
      </c>
      <c r="E31" s="101">
        <v>1.2999999999999999E-2</v>
      </c>
      <c r="F31" s="101"/>
      <c r="G31" s="199">
        <f>HLOOKUP($G$10,Advertisingscenario,H32,FALSE)</f>
        <v>0</v>
      </c>
      <c r="H31" s="24">
        <f t="shared" si="1"/>
        <v>22</v>
      </c>
      <c r="S31" s="37"/>
      <c r="T31" s="1154">
        <f t="shared" si="2"/>
        <v>21</v>
      </c>
      <c r="U31" s="1126" t="s">
        <v>133</v>
      </c>
      <c r="V31" s="1330">
        <v>0.49099999999999999</v>
      </c>
      <c r="W31" s="1342"/>
      <c r="X31" s="1342"/>
      <c r="Y31" s="1094"/>
      <c r="AA31" s="1"/>
      <c r="AB31"/>
      <c r="AC31"/>
      <c r="AD31"/>
      <c r="AE31"/>
      <c r="AF31" s="1110"/>
      <c r="AG31" s="1"/>
      <c r="AH31" s="1"/>
      <c r="AI31" s="1"/>
      <c r="AJ31" s="1"/>
      <c r="AK31" s="1110"/>
      <c r="AL31" s="1"/>
      <c r="AN31" s="1172"/>
      <c r="AO31" s="1072" t="s">
        <v>770</v>
      </c>
      <c r="AP31" s="1072" t="s">
        <v>930</v>
      </c>
      <c r="AQ31" s="1074">
        <v>186.72</v>
      </c>
      <c r="AR31" s="1072" t="s">
        <v>992</v>
      </c>
      <c r="AS31" s="1073" t="s">
        <v>1343</v>
      </c>
      <c r="AT31" s="1072" t="s">
        <v>792</v>
      </c>
      <c r="FC31" s="15"/>
      <c r="FD31" s="15"/>
      <c r="FE31" s="15"/>
    </row>
    <row r="32" spans="1:161">
      <c r="B32" s="101"/>
      <c r="C32" s="101"/>
      <c r="D32" s="101"/>
      <c r="E32" s="101"/>
      <c r="F32" s="101"/>
      <c r="G32" s="101"/>
      <c r="H32" s="24">
        <f t="shared" si="1"/>
        <v>23</v>
      </c>
      <c r="T32" s="1154">
        <f t="shared" si="2"/>
        <v>22</v>
      </c>
      <c r="U32" s="1150" t="s">
        <v>134</v>
      </c>
      <c r="V32" s="1164">
        <f>+W25*V31</f>
        <v>943.94749999999999</v>
      </c>
      <c r="W32" s="1117">
        <f>+V32</f>
        <v>943.94749999999999</v>
      </c>
      <c r="X32" s="1117">
        <f>+W32</f>
        <v>943.94749999999999</v>
      </c>
      <c r="Z32" s="1094"/>
      <c r="AA32" s="1"/>
      <c r="AB32" s="1"/>
      <c r="AC32" s="1"/>
      <c r="AD32" s="1"/>
      <c r="AE32" s="1110"/>
      <c r="AF32" s="1110"/>
      <c r="AG32" s="1"/>
      <c r="AH32" s="1"/>
      <c r="AI32" s="1"/>
      <c r="AJ32" s="1"/>
      <c r="AK32" s="1110"/>
      <c r="AL32" s="1"/>
      <c r="AN32" s="1172"/>
      <c r="AO32" s="1072" t="s">
        <v>770</v>
      </c>
      <c r="AP32" s="1072" t="s">
        <v>930</v>
      </c>
      <c r="AQ32" s="1074">
        <v>608</v>
      </c>
      <c r="AR32" s="1072" t="s">
        <v>991</v>
      </c>
      <c r="AS32" s="1073" t="s">
        <v>1347</v>
      </c>
      <c r="AT32" s="1072" t="s">
        <v>792</v>
      </c>
      <c r="FC32" s="15"/>
      <c r="FD32" s="15"/>
      <c r="FE32" s="15"/>
    </row>
    <row r="33" spans="2:161">
      <c r="B33" s="101"/>
      <c r="C33" s="101"/>
      <c r="D33" s="101"/>
      <c r="E33" s="101"/>
      <c r="F33" s="101"/>
      <c r="G33" s="101"/>
      <c r="H33" s="24">
        <f t="shared" si="1"/>
        <v>24</v>
      </c>
      <c r="S33" s="1094"/>
      <c r="T33" s="1110"/>
      <c r="U33" s="1"/>
      <c r="V33" s="1"/>
      <c r="W33" s="1"/>
      <c r="Z33" s="1175"/>
      <c r="AA33" s="1110"/>
      <c r="AB33" s="1110"/>
      <c r="AC33" s="1110"/>
      <c r="AD33" s="1110"/>
      <c r="AE33" s="1110"/>
      <c r="AF33" s="1110"/>
      <c r="AG33" s="1110"/>
      <c r="AH33" s="1110"/>
      <c r="AI33" s="1110"/>
      <c r="AJ33" s="1110"/>
      <c r="AK33" s="1110"/>
      <c r="AL33" s="1110"/>
      <c r="AN33" s="1172"/>
      <c r="AO33" s="1072" t="s">
        <v>770</v>
      </c>
      <c r="AP33" s="1072" t="s">
        <v>930</v>
      </c>
      <c r="AQ33" s="1074">
        <v>1368</v>
      </c>
      <c r="AR33" s="1072" t="s">
        <v>991</v>
      </c>
      <c r="AS33" s="1073" t="s">
        <v>1350</v>
      </c>
      <c r="AT33" s="1072" t="s">
        <v>792</v>
      </c>
      <c r="FC33" s="15"/>
      <c r="FD33" s="15"/>
      <c r="FE33" s="15"/>
    </row>
    <row r="34" spans="2:161">
      <c r="H34" s="24">
        <f t="shared" si="1"/>
        <v>25</v>
      </c>
      <c r="S34" s="1175"/>
      <c r="T34" s="1110"/>
      <c r="U34" s="1"/>
      <c r="V34" s="1"/>
      <c r="W34" s="1"/>
      <c r="Z34" s="1094"/>
      <c r="AA34" s="1110"/>
      <c r="AB34" s="1110"/>
      <c r="AC34" s="1110"/>
      <c r="AD34" s="1110"/>
      <c r="AE34" s="1110"/>
      <c r="AF34" s="1110"/>
      <c r="AG34" s="1110"/>
      <c r="AH34" s="1110"/>
      <c r="AI34" s="1110"/>
      <c r="AJ34" s="1110"/>
      <c r="AK34" s="1110"/>
      <c r="AL34" s="1110"/>
      <c r="AN34" s="1172"/>
      <c r="AO34" s="1072" t="s">
        <v>770</v>
      </c>
      <c r="AP34" s="1072" t="s">
        <v>930</v>
      </c>
      <c r="AQ34" s="1074">
        <v>342.33</v>
      </c>
      <c r="AR34" s="1072" t="s">
        <v>990</v>
      </c>
      <c r="AS34" s="1073" t="s">
        <v>1347</v>
      </c>
      <c r="AT34" s="1072" t="s">
        <v>792</v>
      </c>
      <c r="FC34" s="15"/>
      <c r="FD34" s="15"/>
      <c r="FE34" s="15"/>
    </row>
    <row r="35" spans="2:161">
      <c r="H35" s="24">
        <f t="shared" si="1"/>
        <v>26</v>
      </c>
      <c r="S35" s="1175"/>
      <c r="T35" s="1110"/>
      <c r="U35" s="1"/>
      <c r="V35" s="1"/>
      <c r="W35" s="1"/>
      <c r="Z35" s="1094"/>
      <c r="AA35" s="1110"/>
      <c r="AB35" s="1110"/>
      <c r="AC35" s="1110"/>
      <c r="AD35" s="1110"/>
      <c r="AE35" s="1110"/>
      <c r="AF35" s="1110"/>
      <c r="AG35" s="1110"/>
      <c r="AH35" s="1110"/>
      <c r="AI35" s="1110"/>
      <c r="AJ35" s="1110"/>
      <c r="AK35" s="1110"/>
      <c r="AL35" s="1110"/>
      <c r="AN35" s="1172"/>
      <c r="AO35" s="1072" t="s">
        <v>770</v>
      </c>
      <c r="AP35" s="1072" t="s">
        <v>930</v>
      </c>
      <c r="AQ35" s="1074">
        <v>1498.6</v>
      </c>
      <c r="AR35" s="1072" t="s">
        <v>990</v>
      </c>
      <c r="AS35" s="1073" t="s">
        <v>1350</v>
      </c>
      <c r="AT35" s="1072" t="s">
        <v>792</v>
      </c>
      <c r="FC35" s="15"/>
      <c r="FD35" s="15"/>
      <c r="FE35" s="15"/>
    </row>
    <row r="36" spans="2:161">
      <c r="S36" s="300"/>
      <c r="T36" s="1110"/>
      <c r="U36" s="1"/>
      <c r="V36" s="1"/>
      <c r="W36" s="1"/>
      <c r="AA36" s="1110"/>
      <c r="AB36" s="1110"/>
      <c r="AC36" s="1110"/>
      <c r="AD36" s="1110"/>
      <c r="AE36" s="1110"/>
      <c r="AF36" s="1110"/>
      <c r="AG36" s="1110"/>
      <c r="AH36" s="1110"/>
      <c r="AI36" s="1110"/>
      <c r="AJ36" s="1110"/>
      <c r="AK36" s="1110"/>
      <c r="AL36" s="1110"/>
      <c r="AN36" s="1172"/>
      <c r="AO36" s="1072" t="s">
        <v>770</v>
      </c>
      <c r="AP36" s="1072" t="s">
        <v>930</v>
      </c>
      <c r="AQ36" s="1074">
        <v>293.64999999999998</v>
      </c>
      <c r="AR36" s="1072" t="s">
        <v>939</v>
      </c>
      <c r="AS36" s="1073" t="s">
        <v>1344</v>
      </c>
      <c r="AT36" s="1072" t="s">
        <v>792</v>
      </c>
      <c r="FC36" s="15"/>
      <c r="FD36" s="15"/>
      <c r="FE36" s="15"/>
    </row>
    <row r="37" spans="2:161">
      <c r="S37" s="1117"/>
      <c r="T37" s="1110"/>
      <c r="U37" s="1"/>
      <c r="V37" s="1"/>
      <c r="W37" s="1"/>
      <c r="Z37" s="24"/>
      <c r="AA37" s="1110"/>
      <c r="AB37" s="1110"/>
      <c r="AC37" s="1110"/>
      <c r="AD37" s="1110"/>
      <c r="AE37" s="1110"/>
      <c r="AF37" s="1110"/>
      <c r="AG37" s="1110"/>
      <c r="AH37" s="1110"/>
      <c r="AI37" s="1110"/>
      <c r="AJ37" s="1110"/>
      <c r="AK37" s="1110"/>
      <c r="AL37" s="1110"/>
      <c r="AN37" s="1172"/>
      <c r="AO37" s="1072" t="s">
        <v>770</v>
      </c>
      <c r="AP37" s="1072" t="s">
        <v>930</v>
      </c>
      <c r="AQ37" s="1074">
        <v>30.41</v>
      </c>
      <c r="AR37" s="1072" t="s">
        <v>1265</v>
      </c>
      <c r="AS37" s="1073" t="s">
        <v>1344</v>
      </c>
      <c r="AT37" s="1072" t="s">
        <v>792</v>
      </c>
      <c r="FC37" s="15"/>
      <c r="FD37" s="15"/>
      <c r="FE37" s="15"/>
    </row>
    <row r="38" spans="2:161">
      <c r="T38" s="1110"/>
      <c r="U38" s="1"/>
      <c r="V38" s="1"/>
      <c r="W38" s="1"/>
      <c r="Z38" s="24"/>
      <c r="AO38" s="1072" t="s">
        <v>770</v>
      </c>
      <c r="AP38" s="1072" t="s">
        <v>930</v>
      </c>
      <c r="AQ38" s="1074">
        <v>34.270000000000003</v>
      </c>
      <c r="AR38" s="1072" t="s">
        <v>1265</v>
      </c>
      <c r="AS38" s="1073" t="s">
        <v>1350</v>
      </c>
      <c r="AT38" s="1072" t="s">
        <v>792</v>
      </c>
      <c r="FC38" s="15"/>
      <c r="FD38" s="15"/>
      <c r="FE38" s="15"/>
    </row>
    <row r="39" spans="2:161">
      <c r="T39" s="1110"/>
      <c r="U39" s="1"/>
      <c r="V39" s="1"/>
      <c r="W39" s="1"/>
      <c r="Z39" s="24"/>
      <c r="AO39" s="1072" t="s">
        <v>770</v>
      </c>
      <c r="AP39" s="1072" t="s">
        <v>930</v>
      </c>
      <c r="AQ39" s="1074">
        <v>1.24</v>
      </c>
      <c r="AR39" s="1072" t="s">
        <v>1266</v>
      </c>
      <c r="AS39" s="1073" t="s">
        <v>1346</v>
      </c>
      <c r="AT39" s="1072" t="s">
        <v>792</v>
      </c>
      <c r="FC39" s="15"/>
      <c r="FD39" s="15"/>
      <c r="FE39" s="15"/>
    </row>
    <row r="40" spans="2:161">
      <c r="AO40" s="1072" t="s">
        <v>770</v>
      </c>
      <c r="AP40" s="1072" t="s">
        <v>1259</v>
      </c>
      <c r="AQ40" s="1074">
        <v>17.28</v>
      </c>
      <c r="AR40" s="1072" t="s">
        <v>1257</v>
      </c>
      <c r="AS40" s="1073" t="s">
        <v>1345</v>
      </c>
      <c r="AT40" s="1072" t="s">
        <v>792</v>
      </c>
      <c r="FC40" s="15"/>
      <c r="FD40" s="15"/>
      <c r="FE40" s="15"/>
    </row>
    <row r="41" spans="2:161">
      <c r="K41" s="29"/>
      <c r="L41" s="1154"/>
      <c r="N41" s="1117"/>
      <c r="O41" s="1117"/>
      <c r="P41" s="1117"/>
      <c r="Q41" s="1117"/>
      <c r="R41" s="1117"/>
      <c r="AO41" s="1072" t="s">
        <v>770</v>
      </c>
      <c r="AP41" s="1072" t="s">
        <v>1259</v>
      </c>
      <c r="AQ41" s="1074">
        <v>50.18</v>
      </c>
      <c r="AR41" s="1072" t="s">
        <v>1257</v>
      </c>
      <c r="AS41" s="1073" t="s">
        <v>1350</v>
      </c>
      <c r="AT41" s="1072" t="s">
        <v>792</v>
      </c>
      <c r="FC41" s="15"/>
      <c r="FD41" s="15"/>
      <c r="FE41" s="15"/>
    </row>
    <row r="42" spans="2:161">
      <c r="AO42" s="1072" t="s">
        <v>770</v>
      </c>
      <c r="AP42" s="1072" t="s">
        <v>1259</v>
      </c>
      <c r="AQ42" s="1074">
        <v>131.18</v>
      </c>
      <c r="AR42" s="1072" t="s">
        <v>939</v>
      </c>
      <c r="AS42" s="1073" t="s">
        <v>1350</v>
      </c>
      <c r="AT42" s="1072" t="s">
        <v>792</v>
      </c>
      <c r="FC42" s="15"/>
      <c r="FD42" s="15"/>
      <c r="FE42" s="15"/>
    </row>
    <row r="43" spans="2:161">
      <c r="AO43" s="1072" t="s">
        <v>770</v>
      </c>
      <c r="AP43" s="1072" t="s">
        <v>1254</v>
      </c>
      <c r="AQ43" s="1074">
        <v>175.5</v>
      </c>
      <c r="AR43" s="1072" t="s">
        <v>900</v>
      </c>
      <c r="AS43" s="1073" t="s">
        <v>1344</v>
      </c>
      <c r="AT43" s="1072" t="s">
        <v>792</v>
      </c>
      <c r="FC43" s="15"/>
      <c r="FD43" s="15"/>
      <c r="FE43" s="15"/>
    </row>
    <row r="44" spans="2:161">
      <c r="Z44" s="24"/>
      <c r="AO44" s="1072" t="s">
        <v>770</v>
      </c>
      <c r="AP44" s="1072" t="s">
        <v>1256</v>
      </c>
      <c r="AQ44" s="1074">
        <v>0</v>
      </c>
      <c r="AR44" s="1072" t="s">
        <v>1363</v>
      </c>
      <c r="AS44" s="1073" t="s">
        <v>1345</v>
      </c>
      <c r="AT44" s="1072" t="s">
        <v>792</v>
      </c>
      <c r="FC44" s="15"/>
      <c r="FD44" s="15"/>
      <c r="FE44" s="15"/>
    </row>
    <row r="45" spans="2:161">
      <c r="Z45" s="24"/>
      <c r="AO45" s="499" t="s">
        <v>859</v>
      </c>
      <c r="AP45" s="496"/>
      <c r="AQ45" s="497">
        <f>SUM(AQ17:AQ44)</f>
        <v>12610.62</v>
      </c>
      <c r="AR45" s="1072"/>
      <c r="AS45" s="1073"/>
      <c r="AT45" s="1072"/>
      <c r="FC45" s="15"/>
      <c r="FD45" s="15"/>
      <c r="FE45" s="15"/>
    </row>
    <row r="46" spans="2:161">
      <c r="Z46" s="24"/>
      <c r="AO46" s="1072"/>
      <c r="AP46" s="1072"/>
      <c r="AQ46" s="1074"/>
      <c r="AR46" s="1072"/>
      <c r="AS46" s="1073"/>
      <c r="AT46" s="1072"/>
      <c r="FC46" s="15"/>
      <c r="FD46" s="15"/>
      <c r="FE46" s="15"/>
    </row>
    <row r="47" spans="2:161">
      <c r="Z47" s="24"/>
      <c r="AO47" s="1072" t="s">
        <v>771</v>
      </c>
      <c r="AP47" s="1072" t="s">
        <v>930</v>
      </c>
      <c r="AQ47" s="1074">
        <v>497</v>
      </c>
      <c r="AR47" s="1072" t="s">
        <v>993</v>
      </c>
      <c r="AS47" s="1073" t="s">
        <v>1347</v>
      </c>
      <c r="AT47" s="1072" t="s">
        <v>792</v>
      </c>
      <c r="FC47" s="15"/>
      <c r="FD47" s="15"/>
      <c r="FE47" s="15"/>
    </row>
    <row r="48" spans="2:161">
      <c r="Z48" s="24"/>
      <c r="AO48" s="1072" t="s">
        <v>771</v>
      </c>
      <c r="AP48" s="1072" t="s">
        <v>930</v>
      </c>
      <c r="AQ48" s="1074">
        <v>284</v>
      </c>
      <c r="AR48" s="1072" t="s">
        <v>993</v>
      </c>
      <c r="AS48" s="1073" t="s">
        <v>1343</v>
      </c>
      <c r="AT48" s="1072" t="s">
        <v>792</v>
      </c>
      <c r="FC48" s="15"/>
      <c r="FD48" s="15"/>
      <c r="FE48" s="15"/>
    </row>
    <row r="49" spans="26:161">
      <c r="Z49" s="24"/>
      <c r="AO49" s="1072" t="s">
        <v>771</v>
      </c>
      <c r="AP49" s="1072" t="s">
        <v>930</v>
      </c>
      <c r="AQ49" s="1074">
        <v>710.02</v>
      </c>
      <c r="AR49" s="1072" t="s">
        <v>993</v>
      </c>
      <c r="AS49" s="1073" t="s">
        <v>1350</v>
      </c>
      <c r="AT49" s="1072" t="s">
        <v>792</v>
      </c>
      <c r="FC49" s="15"/>
      <c r="FD49" s="15"/>
      <c r="FE49" s="15"/>
    </row>
    <row r="50" spans="26:161">
      <c r="Z50" s="24"/>
      <c r="AO50" s="1072" t="s">
        <v>771</v>
      </c>
      <c r="AP50" s="1072" t="s">
        <v>930</v>
      </c>
      <c r="AQ50" s="1074">
        <v>-521.64</v>
      </c>
      <c r="AR50" s="1072" t="s">
        <v>992</v>
      </c>
      <c r="AS50" s="1073" t="s">
        <v>1344</v>
      </c>
      <c r="AT50" s="1072" t="s">
        <v>792</v>
      </c>
      <c r="FC50" s="15"/>
      <c r="FD50" s="15"/>
      <c r="FE50" s="15"/>
    </row>
    <row r="51" spans="26:161">
      <c r="Z51" s="24"/>
      <c r="AO51" s="1072" t="s">
        <v>771</v>
      </c>
      <c r="AP51" s="1072" t="s">
        <v>930</v>
      </c>
      <c r="AQ51" s="1074">
        <v>328.32</v>
      </c>
      <c r="AR51" s="1072" t="s">
        <v>992</v>
      </c>
      <c r="AS51" s="1073" t="s">
        <v>1350</v>
      </c>
      <c r="AT51" s="1072" t="s">
        <v>792</v>
      </c>
      <c r="FC51" s="15"/>
      <c r="FD51" s="15"/>
      <c r="FE51" s="15"/>
    </row>
    <row r="52" spans="26:161">
      <c r="AO52" s="1072" t="s">
        <v>771</v>
      </c>
      <c r="AP52" s="1072" t="s">
        <v>930</v>
      </c>
      <c r="AQ52" s="1074">
        <v>323</v>
      </c>
      <c r="AR52" s="1072" t="s">
        <v>991</v>
      </c>
      <c r="AS52" s="1073" t="s">
        <v>1343</v>
      </c>
      <c r="AT52" s="1072" t="s">
        <v>792</v>
      </c>
      <c r="FC52" s="15"/>
      <c r="FD52" s="15"/>
      <c r="FE52" s="15"/>
    </row>
    <row r="53" spans="26:161">
      <c r="AO53" s="1072" t="s">
        <v>771</v>
      </c>
      <c r="AP53" s="1072" t="s">
        <v>930</v>
      </c>
      <c r="AQ53" s="1074">
        <v>779</v>
      </c>
      <c r="AR53" s="1072" t="s">
        <v>991</v>
      </c>
      <c r="AS53" s="1073" t="s">
        <v>1350</v>
      </c>
      <c r="AT53" s="1072" t="s">
        <v>792</v>
      </c>
      <c r="FC53" s="15"/>
      <c r="FD53" s="15"/>
      <c r="FE53" s="15"/>
    </row>
    <row r="54" spans="26:161">
      <c r="AO54" s="1072" t="s">
        <v>771</v>
      </c>
      <c r="AP54" s="1072" t="s">
        <v>1259</v>
      </c>
      <c r="AQ54" s="1074">
        <v>342.44</v>
      </c>
      <c r="AR54" s="1072" t="s">
        <v>990</v>
      </c>
      <c r="AS54" s="1073" t="s">
        <v>1350</v>
      </c>
      <c r="AT54" s="1072" t="s">
        <v>792</v>
      </c>
      <c r="FC54" s="15"/>
      <c r="FD54" s="15"/>
      <c r="FE54" s="15"/>
    </row>
    <row r="55" spans="26:161">
      <c r="AO55" s="1072" t="s">
        <v>771</v>
      </c>
      <c r="AP55" s="1072" t="s">
        <v>988</v>
      </c>
      <c r="AQ55" s="1074">
        <v>3950</v>
      </c>
      <c r="AR55" s="1072" t="s">
        <v>1264</v>
      </c>
      <c r="AS55" s="1073" t="s">
        <v>1346</v>
      </c>
      <c r="AT55" s="1072" t="s">
        <v>792</v>
      </c>
      <c r="FC55" s="15"/>
      <c r="FD55" s="15"/>
      <c r="FE55" s="15"/>
    </row>
    <row r="56" spans="26:161">
      <c r="AO56" s="1072" t="s">
        <v>771</v>
      </c>
      <c r="AP56" s="1072" t="s">
        <v>988</v>
      </c>
      <c r="AQ56" s="1074">
        <v>2810</v>
      </c>
      <c r="AR56" s="1072" t="s">
        <v>1264</v>
      </c>
      <c r="AS56" s="1073" t="s">
        <v>1347</v>
      </c>
      <c r="AT56" s="1072" t="s">
        <v>792</v>
      </c>
      <c r="FC56" s="15"/>
      <c r="FD56" s="15"/>
      <c r="FE56" s="15"/>
    </row>
    <row r="57" spans="26:161">
      <c r="AO57" s="1072" t="s">
        <v>771</v>
      </c>
      <c r="AP57" s="1072" t="s">
        <v>988</v>
      </c>
      <c r="AQ57" s="1074">
        <v>1500</v>
      </c>
      <c r="AR57" s="1072" t="s">
        <v>1364</v>
      </c>
      <c r="AS57" s="1073" t="s">
        <v>1346</v>
      </c>
      <c r="AT57" s="1072" t="s">
        <v>792</v>
      </c>
      <c r="FC57" s="15"/>
      <c r="FD57" s="15"/>
      <c r="FE57" s="15"/>
    </row>
    <row r="58" spans="26:161">
      <c r="AO58"/>
      <c r="AP58"/>
      <c r="AQ58" s="1165"/>
      <c r="AR58"/>
      <c r="AS58" s="1078"/>
      <c r="AT58"/>
      <c r="FC58" s="15"/>
      <c r="FD58" s="15"/>
      <c r="FE58" s="15"/>
    </row>
    <row r="59" spans="26:161">
      <c r="AO59"/>
      <c r="AP59"/>
      <c r="AQ59" s="1165"/>
      <c r="AR59"/>
      <c r="AS59" s="1078"/>
      <c r="AT59"/>
      <c r="FC59" s="15"/>
      <c r="FD59" s="15"/>
      <c r="FE59" s="15"/>
    </row>
    <row r="60" spans="26:161">
      <c r="AO60"/>
      <c r="AP60"/>
      <c r="AQ60" s="1165"/>
      <c r="AR60"/>
      <c r="AS60" s="1078"/>
      <c r="AT60"/>
      <c r="FC60" s="15"/>
      <c r="FD60" s="15"/>
      <c r="FE60" s="15"/>
    </row>
    <row r="61" spans="26:161">
      <c r="AO61"/>
      <c r="AP61"/>
      <c r="AQ61" s="1165"/>
      <c r="AR61"/>
      <c r="AS61" s="1078"/>
      <c r="AT61"/>
      <c r="FC61" s="15"/>
      <c r="FD61" s="15"/>
      <c r="FE61" s="15"/>
    </row>
    <row r="62" spans="26:161">
      <c r="AO62" s="499" t="s">
        <v>860</v>
      </c>
      <c r="AP62" s="496"/>
      <c r="AQ62" s="497">
        <f>SUM(AQ47:AQ61)</f>
        <v>11002.14</v>
      </c>
      <c r="AR62" s="1072"/>
      <c r="AS62" s="1073"/>
      <c r="AT62" s="1072"/>
      <c r="FC62" s="15"/>
      <c r="FD62" s="15"/>
      <c r="FE62" s="15"/>
    </row>
    <row r="63" spans="26:161">
      <c r="AO63" s="1072"/>
      <c r="AP63" s="1072"/>
      <c r="AQ63" s="1074"/>
      <c r="AR63" s="1072"/>
      <c r="AS63" s="1073"/>
      <c r="AT63" s="1072"/>
      <c r="FC63" s="15"/>
      <c r="FD63" s="15"/>
      <c r="FE63" s="15"/>
    </row>
    <row r="64" spans="26:161">
      <c r="AO64" s="1072"/>
      <c r="AP64" s="1072"/>
      <c r="AQ64" s="1074"/>
      <c r="AR64" s="1072"/>
      <c r="AS64" s="1073"/>
      <c r="AT64" s="1072"/>
      <c r="FC64" s="15"/>
      <c r="FD64" s="15"/>
      <c r="FE64" s="15"/>
    </row>
    <row r="65" spans="41:161">
      <c r="AO65" s="1072"/>
      <c r="AP65" s="1072"/>
      <c r="AQ65" s="1074"/>
      <c r="AR65" s="1072"/>
      <c r="AS65" s="1073"/>
      <c r="AT65" s="1072"/>
      <c r="FC65" s="15"/>
      <c r="FD65" s="15"/>
      <c r="FE65" s="15"/>
    </row>
    <row r="66" spans="41:161">
      <c r="AO66" s="1072"/>
      <c r="AP66" s="1072"/>
      <c r="AQ66" s="1074"/>
      <c r="AR66" s="1072"/>
      <c r="AS66" s="1073"/>
      <c r="AT66" s="1072"/>
      <c r="FC66" s="15"/>
      <c r="FD66" s="15"/>
      <c r="FE66" s="15"/>
    </row>
    <row r="67" spans="41:161">
      <c r="AO67" s="1072"/>
      <c r="AP67" s="1072"/>
      <c r="AQ67" s="1074"/>
      <c r="AR67" s="1072"/>
      <c r="AS67" s="1073"/>
      <c r="AT67" s="1072"/>
      <c r="FC67" s="15"/>
      <c r="FD67" s="15"/>
      <c r="FE67" s="15"/>
    </row>
    <row r="68" spans="41:161">
      <c r="AO68" s="1072"/>
      <c r="AP68" s="1072"/>
      <c r="AQ68" s="1074"/>
      <c r="AR68" s="1072"/>
      <c r="AS68" s="1073"/>
      <c r="AT68" s="1072"/>
      <c r="FC68" s="15"/>
      <c r="FD68" s="15"/>
      <c r="FE68" s="15"/>
    </row>
    <row r="69" spans="41:161">
      <c r="AO69" s="1072"/>
      <c r="AP69" s="1072"/>
      <c r="AQ69" s="1074"/>
      <c r="AR69" s="1072"/>
      <c r="AS69" s="1073"/>
      <c r="AT69" s="1072"/>
      <c r="FC69" s="15"/>
      <c r="FD69" s="15"/>
      <c r="FE69" s="15"/>
    </row>
    <row r="70" spans="41:161">
      <c r="AO70" s="1072"/>
      <c r="AP70" s="1072"/>
      <c r="AQ70" s="1074"/>
      <c r="AR70" s="1072"/>
      <c r="AS70" s="1073"/>
      <c r="AT70" s="1072"/>
      <c r="FC70" s="15"/>
      <c r="FD70" s="15"/>
      <c r="FE70" s="15"/>
    </row>
    <row r="71" spans="41:161">
      <c r="AO71" s="1072"/>
      <c r="AP71" s="1072"/>
      <c r="AQ71" s="1074"/>
      <c r="AR71" s="1072"/>
      <c r="AS71" s="1073"/>
      <c r="AT71" s="1072"/>
      <c r="FC71" s="15"/>
      <c r="FD71" s="15"/>
      <c r="FE71" s="15"/>
    </row>
    <row r="72" spans="41:161">
      <c r="AO72" s="1072"/>
      <c r="AP72" s="1072"/>
      <c r="AQ72" s="1074"/>
      <c r="AR72" s="1072"/>
      <c r="AS72" s="1073"/>
      <c r="AT72" s="1072"/>
      <c r="FC72" s="15"/>
      <c r="FD72" s="15"/>
      <c r="FE72" s="15"/>
    </row>
    <row r="73" spans="41:161">
      <c r="AO73" s="1072"/>
      <c r="AP73" s="1072"/>
      <c r="AQ73" s="1074"/>
      <c r="AR73" s="1072"/>
      <c r="AS73" s="1073"/>
      <c r="AT73" s="1072"/>
      <c r="FC73" s="15"/>
      <c r="FD73" s="15"/>
      <c r="FE73" s="15"/>
    </row>
    <row r="74" spans="41:161">
      <c r="AO74" s="1072"/>
      <c r="AP74" s="1072"/>
      <c r="AQ74" s="1074"/>
      <c r="AR74" s="1072"/>
      <c r="AS74" s="1073"/>
      <c r="AT74" s="1072"/>
      <c r="FC74" s="15"/>
      <c r="FD74" s="15"/>
      <c r="FE74" s="15"/>
    </row>
    <row r="75" spans="41:161">
      <c r="AR75" s="496"/>
      <c r="AS75" s="498"/>
      <c r="FC75" s="15"/>
      <c r="FD75" s="15"/>
      <c r="FE75" s="15"/>
    </row>
    <row r="76" spans="41:161">
      <c r="AR76" s="496"/>
      <c r="AS76" s="498"/>
      <c r="FC76" s="15"/>
      <c r="FD76" s="15"/>
      <c r="FE76" s="15"/>
    </row>
    <row r="77" spans="41:161">
      <c r="FC77" s="15"/>
      <c r="FD77" s="15"/>
      <c r="FE77" s="15"/>
    </row>
    <row r="78" spans="41:161">
      <c r="FC78" s="15"/>
      <c r="FD78" s="15"/>
      <c r="FE78" s="15"/>
    </row>
    <row r="79" spans="41:161">
      <c r="FC79" s="15"/>
      <c r="FD79" s="15"/>
      <c r="FE79" s="15"/>
    </row>
    <row r="80" spans="41:161">
      <c r="FC80" s="15"/>
      <c r="FD80" s="15"/>
      <c r="FE80" s="15"/>
    </row>
    <row r="81" spans="159:161">
      <c r="FC81" s="15"/>
      <c r="FD81" s="15"/>
      <c r="FE81" s="15"/>
    </row>
    <row r="82" spans="159:161">
      <c r="FC82" s="15"/>
      <c r="FD82" s="15"/>
      <c r="FE82" s="15"/>
    </row>
    <row r="83" spans="159:161">
      <c r="FC83" s="15"/>
      <c r="FD83" s="15"/>
      <c r="FE83" s="15"/>
    </row>
    <row r="84" spans="159:161">
      <c r="FC84" s="15"/>
      <c r="FD84" s="15"/>
      <c r="FE84" s="15"/>
    </row>
    <row r="85" spans="159:161">
      <c r="FC85" s="15"/>
      <c r="FD85" s="15"/>
      <c r="FE85" s="15"/>
    </row>
    <row r="86" spans="159:161">
      <c r="FC86" s="15"/>
      <c r="FD86" s="15"/>
      <c r="FE86" s="15"/>
    </row>
    <row r="87" spans="159:161">
      <c r="FC87" s="15"/>
      <c r="FD87" s="15"/>
      <c r="FE87" s="15"/>
    </row>
    <row r="88" spans="159:161">
      <c r="FC88" s="15"/>
      <c r="FD88" s="15"/>
      <c r="FE88" s="15"/>
    </row>
    <row r="89" spans="159:161">
      <c r="FC89" s="15"/>
      <c r="FD89" s="15"/>
      <c r="FE89" s="15"/>
    </row>
    <row r="90" spans="159:161">
      <c r="FC90" s="15"/>
      <c r="FD90" s="15"/>
      <c r="FE90" s="15"/>
    </row>
    <row r="91" spans="159:161">
      <c r="FC91" s="15"/>
      <c r="FD91" s="15"/>
      <c r="FE91" s="15"/>
    </row>
    <row r="92" spans="159:161">
      <c r="FC92" s="15"/>
      <c r="FD92" s="15"/>
      <c r="FE92" s="15"/>
    </row>
    <row r="93" spans="159:161">
      <c r="FC93" s="15"/>
      <c r="FD93" s="15"/>
      <c r="FE93" s="15"/>
    </row>
    <row r="94" spans="159:161">
      <c r="FC94" s="15"/>
      <c r="FD94" s="15"/>
      <c r="FE94" s="15"/>
    </row>
    <row r="95" spans="159:161">
      <c r="FC95" s="15"/>
      <c r="FD95" s="15"/>
      <c r="FE95" s="15"/>
    </row>
    <row r="96" spans="159:161">
      <c r="FC96" s="15"/>
      <c r="FD96" s="15"/>
      <c r="FE96" s="15"/>
    </row>
    <row r="97" spans="20:161">
      <c r="FC97" s="15"/>
      <c r="FD97" s="15"/>
      <c r="FE97" s="15"/>
    </row>
    <row r="98" spans="20:161">
      <c r="FC98" s="15"/>
      <c r="FD98" s="15"/>
      <c r="FE98" s="15"/>
    </row>
    <row r="99" spans="20:161">
      <c r="FC99" s="15"/>
      <c r="FD99" s="15"/>
      <c r="FE99" s="15"/>
    </row>
    <row r="100" spans="20:161">
      <c r="FC100" s="15"/>
      <c r="FD100" s="15"/>
      <c r="FE100" s="15"/>
    </row>
    <row r="101" spans="20:161">
      <c r="FC101" s="15"/>
      <c r="FD101" s="15"/>
      <c r="FE101" s="15"/>
    </row>
    <row r="102" spans="20:161">
      <c r="FC102" s="15"/>
      <c r="FD102" s="15"/>
      <c r="FE102" s="15"/>
    </row>
    <row r="103" spans="20:161">
      <c r="FC103" s="15"/>
      <c r="FD103" s="15"/>
      <c r="FE103" s="15"/>
    </row>
    <row r="104" spans="20:161">
      <c r="FC104" s="15"/>
      <c r="FD104" s="15"/>
      <c r="FE104" s="15"/>
    </row>
    <row r="105" spans="20:161">
      <c r="FC105" s="15"/>
      <c r="FD105" s="15"/>
      <c r="FE105" s="15"/>
    </row>
    <row r="106" spans="20:161">
      <c r="T106" s="1176" t="s">
        <v>115</v>
      </c>
      <c r="U106" s="1147"/>
      <c r="V106" s="1147"/>
      <c r="W106" s="1146"/>
      <c r="FC106" s="15"/>
      <c r="FD106" s="15"/>
      <c r="FE106" s="15"/>
    </row>
    <row r="107" spans="20:161" ht="13.5" thickBot="1">
      <c r="T107" s="1110"/>
      <c r="U107" s="1177" t="s">
        <v>666</v>
      </c>
      <c r="V107" s="1178" t="e">
        <v>#REF!</v>
      </c>
      <c r="W107" s="1179"/>
      <c r="FC107" s="15"/>
      <c r="FD107" s="15"/>
      <c r="FE107" s="15"/>
    </row>
    <row r="108" spans="20:161" ht="13.5" thickTop="1">
      <c r="T108" s="1110"/>
      <c r="U108" s="1110" t="s">
        <v>187</v>
      </c>
      <c r="V108" s="1110"/>
      <c r="X108" s="19"/>
      <c r="Y108" s="19"/>
      <c r="FC108" s="15"/>
      <c r="FD108" s="15"/>
      <c r="FE108" s="15"/>
    </row>
    <row r="109" spans="20:161">
      <c r="T109" s="1147"/>
      <c r="U109" s="1147"/>
      <c r="V109" s="1147"/>
      <c r="W109" s="1146"/>
      <c r="X109" s="19"/>
      <c r="Y109" s="19"/>
      <c r="FC109" s="15"/>
      <c r="FD109" s="15"/>
      <c r="FE109" s="15"/>
    </row>
    <row r="110" spans="20:161">
      <c r="FC110" s="15"/>
      <c r="FD110" s="15"/>
      <c r="FE110" s="15"/>
    </row>
    <row r="111" spans="20:161">
      <c r="FC111" s="15"/>
      <c r="FD111" s="15"/>
      <c r="FE111" s="15"/>
    </row>
    <row r="112" spans="20:161">
      <c r="FC112" s="15"/>
      <c r="FD112" s="15"/>
      <c r="FE112" s="15"/>
    </row>
    <row r="113" spans="159:161">
      <c r="FC113" s="15"/>
      <c r="FD113" s="15"/>
      <c r="FE113" s="15"/>
    </row>
    <row r="114" spans="159:161">
      <c r="FC114" s="15"/>
      <c r="FD114" s="15"/>
      <c r="FE114" s="15"/>
    </row>
    <row r="115" spans="159:161">
      <c r="FC115" s="15"/>
      <c r="FD115" s="15"/>
      <c r="FE115" s="15"/>
    </row>
    <row r="116" spans="159:161">
      <c r="FC116" s="15"/>
      <c r="FD116" s="15"/>
      <c r="FE116" s="15"/>
    </row>
    <row r="117" spans="159:161">
      <c r="FC117" s="15"/>
      <c r="FD117" s="15"/>
      <c r="FE117" s="15"/>
    </row>
    <row r="118" spans="159:161">
      <c r="FC118" s="15"/>
      <c r="FD118" s="15"/>
      <c r="FE118" s="15"/>
    </row>
    <row r="119" spans="159:161">
      <c r="FC119" s="15"/>
      <c r="FD119" s="15"/>
      <c r="FE119" s="15"/>
    </row>
    <row r="120" spans="159:161">
      <c r="FC120" s="15"/>
      <c r="FD120" s="15"/>
      <c r="FE120" s="15"/>
    </row>
    <row r="121" spans="159:161">
      <c r="FC121" s="15"/>
      <c r="FD121" s="15"/>
      <c r="FE121" s="15"/>
    </row>
    <row r="122" spans="159:161">
      <c r="FC122" s="15"/>
      <c r="FD122" s="15"/>
      <c r="FE122" s="15"/>
    </row>
    <row r="123" spans="159:161">
      <c r="FC123" s="15"/>
      <c r="FD123" s="15"/>
      <c r="FE123" s="15"/>
    </row>
    <row r="124" spans="159:161">
      <c r="FC124" s="15"/>
      <c r="FD124" s="15"/>
      <c r="FE124" s="15"/>
    </row>
    <row r="125" spans="159:161">
      <c r="FC125" s="15"/>
      <c r="FD125" s="15"/>
      <c r="FE125" s="15"/>
    </row>
    <row r="126" spans="159:161">
      <c r="FC126" s="15"/>
      <c r="FD126" s="15"/>
      <c r="FE126" s="15"/>
    </row>
    <row r="127" spans="159:161">
      <c r="FC127" s="15"/>
      <c r="FD127" s="15"/>
      <c r="FE127" s="15"/>
    </row>
    <row r="128" spans="159:161">
      <c r="FC128" s="15"/>
      <c r="FD128" s="15"/>
      <c r="FE128" s="15"/>
    </row>
    <row r="129" spans="159:161">
      <c r="FC129" s="15"/>
      <c r="FD129" s="15"/>
      <c r="FE129" s="15"/>
    </row>
    <row r="130" spans="159:161">
      <c r="FC130" s="15"/>
      <c r="FD130" s="15"/>
      <c r="FE130" s="15"/>
    </row>
    <row r="131" spans="159:161">
      <c r="FC131" s="15"/>
      <c r="FD131" s="15"/>
      <c r="FE131" s="15"/>
    </row>
    <row r="132" spans="159:161">
      <c r="FC132" s="15"/>
      <c r="FD132" s="15"/>
      <c r="FE132" s="15"/>
    </row>
    <row r="133" spans="159:161">
      <c r="FC133" s="15"/>
      <c r="FD133" s="15"/>
      <c r="FE133" s="15"/>
    </row>
    <row r="134" spans="159:161">
      <c r="FC134" s="15"/>
      <c r="FD134" s="15"/>
      <c r="FE134" s="15"/>
    </row>
    <row r="135" spans="159:161">
      <c r="FC135" s="15"/>
      <c r="FD135" s="15"/>
      <c r="FE135" s="15"/>
    </row>
    <row r="136" spans="159:161">
      <c r="FC136" s="15"/>
      <c r="FD136" s="15"/>
      <c r="FE136" s="15"/>
    </row>
    <row r="137" spans="159:161">
      <c r="FC137" s="15"/>
      <c r="FD137" s="15"/>
      <c r="FE137" s="15"/>
    </row>
    <row r="138" spans="159:161">
      <c r="FC138" s="15"/>
      <c r="FD138" s="15"/>
      <c r="FE138" s="15"/>
    </row>
    <row r="139" spans="159:161">
      <c r="FC139" s="15"/>
      <c r="FD139" s="15"/>
      <c r="FE139" s="15"/>
    </row>
    <row r="140" spans="159:161">
      <c r="FC140" s="15"/>
      <c r="FD140" s="15"/>
      <c r="FE140" s="15"/>
    </row>
    <row r="141" spans="159:161">
      <c r="FC141" s="15"/>
      <c r="FD141" s="15"/>
      <c r="FE141" s="15"/>
    </row>
    <row r="142" spans="159:161">
      <c r="FC142" s="15"/>
      <c r="FD142" s="15"/>
      <c r="FE142" s="15"/>
    </row>
    <row r="143" spans="159:161">
      <c r="FC143" s="15"/>
      <c r="FD143" s="15"/>
      <c r="FE143" s="15"/>
    </row>
    <row r="144" spans="159:161">
      <c r="FC144" s="15"/>
      <c r="FD144" s="15"/>
      <c r="FE144" s="15"/>
    </row>
    <row r="145" spans="159:161">
      <c r="FC145" s="15"/>
      <c r="FD145" s="15"/>
      <c r="FE145" s="15"/>
    </row>
    <row r="146" spans="159:161">
      <c r="FC146" s="15"/>
      <c r="FD146" s="15"/>
      <c r="FE146" s="15"/>
    </row>
    <row r="147" spans="159:161">
      <c r="FC147" s="15"/>
      <c r="FD147" s="15"/>
      <c r="FE147" s="15"/>
    </row>
    <row r="148" spans="159:161">
      <c r="FC148" s="15"/>
      <c r="FD148" s="15"/>
      <c r="FE148" s="15"/>
    </row>
    <row r="149" spans="159:161">
      <c r="FC149" s="15"/>
      <c r="FD149" s="15"/>
      <c r="FE149" s="15"/>
    </row>
    <row r="150" spans="159:161">
      <c r="FC150" s="15"/>
      <c r="FD150" s="15"/>
      <c r="FE150" s="15"/>
    </row>
    <row r="151" spans="159:161">
      <c r="FC151" s="15"/>
      <c r="FD151" s="15"/>
      <c r="FE151" s="15"/>
    </row>
    <row r="152" spans="159:161">
      <c r="FC152" s="15"/>
      <c r="FD152" s="15"/>
      <c r="FE152" s="15"/>
    </row>
    <row r="153" spans="159:161">
      <c r="FC153" s="15"/>
      <c r="FD153" s="15"/>
      <c r="FE153" s="15"/>
    </row>
    <row r="154" spans="159:161">
      <c r="FC154" s="15"/>
      <c r="FD154" s="15"/>
      <c r="FE154" s="15"/>
    </row>
    <row r="155" spans="159:161">
      <c r="FC155" s="15"/>
      <c r="FD155" s="15"/>
      <c r="FE155" s="15"/>
    </row>
    <row r="156" spans="159:161">
      <c r="FC156" s="15"/>
      <c r="FD156" s="15"/>
      <c r="FE156" s="15"/>
    </row>
    <row r="157" spans="159:161">
      <c r="FC157" s="15"/>
      <c r="FD157" s="15"/>
      <c r="FE157" s="15"/>
    </row>
    <row r="158" spans="159:161">
      <c r="FC158" s="15"/>
      <c r="FD158" s="15"/>
      <c r="FE158" s="15"/>
    </row>
    <row r="159" spans="159:161">
      <c r="FC159" s="15"/>
      <c r="FD159" s="15"/>
      <c r="FE159" s="15"/>
    </row>
    <row r="160" spans="159:161">
      <c r="FC160" s="15"/>
      <c r="FD160" s="15"/>
      <c r="FE160" s="15"/>
    </row>
    <row r="161" spans="159:161">
      <c r="FC161" s="15"/>
      <c r="FD161" s="15"/>
      <c r="FE161" s="15"/>
    </row>
    <row r="162" spans="159:161">
      <c r="FC162" s="15"/>
      <c r="FD162" s="15"/>
      <c r="FE162" s="15"/>
    </row>
    <row r="163" spans="159:161">
      <c r="FC163" s="15"/>
      <c r="FD163" s="15"/>
      <c r="FE163" s="15"/>
    </row>
    <row r="164" spans="159:161">
      <c r="FC164" s="15"/>
      <c r="FD164" s="15"/>
      <c r="FE164" s="15"/>
    </row>
    <row r="165" spans="159:161">
      <c r="FC165" s="15"/>
      <c r="FD165" s="15"/>
      <c r="FE165" s="15"/>
    </row>
    <row r="166" spans="159:161">
      <c r="FC166" s="15"/>
      <c r="FD166" s="15"/>
      <c r="FE166" s="15"/>
    </row>
    <row r="167" spans="159:161">
      <c r="FC167" s="15"/>
      <c r="FD167" s="15"/>
      <c r="FE167" s="15"/>
    </row>
    <row r="168" spans="159:161">
      <c r="FC168" s="15"/>
      <c r="FD168" s="15"/>
      <c r="FE168" s="15"/>
    </row>
    <row r="169" spans="159:161">
      <c r="FC169" s="15"/>
      <c r="FD169" s="15"/>
      <c r="FE169" s="15"/>
    </row>
    <row r="170" spans="159:161">
      <c r="FC170" s="15"/>
      <c r="FD170" s="15"/>
      <c r="FE170" s="15"/>
    </row>
    <row r="171" spans="159:161">
      <c r="FC171" s="15"/>
      <c r="FD171" s="15"/>
      <c r="FE171" s="15"/>
    </row>
    <row r="172" spans="159:161">
      <c r="FC172" s="15"/>
      <c r="FD172" s="15"/>
      <c r="FE172" s="15"/>
    </row>
    <row r="173" spans="159:161">
      <c r="FC173" s="15"/>
      <c r="FD173" s="15"/>
      <c r="FE173" s="15"/>
    </row>
    <row r="174" spans="159:161">
      <c r="FC174" s="15"/>
      <c r="FD174" s="15"/>
      <c r="FE174" s="15"/>
    </row>
    <row r="175" spans="159:161">
      <c r="FC175" s="15"/>
      <c r="FD175" s="15"/>
      <c r="FE175" s="15"/>
    </row>
    <row r="176" spans="159:161">
      <c r="FC176" s="15"/>
      <c r="FD176" s="15"/>
      <c r="FE176" s="15"/>
    </row>
    <row r="177" spans="159:161">
      <c r="FC177" s="15"/>
      <c r="FD177" s="15"/>
      <c r="FE177" s="15"/>
    </row>
    <row r="178" spans="159:161">
      <c r="FC178" s="15"/>
      <c r="FD178" s="15"/>
      <c r="FE178" s="15"/>
    </row>
    <row r="179" spans="159:161">
      <c r="FC179" s="15"/>
      <c r="FD179" s="15"/>
      <c r="FE179" s="15"/>
    </row>
    <row r="180" spans="159:161">
      <c r="FC180" s="15"/>
      <c r="FD180" s="15"/>
      <c r="FE180" s="15"/>
    </row>
    <row r="181" spans="159:161">
      <c r="FC181" s="15"/>
      <c r="FD181" s="15"/>
      <c r="FE181" s="15"/>
    </row>
    <row r="182" spans="159:161">
      <c r="FC182" s="15"/>
      <c r="FD182" s="15"/>
      <c r="FE182" s="15"/>
    </row>
    <row r="183" spans="159:161">
      <c r="FC183" s="15"/>
      <c r="FD183" s="15"/>
      <c r="FE183" s="15"/>
    </row>
    <row r="184" spans="159:161">
      <c r="FC184" s="15"/>
      <c r="FD184" s="15"/>
      <c r="FE184" s="15"/>
    </row>
    <row r="185" spans="159:161">
      <c r="FC185" s="15"/>
      <c r="FD185" s="15"/>
      <c r="FE185" s="15"/>
    </row>
    <row r="186" spans="159:161">
      <c r="FC186" s="15"/>
      <c r="FD186" s="15"/>
      <c r="FE186" s="15"/>
    </row>
    <row r="187" spans="159:161">
      <c r="FC187" s="15"/>
      <c r="FD187" s="15"/>
      <c r="FE187" s="15"/>
    </row>
    <row r="188" spans="159:161">
      <c r="FC188" s="15"/>
      <c r="FD188" s="15"/>
      <c r="FE188" s="15"/>
    </row>
    <row r="189" spans="159:161">
      <c r="FC189" s="15"/>
      <c r="FD189" s="15"/>
      <c r="FE189" s="15"/>
    </row>
    <row r="190" spans="159:161">
      <c r="FC190" s="15"/>
      <c r="FD190" s="15"/>
      <c r="FE190" s="15"/>
    </row>
    <row r="191" spans="159:161">
      <c r="FC191" s="15"/>
      <c r="FD191" s="15"/>
      <c r="FE191" s="15"/>
    </row>
    <row r="192" spans="159:161">
      <c r="FC192" s="15"/>
      <c r="FD192" s="15"/>
      <c r="FE192" s="15"/>
    </row>
    <row r="193" spans="159:161">
      <c r="FC193" s="15"/>
      <c r="FD193" s="15"/>
      <c r="FE193" s="15"/>
    </row>
    <row r="194" spans="159:161">
      <c r="FC194" s="15"/>
      <c r="FD194" s="15"/>
      <c r="FE194" s="15"/>
    </row>
    <row r="195" spans="159:161">
      <c r="FC195" s="15"/>
      <c r="FD195" s="15"/>
      <c r="FE195" s="15"/>
    </row>
    <row r="196" spans="159:161">
      <c r="FC196" s="15"/>
      <c r="FD196" s="15"/>
      <c r="FE196" s="15"/>
    </row>
    <row r="197" spans="159:161">
      <c r="FC197" s="15"/>
      <c r="FD197" s="15"/>
      <c r="FE197" s="15"/>
    </row>
    <row r="198" spans="159:161">
      <c r="FC198" s="15"/>
      <c r="FD198" s="15"/>
      <c r="FE198" s="15"/>
    </row>
    <row r="199" spans="159:161">
      <c r="FC199" s="15"/>
      <c r="FD199" s="15"/>
      <c r="FE199" s="15"/>
    </row>
    <row r="200" spans="159:161">
      <c r="FC200" s="15"/>
      <c r="FD200" s="15"/>
      <c r="FE200" s="15"/>
    </row>
    <row r="201" spans="159:161">
      <c r="FC201" s="15"/>
      <c r="FD201" s="15"/>
      <c r="FE201" s="15"/>
    </row>
    <row r="202" spans="159:161">
      <c r="FC202" s="15"/>
      <c r="FD202" s="15"/>
      <c r="FE202" s="15"/>
    </row>
    <row r="203" spans="159:161">
      <c r="FC203" s="15"/>
      <c r="FD203" s="15"/>
      <c r="FE203" s="15"/>
    </row>
    <row r="204" spans="159:161">
      <c r="FC204" s="15"/>
      <c r="FD204" s="15"/>
      <c r="FE204" s="15"/>
    </row>
    <row r="205" spans="159:161">
      <c r="FC205" s="15"/>
      <c r="FD205" s="15"/>
      <c r="FE205" s="15"/>
    </row>
    <row r="206" spans="159:161">
      <c r="FC206" s="15"/>
      <c r="FD206" s="15"/>
      <c r="FE206" s="15"/>
    </row>
    <row r="207" spans="159:161">
      <c r="FC207" s="15"/>
      <c r="FD207" s="15"/>
      <c r="FE207" s="15"/>
    </row>
    <row r="208" spans="159:161">
      <c r="FC208" s="15"/>
      <c r="FD208" s="15"/>
      <c r="FE208" s="15"/>
    </row>
    <row r="209" spans="159:161">
      <c r="FC209" s="15"/>
      <c r="FD209" s="15"/>
      <c r="FE209" s="15"/>
    </row>
    <row r="210" spans="159:161">
      <c r="FC210" s="15"/>
      <c r="FD210" s="15"/>
      <c r="FE210" s="15"/>
    </row>
    <row r="211" spans="159:161">
      <c r="FC211" s="15"/>
      <c r="FD211" s="15"/>
      <c r="FE211" s="15"/>
    </row>
    <row r="212" spans="159:161">
      <c r="FC212" s="15"/>
      <c r="FD212" s="15"/>
      <c r="FE212" s="15"/>
    </row>
    <row r="213" spans="159:161">
      <c r="FC213" s="15"/>
      <c r="FD213" s="15"/>
      <c r="FE213" s="15"/>
    </row>
    <row r="214" spans="159:161">
      <c r="FC214" s="15"/>
      <c r="FD214" s="15"/>
      <c r="FE214" s="15"/>
    </row>
    <row r="215" spans="159:161">
      <c r="FC215" s="15"/>
      <c r="FD215" s="15"/>
      <c r="FE215" s="15"/>
    </row>
    <row r="216" spans="159:161">
      <c r="FC216" s="15"/>
      <c r="FD216" s="15"/>
      <c r="FE216" s="15"/>
    </row>
    <row r="217" spans="159:161">
      <c r="FC217" s="15"/>
      <c r="FD217" s="15"/>
      <c r="FE217" s="15"/>
    </row>
    <row r="218" spans="159:161">
      <c r="FC218" s="15"/>
      <c r="FD218" s="15"/>
      <c r="FE218" s="15"/>
    </row>
    <row r="219" spans="159:161">
      <c r="FC219" s="15"/>
      <c r="FD219" s="15"/>
      <c r="FE219" s="15"/>
    </row>
    <row r="220" spans="159:161">
      <c r="FC220" s="15"/>
      <c r="FD220" s="15"/>
      <c r="FE220" s="15"/>
    </row>
    <row r="221" spans="159:161">
      <c r="FC221" s="15"/>
      <c r="FD221" s="15"/>
      <c r="FE221" s="15"/>
    </row>
    <row r="222" spans="159:161">
      <c r="FC222" s="15"/>
      <c r="FD222" s="15"/>
      <c r="FE222" s="15"/>
    </row>
    <row r="223" spans="159:161">
      <c r="FC223" s="15"/>
      <c r="FD223" s="15"/>
      <c r="FE223" s="15"/>
    </row>
    <row r="224" spans="159:161">
      <c r="FC224" s="15"/>
      <c r="FD224" s="15"/>
      <c r="FE224" s="15"/>
    </row>
    <row r="225" spans="159:161">
      <c r="FC225" s="15"/>
      <c r="FD225" s="15"/>
      <c r="FE225" s="15"/>
    </row>
    <row r="226" spans="159:161">
      <c r="FC226" s="15"/>
      <c r="FD226" s="15"/>
      <c r="FE226" s="15"/>
    </row>
    <row r="227" spans="159:161">
      <c r="FC227" s="15"/>
      <c r="FD227" s="15"/>
      <c r="FE227" s="15"/>
    </row>
    <row r="228" spans="159:161">
      <c r="FC228" s="15"/>
      <c r="FD228" s="15"/>
      <c r="FE228" s="15"/>
    </row>
    <row r="229" spans="159:161">
      <c r="FC229" s="15"/>
      <c r="FD229" s="15"/>
      <c r="FE229" s="15"/>
    </row>
    <row r="230" spans="159:161">
      <c r="FC230" s="15"/>
      <c r="FD230" s="15"/>
      <c r="FE230" s="15"/>
    </row>
    <row r="231" spans="159:161">
      <c r="FC231" s="15"/>
      <c r="FD231" s="15"/>
      <c r="FE231" s="15"/>
    </row>
    <row r="232" spans="159:161">
      <c r="FC232" s="15"/>
      <c r="FD232" s="15"/>
      <c r="FE232" s="15"/>
    </row>
    <row r="233" spans="159:161">
      <c r="FC233" s="15"/>
      <c r="FD233" s="15"/>
      <c r="FE233" s="15"/>
    </row>
    <row r="234" spans="159:161">
      <c r="FC234" s="15"/>
      <c r="FD234" s="15"/>
      <c r="FE234" s="15"/>
    </row>
    <row r="235" spans="159:161">
      <c r="FC235" s="15"/>
      <c r="FD235" s="15"/>
      <c r="FE235" s="15"/>
    </row>
    <row r="236" spans="159:161">
      <c r="FC236" s="15"/>
      <c r="FD236" s="15"/>
      <c r="FE236" s="15"/>
    </row>
    <row r="237" spans="159:161">
      <c r="FC237" s="15"/>
      <c r="FD237" s="15"/>
      <c r="FE237" s="15"/>
    </row>
    <row r="238" spans="159:161">
      <c r="FC238" s="15"/>
      <c r="FD238" s="15"/>
      <c r="FE238" s="15"/>
    </row>
    <row r="239" spans="159:161">
      <c r="FC239" s="15"/>
      <c r="FD239" s="15"/>
      <c r="FE239" s="15"/>
    </row>
    <row r="240" spans="159:161">
      <c r="FC240" s="15"/>
      <c r="FD240" s="15"/>
      <c r="FE240" s="15"/>
    </row>
    <row r="241" spans="159:161">
      <c r="FC241" s="15"/>
      <c r="FD241" s="15"/>
      <c r="FE241" s="15"/>
    </row>
    <row r="242" spans="159:161">
      <c r="FC242" s="15"/>
      <c r="FD242" s="15"/>
      <c r="FE242" s="15"/>
    </row>
    <row r="243" spans="159:161">
      <c r="FC243" s="15"/>
      <c r="FD243" s="15"/>
      <c r="FE243" s="15"/>
    </row>
    <row r="244" spans="159:161">
      <c r="FC244" s="15"/>
      <c r="FD244" s="15"/>
      <c r="FE244" s="15"/>
    </row>
    <row r="245" spans="159:161">
      <c r="FC245" s="15"/>
      <c r="FD245" s="15"/>
      <c r="FE245" s="15"/>
    </row>
    <row r="246" spans="159:161">
      <c r="FC246" s="15"/>
      <c r="FD246" s="15"/>
      <c r="FE246" s="15"/>
    </row>
    <row r="247" spans="159:161">
      <c r="FC247" s="15"/>
      <c r="FD247" s="15"/>
      <c r="FE247" s="15"/>
    </row>
    <row r="248" spans="159:161">
      <c r="FC248" s="15"/>
      <c r="FD248" s="15"/>
      <c r="FE248" s="15"/>
    </row>
    <row r="249" spans="159:161">
      <c r="FC249" s="15"/>
      <c r="FD249" s="15"/>
      <c r="FE249" s="15"/>
    </row>
    <row r="250" spans="159:161">
      <c r="FC250" s="15"/>
      <c r="FD250" s="15"/>
      <c r="FE250" s="15"/>
    </row>
    <row r="251" spans="159:161">
      <c r="FC251" s="15"/>
      <c r="FD251" s="15"/>
      <c r="FE251" s="15"/>
    </row>
    <row r="252" spans="159:161">
      <c r="FC252" s="15"/>
      <c r="FD252" s="15"/>
      <c r="FE252" s="15"/>
    </row>
    <row r="253" spans="159:161">
      <c r="FC253" s="15"/>
      <c r="FD253" s="15"/>
      <c r="FE253" s="15"/>
    </row>
    <row r="254" spans="159:161">
      <c r="FC254" s="15"/>
      <c r="FD254" s="15"/>
      <c r="FE254" s="15"/>
    </row>
    <row r="255" spans="159:161">
      <c r="FC255" s="15"/>
      <c r="FD255" s="15"/>
      <c r="FE255" s="15"/>
    </row>
    <row r="256" spans="159:161">
      <c r="FC256" s="15"/>
      <c r="FD256" s="15"/>
      <c r="FE256" s="15"/>
    </row>
    <row r="257" spans="159:161">
      <c r="FC257" s="15"/>
      <c r="FD257" s="15"/>
      <c r="FE257" s="15"/>
    </row>
    <row r="258" spans="159:161">
      <c r="FC258" s="15"/>
      <c r="FD258" s="15"/>
      <c r="FE258" s="15"/>
    </row>
    <row r="259" spans="159:161">
      <c r="FC259" s="15"/>
      <c r="FD259" s="15"/>
      <c r="FE259" s="15"/>
    </row>
    <row r="260" spans="159:161">
      <c r="FC260" s="15"/>
      <c r="FD260" s="15"/>
      <c r="FE260" s="15"/>
    </row>
    <row r="261" spans="159:161">
      <c r="FC261" s="15"/>
      <c r="FD261" s="15"/>
      <c r="FE261" s="15"/>
    </row>
    <row r="262" spans="159:161">
      <c r="FC262" s="15"/>
      <c r="FD262" s="15"/>
      <c r="FE262" s="15"/>
    </row>
    <row r="263" spans="159:161">
      <c r="FC263" s="15"/>
      <c r="FD263" s="15"/>
      <c r="FE263" s="15"/>
    </row>
    <row r="264" spans="159:161">
      <c r="FC264" s="15"/>
      <c r="FD264" s="15"/>
      <c r="FE264" s="15"/>
    </row>
    <row r="265" spans="159:161">
      <c r="FC265" s="15"/>
      <c r="FD265" s="15"/>
      <c r="FE265" s="15"/>
    </row>
    <row r="266" spans="159:161">
      <c r="FC266" s="15"/>
      <c r="FD266" s="15"/>
      <c r="FE266" s="15"/>
    </row>
    <row r="267" spans="159:161">
      <c r="FC267" s="15"/>
      <c r="FD267" s="15"/>
      <c r="FE267" s="15"/>
    </row>
    <row r="268" spans="159:161">
      <c r="FC268" s="15"/>
      <c r="FD268" s="15"/>
      <c r="FE268" s="15"/>
    </row>
    <row r="269" spans="159:161">
      <c r="FC269" s="15"/>
      <c r="FD269" s="15"/>
      <c r="FE269" s="15"/>
    </row>
    <row r="270" spans="159:161">
      <c r="FC270" s="15"/>
      <c r="FD270" s="15"/>
      <c r="FE270" s="15"/>
    </row>
    <row r="271" spans="159:161">
      <c r="FC271" s="15"/>
      <c r="FD271" s="15"/>
      <c r="FE271" s="15"/>
    </row>
    <row r="272" spans="159:161">
      <c r="FC272" s="15"/>
      <c r="FD272" s="15"/>
      <c r="FE272" s="15"/>
    </row>
    <row r="273" spans="159:161">
      <c r="FC273" s="15"/>
      <c r="FD273" s="15"/>
      <c r="FE273" s="15"/>
    </row>
    <row r="274" spans="159:161">
      <c r="FC274" s="15"/>
      <c r="FD274" s="15"/>
      <c r="FE274" s="15"/>
    </row>
    <row r="275" spans="159:161">
      <c r="FC275" s="15"/>
      <c r="FD275" s="15"/>
      <c r="FE275" s="15"/>
    </row>
    <row r="276" spans="159:161">
      <c r="FC276" s="15"/>
      <c r="FD276" s="15"/>
      <c r="FE276" s="15"/>
    </row>
    <row r="277" spans="159:161">
      <c r="FC277" s="15"/>
      <c r="FD277" s="15"/>
      <c r="FE277" s="15"/>
    </row>
    <row r="278" spans="159:161">
      <c r="FC278" s="15"/>
      <c r="FD278" s="15"/>
      <c r="FE278" s="15"/>
    </row>
    <row r="279" spans="159:161">
      <c r="FC279" s="15"/>
      <c r="FD279" s="15"/>
      <c r="FE279" s="15"/>
    </row>
    <row r="280" spans="159:161">
      <c r="FC280" s="15"/>
      <c r="FD280" s="15"/>
      <c r="FE280" s="15"/>
    </row>
    <row r="281" spans="159:161">
      <c r="FC281" s="15"/>
      <c r="FD281" s="15"/>
      <c r="FE281" s="15"/>
    </row>
    <row r="282" spans="159:161">
      <c r="FC282" s="15"/>
      <c r="FD282" s="15"/>
      <c r="FE282" s="15"/>
    </row>
    <row r="283" spans="159:161">
      <c r="FC283" s="15"/>
      <c r="FD283" s="15"/>
      <c r="FE283" s="15"/>
    </row>
    <row r="284" spans="159:161">
      <c r="FC284" s="15"/>
      <c r="FD284" s="15"/>
      <c r="FE284" s="15"/>
    </row>
    <row r="285" spans="159:161">
      <c r="FC285" s="15"/>
      <c r="FD285" s="15"/>
      <c r="FE285" s="15"/>
    </row>
    <row r="286" spans="159:161">
      <c r="FC286" s="15"/>
      <c r="FD286" s="15"/>
      <c r="FE286" s="15"/>
    </row>
    <row r="287" spans="159:161">
      <c r="FC287" s="15"/>
      <c r="FD287" s="15"/>
      <c r="FE287" s="15"/>
    </row>
    <row r="288" spans="159:161">
      <c r="FC288" s="15"/>
      <c r="FD288" s="15"/>
      <c r="FE288" s="15"/>
    </row>
    <row r="289" spans="159:161">
      <c r="FC289" s="15"/>
      <c r="FD289" s="15"/>
      <c r="FE289" s="15"/>
    </row>
    <row r="290" spans="159:161">
      <c r="FC290" s="15"/>
      <c r="FD290" s="15"/>
      <c r="FE290" s="15"/>
    </row>
    <row r="291" spans="159:161">
      <c r="FC291" s="15"/>
      <c r="FD291" s="15"/>
      <c r="FE291" s="15"/>
    </row>
    <row r="292" spans="159:161">
      <c r="FC292" s="15"/>
      <c r="FD292" s="15"/>
      <c r="FE292" s="15"/>
    </row>
    <row r="293" spans="159:161">
      <c r="FC293" s="15"/>
      <c r="FD293" s="15"/>
      <c r="FE293" s="15"/>
    </row>
    <row r="294" spans="159:161">
      <c r="FC294" s="15"/>
      <c r="FD294" s="15"/>
      <c r="FE294" s="15"/>
    </row>
    <row r="295" spans="159:161">
      <c r="FC295" s="15"/>
      <c r="FD295" s="15"/>
      <c r="FE295" s="15"/>
    </row>
    <row r="296" spans="159:161">
      <c r="FC296" s="15"/>
      <c r="FD296" s="15"/>
      <c r="FE296" s="15"/>
    </row>
    <row r="297" spans="159:161">
      <c r="FC297" s="15"/>
      <c r="FD297" s="15"/>
      <c r="FE297" s="15"/>
    </row>
    <row r="298" spans="159:161">
      <c r="FC298" s="15"/>
      <c r="FD298" s="15"/>
      <c r="FE298" s="15"/>
    </row>
    <row r="299" spans="159:161">
      <c r="FC299" s="15"/>
      <c r="FD299" s="15"/>
      <c r="FE299" s="15"/>
    </row>
    <row r="300" spans="159:161">
      <c r="FC300" s="15"/>
      <c r="FD300" s="15"/>
      <c r="FE300" s="15"/>
    </row>
    <row r="301" spans="159:161">
      <c r="FC301" s="15"/>
      <c r="FD301" s="15"/>
      <c r="FE301" s="15"/>
    </row>
    <row r="302" spans="159:161">
      <c r="FC302" s="15"/>
      <c r="FD302" s="15"/>
      <c r="FE302" s="15"/>
    </row>
    <row r="303" spans="159:161">
      <c r="FC303" s="15"/>
      <c r="FD303" s="15"/>
      <c r="FE303" s="15"/>
    </row>
    <row r="304" spans="159:161">
      <c r="FC304" s="15"/>
      <c r="FD304" s="15"/>
      <c r="FE304" s="15"/>
    </row>
    <row r="305" spans="159:161">
      <c r="FC305" s="15"/>
      <c r="FD305" s="15"/>
      <c r="FE305" s="15"/>
    </row>
    <row r="306" spans="159:161">
      <c r="FC306" s="15"/>
      <c r="FD306" s="15"/>
      <c r="FE306" s="15"/>
    </row>
    <row r="307" spans="159:161">
      <c r="FC307" s="15"/>
      <c r="FD307" s="15"/>
      <c r="FE307" s="15"/>
    </row>
    <row r="308" spans="159:161">
      <c r="FC308" s="15"/>
      <c r="FD308" s="15"/>
      <c r="FE308" s="15"/>
    </row>
    <row r="309" spans="159:161">
      <c r="FC309" s="15"/>
      <c r="FD309" s="15"/>
      <c r="FE309" s="15"/>
    </row>
    <row r="310" spans="159:161">
      <c r="FC310" s="15"/>
      <c r="FD310" s="15"/>
      <c r="FE310" s="15"/>
    </row>
    <row r="311" spans="159:161">
      <c r="FC311" s="15"/>
      <c r="FD311" s="15"/>
      <c r="FE311" s="15"/>
    </row>
    <row r="312" spans="159:161">
      <c r="FC312" s="15"/>
      <c r="FD312" s="15"/>
      <c r="FE312" s="15"/>
    </row>
    <row r="313" spans="159:161">
      <c r="FC313" s="15"/>
      <c r="FD313" s="15"/>
      <c r="FE313" s="15"/>
    </row>
    <row r="314" spans="159:161">
      <c r="FC314" s="15"/>
      <c r="FD314" s="15"/>
      <c r="FE314" s="15"/>
    </row>
    <row r="315" spans="159:161">
      <c r="FC315" s="15"/>
      <c r="FD315" s="15"/>
      <c r="FE315" s="15"/>
    </row>
    <row r="316" spans="159:161">
      <c r="FC316" s="15"/>
      <c r="FD316" s="15"/>
      <c r="FE316" s="15"/>
    </row>
    <row r="317" spans="159:161">
      <c r="FC317" s="15"/>
      <c r="FD317" s="15"/>
      <c r="FE317" s="15"/>
    </row>
    <row r="318" spans="159:161">
      <c r="FC318" s="15"/>
      <c r="FD318" s="15"/>
      <c r="FE318" s="15"/>
    </row>
    <row r="319" spans="159:161">
      <c r="FC319" s="15"/>
      <c r="FD319" s="15"/>
      <c r="FE319" s="15"/>
    </row>
    <row r="320" spans="159:161">
      <c r="FC320" s="15"/>
      <c r="FD320" s="15"/>
      <c r="FE320" s="15"/>
    </row>
    <row r="321" spans="159:161">
      <c r="FC321" s="15"/>
      <c r="FD321" s="15"/>
      <c r="FE321" s="15"/>
    </row>
    <row r="322" spans="159:161">
      <c r="FC322" s="15"/>
      <c r="FD322" s="15"/>
      <c r="FE322" s="15"/>
    </row>
    <row r="323" spans="159:161">
      <c r="FC323" s="15"/>
      <c r="FD323" s="15"/>
      <c r="FE323" s="15"/>
    </row>
    <row r="324" spans="159:161">
      <c r="FC324" s="15"/>
      <c r="FD324" s="15"/>
      <c r="FE324" s="15"/>
    </row>
    <row r="325" spans="159:161">
      <c r="FC325" s="15"/>
      <c r="FD325" s="15"/>
      <c r="FE325" s="15"/>
    </row>
    <row r="375" spans="43:43">
      <c r="AQ375" s="1"/>
    </row>
    <row r="376" spans="43:43">
      <c r="AQ376" s="1"/>
    </row>
    <row r="377" spans="43:43">
      <c r="AQ377" s="1"/>
    </row>
    <row r="378" spans="43:43">
      <c r="AQ378" s="1"/>
    </row>
    <row r="379" spans="43:43">
      <c r="AQ379" s="1"/>
    </row>
    <row r="380" spans="43:43">
      <c r="AQ380" s="1"/>
    </row>
    <row r="381" spans="43:43">
      <c r="AQ381" s="1"/>
    </row>
    <row r="382" spans="43:43">
      <c r="AQ382" s="1"/>
    </row>
  </sheetData>
  <sortState ref="AL234:AR574">
    <sortCondition ref="AO234:AO574"/>
  </sortState>
  <mergeCells count="3">
    <mergeCell ref="T7:W7"/>
    <mergeCell ref="U23:X23"/>
    <mergeCell ref="AA7:AD7"/>
  </mergeCells>
  <dataValidations count="2">
    <dataValidation type="list" showInputMessage="1" showErrorMessage="1" sqref="F10">
      <formula1>"Advertising Position 1,Advertising Position 2,Advertising Position 3,Advertising Position 4,QGC  Advertising Dec 07,QGC Advertising Dec 08,QGC Advertising June 08,QGC Advertising Dec 09"</formula1>
    </dataValidation>
    <dataValidation showInputMessage="1" showErrorMessage="1" sqref="C10:E10"/>
  </dataValidations>
  <pageMargins left="0.7" right="0.7" top="0.75" bottom="0.75" header="0.3" footer="0.3"/>
  <pageSetup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pageSetUpPr fitToPage="1"/>
  </sheetPr>
  <dimension ref="A1:CI150"/>
  <sheetViews>
    <sheetView view="pageBreakPreview" topLeftCell="P1" zoomScale="90" zoomScaleNormal="80" zoomScaleSheetLayoutView="90" workbookViewId="0">
      <selection activeCell="L28" sqref="L28"/>
    </sheetView>
  </sheetViews>
  <sheetFormatPr defaultRowHeight="12.75"/>
  <cols>
    <col min="1" max="1" width="4.7109375" style="577" customWidth="1"/>
    <col min="2" max="2" width="18.28515625" style="15" customWidth="1"/>
    <col min="3" max="3" width="21.7109375" style="15" customWidth="1"/>
    <col min="4" max="6" width="17.140625" style="15" customWidth="1"/>
    <col min="7" max="7" width="2" style="15" customWidth="1"/>
    <col min="8" max="8" width="1.28515625" style="15" customWidth="1"/>
    <col min="9" max="9" width="17.140625" style="15" customWidth="1"/>
    <col min="10" max="10" width="4" style="15" customWidth="1"/>
    <col min="11" max="11" width="4.140625" style="15" customWidth="1"/>
    <col min="12" max="12" width="12.7109375" style="15" customWidth="1"/>
    <col min="13" max="13" width="4.7109375" style="1066" customWidth="1"/>
    <col min="14" max="14" width="4.28515625" style="30" customWidth="1"/>
    <col min="15" max="15" width="36.28515625" style="30" customWidth="1"/>
    <col min="16" max="16" width="17" style="30" customWidth="1"/>
    <col min="17" max="17" width="14" style="30" bestFit="1" customWidth="1"/>
    <col min="18" max="18" width="16.140625" style="30" customWidth="1"/>
    <col min="19" max="19" width="18.85546875" style="30" customWidth="1"/>
    <col min="20" max="20" width="5.140625" style="30" customWidth="1"/>
    <col min="21" max="21" width="5" style="1" customWidth="1"/>
    <col min="22" max="23" width="2.7109375" style="1" customWidth="1"/>
    <col min="24" max="24" width="29.5703125" style="1" customWidth="1"/>
    <col min="25" max="25" width="17.28515625" style="1" customWidth="1"/>
    <col min="26" max="26" width="7.85546875" style="1" customWidth="1"/>
    <col min="27" max="27" width="19.85546875" style="1" bestFit="1" customWidth="1"/>
    <col min="28" max="28" width="16.5703125" style="1" customWidth="1"/>
    <col min="29" max="29" width="12.28515625" style="1" bestFit="1" customWidth="1"/>
    <col min="30" max="30" width="5" style="1" customWidth="1"/>
    <col min="31" max="31" width="42.85546875" style="1" bestFit="1" customWidth="1"/>
    <col min="32" max="32" width="14.42578125" style="1" customWidth="1"/>
    <col min="33" max="37" width="16.85546875" style="1" customWidth="1"/>
    <col min="38" max="38" width="14.42578125" style="1" customWidth="1"/>
    <col min="39" max="39" width="16.28515625" style="1" bestFit="1" customWidth="1"/>
    <col min="40" max="40" width="4.140625" style="1" bestFit="1" customWidth="1"/>
    <col min="41" max="41" width="5" style="1" customWidth="1"/>
    <col min="42" max="42" width="5.5703125" style="1" customWidth="1"/>
    <col min="43" max="43" width="42.28515625" style="1" customWidth="1"/>
    <col min="44" max="44" width="28.85546875" style="1" customWidth="1"/>
    <col min="45" max="45" width="16" style="1" bestFit="1" customWidth="1"/>
    <col min="46" max="46" width="25.85546875" style="1" customWidth="1"/>
    <col min="47" max="47" width="16.140625" style="1" bestFit="1" customWidth="1"/>
    <col min="48" max="48" width="6.28515625" style="1" customWidth="1"/>
    <col min="49" max="49" width="10.140625" style="1" bestFit="1" customWidth="1"/>
    <col min="50" max="50" width="12.140625" style="1" bestFit="1" customWidth="1"/>
    <col min="51" max="51" width="17.7109375" style="1" customWidth="1"/>
    <col min="52" max="52" width="19.42578125" style="1" bestFit="1" customWidth="1"/>
    <col min="53" max="53" width="10.7109375" style="1" bestFit="1" customWidth="1"/>
    <col min="54" max="54" width="13.5703125" style="9" bestFit="1" customWidth="1"/>
    <col min="55" max="55" width="19" style="1" bestFit="1" customWidth="1"/>
    <col min="56" max="56" width="10.7109375" style="1" bestFit="1" customWidth="1"/>
    <col min="57" max="57" width="7.42578125" style="1" bestFit="1" customWidth="1"/>
    <col min="58" max="58" width="9.140625" style="1"/>
    <col min="59" max="59" width="10.140625" style="1" bestFit="1" customWidth="1"/>
    <col min="60" max="60" width="6.7109375" style="1" bestFit="1" customWidth="1"/>
    <col min="61" max="61" width="14.140625" style="1" bestFit="1" customWidth="1"/>
    <col min="62" max="62" width="23.42578125" style="1" bestFit="1" customWidth="1"/>
    <col min="63" max="63" width="10.7109375" style="1" bestFit="1" customWidth="1"/>
    <col min="64" max="64" width="7.42578125" style="1" bestFit="1" customWidth="1"/>
    <col min="65" max="65" width="12.140625" style="1" bestFit="1" customWidth="1"/>
    <col min="66" max="66" width="8.140625" style="1" bestFit="1" customWidth="1"/>
    <col min="67" max="67" width="9.140625" style="1"/>
    <col min="68" max="68" width="12.28515625" style="1068" bestFit="1" customWidth="1"/>
    <col min="69" max="69" width="7.7109375" bestFit="1" customWidth="1"/>
    <col min="70" max="70" width="13.42578125" style="964" bestFit="1" customWidth="1"/>
    <col min="71" max="71" width="22.28515625" bestFit="1" customWidth="1"/>
    <col min="72" max="72" width="11.140625" bestFit="1" customWidth="1"/>
    <col min="73" max="73" width="9" style="1068" bestFit="1" customWidth="1"/>
    <col min="74" max="74" width="14.42578125" style="1068" bestFit="1" customWidth="1"/>
    <col min="75" max="75" width="7" style="1068" bestFit="1" customWidth="1"/>
    <col min="76" max="76" width="6.85546875" bestFit="1" customWidth="1"/>
    <col min="77" max="77" width="9.140625" style="1"/>
    <col min="78" max="78" width="10.85546875" style="1" bestFit="1" customWidth="1"/>
    <col min="79" max="79" width="7.28515625" style="1" bestFit="1" customWidth="1"/>
    <col min="80" max="80" width="15.140625" style="1" bestFit="1" customWidth="1"/>
    <col min="81" max="81" width="29.42578125" style="1" bestFit="1" customWidth="1"/>
    <col min="82" max="82" width="11" style="1" bestFit="1" customWidth="1"/>
    <col min="83" max="87" width="9.140625" style="1"/>
    <col min="88" max="16384" width="9.140625" style="15"/>
  </cols>
  <sheetData>
    <row r="1" spans="1:85" ht="15.75" thickBot="1">
      <c r="A1" s="573" t="s">
        <v>9</v>
      </c>
      <c r="J1" s="15">
        <v>1</v>
      </c>
      <c r="L1" s="25"/>
      <c r="N1" s="19" t="s">
        <v>9</v>
      </c>
      <c r="O1" s="1"/>
      <c r="P1" s="1"/>
      <c r="Q1" s="1"/>
      <c r="S1" s="25"/>
      <c r="V1" s="19" t="s">
        <v>9</v>
      </c>
      <c r="AE1" s="19" t="s">
        <v>9</v>
      </c>
      <c r="AL1" s="1440"/>
      <c r="AM1" s="1440"/>
      <c r="AN1" s="11"/>
      <c r="AO1" s="11"/>
      <c r="AQ1" s="1344"/>
      <c r="AR1" s="1345"/>
      <c r="AS1" s="1345"/>
      <c r="AT1" s="1345"/>
      <c r="AU1" s="1346"/>
      <c r="AW1" s="282" t="s">
        <v>1403</v>
      </c>
      <c r="BG1" s="15" t="s">
        <v>1235</v>
      </c>
      <c r="BP1" s="1067" t="s">
        <v>1236</v>
      </c>
      <c r="BZ1" s="15" t="s">
        <v>1404</v>
      </c>
    </row>
    <row r="2" spans="1:85" ht="27.75" thickBot="1">
      <c r="A2" s="578" t="str">
        <f>'Control Panel'!$B$1</f>
        <v>Dominion Energy</v>
      </c>
      <c r="D2" s="574"/>
      <c r="E2" s="574"/>
      <c r="F2" s="574"/>
      <c r="G2" s="574"/>
      <c r="H2" s="574"/>
      <c r="I2" s="574" t="s">
        <v>768</v>
      </c>
      <c r="J2" s="15">
        <f>+J1+1</f>
        <v>2</v>
      </c>
      <c r="L2" s="18"/>
      <c r="N2" s="98" t="s">
        <v>1388</v>
      </c>
      <c r="O2" s="1"/>
      <c r="P2" s="1"/>
      <c r="Q2" s="3"/>
      <c r="S2" s="18"/>
      <c r="V2" s="98" t="s">
        <v>1388</v>
      </c>
      <c r="AE2" s="98" t="s">
        <v>1388</v>
      </c>
      <c r="AL2" s="11"/>
      <c r="AM2" s="11"/>
      <c r="AN2" s="11"/>
      <c r="AO2" s="11"/>
      <c r="AQ2" s="338" t="s">
        <v>986</v>
      </c>
      <c r="AR2" s="318"/>
      <c r="AS2" s="318" t="s">
        <v>480</v>
      </c>
      <c r="AT2" s="319"/>
      <c r="AU2" s="371"/>
      <c r="AW2" s="1263" t="s">
        <v>100</v>
      </c>
      <c r="AX2" s="1263" t="s">
        <v>353</v>
      </c>
      <c r="AY2" s="1263" t="s">
        <v>130</v>
      </c>
      <c r="AZ2" s="1263" t="s">
        <v>7</v>
      </c>
      <c r="BA2" s="1263" t="s">
        <v>643</v>
      </c>
      <c r="BB2" s="1347" t="s">
        <v>668</v>
      </c>
      <c r="BC2" s="1263" t="s">
        <v>98</v>
      </c>
      <c r="BD2" s="1263" t="s">
        <v>99</v>
      </c>
      <c r="BE2" s="1263" t="s">
        <v>694</v>
      </c>
      <c r="BG2" s="1263" t="s">
        <v>7</v>
      </c>
      <c r="BH2" s="1263" t="s">
        <v>643</v>
      </c>
      <c r="BI2" s="1263" t="s">
        <v>793</v>
      </c>
      <c r="BJ2" s="1263" t="s">
        <v>98</v>
      </c>
      <c r="BK2" s="1263" t="s">
        <v>99</v>
      </c>
      <c r="BL2" s="1263" t="s">
        <v>694</v>
      </c>
      <c r="BM2" s="1263" t="s">
        <v>353</v>
      </c>
      <c r="BN2" s="1263" t="s">
        <v>294</v>
      </c>
      <c r="BP2" s="1348" t="s">
        <v>7</v>
      </c>
      <c r="BQ2" s="1349" t="s">
        <v>643</v>
      </c>
      <c r="BR2" s="1350" t="s">
        <v>668</v>
      </c>
      <c r="BS2" s="1349" t="s">
        <v>1141</v>
      </c>
      <c r="BT2" s="1349" t="s">
        <v>99</v>
      </c>
      <c r="BU2" s="1348" t="s">
        <v>694</v>
      </c>
      <c r="BV2" s="1348" t="s">
        <v>353</v>
      </c>
      <c r="BW2" s="1349" t="s">
        <v>1142</v>
      </c>
      <c r="BX2" s="1349" t="s">
        <v>100</v>
      </c>
      <c r="BZ2" s="1263" t="s">
        <v>7</v>
      </c>
      <c r="CA2" s="1263" t="s">
        <v>643</v>
      </c>
      <c r="CB2" s="1263" t="s">
        <v>793</v>
      </c>
      <c r="CC2" s="1263" t="s">
        <v>98</v>
      </c>
      <c r="CD2" s="1263" t="s">
        <v>99</v>
      </c>
      <c r="CE2" s="1263" t="s">
        <v>694</v>
      </c>
      <c r="CF2" s="1263" t="s">
        <v>353</v>
      </c>
      <c r="CG2" s="1263" t="s">
        <v>294</v>
      </c>
    </row>
    <row r="3" spans="1:85" ht="45" customHeight="1" thickBot="1">
      <c r="A3" s="578" t="str">
        <f>'Control Panel'!$B$2</f>
        <v>Utah - DEC 2019 Adjusted Avg  Results</v>
      </c>
      <c r="D3" s="139" t="str">
        <f>"DEU Incentives "&amp;'Control Panel'!H8</f>
        <v>DEU Incentives 2017</v>
      </c>
      <c r="E3" s="139" t="str">
        <f>"DEU Incentives "&amp;'Control Panel'!J8</f>
        <v>DEU Incentives 2018</v>
      </c>
      <c r="F3" s="139" t="str">
        <f>"DEU Incentives "&amp;'Control Panel'!L8</f>
        <v>DEU Incentives 2019</v>
      </c>
      <c r="G3" s="159"/>
      <c r="H3" s="159"/>
      <c r="I3" s="159" t="str">
        <f>+'Control Panel'!F34</f>
        <v>DEU Incentives 2019</v>
      </c>
      <c r="J3" s="15">
        <f t="shared" ref="J3:J26" si="0">+J2+1</f>
        <v>3</v>
      </c>
      <c r="L3" s="234"/>
      <c r="N3" s="98" t="s">
        <v>1594</v>
      </c>
      <c r="O3" s="1"/>
      <c r="P3" s="1"/>
      <c r="Q3" s="1"/>
      <c r="T3" s="1069"/>
      <c r="V3" s="98" t="s">
        <v>1594</v>
      </c>
      <c r="AE3" s="98" t="s">
        <v>1594</v>
      </c>
      <c r="AL3" s="11"/>
      <c r="AM3" s="11"/>
      <c r="AN3" s="11"/>
      <c r="AO3" s="11"/>
      <c r="AQ3" s="372" t="s">
        <v>281</v>
      </c>
      <c r="AR3" s="1070"/>
      <c r="AS3" s="319">
        <v>1</v>
      </c>
      <c r="AT3" s="324">
        <v>7</v>
      </c>
      <c r="AU3" s="373" t="s">
        <v>837</v>
      </c>
      <c r="AW3" s="1071" t="s">
        <v>792</v>
      </c>
      <c r="AX3" s="1072" t="s">
        <v>864</v>
      </c>
      <c r="AY3" s="1071" t="s">
        <v>131</v>
      </c>
      <c r="AZ3" s="1072" t="s">
        <v>769</v>
      </c>
      <c r="BA3" s="1071" t="s">
        <v>346</v>
      </c>
      <c r="BB3" s="1447">
        <v>482700</v>
      </c>
      <c r="BC3" s="1072" t="s">
        <v>1405</v>
      </c>
      <c r="BD3" s="1448">
        <v>42766</v>
      </c>
      <c r="BE3" s="1072" t="s">
        <v>985</v>
      </c>
      <c r="BG3" s="1449" t="s">
        <v>1406</v>
      </c>
      <c r="BH3" s="1072"/>
      <c r="BI3" s="1074"/>
      <c r="BJ3" s="1072"/>
      <c r="BK3" s="1073"/>
      <c r="BL3" s="1072"/>
      <c r="BM3" s="1072"/>
      <c r="BN3" s="1075"/>
      <c r="BP3" s="1072" t="s">
        <v>769</v>
      </c>
      <c r="BQ3" s="1072" t="s">
        <v>394</v>
      </c>
      <c r="BR3" s="1447">
        <v>919000</v>
      </c>
      <c r="BS3" s="1072" t="s">
        <v>1407</v>
      </c>
      <c r="BT3" s="1448">
        <v>43100</v>
      </c>
      <c r="BU3" s="1072" t="s">
        <v>985</v>
      </c>
      <c r="BV3" s="1072" t="s">
        <v>1408</v>
      </c>
      <c r="BW3" s="1450">
        <v>2</v>
      </c>
      <c r="BX3" s="1076" t="s">
        <v>791</v>
      </c>
      <c r="BZ3" s="1449" t="s">
        <v>1406</v>
      </c>
      <c r="CA3" s="1072"/>
      <c r="CB3" s="1074"/>
      <c r="CC3" s="1072"/>
      <c r="CD3" s="1073"/>
      <c r="CE3" s="1072"/>
      <c r="CF3" s="1072"/>
      <c r="CG3" s="1075"/>
    </row>
    <row r="4" spans="1:85" ht="15.75">
      <c r="A4" s="578" t="str">
        <f>'Control Panel'!$B$3</f>
        <v>12 Months Ended : Dec-2019</v>
      </c>
      <c r="D4" s="160"/>
      <c r="E4" s="160"/>
      <c r="F4" s="160"/>
      <c r="G4" s="160"/>
      <c r="H4" s="160"/>
      <c r="I4" s="160"/>
      <c r="J4" s="15">
        <f t="shared" si="0"/>
        <v>4</v>
      </c>
      <c r="L4" s="233"/>
      <c r="N4" s="123" t="s">
        <v>1595</v>
      </c>
      <c r="O4" s="1"/>
      <c r="P4" s="1"/>
      <c r="Q4" s="1"/>
      <c r="T4" s="1080"/>
      <c r="V4" s="123" t="s">
        <v>1595</v>
      </c>
      <c r="AE4" s="123" t="s">
        <v>1595</v>
      </c>
      <c r="AL4" s="218"/>
      <c r="AM4" s="11"/>
      <c r="AN4" s="194"/>
      <c r="AO4" s="11"/>
      <c r="AQ4" s="372" t="s">
        <v>282</v>
      </c>
      <c r="AR4" s="1081" t="s">
        <v>903</v>
      </c>
      <c r="AS4" s="320">
        <v>1092690</v>
      </c>
      <c r="AT4" s="1082">
        <v>1457868.18</v>
      </c>
      <c r="AU4" s="374">
        <f t="shared" ref="AU4:AU7" si="1">SUM(AS4:AT4)</f>
        <v>2550558.1799999997</v>
      </c>
      <c r="AW4" s="1071" t="s">
        <v>792</v>
      </c>
      <c r="AX4" s="1072" t="s">
        <v>864</v>
      </c>
      <c r="AY4" s="1071" t="s">
        <v>131</v>
      </c>
      <c r="AZ4" s="1072" t="s">
        <v>769</v>
      </c>
      <c r="BA4" s="1071" t="s">
        <v>346</v>
      </c>
      <c r="BB4" s="1447">
        <v>482700</v>
      </c>
      <c r="BC4" s="1072" t="s">
        <v>1405</v>
      </c>
      <c r="BD4" s="1448">
        <v>42794</v>
      </c>
      <c r="BE4" s="1072" t="s">
        <v>985</v>
      </c>
      <c r="BG4" s="1072"/>
      <c r="BH4" s="1072"/>
      <c r="BI4" s="1074"/>
      <c r="BJ4" s="1072"/>
      <c r="BK4" s="1073"/>
      <c r="BL4" s="1072"/>
      <c r="BM4" s="1072"/>
      <c r="BN4" s="1075"/>
      <c r="BP4" s="1072" t="s">
        <v>769</v>
      </c>
      <c r="BQ4" s="1072" t="s">
        <v>394</v>
      </c>
      <c r="BR4" s="1447">
        <v>312161.31</v>
      </c>
      <c r="BS4" s="1072" t="s">
        <v>1409</v>
      </c>
      <c r="BT4" s="1448">
        <v>42766</v>
      </c>
      <c r="BU4" s="1072" t="s">
        <v>985</v>
      </c>
      <c r="BV4" s="1072" t="s">
        <v>1237</v>
      </c>
      <c r="BW4" s="1450">
        <v>4</v>
      </c>
      <c r="BX4" s="1076" t="s">
        <v>791</v>
      </c>
      <c r="BZ4" s="1072"/>
      <c r="CA4" s="1072"/>
      <c r="CB4" s="1074"/>
      <c r="CC4" s="1072"/>
      <c r="CD4" s="1073"/>
      <c r="CE4" s="1072"/>
      <c r="CF4" s="1072"/>
      <c r="CG4" s="1075"/>
    </row>
    <row r="5" spans="1:85" ht="15">
      <c r="A5" s="578"/>
      <c r="J5" s="15">
        <f t="shared" si="0"/>
        <v>5</v>
      </c>
      <c r="L5" s="233"/>
      <c r="T5" s="1080"/>
      <c r="AE5" s="98"/>
      <c r="AF5" s="219"/>
      <c r="AG5" s="219"/>
      <c r="AH5" s="219"/>
      <c r="AI5" s="219"/>
      <c r="AJ5" s="219"/>
      <c r="AK5" s="219"/>
      <c r="AL5" s="219"/>
      <c r="AM5" s="11"/>
      <c r="AN5" s="11"/>
      <c r="AO5" s="11"/>
      <c r="AQ5" s="375" t="s">
        <v>723</v>
      </c>
      <c r="AR5" s="1081" t="s">
        <v>904</v>
      </c>
      <c r="AS5" s="321">
        <v>186760</v>
      </c>
      <c r="AT5" s="322">
        <v>1761837.1</v>
      </c>
      <c r="AU5" s="376">
        <f t="shared" si="1"/>
        <v>1948597.1</v>
      </c>
      <c r="AW5" s="1071" t="s">
        <v>792</v>
      </c>
      <c r="AX5" s="1072" t="s">
        <v>864</v>
      </c>
      <c r="AY5" s="1071" t="s">
        <v>131</v>
      </c>
      <c r="AZ5" s="1072" t="s">
        <v>769</v>
      </c>
      <c r="BA5" s="1071" t="s">
        <v>346</v>
      </c>
      <c r="BB5" s="1447">
        <v>123413.82</v>
      </c>
      <c r="BC5" s="1072" t="s">
        <v>1405</v>
      </c>
      <c r="BD5" s="1448">
        <v>42825</v>
      </c>
      <c r="BE5" s="1072" t="s">
        <v>985</v>
      </c>
      <c r="BG5" s="1072"/>
      <c r="BH5" s="1072"/>
      <c r="BI5" s="1074"/>
      <c r="BJ5" s="1072"/>
      <c r="BK5" s="1073"/>
      <c r="BL5" s="1072"/>
      <c r="BM5" s="1072"/>
      <c r="BN5" s="1075"/>
      <c r="BP5" s="1072" t="s">
        <v>769</v>
      </c>
      <c r="BQ5" s="1072" t="s">
        <v>394</v>
      </c>
      <c r="BR5" s="1447">
        <v>312161.31</v>
      </c>
      <c r="BS5" s="1072" t="s">
        <v>1409</v>
      </c>
      <c r="BT5" s="1448">
        <v>42794</v>
      </c>
      <c r="BU5" s="1072" t="s">
        <v>985</v>
      </c>
      <c r="BV5" s="1072" t="s">
        <v>1237</v>
      </c>
      <c r="BW5" s="1450">
        <v>6</v>
      </c>
      <c r="BX5" s="1076" t="s">
        <v>791</v>
      </c>
      <c r="BZ5" s="1072"/>
      <c r="CA5" s="1072"/>
      <c r="CB5" s="1074"/>
      <c r="CC5" s="1072"/>
      <c r="CD5" s="1073"/>
      <c r="CE5" s="1072"/>
      <c r="CF5" s="1072"/>
      <c r="CG5" s="1075"/>
    </row>
    <row r="6" spans="1:85" ht="16.5">
      <c r="J6" s="15">
        <f t="shared" si="0"/>
        <v>6</v>
      </c>
      <c r="O6" s="37"/>
      <c r="P6" s="37"/>
      <c r="Q6" s="37"/>
      <c r="R6" s="37"/>
      <c r="AE6" s="98"/>
      <c r="AF6" s="220"/>
      <c r="AG6" s="220"/>
      <c r="AH6" s="220"/>
      <c r="AI6" s="171">
        <f>0.5*1.13</f>
        <v>0.56499999999999995</v>
      </c>
      <c r="AJ6" s="220"/>
      <c r="AK6" s="220"/>
      <c r="AL6" s="220"/>
      <c r="AM6" s="11"/>
      <c r="AN6" s="11"/>
      <c r="AO6" s="11"/>
      <c r="AQ6" s="375" t="s">
        <v>5</v>
      </c>
      <c r="AR6" s="323" t="s">
        <v>905</v>
      </c>
      <c r="AS6" s="321">
        <v>4328316.09</v>
      </c>
      <c r="AT6" s="1">
        <v>1794813.47</v>
      </c>
      <c r="AU6" s="376">
        <f t="shared" si="1"/>
        <v>6123129.5599999996</v>
      </c>
      <c r="AW6" s="1071" t="s">
        <v>792</v>
      </c>
      <c r="AX6" s="1072" t="s">
        <v>864</v>
      </c>
      <c r="AY6" s="1071" t="s">
        <v>131</v>
      </c>
      <c r="AZ6" s="1072" t="s">
        <v>769</v>
      </c>
      <c r="BA6" s="1071" t="s">
        <v>346</v>
      </c>
      <c r="BB6" s="1447">
        <v>501375</v>
      </c>
      <c r="BC6" s="1072" t="s">
        <v>1405</v>
      </c>
      <c r="BD6" s="1448">
        <v>42855</v>
      </c>
      <c r="BE6" s="1072" t="s">
        <v>985</v>
      </c>
      <c r="BG6" s="1072"/>
      <c r="BH6" s="1072"/>
      <c r="BI6" s="1074"/>
      <c r="BJ6" s="1072"/>
      <c r="BK6" s="1073"/>
      <c r="BL6" s="1072"/>
      <c r="BM6" s="1072"/>
      <c r="BN6" s="1075"/>
      <c r="BP6" s="1072" t="s">
        <v>769</v>
      </c>
      <c r="BQ6" s="1072" t="s">
        <v>394</v>
      </c>
      <c r="BR6" s="1447">
        <v>456312</v>
      </c>
      <c r="BS6" s="1072" t="s">
        <v>1409</v>
      </c>
      <c r="BT6" s="1448">
        <v>42825</v>
      </c>
      <c r="BU6" s="1072" t="s">
        <v>985</v>
      </c>
      <c r="BV6" s="1072" t="s">
        <v>1237</v>
      </c>
      <c r="BW6" s="1450">
        <v>9</v>
      </c>
      <c r="BX6" s="1076" t="s">
        <v>791</v>
      </c>
      <c r="BZ6" s="1072"/>
      <c r="CA6" s="1072"/>
      <c r="CB6" s="1074"/>
      <c r="CC6" s="1072"/>
      <c r="CD6" s="1073"/>
      <c r="CE6" s="1072"/>
      <c r="CF6" s="1072"/>
      <c r="CG6" s="1075"/>
    </row>
    <row r="7" spans="1:85" ht="17.25" thickBot="1">
      <c r="J7" s="15">
        <f t="shared" si="0"/>
        <v>7</v>
      </c>
      <c r="S7" s="18"/>
      <c r="AB7" s="18"/>
      <c r="AE7" s="11"/>
      <c r="AF7" s="11"/>
      <c r="AG7" s="11"/>
      <c r="AH7" s="11"/>
      <c r="AI7" s="11">
        <f>AI6/1.13</f>
        <v>0.5</v>
      </c>
      <c r="AJ7" s="11"/>
      <c r="AK7" s="11"/>
      <c r="AL7" s="11"/>
      <c r="AM7" s="11"/>
      <c r="AQ7" s="375" t="s">
        <v>906</v>
      </c>
      <c r="AR7" s="1083" t="s">
        <v>907</v>
      </c>
      <c r="AS7" s="321">
        <v>1005105.78</v>
      </c>
      <c r="AT7" s="1">
        <v>99092.37</v>
      </c>
      <c r="AU7" s="376">
        <f t="shared" si="1"/>
        <v>1104198.1499999999</v>
      </c>
      <c r="AW7" s="1071" t="s">
        <v>792</v>
      </c>
      <c r="AX7" s="1072" t="s">
        <v>864</v>
      </c>
      <c r="AY7" s="1071" t="s">
        <v>131</v>
      </c>
      <c r="AZ7" s="1072" t="s">
        <v>769</v>
      </c>
      <c r="BA7" s="1071" t="s">
        <v>346</v>
      </c>
      <c r="BB7" s="1447">
        <v>501375</v>
      </c>
      <c r="BC7" s="1072" t="s">
        <v>1405</v>
      </c>
      <c r="BD7" s="1448">
        <v>42886</v>
      </c>
      <c r="BE7" s="1072" t="s">
        <v>985</v>
      </c>
      <c r="BG7" s="1072"/>
      <c r="BH7" s="1072"/>
      <c r="BI7" s="1074"/>
      <c r="BJ7" s="1072"/>
      <c r="BK7" s="1073"/>
      <c r="BL7" s="1072"/>
      <c r="BM7" s="1072"/>
      <c r="BN7" s="1075"/>
      <c r="BP7" s="1072" t="s">
        <v>769</v>
      </c>
      <c r="BQ7" s="1072" t="s">
        <v>394</v>
      </c>
      <c r="BR7" s="1447">
        <v>313313</v>
      </c>
      <c r="BS7" s="1072" t="s">
        <v>1409</v>
      </c>
      <c r="BT7" s="1448">
        <v>42855</v>
      </c>
      <c r="BU7" s="1072" t="s">
        <v>985</v>
      </c>
      <c r="BV7" s="1072" t="s">
        <v>1237</v>
      </c>
      <c r="BW7" s="1450">
        <v>6</v>
      </c>
      <c r="BX7" s="1076" t="s">
        <v>791</v>
      </c>
      <c r="BZ7" s="1072"/>
      <c r="CA7" s="1072"/>
      <c r="CB7" s="1074"/>
      <c r="CC7" s="1072"/>
      <c r="CD7" s="1073"/>
      <c r="CE7" s="1072"/>
      <c r="CF7" s="1072"/>
      <c r="CG7" s="1075"/>
    </row>
    <row r="8" spans="1:85" ht="15.75" thickBot="1">
      <c r="A8" s="15"/>
      <c r="B8" s="15" t="s">
        <v>9</v>
      </c>
      <c r="J8" s="15">
        <f t="shared" si="0"/>
        <v>8</v>
      </c>
      <c r="M8" s="1"/>
      <c r="N8" s="1"/>
      <c r="O8" s="1" t="s">
        <v>1410</v>
      </c>
      <c r="P8" s="1"/>
      <c r="Q8" s="1"/>
      <c r="R8" s="1"/>
      <c r="S8" s="1"/>
      <c r="T8" s="1"/>
      <c r="V8" s="1" t="s">
        <v>1411</v>
      </c>
      <c r="AQ8" s="377" t="s">
        <v>837</v>
      </c>
      <c r="AR8" s="378"/>
      <c r="AS8" s="379">
        <f>SUM(AS4:AS7)</f>
        <v>6612871.8700000001</v>
      </c>
      <c r="AT8" s="380">
        <f>SUM(AT4:AT7)</f>
        <v>5113611.12</v>
      </c>
      <c r="AU8" s="381">
        <f>SUM(AU4:AU7)</f>
        <v>11726482.99</v>
      </c>
      <c r="AW8" s="1071" t="s">
        <v>792</v>
      </c>
      <c r="AX8" s="1072" t="s">
        <v>864</v>
      </c>
      <c r="AY8" s="1071" t="s">
        <v>131</v>
      </c>
      <c r="AZ8" s="1072" t="s">
        <v>769</v>
      </c>
      <c r="BA8" s="1071" t="s">
        <v>346</v>
      </c>
      <c r="BB8" s="1447">
        <v>501375</v>
      </c>
      <c r="BC8" s="1072" t="s">
        <v>1405</v>
      </c>
      <c r="BD8" s="1448">
        <v>42916</v>
      </c>
      <c r="BE8" s="1072" t="s">
        <v>985</v>
      </c>
      <c r="BG8" s="1072"/>
      <c r="BH8" s="1072"/>
      <c r="BI8" s="1074"/>
      <c r="BJ8" s="1072"/>
      <c r="BK8" s="1073"/>
      <c r="BL8" s="1072"/>
      <c r="BM8" s="1072"/>
      <c r="BN8" s="1075"/>
      <c r="BP8" s="1072" t="s">
        <v>769</v>
      </c>
      <c r="BQ8" s="1072" t="s">
        <v>394</v>
      </c>
      <c r="BR8" s="1447">
        <v>313313</v>
      </c>
      <c r="BS8" s="1072" t="s">
        <v>1409</v>
      </c>
      <c r="BT8" s="1448">
        <v>42886</v>
      </c>
      <c r="BU8" s="1072" t="s">
        <v>985</v>
      </c>
      <c r="BV8" s="1072" t="s">
        <v>1237</v>
      </c>
      <c r="BW8" s="1450">
        <v>3</v>
      </c>
      <c r="BX8" s="1076" t="s">
        <v>791</v>
      </c>
      <c r="BZ8" s="1072"/>
      <c r="CA8" s="1072"/>
      <c r="CB8" s="1074"/>
      <c r="CC8" s="1072"/>
      <c r="CD8" s="1073"/>
      <c r="CE8" s="1072"/>
      <c r="CF8" s="1072"/>
      <c r="CG8" s="1075"/>
    </row>
    <row r="9" spans="1:85">
      <c r="A9" s="15"/>
      <c r="B9" s="15" t="s">
        <v>638</v>
      </c>
      <c r="J9" s="15">
        <f t="shared" si="0"/>
        <v>9</v>
      </c>
      <c r="M9" s="1"/>
      <c r="N9" s="1"/>
      <c r="O9" s="15" t="s">
        <v>1412</v>
      </c>
      <c r="P9" s="1"/>
      <c r="Q9" s="1"/>
      <c r="R9" s="1"/>
      <c r="S9" s="1"/>
      <c r="T9" s="1"/>
      <c r="V9" s="193" t="s">
        <v>1413</v>
      </c>
      <c r="AF9" s="1" t="s">
        <v>525</v>
      </c>
      <c r="AG9" s="1">
        <v>1</v>
      </c>
      <c r="AI9" s="1084"/>
      <c r="AL9" s="1084"/>
      <c r="AW9" s="1071" t="s">
        <v>792</v>
      </c>
      <c r="AX9" s="1072" t="s">
        <v>864</v>
      </c>
      <c r="AY9" s="1071" t="s">
        <v>131</v>
      </c>
      <c r="AZ9" s="1072" t="s">
        <v>769</v>
      </c>
      <c r="BA9" s="1071" t="s">
        <v>346</v>
      </c>
      <c r="BB9" s="1447">
        <v>501375</v>
      </c>
      <c r="BC9" s="1072" t="s">
        <v>1405</v>
      </c>
      <c r="BD9" s="1448">
        <v>42947</v>
      </c>
      <c r="BE9" s="1072" t="s">
        <v>985</v>
      </c>
      <c r="BG9" s="1072"/>
      <c r="BH9" s="1072"/>
      <c r="BI9" s="1074"/>
      <c r="BJ9" s="1072"/>
      <c r="BK9" s="1073"/>
      <c r="BL9" s="1072"/>
      <c r="BM9" s="1072"/>
      <c r="BN9" s="1075"/>
      <c r="BP9" s="1072" t="s">
        <v>769</v>
      </c>
      <c r="BQ9" s="1072" t="s">
        <v>394</v>
      </c>
      <c r="BR9" s="1447">
        <v>313313</v>
      </c>
      <c r="BS9" s="1072" t="s">
        <v>1409</v>
      </c>
      <c r="BT9" s="1448">
        <v>42916</v>
      </c>
      <c r="BU9" s="1072" t="s">
        <v>985</v>
      </c>
      <c r="BV9" s="1072" t="s">
        <v>1237</v>
      </c>
      <c r="BW9" s="1450">
        <v>10</v>
      </c>
      <c r="BX9" s="1076" t="s">
        <v>791</v>
      </c>
      <c r="BZ9" s="1072"/>
      <c r="CA9" s="1072"/>
      <c r="CB9" s="1074"/>
      <c r="CC9" s="1072"/>
      <c r="CD9" s="1073"/>
      <c r="CE9" s="1072"/>
      <c r="CF9" s="1072"/>
      <c r="CG9" s="1075"/>
    </row>
    <row r="10" spans="1:85">
      <c r="A10" s="15"/>
      <c r="J10" s="15">
        <f t="shared" si="0"/>
        <v>10</v>
      </c>
      <c r="M10" s="1"/>
      <c r="N10" s="1"/>
      <c r="O10" s="1" t="s">
        <v>456</v>
      </c>
      <c r="P10" s="1"/>
      <c r="Q10" s="1"/>
      <c r="R10" s="1"/>
      <c r="S10" s="1"/>
      <c r="T10" s="1"/>
      <c r="X10" s="1" t="s">
        <v>70</v>
      </c>
      <c r="AE10" s="1" t="s">
        <v>370</v>
      </c>
      <c r="AF10" s="1" t="s">
        <v>526</v>
      </c>
      <c r="AG10" s="1" t="s">
        <v>528</v>
      </c>
      <c r="AW10" s="1071" t="s">
        <v>792</v>
      </c>
      <c r="AX10" s="1072" t="s">
        <v>864</v>
      </c>
      <c r="AY10" s="1071" t="s">
        <v>131</v>
      </c>
      <c r="AZ10" s="1072" t="s">
        <v>769</v>
      </c>
      <c r="BA10" s="1071" t="s">
        <v>346</v>
      </c>
      <c r="BB10" s="1447">
        <v>501375</v>
      </c>
      <c r="BC10" s="1072" t="s">
        <v>1405</v>
      </c>
      <c r="BD10" s="1448">
        <v>42978</v>
      </c>
      <c r="BE10" s="1072" t="s">
        <v>985</v>
      </c>
      <c r="BG10" s="1072"/>
      <c r="BH10" s="1072"/>
      <c r="BI10" s="1074"/>
      <c r="BJ10" s="1072"/>
      <c r="BK10" s="1073"/>
      <c r="BL10" s="1072"/>
      <c r="BM10" s="1072"/>
      <c r="BN10" s="1075"/>
      <c r="BP10" s="1072" t="s">
        <v>769</v>
      </c>
      <c r="BQ10" s="1072" t="s">
        <v>394</v>
      </c>
      <c r="BR10" s="1447">
        <v>313313</v>
      </c>
      <c r="BS10" s="1072" t="s">
        <v>1409</v>
      </c>
      <c r="BT10" s="1448">
        <v>42947</v>
      </c>
      <c r="BU10" s="1072" t="s">
        <v>985</v>
      </c>
      <c r="BV10" s="1072" t="s">
        <v>1237</v>
      </c>
      <c r="BW10" s="1450">
        <v>2</v>
      </c>
      <c r="BX10" s="1076" t="s">
        <v>791</v>
      </c>
      <c r="BZ10" s="1072"/>
      <c r="CA10" s="1072"/>
      <c r="CB10" s="1074"/>
      <c r="CC10" s="1072"/>
      <c r="CD10" s="1073"/>
      <c r="CE10" s="1072"/>
      <c r="CF10" s="1072"/>
      <c r="CG10" s="1075"/>
    </row>
    <row r="11" spans="1:85" ht="13.5" thickBot="1">
      <c r="B11" s="583" t="s">
        <v>796</v>
      </c>
      <c r="C11" s="583"/>
      <c r="D11" s="583"/>
      <c r="E11" s="583"/>
      <c r="F11" s="583"/>
      <c r="G11" s="583"/>
      <c r="H11" s="583"/>
      <c r="I11" s="583"/>
      <c r="J11" s="15">
        <f t="shared" si="0"/>
        <v>11</v>
      </c>
      <c r="L11" s="30"/>
      <c r="O11" s="26" t="s">
        <v>796</v>
      </c>
      <c r="P11" s="26"/>
      <c r="Q11" s="26" t="s">
        <v>797</v>
      </c>
      <c r="R11" s="26" t="s">
        <v>798</v>
      </c>
      <c r="S11" s="26" t="s">
        <v>799</v>
      </c>
      <c r="U11" s="1085"/>
      <c r="V11" s="1439"/>
      <c r="W11" s="1439"/>
      <c r="X11" s="1439" t="s">
        <v>796</v>
      </c>
      <c r="Y11" s="1439" t="s">
        <v>797</v>
      </c>
      <c r="Z11" s="1439" t="s">
        <v>798</v>
      </c>
      <c r="AA11" s="1439" t="s">
        <v>799</v>
      </c>
      <c r="AB11" s="1439" t="s">
        <v>778</v>
      </c>
      <c r="AC11" s="1439" t="s">
        <v>779</v>
      </c>
      <c r="AE11" s="1312"/>
      <c r="AF11" s="200" t="s">
        <v>527</v>
      </c>
      <c r="AG11" s="1440" t="str">
        <f>AI12</f>
        <v>Actual 2014</v>
      </c>
      <c r="AH11" s="1440"/>
      <c r="AI11" s="1440"/>
      <c r="AJ11" s="1440"/>
      <c r="AK11" s="1440"/>
      <c r="AL11" s="1440"/>
      <c r="AM11" s="76" t="s">
        <v>768</v>
      </c>
      <c r="AN11" s="11"/>
      <c r="AO11" s="11"/>
      <c r="AW11" s="1071" t="s">
        <v>792</v>
      </c>
      <c r="AX11" s="1072" t="s">
        <v>864</v>
      </c>
      <c r="AY11" s="1071" t="s">
        <v>131</v>
      </c>
      <c r="AZ11" s="1072" t="s">
        <v>769</v>
      </c>
      <c r="BA11" s="1071" t="s">
        <v>346</v>
      </c>
      <c r="BB11" s="1447">
        <v>501375</v>
      </c>
      <c r="BC11" s="1072" t="s">
        <v>1405</v>
      </c>
      <c r="BD11" s="1448">
        <v>43008</v>
      </c>
      <c r="BE11" s="1072" t="s">
        <v>985</v>
      </c>
      <c r="BG11" s="1072"/>
      <c r="BH11" s="1072"/>
      <c r="BI11" s="1074"/>
      <c r="BJ11" s="1072"/>
      <c r="BK11" s="1073"/>
      <c r="BL11" s="1072"/>
      <c r="BM11" s="1072"/>
      <c r="BN11" s="1075"/>
      <c r="BP11" s="1072" t="s">
        <v>769</v>
      </c>
      <c r="BQ11" s="1072" t="s">
        <v>394</v>
      </c>
      <c r="BR11" s="1447">
        <v>313313</v>
      </c>
      <c r="BS11" s="1072" t="s">
        <v>1409</v>
      </c>
      <c r="BT11" s="1448">
        <v>42978</v>
      </c>
      <c r="BU11" s="1072" t="s">
        <v>985</v>
      </c>
      <c r="BV11" s="1072" t="s">
        <v>1237</v>
      </c>
      <c r="BW11" s="1450">
        <v>2</v>
      </c>
      <c r="BX11" s="1076" t="s">
        <v>791</v>
      </c>
      <c r="BZ11" s="1072"/>
      <c r="CA11" s="1072"/>
      <c r="CB11" s="1074"/>
      <c r="CC11" s="1072"/>
      <c r="CD11" s="1073"/>
      <c r="CE11" s="1072"/>
      <c r="CF11" s="1072"/>
      <c r="CG11" s="1075"/>
    </row>
    <row r="12" spans="1:85" ht="15.75" customHeight="1" thickBot="1">
      <c r="B12" s="15" t="s">
        <v>1191</v>
      </c>
      <c r="E12" s="513">
        <f>('Labor Forecast'!G5-'Labor Forecast'!F5)/'Labor Forecast'!F5</f>
        <v>-0.18663201550395583</v>
      </c>
      <c r="F12" s="513">
        <f>('Labor Forecast'!H5-'Labor Forecast'!G5)/'Labor Forecast'!G5</f>
        <v>3.0000000000000051E-2</v>
      </c>
      <c r="G12" s="194"/>
      <c r="H12" s="194"/>
      <c r="I12" s="194"/>
      <c r="J12" s="15">
        <f t="shared" si="0"/>
        <v>12</v>
      </c>
      <c r="L12" s="30"/>
      <c r="M12" s="30"/>
      <c r="Q12" s="201" t="str">
        <f>+AM12</f>
        <v>3-YR Average</v>
      </c>
      <c r="R12" s="201" t="s">
        <v>170</v>
      </c>
      <c r="S12" s="201" t="s">
        <v>277</v>
      </c>
      <c r="Z12" s="1085"/>
      <c r="AA12" s="1086"/>
      <c r="AB12" s="1086"/>
      <c r="AC12" s="1086"/>
      <c r="AE12" s="97" t="s">
        <v>717</v>
      </c>
      <c r="AF12" s="1440"/>
      <c r="AG12" s="1440" t="s">
        <v>1143</v>
      </c>
      <c r="AH12" s="1440" t="s">
        <v>1238</v>
      </c>
      <c r="AI12" s="1440" t="s">
        <v>1239</v>
      </c>
      <c r="AJ12" s="1440" t="s">
        <v>1240</v>
      </c>
      <c r="AK12" s="1440" t="s">
        <v>1365</v>
      </c>
      <c r="AL12" s="1440" t="s">
        <v>528</v>
      </c>
      <c r="AM12" s="1440" t="s">
        <v>528</v>
      </c>
      <c r="AN12" s="1087">
        <v>1</v>
      </c>
      <c r="AO12" s="1087"/>
      <c r="AQ12" s="1344"/>
      <c r="AR12" s="1345"/>
      <c r="AS12" s="1345"/>
      <c r="AT12" s="1345"/>
      <c r="AU12" s="1346"/>
      <c r="AW12" s="1071" t="s">
        <v>792</v>
      </c>
      <c r="AX12" s="1072" t="s">
        <v>864</v>
      </c>
      <c r="AY12" s="1071" t="s">
        <v>131</v>
      </c>
      <c r="AZ12" s="1072" t="s">
        <v>769</v>
      </c>
      <c r="BA12" s="1071" t="s">
        <v>346</v>
      </c>
      <c r="BB12" s="1447">
        <v>501375</v>
      </c>
      <c r="BC12" s="1072" t="s">
        <v>1405</v>
      </c>
      <c r="BD12" s="1448">
        <v>43039</v>
      </c>
      <c r="BE12" s="1072" t="s">
        <v>985</v>
      </c>
      <c r="BG12" s="1072"/>
      <c r="BH12" s="1072"/>
      <c r="BI12" s="1074"/>
      <c r="BJ12" s="1072"/>
      <c r="BK12" s="1073"/>
      <c r="BL12" s="1072"/>
      <c r="BM12" s="1072"/>
      <c r="BN12" s="1075"/>
      <c r="BP12" s="1072" t="s">
        <v>769</v>
      </c>
      <c r="BQ12" s="1072" t="s">
        <v>394</v>
      </c>
      <c r="BR12" s="1447">
        <v>313313</v>
      </c>
      <c r="BS12" s="1072" t="s">
        <v>1409</v>
      </c>
      <c r="BT12" s="1448">
        <v>43008</v>
      </c>
      <c r="BU12" s="1072" t="s">
        <v>985</v>
      </c>
      <c r="BV12" s="1072" t="s">
        <v>1237</v>
      </c>
      <c r="BW12" s="1450">
        <v>2</v>
      </c>
      <c r="BX12" s="1076" t="s">
        <v>791</v>
      </c>
      <c r="BZ12" s="1072"/>
      <c r="CA12" s="1072"/>
      <c r="CB12" s="1074"/>
      <c r="CC12" s="1072"/>
      <c r="CD12" s="1073"/>
      <c r="CE12" s="1072"/>
      <c r="CF12" s="1072"/>
      <c r="CG12" s="1075"/>
    </row>
    <row r="13" spans="1:85" ht="21" customHeight="1" thickBot="1">
      <c r="A13" s="577">
        <v>1</v>
      </c>
      <c r="B13" s="15" t="s">
        <v>1393</v>
      </c>
      <c r="C13" s="853" t="s">
        <v>455</v>
      </c>
      <c r="D13" s="851">
        <f>S33</f>
        <v>-646298.2323788167</v>
      </c>
      <c r="E13" s="851">
        <f>D13*(1+E12)</f>
        <v>-525678.29065331409</v>
      </c>
      <c r="F13" s="851">
        <f>E13*(1+F12)</f>
        <v>-541448.63937291352</v>
      </c>
      <c r="G13" s="851"/>
      <c r="H13" s="851"/>
      <c r="I13" s="851">
        <f>HLOOKUP($I$3,INSENTIVESCENARIO,J11,FALSE)</f>
        <v>-541448.63937291352</v>
      </c>
      <c r="J13" s="15">
        <f t="shared" si="0"/>
        <v>13</v>
      </c>
      <c r="L13" s="854"/>
      <c r="N13" s="1351"/>
      <c r="O13" s="1351"/>
      <c r="P13" s="1351"/>
      <c r="Q13" s="1351" t="s">
        <v>915</v>
      </c>
      <c r="R13" s="1352" t="s">
        <v>639</v>
      </c>
      <c r="S13" s="1352" t="s">
        <v>42</v>
      </c>
      <c r="V13" s="1353"/>
      <c r="W13" s="1353"/>
      <c r="X13" s="1353"/>
      <c r="Y13" s="1353"/>
      <c r="Z13" s="1354"/>
      <c r="AA13" s="1354" t="s">
        <v>141</v>
      </c>
      <c r="AB13" s="1354" t="s">
        <v>142</v>
      </c>
      <c r="AC13" s="1354" t="s">
        <v>594</v>
      </c>
      <c r="AE13" s="11"/>
      <c r="AN13" s="1087">
        <f>+AN12+1</f>
        <v>2</v>
      </c>
      <c r="AO13" s="1087"/>
      <c r="AQ13" s="338" t="s">
        <v>1145</v>
      </c>
      <c r="AR13" s="318"/>
      <c r="AS13" s="318" t="s">
        <v>480</v>
      </c>
      <c r="AT13" s="319"/>
      <c r="AU13" s="371"/>
      <c r="AW13" s="1071" t="s">
        <v>792</v>
      </c>
      <c r="AX13" s="1072" t="s">
        <v>864</v>
      </c>
      <c r="AY13" s="1071" t="s">
        <v>131</v>
      </c>
      <c r="AZ13" s="1072" t="s">
        <v>769</v>
      </c>
      <c r="BA13" s="1071" t="s">
        <v>346</v>
      </c>
      <c r="BB13" s="1447">
        <v>501375</v>
      </c>
      <c r="BC13" s="1072" t="s">
        <v>1405</v>
      </c>
      <c r="BD13" s="1448">
        <v>43069</v>
      </c>
      <c r="BE13" s="1072" t="s">
        <v>985</v>
      </c>
      <c r="BG13" s="1072"/>
      <c r="BH13" s="1072"/>
      <c r="BI13" s="1074"/>
      <c r="BJ13" s="1072"/>
      <c r="BK13" s="1073"/>
      <c r="BL13" s="1072"/>
      <c r="BM13" s="1072"/>
      <c r="BN13" s="1075"/>
      <c r="BP13" s="1072" t="s">
        <v>769</v>
      </c>
      <c r="BQ13" s="1072" t="s">
        <v>394</v>
      </c>
      <c r="BR13" s="1447">
        <v>313313</v>
      </c>
      <c r="BS13" s="1072" t="s">
        <v>1409</v>
      </c>
      <c r="BT13" s="1448">
        <v>43039</v>
      </c>
      <c r="BU13" s="1072" t="s">
        <v>985</v>
      </c>
      <c r="BV13" s="1072" t="s">
        <v>1237</v>
      </c>
      <c r="BW13" s="1450">
        <v>2</v>
      </c>
      <c r="BX13" s="1076" t="s">
        <v>791</v>
      </c>
      <c r="BZ13" s="1072"/>
      <c r="CA13" s="1072"/>
      <c r="CB13" s="1074"/>
      <c r="CC13" s="1072"/>
      <c r="CD13" s="1073"/>
      <c r="CE13" s="1072"/>
      <c r="CF13" s="1072"/>
      <c r="CG13" s="1075"/>
    </row>
    <row r="14" spans="1:85" ht="15.75" thickBot="1">
      <c r="C14" s="551"/>
      <c r="D14" s="851"/>
      <c r="E14" s="855"/>
      <c r="F14" s="851"/>
      <c r="G14" s="851"/>
      <c r="H14" s="851"/>
      <c r="I14" s="851"/>
      <c r="J14" s="15">
        <f t="shared" si="0"/>
        <v>14</v>
      </c>
      <c r="M14" s="1066">
        <v>1</v>
      </c>
      <c r="N14" s="87" t="s">
        <v>1392</v>
      </c>
      <c r="U14" s="1">
        <v>1</v>
      </c>
      <c r="V14" s="19" t="s">
        <v>1414</v>
      </c>
      <c r="AB14" s="3"/>
      <c r="AC14" s="3"/>
      <c r="AE14" s="1355" t="s">
        <v>440</v>
      </c>
      <c r="AF14" s="1356"/>
      <c r="AG14" s="1357">
        <v>2073927.0236799999</v>
      </c>
      <c r="AH14" s="1357">
        <v>2348925.002415</v>
      </c>
      <c r="AI14" s="1357">
        <v>1352896.3397368423</v>
      </c>
      <c r="AJ14" s="1357">
        <v>1719865.5124320001</v>
      </c>
      <c r="AK14" s="1357">
        <v>1000962.005</v>
      </c>
      <c r="AL14" s="1357">
        <v>1357907.952389614</v>
      </c>
      <c r="AM14" s="1357">
        <v>1357907.952389614</v>
      </c>
      <c r="AN14" s="1087">
        <f t="shared" ref="AN14:AN55" si="2">+AN13+1</f>
        <v>3</v>
      </c>
      <c r="AO14" s="1087"/>
      <c r="AQ14" s="372" t="s">
        <v>281</v>
      </c>
      <c r="AR14" s="1070"/>
      <c r="AS14" s="319" t="s">
        <v>792</v>
      </c>
      <c r="AT14" s="324" t="s">
        <v>791</v>
      </c>
      <c r="AU14" s="373" t="s">
        <v>837</v>
      </c>
      <c r="AW14" s="1071" t="s">
        <v>792</v>
      </c>
      <c r="AX14" s="1072" t="s">
        <v>864</v>
      </c>
      <c r="AY14" s="1071" t="s">
        <v>131</v>
      </c>
      <c r="AZ14" s="1072" t="s">
        <v>769</v>
      </c>
      <c r="BA14" s="1071" t="s">
        <v>346</v>
      </c>
      <c r="BB14" s="1447">
        <v>-90220.72</v>
      </c>
      <c r="BC14" s="1072" t="s">
        <v>1405</v>
      </c>
      <c r="BD14" s="1448">
        <v>43100</v>
      </c>
      <c r="BE14" s="1072" t="s">
        <v>985</v>
      </c>
      <c r="BG14" s="1072"/>
      <c r="BH14" s="1072"/>
      <c r="BI14" s="1074"/>
      <c r="BJ14" s="1072"/>
      <c r="BK14" s="1073"/>
      <c r="BL14" s="1072"/>
      <c r="BM14" s="1072"/>
      <c r="BN14" s="1075"/>
      <c r="BP14" s="1072" t="s">
        <v>769</v>
      </c>
      <c r="BQ14" s="1072" t="s">
        <v>394</v>
      </c>
      <c r="BR14" s="1447">
        <v>313313</v>
      </c>
      <c r="BS14" s="1072" t="s">
        <v>1409</v>
      </c>
      <c r="BT14" s="1448">
        <v>43069</v>
      </c>
      <c r="BU14" s="1072" t="s">
        <v>985</v>
      </c>
      <c r="BV14" s="1072" t="s">
        <v>1237</v>
      </c>
      <c r="BW14" s="1450">
        <v>3</v>
      </c>
      <c r="BX14" s="1076" t="s">
        <v>791</v>
      </c>
      <c r="BZ14" s="1072"/>
      <c r="CA14" s="1072"/>
      <c r="CB14" s="1074"/>
      <c r="CC14" s="1072"/>
      <c r="CD14" s="1073"/>
      <c r="CE14" s="1072"/>
      <c r="CF14" s="1072"/>
      <c r="CG14" s="1075"/>
    </row>
    <row r="15" spans="1:85" ht="16.5" thickBot="1">
      <c r="A15" s="577">
        <v>2</v>
      </c>
      <c r="B15" s="15" t="s">
        <v>1387</v>
      </c>
      <c r="C15" s="551" t="s">
        <v>401</v>
      </c>
      <c r="D15" s="851">
        <f>AC34</f>
        <v>-439431.66858556867</v>
      </c>
      <c r="E15" s="851">
        <f>D15*(1+E12)</f>
        <v>-357419.65060117765</v>
      </c>
      <c r="F15" s="851">
        <f>E15*(1+F12)</f>
        <v>-368142.24011921301</v>
      </c>
      <c r="G15" s="851"/>
      <c r="H15" s="851"/>
      <c r="I15" s="851">
        <f>HLOOKUP($I$3,INSENTIVESCENARIO,J13,FALSE)</f>
        <v>-368142.24011921301</v>
      </c>
      <c r="J15" s="15">
        <f t="shared" si="0"/>
        <v>15</v>
      </c>
      <c r="L15" s="854"/>
      <c r="M15" s="1066">
        <f>+M14+1</f>
        <v>2</v>
      </c>
      <c r="O15" s="1" t="s">
        <v>1415</v>
      </c>
      <c r="P15" s="1"/>
      <c r="Q15" s="199">
        <f>+AM18</f>
        <v>0.44375983869602892</v>
      </c>
      <c r="R15" s="30">
        <f>Q15*R17</f>
        <v>1316289.6789792601</v>
      </c>
      <c r="S15" s="30">
        <f>-R15</f>
        <v>-1316289.6789792601</v>
      </c>
      <c r="U15" s="1">
        <f>+U14+1</f>
        <v>2</v>
      </c>
      <c r="V15" s="19"/>
      <c r="Y15" s="1088"/>
      <c r="AB15" s="3"/>
      <c r="AC15" s="3"/>
      <c r="AE15" s="1089" t="s">
        <v>441</v>
      </c>
      <c r="AF15" s="1358"/>
      <c r="AG15" s="1359">
        <v>743908.60632000002</v>
      </c>
      <c r="AH15" s="1359">
        <v>1446397.3475850001</v>
      </c>
      <c r="AI15" s="1359">
        <v>2567260.8102631578</v>
      </c>
      <c r="AJ15" s="1359">
        <v>1538072.5675679999</v>
      </c>
      <c r="AK15" s="1359">
        <v>1000962.005</v>
      </c>
      <c r="AL15" s="1359">
        <v>1702098.4609437194</v>
      </c>
      <c r="AM15" s="1359">
        <v>1702098.4609437194</v>
      </c>
      <c r="AN15" s="1087">
        <f t="shared" si="2"/>
        <v>4</v>
      </c>
      <c r="AO15" s="1087"/>
      <c r="AQ15" s="372" t="s">
        <v>282</v>
      </c>
      <c r="AR15" s="1081" t="s">
        <v>903</v>
      </c>
      <c r="AS15" s="320">
        <v>934692.77000000014</v>
      </c>
      <c r="AT15" s="1082">
        <v>1276161.77</v>
      </c>
      <c r="AU15" s="374">
        <v>2210854.54</v>
      </c>
      <c r="AW15" s="1071" t="s">
        <v>792</v>
      </c>
      <c r="AX15" s="1072" t="s">
        <v>1144</v>
      </c>
      <c r="AY15" s="1071" t="s">
        <v>131</v>
      </c>
      <c r="AZ15" s="1072" t="s">
        <v>769</v>
      </c>
      <c r="BA15" s="1071" t="s">
        <v>346</v>
      </c>
      <c r="BB15" s="1447">
        <v>-337750.05</v>
      </c>
      <c r="BC15" s="1072" t="s">
        <v>1416</v>
      </c>
      <c r="BD15" s="1448">
        <v>42825</v>
      </c>
      <c r="BE15" s="1072" t="s">
        <v>985</v>
      </c>
      <c r="BG15" s="1072"/>
      <c r="BH15" s="1072"/>
      <c r="BI15" s="1074"/>
      <c r="BJ15" s="1072"/>
      <c r="BK15" s="1073"/>
      <c r="BL15" s="1072"/>
      <c r="BM15" s="1072"/>
      <c r="BN15" s="1075"/>
      <c r="BP15" s="1072" t="s">
        <v>769</v>
      </c>
      <c r="BQ15" s="1072" t="s">
        <v>394</v>
      </c>
      <c r="BR15" s="1447">
        <v>237102.86</v>
      </c>
      <c r="BS15" s="1072" t="s">
        <v>1409</v>
      </c>
      <c r="BT15" s="1448">
        <v>43100</v>
      </c>
      <c r="BU15" s="1072" t="s">
        <v>985</v>
      </c>
      <c r="BV15" s="1072" t="s">
        <v>1237</v>
      </c>
      <c r="BW15" s="1450">
        <v>3</v>
      </c>
      <c r="BX15" s="1076" t="s">
        <v>791</v>
      </c>
      <c r="BZ15"/>
      <c r="CA15"/>
      <c r="CB15" s="1077"/>
      <c r="CC15"/>
      <c r="CD15" s="1078"/>
      <c r="CE15"/>
      <c r="CF15"/>
      <c r="CG15" s="1079"/>
    </row>
    <row r="16" spans="1:85" ht="15">
      <c r="D16" s="194"/>
      <c r="E16" s="194"/>
      <c r="F16" s="194"/>
      <c r="G16" s="194"/>
      <c r="H16" s="194"/>
      <c r="I16" s="194"/>
      <c r="J16" s="15">
        <f t="shared" si="0"/>
        <v>16</v>
      </c>
      <c r="M16" s="1066">
        <f t="shared" ref="M16:M33" si="3">+M15+1</f>
        <v>3</v>
      </c>
      <c r="O16" s="1" t="s">
        <v>1417</v>
      </c>
      <c r="P16" s="1"/>
      <c r="Q16" s="199">
        <f>+AM19</f>
        <v>0.55624016130397114</v>
      </c>
      <c r="R16" s="30">
        <f>Q16*R17</f>
        <v>1649931.1553511433</v>
      </c>
      <c r="U16" s="1">
        <f t="shared" ref="U16:U31" si="4">+U15+1</f>
        <v>3</v>
      </c>
      <c r="V16" s="19"/>
      <c r="Y16" s="1360"/>
      <c r="AB16" s="3"/>
      <c r="AC16" s="3"/>
      <c r="AE16" s="103" t="s">
        <v>764</v>
      </c>
      <c r="AF16" s="106"/>
      <c r="AG16" s="106">
        <v>2817835.63</v>
      </c>
      <c r="AH16" s="106">
        <v>3795322.35</v>
      </c>
      <c r="AI16" s="106">
        <v>3920157.1500000004</v>
      </c>
      <c r="AJ16" s="106">
        <v>3257938.08</v>
      </c>
      <c r="AK16" s="106">
        <v>2001924.01</v>
      </c>
      <c r="AL16" s="106">
        <v>3060006.4133333331</v>
      </c>
      <c r="AM16" s="10">
        <v>3060006.4133333331</v>
      </c>
      <c r="AN16" s="1087">
        <f t="shared" si="2"/>
        <v>5</v>
      </c>
      <c r="AO16" s="1087"/>
      <c r="AQ16" s="375" t="s">
        <v>723</v>
      </c>
      <c r="AR16" s="1081" t="s">
        <v>904</v>
      </c>
      <c r="AS16" s="321">
        <v>232838.1</v>
      </c>
      <c r="AT16" s="322">
        <v>1541673.86</v>
      </c>
      <c r="AU16" s="376">
        <v>1918104.27</v>
      </c>
      <c r="AW16" s="1071" t="s">
        <v>792</v>
      </c>
      <c r="AX16" s="1072" t="s">
        <v>1144</v>
      </c>
      <c r="AY16" s="1071" t="s">
        <v>131</v>
      </c>
      <c r="AZ16" s="1072" t="s">
        <v>769</v>
      </c>
      <c r="BA16" s="1071" t="s">
        <v>346</v>
      </c>
      <c r="BB16" s="1447">
        <v>-563555.48</v>
      </c>
      <c r="BC16" s="1072" t="s">
        <v>1416</v>
      </c>
      <c r="BD16" s="1448">
        <v>42916</v>
      </c>
      <c r="BE16" s="1072" t="s">
        <v>985</v>
      </c>
      <c r="BG16" s="1072"/>
      <c r="BH16" s="1072"/>
      <c r="BI16" s="1074"/>
      <c r="BJ16" s="1072"/>
      <c r="BK16" s="1073"/>
      <c r="BL16" s="1072"/>
      <c r="BM16" s="1072"/>
      <c r="BN16" s="1075"/>
      <c r="BQ16" s="1076"/>
      <c r="BT16" s="1078"/>
      <c r="BX16" s="1090"/>
      <c r="CB16" s="1108">
        <f>SUM(CB3:CB14)</f>
        <v>0</v>
      </c>
      <c r="CC16"/>
      <c r="CD16" s="1078"/>
      <c r="CE16"/>
      <c r="CF16"/>
      <c r="CG16" s="1079"/>
    </row>
    <row r="17" spans="1:85" ht="16.5">
      <c r="A17" s="577">
        <v>3</v>
      </c>
      <c r="B17" s="15" t="s">
        <v>170</v>
      </c>
      <c r="C17" s="30"/>
      <c r="D17" s="457">
        <f>SUM(D13:D15)</f>
        <v>-1085729.9009643854</v>
      </c>
      <c r="E17" s="457">
        <f>SUM(E13:E15)</f>
        <v>-883097.94125449168</v>
      </c>
      <c r="F17" s="457">
        <f>SUM(F13:F15)</f>
        <v>-909590.87949212652</v>
      </c>
      <c r="G17" s="457"/>
      <c r="H17" s="457"/>
      <c r="I17" s="851">
        <f>HLOOKUP($I$3,INSENTIVESCENARIO,J15,FALSE)</f>
        <v>-909590.87949212652</v>
      </c>
      <c r="J17" s="15">
        <f t="shared" si="0"/>
        <v>17</v>
      </c>
      <c r="L17" s="30"/>
      <c r="M17" s="1066">
        <f t="shared" si="3"/>
        <v>4</v>
      </c>
      <c r="O17" s="8" t="s">
        <v>122</v>
      </c>
      <c r="Q17" s="199">
        <f>SUM(Q15:Q16)</f>
        <v>1</v>
      </c>
      <c r="R17" s="30">
        <f>BR17*(AM16/(AM16+AM24))</f>
        <v>2966220.8343304032</v>
      </c>
      <c r="S17" s="776">
        <f>SUM(S15:S16)</f>
        <v>-1316289.6789792601</v>
      </c>
      <c r="U17" s="1">
        <f t="shared" si="4"/>
        <v>4</v>
      </c>
      <c r="V17" s="19"/>
      <c r="W17" s="1" t="s">
        <v>301</v>
      </c>
      <c r="Y17" s="1088">
        <f>Y39</f>
        <v>961868.4851820902</v>
      </c>
      <c r="AB17" s="3"/>
      <c r="AC17" s="3"/>
      <c r="AE17" s="1091"/>
      <c r="AF17" s="11"/>
      <c r="AG17" s="11"/>
      <c r="AH17" s="11"/>
      <c r="AI17" s="11"/>
      <c r="AJ17" s="11"/>
      <c r="AK17" s="11"/>
      <c r="AL17" s="11"/>
      <c r="AM17" s="11"/>
      <c r="AN17" s="1087">
        <f t="shared" si="2"/>
        <v>6</v>
      </c>
      <c r="AO17" s="1087"/>
      <c r="AQ17" s="375" t="s">
        <v>5</v>
      </c>
      <c r="AR17" s="323" t="s">
        <v>905</v>
      </c>
      <c r="AS17" s="321">
        <v>3550052.69</v>
      </c>
      <c r="AT17" s="1">
        <v>1193540.98</v>
      </c>
      <c r="AU17" s="376">
        <v>4741991.2499999963</v>
      </c>
      <c r="AW17" s="1071" t="s">
        <v>792</v>
      </c>
      <c r="AX17" s="1072" t="s">
        <v>1144</v>
      </c>
      <c r="AY17" s="1071" t="s">
        <v>131</v>
      </c>
      <c r="AZ17" s="1072" t="s">
        <v>769</v>
      </c>
      <c r="BA17" s="1071" t="s">
        <v>346</v>
      </c>
      <c r="BB17" s="1447">
        <v>-574047.15</v>
      </c>
      <c r="BC17" s="1072" t="s">
        <v>1416</v>
      </c>
      <c r="BD17" s="1448">
        <v>43008</v>
      </c>
      <c r="BE17" s="1072" t="s">
        <v>985</v>
      </c>
      <c r="BG17" s="1072"/>
      <c r="BH17" s="1072"/>
      <c r="BI17" s="1074"/>
      <c r="BJ17" s="1072"/>
      <c r="BK17" s="1073"/>
      <c r="BL17" s="1072"/>
      <c r="BM17" s="1072"/>
      <c r="BN17" s="1075"/>
      <c r="BR17" s="964">
        <f>SUM(BR3:BR16)</f>
        <v>4743241.4800000004</v>
      </c>
      <c r="BZ17" s="1112" t="s">
        <v>1246</v>
      </c>
      <c r="CC17"/>
      <c r="CD17" s="1078"/>
      <c r="CE17"/>
      <c r="CF17"/>
      <c r="CG17" s="1079"/>
    </row>
    <row r="18" spans="1:85" ht="17.25" thickBot="1">
      <c r="B18" s="268"/>
      <c r="C18" s="268"/>
      <c r="D18" s="268"/>
      <c r="E18" s="268"/>
      <c r="F18" s="268"/>
      <c r="G18" s="268"/>
      <c r="H18" s="268"/>
      <c r="I18" s="268"/>
      <c r="J18" s="15">
        <f t="shared" si="0"/>
        <v>18</v>
      </c>
      <c r="M18" s="1066">
        <f t="shared" si="3"/>
        <v>5</v>
      </c>
      <c r="O18" s="30" t="s">
        <v>1418</v>
      </c>
      <c r="S18" s="30">
        <f>-BI23</f>
        <v>0</v>
      </c>
      <c r="U18" s="1">
        <f t="shared" si="4"/>
        <v>5</v>
      </c>
      <c r="AE18" s="110" t="s">
        <v>522</v>
      </c>
      <c r="AF18" s="171"/>
      <c r="AG18" s="1092">
        <v>0.73599999999999999</v>
      </c>
      <c r="AH18" s="1092">
        <v>0.61890000000000001</v>
      </c>
      <c r="AI18" s="1092">
        <v>0.34511278195488726</v>
      </c>
      <c r="AJ18" s="1092">
        <v>0.52790000000000004</v>
      </c>
      <c r="AK18" s="1092">
        <v>0.5</v>
      </c>
      <c r="AL18" s="1092">
        <v>0.44375983869602892</v>
      </c>
      <c r="AM18" s="1093">
        <v>0.44375983869602892</v>
      </c>
      <c r="AN18" s="1087">
        <f t="shared" si="2"/>
        <v>7</v>
      </c>
      <c r="AO18" s="1087"/>
      <c r="AQ18" s="375" t="s">
        <v>906</v>
      </c>
      <c r="AR18" s="1083" t="s">
        <v>907</v>
      </c>
      <c r="AS18" s="321">
        <v>1036751.74</v>
      </c>
      <c r="AT18" s="1">
        <v>275655.63999999996</v>
      </c>
      <c r="AU18" s="376">
        <v>1311926.6099999999</v>
      </c>
      <c r="AW18" s="1071" t="s">
        <v>792</v>
      </c>
      <c r="AX18" s="1072" t="s">
        <v>1144</v>
      </c>
      <c r="AY18" s="1071" t="s">
        <v>131</v>
      </c>
      <c r="AZ18" s="1072" t="s">
        <v>769</v>
      </c>
      <c r="BA18" s="1071" t="s">
        <v>346</v>
      </c>
      <c r="BB18" s="1447">
        <v>-356655.52</v>
      </c>
      <c r="BC18" s="1072" t="s">
        <v>1416</v>
      </c>
      <c r="BD18" s="1448">
        <v>43100</v>
      </c>
      <c r="BE18" s="1072" t="s">
        <v>985</v>
      </c>
      <c r="BG18" s="1072"/>
      <c r="BH18" s="1072"/>
      <c r="BI18" s="1074"/>
      <c r="BJ18" s="1072"/>
      <c r="BK18" s="1073"/>
      <c r="BL18" s="1072"/>
      <c r="BM18" s="1072"/>
      <c r="BN18" s="1075"/>
      <c r="BZ18"/>
      <c r="CA18"/>
      <c r="CB18" s="1077"/>
      <c r="CC18"/>
      <c r="CD18" s="1078"/>
      <c r="CE18"/>
      <c r="CF18"/>
      <c r="CG18" s="1079"/>
    </row>
    <row r="19" spans="1:85" ht="15.75" thickBot="1">
      <c r="A19" s="584">
        <v>4</v>
      </c>
      <c r="B19" s="266" t="s">
        <v>14</v>
      </c>
      <c r="C19" s="194"/>
      <c r="D19" s="856">
        <f ca="1">'ROR-Model'!$M$2*D17</f>
        <v>-1050470.042140716</v>
      </c>
      <c r="E19" s="856">
        <f ca="1">'ROR-Model'!$M$2*E17</f>
        <v>-854418.70094946877</v>
      </c>
      <c r="F19" s="856">
        <f ca="1">'ROR-Model'!$M$2*F17</f>
        <v>-880051.2619779529</v>
      </c>
      <c r="G19" s="856"/>
      <c r="H19" s="856"/>
      <c r="I19" s="851">
        <f ca="1">HLOOKUP($I$3,INSENTIVESCENARIO,J17,FALSE)</f>
        <v>-880051.2619779529</v>
      </c>
      <c r="J19" s="15">
        <f t="shared" si="0"/>
        <v>19</v>
      </c>
      <c r="M19" s="1066">
        <f t="shared" si="3"/>
        <v>6</v>
      </c>
      <c r="N19" s="19"/>
      <c r="O19" s="200"/>
      <c r="S19" s="1094"/>
      <c r="U19" s="1">
        <f t="shared" si="4"/>
        <v>6</v>
      </c>
      <c r="W19" s="1" t="s">
        <v>138</v>
      </c>
      <c r="Z19" s="1361"/>
      <c r="AA19" s="1361">
        <f>+AM35</f>
        <v>0.54314786755657096</v>
      </c>
      <c r="AB19" s="3">
        <f>Y17*AA19</f>
        <v>522436.81659652147</v>
      </c>
      <c r="AC19" s="3">
        <f>AB19</f>
        <v>522436.81659652147</v>
      </c>
      <c r="AE19" s="1089" t="s">
        <v>523</v>
      </c>
      <c r="AF19" s="1362"/>
      <c r="AG19" s="1363">
        <v>0.26400000000000001</v>
      </c>
      <c r="AH19" s="1363">
        <v>0.38109999999999999</v>
      </c>
      <c r="AI19" s="1363">
        <v>0.65488721804511274</v>
      </c>
      <c r="AJ19" s="1363">
        <v>0.47209999999999996</v>
      </c>
      <c r="AK19" s="1363">
        <v>0.5</v>
      </c>
      <c r="AL19" s="1363">
        <v>0.55624016130397114</v>
      </c>
      <c r="AM19" s="1363">
        <v>0.55624016130397114</v>
      </c>
      <c r="AN19" s="1087">
        <f t="shared" si="2"/>
        <v>8</v>
      </c>
      <c r="AO19" s="1087"/>
      <c r="AQ19" s="377" t="s">
        <v>837</v>
      </c>
      <c r="AR19" s="378" t="s">
        <v>907</v>
      </c>
      <c r="AS19" s="379">
        <v>5761847.9599999962</v>
      </c>
      <c r="AT19" s="380">
        <v>4626375.129999999</v>
      </c>
      <c r="AU19" s="381">
        <v>10388223.089999996</v>
      </c>
      <c r="AW19" s="1071" t="s">
        <v>792</v>
      </c>
      <c r="AX19" s="1072" t="s">
        <v>1419</v>
      </c>
      <c r="AY19" s="1071" t="s">
        <v>131</v>
      </c>
      <c r="AZ19" s="1072" t="s">
        <v>769</v>
      </c>
      <c r="BA19" s="1071" t="s">
        <v>346</v>
      </c>
      <c r="BB19" s="1447">
        <v>930987.19</v>
      </c>
      <c r="BC19" s="1072" t="s">
        <v>1420</v>
      </c>
      <c r="BD19" s="1448">
        <v>43100</v>
      </c>
      <c r="BE19" s="1072" t="s">
        <v>985</v>
      </c>
      <c r="BG19" s="1072"/>
      <c r="BH19" s="1072"/>
      <c r="BI19" s="1074"/>
      <c r="BJ19" s="1072"/>
      <c r="BK19" s="1073"/>
      <c r="BL19" s="1072"/>
      <c r="BM19" s="1072"/>
      <c r="BN19" s="1075"/>
      <c r="BP19" s="1067" t="s">
        <v>1241</v>
      </c>
      <c r="BZ19"/>
      <c r="CA19"/>
      <c r="CB19" s="1077"/>
      <c r="CC19"/>
      <c r="CD19" s="1078"/>
      <c r="CE19"/>
      <c r="CF19"/>
      <c r="CG19" s="1079"/>
    </row>
    <row r="20" spans="1:85" ht="15.75" thickBot="1">
      <c r="A20" s="577">
        <v>5</v>
      </c>
      <c r="B20" s="193" t="s">
        <v>24</v>
      </c>
      <c r="C20" s="857"/>
      <c r="D20" s="858">
        <f ca="1">'ROR-Model'!$N$2*D17</f>
        <v>-35259.858823669223</v>
      </c>
      <c r="E20" s="858">
        <f ca="1">'ROR-Model'!$N$2*E17</f>
        <v>-28679.240305022893</v>
      </c>
      <c r="F20" s="858">
        <f ca="1">'ROR-Model'!$N$2*F17</f>
        <v>-29539.617514173584</v>
      </c>
      <c r="G20" s="856"/>
      <c r="H20" s="856"/>
      <c r="I20" s="859">
        <f ca="1">HLOOKUP($I$3,INSENTIVESCENARIO,J18,FALSE)</f>
        <v>-29539.617514173584</v>
      </c>
      <c r="J20" s="15">
        <f t="shared" si="0"/>
        <v>20</v>
      </c>
      <c r="M20" s="1066">
        <f t="shared" si="3"/>
        <v>7</v>
      </c>
      <c r="N20" s="1"/>
      <c r="S20" s="186"/>
      <c r="U20" s="1">
        <f t="shared" si="4"/>
        <v>7</v>
      </c>
      <c r="W20" s="19" t="s">
        <v>139</v>
      </c>
      <c r="X20" s="19"/>
      <c r="Z20" s="1084"/>
      <c r="AA20" s="1084">
        <f>SUM(AA19:AA19)</f>
        <v>0.54314786755657096</v>
      </c>
      <c r="AB20" s="3">
        <f>SUM(AB19:AB19)</f>
        <v>522436.81659652147</v>
      </c>
      <c r="AC20" s="3"/>
      <c r="AE20" s="1095" t="s">
        <v>764</v>
      </c>
      <c r="AF20" s="1364"/>
      <c r="AG20" s="1365">
        <v>1</v>
      </c>
      <c r="AH20" s="1365">
        <v>1</v>
      </c>
      <c r="AI20" s="1365">
        <v>1</v>
      </c>
      <c r="AJ20" s="1365">
        <v>1</v>
      </c>
      <c r="AK20" s="1365">
        <v>1</v>
      </c>
      <c r="AL20" s="1365">
        <v>1</v>
      </c>
      <c r="AM20" s="1365">
        <v>1</v>
      </c>
      <c r="AN20" s="1087">
        <f t="shared" si="2"/>
        <v>9</v>
      </c>
      <c r="AO20" s="1087"/>
      <c r="AQ20" s="495"/>
      <c r="AR20" s="495"/>
      <c r="AS20" s="321"/>
      <c r="AT20" s="321"/>
      <c r="AU20" s="321"/>
      <c r="AW20" s="1071"/>
      <c r="AX20" s="1072"/>
      <c r="AY20" s="1071"/>
      <c r="AZ20" s="1072"/>
      <c r="BA20" s="1071"/>
      <c r="BB20" s="1074"/>
      <c r="BC20" s="1072"/>
      <c r="BD20" s="1073"/>
      <c r="BE20" s="1072"/>
      <c r="BG20" s="1072"/>
      <c r="BH20" s="1072"/>
      <c r="BI20" s="1074"/>
      <c r="BJ20" s="1072"/>
      <c r="BK20" s="1073"/>
      <c r="BL20" s="1072"/>
      <c r="BM20" s="1072"/>
      <c r="BN20" s="1075"/>
      <c r="BZ20"/>
      <c r="CA20"/>
      <c r="CB20" s="1077"/>
      <c r="CC20"/>
      <c r="CD20" s="1078"/>
      <c r="CE20"/>
      <c r="CF20"/>
      <c r="CG20" s="1079"/>
    </row>
    <row r="21" spans="1:85" ht="15.75" thickBot="1">
      <c r="A21" s="713"/>
      <c r="B21" s="209"/>
      <c r="D21" s="270">
        <f ca="1">SUM(D19:D20)</f>
        <v>-1085729.9009643851</v>
      </c>
      <c r="E21" s="270">
        <f t="shared" ref="E21:F21" ca="1" si="5">SUM(E19:E20)</f>
        <v>-883097.94125449168</v>
      </c>
      <c r="F21" s="270">
        <f t="shared" ca="1" si="5"/>
        <v>-909590.87949212652</v>
      </c>
      <c r="G21" s="269"/>
      <c r="H21" s="269"/>
      <c r="I21" s="851">
        <f ca="1">HLOOKUP($I$3,INSENTIVESCENARIO,J19,FALSE)</f>
        <v>-909590.87949212652</v>
      </c>
      <c r="J21" s="15">
        <f t="shared" si="0"/>
        <v>21</v>
      </c>
      <c r="M21" s="1066">
        <f t="shared" si="3"/>
        <v>8</v>
      </c>
      <c r="N21" s="1"/>
      <c r="O21" s="1" t="s">
        <v>1421</v>
      </c>
      <c r="Q21" s="199">
        <f>+AJ26</f>
        <v>0</v>
      </c>
      <c r="R21" s="30">
        <f>Q21*R23</f>
        <v>0</v>
      </c>
      <c r="S21" s="30">
        <f>-R21</f>
        <v>0</v>
      </c>
      <c r="U21" s="1">
        <f t="shared" si="4"/>
        <v>8</v>
      </c>
      <c r="AB21" s="3"/>
      <c r="AC21" s="3"/>
      <c r="AF21" s="11"/>
      <c r="AG21" s="11"/>
      <c r="AH21" s="11"/>
      <c r="AI21" s="11"/>
      <c r="AJ21" s="11"/>
      <c r="AK21" s="11"/>
      <c r="AL21" s="11"/>
      <c r="AM21" s="11"/>
      <c r="AN21" s="1087">
        <f t="shared" si="2"/>
        <v>10</v>
      </c>
      <c r="AO21" s="1087"/>
      <c r="AQ21" s="1442" t="s">
        <v>1244</v>
      </c>
      <c r="AR21" s="1443"/>
      <c r="AS21" s="1443"/>
      <c r="AT21" s="1443"/>
      <c r="AU21" s="1444"/>
      <c r="AW21" s="1071"/>
      <c r="AX21" s="1072"/>
      <c r="AY21" s="1071"/>
      <c r="AZ21" s="1072"/>
      <c r="BA21" s="1071"/>
      <c r="BB21" s="1074"/>
      <c r="BC21" s="1072"/>
      <c r="BD21" s="1073"/>
      <c r="BE21" s="1072"/>
      <c r="BG21" s="1072"/>
      <c r="BH21" s="1072"/>
      <c r="BI21" s="1074"/>
      <c r="BJ21" s="1072"/>
      <c r="BK21" s="1073"/>
      <c r="BL21" s="1072"/>
      <c r="BM21" s="1072"/>
      <c r="BN21" s="1075"/>
      <c r="BZ21"/>
      <c r="CA21"/>
      <c r="CB21" s="1077"/>
      <c r="CC21"/>
      <c r="CD21" s="1078"/>
      <c r="CE21"/>
      <c r="CF21"/>
      <c r="CG21" s="1079"/>
    </row>
    <row r="22" spans="1:85" ht="17.25" thickBot="1">
      <c r="A22" s="713" t="s">
        <v>455</v>
      </c>
      <c r="B22" s="209" t="s">
        <v>174</v>
      </c>
      <c r="J22" s="15">
        <f t="shared" si="0"/>
        <v>22</v>
      </c>
      <c r="M22" s="1066">
        <f t="shared" si="3"/>
        <v>9</v>
      </c>
      <c r="O22" s="1" t="s">
        <v>1422</v>
      </c>
      <c r="P22" s="551" t="s">
        <v>455</v>
      </c>
      <c r="Q22" s="199">
        <f>+AJ27</f>
        <v>1</v>
      </c>
      <c r="R22" s="1277">
        <f>Q22*R23</f>
        <v>1777020.6456695977</v>
      </c>
      <c r="S22" s="1277"/>
      <c r="U22" s="1">
        <f t="shared" si="4"/>
        <v>9</v>
      </c>
      <c r="V22" s="19" t="s">
        <v>1423</v>
      </c>
      <c r="AB22" s="1096"/>
      <c r="AC22" s="1097"/>
      <c r="AE22" s="1355" t="s">
        <v>787</v>
      </c>
      <c r="AF22" s="1356"/>
      <c r="AG22" s="1357">
        <v>1104123.5204848484</v>
      </c>
      <c r="AH22" s="1357">
        <v>1292803.210144605</v>
      </c>
      <c r="AI22" s="1357">
        <v>0</v>
      </c>
      <c r="AJ22" s="1357">
        <v>0</v>
      </c>
      <c r="AK22" s="1357">
        <v>0</v>
      </c>
      <c r="AL22" s="1357">
        <v>0</v>
      </c>
      <c r="AM22" s="1357">
        <v>0</v>
      </c>
      <c r="AN22" s="1087">
        <f t="shared" si="2"/>
        <v>11</v>
      </c>
      <c r="AO22" s="1087"/>
      <c r="AQ22" s="338" t="s">
        <v>1245</v>
      </c>
      <c r="AR22" s="318"/>
      <c r="AS22" s="318" t="s">
        <v>480</v>
      </c>
      <c r="AT22" s="319"/>
      <c r="AU22" s="371"/>
      <c r="AW22" s="1071"/>
      <c r="AX22" s="1072"/>
      <c r="AY22" s="1071"/>
      <c r="AZ22" s="1072"/>
      <c r="BA22" s="1071"/>
      <c r="BC22" s="1072"/>
      <c r="BD22" s="1073"/>
      <c r="BE22" s="1072"/>
      <c r="BG22" s="1072"/>
      <c r="BH22" s="1072"/>
      <c r="BI22" s="1074"/>
      <c r="BJ22" s="1072"/>
      <c r="BK22" s="1073"/>
      <c r="BL22" s="1072"/>
      <c r="BM22" s="1072"/>
      <c r="BN22" s="1075"/>
      <c r="BZ22"/>
      <c r="CA22"/>
      <c r="CB22" s="1077"/>
      <c r="CC22"/>
      <c r="CD22" s="1078"/>
      <c r="CE22"/>
      <c r="CF22"/>
      <c r="CG22" s="1079"/>
    </row>
    <row r="23" spans="1:85" ht="15.75" thickBot="1">
      <c r="A23" s="577" t="s">
        <v>401</v>
      </c>
      <c r="B23" s="209" t="s">
        <v>176</v>
      </c>
      <c r="C23" s="209"/>
      <c r="J23" s="15">
        <f t="shared" si="0"/>
        <v>23</v>
      </c>
      <c r="M23" s="1066">
        <f t="shared" si="3"/>
        <v>10</v>
      </c>
      <c r="O23" s="8" t="s">
        <v>123</v>
      </c>
      <c r="P23" s="19"/>
      <c r="Q23" s="199">
        <f>SUM(Q21:Q22)</f>
        <v>1</v>
      </c>
      <c r="R23" s="30">
        <f>BR17*(AM24/(AM24+AM16))</f>
        <v>1777020.6456695977</v>
      </c>
      <c r="S23" s="30">
        <f>SUM(S21:S22)</f>
        <v>0</v>
      </c>
      <c r="U23" s="1">
        <f t="shared" si="4"/>
        <v>10</v>
      </c>
      <c r="V23" s="19"/>
      <c r="Y23" s="1088"/>
      <c r="AB23" s="1096"/>
      <c r="AC23" s="1097"/>
      <c r="AE23" s="1089" t="s">
        <v>786</v>
      </c>
      <c r="AF23" s="1358"/>
      <c r="AG23" s="1359">
        <v>365073.09951515152</v>
      </c>
      <c r="AH23" s="1359">
        <v>771548.62985539483</v>
      </c>
      <c r="AI23" s="1359">
        <v>1955703.36</v>
      </c>
      <c r="AJ23" s="1359">
        <v>2085795.25</v>
      </c>
      <c r="AK23" s="1359">
        <v>1458120.14</v>
      </c>
      <c r="AL23" s="1359">
        <v>1833206.25</v>
      </c>
      <c r="AM23" s="1359">
        <v>1833206.25</v>
      </c>
      <c r="AN23" s="1087">
        <f t="shared" si="2"/>
        <v>12</v>
      </c>
      <c r="AO23" s="1087"/>
      <c r="AQ23" s="372" t="s">
        <v>281</v>
      </c>
      <c r="AR23" s="1070"/>
      <c r="AS23" s="319" t="s">
        <v>792</v>
      </c>
      <c r="AT23" s="324" t="s">
        <v>791</v>
      </c>
      <c r="AU23" s="373" t="s">
        <v>837</v>
      </c>
      <c r="AW23" s="1071"/>
      <c r="AX23" s="1072"/>
      <c r="AY23" s="1071"/>
      <c r="AZ23" s="1072"/>
      <c r="BA23" s="1071"/>
      <c r="BB23" s="9">
        <f>SUM(BB3:BB21)</f>
        <v>4108572.0900000008</v>
      </c>
      <c r="BC23" s="1072"/>
      <c r="BD23" s="1073"/>
      <c r="BE23" s="1072"/>
      <c r="BG23" s="1072"/>
      <c r="BH23" s="1072"/>
      <c r="BI23" s="1105">
        <f>SUM(BI3:BI13)</f>
        <v>0</v>
      </c>
      <c r="BJ23" s="1072"/>
      <c r="BK23" s="1073"/>
      <c r="BL23" s="1072"/>
      <c r="BM23" s="1072"/>
      <c r="BN23" s="1075"/>
      <c r="BZ23"/>
      <c r="CA23"/>
      <c r="CB23" s="1077"/>
      <c r="CC23"/>
      <c r="CD23" s="1078"/>
      <c r="CE23"/>
      <c r="CF23"/>
      <c r="CG23" s="1079"/>
    </row>
    <row r="24" spans="1:85" ht="15.75">
      <c r="J24" s="15">
        <f t="shared" si="0"/>
        <v>24</v>
      </c>
      <c r="M24" s="1066">
        <f t="shared" si="3"/>
        <v>11</v>
      </c>
      <c r="N24" s="1"/>
      <c r="O24" s="200"/>
      <c r="U24" s="1">
        <f t="shared" si="4"/>
        <v>11</v>
      </c>
      <c r="V24" s="19"/>
      <c r="Y24" s="1360"/>
      <c r="AB24" s="1096"/>
      <c r="AC24" s="1097"/>
      <c r="AE24" s="103" t="s">
        <v>764</v>
      </c>
      <c r="AF24" s="106"/>
      <c r="AG24" s="106">
        <v>1469196.6199999999</v>
      </c>
      <c r="AH24" s="106">
        <v>2064351.8399999999</v>
      </c>
      <c r="AI24" s="106">
        <v>1955703.36</v>
      </c>
      <c r="AJ24" s="106">
        <v>2085795.25</v>
      </c>
      <c r="AK24" s="106">
        <v>1458120.14</v>
      </c>
      <c r="AL24" s="106">
        <v>1833206.25</v>
      </c>
      <c r="AM24" s="10">
        <v>1833206.25</v>
      </c>
      <c r="AN24" s="1087">
        <f t="shared" si="2"/>
        <v>13</v>
      </c>
      <c r="AO24" s="1087"/>
      <c r="AQ24" s="372" t="s">
        <v>282</v>
      </c>
      <c r="AR24" s="1081" t="s">
        <v>903</v>
      </c>
      <c r="AS24" s="320">
        <v>1506522.15</v>
      </c>
      <c r="AT24" s="1082">
        <v>1892115.57</v>
      </c>
      <c r="AU24" s="374">
        <f>SUM(AS24:AT24)</f>
        <v>3398637.7199999997</v>
      </c>
      <c r="AW24" s="1071"/>
      <c r="AX24" s="1072"/>
      <c r="AY24" s="1071"/>
      <c r="AZ24" s="1072"/>
      <c r="BA24" s="1071"/>
      <c r="BB24" s="953"/>
      <c r="BC24" s="1072"/>
      <c r="BD24" s="1073"/>
      <c r="BE24" s="1072"/>
      <c r="BG24" s="1072"/>
      <c r="BH24" s="1072"/>
      <c r="BI24" s="1074"/>
      <c r="BJ24" s="1072"/>
      <c r="BK24" s="1073"/>
      <c r="BL24" s="1072"/>
      <c r="BM24" s="1072"/>
      <c r="BN24" s="1075"/>
      <c r="BZ24"/>
      <c r="CA24"/>
      <c r="CB24" s="1077"/>
      <c r="CC24"/>
      <c r="CD24" s="1078"/>
      <c r="CE24"/>
      <c r="CF24"/>
      <c r="CG24" s="1079"/>
    </row>
    <row r="25" spans="1:85" ht="14.25" customHeight="1">
      <c r="B25" s="193"/>
      <c r="D25" s="265"/>
      <c r="E25" s="265"/>
      <c r="F25" s="265"/>
      <c r="G25" s="265"/>
      <c r="H25" s="265"/>
      <c r="I25" s="265"/>
      <c r="J25" s="15">
        <f t="shared" si="0"/>
        <v>25</v>
      </c>
      <c r="M25" s="1066">
        <f t="shared" si="3"/>
        <v>12</v>
      </c>
      <c r="N25" s="1"/>
      <c r="O25" s="200" t="s">
        <v>1391</v>
      </c>
      <c r="R25" s="1"/>
      <c r="S25" s="37">
        <f>S17+S18+S23</f>
        <v>-1316289.6789792601</v>
      </c>
      <c r="U25" s="1">
        <f t="shared" si="4"/>
        <v>12</v>
      </c>
      <c r="V25" s="19"/>
      <c r="W25" s="1" t="s">
        <v>301</v>
      </c>
      <c r="Y25" s="1088">
        <f>Y40</f>
        <v>3146703.6048179106</v>
      </c>
      <c r="AB25" s="1096"/>
      <c r="AC25" s="1097"/>
      <c r="AE25" s="1091"/>
      <c r="AF25" s="11"/>
      <c r="AG25" s="11"/>
      <c r="AH25" s="11"/>
      <c r="AI25" s="11"/>
      <c r="AJ25" s="11"/>
      <c r="AK25" s="11"/>
      <c r="AL25" s="11"/>
      <c r="AM25" s="11"/>
      <c r="AN25" s="1087">
        <f t="shared" si="2"/>
        <v>14</v>
      </c>
      <c r="AO25" s="1087"/>
      <c r="AQ25" s="375" t="s">
        <v>723</v>
      </c>
      <c r="AR25" s="1081" t="s">
        <v>904</v>
      </c>
      <c r="AS25" s="321"/>
      <c r="AT25" s="322">
        <v>1903206.78</v>
      </c>
      <c r="AU25" s="376">
        <f t="shared" ref="AU25:AU27" si="6">SUM(AS25:AT25)</f>
        <v>1903206.78</v>
      </c>
      <c r="AW25" s="1071"/>
      <c r="AX25" s="1071"/>
      <c r="AY25" s="1071"/>
      <c r="AZ25" s="1071"/>
      <c r="BA25" s="1071"/>
      <c r="BB25" s="1098"/>
      <c r="BC25" s="1071"/>
      <c r="BD25" s="1073"/>
      <c r="BE25" s="1071"/>
      <c r="BG25" s="1072"/>
      <c r="BH25" s="1072"/>
      <c r="BI25" s="1074"/>
      <c r="BJ25" s="1072"/>
      <c r="BK25" s="1073"/>
      <c r="BL25" s="1072"/>
      <c r="BM25" s="1072"/>
      <c r="BN25" s="1075"/>
      <c r="BZ25"/>
      <c r="CA25"/>
      <c r="CB25" s="1077"/>
      <c r="CC25"/>
      <c r="CD25" s="1078"/>
      <c r="CE25"/>
      <c r="CF25"/>
      <c r="CG25" s="1079"/>
    </row>
    <row r="26" spans="1:85" ht="16.5">
      <c r="J26" s="15">
        <f t="shared" si="0"/>
        <v>26</v>
      </c>
      <c r="M26" s="1066">
        <f t="shared" si="3"/>
        <v>13</v>
      </c>
      <c r="U26" s="1">
        <f t="shared" si="4"/>
        <v>13</v>
      </c>
      <c r="V26" s="19"/>
      <c r="AC26" s="1097"/>
      <c r="AE26" s="110" t="s">
        <v>788</v>
      </c>
      <c r="AF26" s="171"/>
      <c r="AG26" s="1099">
        <v>0.75151515151515158</v>
      </c>
      <c r="AH26" s="1099">
        <v>0.62625139043381539</v>
      </c>
      <c r="AI26" s="1099">
        <v>0</v>
      </c>
      <c r="AJ26" s="1099">
        <v>0</v>
      </c>
      <c r="AK26" s="1099">
        <v>0</v>
      </c>
      <c r="AL26" s="1092">
        <v>0</v>
      </c>
      <c r="AM26" s="1093">
        <v>0</v>
      </c>
      <c r="AN26" s="1087">
        <f t="shared" si="2"/>
        <v>15</v>
      </c>
      <c r="AO26" s="1087"/>
      <c r="AQ26" s="375" t="s">
        <v>5</v>
      </c>
      <c r="AR26" s="323" t="s">
        <v>905</v>
      </c>
      <c r="AS26" s="321">
        <v>3919940.28</v>
      </c>
      <c r="AT26" s="952">
        <v>1756871.9</v>
      </c>
      <c r="AU26" s="376">
        <f t="shared" si="6"/>
        <v>5676812.1799999997</v>
      </c>
      <c r="AW26" s="1071"/>
      <c r="AY26" s="1071"/>
      <c r="BD26" s="1073"/>
      <c r="BG26" s="1072"/>
      <c r="BH26" s="1072"/>
      <c r="BI26" s="1074"/>
      <c r="BJ26" s="1072"/>
      <c r="BK26" s="1073"/>
      <c r="BL26" s="1072"/>
      <c r="BM26" s="1072"/>
      <c r="BN26" s="1075"/>
      <c r="BZ26"/>
      <c r="CA26"/>
      <c r="CB26" s="1077"/>
      <c r="CC26"/>
      <c r="CD26" s="1078"/>
      <c r="CE26"/>
      <c r="CF26"/>
      <c r="CG26" s="1079"/>
    </row>
    <row r="27" spans="1:85" ht="17.25" thickBot="1">
      <c r="M27" s="1066">
        <f t="shared" si="3"/>
        <v>14</v>
      </c>
      <c r="O27" s="112"/>
      <c r="P27" s="112"/>
      <c r="Q27" s="112"/>
      <c r="R27" s="112"/>
      <c r="S27" s="112"/>
      <c r="U27" s="1">
        <f t="shared" si="4"/>
        <v>14</v>
      </c>
      <c r="W27" s="1" t="s">
        <v>175</v>
      </c>
      <c r="Z27" s="1366" t="s">
        <v>455</v>
      </c>
      <c r="AA27" s="1361">
        <f>AI44</f>
        <v>1</v>
      </c>
      <c r="AB27" s="30">
        <f>Y25*AA27</f>
        <v>3146703.6048179106</v>
      </c>
      <c r="AC27" s="3">
        <f>AB27</f>
        <v>3146703.6048179106</v>
      </c>
      <c r="AE27" s="1089" t="s">
        <v>789</v>
      </c>
      <c r="AF27" s="1362"/>
      <c r="AG27" s="1365">
        <v>0.2484848484848485</v>
      </c>
      <c r="AH27" s="1365">
        <v>0.37374860956618466</v>
      </c>
      <c r="AI27" s="1365">
        <v>1</v>
      </c>
      <c r="AJ27" s="1365">
        <v>1</v>
      </c>
      <c r="AK27" s="1365">
        <v>1</v>
      </c>
      <c r="AL27" s="1363">
        <v>1</v>
      </c>
      <c r="AM27" s="1363">
        <v>1</v>
      </c>
      <c r="AN27" s="1087">
        <f t="shared" si="2"/>
        <v>16</v>
      </c>
      <c r="AO27" s="1087"/>
      <c r="AQ27" s="375" t="s">
        <v>906</v>
      </c>
      <c r="AR27" s="1083" t="s">
        <v>907</v>
      </c>
      <c r="AS27" s="321">
        <v>1030575.13</v>
      </c>
      <c r="AT27" s="952">
        <v>307479.94</v>
      </c>
      <c r="AU27" s="376">
        <f t="shared" si="6"/>
        <v>1338055.07</v>
      </c>
      <c r="AW27" s="1100"/>
      <c r="AX27" s="1100"/>
      <c r="AY27" s="1100"/>
      <c r="AZ27" s="1100"/>
      <c r="BA27" s="1100"/>
      <c r="BB27" s="1098"/>
      <c r="BC27" s="1100"/>
      <c r="BD27" s="1100"/>
      <c r="BE27" s="1100"/>
      <c r="BG27" s="1071"/>
      <c r="BH27" s="1071"/>
      <c r="BI27" s="1101"/>
      <c r="BJ27" s="1071"/>
      <c r="BK27" s="1102"/>
      <c r="BL27" s="1071"/>
      <c r="BM27" s="1071"/>
      <c r="BN27" s="1103"/>
      <c r="BZ27"/>
      <c r="CA27"/>
      <c r="CB27" s="1077"/>
      <c r="CC27"/>
      <c r="CD27" s="1078"/>
      <c r="CE27"/>
      <c r="CF27"/>
      <c r="CG27" s="1079"/>
    </row>
    <row r="28" spans="1:85" ht="15.75" thickBot="1">
      <c r="M28" s="1066">
        <f t="shared" si="3"/>
        <v>15</v>
      </c>
      <c r="O28" s="1441" t="s">
        <v>524</v>
      </c>
      <c r="P28" s="1441"/>
      <c r="Q28" s="1441"/>
      <c r="R28" s="1441"/>
      <c r="S28" s="1441"/>
      <c r="U28" s="1">
        <f t="shared" si="4"/>
        <v>15</v>
      </c>
      <c r="W28" s="19" t="s">
        <v>140</v>
      </c>
      <c r="X28" s="19"/>
      <c r="Y28" s="1088"/>
      <c r="Z28" s="1084"/>
      <c r="AA28" s="1084">
        <f>SUM(AA27:AA27)</f>
        <v>1</v>
      </c>
      <c r="AB28" s="777">
        <f>SUM(AB27:AB27)</f>
        <v>3146703.6048179106</v>
      </c>
      <c r="AC28" s="1104"/>
      <c r="AE28" s="1095" t="s">
        <v>764</v>
      </c>
      <c r="AF28" s="1364"/>
      <c r="AG28" s="1365">
        <v>1</v>
      </c>
      <c r="AH28" s="1365">
        <v>1</v>
      </c>
      <c r="AI28" s="1365">
        <v>1</v>
      </c>
      <c r="AJ28" s="1365">
        <v>1</v>
      </c>
      <c r="AK28" s="1365">
        <v>1</v>
      </c>
      <c r="AL28" s="1365">
        <v>1</v>
      </c>
      <c r="AM28" s="1365">
        <v>1</v>
      </c>
      <c r="AN28" s="1087">
        <f t="shared" si="2"/>
        <v>17</v>
      </c>
      <c r="AO28" s="1087"/>
      <c r="AQ28" s="377" t="s">
        <v>837</v>
      </c>
      <c r="AR28" s="378" t="s">
        <v>907</v>
      </c>
      <c r="AS28" s="1451">
        <f>SUM(AS24:AS27)</f>
        <v>6457037.5599999996</v>
      </c>
      <c r="AT28" s="1367">
        <f>SUM(AT24:AT27)</f>
        <v>5859674.1900000004</v>
      </c>
      <c r="AU28" s="1120">
        <f>SUM(AU24:AU27)</f>
        <v>12316711.75</v>
      </c>
      <c r="BG28" s="1071"/>
      <c r="BH28" s="1071"/>
      <c r="BJ28" s="1071"/>
      <c r="BK28" s="1102"/>
      <c r="BL28" s="1071"/>
      <c r="BM28" s="1071"/>
      <c r="BN28" s="1103"/>
      <c r="BZ28"/>
      <c r="CA28"/>
      <c r="CB28" s="1077"/>
      <c r="CC28"/>
      <c r="CD28" s="1078"/>
      <c r="CE28"/>
      <c r="CF28"/>
      <c r="CG28" s="1079"/>
    </row>
    <row r="29" spans="1:85" ht="13.5" thickBot="1">
      <c r="M29" s="1066">
        <f t="shared" si="3"/>
        <v>16</v>
      </c>
      <c r="N29" s="200"/>
      <c r="O29" s="1106" t="s">
        <v>1242</v>
      </c>
      <c r="P29" s="1106"/>
      <c r="Q29" s="1106"/>
      <c r="R29" s="1106"/>
      <c r="S29" s="1106"/>
      <c r="U29" s="1">
        <f t="shared" si="4"/>
        <v>16</v>
      </c>
      <c r="AA29" s="1107"/>
      <c r="AC29" s="3"/>
      <c r="AE29" s="11"/>
      <c r="AF29" s="11"/>
      <c r="AG29" s="11"/>
      <c r="AH29" s="11"/>
      <c r="AI29" s="11"/>
      <c r="AJ29" s="11"/>
      <c r="AK29" s="11"/>
      <c r="AL29" s="11"/>
      <c r="AM29" s="11"/>
      <c r="AN29" s="1087">
        <f t="shared" si="2"/>
        <v>18</v>
      </c>
      <c r="AO29" s="1087"/>
      <c r="BG29" s="1071"/>
      <c r="BH29" s="1071"/>
      <c r="BI29" s="1101"/>
      <c r="BJ29" s="1071"/>
      <c r="BK29" s="1102"/>
      <c r="BL29" s="1071"/>
      <c r="BM29" s="1071"/>
      <c r="BN29" s="1103"/>
      <c r="BZ29" s="1072"/>
      <c r="CA29" s="1072"/>
      <c r="CB29" s="1074"/>
      <c r="CC29" s="1072"/>
      <c r="CD29" s="1073"/>
      <c r="CE29" s="1072"/>
      <c r="CF29" s="1072"/>
      <c r="CG29" s="1075"/>
    </row>
    <row r="30" spans="1:85" ht="15.75" thickBot="1">
      <c r="M30" s="1066">
        <f t="shared" si="3"/>
        <v>17</v>
      </c>
      <c r="U30" s="1">
        <f t="shared" si="4"/>
        <v>17</v>
      </c>
      <c r="V30" s="15" t="s">
        <v>1243</v>
      </c>
      <c r="AB30" s="965"/>
      <c r="AC30" s="3">
        <f>SUM(AC19:AC27)</f>
        <v>3669140.4214144321</v>
      </c>
      <c r="AE30" s="1368" t="s">
        <v>1424</v>
      </c>
      <c r="AF30" s="1369"/>
      <c r="AG30" s="1370">
        <v>316860.84903000004</v>
      </c>
      <c r="AH30" s="1370">
        <v>583777.333125</v>
      </c>
      <c r="AI30" s="1370">
        <v>575492.83659999992</v>
      </c>
      <c r="AJ30" s="1370">
        <v>827738.88841600006</v>
      </c>
      <c r="AK30" s="1370">
        <v>558892.68999999994</v>
      </c>
      <c r="AL30" s="1370">
        <v>654041.47167200001</v>
      </c>
      <c r="AM30" s="1370">
        <v>654041.47167200001</v>
      </c>
      <c r="AN30" s="1087">
        <f t="shared" si="2"/>
        <v>19</v>
      </c>
      <c r="AO30" s="1087"/>
      <c r="AQ30" s="1442" t="s">
        <v>1244</v>
      </c>
      <c r="AR30" s="1443"/>
      <c r="AS30" s="1443"/>
      <c r="AT30" s="1443"/>
      <c r="AU30" s="1444"/>
      <c r="CC30" s="1072"/>
      <c r="CD30" s="1073"/>
      <c r="CE30" s="1072"/>
      <c r="CF30" s="1072"/>
      <c r="CG30" s="1075"/>
    </row>
    <row r="31" spans="1:85" ht="17.25" thickBot="1">
      <c r="M31" s="1066">
        <f t="shared" si="3"/>
        <v>18</v>
      </c>
      <c r="O31" s="1109" t="s">
        <v>1425</v>
      </c>
      <c r="P31" s="1110"/>
      <c r="Q31" s="1110"/>
      <c r="R31" s="1110"/>
      <c r="S31" s="1111"/>
      <c r="U31" s="1">
        <f t="shared" si="4"/>
        <v>18</v>
      </c>
      <c r="V31" s="15" t="s">
        <v>916</v>
      </c>
      <c r="AB31" s="965"/>
      <c r="AC31" s="1371">
        <f>Y25+Y17</f>
        <v>4108572.0900000008</v>
      </c>
      <c r="AE31" s="1095" t="s">
        <v>1426</v>
      </c>
      <c r="AF31" s="1358"/>
      <c r="AG31" s="1359">
        <v>617831.92097000009</v>
      </c>
      <c r="AH31" s="1359">
        <v>922744.81687500002</v>
      </c>
      <c r="AI31" s="1359">
        <v>1117133.1534</v>
      </c>
      <c r="AJ31" s="1359">
        <v>656728.27158400009</v>
      </c>
      <c r="AK31" s="1359">
        <v>558892.68999999994</v>
      </c>
      <c r="AL31" s="1359">
        <v>777584.70499466674</v>
      </c>
      <c r="AM31" s="1359">
        <v>777584.70499466674</v>
      </c>
      <c r="AN31" s="1087">
        <f t="shared" si="2"/>
        <v>20</v>
      </c>
      <c r="AO31" s="1087"/>
      <c r="AQ31" s="338" t="s">
        <v>1248</v>
      </c>
      <c r="AR31" s="318"/>
      <c r="AS31" s="318" t="s">
        <v>480</v>
      </c>
      <c r="AT31" s="319"/>
      <c r="AU31" s="371"/>
      <c r="CC31" s="1072"/>
      <c r="CD31" s="1073"/>
      <c r="CE31" s="1072"/>
      <c r="CF31" s="1072"/>
      <c r="CG31" s="1075"/>
    </row>
    <row r="32" spans="1:85" ht="15.75" thickBot="1">
      <c r="A32" s="860"/>
      <c r="M32" s="1066">
        <f t="shared" si="3"/>
        <v>19</v>
      </c>
      <c r="O32" s="1110" t="s">
        <v>1427</v>
      </c>
      <c r="P32" s="1330"/>
      <c r="Q32" s="1330"/>
      <c r="R32" s="1330">
        <v>0.49099999999999999</v>
      </c>
      <c r="S32" s="1342"/>
      <c r="U32" s="1">
        <f>+U31+1</f>
        <v>19</v>
      </c>
      <c r="V32" s="1" t="s">
        <v>777</v>
      </c>
      <c r="Y32" s="9"/>
      <c r="Z32" s="1113"/>
      <c r="AB32" s="965"/>
      <c r="AC32" s="3">
        <f>AC30-AC31</f>
        <v>-439431.66858556867</v>
      </c>
      <c r="AE32" s="103" t="s">
        <v>764</v>
      </c>
      <c r="AF32" s="1114"/>
      <c r="AG32" s="1114">
        <v>934692.77000000014</v>
      </c>
      <c r="AH32" s="1114">
        <v>1506522.15</v>
      </c>
      <c r="AI32" s="1114">
        <v>1692625.99</v>
      </c>
      <c r="AJ32" s="1114">
        <v>1484467.1600000001</v>
      </c>
      <c r="AK32" s="1114">
        <v>1117785.3799999999</v>
      </c>
      <c r="AL32" s="1114">
        <v>1431626.1766666668</v>
      </c>
      <c r="AM32" s="1114">
        <v>1431626.1766666668</v>
      </c>
      <c r="AN32" s="1087">
        <f t="shared" si="2"/>
        <v>21</v>
      </c>
      <c r="AO32" s="1087"/>
      <c r="AQ32" s="372" t="s">
        <v>281</v>
      </c>
      <c r="AR32" s="1070"/>
      <c r="AS32" s="319" t="s">
        <v>792</v>
      </c>
      <c r="AT32" s="324" t="s">
        <v>791</v>
      </c>
      <c r="AU32" s="373" t="s">
        <v>837</v>
      </c>
      <c r="BG32" s="1115"/>
      <c r="BH32" s="1115"/>
      <c r="BJ32" s="1115"/>
      <c r="BK32" s="1115"/>
      <c r="BL32" s="1115"/>
      <c r="BM32" s="1115"/>
      <c r="BN32" s="1115"/>
      <c r="CD32" s="1073"/>
      <c r="CE32" s="1072"/>
      <c r="CF32" s="1072"/>
      <c r="CG32" s="1075"/>
    </row>
    <row r="33" spans="4:85" ht="15.75">
      <c r="D33" s="199"/>
      <c r="E33" s="199"/>
      <c r="F33" s="199"/>
      <c r="G33" s="199"/>
      <c r="H33" s="199"/>
      <c r="I33" s="199"/>
      <c r="M33" s="1066">
        <f t="shared" si="3"/>
        <v>20</v>
      </c>
      <c r="O33" s="1110" t="s">
        <v>1428</v>
      </c>
      <c r="P33" s="1116"/>
      <c r="Q33" s="1116"/>
      <c r="R33" s="1116">
        <f>S25*R32</f>
        <v>-646298.2323788167</v>
      </c>
      <c r="S33" s="1117">
        <f>SUM(P33:R33)</f>
        <v>-646298.2323788167</v>
      </c>
      <c r="U33" s="1">
        <v>20</v>
      </c>
      <c r="V33" s="15" t="s">
        <v>1418</v>
      </c>
      <c r="Y33" s="9"/>
      <c r="Z33" s="1113"/>
      <c r="AB33" s="3"/>
      <c r="AC33" s="3">
        <f>-CB16</f>
        <v>0</v>
      </c>
      <c r="AE33" s="1091"/>
      <c r="AF33" s="11"/>
      <c r="AG33" s="11"/>
      <c r="AH33" s="11"/>
      <c r="AI33" s="11"/>
      <c r="AJ33" s="11"/>
      <c r="AK33" s="11"/>
      <c r="AL33" s="11"/>
      <c r="AM33" s="11"/>
      <c r="AN33" s="1087">
        <f t="shared" si="2"/>
        <v>22</v>
      </c>
      <c r="AO33" s="1087"/>
      <c r="AQ33" s="372" t="s">
        <v>282</v>
      </c>
      <c r="AR33" s="1081" t="s">
        <v>903</v>
      </c>
      <c r="AS33" s="320">
        <v>1366141.75</v>
      </c>
      <c r="AT33" s="1082">
        <v>1942159.54</v>
      </c>
      <c r="AU33" s="374">
        <f>SUM(AS33:AT33)</f>
        <v>3308301.29</v>
      </c>
      <c r="CD33" s="1073"/>
      <c r="CE33" s="1072"/>
      <c r="CF33" s="1072"/>
      <c r="CG33" s="1075"/>
    </row>
    <row r="34" spans="4:85" ht="15.75" thickBot="1">
      <c r="M34"/>
      <c r="N34"/>
      <c r="O34"/>
      <c r="P34"/>
      <c r="Q34"/>
      <c r="R34"/>
      <c r="S34"/>
      <c r="U34" s="1">
        <v>21</v>
      </c>
      <c r="V34" s="1112" t="s">
        <v>777</v>
      </c>
      <c r="Y34" s="9"/>
      <c r="Z34" s="1113"/>
      <c r="AC34" s="1118">
        <f>SUM(AC32:AC33)</f>
        <v>-439431.66858556867</v>
      </c>
      <c r="AE34" s="110" t="s">
        <v>1429</v>
      </c>
      <c r="AF34" s="1119"/>
      <c r="AG34" s="1093">
        <v>0.33899999999999997</v>
      </c>
      <c r="AH34" s="1093">
        <v>0.38750000000000001</v>
      </c>
      <c r="AI34" s="1093">
        <v>0.33999999999999997</v>
      </c>
      <c r="AJ34" s="1093">
        <v>0.55759999999999998</v>
      </c>
      <c r="AK34" s="1093">
        <v>0.5</v>
      </c>
      <c r="AL34" s="1093">
        <v>0.45685213244342904</v>
      </c>
      <c r="AM34" s="1093">
        <v>0.45685213244342904</v>
      </c>
      <c r="AN34" s="1087">
        <f t="shared" si="2"/>
        <v>23</v>
      </c>
      <c r="AO34" s="1087"/>
      <c r="AQ34" s="375" t="s">
        <v>723</v>
      </c>
      <c r="AR34" s="1081" t="s">
        <v>904</v>
      </c>
      <c r="AS34" s="321">
        <v>326484.24</v>
      </c>
      <c r="AT34" s="322">
        <v>1977997.61</v>
      </c>
      <c r="AU34" s="376">
        <f t="shared" ref="AU34:AU36" si="7">SUM(AS34:AT34)</f>
        <v>2304481.85</v>
      </c>
      <c r="CD34" s="1073"/>
      <c r="CE34" s="1072"/>
      <c r="CF34" s="1072"/>
      <c r="CG34" s="1075"/>
    </row>
    <row r="35" spans="4:85" ht="18" thickTop="1" thickBot="1">
      <c r="M35"/>
      <c r="N35"/>
      <c r="O35"/>
      <c r="P35"/>
      <c r="Q35"/>
      <c r="R35"/>
      <c r="S35"/>
      <c r="T35" s="200"/>
      <c r="U35" s="1085"/>
      <c r="AE35" s="1089" t="s">
        <v>1430</v>
      </c>
      <c r="AF35" s="1362"/>
      <c r="AG35" s="1363">
        <v>0.66100000000000003</v>
      </c>
      <c r="AH35" s="1363">
        <v>0.61250000000000004</v>
      </c>
      <c r="AI35" s="1363">
        <v>0.66</v>
      </c>
      <c r="AJ35" s="1363">
        <v>0.44240000000000002</v>
      </c>
      <c r="AK35" s="1363">
        <v>0.5</v>
      </c>
      <c r="AL35" s="1363">
        <v>0.54314786755657096</v>
      </c>
      <c r="AM35" s="1363">
        <v>0.54314786755657096</v>
      </c>
      <c r="AN35" s="1087">
        <f t="shared" si="2"/>
        <v>24</v>
      </c>
      <c r="AO35" s="1087"/>
      <c r="AQ35" s="375" t="s">
        <v>5</v>
      </c>
      <c r="AR35" s="323" t="s">
        <v>905</v>
      </c>
      <c r="AS35" s="321">
        <v>4704097.67</v>
      </c>
      <c r="AT35" s="952">
        <v>1570607.61</v>
      </c>
      <c r="AU35" s="376">
        <f t="shared" si="7"/>
        <v>6274705.2800000003</v>
      </c>
    </row>
    <row r="36" spans="4:85" ht="17.25" thickBot="1">
      <c r="M36"/>
      <c r="N36"/>
      <c r="O36"/>
      <c r="P36"/>
      <c r="Q36"/>
      <c r="R36"/>
      <c r="S36"/>
      <c r="U36" s="1085"/>
      <c r="AE36" s="1095" t="s">
        <v>764</v>
      </c>
      <c r="AF36" s="1364"/>
      <c r="AG36" s="1365">
        <v>1</v>
      </c>
      <c r="AH36" s="1365">
        <v>1</v>
      </c>
      <c r="AI36" s="1365">
        <v>1</v>
      </c>
      <c r="AJ36" s="1365">
        <v>1</v>
      </c>
      <c r="AK36" s="1365">
        <v>1</v>
      </c>
      <c r="AL36" s="1365">
        <v>1</v>
      </c>
      <c r="AM36" s="1365">
        <v>1</v>
      </c>
      <c r="AN36" s="1087">
        <f t="shared" si="2"/>
        <v>25</v>
      </c>
      <c r="AO36" s="1087"/>
      <c r="AQ36" s="375" t="s">
        <v>906</v>
      </c>
      <c r="AR36" s="1083" t="s">
        <v>907</v>
      </c>
      <c r="AS36" s="321">
        <v>1059150.79</v>
      </c>
      <c r="AT36" s="952">
        <v>385095.75</v>
      </c>
      <c r="AU36" s="376">
        <f t="shared" si="7"/>
        <v>1444246.54</v>
      </c>
    </row>
    <row r="37" spans="4:85" ht="15.75" thickBot="1">
      <c r="M37"/>
      <c r="N37"/>
      <c r="O37"/>
      <c r="P37"/>
      <c r="Q37"/>
      <c r="R37"/>
      <c r="S37"/>
      <c r="U37" s="1085"/>
      <c r="AE37" s="103"/>
      <c r="AF37" s="1055"/>
      <c r="AG37" s="1055"/>
      <c r="AH37" s="1055"/>
      <c r="AI37" s="1055"/>
      <c r="AJ37" s="1055"/>
      <c r="AK37" s="1055"/>
      <c r="AL37" s="1055"/>
      <c r="AM37" s="1055"/>
      <c r="AN37" s="1087">
        <f t="shared" si="2"/>
        <v>26</v>
      </c>
      <c r="AO37" s="1087"/>
      <c r="AQ37" s="377" t="s">
        <v>837</v>
      </c>
      <c r="AR37" s="378" t="s">
        <v>907</v>
      </c>
      <c r="AS37" s="1451">
        <f>SUM(AS33:AS36)</f>
        <v>7455874.4500000002</v>
      </c>
      <c r="AT37" s="1367">
        <f>SUM(AT33:AT36)</f>
        <v>5875860.5100000007</v>
      </c>
      <c r="AU37" s="1120">
        <f>SUM(AU33:AU36)</f>
        <v>13331734.960000001</v>
      </c>
    </row>
    <row r="38" spans="4:85" ht="13.5" thickBot="1">
      <c r="M38"/>
      <c r="N38" s="15" t="s">
        <v>1247</v>
      </c>
      <c r="O38"/>
      <c r="P38"/>
      <c r="Q38"/>
      <c r="R38"/>
      <c r="S38"/>
      <c r="U38" s="1085"/>
      <c r="V38" s="15" t="s">
        <v>1247</v>
      </c>
      <c r="X38" s="15"/>
      <c r="AN38" s="1087">
        <f t="shared" si="2"/>
        <v>27</v>
      </c>
      <c r="AO38" s="1087"/>
    </row>
    <row r="39" spans="4:85" ht="15.75" thickBot="1">
      <c r="M39"/>
      <c r="N39"/>
      <c r="O39"/>
      <c r="P39"/>
      <c r="Q39"/>
      <c r="R39"/>
      <c r="S39"/>
      <c r="U39" s="1085"/>
      <c r="X39" s="15" t="s">
        <v>909</v>
      </c>
      <c r="Y39" s="102">
        <f>(AS51+AS52)/(AS51+AS52+AS53+AS54)*Y41</f>
        <v>961868.4851820902</v>
      </c>
      <c r="Z39" s="15"/>
      <c r="AE39" s="1355" t="s">
        <v>1431</v>
      </c>
      <c r="AF39" s="1356"/>
      <c r="AG39" s="1357">
        <v>1617281.2789740565</v>
      </c>
      <c r="AH39" s="1357">
        <v>1269222.0418534959</v>
      </c>
      <c r="AI39" s="1357">
        <v>0</v>
      </c>
      <c r="AJ39" s="1357">
        <v>0</v>
      </c>
      <c r="AK39" s="1357">
        <v>0</v>
      </c>
      <c r="AL39" s="1356">
        <v>0</v>
      </c>
      <c r="AM39" s="1356">
        <v>0</v>
      </c>
      <c r="AN39" s="1087">
        <f t="shared" si="2"/>
        <v>28</v>
      </c>
      <c r="AO39" s="1087"/>
      <c r="AQ39" s="1574" t="s">
        <v>1244</v>
      </c>
      <c r="AR39" s="1575"/>
      <c r="AS39" s="1575"/>
      <c r="AT39" s="1575"/>
      <c r="AU39" s="1576"/>
    </row>
    <row r="40" spans="4:85" ht="17.25" thickBot="1">
      <c r="M40"/>
      <c r="N40"/>
      <c r="O40"/>
      <c r="P40"/>
      <c r="Q40"/>
      <c r="R40"/>
      <c r="S40"/>
      <c r="U40" s="1085"/>
      <c r="X40" s="15" t="s">
        <v>910</v>
      </c>
      <c r="Y40" s="102">
        <f>Y41-Y39</f>
        <v>3146703.6048179106</v>
      </c>
      <c r="AB40" s="194"/>
      <c r="AC40" s="11"/>
      <c r="AD40" s="11"/>
      <c r="AE40" s="110" t="s">
        <v>1432</v>
      </c>
      <c r="AF40" s="1358"/>
      <c r="AG40" s="1359">
        <v>2969523.151025943</v>
      </c>
      <c r="AH40" s="1359">
        <v>3681293.3681465038</v>
      </c>
      <c r="AI40" s="1359">
        <v>5763248.46</v>
      </c>
      <c r="AJ40" s="1359">
        <v>4542817.62</v>
      </c>
      <c r="AK40" s="1359">
        <v>3656777.7600000002</v>
      </c>
      <c r="AL40" s="1358">
        <v>4654281.28</v>
      </c>
      <c r="AM40" s="1358">
        <v>4654281.28</v>
      </c>
      <c r="AN40" s="1087">
        <f t="shared" si="2"/>
        <v>29</v>
      </c>
      <c r="AQ40" s="338" t="s">
        <v>1249</v>
      </c>
      <c r="AR40" s="318"/>
      <c r="AS40" s="318" t="s">
        <v>480</v>
      </c>
      <c r="AT40" s="319"/>
      <c r="AU40" s="371"/>
    </row>
    <row r="41" spans="4:85" ht="15.75" thickBot="1">
      <c r="M41"/>
      <c r="N41"/>
      <c r="O41"/>
      <c r="P41"/>
      <c r="Q41"/>
      <c r="R41"/>
      <c r="S41"/>
      <c r="U41" s="1085"/>
      <c r="X41" s="15" t="s">
        <v>908</v>
      </c>
      <c r="Y41" s="525">
        <f>BB23</f>
        <v>4108572.0900000008</v>
      </c>
      <c r="Z41" s="15"/>
      <c r="AB41" s="15"/>
      <c r="AC41" s="3"/>
      <c r="AD41" s="11"/>
      <c r="AE41" s="103" t="s">
        <v>764</v>
      </c>
      <c r="AF41" s="1121"/>
      <c r="AG41" s="1121">
        <v>4586804.43</v>
      </c>
      <c r="AH41" s="1121">
        <v>4950515.41</v>
      </c>
      <c r="AI41" s="1122">
        <v>5763248.46</v>
      </c>
      <c r="AJ41" s="1122">
        <v>4542817.62</v>
      </c>
      <c r="AK41" s="1122">
        <v>3656777.7600000002</v>
      </c>
      <c r="AL41" s="1122">
        <v>4654281.28</v>
      </c>
      <c r="AM41" s="1121">
        <v>4654281.28</v>
      </c>
      <c r="AN41" s="1087">
        <f t="shared" si="2"/>
        <v>30</v>
      </c>
      <c r="AQ41" s="372" t="s">
        <v>281</v>
      </c>
      <c r="AR41" s="1070"/>
      <c r="AS41" s="319" t="s">
        <v>792</v>
      </c>
      <c r="AT41" s="324" t="s">
        <v>791</v>
      </c>
      <c r="AU41" s="373" t="s">
        <v>837</v>
      </c>
    </row>
    <row r="42" spans="4:85" ht="16.5" thickTop="1">
      <c r="M42"/>
      <c r="N42"/>
      <c r="O42"/>
      <c r="P42"/>
      <c r="Q42"/>
      <c r="R42"/>
      <c r="S42"/>
      <c r="U42" s="1085"/>
      <c r="Y42" s="102"/>
      <c r="AB42" s="194"/>
      <c r="AC42" s="13"/>
      <c r="AD42" s="11"/>
      <c r="AE42" s="1091"/>
      <c r="AF42" s="11"/>
      <c r="AG42" s="11"/>
      <c r="AH42" s="11"/>
      <c r="AI42" s="11"/>
      <c r="AJ42" s="11"/>
      <c r="AK42" s="11"/>
      <c r="AL42" s="11"/>
      <c r="AM42" s="11"/>
      <c r="AN42" s="1087">
        <f t="shared" si="2"/>
        <v>31</v>
      </c>
      <c r="AQ42" s="372" t="s">
        <v>282</v>
      </c>
      <c r="AR42" s="1081" t="s">
        <v>903</v>
      </c>
      <c r="AS42" s="320">
        <v>1250981.56</v>
      </c>
      <c r="AT42" s="1082">
        <v>1460798.74</v>
      </c>
      <c r="AU42" s="374">
        <f>SUM(AS42:AT42)</f>
        <v>2711780.3</v>
      </c>
    </row>
    <row r="43" spans="4:85" ht="15">
      <c r="M43"/>
      <c r="N43"/>
      <c r="O43"/>
      <c r="P43"/>
      <c r="Q43"/>
      <c r="R43"/>
      <c r="S43"/>
      <c r="U43" s="1085"/>
      <c r="V43" s="15"/>
      <c r="AB43" s="15"/>
      <c r="AC43" s="3"/>
      <c r="AD43" s="11"/>
      <c r="AE43" s="110" t="s">
        <v>1433</v>
      </c>
      <c r="AF43" s="1119"/>
      <c r="AG43" s="1093">
        <v>0.35259433962264153</v>
      </c>
      <c r="AH43" s="1093">
        <v>0.25638179800221972</v>
      </c>
      <c r="AI43" s="1093">
        <v>0</v>
      </c>
      <c r="AJ43" s="1093">
        <v>0</v>
      </c>
      <c r="AK43" s="1093">
        <v>0</v>
      </c>
      <c r="AL43" s="1119">
        <v>0</v>
      </c>
      <c r="AM43" s="1119">
        <v>0</v>
      </c>
      <c r="AN43" s="1087">
        <f t="shared" si="2"/>
        <v>32</v>
      </c>
      <c r="AQ43" s="375" t="s">
        <v>723</v>
      </c>
      <c r="AR43" s="1081" t="s">
        <v>904</v>
      </c>
      <c r="AS43" s="321">
        <v>233485.6</v>
      </c>
      <c r="AT43" s="322">
        <v>1797139.34</v>
      </c>
      <c r="AU43" s="376">
        <f t="shared" ref="AU43:AU45" si="8">SUM(AS43:AT43)</f>
        <v>2030624.9400000002</v>
      </c>
    </row>
    <row r="44" spans="4:85" ht="17.25" thickBot="1">
      <c r="M44"/>
      <c r="N44"/>
      <c r="O44"/>
      <c r="P44"/>
      <c r="Q44"/>
      <c r="R44"/>
      <c r="S44"/>
      <c r="U44" s="1085"/>
      <c r="Y44" s="15"/>
      <c r="Z44" s="102"/>
      <c r="AD44" s="11"/>
      <c r="AE44" s="110" t="s">
        <v>1434</v>
      </c>
      <c r="AF44" s="1362"/>
      <c r="AG44" s="1363">
        <v>0.64740566037735847</v>
      </c>
      <c r="AH44" s="1363">
        <v>0.74361820199778017</v>
      </c>
      <c r="AI44" s="1363">
        <v>1</v>
      </c>
      <c r="AJ44" s="1363">
        <v>1</v>
      </c>
      <c r="AK44" s="1363">
        <v>1</v>
      </c>
      <c r="AL44" s="1362">
        <v>1</v>
      </c>
      <c r="AM44" s="1362">
        <v>1</v>
      </c>
      <c r="AN44" s="1087">
        <f t="shared" si="2"/>
        <v>33</v>
      </c>
      <c r="AQ44" s="375" t="s">
        <v>5</v>
      </c>
      <c r="AR44" s="323" t="s">
        <v>905</v>
      </c>
      <c r="AS44" s="321">
        <v>3531739.37</v>
      </c>
      <c r="AT44" s="952">
        <v>1724033.36</v>
      </c>
      <c r="AU44" s="376">
        <f t="shared" si="8"/>
        <v>5255772.7300000004</v>
      </c>
    </row>
    <row r="45" spans="4:85" ht="17.25" thickBot="1">
      <c r="M45"/>
      <c r="N45"/>
      <c r="O45"/>
      <c r="P45"/>
      <c r="Q45"/>
      <c r="R45"/>
      <c r="S45"/>
      <c r="U45" s="1085"/>
      <c r="AD45" s="11"/>
      <c r="AE45" s="1095" t="s">
        <v>764</v>
      </c>
      <c r="AF45" s="1364"/>
      <c r="AG45" s="1365">
        <v>1</v>
      </c>
      <c r="AH45" s="1365">
        <v>0.99999999999999989</v>
      </c>
      <c r="AI45" s="1365">
        <v>1</v>
      </c>
      <c r="AJ45" s="1365">
        <v>1</v>
      </c>
      <c r="AK45" s="1365">
        <v>1</v>
      </c>
      <c r="AL45" s="1364">
        <v>1</v>
      </c>
      <c r="AM45" s="1364">
        <v>1</v>
      </c>
      <c r="AN45" s="1087">
        <f t="shared" si="2"/>
        <v>34</v>
      </c>
      <c r="AQ45" s="375" t="s">
        <v>906</v>
      </c>
      <c r="AR45" s="1083" t="s">
        <v>907</v>
      </c>
      <c r="AS45" s="321">
        <v>1011078.25</v>
      </c>
      <c r="AT45" s="952">
        <v>361761.89</v>
      </c>
      <c r="AU45" s="376">
        <f t="shared" si="8"/>
        <v>1372840.1400000001</v>
      </c>
    </row>
    <row r="46" spans="4:85" ht="15.75" thickBot="1">
      <c r="M46"/>
      <c r="N46"/>
      <c r="O46"/>
      <c r="P46"/>
      <c r="Q46"/>
      <c r="R46"/>
      <c r="S46"/>
      <c r="U46" s="1085"/>
      <c r="AD46" s="11"/>
      <c r="AN46" s="1087">
        <f t="shared" si="2"/>
        <v>35</v>
      </c>
      <c r="AQ46" s="377" t="s">
        <v>837</v>
      </c>
      <c r="AR46" s="378" t="s">
        <v>907</v>
      </c>
      <c r="AS46" s="1451">
        <f>SUM(AS42:AS45)</f>
        <v>6027284.7800000003</v>
      </c>
      <c r="AT46" s="1367">
        <f>SUM(AT42:AT45)</f>
        <v>5343733.33</v>
      </c>
      <c r="AU46" s="1120">
        <f>SUM(AU42:AU45)</f>
        <v>11371018.110000001</v>
      </c>
    </row>
    <row r="47" spans="4:85" ht="13.5" thickBot="1">
      <c r="M47"/>
      <c r="N47"/>
      <c r="O47"/>
      <c r="P47"/>
      <c r="Q47"/>
      <c r="R47"/>
      <c r="S47"/>
      <c r="U47" s="1085"/>
      <c r="AE47" s="28" t="s">
        <v>1146</v>
      </c>
      <c r="AF47" s="1123"/>
      <c r="AG47" s="1123"/>
      <c r="AH47" s="1123"/>
      <c r="AI47" s="1123"/>
      <c r="AJ47" s="1123"/>
      <c r="AK47" s="1123"/>
      <c r="AL47" s="1123"/>
      <c r="AM47" s="1123"/>
      <c r="AN47" s="1087">
        <f t="shared" si="2"/>
        <v>36</v>
      </c>
    </row>
    <row r="48" spans="4:85" ht="15.75" thickBot="1">
      <c r="M48"/>
      <c r="N48"/>
      <c r="O48"/>
      <c r="P48"/>
      <c r="Q48"/>
      <c r="R48"/>
      <c r="S48"/>
      <c r="U48" s="1085"/>
      <c r="AE48" s="194" t="s">
        <v>937</v>
      </c>
      <c r="AF48" s="1055"/>
      <c r="AG48" s="1099">
        <v>6.6000000000000003E-2</v>
      </c>
      <c r="AH48" s="1099">
        <v>8.9899999999999994E-2</v>
      </c>
      <c r="AI48" s="1099">
        <v>8.8700000000000001E-2</v>
      </c>
      <c r="AJ48" s="1099">
        <v>8.9300000000000004E-2</v>
      </c>
      <c r="AK48" s="1099">
        <v>0.06</v>
      </c>
      <c r="AL48" s="1055"/>
      <c r="AM48" s="1055"/>
      <c r="AN48" s="1087">
        <f t="shared" si="2"/>
        <v>37</v>
      </c>
      <c r="AQ48" s="1574" t="s">
        <v>1244</v>
      </c>
      <c r="AR48" s="1575"/>
      <c r="AS48" s="1575"/>
      <c r="AT48" s="1575"/>
      <c r="AU48" s="1576"/>
    </row>
    <row r="49" spans="13:47" ht="17.25" thickBot="1">
      <c r="M49"/>
      <c r="N49"/>
      <c r="O49"/>
      <c r="P49"/>
      <c r="Q49"/>
      <c r="R49"/>
      <c r="S49"/>
      <c r="U49" s="1085"/>
      <c r="Z49" s="1124"/>
      <c r="AE49" s="194" t="s">
        <v>1435</v>
      </c>
      <c r="AF49" s="1055"/>
      <c r="AG49" s="1099">
        <v>1.6400000000000001E-2</v>
      </c>
      <c r="AH49" s="1099">
        <v>3.3599999999999998E-2</v>
      </c>
      <c r="AI49" s="1099">
        <v>8.8700000000000001E-2</v>
      </c>
      <c r="AJ49" s="1099">
        <v>8.9300000000000004E-2</v>
      </c>
      <c r="AK49" s="1099">
        <v>0.06</v>
      </c>
      <c r="AL49" s="1125"/>
      <c r="AM49" s="1055"/>
      <c r="AN49" s="1087">
        <f t="shared" si="2"/>
        <v>38</v>
      </c>
      <c r="AQ49" s="338" t="s">
        <v>1366</v>
      </c>
      <c r="AR49" s="318"/>
      <c r="AS49" s="318" t="s">
        <v>480</v>
      </c>
      <c r="AT49" s="319"/>
      <c r="AU49" s="371"/>
    </row>
    <row r="50" spans="13:47" ht="15.75" thickBot="1">
      <c r="U50" s="1085"/>
      <c r="AE50" s="194" t="s">
        <v>938</v>
      </c>
      <c r="AF50" s="1055"/>
      <c r="AG50" s="1099">
        <v>4.9600000000000005E-2</v>
      </c>
      <c r="AH50" s="1099">
        <v>5.6299999999999996E-2</v>
      </c>
      <c r="AI50" s="1099">
        <v>0</v>
      </c>
      <c r="AJ50" s="1099">
        <v>0</v>
      </c>
      <c r="AK50" s="1099">
        <v>0</v>
      </c>
      <c r="AL50" s="1055"/>
      <c r="AM50" s="1055"/>
      <c r="AN50" s="1087">
        <f t="shared" si="2"/>
        <v>39</v>
      </c>
      <c r="AQ50" s="372" t="s">
        <v>281</v>
      </c>
      <c r="AR50" s="1070"/>
      <c r="AS50" s="319" t="s">
        <v>792</v>
      </c>
      <c r="AT50" s="324" t="s">
        <v>791</v>
      </c>
      <c r="AU50" s="373" t="s">
        <v>837</v>
      </c>
    </row>
    <row r="51" spans="13:47" ht="16.5" thickBot="1">
      <c r="T51" s="1126"/>
      <c r="U51" s="1085"/>
      <c r="AN51" s="1087">
        <f t="shared" si="2"/>
        <v>40</v>
      </c>
      <c r="AQ51" s="372" t="s">
        <v>282</v>
      </c>
      <c r="AR51" s="1081" t="s">
        <v>903</v>
      </c>
      <c r="AS51" s="320">
        <v>912527.25</v>
      </c>
      <c r="AT51" s="1082">
        <v>1511343.18</v>
      </c>
      <c r="AU51" s="374">
        <f>SUM(AS51:AT51)</f>
        <v>2423870.4299999997</v>
      </c>
    </row>
    <row r="52" spans="13:47" ht="15">
      <c r="U52" s="1085"/>
      <c r="AE52" s="1372" t="s">
        <v>1436</v>
      </c>
      <c r="AF52" s="1373"/>
      <c r="AG52" s="1374">
        <v>2.9899999999999999E-2</v>
      </c>
      <c r="AH52" s="1375">
        <v>2.3100000000000002E-2</v>
      </c>
      <c r="AI52" s="1375">
        <v>0</v>
      </c>
      <c r="AJ52" s="1375">
        <v>0</v>
      </c>
      <c r="AK52" s="1375">
        <v>0</v>
      </c>
      <c r="AL52" s="1373"/>
      <c r="AM52" s="1373"/>
      <c r="AN52" s="1087">
        <f t="shared" si="2"/>
        <v>41</v>
      </c>
      <c r="AQ52" s="375" t="s">
        <v>723</v>
      </c>
      <c r="AR52" s="1081" t="s">
        <v>904</v>
      </c>
      <c r="AS52" s="321">
        <v>205258.13</v>
      </c>
      <c r="AT52" s="322">
        <v>490580.83</v>
      </c>
      <c r="AU52" s="376">
        <f t="shared" ref="AU52:AU54" si="9">SUM(AS52:AT52)</f>
        <v>695838.96</v>
      </c>
    </row>
    <row r="53" spans="13:47" ht="17.25" thickBot="1">
      <c r="U53" s="1085"/>
      <c r="AE53" s="1089" t="s">
        <v>1437</v>
      </c>
      <c r="AF53" s="1376"/>
      <c r="AG53" s="1377">
        <v>5.4899999999999997E-2</v>
      </c>
      <c r="AH53" s="1377">
        <v>6.7000000000000004E-2</v>
      </c>
      <c r="AI53" s="1377">
        <v>9.98E-2</v>
      </c>
      <c r="AJ53" s="1377">
        <v>7.4899999999999994E-2</v>
      </c>
      <c r="AK53" s="1377">
        <v>0.06</v>
      </c>
      <c r="AL53" s="1376"/>
      <c r="AM53" s="1378"/>
      <c r="AN53" s="1087">
        <f t="shared" si="2"/>
        <v>42</v>
      </c>
      <c r="AQ53" s="375" t="s">
        <v>5</v>
      </c>
      <c r="AR53" s="323" t="s">
        <v>905</v>
      </c>
      <c r="AS53" s="321">
        <v>3656777.7600000002</v>
      </c>
      <c r="AT53" s="952">
        <v>1458120.14</v>
      </c>
      <c r="AU53" s="376">
        <f t="shared" si="9"/>
        <v>5114897.9000000004</v>
      </c>
    </row>
    <row r="54" spans="13:47" ht="17.25" thickBot="1">
      <c r="T54" s="200"/>
      <c r="AE54" s="1089" t="s">
        <v>1438</v>
      </c>
      <c r="AF54" s="1376"/>
      <c r="AG54" s="1377">
        <v>8.48E-2</v>
      </c>
      <c r="AH54" s="1377">
        <v>9.0100000000000013E-2</v>
      </c>
      <c r="AI54" s="1377">
        <v>9.98E-2</v>
      </c>
      <c r="AJ54" s="1377">
        <v>7.4899999999999994E-2</v>
      </c>
      <c r="AK54" s="1377">
        <v>0.06</v>
      </c>
      <c r="AL54" s="1376"/>
      <c r="AM54" s="1378"/>
      <c r="AN54" s="1087">
        <f t="shared" si="2"/>
        <v>43</v>
      </c>
      <c r="AQ54" s="375" t="s">
        <v>906</v>
      </c>
      <c r="AR54" s="1083" t="s">
        <v>907</v>
      </c>
      <c r="AS54" s="321">
        <v>0</v>
      </c>
      <c r="AT54" s="952">
        <v>0</v>
      </c>
      <c r="AU54" s="376">
        <f t="shared" si="9"/>
        <v>0</v>
      </c>
    </row>
    <row r="55" spans="13:47" ht="15.75" thickBot="1">
      <c r="T55" s="200"/>
      <c r="AN55" s="1087">
        <f t="shared" si="2"/>
        <v>44</v>
      </c>
      <c r="AQ55" s="377" t="s">
        <v>837</v>
      </c>
      <c r="AR55" s="378" t="s">
        <v>907</v>
      </c>
      <c r="AS55" s="1451">
        <f>SUM(AS51:AS54)</f>
        <v>4774563.1400000006</v>
      </c>
      <c r="AT55" s="1367">
        <f>SUM(AT51:AT54)</f>
        <v>3460044.15</v>
      </c>
      <c r="AU55" s="1120">
        <f>SUM(AU51:AU54)</f>
        <v>8234607.29</v>
      </c>
    </row>
    <row r="57" spans="13:47">
      <c r="AK57" s="15" t="s">
        <v>1439</v>
      </c>
    </row>
    <row r="58" spans="13:47">
      <c r="AS58" s="15" t="s">
        <v>1439</v>
      </c>
    </row>
    <row r="62" spans="13:47">
      <c r="AD62" s="11"/>
    </row>
    <row r="63" spans="13:47">
      <c r="AD63" s="11"/>
    </row>
    <row r="64" spans="13:47">
      <c r="AD64" s="11"/>
    </row>
    <row r="65" spans="18:29">
      <c r="AB65" s="18"/>
    </row>
    <row r="66" spans="18:29">
      <c r="AB66" s="1439"/>
      <c r="AC66" s="1439"/>
    </row>
    <row r="67" spans="18:29">
      <c r="AB67" s="1439"/>
      <c r="AC67" s="1439"/>
    </row>
    <row r="72" spans="18:29">
      <c r="R72" s="205"/>
    </row>
    <row r="82" spans="21:26">
      <c r="U82" s="82"/>
    </row>
    <row r="83" spans="21:26">
      <c r="U83" s="82"/>
    </row>
    <row r="84" spans="21:26">
      <c r="U84" s="82"/>
    </row>
    <row r="85" spans="21:26">
      <c r="U85" s="82"/>
    </row>
    <row r="86" spans="21:26">
      <c r="U86" s="82"/>
    </row>
    <row r="87" spans="21:26">
      <c r="U87" s="82"/>
    </row>
    <row r="88" spans="21:26">
      <c r="U88" s="82"/>
    </row>
    <row r="89" spans="21:26">
      <c r="U89" s="87"/>
    </row>
    <row r="90" spans="21:26">
      <c r="U90" s="87"/>
    </row>
    <row r="91" spans="21:26">
      <c r="U91" s="87"/>
    </row>
    <row r="92" spans="21:26">
      <c r="U92" s="87"/>
    </row>
    <row r="93" spans="21:26">
      <c r="U93" s="87"/>
    </row>
    <row r="94" spans="21:26">
      <c r="U94" s="87"/>
    </row>
    <row r="95" spans="21:26">
      <c r="U95" s="87"/>
      <c r="Y95" s="1439"/>
      <c r="Z95" s="1439"/>
    </row>
    <row r="96" spans="21:26">
      <c r="U96" s="87"/>
      <c r="Y96" s="1439"/>
      <c r="Z96" s="1439"/>
    </row>
    <row r="97" spans="21:27" ht="13.5" customHeight="1">
      <c r="U97" s="87"/>
    </row>
    <row r="98" spans="21:27" ht="20.25" customHeight="1">
      <c r="U98" s="87"/>
      <c r="Y98" s="1127"/>
      <c r="Z98" s="1085"/>
    </row>
    <row r="99" spans="21:27">
      <c r="U99" s="87"/>
      <c r="Y99" s="1085"/>
      <c r="Z99" s="1085"/>
    </row>
    <row r="100" spans="21:27">
      <c r="U100" s="87"/>
      <c r="Y100" s="1085"/>
      <c r="Z100" s="1085"/>
    </row>
    <row r="101" spans="21:27">
      <c r="U101" s="87"/>
      <c r="Y101" s="952"/>
      <c r="Z101" s="952"/>
    </row>
    <row r="102" spans="21:27">
      <c r="U102" s="87"/>
    </row>
    <row r="103" spans="21:27">
      <c r="U103" s="87"/>
    </row>
    <row r="104" spans="21:27">
      <c r="U104" s="87"/>
    </row>
    <row r="105" spans="21:27">
      <c r="U105" s="87"/>
      <c r="Y105" s="952"/>
    </row>
    <row r="106" spans="21:27">
      <c r="U106" s="87"/>
      <c r="Y106" s="952"/>
    </row>
    <row r="107" spans="21:27">
      <c r="V107" s="1439"/>
      <c r="W107" s="1439"/>
      <c r="X107" s="1439"/>
      <c r="Y107" s="952"/>
      <c r="AA107" s="1439"/>
    </row>
    <row r="108" spans="21:27">
      <c r="V108" s="1439"/>
      <c r="W108" s="1439"/>
      <c r="X108" s="1439"/>
      <c r="Y108" s="952"/>
      <c r="AA108" s="1439"/>
    </row>
    <row r="110" spans="21:27">
      <c r="U110" s="1439"/>
      <c r="X110" s="1127"/>
    </row>
    <row r="111" spans="21:27">
      <c r="U111" s="1087"/>
      <c r="X111" s="1085"/>
    </row>
    <row r="112" spans="21:27">
      <c r="U112" s="82"/>
      <c r="X112" s="1128"/>
      <c r="AA112" s="1085"/>
    </row>
    <row r="113" spans="21:27">
      <c r="U113" s="82"/>
      <c r="X113" s="952"/>
      <c r="AA113" s="9"/>
    </row>
    <row r="114" spans="21:27">
      <c r="U114" s="82"/>
    </row>
    <row r="115" spans="21:27">
      <c r="U115" s="82"/>
    </row>
    <row r="116" spans="21:27">
      <c r="U116" s="82"/>
      <c r="X116" s="1129"/>
      <c r="AA116" s="1130"/>
    </row>
    <row r="117" spans="21:27">
      <c r="U117" s="82"/>
    </row>
    <row r="118" spans="21:27">
      <c r="U118" s="82"/>
      <c r="AA118" s="1130"/>
    </row>
    <row r="119" spans="21:27">
      <c r="U119" s="82"/>
      <c r="AA119" s="1130"/>
    </row>
    <row r="120" spans="21:27">
      <c r="U120" s="82"/>
    </row>
    <row r="121" spans="21:27">
      <c r="U121" s="82"/>
    </row>
    <row r="122" spans="21:27">
      <c r="U122" s="82"/>
    </row>
    <row r="123" spans="21:27">
      <c r="U123" s="82"/>
    </row>
    <row r="124" spans="21:27">
      <c r="U124" s="87"/>
    </row>
    <row r="125" spans="21:27">
      <c r="U125" s="87"/>
    </row>
    <row r="126" spans="21:27">
      <c r="U126" s="87"/>
    </row>
    <row r="127" spans="21:27">
      <c r="U127" s="87"/>
    </row>
    <row r="143" spans="21:21">
      <c r="U143" s="1124"/>
    </row>
    <row r="144" spans="21:21">
      <c r="U144" s="1124"/>
    </row>
    <row r="145" spans="21:21">
      <c r="U145" s="1124"/>
    </row>
    <row r="148" spans="21:21">
      <c r="U148" s="952"/>
    </row>
    <row r="150" spans="21:21">
      <c r="U150" s="1124"/>
    </row>
  </sheetData>
  <mergeCells count="2">
    <mergeCell ref="AQ39:AU39"/>
    <mergeCell ref="AQ48:AU48"/>
  </mergeCells>
  <phoneticPr fontId="0" type="noConversion"/>
  <dataValidations count="1">
    <dataValidation type="list" showInputMessage="1" showErrorMessage="1" sqref="H3">
      <formula1>"Insentives QGC,Insentives DPU,Insentives CCS,Insentives FINAL ORDER,Insentives HISTORICAL"</formula1>
    </dataValidation>
  </dataValidations>
  <printOptions horizontalCentered="1"/>
  <pageMargins left="0.75" right="0.75" top="1" bottom="1" header="0.5" footer="0.5"/>
  <pageSetup scale="80" orientation="portrait" cellComments="atEnd" r:id="rId1"/>
  <headerFooter alignWithMargins="0"/>
  <colBreaks count="1" manualBreakCount="1">
    <brk id="21" max="41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W139"/>
  <sheetViews>
    <sheetView zoomScaleNormal="100" workbookViewId="0">
      <selection activeCell="E20" sqref="E20"/>
    </sheetView>
  </sheetViews>
  <sheetFormatPr defaultRowHeight="12.75"/>
  <cols>
    <col min="1" max="1" width="35.7109375" style="15" bestFit="1" customWidth="1"/>
    <col min="2" max="2" width="15.28515625" style="15" customWidth="1"/>
    <col min="3" max="3" width="15.85546875" style="15" customWidth="1"/>
    <col min="4" max="4" width="15.28515625" style="15" customWidth="1"/>
    <col min="5" max="5" width="5.7109375" style="15" customWidth="1"/>
    <col min="6" max="6" width="2.7109375" style="15" customWidth="1"/>
    <col min="7" max="7" width="14" style="15" customWidth="1"/>
    <col min="8" max="8" width="4.7109375" style="24" customWidth="1"/>
    <col min="9" max="9" width="7.85546875" style="24" customWidth="1"/>
    <col min="10" max="10" width="35.5703125" style="24" customWidth="1"/>
    <col min="11" max="11" width="17" style="24" customWidth="1"/>
    <col min="12" max="13" width="18.7109375" style="24" bestFit="1" customWidth="1"/>
    <col min="14" max="14" width="5.7109375" style="24" customWidth="1"/>
    <col min="15" max="15" width="23.28515625" style="24" customWidth="1"/>
    <col min="16" max="16" width="11.42578125" style="1" customWidth="1"/>
    <col min="17" max="17" width="15.5703125" style="1" customWidth="1"/>
    <col min="18" max="18" width="11.42578125" style="1" customWidth="1"/>
    <col min="19" max="19" width="13.85546875" style="1" customWidth="1"/>
    <col min="20" max="20" width="10.85546875" style="1" customWidth="1"/>
    <col min="21" max="21" width="13.140625" style="1" customWidth="1"/>
    <col min="22" max="22" width="10.85546875" style="1" customWidth="1"/>
    <col min="23" max="23" width="9.140625" style="1"/>
    <col min="24" max="16384" width="9.140625" style="15"/>
  </cols>
  <sheetData>
    <row r="1" spans="1:22" ht="19.5" customHeight="1">
      <c r="A1" s="578" t="s">
        <v>917</v>
      </c>
      <c r="I1" s="1141" t="s">
        <v>917</v>
      </c>
      <c r="J1" s="1141"/>
      <c r="K1" s="1141"/>
      <c r="M1" s="1379"/>
      <c r="O1" s="1141" t="s">
        <v>917</v>
      </c>
      <c r="P1" s="1141"/>
      <c r="Q1" s="1171"/>
      <c r="R1" s="24"/>
      <c r="S1" s="1177"/>
      <c r="T1" s="24"/>
      <c r="U1" s="24"/>
    </row>
    <row r="2" spans="1:22">
      <c r="A2" s="578" t="str">
        <f>+'Control Panel'!$B$1</f>
        <v>Dominion Energy</v>
      </c>
      <c r="I2" s="1141" t="str">
        <f>'Control Panel'!$B$1</f>
        <v>Dominion Energy</v>
      </c>
      <c r="M2" s="39"/>
      <c r="O2" s="1141" t="str">
        <f>A2</f>
        <v>Dominion Energy</v>
      </c>
      <c r="P2" s="1141"/>
      <c r="Q2" s="1110"/>
      <c r="R2" s="1110"/>
      <c r="S2" s="1110"/>
      <c r="T2" s="24"/>
      <c r="U2" s="24"/>
    </row>
    <row r="3" spans="1:22" ht="12.75" customHeight="1">
      <c r="A3" s="578" t="str">
        <f>+'Control Panel'!$B$2</f>
        <v>Utah - DEC 2019 Adjusted Avg  Results</v>
      </c>
      <c r="I3" s="1141" t="str">
        <f>'Control Panel'!$B$2</f>
        <v>Utah - DEC 2019 Adjusted Avg  Results</v>
      </c>
      <c r="M3" s="29"/>
      <c r="O3" s="1141" t="str">
        <f t="shared" ref="O3:O4" si="0">A3</f>
        <v>Utah - DEC 2019 Adjusted Avg  Results</v>
      </c>
      <c r="P3" s="1141"/>
      <c r="Q3" s="1110"/>
      <c r="R3" s="1110"/>
      <c r="S3" s="1146"/>
      <c r="T3" s="3"/>
      <c r="U3" s="24"/>
    </row>
    <row r="4" spans="1:22">
      <c r="A4" s="578" t="str">
        <f>+'Control Panel'!$B$3</f>
        <v>12 Months Ended : Dec-2019</v>
      </c>
      <c r="I4" s="1141" t="str">
        <f>'Control Panel'!$B$3</f>
        <v>12 Months Ended : Dec-2019</v>
      </c>
      <c r="O4" s="1141" t="str">
        <f t="shared" si="0"/>
        <v>12 Months Ended : Dec-2019</v>
      </c>
      <c r="P4" s="1141"/>
      <c r="Q4" s="1110"/>
      <c r="R4" s="1110"/>
      <c r="S4" s="1146"/>
      <c r="T4" s="24"/>
      <c r="U4" s="24"/>
    </row>
    <row r="5" spans="1:22">
      <c r="H5" s="8" t="s">
        <v>1367</v>
      </c>
      <c r="P5" s="24"/>
      <c r="Q5" s="1110"/>
      <c r="R5" s="1110"/>
      <c r="S5" s="24"/>
      <c r="T5" s="1171"/>
      <c r="U5" s="24"/>
    </row>
    <row r="6" spans="1:22">
      <c r="G6" s="574" t="s">
        <v>768</v>
      </c>
      <c r="O6" s="1176" t="s">
        <v>921</v>
      </c>
      <c r="P6" s="1176"/>
      <c r="Q6" s="1146"/>
      <c r="R6" s="1146"/>
      <c r="S6" s="24"/>
      <c r="T6" s="1110"/>
      <c r="U6" s="24"/>
    </row>
    <row r="7" spans="1:22" ht="25.5">
      <c r="B7" s="139" t="str">
        <f>"Sporting Events "&amp;'Control Panel'!H8</f>
        <v>Sporting Events 2017</v>
      </c>
      <c r="C7" s="139" t="str">
        <f>"Sporting Events "&amp;'Control Panel'!J8</f>
        <v>Sporting Events 2018</v>
      </c>
      <c r="D7" s="139" t="str">
        <f>"Sporting Events "&amp;'Control Panel'!L8</f>
        <v>Sporting Events 2019</v>
      </c>
      <c r="E7" s="328"/>
      <c r="F7" s="456"/>
      <c r="G7" s="520" t="str">
        <f>+'Control Panel'!F35</f>
        <v>Sporting Events 2019</v>
      </c>
      <c r="H7" s="1">
        <v>1</v>
      </c>
      <c r="O7" s="1176"/>
      <c r="P7" s="1176"/>
      <c r="Q7" s="1146"/>
      <c r="R7" s="1146"/>
      <c r="S7" s="24"/>
      <c r="T7" s="1110"/>
      <c r="U7" s="24"/>
    </row>
    <row r="8" spans="1:22">
      <c r="E8" s="160"/>
      <c r="F8" s="160"/>
      <c r="H8" s="1">
        <f>H7+1</f>
        <v>2</v>
      </c>
      <c r="I8" s="1140"/>
      <c r="J8" s="1571" t="s">
        <v>917</v>
      </c>
      <c r="K8" s="1571"/>
      <c r="L8" s="1571"/>
      <c r="M8" s="1571"/>
      <c r="N8" s="1180"/>
      <c r="O8" s="1176"/>
      <c r="P8" s="1176"/>
      <c r="Q8" s="1146"/>
      <c r="R8" s="1146"/>
      <c r="S8" s="24"/>
      <c r="T8" s="1110"/>
      <c r="U8" s="24"/>
    </row>
    <row r="9" spans="1:22">
      <c r="H9" s="1">
        <f t="shared" ref="H9:H33" si="1">H8+1</f>
        <v>3</v>
      </c>
      <c r="I9" s="1140"/>
      <c r="J9" s="1579"/>
      <c r="K9" s="1571"/>
      <c r="L9" s="1571"/>
      <c r="M9" s="1571"/>
      <c r="O9" s="1176"/>
      <c r="P9" s="1176"/>
      <c r="Q9" s="1146"/>
      <c r="R9" s="1146"/>
      <c r="S9" s="24"/>
      <c r="T9" s="1110"/>
      <c r="U9" s="24"/>
    </row>
    <row r="10" spans="1:22" ht="26.25" customHeight="1" thickBot="1">
      <c r="B10" s="162"/>
      <c r="C10" s="162"/>
      <c r="D10" s="162"/>
      <c r="E10" s="162"/>
      <c r="F10" s="162"/>
      <c r="G10" s="162"/>
      <c r="H10" s="1">
        <f t="shared" si="1"/>
        <v>4</v>
      </c>
      <c r="I10" s="1140"/>
      <c r="J10" s="1110"/>
      <c r="K10" s="1110"/>
      <c r="M10" s="1144"/>
      <c r="N10" s="1144"/>
      <c r="O10" s="1176"/>
      <c r="P10" s="1176"/>
      <c r="Q10" s="1146"/>
      <c r="R10" s="1146"/>
      <c r="S10" s="24"/>
      <c r="T10" s="1110"/>
      <c r="U10" s="24"/>
    </row>
    <row r="11" spans="1:22">
      <c r="A11" s="15" t="s">
        <v>1131</v>
      </c>
      <c r="C11" s="101">
        <f>+'PROJECTED EXPENSES'!AU714</f>
        <v>1.4999999999999999E-2</v>
      </c>
      <c r="D11" s="101">
        <f>+'PROJECTED EXPENSES'!AV714</f>
        <v>1.3999999999999999E-2</v>
      </c>
      <c r="H11" s="1">
        <f t="shared" si="1"/>
        <v>5</v>
      </c>
      <c r="I11" s="1140"/>
      <c r="J11" s="1320" t="s">
        <v>796</v>
      </c>
      <c r="K11" s="1320" t="s">
        <v>797</v>
      </c>
      <c r="L11" s="1147" t="s">
        <v>798</v>
      </c>
      <c r="M11" s="1320" t="s">
        <v>799</v>
      </c>
      <c r="N11" s="1147"/>
      <c r="O11" s="1320" t="s">
        <v>796</v>
      </c>
      <c r="P11" s="1320" t="s">
        <v>797</v>
      </c>
      <c r="Q11" s="1147" t="s">
        <v>798</v>
      </c>
      <c r="R11" s="1320" t="s">
        <v>799</v>
      </c>
      <c r="S11" s="1320" t="s">
        <v>778</v>
      </c>
      <c r="T11" s="1320" t="s">
        <v>779</v>
      </c>
      <c r="U11" s="1147" t="s">
        <v>560</v>
      </c>
      <c r="V11" s="1320" t="s">
        <v>766</v>
      </c>
    </row>
    <row r="12" spans="1:22">
      <c r="A12" s="15" t="s">
        <v>918</v>
      </c>
      <c r="B12" s="102">
        <f ca="1">M33</f>
        <v>0</v>
      </c>
      <c r="C12" s="102">
        <f ca="1">B12*(1+C11)</f>
        <v>0</v>
      </c>
      <c r="D12" s="102">
        <f ca="1">C12*(1+D11)</f>
        <v>0</v>
      </c>
      <c r="E12" s="102"/>
      <c r="F12" s="102"/>
      <c r="G12" s="106">
        <f ca="1">HLOOKUP($G$7,events,H12,FALSE)</f>
        <v>0</v>
      </c>
      <c r="H12" s="1">
        <f t="shared" si="1"/>
        <v>6</v>
      </c>
      <c r="I12" s="1140"/>
      <c r="J12"/>
      <c r="K12"/>
      <c r="L12"/>
      <c r="M12"/>
      <c r="N12" s="1320"/>
      <c r="O12" s="1176"/>
      <c r="P12" s="1176"/>
      <c r="Q12" s="1146"/>
      <c r="R12" s="1146"/>
      <c r="S12" s="24"/>
      <c r="T12" s="1110"/>
      <c r="U12" s="24"/>
    </row>
    <row r="13" spans="1:22" ht="13.5" thickBot="1">
      <c r="B13" s="20"/>
      <c r="C13" s="20"/>
      <c r="D13" s="20"/>
      <c r="E13" s="521"/>
      <c r="F13" s="521"/>
      <c r="G13" s="521"/>
      <c r="H13" s="1">
        <f t="shared" si="1"/>
        <v>7</v>
      </c>
      <c r="I13" s="1140"/>
      <c r="J13"/>
      <c r="K13"/>
      <c r="L13"/>
      <c r="M13"/>
      <c r="N13" s="1160"/>
      <c r="O13" s="1176"/>
      <c r="P13" s="1176"/>
      <c r="Q13" s="1146"/>
      <c r="R13" s="1146"/>
      <c r="S13" s="24"/>
      <c r="T13" s="1110"/>
      <c r="U13" s="24"/>
    </row>
    <row r="14" spans="1:22">
      <c r="A14" s="15" t="s">
        <v>641</v>
      </c>
      <c r="B14" s="522">
        <f ca="1">'ROR-Model'!$M$2*B12*(1+B13)</f>
        <v>0</v>
      </c>
      <c r="C14" s="522">
        <f ca="1">'ROR-Model'!$M$2*C12*(1+C13)</f>
        <v>0</v>
      </c>
      <c r="D14" s="522">
        <f ca="1">'ROR-Model'!$M$2*D12*(1+D13)</f>
        <v>0</v>
      </c>
      <c r="E14" s="522"/>
      <c r="F14" s="522"/>
      <c r="G14" s="106">
        <f ca="1">HLOOKUP($G$7,events,H14,FALSE)</f>
        <v>0</v>
      </c>
      <c r="H14" s="1">
        <f t="shared" si="1"/>
        <v>8</v>
      </c>
      <c r="I14" s="1140"/>
      <c r="J14" s="1316" t="s">
        <v>460</v>
      </c>
      <c r="K14" s="1110"/>
      <c r="L14" s="1155">
        <v>0</v>
      </c>
      <c r="M14" s="1110"/>
      <c r="N14" s="1144"/>
      <c r="O14" s="1176"/>
      <c r="P14" s="1176"/>
      <c r="Q14" s="1146"/>
      <c r="R14" s="1146"/>
      <c r="S14" s="24"/>
      <c r="T14" s="1110"/>
      <c r="U14" s="24"/>
    </row>
    <row r="15" spans="1:22">
      <c r="A15" s="15" t="s">
        <v>642</v>
      </c>
      <c r="B15" s="102">
        <f ca="1">'ROR-Model'!$N$2*B12*(1+B13)</f>
        <v>0</v>
      </c>
      <c r="C15" s="102">
        <f ca="1">'ROR-Model'!$N$2*C12*(1+C13)</f>
        <v>0</v>
      </c>
      <c r="D15" s="102">
        <f ca="1">'ROR-Model'!$N$2*D12*(1+D13)</f>
        <v>0</v>
      </c>
      <c r="E15" s="102"/>
      <c r="F15" s="102"/>
      <c r="G15" s="106">
        <f ca="1">HLOOKUP($G$7,events,H15,FALSE)</f>
        <v>0</v>
      </c>
      <c r="H15" s="1">
        <f t="shared" si="1"/>
        <v>9</v>
      </c>
      <c r="I15" s="1"/>
      <c r="J15" s="1"/>
      <c r="K15" s="1"/>
      <c r="L15" s="1"/>
      <c r="M15" s="1"/>
      <c r="N15" s="1"/>
      <c r="O15" s="1176"/>
      <c r="P15" s="1176"/>
      <c r="Q15" s="1146"/>
      <c r="R15" s="1146"/>
      <c r="S15" s="24"/>
      <c r="T15" s="1110"/>
      <c r="U15" s="24"/>
    </row>
    <row r="16" spans="1:22" ht="26.25" customHeight="1" thickBot="1">
      <c r="A16" s="30"/>
      <c r="B16" s="30"/>
      <c r="C16" s="30"/>
      <c r="D16" s="30"/>
      <c r="E16" s="106"/>
      <c r="F16" s="106"/>
      <c r="H16" s="1">
        <f t="shared" si="1"/>
        <v>10</v>
      </c>
      <c r="I16" s="1147"/>
      <c r="J16" s="1147"/>
      <c r="K16" s="1147"/>
      <c r="L16" s="1146"/>
      <c r="M16" s="1"/>
      <c r="N16" s="1110"/>
      <c r="O16" s="1176"/>
      <c r="P16" s="1176"/>
      <c r="Q16" s="1146"/>
      <c r="R16" s="1146"/>
      <c r="S16" s="24"/>
      <c r="T16" s="1110"/>
      <c r="U16" s="24"/>
    </row>
    <row r="17" spans="8:22">
      <c r="H17" s="1">
        <f t="shared" si="1"/>
        <v>11</v>
      </c>
      <c r="I17" s="1"/>
      <c r="J17" s="1147"/>
      <c r="K17" s="1320" t="s">
        <v>199</v>
      </c>
      <c r="L17" s="1147" t="s">
        <v>763</v>
      </c>
      <c r="M17" s="1147" t="s">
        <v>42</v>
      </c>
      <c r="N17" s="1110"/>
      <c r="O17" s="1181"/>
      <c r="P17" s="1181"/>
      <c r="Q17" s="1146"/>
      <c r="R17" s="1146"/>
      <c r="S17" s="1380" t="s">
        <v>922</v>
      </c>
      <c r="T17" s="1381"/>
      <c r="U17" s="1577" t="s">
        <v>923</v>
      </c>
      <c r="V17" s="1578"/>
    </row>
    <row r="18" spans="8:22">
      <c r="H18" s="1">
        <f t="shared" si="1"/>
        <v>12</v>
      </c>
      <c r="I18" s="1"/>
      <c r="J18" s="1110" t="s">
        <v>161</v>
      </c>
      <c r="K18" s="1326" t="s">
        <v>162</v>
      </c>
      <c r="L18" s="1382" t="s">
        <v>668</v>
      </c>
      <c r="M18" s="1382" t="s">
        <v>668</v>
      </c>
      <c r="N18" s="1110"/>
      <c r="O18" s="1171" t="s">
        <v>819</v>
      </c>
      <c r="P18" s="1320" t="s">
        <v>1368</v>
      </c>
      <c r="Q18" s="1320" t="s">
        <v>924</v>
      </c>
      <c r="R18" s="1321" t="s">
        <v>925</v>
      </c>
      <c r="S18" s="1182" t="s">
        <v>820</v>
      </c>
      <c r="T18" s="1183" t="s">
        <v>926</v>
      </c>
      <c r="U18" s="1182" t="s">
        <v>820</v>
      </c>
      <c r="V18" s="1183" t="s">
        <v>926</v>
      </c>
    </row>
    <row r="19" spans="8:22" ht="13.5" thickBot="1">
      <c r="H19" s="1">
        <f t="shared" si="1"/>
        <v>13</v>
      </c>
      <c r="I19" s="1"/>
      <c r="J19" s="1"/>
      <c r="K19" s="1"/>
      <c r="L19" s="1"/>
      <c r="M19" s="1"/>
      <c r="N19" s="1110"/>
      <c r="O19" s="1171"/>
      <c r="P19" s="1383" t="s">
        <v>110</v>
      </c>
      <c r="Q19" s="1383" t="s">
        <v>927</v>
      </c>
      <c r="R19" s="1384" t="s">
        <v>1596</v>
      </c>
      <c r="S19" s="1385" t="s">
        <v>821</v>
      </c>
      <c r="T19" s="1386" t="s">
        <v>928</v>
      </c>
      <c r="U19" s="1385" t="s">
        <v>821</v>
      </c>
      <c r="V19" s="1386" t="s">
        <v>928</v>
      </c>
    </row>
    <row r="20" spans="8:22">
      <c r="H20" s="1">
        <f t="shared" si="1"/>
        <v>14</v>
      </c>
      <c r="I20" s="1"/>
      <c r="J20" s="1110" t="s">
        <v>115</v>
      </c>
      <c r="K20" s="1110"/>
      <c r="L20" s="1111"/>
      <c r="M20" s="1111"/>
      <c r="N20" s="1110">
        <v>1</v>
      </c>
      <c r="O20" s="1110" t="s">
        <v>898</v>
      </c>
      <c r="P20" s="1157">
        <v>0</v>
      </c>
      <c r="Q20" s="1157">
        <v>0</v>
      </c>
      <c r="R20" s="1452">
        <v>1</v>
      </c>
      <c r="S20" s="1157">
        <f>R20*P20</f>
        <v>0</v>
      </c>
      <c r="T20" s="1157">
        <f>P20-S20</f>
        <v>0</v>
      </c>
      <c r="U20" s="1">
        <f>R20*Q20</f>
        <v>0</v>
      </c>
      <c r="V20" s="1">
        <f>Q20-U20</f>
        <v>0</v>
      </c>
    </row>
    <row r="21" spans="8:22">
      <c r="H21" s="1">
        <f t="shared" si="1"/>
        <v>15</v>
      </c>
      <c r="I21" s="1147"/>
      <c r="J21" s="1126" t="s">
        <v>133</v>
      </c>
      <c r="K21" s="1387">
        <f>+'ALLOCATIONS&amp;PRETAX'!E8</f>
        <v>0.49099999999999999</v>
      </c>
      <c r="L21" s="1388"/>
      <c r="M21" s="1388"/>
      <c r="N21" s="1110">
        <f>N20+1</f>
        <v>2</v>
      </c>
      <c r="O21" s="1110" t="s">
        <v>899</v>
      </c>
      <c r="P21" s="1157">
        <v>0</v>
      </c>
      <c r="Q21" s="1157">
        <v>4496</v>
      </c>
      <c r="R21" s="1452">
        <v>1</v>
      </c>
      <c r="S21" s="1184">
        <f>R21*P21</f>
        <v>0</v>
      </c>
      <c r="T21" s="1184">
        <f>P21-S21</f>
        <v>0</v>
      </c>
      <c r="U21" s="1184">
        <f>R21*Q21</f>
        <v>4496</v>
      </c>
      <c r="V21" s="1184">
        <f>Q21-U21</f>
        <v>0</v>
      </c>
    </row>
    <row r="22" spans="8:22">
      <c r="H22" s="1">
        <f t="shared" si="1"/>
        <v>16</v>
      </c>
      <c r="I22" s="1147"/>
      <c r="J22" s="1150" t="s">
        <v>134</v>
      </c>
      <c r="K22" s="1164">
        <f>+L14*K21</f>
        <v>0</v>
      </c>
      <c r="L22" s="1389">
        <f>+K22</f>
        <v>0</v>
      </c>
      <c r="M22" s="1389">
        <f>+L22</f>
        <v>0</v>
      </c>
      <c r="N22" s="1110">
        <f t="shared" ref="N22:N35" si="2">N21+1</f>
        <v>3</v>
      </c>
      <c r="O22" s="24" t="s">
        <v>942</v>
      </c>
      <c r="P22" s="1390">
        <v>0</v>
      </c>
      <c r="Q22" s="1390">
        <v>0</v>
      </c>
      <c r="R22" s="1453">
        <v>0</v>
      </c>
      <c r="S22" s="1390">
        <f>R22*P22</f>
        <v>0</v>
      </c>
      <c r="T22" s="1390">
        <f>P22-S22</f>
        <v>0</v>
      </c>
      <c r="U22" s="1390">
        <f>R22*Q22</f>
        <v>0</v>
      </c>
      <c r="V22" s="1390">
        <f>Q22-U22</f>
        <v>0</v>
      </c>
    </row>
    <row r="23" spans="8:22">
      <c r="H23" s="1">
        <f t="shared" si="1"/>
        <v>17</v>
      </c>
      <c r="I23" s="1"/>
      <c r="J23" s="1146"/>
      <c r="K23" s="1146"/>
      <c r="L23" s="1110"/>
      <c r="M23" s="1110"/>
      <c r="N23" s="1110">
        <f t="shared" si="2"/>
        <v>4</v>
      </c>
      <c r="P23" s="1184"/>
      <c r="Q23" s="228"/>
      <c r="R23" s="46"/>
      <c r="S23" s="1184"/>
      <c r="T23" s="1184"/>
      <c r="U23" s="1184">
        <f>SUM(U20:U22)</f>
        <v>4496</v>
      </c>
      <c r="V23" s="1184">
        <f>SUM(V20:V22)</f>
        <v>0</v>
      </c>
    </row>
    <row r="24" spans="8:22">
      <c r="H24" s="1">
        <f t="shared" si="1"/>
        <v>18</v>
      </c>
      <c r="I24" s="1"/>
      <c r="J24" s="1"/>
      <c r="K24" s="1"/>
      <c r="L24" s="1"/>
      <c r="M24" s="1"/>
      <c r="N24" s="1110">
        <f t="shared" si="2"/>
        <v>5</v>
      </c>
      <c r="O24" s="1110" t="s">
        <v>929</v>
      </c>
      <c r="P24" s="1157">
        <f>SUM(P20:P22)</f>
        <v>0</v>
      </c>
      <c r="Q24" s="1157">
        <f>SUM(Q20:Q22)</f>
        <v>4496</v>
      </c>
      <c r="R24" s="101"/>
      <c r="S24" s="1157">
        <f>SUM(S20:S22)</f>
        <v>0</v>
      </c>
      <c r="T24" s="1184">
        <f>SUM(T20:T22)</f>
        <v>0</v>
      </c>
      <c r="U24" s="24"/>
    </row>
    <row r="25" spans="8:22">
      <c r="H25" s="1">
        <f t="shared" si="1"/>
        <v>19</v>
      </c>
      <c r="I25" s="1316" t="s">
        <v>919</v>
      </c>
      <c r="M25" s="1117">
        <f>T24</f>
        <v>0</v>
      </c>
      <c r="N25" s="1110">
        <f t="shared" si="2"/>
        <v>6</v>
      </c>
      <c r="P25" s="24"/>
      <c r="Q25" s="1185"/>
      <c r="R25" s="1185"/>
      <c r="S25" s="24"/>
      <c r="T25" s="1146"/>
      <c r="U25" s="24"/>
    </row>
    <row r="26" spans="8:22">
      <c r="H26" s="1">
        <f t="shared" si="1"/>
        <v>20</v>
      </c>
      <c r="I26" s="1110"/>
      <c r="N26" s="1110">
        <f t="shared" si="2"/>
        <v>7</v>
      </c>
      <c r="P26" s="24"/>
      <c r="Q26" s="1146"/>
      <c r="R26" s="52"/>
      <c r="S26" s="1185"/>
      <c r="T26" s="1160"/>
      <c r="U26" s="24"/>
    </row>
    <row r="27" spans="8:22">
      <c r="H27" s="1">
        <f t="shared" si="1"/>
        <v>21</v>
      </c>
      <c r="I27" s="1316" t="s">
        <v>918</v>
      </c>
      <c r="M27" s="457">
        <f>M25+M22</f>
        <v>0</v>
      </c>
      <c r="N27" s="1110">
        <f t="shared" si="2"/>
        <v>8</v>
      </c>
      <c r="P27" s="24"/>
      <c r="Q27" s="24"/>
      <c r="R27" s="24"/>
      <c r="S27" s="24"/>
      <c r="T27" s="24"/>
      <c r="U27" s="24"/>
    </row>
    <row r="28" spans="8:22">
      <c r="H28" s="1">
        <f t="shared" si="1"/>
        <v>22</v>
      </c>
      <c r="I28" s="98" t="s">
        <v>1369</v>
      </c>
      <c r="J28" s="28"/>
      <c r="M28" s="46"/>
      <c r="N28" s="1110">
        <f t="shared" si="2"/>
        <v>9</v>
      </c>
      <c r="P28" s="52" t="s">
        <v>1597</v>
      </c>
      <c r="Q28" s="52"/>
      <c r="R28" s="1154"/>
      <c r="S28" s="24"/>
      <c r="T28" s="24"/>
      <c r="U28" s="24"/>
    </row>
    <row r="29" spans="8:22">
      <c r="H29" s="1">
        <f t="shared" si="1"/>
        <v>23</v>
      </c>
      <c r="I29" s="28" t="s">
        <v>777</v>
      </c>
      <c r="J29" s="28"/>
      <c r="M29" s="457">
        <f>-M27*(1+M28)</f>
        <v>0</v>
      </c>
      <c r="N29" s="1110">
        <f t="shared" si="2"/>
        <v>10</v>
      </c>
      <c r="P29" s="1185"/>
      <c r="Q29" s="24"/>
      <c r="R29" s="24"/>
      <c r="S29" s="24"/>
      <c r="T29" s="24"/>
      <c r="U29" s="1186"/>
      <c r="V29" s="1186"/>
    </row>
    <row r="30" spans="8:22">
      <c r="H30" s="1">
        <f t="shared" si="1"/>
        <v>24</v>
      </c>
      <c r="N30" s="1110">
        <f t="shared" si="2"/>
        <v>11</v>
      </c>
      <c r="O30" s="1187"/>
      <c r="P30" s="1154" t="s">
        <v>820</v>
      </c>
      <c r="Q30" s="24"/>
      <c r="R30" s="24"/>
      <c r="S30" s="24"/>
      <c r="T30" s="24"/>
      <c r="U30" s="1186"/>
      <c r="V30" s="1186"/>
    </row>
    <row r="31" spans="8:22" ht="13.5" thickBot="1">
      <c r="H31" s="1">
        <f t="shared" si="1"/>
        <v>25</v>
      </c>
      <c r="J31" s="1177" t="s">
        <v>641</v>
      </c>
      <c r="K31" s="1110"/>
      <c r="L31" s="1110"/>
      <c r="M31" s="457">
        <f ca="1">M29*'ROR-Model'!M2</f>
        <v>0</v>
      </c>
      <c r="N31" s="1110">
        <f t="shared" si="2"/>
        <v>12</v>
      </c>
      <c r="O31" s="1111"/>
      <c r="P31" s="1188" t="s">
        <v>821</v>
      </c>
      <c r="Q31" s="1188" t="s">
        <v>822</v>
      </c>
      <c r="R31" s="1188" t="s">
        <v>170</v>
      </c>
      <c r="S31" s="24"/>
      <c r="T31" s="24"/>
      <c r="U31" s="24"/>
    </row>
    <row r="32" spans="8:22" ht="14.25" thickTop="1" thickBot="1">
      <c r="H32" s="1">
        <f t="shared" si="1"/>
        <v>26</v>
      </c>
      <c r="J32" s="43" t="s">
        <v>920</v>
      </c>
      <c r="M32" s="1391">
        <f ca="1">M29*'ROR-Model'!N2</f>
        <v>0</v>
      </c>
      <c r="N32" s="1110">
        <f t="shared" si="2"/>
        <v>13</v>
      </c>
      <c r="O32" s="1111" t="s">
        <v>943</v>
      </c>
      <c r="P32" s="1187">
        <v>352</v>
      </c>
      <c r="Q32" s="1187">
        <v>0</v>
      </c>
      <c r="R32" s="1187">
        <f>P32+Q32</f>
        <v>352</v>
      </c>
      <c r="S32" s="24"/>
      <c r="T32" s="24"/>
      <c r="U32" s="24"/>
    </row>
    <row r="33" spans="8:21">
      <c r="H33" s="1">
        <f t="shared" si="1"/>
        <v>27</v>
      </c>
      <c r="J33" s="24" t="s">
        <v>170</v>
      </c>
      <c r="M33" s="457">
        <f ca="1">SUM(M31:M32)</f>
        <v>0</v>
      </c>
      <c r="N33" s="1110">
        <f t="shared" si="2"/>
        <v>14</v>
      </c>
      <c r="O33" s="24" t="s">
        <v>942</v>
      </c>
      <c r="P33" s="24">
        <v>0</v>
      </c>
      <c r="Q33" s="24">
        <v>0</v>
      </c>
      <c r="R33" s="24">
        <f>SUM(P33:Q33)</f>
        <v>0</v>
      </c>
      <c r="S33" s="1186"/>
      <c r="T33" s="1186"/>
      <c r="U33" s="24"/>
    </row>
    <row r="34" spans="8:21">
      <c r="N34" s="1110">
        <f t="shared" si="2"/>
        <v>15</v>
      </c>
      <c r="O34" s="1111" t="s">
        <v>823</v>
      </c>
      <c r="P34" s="1189">
        <f>SUM(P32:P33)</f>
        <v>352</v>
      </c>
      <c r="Q34" s="1189">
        <f>SUM(Q32:Q33)</f>
        <v>0</v>
      </c>
      <c r="R34" s="1189">
        <f>SUM(R32:R33)</f>
        <v>352</v>
      </c>
      <c r="S34" s="1186"/>
      <c r="T34" s="1186"/>
      <c r="U34" s="24"/>
    </row>
    <row r="35" spans="8:21">
      <c r="I35" s="1"/>
      <c r="N35" s="1110">
        <f t="shared" si="2"/>
        <v>16</v>
      </c>
      <c r="O35" s="1111" t="s">
        <v>944</v>
      </c>
      <c r="P35" s="1190">
        <f>P34/$R$34</f>
        <v>1</v>
      </c>
      <c r="Q35" s="1190">
        <f>Q34/$R$34</f>
        <v>0</v>
      </c>
      <c r="R35" s="1190">
        <f>R34/$R$34</f>
        <v>1</v>
      </c>
      <c r="S35" s="24"/>
      <c r="T35" s="24"/>
      <c r="U35" s="24"/>
    </row>
    <row r="36" spans="8:21">
      <c r="I36" s="1171"/>
      <c r="J36" s="1"/>
      <c r="K36" s="1"/>
      <c r="L36" s="1"/>
      <c r="M36" s="1"/>
      <c r="N36" s="1110"/>
      <c r="P36" s="24"/>
      <c r="T36" s="24"/>
      <c r="U36" s="24"/>
    </row>
    <row r="37" spans="8:21">
      <c r="I37" s="1110"/>
      <c r="J37" s="1171"/>
      <c r="N37" s="1110"/>
      <c r="P37" s="24"/>
      <c r="R37" s="24"/>
      <c r="S37" s="24"/>
      <c r="T37" s="24"/>
    </row>
    <row r="38" spans="8:21">
      <c r="I38" s="1110"/>
      <c r="J38" s="1110"/>
      <c r="P38" s="24"/>
      <c r="T38" s="24"/>
    </row>
    <row r="39" spans="8:21">
      <c r="J39" s="1110"/>
      <c r="P39" s="24"/>
      <c r="Q39" s="24"/>
      <c r="R39" s="24"/>
      <c r="S39" s="24"/>
      <c r="T39" s="1185"/>
    </row>
    <row r="40" spans="8:21">
      <c r="I40" s="1110"/>
      <c r="J40" s="1110"/>
      <c r="O40" s="1"/>
      <c r="Q40" s="24"/>
      <c r="R40" s="24"/>
      <c r="S40" s="24"/>
      <c r="T40" s="24"/>
    </row>
    <row r="41" spans="8:21">
      <c r="O41" s="1"/>
      <c r="Q41" s="24"/>
      <c r="R41" s="24"/>
      <c r="S41" s="24"/>
      <c r="T41" s="24"/>
    </row>
    <row r="42" spans="8:21">
      <c r="P42" s="24"/>
      <c r="Q42" s="24"/>
      <c r="R42" s="24"/>
      <c r="S42" s="24"/>
      <c r="T42" s="24"/>
    </row>
    <row r="43" spans="8:21">
      <c r="P43" s="24"/>
      <c r="Q43" s="24"/>
      <c r="R43" s="24"/>
      <c r="S43" s="24"/>
      <c r="T43" s="24"/>
    </row>
    <row r="44" spans="8:21">
      <c r="P44" s="24"/>
      <c r="Q44" s="24"/>
      <c r="R44" s="24"/>
      <c r="S44" s="24"/>
      <c r="T44" s="24"/>
    </row>
    <row r="45" spans="8:21">
      <c r="P45" s="24"/>
      <c r="Q45" s="24"/>
      <c r="R45" s="24"/>
      <c r="S45" s="24"/>
      <c r="T45" s="24"/>
    </row>
    <row r="46" spans="8:21">
      <c r="P46" s="24"/>
      <c r="Q46" s="24"/>
      <c r="R46" s="24"/>
      <c r="S46" s="24"/>
      <c r="T46" s="24"/>
    </row>
    <row r="47" spans="8:21">
      <c r="P47" s="24"/>
      <c r="Q47" s="24"/>
      <c r="R47" s="24"/>
      <c r="S47" s="24"/>
      <c r="T47" s="24"/>
    </row>
    <row r="48" spans="8:21">
      <c r="H48" s="1140"/>
      <c r="P48" s="24"/>
      <c r="Q48" s="24"/>
      <c r="R48" s="24"/>
      <c r="S48" s="24"/>
      <c r="T48" s="24"/>
    </row>
    <row r="49" spans="8:20">
      <c r="H49" s="1140"/>
      <c r="P49" s="24"/>
      <c r="Q49" s="24"/>
      <c r="R49" s="24"/>
      <c r="S49" s="24"/>
    </row>
    <row r="50" spans="8:20">
      <c r="H50" s="1140"/>
      <c r="P50" s="24"/>
      <c r="Q50" s="24"/>
      <c r="R50" s="24"/>
      <c r="S50" s="24"/>
      <c r="T50" s="24"/>
    </row>
    <row r="51" spans="8:20">
      <c r="H51" s="1140"/>
      <c r="I51" s="1110"/>
      <c r="P51" s="24"/>
      <c r="Q51" s="24"/>
      <c r="R51" s="24"/>
      <c r="S51" s="24"/>
    </row>
    <row r="52" spans="8:20">
      <c r="H52" s="1140"/>
      <c r="I52" s="1110"/>
      <c r="P52" s="24"/>
      <c r="Q52" s="24"/>
      <c r="R52" s="24"/>
      <c r="S52" s="24"/>
    </row>
    <row r="53" spans="8:20">
      <c r="H53" s="1140"/>
      <c r="I53" s="1110"/>
      <c r="P53" s="24"/>
      <c r="Q53" s="24"/>
      <c r="R53" s="24"/>
      <c r="S53" s="24"/>
    </row>
    <row r="54" spans="8:20">
      <c r="H54" s="1140"/>
      <c r="I54" s="1110"/>
      <c r="P54" s="24"/>
      <c r="Q54" s="24"/>
      <c r="R54" s="24"/>
      <c r="S54" s="24"/>
      <c r="T54" s="1111"/>
    </row>
    <row r="55" spans="8:20">
      <c r="H55" s="1140"/>
      <c r="I55" s="1147"/>
      <c r="P55" s="24"/>
      <c r="Q55" s="24"/>
      <c r="R55" s="24"/>
      <c r="S55" s="24"/>
    </row>
    <row r="56" spans="8:20">
      <c r="H56" s="1"/>
      <c r="I56" s="1147"/>
    </row>
    <row r="57" spans="8:20">
      <c r="H57" s="1"/>
      <c r="I57" s="1147"/>
    </row>
    <row r="58" spans="8:20">
      <c r="H58" s="1"/>
      <c r="I58" s="1147"/>
    </row>
    <row r="59" spans="8:20">
      <c r="H59" s="1"/>
      <c r="I59" s="1147"/>
    </row>
    <row r="60" spans="8:20">
      <c r="H60" s="1"/>
      <c r="I60" s="1147"/>
    </row>
    <row r="61" spans="8:20">
      <c r="H61" s="1157"/>
      <c r="I61" s="1147"/>
      <c r="R61" s="1105"/>
    </row>
    <row r="62" spans="8:20">
      <c r="H62" s="1157"/>
      <c r="I62" s="1147"/>
    </row>
    <row r="63" spans="8:20">
      <c r="H63" s="1157"/>
      <c r="I63" s="1147"/>
    </row>
    <row r="64" spans="8:20">
      <c r="H64" s="1140"/>
      <c r="I64" s="1147"/>
    </row>
    <row r="65" spans="8:9">
      <c r="H65" s="1140"/>
      <c r="I65" s="1147"/>
    </row>
    <row r="66" spans="8:9">
      <c r="H66" s="1140"/>
      <c r="I66" s="1147"/>
    </row>
    <row r="67" spans="8:9">
      <c r="H67" s="1140"/>
      <c r="I67" s="1147"/>
    </row>
    <row r="68" spans="8:9">
      <c r="H68" s="1140"/>
      <c r="I68" s="1"/>
    </row>
    <row r="69" spans="8:9">
      <c r="H69" s="1140"/>
    </row>
    <row r="70" spans="8:9">
      <c r="H70" s="1140"/>
    </row>
    <row r="71" spans="8:9">
      <c r="H71" s="1140"/>
    </row>
    <row r="72" spans="8:9">
      <c r="H72" s="1140"/>
    </row>
    <row r="73" spans="8:9">
      <c r="H73" s="1140"/>
    </row>
    <row r="74" spans="8:9">
      <c r="H74" s="1140"/>
    </row>
    <row r="75" spans="8:9">
      <c r="H75" s="1140"/>
    </row>
    <row r="76" spans="8:9">
      <c r="H76" s="1140"/>
    </row>
    <row r="77" spans="8:9">
      <c r="H77" s="1140"/>
    </row>
    <row r="78" spans="8:9">
      <c r="H78" s="1140"/>
    </row>
    <row r="79" spans="8:9">
      <c r="H79" s="1140"/>
    </row>
    <row r="80" spans="8:9">
      <c r="H80" s="1"/>
    </row>
    <row r="86" spans="9:15">
      <c r="N86" s="1"/>
    </row>
    <row r="87" spans="9:15">
      <c r="N87" s="1111"/>
    </row>
    <row r="88" spans="9:15">
      <c r="N88" s="1159"/>
    </row>
    <row r="89" spans="9:15">
      <c r="N89" s="1117"/>
    </row>
    <row r="90" spans="9:15">
      <c r="N90" s="1110"/>
    </row>
    <row r="91" spans="9:15">
      <c r="N91" s="1"/>
    </row>
    <row r="92" spans="9:15">
      <c r="N92" s="1111"/>
    </row>
    <row r="93" spans="9:15">
      <c r="N93" s="1159"/>
    </row>
    <row r="94" spans="9:15">
      <c r="N94" s="1117"/>
    </row>
    <row r="95" spans="9:15">
      <c r="I95" s="1140"/>
      <c r="K95" s="1"/>
      <c r="L95" s="1"/>
      <c r="M95" s="1"/>
      <c r="N95" s="1110"/>
    </row>
    <row r="96" spans="9:15">
      <c r="K96" s="1"/>
      <c r="L96" s="1"/>
      <c r="M96" s="1"/>
      <c r="N96" s="1"/>
      <c r="O96" s="1"/>
    </row>
    <row r="97" spans="9:15">
      <c r="I97" s="1140"/>
      <c r="K97" s="1"/>
      <c r="L97" s="1"/>
      <c r="M97" s="1"/>
      <c r="N97" s="1111"/>
      <c r="O97" s="1"/>
    </row>
    <row r="98" spans="9:15">
      <c r="I98" s="1140"/>
      <c r="J98" s="1"/>
      <c r="K98" s="1"/>
      <c r="L98" s="1"/>
      <c r="M98" s="1"/>
      <c r="N98" s="1159"/>
      <c r="O98" s="1"/>
    </row>
    <row r="99" spans="9:15">
      <c r="J99" s="1"/>
      <c r="K99" s="1"/>
      <c r="L99" s="1"/>
      <c r="M99" s="1"/>
      <c r="N99" s="1117"/>
      <c r="O99" s="1"/>
    </row>
    <row r="100" spans="9:15">
      <c r="J100" s="1"/>
      <c r="K100" s="1"/>
      <c r="L100" s="1"/>
      <c r="M100" s="1"/>
      <c r="N100" s="1"/>
      <c r="O100" s="1"/>
    </row>
    <row r="101" spans="9:15">
      <c r="J101" s="1"/>
      <c r="K101" s="1"/>
      <c r="L101" s="1"/>
      <c r="M101" s="1"/>
      <c r="N101" s="1096"/>
      <c r="O101" s="1"/>
    </row>
    <row r="102" spans="9:15">
      <c r="J102" s="1"/>
      <c r="K102" s="1"/>
      <c r="L102" s="1"/>
      <c r="M102" s="1"/>
      <c r="N102" s="1096"/>
      <c r="O102" s="1"/>
    </row>
    <row r="103" spans="9:15">
      <c r="J103" s="1"/>
      <c r="K103" s="1"/>
      <c r="L103" s="1"/>
      <c r="M103" s="1"/>
      <c r="N103" s="1"/>
      <c r="O103" s="1"/>
    </row>
    <row r="104" spans="9:15">
      <c r="J104" s="1"/>
      <c r="K104" s="1"/>
      <c r="L104" s="1"/>
      <c r="M104" s="1"/>
      <c r="N104" s="1"/>
      <c r="O104" s="1"/>
    </row>
    <row r="105" spans="9:15">
      <c r="J105" s="1"/>
      <c r="K105" s="1"/>
      <c r="L105" s="1"/>
      <c r="M105" s="1"/>
      <c r="N105" s="1"/>
      <c r="O105" s="1"/>
    </row>
    <row r="106" spans="9:15">
      <c r="J106" s="1"/>
      <c r="K106" s="1"/>
      <c r="L106" s="1"/>
      <c r="M106" s="1"/>
      <c r="O106" s="1"/>
    </row>
    <row r="107" spans="9:15">
      <c r="J107" s="1"/>
      <c r="K107" s="1"/>
      <c r="L107" s="1"/>
      <c r="M107" s="1"/>
      <c r="O107" s="1"/>
    </row>
    <row r="108" spans="9:15">
      <c r="J108" s="1"/>
      <c r="K108" s="1"/>
      <c r="L108" s="1"/>
      <c r="M108" s="1"/>
      <c r="N108" s="1"/>
      <c r="O108" s="1"/>
    </row>
    <row r="109" spans="9:15">
      <c r="J109" s="1"/>
      <c r="K109" s="1"/>
      <c r="L109" s="1"/>
      <c r="M109" s="1"/>
      <c r="N109" s="1"/>
      <c r="O109" s="1"/>
    </row>
    <row r="110" spans="9:15">
      <c r="J110" s="1"/>
      <c r="K110" s="1"/>
      <c r="L110" s="1"/>
      <c r="M110" s="1"/>
      <c r="N110" s="1"/>
      <c r="O110" s="1"/>
    </row>
    <row r="111" spans="9:15">
      <c r="J111" s="1"/>
      <c r="K111" s="1"/>
      <c r="L111" s="1"/>
      <c r="M111" s="1"/>
      <c r="N111" s="1"/>
      <c r="O111" s="1"/>
    </row>
    <row r="112" spans="9:15">
      <c r="J112" s="1"/>
      <c r="K112" s="1"/>
      <c r="L112" s="1"/>
      <c r="M112" s="1"/>
      <c r="N112" s="1"/>
      <c r="O112" s="1"/>
    </row>
    <row r="113" spans="10:15">
      <c r="J113" s="1"/>
      <c r="K113" s="1"/>
      <c r="L113" s="1"/>
      <c r="M113" s="1"/>
      <c r="N113" s="1"/>
      <c r="O113" s="1"/>
    </row>
    <row r="114" spans="10:15">
      <c r="J114" s="1"/>
      <c r="K114" s="1"/>
      <c r="L114" s="1"/>
      <c r="M114" s="1"/>
      <c r="N114" s="1"/>
      <c r="O114" s="1"/>
    </row>
    <row r="115" spans="10:15">
      <c r="J115" s="1"/>
      <c r="K115" s="1"/>
      <c r="L115" s="1"/>
      <c r="M115" s="1"/>
      <c r="N115" s="1"/>
      <c r="O115" s="1"/>
    </row>
    <row r="116" spans="10:15">
      <c r="J116" s="1"/>
      <c r="K116" s="1"/>
      <c r="L116" s="1"/>
      <c r="M116" s="1"/>
      <c r="N116" s="1"/>
      <c r="O116" s="1"/>
    </row>
    <row r="117" spans="10:15">
      <c r="J117" s="1"/>
      <c r="K117" s="1"/>
      <c r="L117" s="1"/>
      <c r="M117" s="1"/>
      <c r="N117" s="1"/>
      <c r="O117" s="1"/>
    </row>
    <row r="118" spans="10:15">
      <c r="J118" s="1"/>
      <c r="K118" s="1"/>
      <c r="L118" s="1"/>
      <c r="M118" s="1"/>
      <c r="N118" s="1"/>
      <c r="O118" s="1"/>
    </row>
    <row r="119" spans="10:15">
      <c r="J119" s="1"/>
      <c r="K119" s="1"/>
      <c r="L119" s="1"/>
      <c r="M119" s="1"/>
      <c r="N119" s="1"/>
      <c r="O119" s="1"/>
    </row>
    <row r="120" spans="10:15">
      <c r="J120" s="1"/>
      <c r="K120" s="1"/>
      <c r="L120" s="1"/>
      <c r="M120" s="1"/>
      <c r="N120" s="1"/>
      <c r="O120" s="1"/>
    </row>
    <row r="121" spans="10:15">
      <c r="J121" s="1"/>
      <c r="K121" s="1"/>
      <c r="L121" s="1"/>
      <c r="M121" s="1"/>
      <c r="N121" s="1"/>
      <c r="O121" s="1"/>
    </row>
    <row r="122" spans="10:15">
      <c r="J122" s="1"/>
      <c r="K122" s="1"/>
      <c r="L122" s="1"/>
      <c r="M122" s="1"/>
      <c r="N122" s="1"/>
      <c r="O122" s="1"/>
    </row>
    <row r="123" spans="10:15">
      <c r="J123" s="1"/>
      <c r="K123" s="1"/>
      <c r="L123" s="1"/>
      <c r="M123" s="1"/>
      <c r="N123" s="1"/>
      <c r="O123" s="1"/>
    </row>
    <row r="124" spans="10:15">
      <c r="J124" s="1"/>
      <c r="K124" s="1"/>
      <c r="L124" s="1"/>
      <c r="M124" s="1"/>
      <c r="N124" s="1"/>
      <c r="O124" s="1"/>
    </row>
    <row r="125" spans="10:15">
      <c r="J125" s="1"/>
      <c r="K125" s="1"/>
      <c r="L125" s="1"/>
      <c r="M125" s="1"/>
      <c r="N125" s="1"/>
      <c r="O125" s="1"/>
    </row>
    <row r="126" spans="10:15">
      <c r="J126" s="1"/>
      <c r="K126" s="1"/>
      <c r="L126" s="1"/>
      <c r="M126" s="1"/>
      <c r="N126" s="1"/>
      <c r="O126" s="1"/>
    </row>
    <row r="127" spans="10:15">
      <c r="J127" s="1"/>
      <c r="K127" s="1"/>
      <c r="L127" s="1"/>
      <c r="M127" s="1"/>
      <c r="N127" s="1"/>
      <c r="O127" s="1"/>
    </row>
    <row r="128" spans="10:15">
      <c r="J128" s="1"/>
      <c r="K128" s="1"/>
      <c r="L128" s="1"/>
      <c r="M128" s="1"/>
      <c r="N128" s="1"/>
      <c r="O128" s="1"/>
    </row>
    <row r="129" spans="10:14">
      <c r="J129" s="1"/>
      <c r="K129" s="1"/>
      <c r="L129" s="1"/>
      <c r="M129" s="1"/>
      <c r="N129" s="1"/>
    </row>
    <row r="130" spans="10:14">
      <c r="J130" s="1"/>
      <c r="N130" s="1"/>
    </row>
    <row r="131" spans="10:14">
      <c r="J131" s="1"/>
      <c r="N131" s="1"/>
    </row>
    <row r="132" spans="10:14">
      <c r="J132" s="1"/>
      <c r="N132" s="1"/>
    </row>
    <row r="133" spans="10:14">
      <c r="N133" s="1"/>
    </row>
    <row r="134" spans="10:14">
      <c r="N134" s="1"/>
    </row>
    <row r="135" spans="10:14">
      <c r="N135" s="1"/>
    </row>
    <row r="136" spans="10:14">
      <c r="N136" s="1"/>
    </row>
    <row r="137" spans="10:14">
      <c r="N137" s="1"/>
    </row>
    <row r="138" spans="10:14">
      <c r="N138" s="1"/>
    </row>
    <row r="139" spans="10:14">
      <c r="N139" s="1"/>
    </row>
  </sheetData>
  <mergeCells count="3">
    <mergeCell ref="U17:V17"/>
    <mergeCell ref="J8:M8"/>
    <mergeCell ref="J9:M9"/>
  </mergeCells>
  <dataValidations count="3">
    <dataValidation type="list" showInputMessage="1" showErrorMessage="1" sqref="E7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F7">
      <formula1>"Sporting Events QGC,Sporting Events DPU,Sporting Events CCS,Sporting Events FINAL ORDER,Sporting Events HISTORICAL,Sporting Events Dec 08,Sporting Events Jun 09"</formula1>
    </dataValidation>
    <dataValidation showInputMessage="1" showErrorMessage="1" sqref="B7:D7"/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21"/>
  <sheetViews>
    <sheetView view="pageLayout" zoomScaleNormal="100" zoomScaleSheetLayoutView="80" workbookViewId="0">
      <selection activeCell="D8" sqref="D8"/>
    </sheetView>
  </sheetViews>
  <sheetFormatPr defaultRowHeight="12.75"/>
  <cols>
    <col min="1" max="1" width="29.7109375" style="15" customWidth="1"/>
    <col min="2" max="2" width="23" style="15" customWidth="1"/>
    <col min="3" max="3" width="42.7109375" style="15" bestFit="1" customWidth="1"/>
    <col min="4" max="4" width="12.140625" style="15" customWidth="1"/>
    <col min="5" max="5" width="3.5703125" style="15" customWidth="1"/>
    <col min="6" max="6" width="17.85546875" style="15" bestFit="1" customWidth="1"/>
    <col min="7" max="8" width="16.140625" style="15" hidden="1" customWidth="1"/>
    <col min="9" max="9" width="16.140625" style="15" customWidth="1"/>
    <col min="10" max="10" width="3" style="15" customWidth="1"/>
    <col min="11" max="11" width="16.28515625" style="15" customWidth="1"/>
    <col min="12" max="12" width="1.5703125" style="15" customWidth="1"/>
    <col min="13" max="13" width="13.28515625" style="15" customWidth="1"/>
    <col min="14" max="14" width="18.5703125" style="15" customWidth="1"/>
    <col min="15" max="15" width="17.85546875" style="15" customWidth="1"/>
    <col min="16" max="18" width="13.85546875" style="15" customWidth="1"/>
    <col min="19" max="19" width="9.140625" style="15"/>
    <col min="20" max="20" width="15.5703125" style="15" bestFit="1" customWidth="1"/>
    <col min="21" max="16384" width="9.140625" style="15"/>
  </cols>
  <sheetData>
    <row r="1" spans="1:14">
      <c r="A1" s="1141" t="s">
        <v>82</v>
      </c>
      <c r="B1" s="34"/>
      <c r="C1" s="14"/>
      <c r="I1" s="574"/>
      <c r="K1" s="574"/>
      <c r="M1" s="194"/>
    </row>
    <row r="2" spans="1:14">
      <c r="A2" s="1141" t="str">
        <f>'Control Panel'!$B$1</f>
        <v>Dominion Energy</v>
      </c>
      <c r="B2" s="34"/>
      <c r="C2" s="14"/>
      <c r="I2" s="574"/>
      <c r="K2" s="574"/>
      <c r="M2" s="194"/>
    </row>
    <row r="3" spans="1:14">
      <c r="A3" s="1141" t="str">
        <f>'Control Panel'!$B$2</f>
        <v>Utah - DEC 2019 Adjusted Avg  Results</v>
      </c>
      <c r="B3" s="745"/>
      <c r="C3" s="113"/>
      <c r="D3" s="175"/>
      <c r="I3" s="574"/>
      <c r="K3" s="574"/>
      <c r="M3" s="194"/>
    </row>
    <row r="4" spans="1:14">
      <c r="A4" s="1141" t="str">
        <f>'Control Panel'!$B$3</f>
        <v>12 Months Ended : Dec-2019</v>
      </c>
      <c r="B4" s="745"/>
      <c r="C4" s="114"/>
      <c r="D4" s="175"/>
      <c r="I4" s="574"/>
      <c r="J4" s="574"/>
      <c r="K4" s="574"/>
      <c r="M4" s="194"/>
    </row>
    <row r="5" spans="1:14">
      <c r="A5" s="653"/>
      <c r="B5" s="114"/>
      <c r="C5" s="114"/>
      <c r="D5" s="728"/>
      <c r="J5" s="86"/>
      <c r="M5" s="194"/>
    </row>
    <row r="6" spans="1:14">
      <c r="A6" s="196"/>
      <c r="B6" s="102"/>
      <c r="C6" s="102"/>
      <c r="J6" s="325"/>
      <c r="M6" s="194"/>
    </row>
    <row r="7" spans="1:14" ht="35.25" customHeight="1">
      <c r="A7" s="446"/>
      <c r="B7" s="118"/>
      <c r="C7" s="118"/>
      <c r="D7" s="863"/>
      <c r="E7" s="194"/>
      <c r="I7" s="240"/>
      <c r="J7" s="577"/>
      <c r="K7" s="240"/>
      <c r="L7" s="577"/>
      <c r="M7" s="584"/>
    </row>
    <row r="8" spans="1:14" ht="91.5" customHeight="1">
      <c r="A8" s="157"/>
      <c r="B8" s="158"/>
      <c r="C8" s="158"/>
      <c r="F8" s="1323" t="s">
        <v>1396</v>
      </c>
      <c r="G8" s="139" t="s">
        <v>1341</v>
      </c>
      <c r="H8" s="139" t="s">
        <v>1399</v>
      </c>
      <c r="I8" s="139" t="str">
        <f>+'Control Panel'!B29</f>
        <v>AVG Projected Rev 2019 with CET</v>
      </c>
      <c r="J8" s="864"/>
      <c r="K8" s="139" t="s">
        <v>879</v>
      </c>
      <c r="L8" s="865"/>
      <c r="M8" s="866">
        <v>1</v>
      </c>
    </row>
    <row r="9" spans="1:14" ht="13.5" thickBot="1">
      <c r="A9" s="867" t="s">
        <v>836</v>
      </c>
      <c r="B9" s="48"/>
      <c r="C9" s="867" t="s">
        <v>842</v>
      </c>
      <c r="D9" s="867"/>
      <c r="E9" s="867"/>
      <c r="F9" s="6"/>
      <c r="G9" s="6"/>
      <c r="H9" s="6"/>
      <c r="I9" s="109"/>
      <c r="J9" s="582"/>
      <c r="K9" s="109"/>
      <c r="L9" s="582"/>
      <c r="M9" s="325">
        <f>+M8+1</f>
        <v>2</v>
      </c>
    </row>
    <row r="10" spans="1:14">
      <c r="A10" s="868" t="s">
        <v>843</v>
      </c>
      <c r="B10" s="102"/>
      <c r="C10" s="102"/>
      <c r="D10" s="728"/>
      <c r="F10" s="194"/>
      <c r="G10" s="194"/>
      <c r="H10" s="194"/>
      <c r="J10" s="12"/>
      <c r="L10" s="102"/>
      <c r="M10" s="325">
        <f t="shared" ref="M10:M73" si="0">+M9+1</f>
        <v>3</v>
      </c>
    </row>
    <row r="11" spans="1:14">
      <c r="A11" s="869" t="s">
        <v>13</v>
      </c>
      <c r="B11" s="728"/>
      <c r="C11" s="728"/>
      <c r="D11" s="870"/>
      <c r="F11" s="186">
        <f t="shared" ref="F11:H11" si="1">+F363+F365</f>
        <v>536084033.16347772</v>
      </c>
      <c r="G11" s="186">
        <f>+G363+G365</f>
        <v>526567203.46999997</v>
      </c>
      <c r="H11" s="186">
        <f t="shared" si="1"/>
        <v>524750876.25999987</v>
      </c>
      <c r="I11" s="116">
        <f>HLOOKUP($I$8,RevenueScenarios,M11,FALSE)</f>
        <v>524750876.25999987</v>
      </c>
      <c r="J11" s="325"/>
      <c r="K11" s="116">
        <f>+K362+K364</f>
        <v>-5968508.6968044909</v>
      </c>
      <c r="L11" s="186"/>
      <c r="M11" s="325">
        <f t="shared" si="0"/>
        <v>4</v>
      </c>
    </row>
    <row r="12" spans="1:14">
      <c r="A12" s="869"/>
      <c r="B12" s="870"/>
      <c r="C12" s="870"/>
      <c r="D12" s="870"/>
      <c r="F12" s="871"/>
      <c r="G12" s="871"/>
      <c r="H12" s="871"/>
      <c r="I12" s="264"/>
      <c r="J12" s="264"/>
      <c r="K12" s="264"/>
      <c r="L12" s="578"/>
      <c r="M12" s="325">
        <f t="shared" si="0"/>
        <v>5</v>
      </c>
      <c r="N12" s="139"/>
    </row>
    <row r="13" spans="1:14">
      <c r="A13" s="227"/>
      <c r="B13" s="102"/>
      <c r="C13" s="102"/>
      <c r="D13" s="872"/>
      <c r="E13" s="872"/>
      <c r="F13" s="116"/>
      <c r="G13" s="116"/>
      <c r="H13" s="116"/>
      <c r="I13" s="325"/>
      <c r="J13" s="325"/>
      <c r="K13" s="325"/>
      <c r="L13" s="102"/>
      <c r="M13" s="325">
        <f t="shared" si="0"/>
        <v>6</v>
      </c>
      <c r="N13" s="139"/>
    </row>
    <row r="14" spans="1:14">
      <c r="A14" s="869" t="s">
        <v>14</v>
      </c>
      <c r="F14" s="116"/>
      <c r="G14" s="116"/>
      <c r="H14" s="116"/>
      <c r="I14" s="325"/>
      <c r="J14" s="325"/>
      <c r="K14" s="325"/>
      <c r="L14" s="106"/>
      <c r="M14" s="325">
        <f t="shared" si="0"/>
        <v>7</v>
      </c>
      <c r="N14" s="139"/>
    </row>
    <row r="15" spans="1:14">
      <c r="A15" s="868" t="s">
        <v>945</v>
      </c>
      <c r="B15" s="728" t="s">
        <v>15</v>
      </c>
      <c r="C15" s="728" t="s">
        <v>16</v>
      </c>
      <c r="D15" s="728" t="s">
        <v>946</v>
      </c>
      <c r="F15" s="116">
        <f>'Booked DEC 2017 Rev'!$T$15</f>
        <v>316199223</v>
      </c>
      <c r="G15" s="116">
        <f>'AVG Proj Rev 2018 with CET'!$T$15</f>
        <v>310073126.1002</v>
      </c>
      <c r="H15" s="116">
        <f>'AVG Projected Rev 2019 with CET'!$T$15</f>
        <v>323644028.15133202</v>
      </c>
      <c r="I15" s="116">
        <f>HLOOKUP($I$8,RevenueScenarios,M15,FALSE)</f>
        <v>323644028.15133202</v>
      </c>
      <c r="J15" s="116"/>
      <c r="K15" s="116">
        <f>I15-F15</f>
        <v>7444805.1513320208</v>
      </c>
      <c r="L15" s="116"/>
      <c r="M15" s="325">
        <f t="shared" si="0"/>
        <v>8</v>
      </c>
    </row>
    <row r="16" spans="1:14">
      <c r="A16" s="868" t="s">
        <v>945</v>
      </c>
      <c r="B16" s="728"/>
      <c r="C16" s="728"/>
      <c r="D16" s="728" t="s">
        <v>946</v>
      </c>
      <c r="F16" s="116"/>
      <c r="G16" s="116"/>
      <c r="H16" s="116"/>
      <c r="I16" s="116"/>
      <c r="J16" s="116"/>
      <c r="K16" s="116"/>
      <c r="L16" s="116"/>
      <c r="M16" s="325">
        <f t="shared" si="0"/>
        <v>9</v>
      </c>
    </row>
    <row r="17" spans="1:14">
      <c r="A17" s="868" t="s">
        <v>945</v>
      </c>
      <c r="B17" s="728"/>
      <c r="C17" s="728" t="s">
        <v>17</v>
      </c>
      <c r="D17" s="728" t="s">
        <v>946</v>
      </c>
      <c r="F17" s="116">
        <f>'Booked DEC 2017 Rev'!$T$17</f>
        <v>100235379</v>
      </c>
      <c r="G17" s="116">
        <f>'AVG Proj Rev 2018 with CET'!$T$17</f>
        <v>118753958.82999998</v>
      </c>
      <c r="H17" s="116">
        <f>'AVG Projected Rev 2019 with CET'!$T$17</f>
        <v>119026168.13</v>
      </c>
      <c r="I17" s="116">
        <f>HLOOKUP($I$8,RevenueScenarios,M17,FALSE)</f>
        <v>119026168.13</v>
      </c>
      <c r="J17" s="116"/>
      <c r="K17" s="116">
        <f>I17-F17</f>
        <v>18790789.129999995</v>
      </c>
      <c r="L17" s="116"/>
      <c r="M17" s="325">
        <f t="shared" si="0"/>
        <v>10</v>
      </c>
    </row>
    <row r="18" spans="1:14">
      <c r="A18" s="868" t="s">
        <v>945</v>
      </c>
      <c r="B18" s="728"/>
      <c r="C18" s="728"/>
      <c r="D18" s="728" t="s">
        <v>946</v>
      </c>
      <c r="F18" s="116"/>
      <c r="G18" s="116"/>
      <c r="H18" s="116"/>
      <c r="I18" s="116"/>
      <c r="J18" s="116"/>
      <c r="K18" s="116"/>
      <c r="L18" s="116"/>
      <c r="M18" s="325">
        <f t="shared" si="0"/>
        <v>11</v>
      </c>
    </row>
    <row r="19" spans="1:14">
      <c r="A19" s="868" t="s">
        <v>945</v>
      </c>
      <c r="B19" s="728"/>
      <c r="C19" s="728" t="s">
        <v>18</v>
      </c>
      <c r="D19" s="728" t="s">
        <v>946</v>
      </c>
      <c r="F19" s="116">
        <f>'Booked DEC 2017 Rev'!$T$19</f>
        <v>393060780</v>
      </c>
      <c r="G19" s="116">
        <f>'AVG Proj Rev 2018 with CET'!$T$19</f>
        <v>372811479.16000003</v>
      </c>
      <c r="H19" s="116">
        <f>'AVG Projected Rev 2019 with CET'!$T$19</f>
        <v>373666042.73999995</v>
      </c>
      <c r="I19" s="116">
        <f>HLOOKUP($I$8,RevenueScenarios,M19,FALSE)</f>
        <v>373666042.73999995</v>
      </c>
      <c r="J19" s="116"/>
      <c r="K19" s="116">
        <f>I19-F19</f>
        <v>-19394737.26000005</v>
      </c>
      <c r="L19" s="116"/>
      <c r="M19" s="325">
        <f t="shared" si="0"/>
        <v>12</v>
      </c>
    </row>
    <row r="20" spans="1:14">
      <c r="A20" s="868" t="s">
        <v>945</v>
      </c>
      <c r="B20" s="728"/>
      <c r="C20" s="728" t="s">
        <v>19</v>
      </c>
      <c r="D20" s="728" t="s">
        <v>946</v>
      </c>
      <c r="F20" s="131">
        <f>SUM(F15:F19)</f>
        <v>809495382</v>
      </c>
      <c r="G20" s="131">
        <f>SUM(G15:G19)</f>
        <v>801638564.09019995</v>
      </c>
      <c r="H20" s="131">
        <f>SUM(H15:H19)</f>
        <v>816336239.02133203</v>
      </c>
      <c r="I20" s="131">
        <f>HLOOKUP($I$8,RevenueScenarios,M20,FALSE)</f>
        <v>816336239.02133203</v>
      </c>
      <c r="J20" s="131"/>
      <c r="K20" s="131">
        <f>I20-F21</f>
        <v>815344133.77133203</v>
      </c>
      <c r="L20" s="116"/>
      <c r="M20" s="325">
        <f t="shared" si="0"/>
        <v>13</v>
      </c>
    </row>
    <row r="21" spans="1:14">
      <c r="A21" s="868" t="s">
        <v>945</v>
      </c>
      <c r="B21" s="728"/>
      <c r="C21" s="728" t="s">
        <v>947</v>
      </c>
      <c r="D21" s="728" t="s">
        <v>946</v>
      </c>
      <c r="F21" s="116">
        <f>'Booked DEC 2017 Rev'!$T$21</f>
        <v>992105.25</v>
      </c>
      <c r="G21" s="116">
        <f>'AVG Proj Rev 2018 with CET'!$T$21</f>
        <v>1013847.5833333334</v>
      </c>
      <c r="H21" s="116">
        <f>'AVG Projected Rev 2019 with CET'!$T$21</f>
        <v>1037699.5833333334</v>
      </c>
      <c r="I21" s="116">
        <f>HLOOKUP($I$8,RevenueScenarios,M21,FALSE)</f>
        <v>1037699.5833333334</v>
      </c>
      <c r="J21" s="116"/>
      <c r="K21" s="116"/>
      <c r="L21" s="116"/>
      <c r="M21" s="325">
        <f t="shared" si="0"/>
        <v>14</v>
      </c>
    </row>
    <row r="22" spans="1:14">
      <c r="A22" s="868" t="s">
        <v>945</v>
      </c>
      <c r="B22" s="728"/>
      <c r="C22" s="728" t="s">
        <v>20</v>
      </c>
      <c r="D22" s="728" t="s">
        <v>946</v>
      </c>
      <c r="F22" s="116">
        <f>'Booked DEC 2017 Rev'!$T$22</f>
        <v>97193727</v>
      </c>
      <c r="G22" s="116">
        <f>'AVG Proj Rev 2018 with CET'!$T$22</f>
        <v>107496087</v>
      </c>
      <c r="H22" s="116">
        <f>'AVG Projected Rev 2019 with CET'!$T$22</f>
        <v>107742491</v>
      </c>
      <c r="I22" s="116">
        <f>HLOOKUP($I$8,RevenueScenarios,M22,FALSE)</f>
        <v>107742491</v>
      </c>
      <c r="J22" s="116"/>
      <c r="K22" s="116">
        <f>I22-F22</f>
        <v>10548764</v>
      </c>
      <c r="L22" s="116"/>
      <c r="M22" s="325">
        <f t="shared" si="0"/>
        <v>15</v>
      </c>
      <c r="N22" s="715"/>
    </row>
    <row r="23" spans="1:14">
      <c r="A23" s="868" t="s">
        <v>945</v>
      </c>
      <c r="B23" s="332"/>
      <c r="C23" s="728"/>
      <c r="D23" s="728"/>
      <c r="F23" s="116"/>
      <c r="G23" s="116"/>
      <c r="H23" s="116"/>
      <c r="I23" s="116"/>
      <c r="J23" s="116"/>
      <c r="K23" s="116"/>
      <c r="L23" s="116"/>
      <c r="M23" s="325">
        <f t="shared" si="0"/>
        <v>16</v>
      </c>
    </row>
    <row r="24" spans="1:14">
      <c r="A24" s="868" t="s">
        <v>945</v>
      </c>
      <c r="B24" s="728" t="s">
        <v>247</v>
      </c>
      <c r="C24" s="728" t="s">
        <v>16</v>
      </c>
      <c r="D24" s="728" t="s">
        <v>946</v>
      </c>
      <c r="F24" s="116">
        <f>'Booked DEC 2017 Rev'!$T$24</f>
        <v>0</v>
      </c>
      <c r="G24" s="116">
        <f>'AVG Proj Rev 2018 with CET'!$T$24</f>
        <v>0</v>
      </c>
      <c r="H24" s="116">
        <f>'AVG Projected Rev 2019 with CET'!$T$24</f>
        <v>0</v>
      </c>
      <c r="I24" s="116">
        <f>HLOOKUP($I$8,RevenueScenarios,M24,FALSE)</f>
        <v>0</v>
      </c>
      <c r="J24" s="116"/>
      <c r="K24" s="116">
        <f>I24-F24</f>
        <v>0</v>
      </c>
      <c r="L24" s="116"/>
      <c r="M24" s="325">
        <f t="shared" si="0"/>
        <v>17</v>
      </c>
    </row>
    <row r="25" spans="1:14">
      <c r="A25" s="868" t="s">
        <v>945</v>
      </c>
      <c r="B25" s="728"/>
      <c r="C25" s="728"/>
      <c r="D25" s="728" t="s">
        <v>946</v>
      </c>
      <c r="F25" s="116"/>
      <c r="G25" s="116"/>
      <c r="H25" s="116"/>
      <c r="I25" s="116"/>
      <c r="J25" s="116"/>
      <c r="K25" s="116"/>
      <c r="L25" s="116"/>
      <c r="M25" s="325">
        <f t="shared" si="0"/>
        <v>18</v>
      </c>
    </row>
    <row r="26" spans="1:14">
      <c r="A26" s="868" t="s">
        <v>945</v>
      </c>
      <c r="B26" s="728"/>
      <c r="C26" s="728" t="s">
        <v>17</v>
      </c>
      <c r="D26" s="728" t="s">
        <v>946</v>
      </c>
      <c r="F26" s="116">
        <f>'Booked DEC 2017 Rev'!$T$26</f>
        <v>0</v>
      </c>
      <c r="G26" s="116">
        <f>'AVG Proj Rev 2018 with CET'!$T$26</f>
        <v>0</v>
      </c>
      <c r="H26" s="116">
        <f>'AVG Projected Rev 2019 with CET'!$T$26</f>
        <v>0</v>
      </c>
      <c r="I26" s="116">
        <f>HLOOKUP($I$8,RevenueScenarios,M26,FALSE)</f>
        <v>0</v>
      </c>
      <c r="J26" s="116"/>
      <c r="K26" s="116">
        <f>I26-F26</f>
        <v>0</v>
      </c>
      <c r="L26" s="116"/>
      <c r="M26" s="325">
        <f t="shared" si="0"/>
        <v>19</v>
      </c>
    </row>
    <row r="27" spans="1:14">
      <c r="A27" s="868" t="s">
        <v>945</v>
      </c>
      <c r="B27" s="728"/>
      <c r="C27" s="728"/>
      <c r="D27" s="728" t="s">
        <v>946</v>
      </c>
      <c r="F27" s="116"/>
      <c r="G27" s="116"/>
      <c r="H27" s="116"/>
      <c r="I27" s="116"/>
      <c r="J27" s="116"/>
      <c r="K27" s="116"/>
      <c r="L27" s="116"/>
      <c r="M27" s="325">
        <f t="shared" si="0"/>
        <v>20</v>
      </c>
    </row>
    <row r="28" spans="1:14">
      <c r="A28" s="868" t="s">
        <v>945</v>
      </c>
      <c r="B28" s="728"/>
      <c r="C28" s="728" t="s">
        <v>18</v>
      </c>
      <c r="D28" s="728" t="s">
        <v>946</v>
      </c>
      <c r="F28" s="116">
        <f>'Booked DEC 2017 Rev'!$T$28</f>
        <v>0</v>
      </c>
      <c r="G28" s="116">
        <f>'AVG Proj Rev 2018 with CET'!$T$28</f>
        <v>0</v>
      </c>
      <c r="H28" s="116">
        <f>'AVG Projected Rev 2019 with CET'!$T$28</f>
        <v>0</v>
      </c>
      <c r="I28" s="116">
        <f>HLOOKUP($I$8,RevenueScenarios,M28,FALSE)</f>
        <v>0</v>
      </c>
      <c r="J28" s="116"/>
      <c r="K28" s="116">
        <f>I28-F28</f>
        <v>0</v>
      </c>
      <c r="L28" s="116"/>
      <c r="M28" s="325">
        <f t="shared" si="0"/>
        <v>21</v>
      </c>
    </row>
    <row r="29" spans="1:14">
      <c r="A29" s="868" t="s">
        <v>945</v>
      </c>
      <c r="B29" s="728"/>
      <c r="C29" s="728" t="s">
        <v>19</v>
      </c>
      <c r="D29" s="728" t="s">
        <v>946</v>
      </c>
      <c r="F29" s="131">
        <f>'Booked DEC 2017 Rev'!$T$29</f>
        <v>0</v>
      </c>
      <c r="G29" s="131">
        <f>'AVG Proj Rev 2018 with CET'!$T$29</f>
        <v>0</v>
      </c>
      <c r="H29" s="131">
        <f>'AVG Projected Rev 2019 with CET'!$T$29</f>
        <v>0</v>
      </c>
      <c r="I29" s="131">
        <f>HLOOKUP($I$8,RevenueScenarios,M29,FALSE)</f>
        <v>0</v>
      </c>
      <c r="J29" s="131"/>
      <c r="K29" s="131">
        <f>I29-F29</f>
        <v>0</v>
      </c>
      <c r="L29" s="116"/>
      <c r="M29" s="325">
        <f t="shared" si="0"/>
        <v>22</v>
      </c>
    </row>
    <row r="30" spans="1:14">
      <c r="A30" s="868" t="s">
        <v>945</v>
      </c>
      <c r="B30" s="728"/>
      <c r="C30" s="728" t="s">
        <v>947</v>
      </c>
      <c r="D30" s="728" t="s">
        <v>946</v>
      </c>
      <c r="F30" s="116"/>
      <c r="G30" s="116"/>
      <c r="H30" s="116"/>
      <c r="I30" s="116"/>
      <c r="J30" s="116"/>
      <c r="K30" s="116"/>
      <c r="L30" s="116"/>
      <c r="M30" s="325">
        <f t="shared" si="0"/>
        <v>23</v>
      </c>
    </row>
    <row r="31" spans="1:14">
      <c r="A31" s="868" t="s">
        <v>945</v>
      </c>
      <c r="B31" s="728"/>
      <c r="C31" s="728" t="s">
        <v>20</v>
      </c>
      <c r="D31" s="728" t="s">
        <v>946</v>
      </c>
      <c r="F31" s="116">
        <f>'Booked DEC 2017 Rev'!$T$31</f>
        <v>0</v>
      </c>
      <c r="G31" s="116">
        <f>'AVG Proj Rev 2018 with CET'!$T$31</f>
        <v>0</v>
      </c>
      <c r="H31" s="116">
        <f>'AVG Projected Rev 2019 with CET'!$T$31</f>
        <v>0</v>
      </c>
      <c r="I31" s="116">
        <f>HLOOKUP($I$8,RevenueScenarios,M31,FALSE)</f>
        <v>0</v>
      </c>
      <c r="J31" s="116"/>
      <c r="K31" s="116">
        <f>I31-F31</f>
        <v>0</v>
      </c>
      <c r="L31" s="116"/>
      <c r="M31" s="325">
        <f t="shared" si="0"/>
        <v>24</v>
      </c>
    </row>
    <row r="32" spans="1:14">
      <c r="A32" s="868" t="s">
        <v>945</v>
      </c>
      <c r="B32" s="332"/>
      <c r="C32" s="332"/>
      <c r="D32" s="332"/>
      <c r="F32" s="116"/>
      <c r="G32" s="116"/>
      <c r="H32" s="116"/>
      <c r="I32" s="116"/>
      <c r="J32" s="116"/>
      <c r="K32" s="116"/>
      <c r="L32" s="116"/>
      <c r="M32" s="325">
        <f t="shared" si="0"/>
        <v>25</v>
      </c>
    </row>
    <row r="33" spans="1:13">
      <c r="A33" s="868" t="s">
        <v>945</v>
      </c>
      <c r="B33" s="728" t="s">
        <v>808</v>
      </c>
      <c r="C33" s="728" t="s">
        <v>16</v>
      </c>
      <c r="D33" s="728" t="s">
        <v>946</v>
      </c>
      <c r="F33" s="116">
        <f>'Booked DEC 2017 Rev'!$T$33</f>
        <v>0</v>
      </c>
      <c r="G33" s="116">
        <f>'AVG Proj Rev 2018 with CET'!$T$33</f>
        <v>0</v>
      </c>
      <c r="H33" s="116">
        <f>'AVG Projected Rev 2019 with CET'!$T$33</f>
        <v>0</v>
      </c>
      <c r="I33" s="116">
        <f>HLOOKUP($I$8,RevenueScenarios,M33,FALSE)</f>
        <v>0</v>
      </c>
      <c r="J33" s="116"/>
      <c r="K33" s="116">
        <f>I33-F33</f>
        <v>0</v>
      </c>
      <c r="L33" s="116"/>
      <c r="M33" s="325">
        <f t="shared" si="0"/>
        <v>26</v>
      </c>
    </row>
    <row r="34" spans="1:13">
      <c r="A34" s="868" t="s">
        <v>945</v>
      </c>
      <c r="B34" s="728"/>
      <c r="C34" s="728"/>
      <c r="D34" s="728" t="s">
        <v>946</v>
      </c>
      <c r="F34" s="116"/>
      <c r="G34" s="116"/>
      <c r="H34" s="116"/>
      <c r="I34" s="116"/>
      <c r="J34" s="116"/>
      <c r="K34" s="116"/>
      <c r="L34" s="116"/>
      <c r="M34" s="325">
        <f t="shared" si="0"/>
        <v>27</v>
      </c>
    </row>
    <row r="35" spans="1:13">
      <c r="A35" s="868" t="s">
        <v>945</v>
      </c>
      <c r="B35" s="728"/>
      <c r="C35" s="728" t="s">
        <v>17</v>
      </c>
      <c r="D35" s="728" t="s">
        <v>946</v>
      </c>
      <c r="F35" s="116">
        <f>'Booked DEC 2017 Rev'!$T$35</f>
        <v>0</v>
      </c>
      <c r="G35" s="116">
        <f>'AVG Proj Rev 2018 with CET'!$T$35</f>
        <v>0</v>
      </c>
      <c r="H35" s="116">
        <f>'AVG Projected Rev 2019 with CET'!$T$35</f>
        <v>0</v>
      </c>
      <c r="I35" s="116">
        <f>HLOOKUP($I$8,RevenueScenarios,M35,FALSE)</f>
        <v>0</v>
      </c>
      <c r="J35" s="116"/>
      <c r="K35" s="116">
        <f>I35-F35</f>
        <v>0</v>
      </c>
      <c r="L35" s="116"/>
      <c r="M35" s="325">
        <f t="shared" si="0"/>
        <v>28</v>
      </c>
    </row>
    <row r="36" spans="1:13">
      <c r="A36" s="868" t="s">
        <v>945</v>
      </c>
      <c r="B36" s="728"/>
      <c r="C36" s="728"/>
      <c r="D36" s="728" t="s">
        <v>946</v>
      </c>
      <c r="F36" s="116"/>
      <c r="G36" s="116"/>
      <c r="H36" s="116"/>
      <c r="I36" s="116"/>
      <c r="J36" s="116"/>
      <c r="K36" s="116"/>
      <c r="L36" s="116"/>
      <c r="M36" s="325">
        <f t="shared" si="0"/>
        <v>29</v>
      </c>
    </row>
    <row r="37" spans="1:13">
      <c r="A37" s="868" t="s">
        <v>945</v>
      </c>
      <c r="B37" s="728"/>
      <c r="C37" s="728" t="s">
        <v>18</v>
      </c>
      <c r="D37" s="728" t="s">
        <v>946</v>
      </c>
      <c r="F37" s="116">
        <f>'Booked DEC 2017 Rev'!$T$37</f>
        <v>0</v>
      </c>
      <c r="G37" s="116">
        <f>'AVG Proj Rev 2018 with CET'!$T$37</f>
        <v>0</v>
      </c>
      <c r="H37" s="116">
        <f>'AVG Projected Rev 2019 with CET'!$T$37</f>
        <v>0</v>
      </c>
      <c r="I37" s="116">
        <f>HLOOKUP($I$8,RevenueScenarios,M37,FALSE)</f>
        <v>0</v>
      </c>
      <c r="J37" s="116"/>
      <c r="K37" s="116">
        <f>I37-F37</f>
        <v>0</v>
      </c>
      <c r="L37" s="116"/>
      <c r="M37" s="325">
        <f t="shared" si="0"/>
        <v>30</v>
      </c>
    </row>
    <row r="38" spans="1:13">
      <c r="A38" s="868" t="s">
        <v>945</v>
      </c>
      <c r="B38" s="728"/>
      <c r="C38" s="728" t="s">
        <v>19</v>
      </c>
      <c r="D38" s="728" t="s">
        <v>946</v>
      </c>
      <c r="F38" s="131">
        <f>'Booked DEC 2017 Rev'!$T$38</f>
        <v>0</v>
      </c>
      <c r="G38" s="131">
        <f>'AVG Proj Rev 2018 with CET'!$T$38</f>
        <v>0</v>
      </c>
      <c r="H38" s="131">
        <f>'AVG Projected Rev 2019 with CET'!$T$38</f>
        <v>0</v>
      </c>
      <c r="I38" s="131">
        <f>HLOOKUP($I$8,RevenueScenarios,M38,FALSE)</f>
        <v>0</v>
      </c>
      <c r="J38" s="131"/>
      <c r="K38" s="131">
        <f>I38-F38</f>
        <v>0</v>
      </c>
      <c r="L38" s="116"/>
      <c r="M38" s="325">
        <f t="shared" si="0"/>
        <v>31</v>
      </c>
    </row>
    <row r="39" spans="1:13">
      <c r="A39" s="868" t="s">
        <v>945</v>
      </c>
      <c r="B39" s="728"/>
      <c r="C39" s="728" t="s">
        <v>947</v>
      </c>
      <c r="D39" s="728" t="s">
        <v>946</v>
      </c>
      <c r="F39" s="116"/>
      <c r="G39" s="116"/>
      <c r="H39" s="116"/>
      <c r="I39" s="116"/>
      <c r="J39" s="116"/>
      <c r="K39" s="116"/>
      <c r="L39" s="116"/>
      <c r="M39" s="325">
        <f t="shared" si="0"/>
        <v>32</v>
      </c>
    </row>
    <row r="40" spans="1:13">
      <c r="A40" s="868" t="s">
        <v>945</v>
      </c>
      <c r="B40" s="728"/>
      <c r="C40" s="728" t="s">
        <v>20</v>
      </c>
      <c r="D40" s="728" t="s">
        <v>946</v>
      </c>
      <c r="F40" s="116">
        <f>'Booked DEC 2017 Rev'!$T$40</f>
        <v>0</v>
      </c>
      <c r="G40" s="116">
        <f>'AVG Proj Rev 2018 with CET'!$T$40</f>
        <v>0</v>
      </c>
      <c r="H40" s="116">
        <f>'AVG Projected Rev 2019 with CET'!$T$40</f>
        <v>0</v>
      </c>
      <c r="I40" s="116">
        <f>HLOOKUP($I$8,RevenueScenarios,M40,FALSE)</f>
        <v>0</v>
      </c>
      <c r="J40" s="116"/>
      <c r="K40" s="116">
        <f>I40-F40</f>
        <v>0</v>
      </c>
      <c r="L40" s="116"/>
      <c r="M40" s="325">
        <f t="shared" si="0"/>
        <v>33</v>
      </c>
    </row>
    <row r="41" spans="1:13">
      <c r="A41" s="868" t="s">
        <v>945</v>
      </c>
      <c r="B41" s="332"/>
      <c r="C41" s="332"/>
      <c r="D41" s="728"/>
      <c r="F41" s="116"/>
      <c r="G41" s="116"/>
      <c r="H41" s="116"/>
      <c r="I41" s="116"/>
      <c r="J41" s="116"/>
      <c r="K41" s="116"/>
      <c r="L41" s="116"/>
      <c r="M41" s="325">
        <f t="shared" si="0"/>
        <v>34</v>
      </c>
    </row>
    <row r="42" spans="1:13">
      <c r="A42" s="868" t="s">
        <v>945</v>
      </c>
      <c r="B42" s="728" t="s">
        <v>948</v>
      </c>
      <c r="C42" s="728" t="s">
        <v>16</v>
      </c>
      <c r="D42" s="728" t="s">
        <v>946</v>
      </c>
      <c r="F42" s="116">
        <f>'Booked DEC 2017 Rev'!$T$42</f>
        <v>3357867</v>
      </c>
      <c r="G42" s="116">
        <f>'AVG Proj Rev 2018 with CET'!$T$42</f>
        <v>2922058.8119900357</v>
      </c>
      <c r="H42" s="116">
        <f>'AVG Projected Rev 2019 with CET'!$T$42</f>
        <v>2568999.8856584844</v>
      </c>
      <c r="I42" s="116">
        <f>HLOOKUP($I$8,RevenueScenarios,M42,FALSE)</f>
        <v>2568999.8856584844</v>
      </c>
      <c r="J42" s="116"/>
      <c r="K42" s="116">
        <f>I42-F42</f>
        <v>-788867.11434151558</v>
      </c>
      <c r="L42" s="116"/>
      <c r="M42" s="325">
        <f t="shared" si="0"/>
        <v>35</v>
      </c>
    </row>
    <row r="43" spans="1:13">
      <c r="A43" s="868" t="s">
        <v>945</v>
      </c>
      <c r="B43" s="728"/>
      <c r="C43" s="728"/>
      <c r="D43" s="728" t="s">
        <v>946</v>
      </c>
      <c r="F43" s="116"/>
      <c r="G43" s="116"/>
      <c r="H43" s="116"/>
      <c r="I43" s="116"/>
      <c r="J43" s="116"/>
      <c r="K43" s="116"/>
      <c r="L43" s="116"/>
      <c r="M43" s="325">
        <f t="shared" si="0"/>
        <v>36</v>
      </c>
    </row>
    <row r="44" spans="1:13">
      <c r="A44" s="868" t="s">
        <v>945</v>
      </c>
      <c r="B44" s="332"/>
      <c r="C44" s="728" t="s">
        <v>17</v>
      </c>
      <c r="D44" s="728" t="s">
        <v>946</v>
      </c>
      <c r="F44" s="116">
        <f>'Booked DEC 2017 Rev'!$T$44</f>
        <v>3463902</v>
      </c>
      <c r="G44" s="116">
        <f>'AVG Proj Rev 2018 with CET'!$T$44</f>
        <v>3225408.27</v>
      </c>
      <c r="H44" s="116">
        <f>'AVG Projected Rev 2019 with CET'!$T$44</f>
        <v>2758443.02</v>
      </c>
      <c r="I44" s="116">
        <f>HLOOKUP($I$8,RevenueScenarios,M44,FALSE)</f>
        <v>2758443.02</v>
      </c>
      <c r="J44" s="116"/>
      <c r="K44" s="116">
        <f>I44-F44</f>
        <v>-705458.98</v>
      </c>
      <c r="L44" s="116"/>
      <c r="M44" s="325">
        <f t="shared" si="0"/>
        <v>37</v>
      </c>
    </row>
    <row r="45" spans="1:13">
      <c r="A45" s="868" t="s">
        <v>945</v>
      </c>
      <c r="B45" s="728"/>
      <c r="C45" s="728"/>
      <c r="D45" s="728" t="s">
        <v>946</v>
      </c>
      <c r="F45" s="116"/>
      <c r="G45" s="116"/>
      <c r="H45" s="116"/>
      <c r="I45" s="116"/>
      <c r="J45" s="116"/>
      <c r="K45" s="116"/>
      <c r="L45" s="116"/>
      <c r="M45" s="325">
        <f t="shared" si="0"/>
        <v>38</v>
      </c>
    </row>
    <row r="46" spans="1:13">
      <c r="A46" s="868" t="s">
        <v>945</v>
      </c>
      <c r="B46" s="332"/>
      <c r="C46" s="332" t="s">
        <v>18</v>
      </c>
      <c r="D46" s="728" t="s">
        <v>946</v>
      </c>
      <c r="F46" s="116">
        <f>'Booked DEC 2017 Rev'!$T$46</f>
        <v>15794370</v>
      </c>
      <c r="G46" s="116">
        <f>'AVG Proj Rev 2018 with CET'!$T$46</f>
        <v>11936945.999999998</v>
      </c>
      <c r="H46" s="116">
        <f>'AVG Projected Rev 2019 with CET'!$T$46</f>
        <v>10229063.9</v>
      </c>
      <c r="I46" s="116">
        <f>HLOOKUP($I$8,RevenueScenarios,M46,FALSE)</f>
        <v>10229063.9</v>
      </c>
      <c r="J46" s="116"/>
      <c r="K46" s="116">
        <f>I46-F46</f>
        <v>-5565306.0999999996</v>
      </c>
      <c r="L46" s="116"/>
      <c r="M46" s="325">
        <f t="shared" si="0"/>
        <v>39</v>
      </c>
    </row>
    <row r="47" spans="1:13">
      <c r="A47" s="868" t="s">
        <v>945</v>
      </c>
      <c r="B47" s="332"/>
      <c r="C47" s="728" t="s">
        <v>19</v>
      </c>
      <c r="D47" s="728" t="s">
        <v>946</v>
      </c>
      <c r="F47" s="131">
        <f>'Booked DEC 2017 Rev'!$T$47</f>
        <v>22616139</v>
      </c>
      <c r="G47" s="131">
        <f>'AVG Proj Rev 2018 with CET'!$T$47</f>
        <v>18084413.081990037</v>
      </c>
      <c r="H47" s="131">
        <f>'AVG Projected Rev 2019 with CET'!$T$47</f>
        <v>15556506.805658486</v>
      </c>
      <c r="I47" s="131">
        <f>HLOOKUP($I$8,RevenueScenarios,M47,FALSE)</f>
        <v>15556506.805658486</v>
      </c>
      <c r="J47" s="131"/>
      <c r="K47" s="131">
        <f>I47-F47</f>
        <v>-7059632.1943415143</v>
      </c>
      <c r="L47" s="116"/>
      <c r="M47" s="325">
        <f t="shared" si="0"/>
        <v>40</v>
      </c>
    </row>
    <row r="48" spans="1:13">
      <c r="A48" s="868" t="s">
        <v>945</v>
      </c>
      <c r="B48" s="332"/>
      <c r="C48" s="728" t="s">
        <v>947</v>
      </c>
      <c r="D48" s="728" t="s">
        <v>946</v>
      </c>
      <c r="F48" s="116"/>
      <c r="G48" s="116"/>
      <c r="H48" s="116"/>
      <c r="I48" s="116"/>
      <c r="J48" s="116"/>
      <c r="K48" s="116"/>
      <c r="L48" s="116"/>
      <c r="M48" s="325">
        <f t="shared" si="0"/>
        <v>41</v>
      </c>
    </row>
    <row r="49" spans="1:13">
      <c r="A49" s="868" t="s">
        <v>945</v>
      </c>
      <c r="B49" s="332"/>
      <c r="C49" s="332" t="s">
        <v>20</v>
      </c>
      <c r="D49" s="728" t="s">
        <v>946</v>
      </c>
      <c r="F49" s="116">
        <f>'Booked DEC 2017 Rev'!$T$49</f>
        <v>3917177</v>
      </c>
      <c r="G49" s="116">
        <f>'AVG Proj Rev 2018 with CET'!$T$49</f>
        <v>3441887</v>
      </c>
      <c r="H49" s="116">
        <f>'AVG Projected Rev 2019 with CET'!$T$49</f>
        <v>2949438</v>
      </c>
      <c r="I49" s="116">
        <f>HLOOKUP($I$8,RevenueScenarios,M49,FALSE)</f>
        <v>2949438</v>
      </c>
      <c r="J49" s="116"/>
      <c r="K49" s="116">
        <f>I49-F49</f>
        <v>-967739</v>
      </c>
      <c r="L49" s="116"/>
      <c r="M49" s="325">
        <f t="shared" si="0"/>
        <v>42</v>
      </c>
    </row>
    <row r="50" spans="1:13">
      <c r="A50" s="868" t="s">
        <v>945</v>
      </c>
      <c r="B50" s="332"/>
      <c r="C50" s="332"/>
      <c r="D50" s="332"/>
      <c r="F50" s="116"/>
      <c r="G50" s="116"/>
      <c r="H50" s="116"/>
      <c r="I50" s="116"/>
      <c r="J50" s="116"/>
      <c r="K50" s="116"/>
      <c r="L50" s="116"/>
      <c r="M50" s="325">
        <f t="shared" si="0"/>
        <v>43</v>
      </c>
    </row>
    <row r="51" spans="1:13">
      <c r="A51" s="868" t="s">
        <v>945</v>
      </c>
      <c r="B51" s="728" t="s">
        <v>811</v>
      </c>
      <c r="C51" s="728" t="s">
        <v>16</v>
      </c>
      <c r="D51" s="728" t="s">
        <v>946</v>
      </c>
      <c r="F51" s="116">
        <f>'Booked DEC 2017 Rev'!$T$51</f>
        <v>0</v>
      </c>
      <c r="G51" s="116">
        <f>'AVG Proj Rev 2018 with CET'!$T$51</f>
        <v>0</v>
      </c>
      <c r="H51" s="116">
        <f>'AVG Projected Rev 2019 with CET'!$T$51</f>
        <v>0</v>
      </c>
      <c r="I51" s="116">
        <f>HLOOKUP($I$8,RevenueScenarios,M51,FALSE)</f>
        <v>0</v>
      </c>
      <c r="J51" s="116"/>
      <c r="K51" s="116">
        <f>I51-F51</f>
        <v>0</v>
      </c>
      <c r="L51" s="116"/>
      <c r="M51" s="325">
        <f t="shared" si="0"/>
        <v>44</v>
      </c>
    </row>
    <row r="52" spans="1:13">
      <c r="A52" s="868" t="s">
        <v>945</v>
      </c>
      <c r="B52" s="728"/>
      <c r="C52" s="728" t="s">
        <v>17</v>
      </c>
      <c r="D52" s="728" t="s">
        <v>946</v>
      </c>
      <c r="F52" s="116">
        <f>'Booked DEC 2017 Rev'!$T$52</f>
        <v>0</v>
      </c>
      <c r="G52" s="116">
        <f>'AVG Proj Rev 2018 with CET'!$T$52</f>
        <v>0</v>
      </c>
      <c r="H52" s="116">
        <f>'AVG Projected Rev 2019 with CET'!$T$52</f>
        <v>0</v>
      </c>
      <c r="I52" s="116"/>
      <c r="J52" s="116"/>
      <c r="K52" s="116"/>
      <c r="L52" s="116"/>
      <c r="M52" s="325">
        <f t="shared" si="0"/>
        <v>45</v>
      </c>
    </row>
    <row r="53" spans="1:13">
      <c r="A53" s="868" t="s">
        <v>945</v>
      </c>
      <c r="B53" s="728"/>
      <c r="C53" s="728" t="s">
        <v>812</v>
      </c>
      <c r="D53" s="728" t="s">
        <v>946</v>
      </c>
      <c r="F53" s="116">
        <f>'Booked DEC 2017 Rev'!$T$53</f>
        <v>0</v>
      </c>
      <c r="G53" s="116">
        <f>'AVG Proj Rev 2018 with CET'!$T$53</f>
        <v>0</v>
      </c>
      <c r="H53" s="116">
        <f>'AVG Projected Rev 2019 with CET'!$T$53</f>
        <v>0</v>
      </c>
      <c r="I53" s="116">
        <f>HLOOKUP($I$8,RevenueScenarios,M53,FALSE)</f>
        <v>0</v>
      </c>
      <c r="J53" s="116"/>
      <c r="K53" s="116">
        <f>I53-F53</f>
        <v>0</v>
      </c>
      <c r="L53" s="116"/>
      <c r="M53" s="325">
        <f t="shared" si="0"/>
        <v>46</v>
      </c>
    </row>
    <row r="54" spans="1:13">
      <c r="A54" s="868" t="s">
        <v>945</v>
      </c>
      <c r="B54" s="728"/>
      <c r="C54" s="728" t="s">
        <v>813</v>
      </c>
      <c r="D54" s="728" t="s">
        <v>946</v>
      </c>
      <c r="F54" s="116">
        <f>'Booked DEC 2017 Rev'!$T$54</f>
        <v>0</v>
      </c>
      <c r="G54" s="116">
        <f>'AVG Proj Rev 2018 with CET'!$T$54</f>
        <v>0</v>
      </c>
      <c r="H54" s="116">
        <f>'AVG Projected Rev 2019 with CET'!$T$54</f>
        <v>0</v>
      </c>
      <c r="I54" s="116"/>
      <c r="J54" s="116"/>
      <c r="K54" s="116"/>
      <c r="L54" s="116"/>
      <c r="M54" s="325">
        <f t="shared" si="0"/>
        <v>47</v>
      </c>
    </row>
    <row r="55" spans="1:13">
      <c r="A55" s="868" t="s">
        <v>945</v>
      </c>
      <c r="B55" s="728"/>
      <c r="C55" s="728" t="s">
        <v>814</v>
      </c>
      <c r="D55" s="728" t="s">
        <v>946</v>
      </c>
      <c r="F55" s="116">
        <f>'Booked DEC 2017 Rev'!$T$55</f>
        <v>0</v>
      </c>
      <c r="G55" s="116">
        <f>'AVG Proj Rev 2018 with CET'!$T$55</f>
        <v>0</v>
      </c>
      <c r="H55" s="116">
        <f>'AVG Projected Rev 2019 with CET'!$T$55</f>
        <v>0</v>
      </c>
      <c r="I55" s="116">
        <f>HLOOKUP($I$8,RevenueScenarios,M55,FALSE)</f>
        <v>0</v>
      </c>
      <c r="J55" s="116"/>
      <c r="K55" s="116">
        <f>I55-F55</f>
        <v>0</v>
      </c>
      <c r="L55" s="116"/>
      <c r="M55" s="325">
        <f t="shared" si="0"/>
        <v>48</v>
      </c>
    </row>
    <row r="56" spans="1:13">
      <c r="A56" s="868" t="s">
        <v>945</v>
      </c>
      <c r="B56" s="728"/>
      <c r="C56" s="728" t="s">
        <v>19</v>
      </c>
      <c r="D56" s="728" t="s">
        <v>946</v>
      </c>
      <c r="F56" s="131">
        <f>'Booked DEC 2017 Rev'!$T$56</f>
        <v>0</v>
      </c>
      <c r="G56" s="131">
        <f>'AVG Proj Rev 2018 with CET'!$T$56</f>
        <v>0</v>
      </c>
      <c r="H56" s="131">
        <f>'AVG Projected Rev 2019 with CET'!$T$56</f>
        <v>0</v>
      </c>
      <c r="I56" s="131">
        <f>HLOOKUP($I$8,RevenueScenarios,M56,FALSE)</f>
        <v>0</v>
      </c>
      <c r="J56" s="131"/>
      <c r="K56" s="131">
        <f>I56-F56</f>
        <v>0</v>
      </c>
      <c r="L56" s="116"/>
      <c r="M56" s="325">
        <f t="shared" si="0"/>
        <v>49</v>
      </c>
    </row>
    <row r="57" spans="1:13">
      <c r="A57" s="868" t="s">
        <v>945</v>
      </c>
      <c r="B57" s="728"/>
      <c r="C57" s="728" t="s">
        <v>947</v>
      </c>
      <c r="D57" s="728" t="s">
        <v>946</v>
      </c>
      <c r="F57" s="116"/>
      <c r="G57" s="116"/>
      <c r="H57" s="116"/>
      <c r="I57" s="116"/>
      <c r="J57" s="116"/>
      <c r="K57" s="116"/>
      <c r="L57" s="116"/>
      <c r="M57" s="325">
        <f t="shared" si="0"/>
        <v>50</v>
      </c>
    </row>
    <row r="58" spans="1:13">
      <c r="A58" s="868" t="s">
        <v>945</v>
      </c>
      <c r="B58" s="728"/>
      <c r="C58" s="728" t="s">
        <v>83</v>
      </c>
      <c r="D58" s="728" t="s">
        <v>946</v>
      </c>
      <c r="F58" s="116">
        <f>'Booked DEC 2017 Rev'!$T$58</f>
        <v>0</v>
      </c>
      <c r="G58" s="116">
        <f>'AVG Proj Rev 2018 with CET'!$T$58</f>
        <v>0</v>
      </c>
      <c r="H58" s="116">
        <f>'AVG Projected Rev 2019 with CET'!$T$58</f>
        <v>0</v>
      </c>
      <c r="I58" s="116">
        <f>HLOOKUP($I$8,RevenueScenarios,M58,FALSE)</f>
        <v>0</v>
      </c>
      <c r="J58" s="116"/>
      <c r="K58" s="116">
        <f>I58-F58</f>
        <v>0</v>
      </c>
      <c r="L58" s="116"/>
      <c r="M58" s="325">
        <f t="shared" si="0"/>
        <v>51</v>
      </c>
    </row>
    <row r="59" spans="1:13">
      <c r="A59" s="868" t="s">
        <v>945</v>
      </c>
      <c r="B59" s="332"/>
      <c r="C59" s="332"/>
      <c r="D59" s="728"/>
      <c r="F59" s="116"/>
      <c r="G59" s="116"/>
      <c r="H59" s="116"/>
      <c r="I59" s="116"/>
      <c r="J59" s="116"/>
      <c r="K59" s="116"/>
      <c r="L59" s="116"/>
      <c r="M59" s="325">
        <f t="shared" si="0"/>
        <v>52</v>
      </c>
    </row>
    <row r="60" spans="1:13">
      <c r="A60" s="868" t="s">
        <v>945</v>
      </c>
      <c r="B60" s="728" t="s">
        <v>810</v>
      </c>
      <c r="C60" s="728" t="s">
        <v>16</v>
      </c>
      <c r="D60" s="728" t="s">
        <v>946</v>
      </c>
      <c r="F60" s="116">
        <f>'Booked DEC 2017 Rev'!$T$60</f>
        <v>1777126.4168316997</v>
      </c>
      <c r="G60" s="116">
        <f>'AVG Proj Rev 2018 with CET'!$T$60</f>
        <v>1531126.0126068778</v>
      </c>
      <c r="H60" s="116">
        <f>'AVG Projected Rev 2019 with CET'!$T$60</f>
        <v>1245779.1623274353</v>
      </c>
      <c r="I60" s="116">
        <f>HLOOKUP($I$8,RevenueScenarios,M60,FALSE)</f>
        <v>1245779.1623274353</v>
      </c>
      <c r="J60" s="116"/>
      <c r="K60" s="116">
        <f>I60-F60</f>
        <v>-531347.25450426433</v>
      </c>
      <c r="L60" s="116"/>
      <c r="M60" s="325">
        <f t="shared" si="0"/>
        <v>53</v>
      </c>
    </row>
    <row r="61" spans="1:13">
      <c r="A61" s="868" t="s">
        <v>945</v>
      </c>
      <c r="B61" s="728"/>
      <c r="C61" s="728"/>
      <c r="D61" s="728" t="s">
        <v>946</v>
      </c>
      <c r="F61" s="116"/>
      <c r="G61" s="116"/>
      <c r="H61" s="116"/>
      <c r="I61" s="116"/>
      <c r="J61" s="116"/>
      <c r="K61" s="116"/>
      <c r="L61" s="116"/>
      <c r="M61" s="325">
        <f t="shared" si="0"/>
        <v>54</v>
      </c>
    </row>
    <row r="62" spans="1:13">
      <c r="A62" s="868" t="s">
        <v>945</v>
      </c>
      <c r="B62" s="728"/>
      <c r="C62" s="728" t="s">
        <v>17</v>
      </c>
      <c r="D62" s="728" t="s">
        <v>946</v>
      </c>
      <c r="F62" s="116">
        <f>'Booked DEC 2017 Rev'!$T$62</f>
        <v>265317.09801070008</v>
      </c>
      <c r="G62" s="116">
        <f>'AVG Proj Rev 2018 with CET'!$T$62</f>
        <v>226297.95999999996</v>
      </c>
      <c r="H62" s="116">
        <f>'AVG Projected Rev 2019 with CET'!$T$62</f>
        <v>181037.43000000002</v>
      </c>
      <c r="I62" s="116">
        <f>HLOOKUP($I$8,RevenueScenarios,M62,FALSE)</f>
        <v>181037.43000000002</v>
      </c>
      <c r="J62" s="116"/>
      <c r="K62" s="116">
        <f>I62-F62</f>
        <v>-84279.668010700057</v>
      </c>
      <c r="L62" s="116"/>
      <c r="M62" s="325">
        <f t="shared" si="0"/>
        <v>55</v>
      </c>
    </row>
    <row r="63" spans="1:13">
      <c r="A63" s="868" t="s">
        <v>945</v>
      </c>
      <c r="B63" s="728"/>
      <c r="C63" s="728"/>
      <c r="D63" s="728" t="s">
        <v>946</v>
      </c>
      <c r="F63" s="116"/>
      <c r="G63" s="116"/>
      <c r="H63" s="116"/>
      <c r="I63" s="116"/>
      <c r="J63" s="116"/>
      <c r="K63" s="116"/>
      <c r="L63" s="116"/>
      <c r="M63" s="325">
        <f t="shared" si="0"/>
        <v>56</v>
      </c>
    </row>
    <row r="64" spans="1:13">
      <c r="A64" s="868" t="s">
        <v>945</v>
      </c>
      <c r="B64" s="728"/>
      <c r="C64" s="728" t="s">
        <v>18</v>
      </c>
      <c r="D64" s="728" t="s">
        <v>946</v>
      </c>
      <c r="F64" s="116">
        <f>'Booked DEC 2017 Rev'!$T$64</f>
        <v>1200610.4451576001</v>
      </c>
      <c r="G64" s="116">
        <f>'AVG Proj Rev 2018 with CET'!$T$64</f>
        <v>839654.02</v>
      </c>
      <c r="H64" s="116">
        <f>'AVG Projected Rev 2019 with CET'!$T$64</f>
        <v>671719.76</v>
      </c>
      <c r="I64" s="116">
        <f>HLOOKUP($I$8,RevenueScenarios,M64,FALSE)</f>
        <v>671719.76</v>
      </c>
      <c r="J64" s="116"/>
      <c r="K64" s="116">
        <f>I64-F64</f>
        <v>-528890.68515760009</v>
      </c>
      <c r="L64" s="116"/>
      <c r="M64" s="325">
        <f t="shared" si="0"/>
        <v>57</v>
      </c>
    </row>
    <row r="65" spans="1:13">
      <c r="A65" s="868" t="s">
        <v>945</v>
      </c>
      <c r="B65" s="728"/>
      <c r="C65" s="728" t="s">
        <v>19</v>
      </c>
      <c r="D65" s="728" t="s">
        <v>946</v>
      </c>
      <c r="F65" s="131">
        <f>'Booked DEC 2017 Rev'!$T$65</f>
        <v>3243053.96</v>
      </c>
      <c r="G65" s="131">
        <f>'AVG Proj Rev 2018 with CET'!$T$65</f>
        <v>2597077.9926068778</v>
      </c>
      <c r="H65" s="131">
        <f>'AVG Projected Rev 2019 with CET'!$T$65</f>
        <v>2098536.3523274353</v>
      </c>
      <c r="I65" s="131">
        <f>HLOOKUP($I$8,RevenueScenarios,M65,FALSE)</f>
        <v>2098536.3523274353</v>
      </c>
      <c r="J65" s="131"/>
      <c r="K65" s="131">
        <f>I65-F65</f>
        <v>-1144517.6076725647</v>
      </c>
      <c r="L65" s="116"/>
      <c r="M65" s="325">
        <f t="shared" si="0"/>
        <v>58</v>
      </c>
    </row>
    <row r="66" spans="1:13">
      <c r="A66" s="868" t="s">
        <v>945</v>
      </c>
      <c r="B66" s="728"/>
      <c r="C66" s="728" t="s">
        <v>947</v>
      </c>
      <c r="D66" s="728" t="s">
        <v>946</v>
      </c>
      <c r="F66" s="116"/>
      <c r="G66" s="116"/>
      <c r="H66" s="116"/>
      <c r="I66" s="116"/>
      <c r="J66" s="116"/>
      <c r="K66" s="116"/>
      <c r="L66" s="116"/>
      <c r="M66" s="325">
        <f t="shared" si="0"/>
        <v>59</v>
      </c>
    </row>
    <row r="67" spans="1:13">
      <c r="A67" s="868" t="s">
        <v>945</v>
      </c>
      <c r="B67" s="728"/>
      <c r="C67" s="728" t="s">
        <v>20</v>
      </c>
      <c r="D67" s="728" t="s">
        <v>946</v>
      </c>
      <c r="F67" s="116">
        <f>'Booked DEC 2017 Rev'!$T$67</f>
        <v>297834.61000000004</v>
      </c>
      <c r="G67" s="116">
        <f>'AVG Proj Rev 2018 with CET'!$T$67</f>
        <v>242105</v>
      </c>
      <c r="H67" s="116">
        <f>'AVG Projected Rev 2019 with CET'!$T$67</f>
        <v>193683</v>
      </c>
      <c r="I67" s="116">
        <f>HLOOKUP($I$8,RevenueScenarios,M67,FALSE)</f>
        <v>193683</v>
      </c>
      <c r="J67" s="116"/>
      <c r="K67" s="116">
        <f>I67-F67</f>
        <v>-104151.61000000004</v>
      </c>
      <c r="L67" s="116"/>
      <c r="M67" s="325">
        <f t="shared" si="0"/>
        <v>60</v>
      </c>
    </row>
    <row r="68" spans="1:13">
      <c r="A68" s="868" t="s">
        <v>945</v>
      </c>
      <c r="F68" s="116"/>
      <c r="G68" s="116"/>
      <c r="H68" s="116"/>
      <c r="I68" s="116"/>
      <c r="J68" s="116"/>
      <c r="K68" s="116"/>
      <c r="L68" s="116"/>
      <c r="M68" s="325">
        <f t="shared" si="0"/>
        <v>61</v>
      </c>
    </row>
    <row r="69" spans="1:13">
      <c r="A69" s="868" t="s">
        <v>945</v>
      </c>
      <c r="B69" s="728" t="s">
        <v>4</v>
      </c>
      <c r="C69" s="728" t="s">
        <v>16</v>
      </c>
      <c r="D69" s="728" t="s">
        <v>946</v>
      </c>
      <c r="F69" s="116">
        <f>'Booked DEC 2017 Rev'!$T$69</f>
        <v>0</v>
      </c>
      <c r="G69" s="116">
        <f>'AVG Proj Rev 2018 with CET'!$T$69</f>
        <v>0</v>
      </c>
      <c r="H69" s="116">
        <f>'AVG Projected Rev 2019 with CET'!$T$69</f>
        <v>0</v>
      </c>
      <c r="I69" s="116">
        <f>HLOOKUP($I$8,RevenueScenarios,M69,FALSE)</f>
        <v>0</v>
      </c>
      <c r="J69" s="116"/>
      <c r="K69" s="116">
        <f>I69-F69</f>
        <v>0</v>
      </c>
      <c r="L69" s="116"/>
      <c r="M69" s="325">
        <f t="shared" si="0"/>
        <v>62</v>
      </c>
    </row>
    <row r="70" spans="1:13">
      <c r="A70" s="868" t="s">
        <v>945</v>
      </c>
      <c r="B70" s="728"/>
      <c r="C70" s="728"/>
      <c r="D70" s="728" t="s">
        <v>946</v>
      </c>
      <c r="F70" s="116"/>
      <c r="G70" s="116"/>
      <c r="H70" s="116"/>
      <c r="I70" s="116"/>
      <c r="J70" s="116"/>
      <c r="K70" s="116"/>
      <c r="L70" s="116"/>
      <c r="M70" s="325">
        <f t="shared" si="0"/>
        <v>63</v>
      </c>
    </row>
    <row r="71" spans="1:13">
      <c r="A71" s="868" t="s">
        <v>945</v>
      </c>
      <c r="B71" s="728"/>
      <c r="C71" s="728" t="s">
        <v>17</v>
      </c>
      <c r="D71" s="728" t="s">
        <v>946</v>
      </c>
      <c r="F71" s="116">
        <f>'Booked DEC 2017 Rev'!$T$71</f>
        <v>0</v>
      </c>
      <c r="G71" s="116">
        <f>'AVG Proj Rev 2018 with CET'!$T$71</f>
        <v>0</v>
      </c>
      <c r="H71" s="116">
        <f>'AVG Projected Rev 2019 with CET'!$T$71</f>
        <v>0</v>
      </c>
      <c r="I71" s="116">
        <f>HLOOKUP($I$8,RevenueScenarios,M71,FALSE)</f>
        <v>0</v>
      </c>
      <c r="J71" s="116"/>
      <c r="K71" s="116">
        <f>I71-F71</f>
        <v>0</v>
      </c>
      <c r="L71" s="116"/>
      <c r="M71" s="325">
        <f t="shared" si="0"/>
        <v>64</v>
      </c>
    </row>
    <row r="72" spans="1:13">
      <c r="A72" s="868" t="s">
        <v>945</v>
      </c>
      <c r="B72" s="728"/>
      <c r="C72" s="728"/>
      <c r="D72" s="728" t="s">
        <v>946</v>
      </c>
      <c r="F72" s="116"/>
      <c r="G72" s="116"/>
      <c r="H72" s="116"/>
      <c r="I72" s="116"/>
      <c r="J72" s="116"/>
      <c r="K72" s="116"/>
      <c r="L72" s="116"/>
      <c r="M72" s="325">
        <f t="shared" si="0"/>
        <v>65</v>
      </c>
    </row>
    <row r="73" spans="1:13">
      <c r="A73" s="868" t="s">
        <v>945</v>
      </c>
      <c r="B73" s="728"/>
      <c r="C73" s="728" t="s">
        <v>18</v>
      </c>
      <c r="D73" s="728" t="s">
        <v>946</v>
      </c>
      <c r="F73" s="116">
        <f>'Booked DEC 2017 Rev'!$T$73</f>
        <v>0</v>
      </c>
      <c r="G73" s="116">
        <f>'AVG Proj Rev 2018 with CET'!$T$73</f>
        <v>0</v>
      </c>
      <c r="H73" s="116">
        <f>'AVG Projected Rev 2019 with CET'!$T$73</f>
        <v>0</v>
      </c>
      <c r="I73" s="116">
        <f>HLOOKUP($I$8,RevenueScenarios,M73,FALSE)</f>
        <v>0</v>
      </c>
      <c r="J73" s="116"/>
      <c r="K73" s="116">
        <f>I73-F73</f>
        <v>0</v>
      </c>
      <c r="L73" s="116"/>
      <c r="M73" s="325">
        <f t="shared" si="0"/>
        <v>66</v>
      </c>
    </row>
    <row r="74" spans="1:13">
      <c r="A74" s="868" t="s">
        <v>945</v>
      </c>
      <c r="B74" s="728"/>
      <c r="C74" s="728" t="s">
        <v>19</v>
      </c>
      <c r="D74" s="728" t="s">
        <v>946</v>
      </c>
      <c r="F74" s="131">
        <f>'Booked DEC 2017 Rev'!$T$74</f>
        <v>0</v>
      </c>
      <c r="G74" s="131">
        <f>'AVG Proj Rev 2018 with CET'!$T$74</f>
        <v>0</v>
      </c>
      <c r="H74" s="131">
        <f>'AVG Projected Rev 2019 with CET'!$T$74</f>
        <v>0</v>
      </c>
      <c r="I74" s="131">
        <f>HLOOKUP($I$8,RevenueScenarios,M74,FALSE)</f>
        <v>0</v>
      </c>
      <c r="J74" s="131"/>
      <c r="K74" s="131">
        <f>I74-F74</f>
        <v>0</v>
      </c>
      <c r="L74" s="116"/>
      <c r="M74" s="325">
        <f t="shared" ref="M74:M137" si="2">+M73+1</f>
        <v>67</v>
      </c>
    </row>
    <row r="75" spans="1:13">
      <c r="A75" s="868" t="s">
        <v>945</v>
      </c>
      <c r="B75" s="728"/>
      <c r="C75" s="728" t="s">
        <v>947</v>
      </c>
      <c r="D75" s="728" t="s">
        <v>946</v>
      </c>
      <c r="F75" s="116"/>
      <c r="G75" s="116"/>
      <c r="H75" s="116"/>
      <c r="I75" s="116"/>
      <c r="J75" s="116"/>
      <c r="K75" s="116"/>
      <c r="L75" s="116"/>
      <c r="M75" s="325">
        <f t="shared" si="2"/>
        <v>68</v>
      </c>
    </row>
    <row r="76" spans="1:13">
      <c r="A76" s="868" t="s">
        <v>945</v>
      </c>
      <c r="B76" s="728"/>
      <c r="C76" s="728" t="s">
        <v>20</v>
      </c>
      <c r="D76" s="728" t="s">
        <v>946</v>
      </c>
      <c r="F76" s="116">
        <f>'Booked DEC 2017 Rev'!$T$76</f>
        <v>0</v>
      </c>
      <c r="G76" s="116">
        <f>'AVG Proj Rev 2018 with CET'!$T$76</f>
        <v>0</v>
      </c>
      <c r="H76" s="116">
        <f>'AVG Projected Rev 2019 with CET'!$T$76</f>
        <v>0</v>
      </c>
      <c r="I76" s="116">
        <f>HLOOKUP($I$8,RevenueScenarios,M76,FALSE)</f>
        <v>0</v>
      </c>
      <c r="J76" s="116"/>
      <c r="K76" s="116">
        <f>I76-F76</f>
        <v>0</v>
      </c>
      <c r="L76" s="116"/>
      <c r="M76" s="325">
        <f t="shared" si="2"/>
        <v>69</v>
      </c>
    </row>
    <row r="77" spans="1:13">
      <c r="A77" s="382"/>
      <c r="B77" s="728"/>
      <c r="C77" s="728"/>
      <c r="D77" s="728"/>
      <c r="F77" s="116"/>
      <c r="G77" s="116"/>
      <c r="H77" s="116"/>
      <c r="I77" s="116"/>
      <c r="J77" s="116"/>
      <c r="K77" s="116"/>
      <c r="L77" s="116"/>
      <c r="M77" s="325">
        <f t="shared" si="2"/>
        <v>70</v>
      </c>
    </row>
    <row r="78" spans="1:13">
      <c r="A78" s="382" t="s">
        <v>949</v>
      </c>
      <c r="B78" s="728" t="s">
        <v>88</v>
      </c>
      <c r="C78" s="728" t="s">
        <v>16</v>
      </c>
      <c r="D78" s="728" t="s">
        <v>946</v>
      </c>
      <c r="F78" s="116">
        <f>'Booked DEC 2017 Rev'!$T$78</f>
        <v>0</v>
      </c>
      <c r="G78" s="116">
        <f>'AVG Proj Rev 2018 with CET'!$T$78</f>
        <v>0</v>
      </c>
      <c r="H78" s="116">
        <f>'AVG Projected Rev 2019 with CET'!$T$78</f>
        <v>0</v>
      </c>
      <c r="I78" s="116">
        <f>HLOOKUP($I$8,RevenueScenarios,M78,FALSE)</f>
        <v>0</v>
      </c>
      <c r="J78" s="116"/>
      <c r="K78" s="116">
        <f>I78-F78</f>
        <v>0</v>
      </c>
      <c r="L78" s="116"/>
      <c r="M78" s="325">
        <f t="shared" si="2"/>
        <v>71</v>
      </c>
    </row>
    <row r="79" spans="1:13">
      <c r="A79" s="382" t="s">
        <v>949</v>
      </c>
      <c r="B79" s="728"/>
      <c r="C79" s="728"/>
      <c r="D79" s="728" t="s">
        <v>946</v>
      </c>
      <c r="F79" s="116"/>
      <c r="G79" s="116"/>
      <c r="H79" s="116"/>
      <c r="I79" s="116"/>
      <c r="J79" s="116"/>
      <c r="K79" s="116"/>
      <c r="L79" s="116"/>
      <c r="M79" s="325">
        <f t="shared" si="2"/>
        <v>72</v>
      </c>
    </row>
    <row r="80" spans="1:13">
      <c r="A80" s="382" t="s">
        <v>949</v>
      </c>
      <c r="B80" s="728"/>
      <c r="C80" s="728" t="s">
        <v>17</v>
      </c>
      <c r="D80" s="728" t="s">
        <v>946</v>
      </c>
      <c r="F80" s="116">
        <f>'Booked DEC 2017 Rev'!$T$80</f>
        <v>0</v>
      </c>
      <c r="G80" s="116">
        <f>'AVG Proj Rev 2018 with CET'!$T$80</f>
        <v>0</v>
      </c>
      <c r="H80" s="116">
        <f>'AVG Projected Rev 2019 with CET'!$T$80</f>
        <v>0</v>
      </c>
      <c r="I80" s="116">
        <f>HLOOKUP($I$8,RevenueScenarios,M80,FALSE)</f>
        <v>0</v>
      </c>
      <c r="J80" s="116"/>
      <c r="K80" s="116">
        <f>I80-F80</f>
        <v>0</v>
      </c>
      <c r="L80" s="116"/>
      <c r="M80" s="325">
        <f t="shared" si="2"/>
        <v>73</v>
      </c>
    </row>
    <row r="81" spans="1:13">
      <c r="A81" s="382" t="s">
        <v>949</v>
      </c>
      <c r="B81" s="728"/>
      <c r="C81" s="728"/>
      <c r="D81" s="728" t="s">
        <v>946</v>
      </c>
      <c r="F81" s="116"/>
      <c r="G81" s="116"/>
      <c r="H81" s="116"/>
      <c r="I81" s="116"/>
      <c r="J81" s="116"/>
      <c r="K81" s="116"/>
      <c r="L81" s="116"/>
      <c r="M81" s="325">
        <f t="shared" si="2"/>
        <v>74</v>
      </c>
    </row>
    <row r="82" spans="1:13">
      <c r="A82" s="382" t="s">
        <v>949</v>
      </c>
      <c r="B82" s="728"/>
      <c r="C82" s="728" t="s">
        <v>18</v>
      </c>
      <c r="D82" s="728" t="s">
        <v>946</v>
      </c>
      <c r="F82" s="116">
        <f>'Booked DEC 2017 Rev'!$T$82</f>
        <v>0</v>
      </c>
      <c r="G82" s="116">
        <f>'AVG Proj Rev 2018 with CET'!$T$82</f>
        <v>0</v>
      </c>
      <c r="H82" s="116">
        <f>'AVG Projected Rev 2019 with CET'!$T$82</f>
        <v>0</v>
      </c>
      <c r="I82" s="116">
        <f>HLOOKUP($I$8,RevenueScenarios,M82,FALSE)</f>
        <v>0</v>
      </c>
      <c r="J82" s="116"/>
      <c r="K82" s="116">
        <f>I82-F82</f>
        <v>0</v>
      </c>
      <c r="L82" s="116"/>
      <c r="M82" s="325">
        <f t="shared" si="2"/>
        <v>75</v>
      </c>
    </row>
    <row r="83" spans="1:13">
      <c r="A83" s="382" t="s">
        <v>949</v>
      </c>
      <c r="B83" s="728"/>
      <c r="C83" s="728" t="s">
        <v>19</v>
      </c>
      <c r="D83" s="728" t="s">
        <v>946</v>
      </c>
      <c r="F83" s="131">
        <f>'Booked DEC 2017 Rev'!$T$83</f>
        <v>0</v>
      </c>
      <c r="G83" s="131">
        <f>'AVG Proj Rev 2018 with CET'!$T$83</f>
        <v>0</v>
      </c>
      <c r="H83" s="131">
        <f>'AVG Projected Rev 2019 with CET'!$T$83</f>
        <v>0</v>
      </c>
      <c r="I83" s="131">
        <f>HLOOKUP($I$8,RevenueScenarios,M83,FALSE)</f>
        <v>0</v>
      </c>
      <c r="J83" s="131"/>
      <c r="K83" s="131">
        <f>I83-F83</f>
        <v>0</v>
      </c>
      <c r="L83" s="116"/>
      <c r="M83" s="325">
        <f t="shared" si="2"/>
        <v>76</v>
      </c>
    </row>
    <row r="84" spans="1:13">
      <c r="A84" s="382" t="s">
        <v>949</v>
      </c>
      <c r="B84" s="728"/>
      <c r="C84" s="728" t="s">
        <v>947</v>
      </c>
      <c r="D84" s="728" t="s">
        <v>946</v>
      </c>
      <c r="F84" s="116"/>
      <c r="G84" s="116"/>
      <c r="H84" s="116"/>
      <c r="I84" s="116"/>
      <c r="J84" s="116"/>
      <c r="K84" s="116"/>
      <c r="L84" s="116"/>
      <c r="M84" s="325">
        <f t="shared" si="2"/>
        <v>77</v>
      </c>
    </row>
    <row r="85" spans="1:13">
      <c r="A85" s="382" t="s">
        <v>949</v>
      </c>
      <c r="B85" s="728"/>
      <c r="C85" s="728" t="s">
        <v>20</v>
      </c>
      <c r="D85" s="728" t="s">
        <v>946</v>
      </c>
      <c r="F85" s="116">
        <f>'Booked DEC 2017 Rev'!$T$85</f>
        <v>0</v>
      </c>
      <c r="G85" s="116">
        <f>'AVG Proj Rev 2018 with CET'!$T$85</f>
        <v>0</v>
      </c>
      <c r="H85" s="116">
        <f>'AVG Projected Rev 2019 with CET'!$T$85</f>
        <v>0</v>
      </c>
      <c r="I85" s="116">
        <f>HLOOKUP($I$8,RevenueScenarios,M85,FALSE)</f>
        <v>0</v>
      </c>
      <c r="J85" s="116"/>
      <c r="K85" s="116">
        <f>I85-F85</f>
        <v>0</v>
      </c>
      <c r="L85" s="116"/>
      <c r="M85" s="325">
        <f t="shared" si="2"/>
        <v>78</v>
      </c>
    </row>
    <row r="86" spans="1:13">
      <c r="A86" s="382" t="s">
        <v>949</v>
      </c>
      <c r="B86" s="728"/>
      <c r="C86" s="728"/>
      <c r="D86" s="728"/>
      <c r="F86" s="116"/>
      <c r="G86" s="116"/>
      <c r="H86" s="116"/>
      <c r="I86" s="116"/>
      <c r="J86" s="116"/>
      <c r="K86" s="116"/>
      <c r="L86" s="116"/>
      <c r="M86" s="325">
        <f t="shared" si="2"/>
        <v>79</v>
      </c>
    </row>
    <row r="87" spans="1:13">
      <c r="A87" s="382" t="s">
        <v>949</v>
      </c>
      <c r="B87" s="728" t="s">
        <v>950</v>
      </c>
      <c r="C87" s="728" t="s">
        <v>16</v>
      </c>
      <c r="D87" s="728" t="s">
        <v>946</v>
      </c>
      <c r="F87" s="116">
        <f>'Booked DEC 2017 Rev'!$T$87</f>
        <v>0</v>
      </c>
      <c r="G87" s="116">
        <f>'AVG Proj Rev 2018 with CET'!$T$87</f>
        <v>0</v>
      </c>
      <c r="H87" s="116">
        <f>'AVG Projected Rev 2019 with CET'!$T$87</f>
        <v>0</v>
      </c>
      <c r="I87" s="116">
        <f>HLOOKUP($I$8,RevenueScenarios,M87,FALSE)</f>
        <v>0</v>
      </c>
      <c r="J87" s="116"/>
      <c r="K87" s="116">
        <f>I87-F87</f>
        <v>0</v>
      </c>
      <c r="L87" s="116"/>
      <c r="M87" s="325">
        <f t="shared" si="2"/>
        <v>80</v>
      </c>
    </row>
    <row r="88" spans="1:13">
      <c r="A88" s="382" t="s">
        <v>949</v>
      </c>
      <c r="B88" s="728"/>
      <c r="C88" s="728"/>
      <c r="D88" s="728" t="s">
        <v>946</v>
      </c>
      <c r="F88" s="116"/>
      <c r="G88" s="116"/>
      <c r="H88" s="116"/>
      <c r="I88" s="116"/>
      <c r="J88" s="116"/>
      <c r="K88" s="116"/>
      <c r="L88" s="116"/>
      <c r="M88" s="325">
        <f t="shared" si="2"/>
        <v>81</v>
      </c>
    </row>
    <row r="89" spans="1:13">
      <c r="A89" s="382" t="s">
        <v>949</v>
      </c>
      <c r="B89" s="728"/>
      <c r="C89" s="728" t="s">
        <v>17</v>
      </c>
      <c r="D89" s="728" t="s">
        <v>946</v>
      </c>
      <c r="F89" s="116">
        <f>'Booked DEC 2017 Rev'!$T$89</f>
        <v>0</v>
      </c>
      <c r="G89" s="116">
        <f>'AVG Proj Rev 2018 with CET'!$T$89</f>
        <v>0</v>
      </c>
      <c r="H89" s="116">
        <f>'AVG Projected Rev 2019 with CET'!$T$89</f>
        <v>0</v>
      </c>
      <c r="I89" s="116">
        <f>HLOOKUP($I$8,RevenueScenarios,M89,FALSE)</f>
        <v>0</v>
      </c>
      <c r="J89" s="116"/>
      <c r="K89" s="116">
        <f>I89-F89</f>
        <v>0</v>
      </c>
      <c r="L89" s="116"/>
      <c r="M89" s="325">
        <f t="shared" si="2"/>
        <v>82</v>
      </c>
    </row>
    <row r="90" spans="1:13">
      <c r="A90" s="382" t="s">
        <v>949</v>
      </c>
      <c r="B90" s="728"/>
      <c r="C90" s="728"/>
      <c r="D90" s="728" t="s">
        <v>946</v>
      </c>
      <c r="F90" s="116"/>
      <c r="G90" s="116"/>
      <c r="H90" s="116"/>
      <c r="I90" s="116"/>
      <c r="J90" s="116"/>
      <c r="K90" s="116"/>
      <c r="L90" s="116"/>
      <c r="M90" s="325">
        <f t="shared" si="2"/>
        <v>83</v>
      </c>
    </row>
    <row r="91" spans="1:13">
      <c r="A91" s="382" t="s">
        <v>949</v>
      </c>
      <c r="B91" s="728"/>
      <c r="C91" s="728" t="s">
        <v>18</v>
      </c>
      <c r="D91" s="728" t="s">
        <v>946</v>
      </c>
      <c r="F91" s="116">
        <f>'Booked DEC 2017 Rev'!$T$91</f>
        <v>0</v>
      </c>
      <c r="G91" s="116">
        <f>'AVG Proj Rev 2018 with CET'!$T$91</f>
        <v>0</v>
      </c>
      <c r="H91" s="116">
        <f>'AVG Projected Rev 2019 with CET'!$T$91</f>
        <v>0</v>
      </c>
      <c r="I91" s="116">
        <f>HLOOKUP($I$8,RevenueScenarios,M91,FALSE)</f>
        <v>0</v>
      </c>
      <c r="J91" s="116"/>
      <c r="K91" s="116">
        <f>I91-F91</f>
        <v>0</v>
      </c>
      <c r="L91" s="116"/>
      <c r="M91" s="325">
        <f t="shared" si="2"/>
        <v>84</v>
      </c>
    </row>
    <row r="92" spans="1:13">
      <c r="A92" s="382" t="s">
        <v>949</v>
      </c>
      <c r="B92" s="728"/>
      <c r="C92" s="728" t="s">
        <v>19</v>
      </c>
      <c r="D92" s="728" t="s">
        <v>946</v>
      </c>
      <c r="F92" s="131">
        <f>'Booked DEC 2017 Rev'!$T$92</f>
        <v>0</v>
      </c>
      <c r="G92" s="131">
        <f>'AVG Proj Rev 2018 with CET'!$T$92</f>
        <v>0</v>
      </c>
      <c r="H92" s="131">
        <f>'AVG Projected Rev 2019 with CET'!$T$92</f>
        <v>0</v>
      </c>
      <c r="I92" s="131">
        <f>HLOOKUP($I$8,RevenueScenarios,M92,FALSE)</f>
        <v>0</v>
      </c>
      <c r="J92" s="131"/>
      <c r="K92" s="131">
        <f>I92-F92</f>
        <v>0</v>
      </c>
      <c r="L92" s="116"/>
      <c r="M92" s="325">
        <f t="shared" si="2"/>
        <v>85</v>
      </c>
    </row>
    <row r="93" spans="1:13">
      <c r="A93" s="382" t="s">
        <v>949</v>
      </c>
      <c r="B93" s="728"/>
      <c r="C93" s="728" t="s">
        <v>947</v>
      </c>
      <c r="D93" s="728" t="s">
        <v>946</v>
      </c>
      <c r="F93" s="116"/>
      <c r="G93" s="116"/>
      <c r="H93" s="116"/>
      <c r="I93" s="116"/>
      <c r="J93" s="116"/>
      <c r="K93" s="116"/>
      <c r="L93" s="116"/>
      <c r="M93" s="325">
        <f t="shared" si="2"/>
        <v>86</v>
      </c>
    </row>
    <row r="94" spans="1:13">
      <c r="A94" s="382" t="s">
        <v>949</v>
      </c>
      <c r="B94" s="728"/>
      <c r="C94" s="728" t="s">
        <v>20</v>
      </c>
      <c r="D94" s="728" t="s">
        <v>946</v>
      </c>
      <c r="F94" s="116">
        <f>'Booked DEC 2017 Rev'!$T$94</f>
        <v>0</v>
      </c>
      <c r="G94" s="116">
        <f>'AVG Proj Rev 2018 with CET'!$T$94</f>
        <v>0</v>
      </c>
      <c r="H94" s="116">
        <f>'AVG Projected Rev 2019 with CET'!$T$94</f>
        <v>0</v>
      </c>
      <c r="I94" s="116">
        <f>HLOOKUP($I$8,RevenueScenarios,M94,FALSE)</f>
        <v>0</v>
      </c>
      <c r="J94" s="116"/>
      <c r="K94" s="116">
        <f>I94-F94</f>
        <v>0</v>
      </c>
      <c r="L94" s="116"/>
      <c r="M94" s="325">
        <f t="shared" si="2"/>
        <v>87</v>
      </c>
    </row>
    <row r="95" spans="1:13">
      <c r="A95" s="382" t="s">
        <v>949</v>
      </c>
      <c r="B95" s="728"/>
      <c r="C95" s="728"/>
      <c r="D95" s="728"/>
      <c r="F95" s="116"/>
      <c r="G95" s="116"/>
      <c r="H95" s="116"/>
      <c r="I95" s="116"/>
      <c r="J95" s="116"/>
      <c r="K95" s="116"/>
      <c r="L95" s="116"/>
      <c r="M95" s="325">
        <f t="shared" si="2"/>
        <v>88</v>
      </c>
    </row>
    <row r="96" spans="1:13">
      <c r="A96" s="382" t="s">
        <v>949</v>
      </c>
      <c r="B96" s="728" t="s">
        <v>951</v>
      </c>
      <c r="C96" s="728" t="s">
        <v>16</v>
      </c>
      <c r="D96" s="728" t="s">
        <v>946</v>
      </c>
      <c r="F96" s="116">
        <f>'Booked DEC 2017 Rev'!$T$96</f>
        <v>373983</v>
      </c>
      <c r="G96" s="116">
        <f>'AVG Proj Rev 2018 with CET'!$T$96</f>
        <v>213097.5289885008</v>
      </c>
      <c r="H96" s="116">
        <f>'AVG Projected Rev 2019 with CET'!$T$96</f>
        <v>148888.3059026284</v>
      </c>
      <c r="I96" s="116">
        <f>HLOOKUP($I$8,RevenueScenarios,M96,FALSE)</f>
        <v>148888.3059026284</v>
      </c>
      <c r="J96" s="116"/>
      <c r="K96" s="116">
        <f>I96-F96</f>
        <v>-225094.6940973716</v>
      </c>
      <c r="L96" s="116"/>
      <c r="M96" s="325">
        <f t="shared" si="2"/>
        <v>89</v>
      </c>
    </row>
    <row r="97" spans="1:13">
      <c r="A97" s="382" t="s">
        <v>949</v>
      </c>
      <c r="B97" s="728"/>
      <c r="C97" s="728"/>
      <c r="D97" s="728" t="s">
        <v>946</v>
      </c>
      <c r="F97" s="116"/>
      <c r="G97" s="116"/>
      <c r="H97" s="116"/>
      <c r="I97" s="116"/>
      <c r="J97" s="116"/>
      <c r="K97" s="116"/>
      <c r="L97" s="116"/>
      <c r="M97" s="325">
        <f t="shared" si="2"/>
        <v>90</v>
      </c>
    </row>
    <row r="98" spans="1:13">
      <c r="A98" s="382" t="s">
        <v>949</v>
      </c>
      <c r="B98" s="728"/>
      <c r="C98" s="728" t="s">
        <v>17</v>
      </c>
      <c r="D98" s="728" t="s">
        <v>946</v>
      </c>
      <c r="F98" s="116">
        <f>'Booked DEC 2017 Rev'!$T$98</f>
        <v>111250</v>
      </c>
      <c r="G98" s="116">
        <f>'AVG Proj Rev 2018 with CET'!$T$98</f>
        <v>55777.409999999996</v>
      </c>
      <c r="H98" s="116">
        <f>'AVG Projected Rev 2019 with CET'!$T$98</f>
        <v>34711.58</v>
      </c>
      <c r="I98" s="116">
        <f>HLOOKUP($I$8,RevenueScenarios,M98,FALSE)</f>
        <v>34711.58</v>
      </c>
      <c r="J98" s="116"/>
      <c r="K98" s="116">
        <f>I98-F98</f>
        <v>-76538.42</v>
      </c>
      <c r="L98" s="116"/>
      <c r="M98" s="325">
        <f t="shared" si="2"/>
        <v>91</v>
      </c>
    </row>
    <row r="99" spans="1:13">
      <c r="A99" s="382" t="s">
        <v>949</v>
      </c>
      <c r="B99" s="728"/>
      <c r="C99" s="728"/>
      <c r="D99" s="728" t="s">
        <v>946</v>
      </c>
      <c r="F99" s="116"/>
      <c r="G99" s="116"/>
      <c r="H99" s="116"/>
      <c r="I99" s="116"/>
      <c r="J99" s="116"/>
      <c r="K99" s="116"/>
      <c r="L99" s="116"/>
      <c r="M99" s="325">
        <f t="shared" si="2"/>
        <v>92</v>
      </c>
    </row>
    <row r="100" spans="1:13">
      <c r="A100" s="382" t="s">
        <v>949</v>
      </c>
      <c r="B100" s="728"/>
      <c r="C100" s="728" t="s">
        <v>18</v>
      </c>
      <c r="D100" s="728" t="s">
        <v>946</v>
      </c>
      <c r="F100" s="116">
        <f>'Booked DEC 2017 Rev'!$T$100</f>
        <v>2493346</v>
      </c>
      <c r="G100" s="116">
        <f>'AVG Proj Rev 2018 with CET'!$T$100</f>
        <v>1080148.71</v>
      </c>
      <c r="H100" s="116">
        <f>'AVG Projected Rev 2019 with CET'!$T$100</f>
        <v>672201.83000000007</v>
      </c>
      <c r="I100" s="116">
        <f>HLOOKUP($I$8,RevenueScenarios,M100,FALSE)</f>
        <v>672201.83000000007</v>
      </c>
      <c r="J100" s="116"/>
      <c r="K100" s="116">
        <f>I100-F100</f>
        <v>-1821144.17</v>
      </c>
      <c r="L100" s="116"/>
      <c r="M100" s="325">
        <f t="shared" si="2"/>
        <v>93</v>
      </c>
    </row>
    <row r="101" spans="1:13">
      <c r="A101" s="382" t="s">
        <v>949</v>
      </c>
      <c r="B101" s="728"/>
      <c r="C101" s="728" t="s">
        <v>19</v>
      </c>
      <c r="D101" s="728" t="s">
        <v>946</v>
      </c>
      <c r="F101" s="131">
        <f>'Booked DEC 2017 Rev'!$T$101</f>
        <v>2978579</v>
      </c>
      <c r="G101" s="131">
        <f>'AVG Proj Rev 2018 with CET'!$T$101</f>
        <v>1349023.6489885009</v>
      </c>
      <c r="H101" s="131">
        <f>'AVG Projected Rev 2019 with CET'!$T$101</f>
        <v>855801.71590262838</v>
      </c>
      <c r="I101" s="131">
        <f>HLOOKUP($I$8,RevenueScenarios,M101,FALSE)</f>
        <v>855801.71590262838</v>
      </c>
      <c r="J101" s="131"/>
      <c r="K101" s="131">
        <f>I101-F101</f>
        <v>-2122777.2840973716</v>
      </c>
      <c r="L101" s="116"/>
      <c r="M101" s="325">
        <f t="shared" si="2"/>
        <v>94</v>
      </c>
    </row>
    <row r="102" spans="1:13">
      <c r="A102" s="382" t="s">
        <v>949</v>
      </c>
      <c r="B102" s="728"/>
      <c r="C102" s="728" t="s">
        <v>947</v>
      </c>
      <c r="D102" s="728" t="s">
        <v>946</v>
      </c>
      <c r="F102" s="116"/>
      <c r="G102" s="116"/>
      <c r="H102" s="116"/>
      <c r="I102" s="116"/>
      <c r="J102" s="116"/>
      <c r="K102" s="116"/>
      <c r="L102" s="116"/>
      <c r="M102" s="325">
        <f t="shared" si="2"/>
        <v>95</v>
      </c>
    </row>
    <row r="103" spans="1:13">
      <c r="A103" s="382" t="s">
        <v>949</v>
      </c>
      <c r="B103" s="728"/>
      <c r="C103" s="728" t="s">
        <v>20</v>
      </c>
      <c r="D103" s="728" t="s">
        <v>946</v>
      </c>
      <c r="F103" s="116">
        <f>'Booked DEC 2017 Rev'!$T$103</f>
        <v>619341</v>
      </c>
      <c r="G103" s="116">
        <f>'AVG Proj Rev 2018 with CET'!$T$103</f>
        <v>311449</v>
      </c>
      <c r="H103" s="116">
        <f>'AVG Projected Rev 2019 with CET'!$T$103</f>
        <v>193822</v>
      </c>
      <c r="I103" s="116">
        <f>HLOOKUP($I$8,RevenueScenarios,M103,FALSE)</f>
        <v>193822</v>
      </c>
      <c r="J103" s="116"/>
      <c r="K103" s="116">
        <f>I103-F103</f>
        <v>-425519</v>
      </c>
      <c r="L103" s="116"/>
      <c r="M103" s="325">
        <f t="shared" si="2"/>
        <v>96</v>
      </c>
    </row>
    <row r="104" spans="1:13">
      <c r="A104" s="382" t="s">
        <v>949</v>
      </c>
      <c r="B104" s="728"/>
      <c r="C104" s="728"/>
      <c r="D104" s="728"/>
      <c r="F104" s="116"/>
      <c r="G104" s="116"/>
      <c r="H104" s="116"/>
      <c r="I104" s="116"/>
      <c r="J104" s="116"/>
      <c r="K104" s="116"/>
      <c r="L104" s="116"/>
      <c r="M104" s="325">
        <f t="shared" si="2"/>
        <v>97</v>
      </c>
    </row>
    <row r="105" spans="1:13">
      <c r="A105" s="382" t="s">
        <v>949</v>
      </c>
      <c r="B105" s="728" t="s">
        <v>87</v>
      </c>
      <c r="C105" s="728" t="s">
        <v>16</v>
      </c>
      <c r="D105" s="728" t="s">
        <v>946</v>
      </c>
      <c r="F105" s="116">
        <f>'Booked DEC 2017 Rev'!$T$105</f>
        <v>0</v>
      </c>
      <c r="G105" s="116">
        <f>'AVG Proj Rev 2018 with CET'!$T$105</f>
        <v>0</v>
      </c>
      <c r="H105" s="116">
        <f>'AVG Projected Rev 2019 with CET'!$T$105</f>
        <v>0</v>
      </c>
      <c r="I105" s="116">
        <f>HLOOKUP($I$8,RevenueScenarios,M105,FALSE)</f>
        <v>0</v>
      </c>
      <c r="J105" s="116"/>
      <c r="K105" s="116">
        <f>I105-F105</f>
        <v>0</v>
      </c>
      <c r="L105" s="116"/>
      <c r="M105" s="325">
        <f t="shared" si="2"/>
        <v>98</v>
      </c>
    </row>
    <row r="106" spans="1:13">
      <c r="A106" s="382" t="s">
        <v>949</v>
      </c>
      <c r="B106" s="728"/>
      <c r="C106" s="728"/>
      <c r="D106" s="728" t="s">
        <v>946</v>
      </c>
      <c r="F106" s="116"/>
      <c r="G106" s="116"/>
      <c r="H106" s="116"/>
      <c r="I106" s="116"/>
      <c r="J106" s="116"/>
      <c r="K106" s="116"/>
      <c r="L106" s="116"/>
      <c r="M106" s="325">
        <f t="shared" si="2"/>
        <v>99</v>
      </c>
    </row>
    <row r="107" spans="1:13">
      <c r="A107" s="382" t="s">
        <v>949</v>
      </c>
      <c r="B107" s="728"/>
      <c r="C107" s="728" t="s">
        <v>17</v>
      </c>
      <c r="D107" s="728" t="s">
        <v>946</v>
      </c>
      <c r="F107" s="116">
        <f>'Booked DEC 2017 Rev'!$T$107</f>
        <v>0</v>
      </c>
      <c r="G107" s="116">
        <f>'AVG Proj Rev 2018 with CET'!$T$107</f>
        <v>0</v>
      </c>
      <c r="H107" s="116">
        <f>'AVG Projected Rev 2019 with CET'!$T$107</f>
        <v>0</v>
      </c>
      <c r="I107" s="116">
        <f>HLOOKUP($I$8,RevenueScenarios,M107,FALSE)</f>
        <v>0</v>
      </c>
      <c r="J107" s="116"/>
      <c r="K107" s="116">
        <f>I107-F107</f>
        <v>0</v>
      </c>
      <c r="L107" s="116"/>
      <c r="M107" s="325">
        <f t="shared" si="2"/>
        <v>100</v>
      </c>
    </row>
    <row r="108" spans="1:13">
      <c r="A108" s="382" t="s">
        <v>949</v>
      </c>
      <c r="B108" s="728"/>
      <c r="C108" s="728"/>
      <c r="D108" s="728" t="s">
        <v>946</v>
      </c>
      <c r="F108" s="116"/>
      <c r="G108" s="116"/>
      <c r="H108" s="116"/>
      <c r="I108" s="116"/>
      <c r="J108" s="116"/>
      <c r="K108" s="116"/>
      <c r="L108" s="116"/>
      <c r="M108" s="325">
        <f t="shared" si="2"/>
        <v>101</v>
      </c>
    </row>
    <row r="109" spans="1:13">
      <c r="A109" s="382" t="s">
        <v>949</v>
      </c>
      <c r="B109" s="728"/>
      <c r="C109" s="728" t="s">
        <v>18</v>
      </c>
      <c r="D109" s="728" t="s">
        <v>946</v>
      </c>
      <c r="F109" s="116">
        <f>'Booked DEC 2017 Rev'!$T$109</f>
        <v>0</v>
      </c>
      <c r="G109" s="116">
        <f>'AVG Proj Rev 2018 with CET'!$T$109</f>
        <v>0</v>
      </c>
      <c r="H109" s="116">
        <f>'AVG Projected Rev 2019 with CET'!$T$109</f>
        <v>0</v>
      </c>
      <c r="I109" s="116">
        <f>HLOOKUP($I$8,RevenueScenarios,M109,FALSE)</f>
        <v>0</v>
      </c>
      <c r="J109" s="116"/>
      <c r="K109" s="116">
        <f>I109-F109</f>
        <v>0</v>
      </c>
      <c r="L109" s="116"/>
      <c r="M109" s="325">
        <f t="shared" si="2"/>
        <v>102</v>
      </c>
    </row>
    <row r="110" spans="1:13">
      <c r="A110" s="382" t="s">
        <v>949</v>
      </c>
      <c r="B110" s="728"/>
      <c r="C110" s="728" t="s">
        <v>19</v>
      </c>
      <c r="D110" s="728" t="s">
        <v>946</v>
      </c>
      <c r="F110" s="131">
        <f>'Booked DEC 2017 Rev'!$T$110</f>
        <v>0</v>
      </c>
      <c r="G110" s="131">
        <f>'AVG Proj Rev 2018 with CET'!$T$110</f>
        <v>0</v>
      </c>
      <c r="H110" s="131">
        <f>'AVG Projected Rev 2019 with CET'!$T$110</f>
        <v>0</v>
      </c>
      <c r="I110" s="131">
        <f>HLOOKUP($I$8,RevenueScenarios,M110,FALSE)</f>
        <v>0</v>
      </c>
      <c r="J110" s="131"/>
      <c r="K110" s="131">
        <f>I110-F110</f>
        <v>0</v>
      </c>
      <c r="L110" s="116"/>
      <c r="M110" s="325">
        <f t="shared" si="2"/>
        <v>103</v>
      </c>
    </row>
    <row r="111" spans="1:13">
      <c r="A111" s="382" t="s">
        <v>949</v>
      </c>
      <c r="B111" s="728"/>
      <c r="C111" s="728" t="s">
        <v>947</v>
      </c>
      <c r="D111" s="728" t="s">
        <v>946</v>
      </c>
      <c r="F111" s="116"/>
      <c r="G111" s="116"/>
      <c r="H111" s="116"/>
      <c r="I111" s="116"/>
      <c r="J111" s="116"/>
      <c r="K111" s="116"/>
      <c r="L111" s="116"/>
      <c r="M111" s="325">
        <f t="shared" si="2"/>
        <v>104</v>
      </c>
    </row>
    <row r="112" spans="1:13">
      <c r="A112" s="382" t="s">
        <v>949</v>
      </c>
      <c r="B112" s="728"/>
      <c r="C112" s="728" t="s">
        <v>20</v>
      </c>
      <c r="D112" s="728" t="s">
        <v>946</v>
      </c>
      <c r="F112" s="116">
        <f>'Booked DEC 2017 Rev'!$T$112</f>
        <v>0</v>
      </c>
      <c r="G112" s="116">
        <f>'AVG Proj Rev 2018 with CET'!$T$112</f>
        <v>0</v>
      </c>
      <c r="H112" s="116">
        <f>'AVG Projected Rev 2019 with CET'!$T$112</f>
        <v>0</v>
      </c>
      <c r="I112" s="116">
        <f>HLOOKUP($I$8,RevenueScenarios,M112,FALSE)</f>
        <v>0</v>
      </c>
      <c r="J112" s="116"/>
      <c r="K112" s="116">
        <f>I112-F112</f>
        <v>0</v>
      </c>
      <c r="L112" s="116"/>
      <c r="M112" s="325">
        <f t="shared" si="2"/>
        <v>105</v>
      </c>
    </row>
    <row r="113" spans="1:13">
      <c r="A113" s="382"/>
      <c r="B113" s="728"/>
      <c r="C113" s="728"/>
      <c r="D113" s="728"/>
      <c r="F113" s="116"/>
      <c r="G113" s="116"/>
      <c r="H113" s="116"/>
      <c r="I113" s="116"/>
      <c r="J113" s="116"/>
      <c r="K113" s="116"/>
      <c r="L113" s="116"/>
      <c r="M113" s="325">
        <f t="shared" si="2"/>
        <v>106</v>
      </c>
    </row>
    <row r="114" spans="1:13">
      <c r="A114" s="382"/>
      <c r="B114" s="728" t="s">
        <v>952</v>
      </c>
      <c r="C114" s="728" t="s">
        <v>16</v>
      </c>
      <c r="D114" s="728" t="s">
        <v>946</v>
      </c>
      <c r="F114" s="116">
        <f>'Booked DEC 2017 Rev'!$T$114</f>
        <v>0</v>
      </c>
      <c r="G114" s="116">
        <f>'AVG Proj Rev 2018 with CET'!$T$114</f>
        <v>5248944</v>
      </c>
      <c r="H114" s="116">
        <f>'AVG Projected Rev 2019 with CET'!$T$114</f>
        <v>5248944</v>
      </c>
      <c r="I114" s="116">
        <f>HLOOKUP($I$8,RevenueScenarios,M114,FALSE)</f>
        <v>5248944</v>
      </c>
      <c r="J114" s="116"/>
      <c r="K114" s="116">
        <f>I114-F114</f>
        <v>5248944</v>
      </c>
      <c r="L114" s="116"/>
      <c r="M114" s="325">
        <f t="shared" si="2"/>
        <v>107</v>
      </c>
    </row>
    <row r="115" spans="1:13">
      <c r="A115" s="382"/>
      <c r="B115" s="728"/>
      <c r="C115" s="728"/>
      <c r="D115" s="728" t="s">
        <v>946</v>
      </c>
      <c r="F115" s="116"/>
      <c r="G115" s="116"/>
      <c r="H115" s="116"/>
      <c r="I115" s="116"/>
      <c r="J115" s="116"/>
      <c r="K115" s="116"/>
      <c r="L115" s="116"/>
      <c r="M115" s="325">
        <f t="shared" si="2"/>
        <v>108</v>
      </c>
    </row>
    <row r="116" spans="1:13">
      <c r="A116" s="382"/>
      <c r="B116" s="728"/>
      <c r="C116" s="728" t="s">
        <v>17</v>
      </c>
      <c r="D116" s="728" t="s">
        <v>946</v>
      </c>
      <c r="F116" s="116">
        <f>'Booked DEC 2017 Rev'!$T$116</f>
        <v>0</v>
      </c>
      <c r="G116" s="116">
        <f>'AVG Proj Rev 2018 with CET'!$T$116</f>
        <v>0</v>
      </c>
      <c r="H116" s="116">
        <f>'AVG Projected Rev 2019 with CET'!$T$116</f>
        <v>0</v>
      </c>
      <c r="I116" s="116">
        <f>HLOOKUP($I$8,RevenueScenarios,M116,FALSE)</f>
        <v>0</v>
      </c>
      <c r="J116" s="116"/>
      <c r="K116" s="116">
        <f>I116-F116</f>
        <v>0</v>
      </c>
      <c r="L116" s="116"/>
      <c r="M116" s="325">
        <f t="shared" si="2"/>
        <v>109</v>
      </c>
    </row>
    <row r="117" spans="1:13">
      <c r="A117" s="382"/>
      <c r="B117" s="728"/>
      <c r="C117" s="728"/>
      <c r="D117" s="728" t="s">
        <v>946</v>
      </c>
      <c r="F117" s="116"/>
      <c r="G117" s="116"/>
      <c r="H117" s="116"/>
      <c r="I117" s="116"/>
      <c r="J117" s="116"/>
      <c r="K117" s="116"/>
      <c r="L117" s="116"/>
      <c r="M117" s="325">
        <f t="shared" si="2"/>
        <v>110</v>
      </c>
    </row>
    <row r="118" spans="1:13">
      <c r="A118" s="382"/>
      <c r="B118" s="728"/>
      <c r="C118" s="728" t="s">
        <v>18</v>
      </c>
      <c r="D118" s="728" t="s">
        <v>946</v>
      </c>
      <c r="F118" s="116">
        <f>'Booked DEC 2017 Rev'!$T$118</f>
        <v>0</v>
      </c>
      <c r="G118" s="116">
        <f>'AVG Proj Rev 2018 with CET'!$T$118</f>
        <v>0</v>
      </c>
      <c r="H118" s="116">
        <f>'AVG Projected Rev 2019 with CET'!$T$118</f>
        <v>0</v>
      </c>
      <c r="I118" s="116">
        <f>HLOOKUP($I$8,RevenueScenarios,M118,FALSE)</f>
        <v>0</v>
      </c>
      <c r="J118" s="116"/>
      <c r="K118" s="116">
        <f>I118-F118</f>
        <v>0</v>
      </c>
      <c r="L118" s="116"/>
      <c r="M118" s="325">
        <f t="shared" si="2"/>
        <v>111</v>
      </c>
    </row>
    <row r="119" spans="1:13">
      <c r="A119" s="382"/>
      <c r="B119" s="728"/>
      <c r="C119" s="728" t="s">
        <v>19</v>
      </c>
      <c r="D119" s="728" t="s">
        <v>946</v>
      </c>
      <c r="F119" s="131">
        <f>'Booked DEC 2017 Rev'!$T$119</f>
        <v>0</v>
      </c>
      <c r="G119" s="131">
        <f>'AVG Proj Rev 2018 with CET'!$T$119</f>
        <v>5248944</v>
      </c>
      <c r="H119" s="131">
        <f>'AVG Projected Rev 2019 with CET'!$T$119</f>
        <v>5248944</v>
      </c>
      <c r="I119" s="131">
        <f>HLOOKUP($I$8,RevenueScenarios,M119,FALSE)</f>
        <v>5248944</v>
      </c>
      <c r="J119" s="131"/>
      <c r="K119" s="131">
        <f>I119-F119</f>
        <v>5248944</v>
      </c>
      <c r="L119" s="116"/>
      <c r="M119" s="325">
        <f t="shared" si="2"/>
        <v>112</v>
      </c>
    </row>
    <row r="120" spans="1:13">
      <c r="A120" s="382"/>
      <c r="B120" s="728"/>
      <c r="C120" s="728" t="s">
        <v>947</v>
      </c>
      <c r="D120" s="728" t="s">
        <v>946</v>
      </c>
      <c r="F120" s="116"/>
      <c r="G120" s="116"/>
      <c r="H120" s="116"/>
      <c r="I120" s="116"/>
      <c r="J120" s="116"/>
      <c r="K120" s="116"/>
      <c r="L120" s="116"/>
      <c r="M120" s="325">
        <f t="shared" si="2"/>
        <v>113</v>
      </c>
    </row>
    <row r="121" spans="1:13">
      <c r="A121" s="382"/>
      <c r="B121" s="728"/>
      <c r="C121" s="728" t="s">
        <v>20</v>
      </c>
      <c r="D121" s="728" t="s">
        <v>946</v>
      </c>
      <c r="F121" s="116">
        <f>'Booked DEC 2017 Rev'!$T$121</f>
        <v>0</v>
      </c>
      <c r="G121" s="116">
        <f>'AVG Proj Rev 2018 with CET'!$T$121</f>
        <v>32331863</v>
      </c>
      <c r="H121" s="116">
        <f>'AVG Projected Rev 2019 with CET'!$T$121</f>
        <v>32925927</v>
      </c>
      <c r="I121" s="116">
        <f>HLOOKUP($I$8,RevenueScenarios,M121,FALSE)</f>
        <v>32925927</v>
      </c>
      <c r="J121" s="116"/>
      <c r="K121" s="116">
        <f>I121-F121</f>
        <v>32925927</v>
      </c>
      <c r="L121" s="116"/>
      <c r="M121" s="325">
        <f t="shared" si="2"/>
        <v>114</v>
      </c>
    </row>
    <row r="122" spans="1:13">
      <c r="A122" s="382"/>
      <c r="F122" s="116"/>
      <c r="G122" s="116"/>
      <c r="H122" s="116"/>
      <c r="I122" s="116"/>
      <c r="J122" s="116"/>
      <c r="K122" s="116"/>
      <c r="L122" s="116"/>
      <c r="M122" s="325">
        <f t="shared" si="2"/>
        <v>115</v>
      </c>
    </row>
    <row r="123" spans="1:13">
      <c r="A123" s="382" t="s">
        <v>953</v>
      </c>
      <c r="B123" s="728" t="s">
        <v>954</v>
      </c>
      <c r="C123" s="728" t="s">
        <v>16</v>
      </c>
      <c r="D123" s="728" t="s">
        <v>955</v>
      </c>
      <c r="F123" s="116">
        <f>'Booked DEC 2017 Rev'!$T$123</f>
        <v>5148837</v>
      </c>
      <c r="G123" s="116">
        <f>'AVG Proj Rev 2018 with CET'!$T$123</f>
        <v>2411276.6531284349</v>
      </c>
      <c r="H123" s="116">
        <f>'AVG Projected Rev 2019 with CET'!$T$123</f>
        <v>2459413.425803564</v>
      </c>
      <c r="I123" s="116">
        <f>HLOOKUP($I$8,RevenueScenarios,M123,FALSE)</f>
        <v>2459413.425803564</v>
      </c>
      <c r="J123" s="116"/>
      <c r="K123" s="116">
        <f>I123-F123</f>
        <v>-2689423.574196436</v>
      </c>
      <c r="L123" s="116"/>
      <c r="M123" s="325">
        <f t="shared" si="2"/>
        <v>116</v>
      </c>
    </row>
    <row r="124" spans="1:13">
      <c r="A124" s="382" t="s">
        <v>953</v>
      </c>
      <c r="B124" s="728"/>
      <c r="C124" s="728"/>
      <c r="D124" s="728" t="s">
        <v>955</v>
      </c>
      <c r="F124" s="116"/>
      <c r="G124" s="116"/>
      <c r="H124" s="116"/>
      <c r="I124" s="116"/>
      <c r="J124" s="116"/>
      <c r="K124" s="116"/>
      <c r="L124" s="116"/>
      <c r="M124" s="325">
        <f t="shared" si="2"/>
        <v>117</v>
      </c>
    </row>
    <row r="125" spans="1:13">
      <c r="A125" s="382" t="s">
        <v>953</v>
      </c>
      <c r="B125" s="728"/>
      <c r="C125" s="728" t="s">
        <v>17</v>
      </c>
      <c r="D125" s="728" t="s">
        <v>955</v>
      </c>
      <c r="F125" s="116">
        <f>'Booked DEC 2017 Rev'!$T$125</f>
        <v>0</v>
      </c>
      <c r="G125" s="116">
        <f>'AVG Proj Rev 2018 with CET'!$T$125</f>
        <v>0</v>
      </c>
      <c r="H125" s="116">
        <f>'AVG Projected Rev 2019 with CET'!$T$125</f>
        <v>0</v>
      </c>
      <c r="I125" s="116">
        <f>HLOOKUP($I$8,RevenueScenarios,M125,FALSE)</f>
        <v>0</v>
      </c>
      <c r="J125" s="116"/>
      <c r="K125" s="116">
        <f>I125-F125</f>
        <v>0</v>
      </c>
      <c r="L125" s="116"/>
      <c r="M125" s="325">
        <f t="shared" si="2"/>
        <v>118</v>
      </c>
    </row>
    <row r="126" spans="1:13">
      <c r="A126" s="382" t="s">
        <v>953</v>
      </c>
      <c r="B126" s="728"/>
      <c r="C126" s="728"/>
      <c r="D126" s="728" t="s">
        <v>955</v>
      </c>
      <c r="F126" s="116"/>
      <c r="G126" s="116"/>
      <c r="H126" s="116"/>
      <c r="I126" s="116"/>
      <c r="J126" s="116"/>
      <c r="K126" s="116"/>
      <c r="L126" s="116"/>
      <c r="M126" s="325">
        <f t="shared" si="2"/>
        <v>119</v>
      </c>
    </row>
    <row r="127" spans="1:13">
      <c r="A127" s="382" t="s">
        <v>953</v>
      </c>
      <c r="B127" s="728"/>
      <c r="C127" s="728" t="s">
        <v>18</v>
      </c>
      <c r="D127" s="728" t="s">
        <v>955</v>
      </c>
      <c r="F127" s="116">
        <f>'Booked DEC 2017 Rev'!$T$127</f>
        <v>0</v>
      </c>
      <c r="G127" s="116">
        <f>'AVG Proj Rev 2018 with CET'!$T$127</f>
        <v>0</v>
      </c>
      <c r="H127" s="116">
        <f>'AVG Projected Rev 2019 with CET'!$T$127</f>
        <v>0</v>
      </c>
      <c r="I127" s="116">
        <f>HLOOKUP($I$8,RevenueScenarios,M127,FALSE)</f>
        <v>0</v>
      </c>
      <c r="J127" s="116"/>
      <c r="K127" s="116">
        <f>I127-F127</f>
        <v>0</v>
      </c>
      <c r="L127" s="116"/>
      <c r="M127" s="325">
        <f t="shared" si="2"/>
        <v>120</v>
      </c>
    </row>
    <row r="128" spans="1:13">
      <c r="A128" s="382" t="s">
        <v>953</v>
      </c>
      <c r="B128" s="728"/>
      <c r="C128" s="728" t="s">
        <v>19</v>
      </c>
      <c r="D128" s="728" t="s">
        <v>955</v>
      </c>
      <c r="F128" s="131">
        <f>'Booked DEC 2017 Rev'!$T$128</f>
        <v>5148837</v>
      </c>
      <c r="G128" s="131">
        <f>'AVG Proj Rev 2018 with CET'!$T$128</f>
        <v>2411276.6531284349</v>
      </c>
      <c r="H128" s="131">
        <f>'AVG Projected Rev 2019 with CET'!$T$128</f>
        <v>2459413.425803564</v>
      </c>
      <c r="I128" s="131">
        <f>HLOOKUP($I$8,RevenueScenarios,M128,FALSE)</f>
        <v>2459413.425803564</v>
      </c>
      <c r="J128" s="131"/>
      <c r="K128" s="131">
        <f>I128-F128</f>
        <v>-2689423.574196436</v>
      </c>
      <c r="L128" s="116"/>
      <c r="M128" s="325">
        <f t="shared" si="2"/>
        <v>121</v>
      </c>
    </row>
    <row r="129" spans="1:13">
      <c r="A129" s="382" t="s">
        <v>953</v>
      </c>
      <c r="B129" s="728"/>
      <c r="C129" s="728" t="s">
        <v>947</v>
      </c>
      <c r="D129" s="728" t="s">
        <v>955</v>
      </c>
      <c r="F129" s="116"/>
      <c r="G129" s="116"/>
      <c r="H129" s="116"/>
      <c r="I129" s="116"/>
      <c r="J129" s="116"/>
      <c r="K129" s="116"/>
      <c r="L129" s="116"/>
      <c r="M129" s="325">
        <f t="shared" si="2"/>
        <v>122</v>
      </c>
    </row>
    <row r="130" spans="1:13">
      <c r="A130" s="382" t="s">
        <v>953</v>
      </c>
      <c r="B130" s="728"/>
      <c r="C130" s="728" t="s">
        <v>20</v>
      </c>
      <c r="D130" s="728" t="s">
        <v>955</v>
      </c>
      <c r="F130" s="116">
        <f>'Booked DEC 2017 Rev'!$T$130</f>
        <v>31275505</v>
      </c>
      <c r="G130" s="116">
        <f>'AVG Proj Rev 2018 with CET'!$T$130</f>
        <v>6130851</v>
      </c>
      <c r="H130" s="116">
        <f>'AVG Projected Rev 2019 with CET'!$T$130</f>
        <v>6130851</v>
      </c>
      <c r="I130" s="116">
        <f>HLOOKUP($I$8,RevenueScenarios,M130,FALSE)</f>
        <v>6130851</v>
      </c>
      <c r="J130" s="116"/>
      <c r="K130" s="116">
        <f>I130-F130</f>
        <v>-25144654</v>
      </c>
      <c r="L130" s="116"/>
      <c r="M130" s="325">
        <f t="shared" si="2"/>
        <v>123</v>
      </c>
    </row>
    <row r="131" spans="1:13">
      <c r="A131" s="382" t="s">
        <v>953</v>
      </c>
      <c r="B131" s="728"/>
      <c r="C131" s="728"/>
      <c r="D131" s="728"/>
      <c r="F131" s="116"/>
      <c r="G131" s="116"/>
      <c r="H131" s="116"/>
      <c r="I131" s="116"/>
      <c r="J131" s="116"/>
      <c r="K131" s="116"/>
      <c r="L131" s="116"/>
      <c r="M131" s="325">
        <f t="shared" si="2"/>
        <v>124</v>
      </c>
    </row>
    <row r="132" spans="1:13">
      <c r="A132" s="382" t="s">
        <v>953</v>
      </c>
      <c r="B132" s="728" t="s">
        <v>956</v>
      </c>
      <c r="C132" s="728" t="s">
        <v>16</v>
      </c>
      <c r="D132" s="728" t="s">
        <v>955</v>
      </c>
      <c r="F132" s="116">
        <f>'Booked DEC 2017 Rev'!$T$132</f>
        <v>0</v>
      </c>
      <c r="G132" s="116">
        <f>'AVG Proj Rev 2018 with CET'!$T$132</f>
        <v>0</v>
      </c>
      <c r="H132" s="116">
        <f>'AVG Projected Rev 2019 with CET'!$T$132</f>
        <v>0</v>
      </c>
      <c r="I132" s="116">
        <f>HLOOKUP($I$8,RevenueScenarios,M132,FALSE)</f>
        <v>0</v>
      </c>
      <c r="J132" s="116"/>
      <c r="K132" s="116">
        <f>I132-F132</f>
        <v>0</v>
      </c>
      <c r="L132" s="116"/>
      <c r="M132" s="325">
        <f t="shared" si="2"/>
        <v>125</v>
      </c>
    </row>
    <row r="133" spans="1:13">
      <c r="A133" s="382" t="s">
        <v>953</v>
      </c>
      <c r="B133" s="728"/>
      <c r="C133" s="728"/>
      <c r="D133" s="728" t="s">
        <v>955</v>
      </c>
      <c r="F133" s="116"/>
      <c r="G133" s="116"/>
      <c r="H133" s="116"/>
      <c r="I133" s="116"/>
      <c r="J133" s="116"/>
      <c r="K133" s="116"/>
      <c r="L133" s="116"/>
      <c r="M133" s="325">
        <f t="shared" si="2"/>
        <v>126</v>
      </c>
    </row>
    <row r="134" spans="1:13">
      <c r="A134" s="382" t="s">
        <v>953</v>
      </c>
      <c r="B134" s="728"/>
      <c r="C134" s="728" t="s">
        <v>17</v>
      </c>
      <c r="D134" s="728" t="s">
        <v>955</v>
      </c>
      <c r="F134" s="116">
        <f>'Booked DEC 2017 Rev'!$T$134</f>
        <v>0</v>
      </c>
      <c r="G134" s="116">
        <f>'AVG Proj Rev 2018 with CET'!$T$134</f>
        <v>0</v>
      </c>
      <c r="H134" s="116">
        <f>'AVG Projected Rev 2019 with CET'!$T$134</f>
        <v>0</v>
      </c>
      <c r="I134" s="116">
        <f>HLOOKUP($I$8,RevenueScenarios,M134,FALSE)</f>
        <v>0</v>
      </c>
      <c r="J134" s="116"/>
      <c r="K134" s="116">
        <f>I134-F134</f>
        <v>0</v>
      </c>
      <c r="L134" s="116"/>
      <c r="M134" s="325">
        <f t="shared" si="2"/>
        <v>127</v>
      </c>
    </row>
    <row r="135" spans="1:13">
      <c r="A135" s="382" t="s">
        <v>953</v>
      </c>
      <c r="B135" s="728"/>
      <c r="C135" s="728"/>
      <c r="D135" s="728" t="s">
        <v>955</v>
      </c>
      <c r="F135" s="116"/>
      <c r="G135" s="116"/>
      <c r="H135" s="116"/>
      <c r="I135" s="116"/>
      <c r="J135" s="116"/>
      <c r="K135" s="116"/>
      <c r="L135" s="116"/>
      <c r="M135" s="325">
        <f t="shared" si="2"/>
        <v>128</v>
      </c>
    </row>
    <row r="136" spans="1:13">
      <c r="A136" s="382" t="s">
        <v>953</v>
      </c>
      <c r="B136" s="728"/>
      <c r="C136" s="728" t="s">
        <v>18</v>
      </c>
      <c r="D136" s="728" t="s">
        <v>955</v>
      </c>
      <c r="F136" s="116">
        <f>'Booked DEC 2017 Rev'!$T$136</f>
        <v>0</v>
      </c>
      <c r="G136" s="116">
        <f>'AVG Proj Rev 2018 with CET'!$T$136</f>
        <v>0</v>
      </c>
      <c r="H136" s="116">
        <f>'AVG Projected Rev 2019 with CET'!$T$136</f>
        <v>0</v>
      </c>
      <c r="I136" s="116">
        <f>HLOOKUP($I$8,RevenueScenarios,M136,FALSE)</f>
        <v>0</v>
      </c>
      <c r="J136" s="116"/>
      <c r="K136" s="116">
        <f>I136-F136</f>
        <v>0</v>
      </c>
      <c r="L136" s="116"/>
      <c r="M136" s="325">
        <f t="shared" si="2"/>
        <v>129</v>
      </c>
    </row>
    <row r="137" spans="1:13">
      <c r="A137" s="382" t="s">
        <v>953</v>
      </c>
      <c r="B137" s="728"/>
      <c r="C137" s="728" t="s">
        <v>19</v>
      </c>
      <c r="D137" s="728" t="s">
        <v>955</v>
      </c>
      <c r="F137" s="131">
        <f>'Booked DEC 2017 Rev'!$T$137</f>
        <v>0</v>
      </c>
      <c r="G137" s="131">
        <f>'AVG Proj Rev 2018 with CET'!$T$137</f>
        <v>0</v>
      </c>
      <c r="H137" s="131">
        <f>'AVG Projected Rev 2019 with CET'!$T$137</f>
        <v>0</v>
      </c>
      <c r="I137" s="131">
        <f>HLOOKUP($I$8,RevenueScenarios,M137,FALSE)</f>
        <v>0</v>
      </c>
      <c r="J137" s="131"/>
      <c r="K137" s="131">
        <f>I137-F137</f>
        <v>0</v>
      </c>
      <c r="L137" s="116"/>
      <c r="M137" s="325">
        <f t="shared" si="2"/>
        <v>130</v>
      </c>
    </row>
    <row r="138" spans="1:13">
      <c r="A138" s="382" t="s">
        <v>953</v>
      </c>
      <c r="B138" s="728"/>
      <c r="C138" s="728" t="s">
        <v>947</v>
      </c>
      <c r="D138" s="728" t="s">
        <v>955</v>
      </c>
      <c r="F138" s="116"/>
      <c r="G138" s="116"/>
      <c r="H138" s="116"/>
      <c r="I138" s="116"/>
      <c r="J138" s="116"/>
      <c r="K138" s="116"/>
      <c r="L138" s="116"/>
      <c r="M138" s="325">
        <f t="shared" ref="M138:M201" si="3">+M137+1</f>
        <v>131</v>
      </c>
    </row>
    <row r="139" spans="1:13">
      <c r="A139" s="382" t="s">
        <v>953</v>
      </c>
      <c r="B139" s="728"/>
      <c r="C139" s="728" t="s">
        <v>20</v>
      </c>
      <c r="D139" s="728" t="s">
        <v>955</v>
      </c>
      <c r="F139" s="116">
        <f>'Booked DEC 2017 Rev'!$T$139</f>
        <v>0</v>
      </c>
      <c r="G139" s="116">
        <f>'AVG Proj Rev 2018 with CET'!$T$139</f>
        <v>0</v>
      </c>
      <c r="H139" s="116">
        <f>'AVG Projected Rev 2019 with CET'!$T$139</f>
        <v>0</v>
      </c>
      <c r="I139" s="116">
        <f>HLOOKUP($I$8,RevenueScenarios,M139,FALSE)</f>
        <v>0</v>
      </c>
      <c r="J139" s="116"/>
      <c r="K139" s="116">
        <f>I139-F139</f>
        <v>0</v>
      </c>
      <c r="L139" s="116"/>
      <c r="M139" s="325">
        <f t="shared" si="3"/>
        <v>132</v>
      </c>
    </row>
    <row r="140" spans="1:13">
      <c r="A140" s="382" t="s">
        <v>953</v>
      </c>
      <c r="B140" s="728"/>
      <c r="C140" s="728"/>
      <c r="D140" s="728"/>
      <c r="F140" s="116"/>
      <c r="G140" s="116"/>
      <c r="H140" s="116"/>
      <c r="I140" s="116"/>
      <c r="J140" s="116"/>
      <c r="K140" s="116"/>
      <c r="L140" s="116"/>
      <c r="M140" s="325">
        <f t="shared" si="3"/>
        <v>133</v>
      </c>
    </row>
    <row r="141" spans="1:13">
      <c r="A141" s="382" t="s">
        <v>953</v>
      </c>
      <c r="B141" s="728" t="s">
        <v>692</v>
      </c>
      <c r="C141" s="728" t="s">
        <v>16</v>
      </c>
      <c r="D141" s="728" t="s">
        <v>955</v>
      </c>
      <c r="F141" s="116">
        <f>'Booked DEC 2017 Rev'!$T$141</f>
        <v>24214</v>
      </c>
      <c r="G141" s="116">
        <f>'AVG Proj Rev 2018 with CET'!$T$141</f>
        <v>25268.759246702306</v>
      </c>
      <c r="H141" s="116">
        <f>'AVG Projected Rev 2019 with CET'!$T$141</f>
        <v>25693.423474979696</v>
      </c>
      <c r="I141" s="116">
        <f>HLOOKUP($I$8,RevenueScenarios,M141,FALSE)</f>
        <v>25693.423474979696</v>
      </c>
      <c r="J141" s="116"/>
      <c r="K141" s="116">
        <f>I141-F141</f>
        <v>1479.423474979696</v>
      </c>
      <c r="L141" s="116"/>
      <c r="M141" s="325">
        <f t="shared" si="3"/>
        <v>134</v>
      </c>
    </row>
    <row r="142" spans="1:13">
      <c r="A142" s="382" t="s">
        <v>953</v>
      </c>
      <c r="B142" s="728"/>
      <c r="C142" s="728"/>
      <c r="D142" s="728" t="s">
        <v>955</v>
      </c>
      <c r="F142" s="116"/>
      <c r="G142" s="116"/>
      <c r="H142" s="116"/>
      <c r="I142" s="116"/>
      <c r="J142" s="116"/>
      <c r="K142" s="116"/>
      <c r="L142" s="116"/>
      <c r="M142" s="325">
        <f t="shared" si="3"/>
        <v>135</v>
      </c>
    </row>
    <row r="143" spans="1:13">
      <c r="A143" s="382" t="s">
        <v>953</v>
      </c>
      <c r="B143" s="728"/>
      <c r="C143" s="728" t="s">
        <v>17</v>
      </c>
      <c r="D143" s="728" t="s">
        <v>955</v>
      </c>
      <c r="F143" s="116">
        <f>'Booked DEC 2017 Rev'!$T$143</f>
        <v>2090</v>
      </c>
      <c r="G143" s="116">
        <f>'AVG Proj Rev 2018 with CET'!$T$143</f>
        <v>0</v>
      </c>
      <c r="H143" s="116">
        <f>'AVG Projected Rev 2019 with CET'!$T$143</f>
        <v>0</v>
      </c>
      <c r="I143" s="116">
        <f>HLOOKUP($I$8,RevenueScenarios,M143,FALSE)</f>
        <v>0</v>
      </c>
      <c r="J143" s="116"/>
      <c r="K143" s="116">
        <f>I143-F143</f>
        <v>-2090</v>
      </c>
      <c r="L143" s="116"/>
      <c r="M143" s="325">
        <f t="shared" si="3"/>
        <v>136</v>
      </c>
    </row>
    <row r="144" spans="1:13">
      <c r="A144" s="382" t="s">
        <v>953</v>
      </c>
      <c r="B144" s="728"/>
      <c r="C144" s="728"/>
      <c r="D144" s="728" t="s">
        <v>955</v>
      </c>
      <c r="F144" s="116"/>
      <c r="G144" s="116"/>
      <c r="H144" s="116"/>
      <c r="I144" s="116"/>
      <c r="J144" s="116"/>
      <c r="K144" s="116"/>
      <c r="L144" s="116"/>
      <c r="M144" s="325">
        <f t="shared" si="3"/>
        <v>137</v>
      </c>
    </row>
    <row r="145" spans="1:13">
      <c r="A145" s="382" t="s">
        <v>953</v>
      </c>
      <c r="B145" s="728"/>
      <c r="C145" s="728" t="s">
        <v>18</v>
      </c>
      <c r="D145" s="728" t="s">
        <v>955</v>
      </c>
      <c r="F145" s="116">
        <f>'Booked DEC 2017 Rev'!$T$145</f>
        <v>0</v>
      </c>
      <c r="G145" s="116">
        <f>'AVG Proj Rev 2018 with CET'!$T$145</f>
        <v>0</v>
      </c>
      <c r="H145" s="116">
        <f>'AVG Projected Rev 2019 with CET'!$T$145</f>
        <v>0</v>
      </c>
      <c r="I145" s="116">
        <f>HLOOKUP($I$8,RevenueScenarios,M145,FALSE)</f>
        <v>0</v>
      </c>
      <c r="J145" s="116"/>
      <c r="K145" s="116">
        <f>I145-F145</f>
        <v>0</v>
      </c>
      <c r="L145" s="116"/>
      <c r="M145" s="325">
        <f t="shared" si="3"/>
        <v>138</v>
      </c>
    </row>
    <row r="146" spans="1:13">
      <c r="A146" s="382" t="s">
        <v>953</v>
      </c>
      <c r="B146" s="728"/>
      <c r="C146" s="728" t="s">
        <v>19</v>
      </c>
      <c r="D146" s="728" t="s">
        <v>955</v>
      </c>
      <c r="F146" s="131">
        <f>'Booked DEC 2017 Rev'!$T$146</f>
        <v>26304</v>
      </c>
      <c r="G146" s="131">
        <f>'AVG Proj Rev 2018 with CET'!$T$146</f>
        <v>25268.759246702306</v>
      </c>
      <c r="H146" s="131">
        <f>'AVG Projected Rev 2019 with CET'!$T$146</f>
        <v>25693.423474979696</v>
      </c>
      <c r="I146" s="131">
        <f>HLOOKUP($I$8,RevenueScenarios,M146,FALSE)</f>
        <v>25693.423474979696</v>
      </c>
      <c r="J146" s="131"/>
      <c r="K146" s="131">
        <f>I146-F146</f>
        <v>-610.57652502030396</v>
      </c>
      <c r="L146" s="116"/>
      <c r="M146" s="325">
        <f t="shared" si="3"/>
        <v>139</v>
      </c>
    </row>
    <row r="147" spans="1:13">
      <c r="A147" s="382" t="s">
        <v>953</v>
      </c>
      <c r="B147" s="728"/>
      <c r="C147" s="728" t="s">
        <v>947</v>
      </c>
      <c r="D147" s="728" t="s">
        <v>955</v>
      </c>
      <c r="F147" s="116"/>
      <c r="G147" s="116"/>
      <c r="H147" s="116"/>
      <c r="I147" s="116"/>
      <c r="J147" s="116"/>
      <c r="K147" s="116"/>
      <c r="L147" s="116"/>
      <c r="M147" s="325">
        <f t="shared" si="3"/>
        <v>140</v>
      </c>
    </row>
    <row r="148" spans="1:13">
      <c r="A148" s="382" t="s">
        <v>953</v>
      </c>
      <c r="B148" s="728"/>
      <c r="C148" s="728" t="s">
        <v>20</v>
      </c>
      <c r="D148" s="728" t="s">
        <v>955</v>
      </c>
      <c r="F148" s="116">
        <f>'Booked DEC 2017 Rev'!$T$148</f>
        <v>21165</v>
      </c>
      <c r="G148" s="116">
        <f>'AVG Proj Rev 2018 with CET'!$T$148</f>
        <v>21165</v>
      </c>
      <c r="H148" s="116">
        <f>'AVG Projected Rev 2019 with CET'!$T$148</f>
        <v>21165</v>
      </c>
      <c r="I148" s="116">
        <f>HLOOKUP($I$8,RevenueScenarios,M148,FALSE)</f>
        <v>21165</v>
      </c>
      <c r="J148" s="116"/>
      <c r="K148" s="116">
        <f>I148-F148</f>
        <v>0</v>
      </c>
      <c r="L148" s="116"/>
      <c r="M148" s="325">
        <f t="shared" si="3"/>
        <v>141</v>
      </c>
    </row>
    <row r="149" spans="1:13">
      <c r="A149" s="382" t="s">
        <v>953</v>
      </c>
      <c r="B149" s="728"/>
      <c r="C149" s="728"/>
      <c r="D149" s="728"/>
      <c r="F149" s="116"/>
      <c r="G149" s="116"/>
      <c r="H149" s="116"/>
      <c r="I149" s="116"/>
      <c r="J149" s="116"/>
      <c r="K149" s="116"/>
      <c r="L149" s="116"/>
      <c r="M149" s="325">
        <f t="shared" si="3"/>
        <v>142</v>
      </c>
    </row>
    <row r="150" spans="1:13">
      <c r="A150" s="382" t="s">
        <v>953</v>
      </c>
      <c r="B150" s="729" t="s">
        <v>957</v>
      </c>
      <c r="C150" s="728" t="s">
        <v>16</v>
      </c>
      <c r="D150" s="728" t="s">
        <v>955</v>
      </c>
      <c r="F150" s="116">
        <f>'Booked DEC 2017 Rev'!$T$150</f>
        <v>0</v>
      </c>
      <c r="G150" s="116">
        <f>'AVG Proj Rev 2018 with CET'!$T$150</f>
        <v>0</v>
      </c>
      <c r="H150" s="116">
        <f>'AVG Projected Rev 2019 with CET'!$T$150</f>
        <v>0</v>
      </c>
      <c r="I150" s="116">
        <f>HLOOKUP($I$8,RevenueScenarios,M150,FALSE)</f>
        <v>0</v>
      </c>
      <c r="J150" s="116"/>
      <c r="K150" s="116">
        <f>I150-F150</f>
        <v>0</v>
      </c>
      <c r="L150" s="116"/>
      <c r="M150" s="325">
        <f t="shared" si="3"/>
        <v>143</v>
      </c>
    </row>
    <row r="151" spans="1:13">
      <c r="A151" s="382" t="s">
        <v>953</v>
      </c>
      <c r="B151" s="728"/>
      <c r="C151" s="728"/>
      <c r="D151" s="728" t="s">
        <v>955</v>
      </c>
      <c r="F151" s="116"/>
      <c r="G151" s="116"/>
      <c r="H151" s="116"/>
      <c r="I151" s="116"/>
      <c r="J151" s="116"/>
      <c r="K151" s="116"/>
      <c r="L151" s="116"/>
      <c r="M151" s="325">
        <f t="shared" si="3"/>
        <v>144</v>
      </c>
    </row>
    <row r="152" spans="1:13">
      <c r="A152" s="382" t="s">
        <v>953</v>
      </c>
      <c r="B152" s="728"/>
      <c r="C152" s="728" t="s">
        <v>17</v>
      </c>
      <c r="D152" s="728" t="s">
        <v>955</v>
      </c>
      <c r="F152" s="116">
        <f>'Booked DEC 2017 Rev'!$T$152</f>
        <v>0</v>
      </c>
      <c r="G152" s="116">
        <f>'AVG Proj Rev 2018 with CET'!$T$152</f>
        <v>0</v>
      </c>
      <c r="H152" s="116">
        <f>'AVG Projected Rev 2019 with CET'!$T$152</f>
        <v>0</v>
      </c>
      <c r="I152" s="116">
        <f>HLOOKUP($I$8,RevenueScenarios,M152,FALSE)</f>
        <v>0</v>
      </c>
      <c r="J152" s="116"/>
      <c r="K152" s="116">
        <f>I152-F152</f>
        <v>0</v>
      </c>
      <c r="L152" s="116"/>
      <c r="M152" s="325">
        <f t="shared" si="3"/>
        <v>145</v>
      </c>
    </row>
    <row r="153" spans="1:13">
      <c r="A153" s="382" t="s">
        <v>953</v>
      </c>
      <c r="B153" s="728"/>
      <c r="C153" s="728"/>
      <c r="D153" s="728" t="s">
        <v>955</v>
      </c>
      <c r="F153" s="116"/>
      <c r="G153" s="116"/>
      <c r="H153" s="116"/>
      <c r="I153" s="116"/>
      <c r="J153" s="116"/>
      <c r="K153" s="116"/>
      <c r="L153" s="116"/>
      <c r="M153" s="325">
        <f t="shared" si="3"/>
        <v>146</v>
      </c>
    </row>
    <row r="154" spans="1:13">
      <c r="A154" s="382" t="s">
        <v>953</v>
      </c>
      <c r="B154" s="728"/>
      <c r="C154" s="728" t="s">
        <v>18</v>
      </c>
      <c r="D154" s="728" t="s">
        <v>955</v>
      </c>
      <c r="F154" s="116">
        <f>'Booked DEC 2017 Rev'!$T$154</f>
        <v>0</v>
      </c>
      <c r="G154" s="116">
        <f>'AVG Proj Rev 2018 with CET'!$T$154</f>
        <v>0</v>
      </c>
      <c r="H154" s="116">
        <f>'AVG Projected Rev 2019 with CET'!$T$154</f>
        <v>0</v>
      </c>
      <c r="I154" s="116">
        <f>HLOOKUP($I$8,RevenueScenarios,M154,FALSE)</f>
        <v>0</v>
      </c>
      <c r="J154" s="116"/>
      <c r="K154" s="116">
        <f>I154-F154</f>
        <v>0</v>
      </c>
      <c r="L154" s="116"/>
      <c r="M154" s="325">
        <f t="shared" si="3"/>
        <v>147</v>
      </c>
    </row>
    <row r="155" spans="1:13">
      <c r="A155" s="382" t="s">
        <v>953</v>
      </c>
      <c r="B155" s="728"/>
      <c r="C155" s="728" t="s">
        <v>19</v>
      </c>
      <c r="D155" s="728" t="s">
        <v>955</v>
      </c>
      <c r="F155" s="131">
        <f>'Booked DEC 2017 Rev'!$T$155</f>
        <v>0</v>
      </c>
      <c r="G155" s="131">
        <f>'AVG Proj Rev 2018 with CET'!$T$155</f>
        <v>0</v>
      </c>
      <c r="H155" s="131">
        <f>'AVG Projected Rev 2019 with CET'!$T$155</f>
        <v>0</v>
      </c>
      <c r="I155" s="131">
        <f>HLOOKUP($I$8,RevenueScenarios,M155,FALSE)</f>
        <v>0</v>
      </c>
      <c r="J155" s="131"/>
      <c r="K155" s="131">
        <f>I155-F155</f>
        <v>0</v>
      </c>
      <c r="L155" s="116"/>
      <c r="M155" s="325">
        <f t="shared" si="3"/>
        <v>148</v>
      </c>
    </row>
    <row r="156" spans="1:13">
      <c r="A156" s="382" t="s">
        <v>953</v>
      </c>
      <c r="B156" s="728"/>
      <c r="C156" s="728" t="s">
        <v>947</v>
      </c>
      <c r="D156" s="728" t="s">
        <v>955</v>
      </c>
      <c r="F156" s="116"/>
      <c r="G156" s="116"/>
      <c r="H156" s="116"/>
      <c r="I156" s="116"/>
      <c r="J156" s="116"/>
      <c r="K156" s="116"/>
      <c r="L156" s="116"/>
      <c r="M156" s="325">
        <f t="shared" si="3"/>
        <v>149</v>
      </c>
    </row>
    <row r="157" spans="1:13">
      <c r="A157" s="382" t="s">
        <v>953</v>
      </c>
      <c r="B157" s="728"/>
      <c r="C157" s="728" t="s">
        <v>20</v>
      </c>
      <c r="D157" s="728" t="s">
        <v>955</v>
      </c>
      <c r="F157" s="116">
        <f>'Booked DEC 2017 Rev'!$T$157</f>
        <v>0</v>
      </c>
      <c r="G157" s="116">
        <f>'AVG Proj Rev 2018 with CET'!$T$157</f>
        <v>0</v>
      </c>
      <c r="H157" s="116">
        <f>'AVG Projected Rev 2019 with CET'!$T$157</f>
        <v>0</v>
      </c>
      <c r="I157" s="116">
        <f>HLOOKUP($I$8,RevenueScenarios,M157,FALSE)</f>
        <v>0</v>
      </c>
      <c r="J157" s="116"/>
      <c r="K157" s="116">
        <f>I157-F157</f>
        <v>0</v>
      </c>
      <c r="L157" s="116"/>
      <c r="M157" s="325">
        <f t="shared" si="3"/>
        <v>150</v>
      </c>
    </row>
    <row r="158" spans="1:13">
      <c r="A158" s="382" t="s">
        <v>953</v>
      </c>
      <c r="B158" s="332"/>
      <c r="C158" s="332"/>
      <c r="D158" s="332"/>
      <c r="F158" s="116"/>
      <c r="G158" s="116"/>
      <c r="H158" s="116"/>
      <c r="I158" s="116"/>
      <c r="J158" s="116"/>
      <c r="K158" s="116"/>
      <c r="L158" s="116"/>
      <c r="M158" s="325">
        <f t="shared" si="3"/>
        <v>151</v>
      </c>
    </row>
    <row r="159" spans="1:13">
      <c r="A159" s="382" t="s">
        <v>953</v>
      </c>
      <c r="B159" s="728" t="s">
        <v>958</v>
      </c>
      <c r="C159" s="728" t="s">
        <v>16</v>
      </c>
      <c r="D159" s="728" t="s">
        <v>955</v>
      </c>
      <c r="F159" s="116">
        <f>'Booked DEC 2017 Rev'!$T$159</f>
        <v>20188113</v>
      </c>
      <c r="G159" s="116">
        <f>'AVG Proj Rev 2018 with CET'!$T$159</f>
        <v>23284754.669785567</v>
      </c>
      <c r="H159" s="116">
        <f>'AVG Projected Rev 2019 with CET'!$T$159</f>
        <v>25212953.372898743</v>
      </c>
      <c r="I159" s="116">
        <f>HLOOKUP($I$8,RevenueScenarios,M159,FALSE)</f>
        <v>25212953.372898743</v>
      </c>
      <c r="J159" s="116"/>
      <c r="K159" s="116">
        <f>I159-F159</f>
        <v>5024840.3728987426</v>
      </c>
      <c r="L159" s="116"/>
      <c r="M159" s="325">
        <f t="shared" si="3"/>
        <v>152</v>
      </c>
    </row>
    <row r="160" spans="1:13">
      <c r="A160" s="382" t="s">
        <v>953</v>
      </c>
      <c r="B160" s="728"/>
      <c r="C160" s="728"/>
      <c r="D160" s="728" t="s">
        <v>955</v>
      </c>
      <c r="F160" s="116"/>
      <c r="G160" s="116"/>
      <c r="H160" s="116"/>
      <c r="I160" s="116"/>
      <c r="J160" s="116"/>
      <c r="K160" s="116"/>
      <c r="L160" s="116"/>
      <c r="M160" s="325">
        <f t="shared" si="3"/>
        <v>153</v>
      </c>
    </row>
    <row r="161" spans="1:13">
      <c r="A161" s="382" t="s">
        <v>953</v>
      </c>
      <c r="B161" s="728"/>
      <c r="C161" s="728" t="s">
        <v>17</v>
      </c>
      <c r="D161" s="728" t="s">
        <v>955</v>
      </c>
      <c r="F161" s="116">
        <f>'Booked DEC 2017 Rev'!$T$161</f>
        <v>568888</v>
      </c>
      <c r="G161" s="116">
        <f>'AVG Proj Rev 2018 with CET'!$T$161</f>
        <v>0</v>
      </c>
      <c r="H161" s="116">
        <f>'AVG Projected Rev 2019 with CET'!$T$161</f>
        <v>0</v>
      </c>
      <c r="I161" s="116">
        <f>HLOOKUP($I$8,RevenueScenarios,M161,FALSE)</f>
        <v>0</v>
      </c>
      <c r="J161" s="116"/>
      <c r="K161" s="116">
        <f>I161-F161</f>
        <v>-568888</v>
      </c>
      <c r="L161" s="116"/>
      <c r="M161" s="325">
        <f t="shared" si="3"/>
        <v>154</v>
      </c>
    </row>
    <row r="162" spans="1:13">
      <c r="A162" s="382" t="s">
        <v>953</v>
      </c>
      <c r="B162" s="728"/>
      <c r="C162" s="728"/>
      <c r="D162" s="728" t="s">
        <v>955</v>
      </c>
      <c r="F162" s="116"/>
      <c r="G162" s="116"/>
      <c r="H162" s="116"/>
      <c r="I162" s="116"/>
      <c r="J162" s="116"/>
      <c r="K162" s="116"/>
      <c r="L162" s="116"/>
      <c r="M162" s="325">
        <f t="shared" si="3"/>
        <v>155</v>
      </c>
    </row>
    <row r="163" spans="1:13">
      <c r="A163" s="382" t="s">
        <v>953</v>
      </c>
      <c r="B163" s="728"/>
      <c r="C163" s="728" t="s">
        <v>18</v>
      </c>
      <c r="D163" s="728" t="s">
        <v>955</v>
      </c>
      <c r="F163" s="116">
        <f>'Booked DEC 2017 Rev'!$T$163</f>
        <v>96363</v>
      </c>
      <c r="G163" s="116">
        <f>'AVG Proj Rev 2018 with CET'!$T$163</f>
        <v>0</v>
      </c>
      <c r="H163" s="116">
        <f>'AVG Projected Rev 2019 with CET'!$T$163</f>
        <v>0</v>
      </c>
      <c r="I163" s="116">
        <f>HLOOKUP($I$8,RevenueScenarios,M163,FALSE)</f>
        <v>0</v>
      </c>
      <c r="J163" s="116"/>
      <c r="K163" s="116">
        <f>I163-F163</f>
        <v>-96363</v>
      </c>
      <c r="L163" s="116"/>
      <c r="M163" s="325">
        <f t="shared" si="3"/>
        <v>156</v>
      </c>
    </row>
    <row r="164" spans="1:13">
      <c r="A164" s="382" t="s">
        <v>953</v>
      </c>
      <c r="B164" s="728"/>
      <c r="C164" s="728" t="s">
        <v>19</v>
      </c>
      <c r="D164" s="728" t="s">
        <v>955</v>
      </c>
      <c r="F164" s="131">
        <f>'Booked DEC 2017 Rev'!$T$164</f>
        <v>20853364</v>
      </c>
      <c r="G164" s="131">
        <f>'AVG Proj Rev 2018 with CET'!$T$164</f>
        <v>23284754.669785567</v>
      </c>
      <c r="H164" s="131">
        <f>'AVG Projected Rev 2019 with CET'!$T$164</f>
        <v>25212953.372898743</v>
      </c>
      <c r="I164" s="131">
        <f>HLOOKUP($I$8,RevenueScenarios,M164,FALSE)</f>
        <v>25212953.372898743</v>
      </c>
      <c r="J164" s="131"/>
      <c r="K164" s="131">
        <f>I164-F164</f>
        <v>4359589.3728987426</v>
      </c>
      <c r="L164" s="116"/>
      <c r="M164" s="325">
        <f t="shared" si="3"/>
        <v>157</v>
      </c>
    </row>
    <row r="165" spans="1:13">
      <c r="A165" s="382" t="s">
        <v>953</v>
      </c>
      <c r="B165" s="728"/>
      <c r="C165" s="728" t="s">
        <v>947</v>
      </c>
      <c r="D165" s="728" t="s">
        <v>955</v>
      </c>
      <c r="F165" s="116"/>
      <c r="G165" s="116"/>
      <c r="H165" s="116"/>
      <c r="I165" s="116"/>
      <c r="J165" s="116"/>
      <c r="K165" s="116"/>
      <c r="L165" s="116"/>
      <c r="M165" s="325">
        <f t="shared" si="3"/>
        <v>158</v>
      </c>
    </row>
    <row r="166" spans="1:13">
      <c r="A166" s="382" t="s">
        <v>953</v>
      </c>
      <c r="B166" s="728"/>
      <c r="C166" s="728" t="s">
        <v>20</v>
      </c>
      <c r="D166" s="728" t="s">
        <v>955</v>
      </c>
      <c r="F166" s="116">
        <f>'Booked DEC 2017 Rev'!$T$166</f>
        <v>44783653</v>
      </c>
      <c r="G166" s="116">
        <f>'AVG Proj Rev 2018 with CET'!$T$166</f>
        <v>46786342</v>
      </c>
      <c r="H166" s="116">
        <f>'AVG Projected Rev 2019 with CET'!$T$166</f>
        <v>48749445</v>
      </c>
      <c r="I166" s="116">
        <f>HLOOKUP($I$8,RevenueScenarios,M166,FALSE)</f>
        <v>48749445</v>
      </c>
      <c r="J166" s="116"/>
      <c r="K166" s="116">
        <f>I166-F166</f>
        <v>3965792</v>
      </c>
      <c r="L166" s="116"/>
      <c r="M166" s="325">
        <f t="shared" si="3"/>
        <v>159</v>
      </c>
    </row>
    <row r="167" spans="1:13">
      <c r="A167" s="382" t="s">
        <v>953</v>
      </c>
      <c r="B167" s="728"/>
      <c r="C167" s="728"/>
      <c r="D167" s="728"/>
      <c r="F167" s="116"/>
      <c r="G167" s="116"/>
      <c r="H167" s="116"/>
      <c r="I167" s="116"/>
      <c r="J167" s="116"/>
      <c r="K167" s="116"/>
      <c r="L167" s="116"/>
      <c r="M167" s="325">
        <f t="shared" si="3"/>
        <v>160</v>
      </c>
    </row>
    <row r="168" spans="1:13">
      <c r="A168" s="382" t="s">
        <v>953</v>
      </c>
      <c r="B168" s="728" t="s">
        <v>959</v>
      </c>
      <c r="C168" s="728" t="s">
        <v>16</v>
      </c>
      <c r="D168" s="728" t="s">
        <v>955</v>
      </c>
      <c r="F168" s="116">
        <f>'Booked DEC 2017 Rev'!$T$168</f>
        <v>0</v>
      </c>
      <c r="G168" s="116">
        <f>'AVG Proj Rev 2018 with CET'!$T$168</f>
        <v>0</v>
      </c>
      <c r="H168" s="116">
        <f>'AVG Projected Rev 2019 with CET'!$T$168</f>
        <v>0</v>
      </c>
      <c r="I168" s="116">
        <f>HLOOKUP($I$8,RevenueScenarios,M168,FALSE)</f>
        <v>0</v>
      </c>
      <c r="J168" s="116"/>
      <c r="K168" s="116">
        <f>I168-F168</f>
        <v>0</v>
      </c>
      <c r="L168" s="116"/>
      <c r="M168" s="325">
        <f t="shared" si="3"/>
        <v>161</v>
      </c>
    </row>
    <row r="169" spans="1:13">
      <c r="A169" s="382" t="s">
        <v>953</v>
      </c>
      <c r="B169" s="728"/>
      <c r="C169" s="728"/>
      <c r="D169" s="728" t="s">
        <v>955</v>
      </c>
      <c r="F169" s="116"/>
      <c r="G169" s="116"/>
      <c r="H169" s="116"/>
      <c r="I169" s="116"/>
      <c r="J169" s="116"/>
      <c r="K169" s="116"/>
      <c r="L169" s="116"/>
      <c r="M169" s="325">
        <f t="shared" si="3"/>
        <v>162</v>
      </c>
    </row>
    <row r="170" spans="1:13">
      <c r="A170" s="382" t="s">
        <v>953</v>
      </c>
      <c r="B170" s="728"/>
      <c r="C170" s="728" t="s">
        <v>17</v>
      </c>
      <c r="D170" s="728" t="s">
        <v>955</v>
      </c>
      <c r="F170" s="116">
        <f>'Booked DEC 2017 Rev'!$T$170</f>
        <v>0</v>
      </c>
      <c r="G170" s="116">
        <f>'AVG Proj Rev 2018 with CET'!$T$170</f>
        <v>0</v>
      </c>
      <c r="H170" s="116">
        <f>'AVG Projected Rev 2019 with CET'!$T$170</f>
        <v>0</v>
      </c>
      <c r="I170" s="116">
        <f>HLOOKUP($I$8,RevenueScenarios,M170,FALSE)</f>
        <v>0</v>
      </c>
      <c r="J170" s="116"/>
      <c r="K170" s="116">
        <f>I170-F170</f>
        <v>0</v>
      </c>
      <c r="L170" s="116"/>
      <c r="M170" s="325">
        <f t="shared" si="3"/>
        <v>163</v>
      </c>
    </row>
    <row r="171" spans="1:13">
      <c r="A171" s="382" t="s">
        <v>953</v>
      </c>
      <c r="B171" s="728"/>
      <c r="C171" s="728"/>
      <c r="D171" s="728" t="s">
        <v>955</v>
      </c>
      <c r="F171" s="116"/>
      <c r="G171" s="116"/>
      <c r="H171" s="116"/>
      <c r="I171" s="116"/>
      <c r="J171" s="116"/>
      <c r="K171" s="116"/>
      <c r="L171" s="116"/>
      <c r="M171" s="325">
        <f t="shared" si="3"/>
        <v>164</v>
      </c>
    </row>
    <row r="172" spans="1:13">
      <c r="A172" s="382" t="s">
        <v>953</v>
      </c>
      <c r="B172" s="728"/>
      <c r="C172" s="728" t="s">
        <v>18</v>
      </c>
      <c r="D172" s="728" t="s">
        <v>955</v>
      </c>
      <c r="F172" s="116">
        <f>'Booked DEC 2017 Rev'!$T$172</f>
        <v>0</v>
      </c>
      <c r="G172" s="116">
        <f>'AVG Proj Rev 2018 with CET'!$T$172</f>
        <v>0</v>
      </c>
      <c r="H172" s="116">
        <f>'AVG Projected Rev 2019 with CET'!$T$172</f>
        <v>0</v>
      </c>
      <c r="I172" s="116">
        <f>HLOOKUP($I$8,RevenueScenarios,M172,FALSE)</f>
        <v>0</v>
      </c>
      <c r="J172" s="116"/>
      <c r="K172" s="116">
        <f>I172-F172</f>
        <v>0</v>
      </c>
      <c r="L172" s="116"/>
      <c r="M172" s="325">
        <f t="shared" si="3"/>
        <v>165</v>
      </c>
    </row>
    <row r="173" spans="1:13">
      <c r="A173" s="382" t="s">
        <v>953</v>
      </c>
      <c r="B173" s="728"/>
      <c r="C173" s="728" t="s">
        <v>19</v>
      </c>
      <c r="D173" s="728" t="s">
        <v>955</v>
      </c>
      <c r="F173" s="131">
        <f>'Booked DEC 2017 Rev'!$T$173</f>
        <v>0</v>
      </c>
      <c r="G173" s="131">
        <f>'AVG Proj Rev 2018 with CET'!$T$173</f>
        <v>0</v>
      </c>
      <c r="H173" s="131">
        <f>'AVG Projected Rev 2019 with CET'!$T$173</f>
        <v>0</v>
      </c>
      <c r="I173" s="131">
        <f>HLOOKUP($I$8,RevenueScenarios,M173,FALSE)</f>
        <v>0</v>
      </c>
      <c r="J173" s="131"/>
      <c r="K173" s="131">
        <f>I173-F173</f>
        <v>0</v>
      </c>
      <c r="L173" s="116"/>
      <c r="M173" s="325">
        <f t="shared" si="3"/>
        <v>166</v>
      </c>
    </row>
    <row r="174" spans="1:13">
      <c r="A174" s="382" t="s">
        <v>953</v>
      </c>
      <c r="B174" s="728"/>
      <c r="C174" s="728" t="s">
        <v>947</v>
      </c>
      <c r="D174" s="728" t="s">
        <v>955</v>
      </c>
      <c r="F174" s="116"/>
      <c r="G174" s="116"/>
      <c r="H174" s="116"/>
      <c r="I174" s="116"/>
      <c r="J174" s="116"/>
      <c r="K174" s="116"/>
      <c r="L174" s="116"/>
      <c r="M174" s="325">
        <f t="shared" si="3"/>
        <v>167</v>
      </c>
    </row>
    <row r="175" spans="1:13">
      <c r="A175" s="382" t="s">
        <v>953</v>
      </c>
      <c r="B175" s="728"/>
      <c r="C175" s="728" t="s">
        <v>20</v>
      </c>
      <c r="D175" s="728" t="s">
        <v>955</v>
      </c>
      <c r="F175" s="116">
        <f>'Booked DEC 2017 Rev'!$T$175</f>
        <v>0</v>
      </c>
      <c r="G175" s="116">
        <f>'AVG Proj Rev 2018 with CET'!$T$175</f>
        <v>0</v>
      </c>
      <c r="H175" s="116">
        <f>'AVG Projected Rev 2019 with CET'!$T$175</f>
        <v>0</v>
      </c>
      <c r="I175" s="116">
        <f>HLOOKUP($I$8,RevenueScenarios,M175,FALSE)</f>
        <v>0</v>
      </c>
      <c r="J175" s="116"/>
      <c r="K175" s="116">
        <f>I175-F175</f>
        <v>0</v>
      </c>
      <c r="L175" s="116"/>
      <c r="M175" s="325">
        <f t="shared" si="3"/>
        <v>168</v>
      </c>
    </row>
    <row r="176" spans="1:13">
      <c r="A176" s="382" t="s">
        <v>953</v>
      </c>
      <c r="B176" s="728"/>
      <c r="C176" s="728"/>
      <c r="D176" s="728"/>
      <c r="F176" s="116"/>
      <c r="G176" s="116"/>
      <c r="H176" s="116"/>
      <c r="I176" s="116"/>
      <c r="J176" s="116"/>
      <c r="K176" s="116"/>
      <c r="L176" s="116"/>
      <c r="M176" s="325">
        <f t="shared" si="3"/>
        <v>169</v>
      </c>
    </row>
    <row r="177" spans="1:15">
      <c r="A177" s="382" t="s">
        <v>953</v>
      </c>
      <c r="B177" s="728" t="s">
        <v>127</v>
      </c>
      <c r="C177" s="728" t="s">
        <v>16</v>
      </c>
      <c r="D177" s="728" t="s">
        <v>955</v>
      </c>
      <c r="F177" s="116">
        <f>'Booked DEC 2017 Rev'!$T$177</f>
        <v>0</v>
      </c>
      <c r="G177" s="116">
        <f>'AVG Proj Rev 2018 with CET'!$T$177</f>
        <v>0</v>
      </c>
      <c r="H177" s="116">
        <f>'AVG Projected Rev 2019 with CET'!$T$177</f>
        <v>0</v>
      </c>
      <c r="I177" s="116">
        <f>HLOOKUP($I$8,RevenueScenarios,M177,FALSE)</f>
        <v>0</v>
      </c>
      <c r="J177" s="116"/>
      <c r="K177" s="116">
        <f>I177-F177</f>
        <v>0</v>
      </c>
      <c r="L177" s="116"/>
      <c r="M177" s="325">
        <f t="shared" si="3"/>
        <v>170</v>
      </c>
    </row>
    <row r="178" spans="1:15">
      <c r="A178" s="382" t="s">
        <v>953</v>
      </c>
      <c r="B178" s="728"/>
      <c r="C178" s="728"/>
      <c r="D178" s="728" t="s">
        <v>955</v>
      </c>
      <c r="F178" s="116"/>
      <c r="G178" s="116"/>
      <c r="H178" s="116"/>
      <c r="I178" s="116"/>
      <c r="J178" s="116"/>
      <c r="K178" s="116"/>
      <c r="L178" s="116"/>
      <c r="M178" s="325">
        <f t="shared" si="3"/>
        <v>171</v>
      </c>
    </row>
    <row r="179" spans="1:15">
      <c r="A179" s="382" t="s">
        <v>953</v>
      </c>
      <c r="B179" s="728"/>
      <c r="C179" s="728" t="s">
        <v>17</v>
      </c>
      <c r="D179" s="728" t="s">
        <v>955</v>
      </c>
      <c r="F179" s="116">
        <f>'Booked DEC 2017 Rev'!$T$179</f>
        <v>0</v>
      </c>
      <c r="G179" s="116">
        <f>'AVG Proj Rev 2018 with CET'!$T$179</f>
        <v>0</v>
      </c>
      <c r="H179" s="116">
        <f>'AVG Projected Rev 2019 with CET'!$T$179</f>
        <v>0</v>
      </c>
      <c r="I179" s="116">
        <f>HLOOKUP($I$8,RevenueScenarios,M179,FALSE)</f>
        <v>0</v>
      </c>
      <c r="J179" s="116"/>
      <c r="K179" s="116">
        <f>I179-F179</f>
        <v>0</v>
      </c>
      <c r="L179" s="116"/>
      <c r="M179" s="325">
        <f t="shared" si="3"/>
        <v>172</v>
      </c>
    </row>
    <row r="180" spans="1:15">
      <c r="A180" s="382" t="s">
        <v>953</v>
      </c>
      <c r="B180" s="728"/>
      <c r="C180" s="728"/>
      <c r="D180" s="728" t="s">
        <v>955</v>
      </c>
      <c r="F180" s="116"/>
      <c r="G180" s="116"/>
      <c r="H180" s="116"/>
      <c r="I180" s="116"/>
      <c r="J180" s="116"/>
      <c r="K180" s="116"/>
      <c r="L180" s="116"/>
      <c r="M180" s="325">
        <f t="shared" si="3"/>
        <v>173</v>
      </c>
    </row>
    <row r="181" spans="1:15">
      <c r="A181" s="382" t="s">
        <v>953</v>
      </c>
      <c r="B181" s="728"/>
      <c r="C181" s="728" t="s">
        <v>18</v>
      </c>
      <c r="D181" s="728" t="s">
        <v>955</v>
      </c>
      <c r="F181" s="116">
        <f>'Booked DEC 2017 Rev'!$T$181</f>
        <v>0</v>
      </c>
      <c r="G181" s="116">
        <f>'AVG Proj Rev 2018 with CET'!$T$181</f>
        <v>0</v>
      </c>
      <c r="H181" s="116">
        <f>'AVG Projected Rev 2019 with CET'!$T$181</f>
        <v>0</v>
      </c>
      <c r="I181" s="116">
        <f>HLOOKUP($I$8,RevenueScenarios,M181,FALSE)</f>
        <v>0</v>
      </c>
      <c r="J181" s="116"/>
      <c r="K181" s="116">
        <f>I181-F181</f>
        <v>0</v>
      </c>
      <c r="L181" s="116"/>
      <c r="M181" s="325">
        <f t="shared" si="3"/>
        <v>174</v>
      </c>
    </row>
    <row r="182" spans="1:15">
      <c r="A182" s="382" t="s">
        <v>953</v>
      </c>
      <c r="B182" s="728"/>
      <c r="C182" s="728" t="s">
        <v>19</v>
      </c>
      <c r="D182" s="728" t="s">
        <v>955</v>
      </c>
      <c r="F182" s="131">
        <f>'Booked DEC 2017 Rev'!$T$182</f>
        <v>0</v>
      </c>
      <c r="G182" s="131">
        <f>'AVG Proj Rev 2018 with CET'!$T$182</f>
        <v>0</v>
      </c>
      <c r="H182" s="131">
        <f>'AVG Projected Rev 2019 with CET'!$T$182</f>
        <v>0</v>
      </c>
      <c r="I182" s="131">
        <f>HLOOKUP($I$8,RevenueScenarios,M182,FALSE)</f>
        <v>0</v>
      </c>
      <c r="J182" s="131"/>
      <c r="K182" s="131">
        <f>I182-F182</f>
        <v>0</v>
      </c>
      <c r="L182" s="116"/>
      <c r="M182" s="325">
        <f t="shared" si="3"/>
        <v>175</v>
      </c>
    </row>
    <row r="183" spans="1:15">
      <c r="A183" s="382" t="s">
        <v>953</v>
      </c>
      <c r="B183" s="728"/>
      <c r="C183" s="728" t="s">
        <v>947</v>
      </c>
      <c r="D183" s="728" t="s">
        <v>955</v>
      </c>
      <c r="F183" s="116"/>
      <c r="G183" s="116"/>
      <c r="H183" s="116"/>
      <c r="I183" s="116"/>
      <c r="J183" s="116"/>
      <c r="K183" s="116"/>
      <c r="L183" s="116"/>
      <c r="M183" s="325">
        <f t="shared" si="3"/>
        <v>176</v>
      </c>
    </row>
    <row r="184" spans="1:15">
      <c r="A184" s="382" t="s">
        <v>953</v>
      </c>
      <c r="B184" s="728"/>
      <c r="C184" s="728" t="s">
        <v>20</v>
      </c>
      <c r="D184" s="728" t="s">
        <v>955</v>
      </c>
      <c r="F184" s="116">
        <f>'Booked DEC 2017 Rev'!$T$184</f>
        <v>0</v>
      </c>
      <c r="G184" s="116">
        <f>'AVG Proj Rev 2018 with CET'!$T$184</f>
        <v>0</v>
      </c>
      <c r="H184" s="116">
        <f>'AVG Projected Rev 2019 with CET'!$T$184</f>
        <v>0</v>
      </c>
      <c r="I184" s="116">
        <f>HLOOKUP($I$8,RevenueScenarios,M184,FALSE)</f>
        <v>0</v>
      </c>
      <c r="J184" s="116"/>
      <c r="K184" s="116">
        <f>I184-F184</f>
        <v>0</v>
      </c>
      <c r="L184" s="116"/>
      <c r="M184" s="325">
        <f t="shared" si="3"/>
        <v>177</v>
      </c>
    </row>
    <row r="185" spans="1:15">
      <c r="A185" s="382" t="s">
        <v>953</v>
      </c>
      <c r="B185" s="728"/>
      <c r="C185" s="728"/>
      <c r="D185" s="728"/>
      <c r="F185" s="116"/>
      <c r="G185" s="116"/>
      <c r="H185" s="116"/>
      <c r="I185" s="116"/>
      <c r="J185" s="116"/>
      <c r="K185" s="116"/>
      <c r="L185" s="116"/>
      <c r="M185" s="325">
        <f t="shared" si="3"/>
        <v>178</v>
      </c>
    </row>
    <row r="186" spans="1:15">
      <c r="A186" s="382" t="s">
        <v>953</v>
      </c>
      <c r="B186" s="728" t="s">
        <v>84</v>
      </c>
      <c r="C186" s="728" t="s">
        <v>16</v>
      </c>
      <c r="D186" s="728" t="s">
        <v>955</v>
      </c>
      <c r="F186" s="116">
        <f>'Booked DEC 2017 Rev'!$T$186</f>
        <v>0</v>
      </c>
      <c r="G186" s="116">
        <f>'AVG Proj Rev 2018 with CET'!$T$186</f>
        <v>0</v>
      </c>
      <c r="H186" s="116">
        <f>'AVG Projected Rev 2019 with CET'!$T$186</f>
        <v>0</v>
      </c>
      <c r="I186" s="116">
        <f>HLOOKUP($I$8,RevenueScenarios,M186,FALSE)</f>
        <v>0</v>
      </c>
      <c r="J186" s="116"/>
      <c r="K186" s="116">
        <f>I186-F186</f>
        <v>0</v>
      </c>
      <c r="L186" s="116"/>
      <c r="M186" s="325">
        <f t="shared" si="3"/>
        <v>179</v>
      </c>
    </row>
    <row r="187" spans="1:15">
      <c r="A187" s="382" t="s">
        <v>953</v>
      </c>
      <c r="B187" s="728"/>
      <c r="C187" s="728"/>
      <c r="D187" s="728" t="s">
        <v>955</v>
      </c>
      <c r="F187" s="116"/>
      <c r="G187" s="116"/>
      <c r="H187" s="116"/>
      <c r="I187" s="116"/>
      <c r="J187" s="116"/>
      <c r="K187" s="116"/>
      <c r="L187" s="116"/>
      <c r="M187" s="325">
        <f t="shared" si="3"/>
        <v>180</v>
      </c>
    </row>
    <row r="188" spans="1:15">
      <c r="A188" s="382" t="s">
        <v>953</v>
      </c>
      <c r="B188" s="728"/>
      <c r="C188" s="728" t="s">
        <v>17</v>
      </c>
      <c r="D188" s="728" t="s">
        <v>955</v>
      </c>
      <c r="F188" s="116">
        <f>'Booked DEC 2017 Rev'!$T$188</f>
        <v>0</v>
      </c>
      <c r="G188" s="116">
        <f>'AVG Proj Rev 2018 with CET'!$T$188</f>
        <v>0</v>
      </c>
      <c r="H188" s="116">
        <f>'AVG Projected Rev 2019 with CET'!$T$188</f>
        <v>0</v>
      </c>
      <c r="I188" s="116">
        <f>HLOOKUP($I$8,RevenueScenarios,M188,FALSE)</f>
        <v>0</v>
      </c>
      <c r="J188" s="116"/>
      <c r="K188" s="116">
        <f>I188-F188</f>
        <v>0</v>
      </c>
      <c r="L188" s="116"/>
      <c r="M188" s="325">
        <f t="shared" si="3"/>
        <v>181</v>
      </c>
    </row>
    <row r="189" spans="1:15">
      <c r="A189" s="382" t="s">
        <v>953</v>
      </c>
      <c r="B189" s="728"/>
      <c r="C189" s="728"/>
      <c r="D189" s="728" t="s">
        <v>955</v>
      </c>
      <c r="F189" s="116"/>
      <c r="G189" s="116"/>
      <c r="H189" s="116"/>
      <c r="I189" s="116"/>
      <c r="J189" s="116"/>
      <c r="K189" s="116"/>
      <c r="L189" s="116"/>
      <c r="M189" s="325">
        <f t="shared" si="3"/>
        <v>182</v>
      </c>
      <c r="N189" s="194"/>
      <c r="O189" s="194"/>
    </row>
    <row r="190" spans="1:15">
      <c r="A190" s="382" t="s">
        <v>953</v>
      </c>
      <c r="B190" s="728"/>
      <c r="C190" s="728" t="s">
        <v>18</v>
      </c>
      <c r="D190" s="728" t="s">
        <v>955</v>
      </c>
      <c r="F190" s="116">
        <f>'Booked DEC 2017 Rev'!$T$190</f>
        <v>0</v>
      </c>
      <c r="G190" s="116">
        <f>'AVG Proj Rev 2018 with CET'!$T$190</f>
        <v>0</v>
      </c>
      <c r="H190" s="116">
        <f>'AVG Projected Rev 2019 with CET'!$T$190</f>
        <v>0</v>
      </c>
      <c r="I190" s="116">
        <f>HLOOKUP($I$8,RevenueScenarios,M190,FALSE)</f>
        <v>0</v>
      </c>
      <c r="J190" s="116"/>
      <c r="K190" s="116">
        <f>I190-F190</f>
        <v>0</v>
      </c>
      <c r="L190" s="116"/>
      <c r="M190" s="325">
        <f t="shared" si="3"/>
        <v>183</v>
      </c>
      <c r="N190" s="194"/>
      <c r="O190" s="194"/>
    </row>
    <row r="191" spans="1:15">
      <c r="A191" s="382" t="s">
        <v>953</v>
      </c>
      <c r="B191" s="728"/>
      <c r="C191" s="728" t="s">
        <v>19</v>
      </c>
      <c r="D191" s="728" t="s">
        <v>955</v>
      </c>
      <c r="F191" s="131">
        <f>'Booked DEC 2017 Rev'!$T$191</f>
        <v>0</v>
      </c>
      <c r="G191" s="131">
        <f>'AVG Proj Rev 2018 with CET'!$T$191</f>
        <v>0</v>
      </c>
      <c r="H191" s="131">
        <f>'AVG Projected Rev 2019 with CET'!$T$191</f>
        <v>0</v>
      </c>
      <c r="I191" s="131">
        <f>HLOOKUP($I$8,RevenueScenarios,M191,FALSE)</f>
        <v>0</v>
      </c>
      <c r="J191" s="131"/>
      <c r="K191" s="131">
        <f>I191-F191</f>
        <v>0</v>
      </c>
      <c r="L191" s="116"/>
      <c r="M191" s="325">
        <f t="shared" si="3"/>
        <v>184</v>
      </c>
      <c r="N191" s="194"/>
      <c r="O191" s="194"/>
    </row>
    <row r="192" spans="1:15">
      <c r="A192" s="382" t="s">
        <v>953</v>
      </c>
      <c r="B192" s="728"/>
      <c r="C192" s="728" t="s">
        <v>947</v>
      </c>
      <c r="D192" s="728" t="s">
        <v>955</v>
      </c>
      <c r="F192" s="116"/>
      <c r="G192" s="116"/>
      <c r="H192" s="116"/>
      <c r="I192" s="116"/>
      <c r="J192" s="116"/>
      <c r="K192" s="116"/>
      <c r="L192" s="116"/>
      <c r="M192" s="325">
        <f t="shared" si="3"/>
        <v>185</v>
      </c>
      <c r="N192" s="194"/>
      <c r="O192" s="194"/>
    </row>
    <row r="193" spans="1:15">
      <c r="A193" s="382" t="s">
        <v>953</v>
      </c>
      <c r="B193" s="728"/>
      <c r="C193" s="728" t="s">
        <v>20</v>
      </c>
      <c r="D193" s="728" t="s">
        <v>955</v>
      </c>
      <c r="F193" s="116">
        <f>'Booked DEC 2017 Rev'!$T$193</f>
        <v>0</v>
      </c>
      <c r="G193" s="116">
        <f>'AVG Proj Rev 2018 with CET'!$T$193</f>
        <v>0</v>
      </c>
      <c r="H193" s="116">
        <f>'AVG Projected Rev 2019 with CET'!$T$193</f>
        <v>0</v>
      </c>
      <c r="I193" s="116">
        <f>HLOOKUP($I$8,RevenueScenarios,M193,FALSE)</f>
        <v>0</v>
      </c>
      <c r="J193" s="116"/>
      <c r="K193" s="116">
        <f>I193-F193</f>
        <v>0</v>
      </c>
      <c r="L193" s="116"/>
      <c r="M193" s="325">
        <f t="shared" si="3"/>
        <v>186</v>
      </c>
      <c r="N193" s="194"/>
      <c r="O193" s="194"/>
    </row>
    <row r="194" spans="1:15">
      <c r="A194" s="382"/>
      <c r="B194" s="728"/>
      <c r="C194" s="728"/>
      <c r="D194" s="728"/>
      <c r="F194" s="116"/>
      <c r="G194" s="116"/>
      <c r="H194" s="116"/>
      <c r="I194" s="116"/>
      <c r="J194" s="116"/>
      <c r="K194" s="116"/>
      <c r="L194" s="116"/>
      <c r="M194" s="325">
        <f t="shared" si="3"/>
        <v>187</v>
      </c>
      <c r="N194" s="194"/>
      <c r="O194" s="194"/>
    </row>
    <row r="195" spans="1:15">
      <c r="A195" s="382"/>
      <c r="B195" s="332" t="s">
        <v>690</v>
      </c>
      <c r="C195" s="728" t="s">
        <v>16</v>
      </c>
      <c r="D195" s="728"/>
      <c r="F195" s="116">
        <f>'Booked DEC 2017 Rev'!$T$195</f>
        <v>-1433989</v>
      </c>
      <c r="G195" s="116">
        <f>'AVG Proj Rev 2018 with CET'!$T$195</f>
        <v>0</v>
      </c>
      <c r="H195" s="116">
        <f>'AVG Projected Rev 2019 with CET'!$T$195</f>
        <v>0</v>
      </c>
      <c r="I195" s="116">
        <f>HLOOKUP($I$8,RevenueScenarios,M195,FALSE)</f>
        <v>0</v>
      </c>
      <c r="J195" s="116"/>
      <c r="K195" s="116">
        <f>I195-F195</f>
        <v>1433989</v>
      </c>
      <c r="L195" s="116"/>
      <c r="M195" s="325">
        <f t="shared" si="3"/>
        <v>188</v>
      </c>
      <c r="N195" s="194"/>
      <c r="O195" s="194"/>
    </row>
    <row r="196" spans="1:15">
      <c r="A196" s="382"/>
      <c r="B196" s="332" t="s">
        <v>114</v>
      </c>
      <c r="C196" s="728" t="s">
        <v>16</v>
      </c>
      <c r="D196" s="728"/>
      <c r="F196" s="116">
        <f>'Booked DEC 2017 Rev'!$T$196</f>
        <v>20806992</v>
      </c>
      <c r="G196" s="116">
        <f>'AVG Proj Rev 2018 with CET'!$T$196</f>
        <v>0</v>
      </c>
      <c r="H196" s="116">
        <f>'AVG Projected Rev 2019 with CET'!$T$196</f>
        <v>0</v>
      </c>
      <c r="I196" s="116">
        <f>HLOOKUP($I$8,RevenueScenarios,M196,FALSE)</f>
        <v>0</v>
      </c>
      <c r="J196" s="116"/>
      <c r="K196" s="116">
        <f>I196-F196</f>
        <v>-20806992</v>
      </c>
      <c r="L196" s="116"/>
      <c r="M196" s="325">
        <f t="shared" si="3"/>
        <v>189</v>
      </c>
    </row>
    <row r="197" spans="1:15" ht="13.5" thickBot="1">
      <c r="F197" s="235"/>
      <c r="G197" s="235"/>
      <c r="H197" s="235"/>
      <c r="I197" s="235"/>
      <c r="J197" s="235"/>
      <c r="K197" s="235"/>
      <c r="L197" s="116"/>
      <c r="M197" s="325">
        <f t="shared" si="3"/>
        <v>190</v>
      </c>
    </row>
    <row r="198" spans="1:15" ht="13.5" thickTop="1">
      <c r="A198" s="382"/>
      <c r="B198" s="332" t="s">
        <v>543</v>
      </c>
      <c r="C198" s="728"/>
      <c r="D198" s="728"/>
      <c r="F198" s="116"/>
      <c r="G198" s="116"/>
      <c r="H198" s="116"/>
      <c r="I198" s="116"/>
      <c r="J198" s="116"/>
      <c r="K198" s="116"/>
      <c r="L198" s="116"/>
      <c r="M198" s="325">
        <f t="shared" si="3"/>
        <v>191</v>
      </c>
    </row>
    <row r="199" spans="1:15">
      <c r="A199" s="382"/>
      <c r="B199" s="332"/>
      <c r="C199" s="728" t="s">
        <v>16</v>
      </c>
      <c r="D199" s="728"/>
      <c r="F199" s="117">
        <f t="shared" ref="F199:H199" si="4">+F15+F24+F33+F42+F51+F60+F69+F78+F87+F96+F105+F114+F123+F132+F141+F150+F159+F168+F177+F186+F195+F196</f>
        <v>366442366.41683167</v>
      </c>
      <c r="G199" s="117">
        <f>+G15+G24+G33+G42+G51+G60+G69+G78+G87+G96+G105+G114+G123+G132+G141+G150+G159+G168+G177+G186+G195+G196</f>
        <v>345709652.53594607</v>
      </c>
      <c r="H199" s="117">
        <f t="shared" si="4"/>
        <v>360554699.7273978</v>
      </c>
      <c r="I199" s="117">
        <f>HLOOKUP($I$8,RevenueScenarios,M199,FALSE)</f>
        <v>360554699.7273978</v>
      </c>
      <c r="J199" s="117"/>
      <c r="K199" s="117">
        <f>I199-F199</f>
        <v>-5887666.6894338727</v>
      </c>
      <c r="L199" s="117"/>
      <c r="M199" s="325">
        <f t="shared" si="3"/>
        <v>192</v>
      </c>
    </row>
    <row r="200" spans="1:15">
      <c r="A200" s="382"/>
      <c r="B200" s="332"/>
      <c r="C200" s="728" t="s">
        <v>17</v>
      </c>
      <c r="D200" s="728"/>
      <c r="F200" s="117">
        <f t="shared" ref="F200:H200" si="5">+F17+F26+F35+F44+F53+F61+F62+F71+F80+F89+F98+F107+F116+F125+F134+F143+F152+F161+F170+F179+F188</f>
        <v>104646826.0980107</v>
      </c>
      <c r="G200" s="117">
        <f>+G17+G26+G35+G44+G53+G61+G62+G71+G80+G89+G98+G107+G116+G125+G134+G143+G152+G161+G170+G179+G188</f>
        <v>122261442.46999997</v>
      </c>
      <c r="H200" s="117">
        <f t="shared" si="5"/>
        <v>122000360.16</v>
      </c>
      <c r="I200" s="117">
        <f>HLOOKUP($I$8,RevenueScenarios,M200,FALSE)</f>
        <v>122000360.16</v>
      </c>
      <c r="J200" s="117"/>
      <c r="K200" s="117">
        <f>I200-F200</f>
        <v>17353534.061989293</v>
      </c>
      <c r="L200" s="117"/>
      <c r="M200" s="325">
        <f t="shared" si="3"/>
        <v>193</v>
      </c>
    </row>
    <row r="201" spans="1:15">
      <c r="A201" s="382"/>
      <c r="B201" s="728"/>
      <c r="C201" s="728" t="s">
        <v>18</v>
      </c>
      <c r="D201" s="728"/>
      <c r="F201" s="117">
        <f t="shared" ref="F201:H201" si="6">+F19+F28+F37+F46+F55+F63+F64+F73+F82+F91+F100+F109+F118+F127+F136+F145+F154+F163+F172+F181+F190</f>
        <v>412645469.44515759</v>
      </c>
      <c r="G201" s="117">
        <f>+G19+G28+G37+G46+G55+G63+G64+G73+G82+G91+G100+G109+G118+G127+G136+G145+G154+G163+G172+G181+G190</f>
        <v>386668227.88999999</v>
      </c>
      <c r="H201" s="117">
        <f t="shared" si="6"/>
        <v>385239028.2299999</v>
      </c>
      <c r="I201" s="117">
        <f>HLOOKUP($I$8,RevenueScenarios,M201,FALSE)</f>
        <v>385239028.2299999</v>
      </c>
      <c r="J201" s="117"/>
      <c r="K201" s="117">
        <f>I201-F201</f>
        <v>-27406441.215157688</v>
      </c>
      <c r="L201" s="117"/>
      <c r="M201" s="325">
        <f t="shared" si="3"/>
        <v>194</v>
      </c>
    </row>
    <row r="202" spans="1:15">
      <c r="A202" s="382"/>
      <c r="B202" s="728"/>
      <c r="C202" s="728" t="s">
        <v>457</v>
      </c>
      <c r="D202" s="728"/>
      <c r="F202" s="132">
        <f>+F21+F38+F47+F56+F65+F74+F83+F92+F101+F110+F119+F128+F137+F146+F155+F164+F173+F182+F191+F29+F195+F196</f>
        <v>75231385.210000008</v>
      </c>
      <c r="G202" s="132">
        <f>+G21+G38+G47+G56+G65+G74+G83+G92+G101+G110+G119+G128+G137+G146+G155+G164+G173+G182+G191+G29+G195+G196</f>
        <v>54014606.389079452</v>
      </c>
      <c r="H202" s="132">
        <f>+H21+H38+H47+H56+H65+H74+H83+H92+H101+H110+H119+H128+H137+H146+H155+H164+H173+H182+H191+H29+H195+H196</f>
        <v>52495548.679399163</v>
      </c>
      <c r="I202" s="132">
        <f>HLOOKUP($I$8,RevenueScenarios,M202,FALSE)</f>
        <v>52495548.679399163</v>
      </c>
      <c r="J202" s="132"/>
      <c r="K202" s="132">
        <f>I202-F202</f>
        <v>-22735836.530600846</v>
      </c>
      <c r="L202" s="117"/>
      <c r="M202" s="325">
        <f t="shared" ref="M202:M265" si="7">+M201+1</f>
        <v>195</v>
      </c>
    </row>
    <row r="203" spans="1:15">
      <c r="A203" s="382"/>
      <c r="B203" s="332"/>
      <c r="C203" s="728" t="s">
        <v>947</v>
      </c>
      <c r="D203" s="728"/>
      <c r="F203" s="133"/>
      <c r="G203" s="133"/>
      <c r="H203" s="133"/>
      <c r="I203" s="133"/>
      <c r="J203" s="133"/>
      <c r="K203" s="133"/>
      <c r="L203" s="133"/>
      <c r="M203" s="325">
        <f t="shared" si="7"/>
        <v>196</v>
      </c>
    </row>
    <row r="204" spans="1:15">
      <c r="A204" s="382"/>
      <c r="B204" s="728"/>
      <c r="C204" s="728" t="s">
        <v>59</v>
      </c>
      <c r="D204" s="728"/>
      <c r="F204" s="117">
        <f t="shared" ref="F204:H204" si="8">F22+F31+F40+F49+F58+F67+F76+F85+F94+F103+F112+F121+F193</f>
        <v>102028079.61</v>
      </c>
      <c r="G204" s="117">
        <f>G22+G31+G40+G49+G58+G67+G76+G85+G94+G103+G112+G121+G193</f>
        <v>143823391</v>
      </c>
      <c r="H204" s="117">
        <f t="shared" si="8"/>
        <v>144005361</v>
      </c>
      <c r="I204" s="117">
        <f>HLOOKUP($I$8,RevenueScenarios,M204,FALSE)</f>
        <v>144005361</v>
      </c>
      <c r="J204" s="117"/>
      <c r="K204" s="117">
        <f>I204-F204</f>
        <v>41977281.390000001</v>
      </c>
      <c r="L204" s="117"/>
      <c r="M204" s="325">
        <f t="shared" si="7"/>
        <v>197</v>
      </c>
    </row>
    <row r="205" spans="1:15">
      <c r="A205" s="382"/>
      <c r="B205" s="332"/>
      <c r="C205" s="332" t="s">
        <v>60</v>
      </c>
      <c r="D205" s="332"/>
      <c r="F205" s="117">
        <f t="shared" ref="F205:H205" si="9">F130+F139+F148+F157+F166+F175+F184+F31</f>
        <v>76080323</v>
      </c>
      <c r="G205" s="117">
        <f>G130+G139+G148+G157+G166+G175+G184+G31</f>
        <v>52938358</v>
      </c>
      <c r="H205" s="117">
        <f t="shared" si="9"/>
        <v>54901461</v>
      </c>
      <c r="I205" s="117">
        <f>HLOOKUP($I$8,RevenueScenarios,M205,FALSE)</f>
        <v>54901461</v>
      </c>
      <c r="J205" s="117"/>
      <c r="K205" s="117">
        <f>I205-F205</f>
        <v>-21178862</v>
      </c>
      <c r="L205" s="117"/>
      <c r="M205" s="325">
        <f t="shared" si="7"/>
        <v>198</v>
      </c>
    </row>
    <row r="206" spans="1:15">
      <c r="A206" s="873"/>
      <c r="B206" s="728"/>
      <c r="C206" s="728" t="s">
        <v>458</v>
      </c>
      <c r="D206" s="728"/>
      <c r="F206" s="132">
        <f t="shared" ref="F206:H206" si="10">+F22+F40+F49+F58+F67+F76+F85+F94+F103+F112+F121+F130+F139+F148+F157+F166+F175+F184+F193+F31</f>
        <v>178108402.61000001</v>
      </c>
      <c r="G206" s="132">
        <f>+G22+G40+G49+G58+G67+G76+G85+G94+G103+G112+G121+G130+G139+G148+G157+G166+G175+G184+G193+G31</f>
        <v>196761749</v>
      </c>
      <c r="H206" s="132">
        <f t="shared" si="10"/>
        <v>198906822</v>
      </c>
      <c r="I206" s="132">
        <f>HLOOKUP($I$8,RevenueScenarios,M206,FALSE)</f>
        <v>198906822</v>
      </c>
      <c r="J206" s="132"/>
      <c r="K206" s="132">
        <f>I206-F206</f>
        <v>20798419.389999986</v>
      </c>
      <c r="L206" s="117"/>
      <c r="M206" s="325">
        <f t="shared" si="7"/>
        <v>199</v>
      </c>
    </row>
    <row r="207" spans="1:15">
      <c r="A207" s="382"/>
      <c r="B207" s="728"/>
      <c r="C207" s="728"/>
      <c r="D207" s="728"/>
      <c r="F207" s="116"/>
      <c r="G207" s="116"/>
      <c r="H207" s="116"/>
      <c r="I207" s="116"/>
      <c r="J207" s="116"/>
      <c r="K207" s="116"/>
      <c r="L207" s="116"/>
      <c r="M207" s="325">
        <f t="shared" si="7"/>
        <v>200</v>
      </c>
    </row>
    <row r="208" spans="1:15">
      <c r="A208" s="382"/>
      <c r="B208" s="728"/>
      <c r="C208" s="728"/>
      <c r="D208" s="728"/>
      <c r="F208" s="116"/>
      <c r="G208" s="116"/>
      <c r="H208" s="116"/>
      <c r="I208" s="116"/>
      <c r="J208" s="116"/>
      <c r="K208" s="116"/>
      <c r="L208" s="116"/>
      <c r="M208" s="325">
        <f t="shared" si="7"/>
        <v>201</v>
      </c>
    </row>
    <row r="209" spans="1:13">
      <c r="A209" s="382" t="s">
        <v>459</v>
      </c>
      <c r="B209" s="728" t="s">
        <v>15</v>
      </c>
      <c r="C209" s="728" t="s">
        <v>16</v>
      </c>
      <c r="D209" s="728"/>
      <c r="F209" s="116">
        <f>'Booked DEC 2017 Rev'!$T$209</f>
        <v>0</v>
      </c>
      <c r="G209" s="116">
        <f>'AVG Proj Rev 2018 with CET'!$T$209</f>
        <v>0</v>
      </c>
      <c r="H209" s="116">
        <f>'AVG Projected Rev 2019 with CET'!$T$209</f>
        <v>0</v>
      </c>
      <c r="I209" s="116">
        <f>HLOOKUP($I$8,RevenueScenarios,M209,FALSE)</f>
        <v>0</v>
      </c>
      <c r="J209" s="116"/>
      <c r="K209" s="116">
        <f>I209-F209</f>
        <v>0</v>
      </c>
      <c r="L209" s="116"/>
      <c r="M209" s="325">
        <f t="shared" si="7"/>
        <v>202</v>
      </c>
    </row>
    <row r="210" spans="1:13">
      <c r="A210" s="382"/>
      <c r="B210" s="728"/>
      <c r="C210" s="728"/>
      <c r="D210" s="728"/>
      <c r="F210" s="116"/>
      <c r="G210" s="116"/>
      <c r="H210" s="116"/>
      <c r="I210" s="116"/>
      <c r="J210" s="116"/>
      <c r="K210" s="116"/>
      <c r="L210" s="116"/>
      <c r="M210" s="325">
        <f t="shared" si="7"/>
        <v>203</v>
      </c>
    </row>
    <row r="211" spans="1:13">
      <c r="A211" s="382"/>
      <c r="B211" s="728"/>
      <c r="C211" s="728" t="s">
        <v>17</v>
      </c>
      <c r="D211" s="728"/>
      <c r="F211" s="116">
        <f>'Booked DEC 2017 Rev'!$T$211</f>
        <v>0</v>
      </c>
      <c r="G211" s="116">
        <f>'AVG Proj Rev 2018 with CET'!$T$211</f>
        <v>0</v>
      </c>
      <c r="H211" s="116">
        <f>'AVG Projected Rev 2019 with CET'!$T$211</f>
        <v>0</v>
      </c>
      <c r="I211" s="116">
        <f>HLOOKUP($I$8,RevenueScenarios,M211,FALSE)</f>
        <v>0</v>
      </c>
      <c r="J211" s="116"/>
      <c r="K211" s="116">
        <f>I211-F211</f>
        <v>0</v>
      </c>
      <c r="L211" s="116"/>
      <c r="M211" s="325">
        <f t="shared" si="7"/>
        <v>204</v>
      </c>
    </row>
    <row r="212" spans="1:13">
      <c r="A212" s="382"/>
      <c r="B212" s="728"/>
      <c r="C212" s="728"/>
      <c r="D212" s="728"/>
      <c r="F212" s="116"/>
      <c r="G212" s="116"/>
      <c r="H212" s="116"/>
      <c r="I212" s="116"/>
      <c r="J212" s="116"/>
      <c r="K212" s="116"/>
      <c r="L212" s="116"/>
      <c r="M212" s="325">
        <f t="shared" si="7"/>
        <v>205</v>
      </c>
    </row>
    <row r="213" spans="1:13">
      <c r="A213" s="382"/>
      <c r="B213" s="728"/>
      <c r="C213" s="728" t="s">
        <v>18</v>
      </c>
      <c r="D213" s="728"/>
      <c r="F213" s="116">
        <f>'Booked DEC 2017 Rev'!$T$213</f>
        <v>0</v>
      </c>
      <c r="G213" s="116">
        <f>'AVG Proj Rev 2018 with CET'!$T$213</f>
        <v>0</v>
      </c>
      <c r="H213" s="116">
        <f>'AVG Projected Rev 2019 with CET'!$T$213</f>
        <v>0</v>
      </c>
      <c r="I213" s="116">
        <f>HLOOKUP($I$8,RevenueScenarios,M213,FALSE)</f>
        <v>0</v>
      </c>
      <c r="J213" s="116"/>
      <c r="K213" s="116">
        <f>I213-F213</f>
        <v>0</v>
      </c>
      <c r="L213" s="116"/>
      <c r="M213" s="325">
        <f t="shared" si="7"/>
        <v>206</v>
      </c>
    </row>
    <row r="214" spans="1:13">
      <c r="A214" s="382"/>
      <c r="B214" s="728"/>
      <c r="C214" s="728" t="s">
        <v>19</v>
      </c>
      <c r="D214" s="728"/>
      <c r="F214" s="131">
        <f>'Booked DEC 2017 Rev'!$T$214</f>
        <v>0</v>
      </c>
      <c r="G214" s="131">
        <f>'AVG Proj Rev 2018 with CET'!$T$214</f>
        <v>0</v>
      </c>
      <c r="H214" s="131">
        <f>'AVG Projected Rev 2019 with CET'!$T$214</f>
        <v>0</v>
      </c>
      <c r="I214" s="131">
        <f>HLOOKUP($I$8,RevenueScenarios,M214,FALSE)</f>
        <v>0</v>
      </c>
      <c r="J214" s="131"/>
      <c r="K214" s="131">
        <f>I214-F214</f>
        <v>0</v>
      </c>
      <c r="L214" s="116"/>
      <c r="M214" s="325">
        <f t="shared" si="7"/>
        <v>207</v>
      </c>
    </row>
    <row r="215" spans="1:13">
      <c r="A215" s="382"/>
      <c r="B215" s="728"/>
      <c r="C215" s="728" t="s">
        <v>947</v>
      </c>
      <c r="D215" s="728"/>
      <c r="F215" s="116"/>
      <c r="G215" s="116"/>
      <c r="H215" s="116"/>
      <c r="I215" s="116"/>
      <c r="J215" s="116"/>
      <c r="K215" s="116"/>
      <c r="L215" s="116"/>
      <c r="M215" s="325">
        <f t="shared" si="7"/>
        <v>208</v>
      </c>
    </row>
    <row r="216" spans="1:13">
      <c r="A216" s="382"/>
      <c r="B216" s="728"/>
      <c r="C216" s="728" t="s">
        <v>20</v>
      </c>
      <c r="D216" s="728"/>
      <c r="F216" s="116">
        <f>'Booked DEC 2017 Rev'!$T$216</f>
        <v>0</v>
      </c>
      <c r="G216" s="116">
        <f>'AVG Proj Rev 2018 with CET'!$T$216</f>
        <v>0</v>
      </c>
      <c r="H216" s="116">
        <f>'AVG Projected Rev 2019 with CET'!$T$216</f>
        <v>0</v>
      </c>
      <c r="I216" s="116">
        <f>HLOOKUP($I$8,RevenueScenarios,M216,FALSE)</f>
        <v>0</v>
      </c>
      <c r="J216" s="116"/>
      <c r="K216" s="116">
        <f>I216-F216</f>
        <v>0</v>
      </c>
      <c r="L216" s="116"/>
      <c r="M216" s="325">
        <f t="shared" si="7"/>
        <v>209</v>
      </c>
    </row>
    <row r="217" spans="1:13">
      <c r="A217" s="382"/>
      <c r="B217" s="728"/>
      <c r="C217" s="728"/>
      <c r="D217" s="728"/>
      <c r="F217" s="116"/>
      <c r="G217" s="116"/>
      <c r="H217" s="116"/>
      <c r="I217" s="116"/>
      <c r="J217" s="116"/>
      <c r="K217" s="116"/>
      <c r="L217" s="116"/>
      <c r="M217" s="325">
        <f t="shared" si="7"/>
        <v>210</v>
      </c>
    </row>
    <row r="218" spans="1:13">
      <c r="A218" s="382"/>
      <c r="B218" s="728" t="s">
        <v>88</v>
      </c>
      <c r="C218" s="728" t="s">
        <v>16</v>
      </c>
      <c r="D218" s="728"/>
      <c r="F218" s="116">
        <f>'Booked DEC 2017 Rev'!$T$218</f>
        <v>0</v>
      </c>
      <c r="G218" s="116">
        <f>'AVG Proj Rev 2018 with CET'!$T$218</f>
        <v>0</v>
      </c>
      <c r="H218" s="116">
        <f>'AVG Projected Rev 2019 with CET'!$T$218</f>
        <v>0</v>
      </c>
      <c r="I218" s="116">
        <f>HLOOKUP($I$8,RevenueScenarios,M218,FALSE)</f>
        <v>0</v>
      </c>
      <c r="J218" s="116"/>
      <c r="K218" s="116">
        <f>I218-F218</f>
        <v>0</v>
      </c>
      <c r="L218" s="116"/>
      <c r="M218" s="325">
        <f t="shared" si="7"/>
        <v>211</v>
      </c>
    </row>
    <row r="219" spans="1:13">
      <c r="A219" s="382"/>
      <c r="B219" s="728"/>
      <c r="C219" s="728"/>
      <c r="D219" s="728"/>
      <c r="F219" s="116"/>
      <c r="G219" s="116"/>
      <c r="H219" s="116"/>
      <c r="I219" s="116"/>
      <c r="J219" s="116"/>
      <c r="K219" s="116"/>
      <c r="L219" s="116"/>
      <c r="M219" s="325">
        <f t="shared" si="7"/>
        <v>212</v>
      </c>
    </row>
    <row r="220" spans="1:13">
      <c r="A220" s="382"/>
      <c r="B220" s="728"/>
      <c r="C220" s="728" t="s">
        <v>17</v>
      </c>
      <c r="D220" s="728"/>
      <c r="F220" s="116">
        <f>'Booked DEC 2017 Rev'!$T$220</f>
        <v>0</v>
      </c>
      <c r="G220" s="116">
        <f>'AVG Proj Rev 2018 with CET'!$T$220</f>
        <v>0</v>
      </c>
      <c r="H220" s="116">
        <f>'AVG Projected Rev 2019 with CET'!$T$220</f>
        <v>0</v>
      </c>
      <c r="I220" s="116">
        <f>HLOOKUP($I$8,RevenueScenarios,M220,FALSE)</f>
        <v>0</v>
      </c>
      <c r="J220" s="116"/>
      <c r="K220" s="116">
        <f>I220-F220</f>
        <v>0</v>
      </c>
      <c r="L220" s="116"/>
      <c r="M220" s="325">
        <f t="shared" si="7"/>
        <v>213</v>
      </c>
    </row>
    <row r="221" spans="1:13">
      <c r="A221" s="382"/>
      <c r="B221" s="728"/>
      <c r="C221" s="728"/>
      <c r="D221" s="728"/>
      <c r="F221" s="116"/>
      <c r="G221" s="116"/>
      <c r="H221" s="116"/>
      <c r="I221" s="116"/>
      <c r="J221" s="116"/>
      <c r="K221" s="116"/>
      <c r="L221" s="116"/>
      <c r="M221" s="325">
        <f t="shared" si="7"/>
        <v>214</v>
      </c>
    </row>
    <row r="222" spans="1:13">
      <c r="A222" s="382"/>
      <c r="B222" s="728"/>
      <c r="C222" s="728" t="s">
        <v>18</v>
      </c>
      <c r="D222" s="728"/>
      <c r="F222" s="116">
        <f>'Booked DEC 2017 Rev'!$T$222</f>
        <v>0</v>
      </c>
      <c r="G222" s="116">
        <f>'AVG Proj Rev 2018 with CET'!$T$222</f>
        <v>0</v>
      </c>
      <c r="H222" s="116">
        <f>'AVG Projected Rev 2019 with CET'!$T$222</f>
        <v>0</v>
      </c>
      <c r="I222" s="116">
        <f>HLOOKUP($I$8,RevenueScenarios,M222,FALSE)</f>
        <v>0</v>
      </c>
      <c r="J222" s="116"/>
      <c r="K222" s="116">
        <f>I222-F222</f>
        <v>0</v>
      </c>
      <c r="L222" s="116"/>
      <c r="M222" s="325">
        <f t="shared" si="7"/>
        <v>215</v>
      </c>
    </row>
    <row r="223" spans="1:13">
      <c r="A223" s="382"/>
      <c r="B223" s="728"/>
      <c r="C223" s="728" t="s">
        <v>19</v>
      </c>
      <c r="D223" s="728"/>
      <c r="F223" s="131">
        <f>'Booked DEC 2017 Rev'!$T$223</f>
        <v>0</v>
      </c>
      <c r="G223" s="131">
        <f>'AVG Proj Rev 2018 with CET'!$T$223</f>
        <v>0</v>
      </c>
      <c r="H223" s="131">
        <f>'AVG Projected Rev 2019 with CET'!$T$223</f>
        <v>0</v>
      </c>
      <c r="I223" s="131">
        <f>HLOOKUP($I$8,RevenueScenarios,M223,FALSE)</f>
        <v>0</v>
      </c>
      <c r="J223" s="131"/>
      <c r="K223" s="131">
        <f>I223-F223</f>
        <v>0</v>
      </c>
      <c r="L223" s="116"/>
      <c r="M223" s="325">
        <f t="shared" si="7"/>
        <v>216</v>
      </c>
    </row>
    <row r="224" spans="1:13">
      <c r="A224" s="382"/>
      <c r="B224" s="728"/>
      <c r="C224" s="728" t="s">
        <v>947</v>
      </c>
      <c r="D224" s="728"/>
      <c r="F224" s="116"/>
      <c r="G224" s="116"/>
      <c r="H224" s="116"/>
      <c r="I224" s="116"/>
      <c r="J224" s="116"/>
      <c r="K224" s="116"/>
      <c r="L224" s="116"/>
      <c r="M224" s="325">
        <f t="shared" si="7"/>
        <v>217</v>
      </c>
    </row>
    <row r="225" spans="1:13">
      <c r="A225" s="382"/>
      <c r="B225" s="332"/>
      <c r="C225" s="728" t="s">
        <v>20</v>
      </c>
      <c r="D225" s="728"/>
      <c r="F225" s="116">
        <f>'Booked DEC 2017 Rev'!$T$225</f>
        <v>0</v>
      </c>
      <c r="G225" s="116">
        <f>'AVG Proj Rev 2018 with CET'!$T$225</f>
        <v>0</v>
      </c>
      <c r="H225" s="116">
        <f>'AVG Projected Rev 2019 with CET'!$T$225</f>
        <v>0</v>
      </c>
      <c r="I225" s="116">
        <f>HLOOKUP($I$8,RevenueScenarios,M225,FALSE)</f>
        <v>0</v>
      </c>
      <c r="J225" s="116"/>
      <c r="K225" s="116">
        <f>I225-F225</f>
        <v>0</v>
      </c>
      <c r="L225" s="116"/>
      <c r="M225" s="325">
        <f t="shared" si="7"/>
        <v>218</v>
      </c>
    </row>
    <row r="226" spans="1:13" ht="13.5" thickBot="1">
      <c r="A226" s="382"/>
      <c r="B226" s="332"/>
      <c r="C226" s="728"/>
      <c r="D226" s="728"/>
      <c r="F226" s="235"/>
      <c r="G226" s="235"/>
      <c r="H226" s="235"/>
      <c r="I226" s="235"/>
      <c r="J226" s="235"/>
      <c r="K226" s="235"/>
      <c r="L226" s="116"/>
      <c r="M226" s="325">
        <f t="shared" si="7"/>
        <v>219</v>
      </c>
    </row>
    <row r="227" spans="1:13" ht="13.5" thickTop="1">
      <c r="A227" s="382"/>
      <c r="B227" s="332" t="s">
        <v>544</v>
      </c>
      <c r="C227" s="728"/>
      <c r="D227" s="728"/>
      <c r="F227" s="116">
        <f>'Booked DEC 2017 Rev'!$T$227</f>
        <v>0</v>
      </c>
      <c r="G227" s="116">
        <f>'AVG Proj Rev 2018 with CET'!$T$227</f>
        <v>0</v>
      </c>
      <c r="H227" s="116">
        <f>'AVG Projected Rev 2019 with CET'!$T$227</f>
        <v>0</v>
      </c>
      <c r="I227" s="116"/>
      <c r="J227" s="116"/>
      <c r="K227" s="116">
        <f>I227-F227</f>
        <v>0</v>
      </c>
      <c r="L227" s="116"/>
      <c r="M227" s="325">
        <f t="shared" si="7"/>
        <v>220</v>
      </c>
    </row>
    <row r="228" spans="1:13">
      <c r="A228" s="382"/>
      <c r="B228" s="332"/>
      <c r="C228" s="728" t="s">
        <v>16</v>
      </c>
      <c r="D228" s="728"/>
      <c r="F228" s="116">
        <f>'Booked DEC 2017 Rev'!$T$228</f>
        <v>0</v>
      </c>
      <c r="G228" s="116">
        <f>'AVG Proj Rev 2018 with CET'!$T$228</f>
        <v>0</v>
      </c>
      <c r="H228" s="116">
        <f>'AVG Projected Rev 2019 with CET'!$T$228</f>
        <v>0</v>
      </c>
      <c r="I228" s="116">
        <f>HLOOKUP($I$8,RevenueScenarios,M228,FALSE)</f>
        <v>0</v>
      </c>
      <c r="J228" s="116"/>
      <c r="K228" s="116">
        <f>I228-F228</f>
        <v>0</v>
      </c>
      <c r="L228" s="116"/>
      <c r="M228" s="325">
        <f t="shared" si="7"/>
        <v>221</v>
      </c>
    </row>
    <row r="229" spans="1:13">
      <c r="A229" s="382"/>
      <c r="B229" s="332"/>
      <c r="C229" s="728" t="s">
        <v>17</v>
      </c>
      <c r="D229" s="728"/>
      <c r="F229" s="116">
        <f>'Booked DEC 2017 Rev'!$T$229</f>
        <v>0</v>
      </c>
      <c r="G229" s="116">
        <f>'AVG Proj Rev 2018 with CET'!$T$229</f>
        <v>0</v>
      </c>
      <c r="H229" s="116">
        <f>'AVG Projected Rev 2019 with CET'!$T$229</f>
        <v>0</v>
      </c>
      <c r="I229" s="116">
        <f>HLOOKUP($I$8,RevenueScenarios,M229,FALSE)</f>
        <v>0</v>
      </c>
      <c r="J229" s="116"/>
      <c r="K229" s="116">
        <f>I229-F229</f>
        <v>0</v>
      </c>
      <c r="L229" s="116"/>
      <c r="M229" s="325">
        <f t="shared" si="7"/>
        <v>222</v>
      </c>
    </row>
    <row r="230" spans="1:13">
      <c r="A230" s="382"/>
      <c r="B230" s="332"/>
      <c r="C230" s="728" t="s">
        <v>18</v>
      </c>
      <c r="D230" s="728"/>
      <c r="F230" s="116">
        <f>'Booked DEC 2017 Rev'!$T$230</f>
        <v>0</v>
      </c>
      <c r="G230" s="116">
        <f>'AVG Proj Rev 2018 with CET'!$T$230</f>
        <v>0</v>
      </c>
      <c r="H230" s="116">
        <f>'AVG Projected Rev 2019 with CET'!$T$230</f>
        <v>0</v>
      </c>
      <c r="I230" s="116">
        <f>HLOOKUP($I$8,RevenueScenarios,M230,FALSE)</f>
        <v>0</v>
      </c>
      <c r="J230" s="116"/>
      <c r="K230" s="116">
        <f>I230-F230</f>
        <v>0</v>
      </c>
      <c r="L230" s="116"/>
      <c r="M230" s="325">
        <f t="shared" si="7"/>
        <v>223</v>
      </c>
    </row>
    <row r="231" spans="1:13">
      <c r="A231" s="382"/>
      <c r="B231" s="728"/>
      <c r="C231" s="728" t="s">
        <v>461</v>
      </c>
      <c r="D231" s="728"/>
      <c r="F231" s="131">
        <f>'Booked DEC 2017 Rev'!$T$231</f>
        <v>0</v>
      </c>
      <c r="G231" s="131">
        <f>'AVG Proj Rev 2018 with CET'!$T$231</f>
        <v>0</v>
      </c>
      <c r="H231" s="131">
        <f>'AVG Projected Rev 2019 with CET'!$T$231</f>
        <v>0</v>
      </c>
      <c r="I231" s="131">
        <f>HLOOKUP($I$8,RevenueScenarios,M231,FALSE)</f>
        <v>0</v>
      </c>
      <c r="J231" s="131"/>
      <c r="K231" s="131">
        <f>I231-F231</f>
        <v>0</v>
      </c>
      <c r="L231" s="116"/>
      <c r="M231" s="325">
        <f t="shared" si="7"/>
        <v>224</v>
      </c>
    </row>
    <row r="232" spans="1:13">
      <c r="A232" s="868"/>
      <c r="B232" s="332"/>
      <c r="C232" s="728" t="s">
        <v>947</v>
      </c>
      <c r="D232" s="728"/>
      <c r="F232" s="116"/>
      <c r="G232" s="116"/>
      <c r="H232" s="116"/>
      <c r="I232" s="116"/>
      <c r="J232" s="116"/>
      <c r="K232" s="116"/>
      <c r="L232" s="116"/>
      <c r="M232" s="325">
        <f t="shared" si="7"/>
        <v>225</v>
      </c>
    </row>
    <row r="233" spans="1:13">
      <c r="A233" s="382"/>
      <c r="B233" s="728"/>
      <c r="C233" s="728" t="s">
        <v>59</v>
      </c>
      <c r="D233" s="728"/>
      <c r="F233" s="116">
        <f>'Booked DEC 2017 Rev'!$T$233</f>
        <v>0</v>
      </c>
      <c r="G233" s="116">
        <f>'AVG Proj Rev 2018 with CET'!$T$233</f>
        <v>0</v>
      </c>
      <c r="H233" s="116">
        <f>'AVG Projected Rev 2019 with CET'!$T$233</f>
        <v>0</v>
      </c>
      <c r="I233" s="116">
        <f>HLOOKUP($I$8,RevenueScenarios,M233,FALSE)</f>
        <v>0</v>
      </c>
      <c r="J233" s="116"/>
      <c r="K233" s="116">
        <f>I233-F233</f>
        <v>0</v>
      </c>
      <c r="L233" s="116"/>
      <c r="M233" s="325">
        <f t="shared" si="7"/>
        <v>226</v>
      </c>
    </row>
    <row r="234" spans="1:13">
      <c r="A234" s="869"/>
      <c r="B234" s="728"/>
      <c r="C234" s="728" t="s">
        <v>60</v>
      </c>
      <c r="D234" s="728"/>
      <c r="F234" s="116">
        <f>'Booked DEC 2017 Rev'!$T$234</f>
        <v>0</v>
      </c>
      <c r="G234" s="116">
        <f>'AVG Proj Rev 2018 with CET'!$T$234</f>
        <v>0</v>
      </c>
      <c r="H234" s="116">
        <f>'AVG Projected Rev 2019 with CET'!$T$234</f>
        <v>0</v>
      </c>
      <c r="I234" s="116">
        <f>HLOOKUP($I$8,RevenueScenarios,M234,FALSE)</f>
        <v>0</v>
      </c>
      <c r="J234" s="116"/>
      <c r="K234" s="116">
        <f>I234-F234</f>
        <v>0</v>
      </c>
      <c r="L234" s="116"/>
      <c r="M234" s="325">
        <f t="shared" si="7"/>
        <v>227</v>
      </c>
    </row>
    <row r="235" spans="1:13">
      <c r="A235" s="869"/>
      <c r="B235" s="728"/>
      <c r="C235" s="728" t="s">
        <v>462</v>
      </c>
      <c r="D235" s="728"/>
      <c r="F235" s="131">
        <f>'Booked DEC 2017 Rev'!$T$235</f>
        <v>0</v>
      </c>
      <c r="G235" s="131">
        <f>'AVG Proj Rev 2018 with CET'!$T$235</f>
        <v>0</v>
      </c>
      <c r="H235" s="131">
        <f>'AVG Projected Rev 2019 with CET'!$T$235</f>
        <v>0</v>
      </c>
      <c r="I235" s="131">
        <f>HLOOKUP($I$8,RevenueScenarios,M235,FALSE)</f>
        <v>0</v>
      </c>
      <c r="J235" s="131"/>
      <c r="K235" s="131">
        <f>I235-F235</f>
        <v>0</v>
      </c>
      <c r="L235" s="116"/>
      <c r="M235" s="325">
        <f t="shared" si="7"/>
        <v>228</v>
      </c>
    </row>
    <row r="236" spans="1:13">
      <c r="A236" s="868" t="s">
        <v>24</v>
      </c>
      <c r="D236" s="728"/>
      <c r="F236" s="116"/>
      <c r="G236" s="116"/>
      <c r="H236" s="116"/>
      <c r="I236" s="116"/>
      <c r="J236" s="116"/>
      <c r="K236" s="116"/>
      <c r="L236" s="116"/>
      <c r="M236" s="325">
        <f t="shared" si="7"/>
        <v>229</v>
      </c>
    </row>
    <row r="237" spans="1:13">
      <c r="A237" s="868"/>
      <c r="F237" s="116"/>
      <c r="G237" s="116"/>
      <c r="H237" s="116"/>
      <c r="I237" s="116"/>
      <c r="J237" s="116"/>
      <c r="K237" s="116"/>
      <c r="L237" s="116"/>
      <c r="M237" s="325">
        <f t="shared" si="7"/>
        <v>230</v>
      </c>
    </row>
    <row r="238" spans="1:13">
      <c r="B238" s="728" t="s">
        <v>15</v>
      </c>
      <c r="C238" s="728" t="s">
        <v>16</v>
      </c>
      <c r="D238" s="332" t="s">
        <v>946</v>
      </c>
      <c r="F238" s="116">
        <f>'Booked DEC 2017 Rev'!$T$238</f>
        <v>12201566</v>
      </c>
      <c r="G238" s="116">
        <f>'AVG Proj Rev 2018 with CET'!$T$238</f>
        <v>16624532.299999999</v>
      </c>
      <c r="H238" s="116">
        <f>'AVG Projected Rev 2019 with CET'!$T$238</f>
        <v>16387268.370000001</v>
      </c>
      <c r="I238" s="116">
        <f>HLOOKUP($I$8,RevenueScenarios,M238,FALSE)</f>
        <v>16387268.370000001</v>
      </c>
      <c r="J238" s="116"/>
      <c r="K238" s="116">
        <f>I238-F238</f>
        <v>4185702.370000001</v>
      </c>
      <c r="L238" s="116"/>
      <c r="M238" s="325">
        <f t="shared" si="7"/>
        <v>231</v>
      </c>
    </row>
    <row r="239" spans="1:13">
      <c r="B239" s="728"/>
      <c r="C239" s="728"/>
      <c r="D239" s="332" t="s">
        <v>946</v>
      </c>
      <c r="F239" s="116"/>
      <c r="G239" s="116"/>
      <c r="H239" s="116"/>
      <c r="I239" s="116"/>
      <c r="J239" s="116"/>
      <c r="K239" s="116"/>
      <c r="L239" s="116"/>
      <c r="M239" s="325">
        <f t="shared" si="7"/>
        <v>232</v>
      </c>
    </row>
    <row r="240" spans="1:13">
      <c r="A240" s="868" t="s">
        <v>945</v>
      </c>
      <c r="B240" s="332"/>
      <c r="C240" s="728" t="s">
        <v>17</v>
      </c>
      <c r="D240" s="332" t="s">
        <v>946</v>
      </c>
      <c r="F240" s="116"/>
      <c r="G240" s="116"/>
      <c r="H240" s="116"/>
      <c r="I240" s="116"/>
      <c r="J240" s="116"/>
      <c r="K240" s="116"/>
      <c r="L240" s="116"/>
      <c r="M240" s="325">
        <f t="shared" si="7"/>
        <v>233</v>
      </c>
    </row>
    <row r="241" spans="1:13">
      <c r="A241" s="868" t="s">
        <v>945</v>
      </c>
      <c r="B241" s="332"/>
      <c r="C241" s="728"/>
      <c r="D241" s="332" t="s">
        <v>946</v>
      </c>
      <c r="F241" s="116"/>
      <c r="G241" s="116"/>
      <c r="H241" s="116"/>
      <c r="I241" s="116"/>
      <c r="J241" s="116"/>
      <c r="K241" s="116"/>
      <c r="L241" s="116"/>
      <c r="M241" s="325">
        <f t="shared" si="7"/>
        <v>234</v>
      </c>
    </row>
    <row r="242" spans="1:13">
      <c r="A242" s="868" t="s">
        <v>945</v>
      </c>
      <c r="B242" s="728"/>
      <c r="C242" s="728" t="s">
        <v>18</v>
      </c>
      <c r="D242" s="332" t="s">
        <v>946</v>
      </c>
      <c r="F242" s="116">
        <f>'Booked DEC 2017 Rev'!$T$242</f>
        <v>17122316</v>
      </c>
      <c r="G242" s="116">
        <f>'AVG Proj Rev 2018 with CET'!$T$242</f>
        <v>16134765.069999997</v>
      </c>
      <c r="H242" s="116">
        <f>'AVG Projected Rev 2019 with CET'!$T$242</f>
        <v>16013605.689999999</v>
      </c>
      <c r="I242" s="116">
        <f>HLOOKUP($I$8,RevenueScenarios,M242,FALSE)</f>
        <v>16013605.689999999</v>
      </c>
      <c r="J242" s="116"/>
      <c r="K242" s="116">
        <f>I242-F242</f>
        <v>-1108710.3100000005</v>
      </c>
      <c r="L242" s="116"/>
      <c r="M242" s="325">
        <f t="shared" si="7"/>
        <v>235</v>
      </c>
    </row>
    <row r="243" spans="1:13">
      <c r="A243" s="868" t="s">
        <v>945</v>
      </c>
      <c r="B243" s="332"/>
      <c r="C243" s="728" t="s">
        <v>19</v>
      </c>
      <c r="D243" s="332" t="s">
        <v>946</v>
      </c>
      <c r="F243" s="131">
        <f>'Booked DEC 2017 Rev'!$T$243</f>
        <v>29323882</v>
      </c>
      <c r="G243" s="131">
        <f>'AVG Proj Rev 2018 with CET'!$T$243</f>
        <v>32759297.369999997</v>
      </c>
      <c r="H243" s="131">
        <f>'AVG Projected Rev 2019 with CET'!$T$243</f>
        <v>32400874.060000002</v>
      </c>
      <c r="I243" s="131">
        <f>HLOOKUP($I$8,RevenueScenarios,M243,FALSE)</f>
        <v>32400874.060000002</v>
      </c>
      <c r="J243" s="131"/>
      <c r="K243" s="131">
        <f>I243-F243</f>
        <v>3076992.0600000024</v>
      </c>
      <c r="L243" s="116"/>
      <c r="M243" s="325">
        <f t="shared" si="7"/>
        <v>236</v>
      </c>
    </row>
    <row r="244" spans="1:13">
      <c r="A244" s="868" t="s">
        <v>945</v>
      </c>
      <c r="B244" s="332"/>
      <c r="C244" s="728" t="s">
        <v>947</v>
      </c>
      <c r="D244" s="332" t="s">
        <v>946</v>
      </c>
      <c r="F244" s="116"/>
      <c r="G244" s="116"/>
      <c r="H244" s="116"/>
      <c r="I244" s="116"/>
      <c r="J244" s="116"/>
      <c r="K244" s="116"/>
      <c r="L244" s="116"/>
      <c r="M244" s="325">
        <f t="shared" si="7"/>
        <v>237</v>
      </c>
    </row>
    <row r="245" spans="1:13">
      <c r="A245" s="868"/>
      <c r="B245" s="332"/>
      <c r="C245" s="728" t="s">
        <v>20</v>
      </c>
      <c r="D245" s="332" t="s">
        <v>946</v>
      </c>
      <c r="F245" s="116">
        <f>'Booked DEC 2017 Rev'!$T$245</f>
        <v>3395528</v>
      </c>
      <c r="G245" s="116">
        <f>'AVG Proj Rev 2018 with CET'!$T$245</f>
        <v>3579736</v>
      </c>
      <c r="H245" s="116">
        <f>'AVG Projected Rev 2019 with CET'!$T$245</f>
        <v>3552855</v>
      </c>
      <c r="I245" s="116">
        <f>HLOOKUP($I$8,RevenueScenarios,M245,FALSE)</f>
        <v>3552855</v>
      </c>
      <c r="J245" s="116"/>
      <c r="K245" s="116">
        <f>I245-F245</f>
        <v>157327</v>
      </c>
      <c r="L245" s="116"/>
      <c r="M245" s="325">
        <f t="shared" si="7"/>
        <v>238</v>
      </c>
    </row>
    <row r="246" spans="1:13">
      <c r="A246" s="868"/>
      <c r="B246" s="332"/>
      <c r="C246" s="332"/>
      <c r="D246" s="332"/>
      <c r="F246" s="116"/>
      <c r="G246" s="116"/>
      <c r="H246" s="116"/>
      <c r="I246" s="116"/>
      <c r="J246" s="116"/>
      <c r="K246" s="116"/>
      <c r="L246" s="116"/>
      <c r="M246" s="325">
        <f t="shared" si="7"/>
        <v>239</v>
      </c>
    </row>
    <row r="247" spans="1:13">
      <c r="A247" s="868" t="s">
        <v>945</v>
      </c>
      <c r="B247" s="332" t="s">
        <v>960</v>
      </c>
      <c r="C247" s="728" t="s">
        <v>16</v>
      </c>
      <c r="D247" s="332" t="s">
        <v>946</v>
      </c>
      <c r="F247" s="116">
        <f>'Booked DEC 2017 Rev'!$T$247</f>
        <v>167408</v>
      </c>
      <c r="G247" s="116">
        <f>'AVG Proj Rev 2018 with CET'!$T$247</f>
        <v>159342.73000000001</v>
      </c>
      <c r="H247" s="116">
        <f>'AVG Projected Rev 2019 with CET'!$T$247</f>
        <v>154975.35999999999</v>
      </c>
      <c r="I247" s="116">
        <f>HLOOKUP($I$8,RevenueScenarios,M247,FALSE)</f>
        <v>154975.35999999999</v>
      </c>
      <c r="J247" s="116"/>
      <c r="K247" s="116">
        <f>I247-F247</f>
        <v>-12432.640000000014</v>
      </c>
      <c r="L247" s="116"/>
      <c r="M247" s="325">
        <f t="shared" si="7"/>
        <v>240</v>
      </c>
    </row>
    <row r="248" spans="1:13">
      <c r="A248" s="868" t="s">
        <v>945</v>
      </c>
      <c r="B248" s="728"/>
      <c r="C248" s="728"/>
      <c r="D248" s="332" t="s">
        <v>946</v>
      </c>
      <c r="F248" s="116"/>
      <c r="G248" s="116"/>
      <c r="H248" s="116"/>
      <c r="I248" s="116"/>
      <c r="J248" s="116"/>
      <c r="K248" s="116"/>
      <c r="L248" s="116"/>
      <c r="M248" s="325">
        <f t="shared" si="7"/>
        <v>241</v>
      </c>
    </row>
    <row r="249" spans="1:13">
      <c r="A249" s="868" t="s">
        <v>945</v>
      </c>
      <c r="B249" s="332"/>
      <c r="C249" s="728" t="s">
        <v>17</v>
      </c>
      <c r="D249" s="332" t="s">
        <v>946</v>
      </c>
      <c r="F249" s="116"/>
      <c r="G249" s="116"/>
      <c r="H249" s="116"/>
      <c r="I249" s="116"/>
      <c r="J249" s="116"/>
      <c r="K249" s="116"/>
      <c r="L249" s="116"/>
      <c r="M249" s="325">
        <f t="shared" si="7"/>
        <v>242</v>
      </c>
    </row>
    <row r="250" spans="1:13">
      <c r="A250" s="868" t="s">
        <v>945</v>
      </c>
      <c r="B250" s="332"/>
      <c r="C250" s="728"/>
      <c r="D250" s="332" t="s">
        <v>946</v>
      </c>
      <c r="F250" s="116"/>
      <c r="G250" s="116"/>
      <c r="H250" s="116"/>
      <c r="I250" s="116"/>
      <c r="J250" s="116"/>
      <c r="K250" s="116"/>
      <c r="L250" s="116"/>
      <c r="M250" s="325">
        <f t="shared" si="7"/>
        <v>243</v>
      </c>
    </row>
    <row r="251" spans="1:13">
      <c r="A251" s="868" t="s">
        <v>945</v>
      </c>
      <c r="B251" s="332"/>
      <c r="C251" s="728" t="s">
        <v>18</v>
      </c>
      <c r="D251" s="332" t="s">
        <v>946</v>
      </c>
      <c r="F251" s="116">
        <f>'Booked DEC 2017 Rev'!$T$251</f>
        <v>859949</v>
      </c>
      <c r="G251" s="116">
        <f>'AVG Proj Rev 2018 with CET'!$T$251</f>
        <v>776774.95</v>
      </c>
      <c r="H251" s="116">
        <f>'AVG Projected Rev 2019 with CET'!$T$251</f>
        <v>776774.95</v>
      </c>
      <c r="I251" s="116">
        <f>HLOOKUP($I$8,RevenueScenarios,M251,FALSE)</f>
        <v>776774.95</v>
      </c>
      <c r="J251" s="116"/>
      <c r="K251" s="116">
        <f>I251-F251</f>
        <v>-83174.050000000047</v>
      </c>
      <c r="L251" s="116"/>
      <c r="M251" s="325">
        <f t="shared" si="7"/>
        <v>244</v>
      </c>
    </row>
    <row r="252" spans="1:13">
      <c r="A252" s="868" t="s">
        <v>945</v>
      </c>
      <c r="B252" s="332"/>
      <c r="C252" s="728" t="s">
        <v>19</v>
      </c>
      <c r="D252" s="332" t="s">
        <v>946</v>
      </c>
      <c r="F252" s="131">
        <f>'Booked DEC 2017 Rev'!$T$252</f>
        <v>1027357</v>
      </c>
      <c r="G252" s="131">
        <f>'AVG Proj Rev 2018 with CET'!$T$252</f>
        <v>936117.67999999982</v>
      </c>
      <c r="H252" s="131">
        <f>'AVG Projected Rev 2019 with CET'!$T$252</f>
        <v>931750.31</v>
      </c>
      <c r="I252" s="131">
        <f>HLOOKUP($I$8,RevenueScenarios,M252,FALSE)</f>
        <v>931750.31</v>
      </c>
      <c r="J252" s="131"/>
      <c r="K252" s="131">
        <f>I252-F252</f>
        <v>-95606.689999999944</v>
      </c>
      <c r="L252" s="116"/>
      <c r="M252" s="325">
        <f t="shared" si="7"/>
        <v>245</v>
      </c>
    </row>
    <row r="253" spans="1:13">
      <c r="A253" s="868" t="s">
        <v>945</v>
      </c>
      <c r="B253" s="728"/>
      <c r="C253" s="728" t="s">
        <v>947</v>
      </c>
      <c r="D253" s="332" t="s">
        <v>946</v>
      </c>
      <c r="F253" s="116"/>
      <c r="G253" s="116"/>
      <c r="H253" s="116"/>
      <c r="I253" s="116"/>
      <c r="J253" s="116"/>
      <c r="K253" s="116"/>
      <c r="L253" s="116"/>
      <c r="M253" s="325">
        <f t="shared" si="7"/>
        <v>246</v>
      </c>
    </row>
    <row r="254" spans="1:13">
      <c r="A254" s="868" t="s">
        <v>945</v>
      </c>
      <c r="B254" s="332"/>
      <c r="C254" s="728" t="s">
        <v>20</v>
      </c>
      <c r="D254" s="332" t="s">
        <v>946</v>
      </c>
      <c r="F254" s="116">
        <f>'Booked DEC 2017 Rev'!$T$254</f>
        <v>171161</v>
      </c>
      <c r="G254" s="116">
        <f>'AVG Proj Rev 2018 with CET'!$T$254</f>
        <v>172339</v>
      </c>
      <c r="H254" s="116">
        <f>'AVG Projected Rev 2019 with CET'!$T$254</f>
        <v>172339</v>
      </c>
      <c r="I254" s="116">
        <f>HLOOKUP($I$8,RevenueScenarios,M254,FALSE)</f>
        <v>172339</v>
      </c>
      <c r="J254" s="116"/>
      <c r="K254" s="116">
        <f>I254-F254</f>
        <v>1178</v>
      </c>
      <c r="L254" s="116"/>
      <c r="M254" s="325">
        <f t="shared" si="7"/>
        <v>247</v>
      </c>
    </row>
    <row r="255" spans="1:13">
      <c r="A255" s="868" t="s">
        <v>945</v>
      </c>
      <c r="B255" s="332"/>
      <c r="C255" s="114"/>
      <c r="D255" s="332"/>
      <c r="F255" s="116"/>
      <c r="G255" s="116"/>
      <c r="H255" s="116"/>
      <c r="I255" s="116"/>
      <c r="J255" s="116"/>
      <c r="K255" s="116"/>
      <c r="L255" s="116"/>
      <c r="M255" s="325">
        <f t="shared" si="7"/>
        <v>248</v>
      </c>
    </row>
    <row r="256" spans="1:13">
      <c r="A256" s="868" t="s">
        <v>945</v>
      </c>
      <c r="B256" s="332" t="s">
        <v>810</v>
      </c>
      <c r="C256" s="728" t="s">
        <v>16</v>
      </c>
      <c r="D256" s="332" t="s">
        <v>946</v>
      </c>
      <c r="F256" s="116">
        <f>'Booked DEC 2017 Rev'!$T$256</f>
        <v>61516.109690600002</v>
      </c>
      <c r="G256" s="116">
        <f>'AVG Proj Rev 2018 with CET'!$T$256</f>
        <v>44484.78</v>
      </c>
      <c r="H256" s="116">
        <f>'AVG Projected Rev 2019 with CET'!$T$256</f>
        <v>32937.399999999994</v>
      </c>
      <c r="I256" s="116">
        <f>HLOOKUP($I$8,RevenueScenarios,M256,FALSE)</f>
        <v>32937.399999999994</v>
      </c>
      <c r="J256" s="116"/>
      <c r="K256" s="116">
        <f>I256-F256</f>
        <v>-28578.709690600008</v>
      </c>
      <c r="L256" s="116"/>
      <c r="M256" s="325">
        <f t="shared" si="7"/>
        <v>249</v>
      </c>
    </row>
    <row r="257" spans="1:13">
      <c r="A257" s="868" t="s">
        <v>945</v>
      </c>
      <c r="B257" s="728"/>
      <c r="C257" s="728"/>
      <c r="D257" s="332" t="s">
        <v>946</v>
      </c>
      <c r="F257" s="116"/>
      <c r="G257" s="116"/>
      <c r="H257" s="116"/>
      <c r="I257" s="116"/>
      <c r="J257" s="116"/>
      <c r="K257" s="116"/>
      <c r="L257" s="116"/>
      <c r="M257" s="325">
        <f t="shared" si="7"/>
        <v>250</v>
      </c>
    </row>
    <row r="258" spans="1:13">
      <c r="A258" s="868" t="s">
        <v>945</v>
      </c>
      <c r="B258" s="332"/>
      <c r="C258" s="728" t="s">
        <v>17</v>
      </c>
      <c r="D258" s="332" t="s">
        <v>946</v>
      </c>
      <c r="F258" s="116"/>
      <c r="G258" s="116"/>
      <c r="H258" s="116"/>
      <c r="I258" s="116"/>
      <c r="J258" s="116"/>
      <c r="K258" s="116"/>
      <c r="L258" s="116"/>
      <c r="M258" s="325">
        <f t="shared" si="7"/>
        <v>251</v>
      </c>
    </row>
    <row r="259" spans="1:13">
      <c r="A259" s="868" t="s">
        <v>945</v>
      </c>
      <c r="B259" s="332"/>
      <c r="C259" s="728"/>
      <c r="D259" s="332" t="s">
        <v>946</v>
      </c>
      <c r="F259" s="116"/>
      <c r="G259" s="116"/>
      <c r="H259" s="116"/>
      <c r="I259" s="116"/>
      <c r="J259" s="116"/>
      <c r="K259" s="116"/>
      <c r="L259" s="116"/>
      <c r="M259" s="325">
        <f t="shared" si="7"/>
        <v>252</v>
      </c>
    </row>
    <row r="260" spans="1:13">
      <c r="A260" s="868" t="s">
        <v>945</v>
      </c>
      <c r="B260" s="332"/>
      <c r="C260" s="728" t="s">
        <v>18</v>
      </c>
      <c r="D260" s="332" t="s">
        <v>946</v>
      </c>
      <c r="F260" s="116">
        <f>'Booked DEC 2017 Rev'!$T$260</f>
        <v>34019.620309400001</v>
      </c>
      <c r="G260" s="116">
        <f>'AVG Proj Rev 2018 with CET'!$T$260</f>
        <v>24429.3</v>
      </c>
      <c r="H260" s="116">
        <f>'AVG Projected Rev 2019 with CET'!$T$260</f>
        <v>19543.440000000002</v>
      </c>
      <c r="I260" s="116">
        <f>HLOOKUP($I$8,RevenueScenarios,M260,FALSE)</f>
        <v>19543.440000000002</v>
      </c>
      <c r="J260" s="116"/>
      <c r="K260" s="116">
        <f>I260-F260</f>
        <v>-14476.180309399999</v>
      </c>
      <c r="L260" s="116"/>
      <c r="M260" s="325">
        <f t="shared" si="7"/>
        <v>253</v>
      </c>
    </row>
    <row r="261" spans="1:13">
      <c r="A261" s="868" t="s">
        <v>945</v>
      </c>
      <c r="B261" s="332"/>
      <c r="C261" s="728" t="s">
        <v>19</v>
      </c>
      <c r="D261" s="332" t="s">
        <v>946</v>
      </c>
      <c r="F261" s="131">
        <f>'Booked DEC 2017 Rev'!$T$261</f>
        <v>95535.73000000001</v>
      </c>
      <c r="G261" s="131">
        <f>'AVG Proj Rev 2018 with CET'!$T$261</f>
        <v>68914.080000000002</v>
      </c>
      <c r="H261" s="131">
        <f>'AVG Projected Rev 2019 with CET'!$T$261</f>
        <v>52480.84</v>
      </c>
      <c r="I261" s="131">
        <f>HLOOKUP($I$8,RevenueScenarios,M261,FALSE)</f>
        <v>52480.84</v>
      </c>
      <c r="J261" s="131"/>
      <c r="K261" s="131">
        <f>I261-F261</f>
        <v>-43054.890000000014</v>
      </c>
      <c r="L261" s="116"/>
      <c r="M261" s="325">
        <f t="shared" si="7"/>
        <v>254</v>
      </c>
    </row>
    <row r="262" spans="1:13">
      <c r="A262" s="868" t="s">
        <v>945</v>
      </c>
      <c r="B262" s="728"/>
      <c r="C262" s="728" t="s">
        <v>947</v>
      </c>
      <c r="D262" s="332" t="s">
        <v>946</v>
      </c>
      <c r="F262" s="116"/>
      <c r="G262" s="116"/>
      <c r="H262" s="116"/>
      <c r="I262" s="116"/>
      <c r="J262" s="116"/>
      <c r="K262" s="116"/>
      <c r="L262" s="116"/>
      <c r="M262" s="325">
        <f t="shared" si="7"/>
        <v>255</v>
      </c>
    </row>
    <row r="263" spans="1:13">
      <c r="A263" s="868" t="s">
        <v>945</v>
      </c>
      <c r="B263" s="332"/>
      <c r="C263" s="728" t="s">
        <v>20</v>
      </c>
      <c r="D263" s="332" t="s">
        <v>946</v>
      </c>
      <c r="F263" s="116">
        <f>'Booked DEC 2017 Rev'!$T$263</f>
        <v>6776.8700000000008</v>
      </c>
      <c r="G263" s="116">
        <f>'AVG Proj Rev 2018 with CET'!$T$263</f>
        <v>5420</v>
      </c>
      <c r="H263" s="116">
        <f>'AVG Projected Rev 2019 with CET'!$T$263</f>
        <v>4336</v>
      </c>
      <c r="I263" s="116">
        <f>HLOOKUP($I$8,RevenueScenarios,M263,FALSE)</f>
        <v>4336</v>
      </c>
      <c r="J263" s="116"/>
      <c r="K263" s="116">
        <f>I263-F263</f>
        <v>-2440.8700000000008</v>
      </c>
      <c r="L263" s="116"/>
      <c r="M263" s="325">
        <f t="shared" si="7"/>
        <v>256</v>
      </c>
    </row>
    <row r="264" spans="1:13">
      <c r="A264" s="868" t="s">
        <v>945</v>
      </c>
      <c r="B264" s="332"/>
      <c r="C264" s="332"/>
      <c r="D264" s="332"/>
      <c r="F264" s="116"/>
      <c r="G264" s="116"/>
      <c r="H264" s="116"/>
      <c r="I264" s="116"/>
      <c r="J264" s="116"/>
      <c r="K264" s="116"/>
      <c r="L264" s="116"/>
      <c r="M264" s="325">
        <f t="shared" si="7"/>
        <v>257</v>
      </c>
    </row>
    <row r="265" spans="1:13">
      <c r="A265" s="868" t="s">
        <v>945</v>
      </c>
      <c r="B265" s="332" t="s">
        <v>765</v>
      </c>
      <c r="C265" s="728" t="s">
        <v>16</v>
      </c>
      <c r="D265" s="332" t="s">
        <v>946</v>
      </c>
      <c r="F265" s="116">
        <f>'Booked DEC 2017 Rev'!$T$265</f>
        <v>0</v>
      </c>
      <c r="G265" s="116">
        <f>'AVG Proj Rev 2018 with CET'!$T$265</f>
        <v>0</v>
      </c>
      <c r="H265" s="116">
        <f>'AVG Projected Rev 2019 with CET'!$T$265</f>
        <v>0</v>
      </c>
      <c r="I265" s="116">
        <f>HLOOKUP($I$8,RevenueScenarios,M265,FALSE)</f>
        <v>0</v>
      </c>
      <c r="J265" s="116"/>
      <c r="K265" s="116">
        <f>I265-F265</f>
        <v>0</v>
      </c>
      <c r="L265" s="116"/>
      <c r="M265" s="325">
        <f t="shared" si="7"/>
        <v>258</v>
      </c>
    </row>
    <row r="266" spans="1:13" ht="12.75" customHeight="1">
      <c r="A266" s="868" t="s">
        <v>945</v>
      </c>
      <c r="B266" s="728"/>
      <c r="C266" s="728"/>
      <c r="D266" s="332" t="s">
        <v>946</v>
      </c>
      <c r="F266" s="116"/>
      <c r="G266" s="116"/>
      <c r="H266" s="116"/>
      <c r="I266" s="116"/>
      <c r="J266" s="116"/>
      <c r="K266" s="116"/>
      <c r="L266" s="116"/>
      <c r="M266" s="325">
        <f t="shared" ref="M266:M280" si="11">+M265+1</f>
        <v>259</v>
      </c>
    </row>
    <row r="267" spans="1:13">
      <c r="A267" s="868" t="s">
        <v>945</v>
      </c>
      <c r="B267" s="332"/>
      <c r="C267" s="728" t="s">
        <v>17</v>
      </c>
      <c r="D267" s="332" t="s">
        <v>946</v>
      </c>
      <c r="F267" s="116"/>
      <c r="G267" s="116"/>
      <c r="H267" s="116"/>
      <c r="I267" s="116"/>
      <c r="J267" s="116"/>
      <c r="K267" s="116"/>
      <c r="L267" s="116"/>
      <c r="M267" s="325">
        <f t="shared" si="11"/>
        <v>260</v>
      </c>
    </row>
    <row r="268" spans="1:13">
      <c r="A268" s="868" t="s">
        <v>945</v>
      </c>
      <c r="B268" s="332"/>
      <c r="C268" s="728"/>
      <c r="D268" s="332" t="s">
        <v>946</v>
      </c>
      <c r="F268" s="116"/>
      <c r="G268" s="116"/>
      <c r="H268" s="116"/>
      <c r="I268" s="116"/>
      <c r="J268" s="116"/>
      <c r="K268" s="116"/>
      <c r="L268" s="116"/>
      <c r="M268" s="325">
        <f t="shared" si="11"/>
        <v>261</v>
      </c>
    </row>
    <row r="269" spans="1:13">
      <c r="A269" s="868" t="s">
        <v>945</v>
      </c>
      <c r="B269" s="332"/>
      <c r="C269" s="728" t="s">
        <v>18</v>
      </c>
      <c r="D269" s="332" t="s">
        <v>946</v>
      </c>
      <c r="F269" s="116">
        <f>'Booked DEC 2017 Rev'!$T$269</f>
        <v>0</v>
      </c>
      <c r="G269" s="116">
        <f>'AVG Proj Rev 2018 with CET'!$T$269</f>
        <v>0</v>
      </c>
      <c r="H269" s="116">
        <f>'AVG Projected Rev 2019 with CET'!$T$269</f>
        <v>0</v>
      </c>
      <c r="I269" s="116">
        <f>HLOOKUP($I$8,RevenueScenarios,M269,FALSE)</f>
        <v>0</v>
      </c>
      <c r="J269" s="116"/>
      <c r="K269" s="116">
        <f>I269-F269</f>
        <v>0</v>
      </c>
      <c r="L269" s="116"/>
      <c r="M269" s="325">
        <f t="shared" si="11"/>
        <v>262</v>
      </c>
    </row>
    <row r="270" spans="1:13">
      <c r="A270" s="868" t="s">
        <v>945</v>
      </c>
      <c r="B270" s="332"/>
      <c r="C270" s="728" t="s">
        <v>19</v>
      </c>
      <c r="D270" s="332" t="s">
        <v>946</v>
      </c>
      <c r="F270" s="131">
        <f>'Booked DEC 2017 Rev'!$T$270</f>
        <v>0</v>
      </c>
      <c r="G270" s="131">
        <f>'AVG Proj Rev 2018 with CET'!$T$270</f>
        <v>0</v>
      </c>
      <c r="H270" s="131">
        <f>'AVG Projected Rev 2019 with CET'!$T$270</f>
        <v>0</v>
      </c>
      <c r="I270" s="131">
        <f>HLOOKUP($I$8,RevenueScenarios,M270,FALSE)</f>
        <v>0</v>
      </c>
      <c r="J270" s="131"/>
      <c r="K270" s="131">
        <f>I270-F270</f>
        <v>0</v>
      </c>
      <c r="L270" s="116"/>
      <c r="M270" s="325">
        <f t="shared" si="11"/>
        <v>263</v>
      </c>
    </row>
    <row r="271" spans="1:13">
      <c r="A271" s="868" t="s">
        <v>945</v>
      </c>
      <c r="B271" s="728"/>
      <c r="C271" s="728" t="s">
        <v>947</v>
      </c>
      <c r="D271" s="332" t="s">
        <v>946</v>
      </c>
      <c r="F271" s="116"/>
      <c r="G271" s="116"/>
      <c r="H271" s="116"/>
      <c r="I271" s="116"/>
      <c r="J271" s="116"/>
      <c r="K271" s="116"/>
      <c r="L271" s="116"/>
      <c r="M271" s="325">
        <f t="shared" si="11"/>
        <v>264</v>
      </c>
    </row>
    <row r="272" spans="1:13">
      <c r="A272" s="868" t="s">
        <v>945</v>
      </c>
      <c r="B272" s="332"/>
      <c r="C272" s="728" t="s">
        <v>20</v>
      </c>
      <c r="D272" s="332" t="s">
        <v>946</v>
      </c>
      <c r="F272" s="116">
        <f>'Booked DEC 2017 Rev'!$T$272</f>
        <v>0</v>
      </c>
      <c r="G272" s="116">
        <f>'AVG Proj Rev 2018 with CET'!$T$272</f>
        <v>0</v>
      </c>
      <c r="H272" s="116">
        <f>'AVG Projected Rev 2019 with CET'!$T$272</f>
        <v>0</v>
      </c>
      <c r="I272" s="116">
        <f>HLOOKUP($I$8,RevenueScenarios,M272,FALSE)</f>
        <v>0</v>
      </c>
      <c r="J272" s="116"/>
      <c r="K272" s="116">
        <f>I272-F272</f>
        <v>0</v>
      </c>
      <c r="L272" s="116"/>
      <c r="M272" s="325">
        <f t="shared" si="11"/>
        <v>265</v>
      </c>
    </row>
    <row r="273" spans="1:13">
      <c r="A273" s="868" t="s">
        <v>945</v>
      </c>
      <c r="B273" s="728"/>
      <c r="C273" s="728"/>
      <c r="D273" s="728"/>
      <c r="F273" s="116"/>
      <c r="G273" s="116"/>
      <c r="H273" s="116"/>
      <c r="I273" s="116"/>
      <c r="J273" s="116"/>
      <c r="K273" s="116"/>
      <c r="L273" s="116"/>
      <c r="M273" s="325">
        <f t="shared" si="11"/>
        <v>266</v>
      </c>
    </row>
    <row r="274" spans="1:13">
      <c r="A274" s="868"/>
      <c r="B274" s="728" t="s">
        <v>961</v>
      </c>
      <c r="C274" s="728" t="s">
        <v>16</v>
      </c>
      <c r="D274" s="332" t="s">
        <v>946</v>
      </c>
      <c r="F274" s="116">
        <f>'Booked DEC 2017 Rev'!$T$274</f>
        <v>52514</v>
      </c>
      <c r="G274" s="116">
        <f>'AVG Proj Rev 2018 with CET'!$T$274</f>
        <v>56459.670000000013</v>
      </c>
      <c r="H274" s="116">
        <f>'AVG Projected Rev 2019 with CET'!$T$274</f>
        <v>55342.07</v>
      </c>
      <c r="I274" s="116">
        <f>HLOOKUP($I$8,RevenueScenarios,M274,FALSE)</f>
        <v>55342.07</v>
      </c>
      <c r="J274" s="116"/>
      <c r="K274" s="116">
        <f t="shared" ref="K274:K317" si="12">I274-F274</f>
        <v>2828.0699999999997</v>
      </c>
      <c r="L274" s="116"/>
      <c r="M274" s="325">
        <f t="shared" si="11"/>
        <v>267</v>
      </c>
    </row>
    <row r="275" spans="1:13">
      <c r="A275" s="868" t="s">
        <v>949</v>
      </c>
      <c r="B275" s="728"/>
      <c r="C275" s="728"/>
      <c r="D275" s="332" t="s">
        <v>946</v>
      </c>
      <c r="F275" s="116"/>
      <c r="G275" s="116"/>
      <c r="H275" s="116"/>
      <c r="I275" s="116"/>
      <c r="J275" s="116"/>
      <c r="K275" s="116">
        <f t="shared" si="12"/>
        <v>0</v>
      </c>
      <c r="L275" s="116"/>
      <c r="M275" s="325">
        <f t="shared" si="11"/>
        <v>268</v>
      </c>
    </row>
    <row r="276" spans="1:13">
      <c r="A276" s="868" t="s">
        <v>949</v>
      </c>
      <c r="B276" s="332"/>
      <c r="C276" s="728" t="s">
        <v>17</v>
      </c>
      <c r="D276" s="332" t="s">
        <v>946</v>
      </c>
      <c r="F276" s="116">
        <f>'Booked DEC 2017 Rev'!$T$276</f>
        <v>-36</v>
      </c>
      <c r="G276" s="116">
        <f>'AVG Proj Rev 2018 with CET'!$T$276</f>
        <v>27017.749999999993</v>
      </c>
      <c r="H276" s="116">
        <f>'AVG Projected Rev 2019 with CET'!$T$276</f>
        <v>27017.749999999993</v>
      </c>
      <c r="I276" s="116">
        <f>HLOOKUP($I$8,RevenueScenarios,M276,FALSE)</f>
        <v>27017.749999999993</v>
      </c>
      <c r="J276" s="116"/>
      <c r="K276" s="116">
        <f t="shared" si="12"/>
        <v>27053.749999999993</v>
      </c>
      <c r="L276" s="116"/>
      <c r="M276" s="325">
        <f t="shared" si="11"/>
        <v>269</v>
      </c>
    </row>
    <row r="277" spans="1:13">
      <c r="A277" s="868" t="s">
        <v>949</v>
      </c>
      <c r="B277" s="332"/>
      <c r="C277" s="728"/>
      <c r="D277" s="332" t="s">
        <v>946</v>
      </c>
      <c r="F277" s="116"/>
      <c r="G277" s="116"/>
      <c r="H277" s="116"/>
      <c r="I277" s="116"/>
      <c r="J277" s="116"/>
      <c r="K277" s="116">
        <f t="shared" si="12"/>
        <v>0</v>
      </c>
      <c r="L277" s="116"/>
      <c r="M277" s="325">
        <f t="shared" si="11"/>
        <v>270</v>
      </c>
    </row>
    <row r="278" spans="1:13">
      <c r="A278" s="868" t="s">
        <v>949</v>
      </c>
      <c r="B278" s="332"/>
      <c r="C278" s="728" t="s">
        <v>18</v>
      </c>
      <c r="D278" s="332" t="s">
        <v>946</v>
      </c>
      <c r="F278" s="116">
        <f>'Booked DEC 2017 Rev'!$T$278</f>
        <v>775489</v>
      </c>
      <c r="G278" s="116">
        <f>'AVG Proj Rev 2018 with CET'!$T$278</f>
        <v>674546.04</v>
      </c>
      <c r="H278" s="116">
        <f>'AVG Projected Rev 2019 with CET'!$T$278</f>
        <v>674546.04</v>
      </c>
      <c r="I278" s="116">
        <f>HLOOKUP($I$8,RevenueScenarios,M278,FALSE)</f>
        <v>674546.04</v>
      </c>
      <c r="J278" s="116"/>
      <c r="K278" s="116">
        <f t="shared" si="12"/>
        <v>-100942.95999999996</v>
      </c>
      <c r="L278" s="116"/>
      <c r="M278" s="325">
        <f t="shared" si="11"/>
        <v>271</v>
      </c>
    </row>
    <row r="279" spans="1:13">
      <c r="A279" s="868" t="s">
        <v>949</v>
      </c>
      <c r="B279" s="332"/>
      <c r="C279" s="728" t="s">
        <v>19</v>
      </c>
      <c r="D279" s="332" t="s">
        <v>946</v>
      </c>
      <c r="F279" s="131">
        <f>'Booked DEC 2017 Rev'!$T$279</f>
        <v>827967</v>
      </c>
      <c r="G279" s="131">
        <f>'AVG Proj Rev 2018 with CET'!$T$279</f>
        <v>758023.46</v>
      </c>
      <c r="H279" s="131">
        <f>'AVG Projected Rev 2019 with CET'!$T$279</f>
        <v>756905.8600000001</v>
      </c>
      <c r="I279" s="131">
        <f>HLOOKUP($I$8,RevenueScenarios,M279,FALSE)</f>
        <v>756905.8600000001</v>
      </c>
      <c r="J279" s="131"/>
      <c r="K279" s="131">
        <f t="shared" si="12"/>
        <v>-71061.139999999898</v>
      </c>
      <c r="L279" s="116"/>
      <c r="M279" s="325">
        <f t="shared" si="11"/>
        <v>272</v>
      </c>
    </row>
    <row r="280" spans="1:13">
      <c r="A280" s="868" t="s">
        <v>949</v>
      </c>
      <c r="B280" s="728"/>
      <c r="C280" s="728" t="s">
        <v>947</v>
      </c>
      <c r="D280" s="332" t="s">
        <v>946</v>
      </c>
      <c r="F280" s="116"/>
      <c r="G280" s="116"/>
      <c r="H280" s="116"/>
      <c r="I280" s="116"/>
      <c r="J280" s="116"/>
      <c r="K280" s="116">
        <f t="shared" si="12"/>
        <v>0</v>
      </c>
      <c r="L280" s="116"/>
      <c r="M280" s="325">
        <f t="shared" si="11"/>
        <v>273</v>
      </c>
    </row>
    <row r="281" spans="1:13">
      <c r="A281" s="868" t="s">
        <v>949</v>
      </c>
      <c r="B281" s="332"/>
      <c r="C281" s="728" t="s">
        <v>20</v>
      </c>
      <c r="D281" s="332" t="s">
        <v>946</v>
      </c>
      <c r="F281" s="116">
        <f>'Booked DEC 2017 Rev'!$T$281</f>
        <v>148998</v>
      </c>
      <c r="G281" s="116">
        <f>'AVG Proj Rev 2018 with CET'!$T$281</f>
        <v>149658</v>
      </c>
      <c r="H281" s="116">
        <f>'AVG Projected Rev 2019 with CET'!$T$281</f>
        <v>149658</v>
      </c>
      <c r="I281" s="116">
        <f>HLOOKUP($I$8,RevenueScenarios,M281,FALSE)</f>
        <v>149658</v>
      </c>
      <c r="J281" s="116"/>
      <c r="K281" s="116">
        <f t="shared" si="12"/>
        <v>660</v>
      </c>
      <c r="L281" s="116"/>
      <c r="M281" s="325">
        <f>+M280+1</f>
        <v>274</v>
      </c>
    </row>
    <row r="282" spans="1:13">
      <c r="A282" s="868" t="s">
        <v>949</v>
      </c>
      <c r="B282" s="728"/>
      <c r="C282" s="728"/>
      <c r="D282" s="728"/>
      <c r="F282" s="116"/>
      <c r="G282" s="116"/>
      <c r="H282" s="116"/>
      <c r="I282" s="116"/>
      <c r="J282" s="116"/>
      <c r="K282" s="116">
        <f t="shared" si="12"/>
        <v>0</v>
      </c>
      <c r="L282" s="116"/>
      <c r="M282" s="325">
        <f t="shared" ref="M282:M347" si="13">+M281+1</f>
        <v>275</v>
      </c>
    </row>
    <row r="283" spans="1:13">
      <c r="A283" s="868"/>
      <c r="B283" s="728" t="s">
        <v>89</v>
      </c>
      <c r="C283" s="728" t="s">
        <v>16</v>
      </c>
      <c r="D283" s="332" t="s">
        <v>946</v>
      </c>
      <c r="F283" s="116">
        <f>'Booked DEC 2017 Rev'!$T$283</f>
        <v>0</v>
      </c>
      <c r="G283" s="116">
        <f>'AVG Proj Rev 2018 with CET'!$T$283</f>
        <v>0</v>
      </c>
      <c r="H283" s="116">
        <f>'AVG Projected Rev 2019 with CET'!$T$283</f>
        <v>0</v>
      </c>
      <c r="I283" s="116">
        <f>HLOOKUP($I$8,RevenueScenarios,M283,FALSE)</f>
        <v>0</v>
      </c>
      <c r="J283" s="116"/>
      <c r="K283" s="116">
        <f t="shared" si="12"/>
        <v>0</v>
      </c>
      <c r="L283" s="116"/>
      <c r="M283" s="325">
        <f t="shared" si="13"/>
        <v>276</v>
      </c>
    </row>
    <row r="284" spans="1:13">
      <c r="A284" s="868"/>
      <c r="B284" s="728"/>
      <c r="C284" s="728"/>
      <c r="D284" s="332" t="s">
        <v>946</v>
      </c>
      <c r="F284" s="116"/>
      <c r="G284" s="116"/>
      <c r="H284" s="116"/>
      <c r="I284" s="116"/>
      <c r="J284" s="116"/>
      <c r="K284" s="116">
        <f t="shared" si="12"/>
        <v>0</v>
      </c>
      <c r="L284" s="116"/>
      <c r="M284" s="325">
        <f t="shared" si="13"/>
        <v>277</v>
      </c>
    </row>
    <row r="285" spans="1:13">
      <c r="A285" s="868"/>
      <c r="B285" s="332"/>
      <c r="C285" s="728" t="s">
        <v>17</v>
      </c>
      <c r="D285" s="332" t="s">
        <v>946</v>
      </c>
      <c r="F285" s="116">
        <f>'Booked DEC 2017 Rev'!$T$285</f>
        <v>0</v>
      </c>
      <c r="G285" s="116">
        <f>'AVG Proj Rev 2018 with CET'!$T$285</f>
        <v>0</v>
      </c>
      <c r="H285" s="116">
        <f>'AVG Projected Rev 2019 with CET'!$T$285</f>
        <v>0</v>
      </c>
      <c r="I285" s="116">
        <f>HLOOKUP($I$8,RevenueScenarios,M285,FALSE)</f>
        <v>0</v>
      </c>
      <c r="J285" s="116"/>
      <c r="K285" s="116">
        <f t="shared" si="12"/>
        <v>0</v>
      </c>
      <c r="L285" s="116"/>
      <c r="M285" s="325">
        <f t="shared" si="13"/>
        <v>278</v>
      </c>
    </row>
    <row r="286" spans="1:13">
      <c r="A286" s="868"/>
      <c r="B286" s="332"/>
      <c r="C286" s="728"/>
      <c r="D286" s="332" t="s">
        <v>946</v>
      </c>
      <c r="F286" s="116"/>
      <c r="G286" s="116"/>
      <c r="H286" s="116"/>
      <c r="I286" s="116"/>
      <c r="J286" s="116"/>
      <c r="K286" s="116">
        <f t="shared" si="12"/>
        <v>0</v>
      </c>
      <c r="L286" s="116"/>
      <c r="M286" s="325">
        <f t="shared" si="13"/>
        <v>279</v>
      </c>
    </row>
    <row r="287" spans="1:13">
      <c r="A287" s="868"/>
      <c r="B287" s="332"/>
      <c r="C287" s="728" t="s">
        <v>18</v>
      </c>
      <c r="D287" s="332" t="s">
        <v>946</v>
      </c>
      <c r="F287" s="116">
        <f>'Booked DEC 2017 Rev'!$T$287</f>
        <v>0</v>
      </c>
      <c r="G287" s="116">
        <f>'AVG Proj Rev 2018 with CET'!$T$287</f>
        <v>0</v>
      </c>
      <c r="H287" s="116">
        <f>'AVG Projected Rev 2019 with CET'!$T$287</f>
        <v>0</v>
      </c>
      <c r="I287" s="116">
        <f>HLOOKUP($I$8,RevenueScenarios,M287,FALSE)</f>
        <v>0</v>
      </c>
      <c r="J287" s="116"/>
      <c r="K287" s="116">
        <f t="shared" si="12"/>
        <v>0</v>
      </c>
      <c r="L287" s="116"/>
      <c r="M287" s="325">
        <f t="shared" si="13"/>
        <v>280</v>
      </c>
    </row>
    <row r="288" spans="1:13">
      <c r="A288" s="868"/>
      <c r="B288" s="332"/>
      <c r="C288" s="728" t="s">
        <v>19</v>
      </c>
      <c r="D288" s="332" t="s">
        <v>946</v>
      </c>
      <c r="F288" s="131">
        <f>'Booked DEC 2017 Rev'!$T$288</f>
        <v>0</v>
      </c>
      <c r="G288" s="131">
        <f>'AVG Proj Rev 2018 with CET'!$T$288</f>
        <v>0</v>
      </c>
      <c r="H288" s="131">
        <f>'AVG Projected Rev 2019 with CET'!$T$288</f>
        <v>0</v>
      </c>
      <c r="I288" s="131">
        <f>HLOOKUP($I$8,RevenueScenarios,M288,FALSE)</f>
        <v>0</v>
      </c>
      <c r="J288" s="131"/>
      <c r="K288" s="131">
        <f t="shared" si="12"/>
        <v>0</v>
      </c>
      <c r="L288" s="116"/>
      <c r="M288" s="325">
        <f t="shared" si="13"/>
        <v>281</v>
      </c>
    </row>
    <row r="289" spans="1:13">
      <c r="A289" s="868"/>
      <c r="B289" s="728"/>
      <c r="C289" s="728" t="s">
        <v>947</v>
      </c>
      <c r="D289" s="332" t="s">
        <v>946</v>
      </c>
      <c r="F289" s="116"/>
      <c r="G289" s="116"/>
      <c r="H289" s="116"/>
      <c r="I289" s="116"/>
      <c r="J289" s="116"/>
      <c r="K289" s="116">
        <f t="shared" si="12"/>
        <v>0</v>
      </c>
      <c r="L289" s="116"/>
      <c r="M289" s="325">
        <f t="shared" si="13"/>
        <v>282</v>
      </c>
    </row>
    <row r="290" spans="1:13">
      <c r="A290" s="868"/>
      <c r="B290" s="728"/>
      <c r="C290" s="728" t="s">
        <v>20</v>
      </c>
      <c r="D290" s="332" t="s">
        <v>946</v>
      </c>
      <c r="F290" s="116">
        <f>'Booked DEC 2017 Rev'!$T$290</f>
        <v>0</v>
      </c>
      <c r="G290" s="116">
        <f>'AVG Proj Rev 2018 with CET'!$T$290</f>
        <v>0</v>
      </c>
      <c r="H290" s="116">
        <f>'AVG Projected Rev 2019 with CET'!$T$290</f>
        <v>0</v>
      </c>
      <c r="I290" s="116">
        <f>HLOOKUP($I$8,RevenueScenarios,M290,FALSE)</f>
        <v>0</v>
      </c>
      <c r="J290" s="116"/>
      <c r="K290" s="116">
        <f t="shared" si="12"/>
        <v>0</v>
      </c>
      <c r="L290" s="116"/>
      <c r="M290" s="325">
        <f t="shared" si="13"/>
        <v>283</v>
      </c>
    </row>
    <row r="291" spans="1:13">
      <c r="A291" s="868"/>
      <c r="B291" s="728"/>
      <c r="C291" s="728"/>
      <c r="D291" s="728"/>
      <c r="F291" s="116"/>
      <c r="G291" s="116"/>
      <c r="H291" s="116"/>
      <c r="I291" s="116"/>
      <c r="J291" s="116"/>
      <c r="K291" s="116">
        <f t="shared" si="12"/>
        <v>0</v>
      </c>
      <c r="L291" s="116"/>
      <c r="M291" s="325">
        <f t="shared" si="13"/>
        <v>284</v>
      </c>
    </row>
    <row r="292" spans="1:13">
      <c r="A292" s="868"/>
      <c r="B292" s="728" t="s">
        <v>25</v>
      </c>
      <c r="C292" s="728" t="s">
        <v>16</v>
      </c>
      <c r="D292" s="332" t="s">
        <v>946</v>
      </c>
      <c r="F292" s="116">
        <f>'Booked DEC 2017 Rev'!$T$292</f>
        <v>0</v>
      </c>
      <c r="G292" s="116">
        <f>'AVG Proj Rev 2018 with CET'!$T$292</f>
        <v>0</v>
      </c>
      <c r="H292" s="116">
        <f>'AVG Projected Rev 2019 with CET'!$T$292</f>
        <v>0</v>
      </c>
      <c r="I292" s="116">
        <f>HLOOKUP($I$8,RevenueScenarios,M292,FALSE)</f>
        <v>0</v>
      </c>
      <c r="J292" s="116"/>
      <c r="K292" s="116">
        <f t="shared" si="12"/>
        <v>0</v>
      </c>
      <c r="L292" s="116"/>
      <c r="M292" s="325">
        <f t="shared" si="13"/>
        <v>285</v>
      </c>
    </row>
    <row r="293" spans="1:13">
      <c r="A293" s="868"/>
      <c r="B293" s="728" t="s">
        <v>693</v>
      </c>
      <c r="C293" s="728" t="s">
        <v>463</v>
      </c>
      <c r="D293" s="332" t="s">
        <v>946</v>
      </c>
      <c r="F293" s="116"/>
      <c r="G293" s="116"/>
      <c r="H293" s="116"/>
      <c r="I293" s="116"/>
      <c r="J293" s="116"/>
      <c r="K293" s="116">
        <f t="shared" si="12"/>
        <v>0</v>
      </c>
      <c r="L293" s="116"/>
      <c r="M293" s="325">
        <f t="shared" si="13"/>
        <v>286</v>
      </c>
    </row>
    <row r="294" spans="1:13">
      <c r="A294" s="868"/>
      <c r="B294" s="332"/>
      <c r="C294" s="332"/>
      <c r="D294" s="332" t="s">
        <v>946</v>
      </c>
      <c r="F294" s="116"/>
      <c r="G294" s="116"/>
      <c r="H294" s="116"/>
      <c r="I294" s="116"/>
      <c r="J294" s="116"/>
      <c r="K294" s="116">
        <f t="shared" si="12"/>
        <v>0</v>
      </c>
      <c r="L294" s="116"/>
      <c r="M294" s="325">
        <f t="shared" si="13"/>
        <v>287</v>
      </c>
    </row>
    <row r="295" spans="1:13">
      <c r="A295" s="868"/>
      <c r="B295" s="332"/>
      <c r="C295" s="332"/>
      <c r="D295" s="332" t="s">
        <v>946</v>
      </c>
      <c r="F295" s="116"/>
      <c r="G295" s="116"/>
      <c r="H295" s="116"/>
      <c r="I295" s="116"/>
      <c r="J295" s="116"/>
      <c r="K295" s="116">
        <f t="shared" si="12"/>
        <v>0</v>
      </c>
      <c r="L295" s="116"/>
      <c r="M295" s="325">
        <f t="shared" si="13"/>
        <v>288</v>
      </c>
    </row>
    <row r="296" spans="1:13">
      <c r="A296" s="868"/>
      <c r="B296" s="332"/>
      <c r="C296" s="332" t="s">
        <v>18</v>
      </c>
      <c r="D296" s="332" t="s">
        <v>946</v>
      </c>
      <c r="F296" s="116">
        <f>'Booked DEC 2017 Rev'!$T$296</f>
        <v>0</v>
      </c>
      <c r="G296" s="116">
        <f>'AVG Proj Rev 2018 with CET'!$T$296</f>
        <v>0</v>
      </c>
      <c r="H296" s="116">
        <f>'AVG Projected Rev 2019 with CET'!$T$296</f>
        <v>0</v>
      </c>
      <c r="I296" s="116">
        <f>HLOOKUP($I$8,RevenueScenarios,M296,FALSE)</f>
        <v>0</v>
      </c>
      <c r="J296" s="116"/>
      <c r="K296" s="116">
        <f t="shared" si="12"/>
        <v>0</v>
      </c>
      <c r="L296" s="116"/>
      <c r="M296" s="325">
        <f t="shared" si="13"/>
        <v>289</v>
      </c>
    </row>
    <row r="297" spans="1:13">
      <c r="A297" s="868"/>
      <c r="B297" s="332"/>
      <c r="C297" s="332" t="s">
        <v>19</v>
      </c>
      <c r="D297" s="332" t="s">
        <v>946</v>
      </c>
      <c r="F297" s="131">
        <f>'Booked DEC 2017 Rev'!$T$297</f>
        <v>0</v>
      </c>
      <c r="G297" s="131">
        <f>'AVG Proj Rev 2018 with CET'!$T$297</f>
        <v>0</v>
      </c>
      <c r="H297" s="131">
        <f>'AVG Projected Rev 2019 with CET'!$T$297</f>
        <v>0</v>
      </c>
      <c r="I297" s="131">
        <f>HLOOKUP($I$8,RevenueScenarios,M297,FALSE)</f>
        <v>0</v>
      </c>
      <c r="J297" s="131"/>
      <c r="K297" s="131">
        <f t="shared" si="12"/>
        <v>0</v>
      </c>
      <c r="L297" s="116"/>
      <c r="M297" s="325">
        <f t="shared" si="13"/>
        <v>290</v>
      </c>
    </row>
    <row r="298" spans="1:13">
      <c r="A298" s="868"/>
      <c r="B298" s="728"/>
      <c r="C298" s="728" t="s">
        <v>947</v>
      </c>
      <c r="D298" s="332" t="s">
        <v>946</v>
      </c>
      <c r="F298" s="116"/>
      <c r="G298" s="116"/>
      <c r="H298" s="116"/>
      <c r="I298" s="116"/>
      <c r="J298" s="116"/>
      <c r="K298" s="116">
        <f t="shared" si="12"/>
        <v>0</v>
      </c>
      <c r="L298" s="116"/>
      <c r="M298" s="325">
        <f t="shared" si="13"/>
        <v>291</v>
      </c>
    </row>
    <row r="299" spans="1:13">
      <c r="A299" s="868"/>
      <c r="B299" s="728"/>
      <c r="C299" s="332" t="s">
        <v>20</v>
      </c>
      <c r="D299" s="332" t="s">
        <v>946</v>
      </c>
      <c r="F299" s="116"/>
      <c r="G299" s="116"/>
      <c r="H299" s="116"/>
      <c r="I299" s="116">
        <f>HLOOKUP($I$8,RevenueScenarios,M299,FALSE)</f>
        <v>0</v>
      </c>
      <c r="J299" s="116"/>
      <c r="K299" s="116">
        <f t="shared" si="12"/>
        <v>0</v>
      </c>
      <c r="L299" s="116"/>
      <c r="M299" s="325">
        <f t="shared" si="13"/>
        <v>292</v>
      </c>
    </row>
    <row r="300" spans="1:13">
      <c r="A300" s="868"/>
      <c r="C300" s="332"/>
      <c r="D300" s="332"/>
      <c r="F300" s="116"/>
      <c r="G300" s="116"/>
      <c r="H300" s="116"/>
      <c r="I300" s="116"/>
      <c r="J300" s="116"/>
      <c r="K300" s="116">
        <f t="shared" si="12"/>
        <v>0</v>
      </c>
      <c r="L300" s="116"/>
      <c r="M300" s="325">
        <f t="shared" si="13"/>
        <v>293</v>
      </c>
    </row>
    <row r="301" spans="1:13">
      <c r="A301" s="868" t="s">
        <v>953</v>
      </c>
      <c r="B301" s="728" t="s">
        <v>962</v>
      </c>
      <c r="C301" s="728" t="s">
        <v>16</v>
      </c>
      <c r="D301" s="332" t="s">
        <v>955</v>
      </c>
      <c r="F301" s="116">
        <f>'Booked DEC 2017 Rev'!$T$301</f>
        <v>80745</v>
      </c>
      <c r="G301" s="116">
        <f>'AVG Proj Rev 2018 with CET'!$T$301</f>
        <v>79346.597699999998</v>
      </c>
      <c r="H301" s="116">
        <f>'AVG Projected Rev 2019 with CET'!$T$301</f>
        <v>78206.012319999994</v>
      </c>
      <c r="I301" s="116">
        <f>HLOOKUP($I$8,RevenueScenarios,M301,FALSE)</f>
        <v>78206.012319999994</v>
      </c>
      <c r="J301" s="116"/>
      <c r="K301" s="116">
        <f t="shared" si="12"/>
        <v>-2538.9876800000056</v>
      </c>
      <c r="L301" s="116"/>
      <c r="M301" s="325">
        <f t="shared" si="13"/>
        <v>294</v>
      </c>
    </row>
    <row r="302" spans="1:13">
      <c r="A302" s="868" t="s">
        <v>953</v>
      </c>
      <c r="B302" s="332"/>
      <c r="C302" s="728"/>
      <c r="D302" s="332" t="s">
        <v>955</v>
      </c>
      <c r="F302" s="116"/>
      <c r="G302" s="116"/>
      <c r="H302" s="116"/>
      <c r="I302" s="116"/>
      <c r="J302" s="116"/>
      <c r="K302" s="116">
        <f t="shared" si="12"/>
        <v>0</v>
      </c>
      <c r="L302" s="116"/>
      <c r="M302" s="325">
        <f t="shared" si="13"/>
        <v>295</v>
      </c>
    </row>
    <row r="303" spans="1:13">
      <c r="A303" s="868" t="s">
        <v>953</v>
      </c>
      <c r="B303" s="332"/>
      <c r="C303" s="728" t="s">
        <v>17</v>
      </c>
      <c r="D303" s="332" t="s">
        <v>955</v>
      </c>
      <c r="F303" s="116"/>
      <c r="G303" s="116"/>
      <c r="H303" s="116"/>
      <c r="I303" s="116"/>
      <c r="J303" s="116"/>
      <c r="K303" s="116">
        <f t="shared" si="12"/>
        <v>0</v>
      </c>
      <c r="L303" s="116"/>
      <c r="M303" s="325">
        <f t="shared" si="13"/>
        <v>296</v>
      </c>
    </row>
    <row r="304" spans="1:13">
      <c r="A304" s="868" t="s">
        <v>953</v>
      </c>
      <c r="B304" s="332"/>
      <c r="C304" s="728"/>
      <c r="D304" s="332" t="s">
        <v>955</v>
      </c>
      <c r="F304" s="116"/>
      <c r="G304" s="116"/>
      <c r="H304" s="116"/>
      <c r="I304" s="116"/>
      <c r="J304" s="116"/>
      <c r="K304" s="116">
        <f t="shared" si="12"/>
        <v>0</v>
      </c>
      <c r="L304" s="116"/>
      <c r="M304" s="325">
        <f t="shared" si="13"/>
        <v>297</v>
      </c>
    </row>
    <row r="305" spans="1:13">
      <c r="A305" s="868" t="s">
        <v>953</v>
      </c>
      <c r="B305" s="332"/>
      <c r="C305" s="728" t="s">
        <v>18</v>
      </c>
      <c r="D305" s="332" t="s">
        <v>955</v>
      </c>
      <c r="F305" s="116">
        <f>'Booked DEC 2017 Rev'!$T$305</f>
        <v>0</v>
      </c>
      <c r="G305" s="116">
        <f>'AVG Proj Rev 2018 with CET'!$T$305</f>
        <v>0</v>
      </c>
      <c r="H305" s="116">
        <f>'AVG Projected Rev 2019 with CET'!$T$305</f>
        <v>0</v>
      </c>
      <c r="I305" s="116">
        <f>HLOOKUP($I$8,RevenueScenarios,M305,FALSE)</f>
        <v>0</v>
      </c>
      <c r="J305" s="116"/>
      <c r="K305" s="116">
        <f t="shared" si="12"/>
        <v>0</v>
      </c>
      <c r="L305" s="116"/>
      <c r="M305" s="325">
        <f t="shared" si="13"/>
        <v>298</v>
      </c>
    </row>
    <row r="306" spans="1:13">
      <c r="A306" s="868" t="s">
        <v>953</v>
      </c>
      <c r="B306" s="728"/>
      <c r="C306" s="728" t="s">
        <v>19</v>
      </c>
      <c r="D306" s="332" t="s">
        <v>955</v>
      </c>
      <c r="F306" s="131">
        <f>'Booked DEC 2017 Rev'!$T$306</f>
        <v>80745</v>
      </c>
      <c r="G306" s="131">
        <f>'AVG Proj Rev 2018 with CET'!$T$306</f>
        <v>79346.597699999998</v>
      </c>
      <c r="H306" s="131">
        <f>'AVG Projected Rev 2019 with CET'!$T$306</f>
        <v>78206.012319999994</v>
      </c>
      <c r="I306" s="131">
        <f>HLOOKUP($I$8,RevenueScenarios,M306,FALSE)</f>
        <v>78206.012319999994</v>
      </c>
      <c r="J306" s="131"/>
      <c r="K306" s="131">
        <f t="shared" si="12"/>
        <v>-2538.9876800000056</v>
      </c>
      <c r="L306" s="116"/>
      <c r="M306" s="325">
        <f t="shared" si="13"/>
        <v>299</v>
      </c>
    </row>
    <row r="307" spans="1:13">
      <c r="A307" s="868" t="s">
        <v>953</v>
      </c>
      <c r="B307" s="728"/>
      <c r="C307" s="728" t="s">
        <v>947</v>
      </c>
      <c r="D307" s="332" t="s">
        <v>955</v>
      </c>
      <c r="F307" s="116"/>
      <c r="G307" s="116"/>
      <c r="H307" s="116"/>
      <c r="I307" s="116"/>
      <c r="J307" s="116"/>
      <c r="K307" s="116">
        <f t="shared" si="12"/>
        <v>0</v>
      </c>
      <c r="L307" s="116"/>
      <c r="M307" s="325">
        <f t="shared" si="13"/>
        <v>300</v>
      </c>
    </row>
    <row r="308" spans="1:13">
      <c r="A308" s="868" t="s">
        <v>953</v>
      </c>
      <c r="B308" s="728"/>
      <c r="C308" s="728" t="s">
        <v>20</v>
      </c>
      <c r="D308" s="332" t="s">
        <v>955</v>
      </c>
      <c r="F308" s="116">
        <f>'Booked DEC 2017 Rev'!$T$308</f>
        <v>146691</v>
      </c>
      <c r="G308" s="116">
        <f>'AVG Proj Rev 2018 with CET'!$T$308</f>
        <v>146691</v>
      </c>
      <c r="H308" s="116">
        <f>'AVG Projected Rev 2019 with CET'!$T$308</f>
        <v>146691</v>
      </c>
      <c r="I308" s="116">
        <f>HLOOKUP($I$8,RevenueScenarios,M308,FALSE)</f>
        <v>146691</v>
      </c>
      <c r="J308" s="116"/>
      <c r="K308" s="116">
        <f t="shared" si="12"/>
        <v>0</v>
      </c>
      <c r="L308" s="116"/>
      <c r="M308" s="325">
        <f t="shared" si="13"/>
        <v>301</v>
      </c>
    </row>
    <row r="309" spans="1:13">
      <c r="A309" s="868" t="s">
        <v>953</v>
      </c>
      <c r="C309" s="332"/>
      <c r="D309" s="332"/>
      <c r="F309" s="116"/>
      <c r="G309" s="116"/>
      <c r="H309" s="116"/>
      <c r="I309" s="116"/>
      <c r="J309" s="116"/>
      <c r="K309" s="116">
        <f t="shared" si="12"/>
        <v>0</v>
      </c>
      <c r="L309" s="116"/>
      <c r="M309" s="325">
        <f t="shared" si="13"/>
        <v>302</v>
      </c>
    </row>
    <row r="310" spans="1:13">
      <c r="A310" s="868" t="s">
        <v>953</v>
      </c>
      <c r="B310" s="728" t="s">
        <v>963</v>
      </c>
      <c r="C310" s="728" t="s">
        <v>16</v>
      </c>
      <c r="D310" s="332" t="s">
        <v>955</v>
      </c>
      <c r="F310" s="116">
        <f>'Booked DEC 2017 Rev'!$T$310</f>
        <v>43701</v>
      </c>
      <c r="G310" s="116">
        <f>'AVG Proj Rev 2018 with CET'!$T$310</f>
        <v>36709.64</v>
      </c>
      <c r="H310" s="116">
        <f>'AVG Projected Rev 2019 with CET'!$T$310</f>
        <v>36709.64</v>
      </c>
      <c r="I310" s="116">
        <f>HLOOKUP($I$8,RevenueScenarios,M310,FALSE)</f>
        <v>36709.64</v>
      </c>
      <c r="J310" s="116"/>
      <c r="K310" s="116">
        <f t="shared" si="12"/>
        <v>-6991.3600000000006</v>
      </c>
      <c r="L310" s="116"/>
      <c r="M310" s="325">
        <f t="shared" si="13"/>
        <v>303</v>
      </c>
    </row>
    <row r="311" spans="1:13">
      <c r="A311" s="868" t="s">
        <v>953</v>
      </c>
      <c r="B311" s="728" t="s">
        <v>694</v>
      </c>
      <c r="C311" s="728"/>
      <c r="D311" s="332" t="s">
        <v>955</v>
      </c>
      <c r="F311" s="116"/>
      <c r="G311" s="116"/>
      <c r="H311" s="116"/>
      <c r="I311" s="116"/>
      <c r="J311" s="116"/>
      <c r="K311" s="116">
        <f t="shared" si="12"/>
        <v>0</v>
      </c>
      <c r="L311" s="116"/>
      <c r="M311" s="325">
        <f t="shared" si="13"/>
        <v>304</v>
      </c>
    </row>
    <row r="312" spans="1:13">
      <c r="A312" s="868" t="s">
        <v>953</v>
      </c>
      <c r="B312" s="332"/>
      <c r="C312" s="728" t="s">
        <v>17</v>
      </c>
      <c r="D312" s="332" t="s">
        <v>955</v>
      </c>
      <c r="F312" s="116"/>
      <c r="G312" s="116"/>
      <c r="H312" s="116"/>
      <c r="I312" s="116"/>
      <c r="J312" s="116"/>
      <c r="K312" s="116">
        <f t="shared" si="12"/>
        <v>0</v>
      </c>
      <c r="L312" s="116"/>
      <c r="M312" s="325">
        <f t="shared" si="13"/>
        <v>305</v>
      </c>
    </row>
    <row r="313" spans="1:13">
      <c r="A313" s="868" t="s">
        <v>953</v>
      </c>
      <c r="B313" s="332"/>
      <c r="C313" s="728"/>
      <c r="D313" s="332" t="s">
        <v>955</v>
      </c>
      <c r="F313" s="116"/>
      <c r="G313" s="116"/>
      <c r="H313" s="116"/>
      <c r="I313" s="116"/>
      <c r="J313" s="116"/>
      <c r="K313" s="116">
        <f t="shared" si="12"/>
        <v>0</v>
      </c>
      <c r="L313" s="116"/>
      <c r="M313" s="325">
        <f t="shared" si="13"/>
        <v>306</v>
      </c>
    </row>
    <row r="314" spans="1:13">
      <c r="A314" s="868" t="s">
        <v>953</v>
      </c>
      <c r="B314" s="332"/>
      <c r="C314" s="728" t="s">
        <v>18</v>
      </c>
      <c r="D314" s="332" t="s">
        <v>955</v>
      </c>
      <c r="F314" s="116">
        <f>'Booked DEC 2017 Rev'!$T$314</f>
        <v>0</v>
      </c>
      <c r="G314" s="116">
        <f>'AVG Proj Rev 2018 with CET'!$T$314</f>
        <v>0</v>
      </c>
      <c r="H314" s="116">
        <f>'AVG Projected Rev 2019 with CET'!$T$314</f>
        <v>0</v>
      </c>
      <c r="I314" s="116">
        <f>HLOOKUP($I$8,RevenueScenarios,M314,FALSE)</f>
        <v>0</v>
      </c>
      <c r="J314" s="116"/>
      <c r="K314" s="116">
        <f t="shared" si="12"/>
        <v>0</v>
      </c>
      <c r="L314" s="116"/>
      <c r="M314" s="325">
        <f t="shared" si="13"/>
        <v>307</v>
      </c>
    </row>
    <row r="315" spans="1:13">
      <c r="A315" s="868" t="s">
        <v>953</v>
      </c>
      <c r="B315" s="728"/>
      <c r="C315" s="728" t="s">
        <v>19</v>
      </c>
      <c r="D315" s="332" t="s">
        <v>955</v>
      </c>
      <c r="F315" s="131">
        <f>'Booked DEC 2017 Rev'!$T$315</f>
        <v>43701</v>
      </c>
      <c r="G315" s="131">
        <f>'AVG Proj Rev 2018 with CET'!$T$315</f>
        <v>36709.64</v>
      </c>
      <c r="H315" s="131">
        <f>'AVG Projected Rev 2019 with CET'!$T$315</f>
        <v>36709.64</v>
      </c>
      <c r="I315" s="131">
        <f>HLOOKUP($I$8,RevenueScenarios,M315,FALSE)</f>
        <v>36709.64</v>
      </c>
      <c r="J315" s="131"/>
      <c r="K315" s="131">
        <f t="shared" si="12"/>
        <v>-6991.3600000000006</v>
      </c>
      <c r="L315" s="116"/>
      <c r="M315" s="325">
        <f t="shared" si="13"/>
        <v>308</v>
      </c>
    </row>
    <row r="316" spans="1:13">
      <c r="A316" s="868" t="s">
        <v>953</v>
      </c>
      <c r="B316" s="728"/>
      <c r="C316" s="728" t="s">
        <v>947</v>
      </c>
      <c r="D316" s="332" t="s">
        <v>955</v>
      </c>
      <c r="F316" s="116"/>
      <c r="G316" s="116"/>
      <c r="H316" s="116"/>
      <c r="I316" s="116"/>
      <c r="J316" s="116"/>
      <c r="K316" s="116">
        <f t="shared" si="12"/>
        <v>0</v>
      </c>
      <c r="L316" s="116"/>
      <c r="M316" s="325">
        <f t="shared" si="13"/>
        <v>309</v>
      </c>
    </row>
    <row r="317" spans="1:13">
      <c r="A317" s="868" t="s">
        <v>953</v>
      </c>
      <c r="B317" s="332"/>
      <c r="C317" s="728" t="s">
        <v>20</v>
      </c>
      <c r="D317" s="332" t="s">
        <v>955</v>
      </c>
      <c r="F317" s="116">
        <f>'Booked DEC 2017 Rev'!$T$317</f>
        <v>517921</v>
      </c>
      <c r="G317" s="116">
        <f>'AVG Proj Rev 2018 with CET'!$T$317</f>
        <v>565082</v>
      </c>
      <c r="H317" s="116">
        <f>'AVG Projected Rev 2019 with CET'!$T$317</f>
        <v>565082</v>
      </c>
      <c r="I317" s="116">
        <f>HLOOKUP($I$8,RevenueScenarios,M317,FALSE)</f>
        <v>565082</v>
      </c>
      <c r="J317" s="116"/>
      <c r="K317" s="116">
        <f t="shared" si="12"/>
        <v>47161</v>
      </c>
      <c r="L317" s="116"/>
      <c r="M317" s="325">
        <f t="shared" si="13"/>
        <v>310</v>
      </c>
    </row>
    <row r="318" spans="1:13">
      <c r="A318" s="868" t="s">
        <v>953</v>
      </c>
      <c r="B318" s="332"/>
      <c r="C318" s="728"/>
      <c r="D318" s="728"/>
      <c r="F318" s="116"/>
      <c r="G318" s="116"/>
      <c r="H318" s="116"/>
      <c r="I318" s="116"/>
      <c r="J318" s="116"/>
      <c r="K318" s="116"/>
      <c r="L318" s="116"/>
      <c r="M318" s="325">
        <f t="shared" si="13"/>
        <v>311</v>
      </c>
    </row>
    <row r="319" spans="1:13">
      <c r="A319" s="868"/>
      <c r="B319" s="332" t="s">
        <v>690</v>
      </c>
      <c r="C319" s="332" t="s">
        <v>16</v>
      </c>
      <c r="D319" s="332" t="s">
        <v>946</v>
      </c>
      <c r="F319" s="116">
        <f>'Booked DEC 2017 Rev'!$T$319</f>
        <v>340767.31000000006</v>
      </c>
      <c r="G319" s="116">
        <f>'AVG Proj Rev 2018 with CET'!$T$319</f>
        <v>-4010225.3000000007</v>
      </c>
      <c r="H319" s="116">
        <f>'AVG Projected Rev 2019 with CET'!$T$319</f>
        <v>-3710178.25</v>
      </c>
      <c r="I319" s="116">
        <f>HLOOKUP($I$8,RevenueScenarios,M319,FALSE)</f>
        <v>-3710178.25</v>
      </c>
      <c r="J319" s="116"/>
      <c r="K319" s="116">
        <f t="shared" ref="K319:K365" si="14">I319-F319</f>
        <v>-4050945.56</v>
      </c>
      <c r="L319" s="116"/>
      <c r="M319" s="325">
        <f t="shared" si="13"/>
        <v>312</v>
      </c>
    </row>
    <row r="320" spans="1:13" ht="13.5" thickBot="1">
      <c r="A320" s="868"/>
      <c r="B320" s="332" t="s">
        <v>114</v>
      </c>
      <c r="C320" s="728" t="s">
        <v>16</v>
      </c>
      <c r="D320" s="728" t="s">
        <v>946</v>
      </c>
      <c r="F320" s="235">
        <f>'Booked DEC 2017 Rev'!$T$320</f>
        <v>165057.12000000002</v>
      </c>
      <c r="G320" s="235">
        <f>'AVG Proj Rev 2018 with CET'!$T$320</f>
        <v>0</v>
      </c>
      <c r="H320" s="235">
        <f>'AVG Projected Rev 2019 with CET'!$T$320</f>
        <v>0</v>
      </c>
      <c r="I320" s="235">
        <f>HLOOKUP($I$8,RevenueScenarios,M320,FALSE)</f>
        <v>0</v>
      </c>
      <c r="J320" s="235"/>
      <c r="K320" s="235">
        <f t="shared" si="14"/>
        <v>-165057.12000000002</v>
      </c>
      <c r="L320" s="116"/>
      <c r="M320" s="325">
        <f t="shared" si="13"/>
        <v>313</v>
      </c>
    </row>
    <row r="321" spans="1:13" ht="13.5" thickTop="1">
      <c r="A321" s="868"/>
      <c r="B321" s="332" t="s">
        <v>545</v>
      </c>
      <c r="C321" s="332"/>
      <c r="D321" s="332"/>
      <c r="F321" s="116"/>
      <c r="G321" s="116"/>
      <c r="H321" s="116"/>
      <c r="I321" s="116"/>
      <c r="J321" s="116"/>
      <c r="K321" s="116">
        <f t="shared" si="14"/>
        <v>0</v>
      </c>
      <c r="L321" s="116"/>
      <c r="M321" s="325">
        <f t="shared" si="13"/>
        <v>314</v>
      </c>
    </row>
    <row r="322" spans="1:13">
      <c r="A322" s="868"/>
      <c r="B322" s="332"/>
      <c r="C322" s="332" t="s">
        <v>16</v>
      </c>
      <c r="D322" s="332"/>
      <c r="F322" s="133">
        <f>F238+F247+F256+F265+F319+F320</f>
        <v>12936314.539690599</v>
      </c>
      <c r="G322" s="133">
        <f t="shared" ref="G322" si="15">G238+G247+G256+G265+G274+G319+G320</f>
        <v>12874594.18</v>
      </c>
      <c r="H322" s="133">
        <f>H238+H247+H256+H265+H319+H320</f>
        <v>12865002.880000001</v>
      </c>
      <c r="I322" s="133">
        <f>HLOOKUP($I$8,RevenueScenarios,M322,FALSE)</f>
        <v>12865002.880000001</v>
      </c>
      <c r="J322" s="133"/>
      <c r="K322" s="133">
        <f t="shared" si="14"/>
        <v>-71311.659690598026</v>
      </c>
      <c r="L322" s="133"/>
      <c r="M322" s="325">
        <f t="shared" si="13"/>
        <v>315</v>
      </c>
    </row>
    <row r="323" spans="1:13">
      <c r="A323" s="868"/>
      <c r="B323" s="332"/>
      <c r="C323" s="332" t="s">
        <v>17</v>
      </c>
      <c r="D323" s="332"/>
      <c r="F323" s="133">
        <f t="shared" ref="F323:H323" si="16">F276+F285</f>
        <v>-36</v>
      </c>
      <c r="G323" s="133">
        <f>G276+G285</f>
        <v>27017.749999999993</v>
      </c>
      <c r="H323" s="133">
        <f t="shared" si="16"/>
        <v>27017.749999999993</v>
      </c>
      <c r="I323" s="133">
        <f>HLOOKUP($I$8,RevenueScenarios,M323,FALSE)</f>
        <v>27017.749999999993</v>
      </c>
      <c r="J323" s="133"/>
      <c r="K323" s="133">
        <f t="shared" si="14"/>
        <v>27053.749999999993</v>
      </c>
      <c r="L323" s="133"/>
      <c r="M323" s="325">
        <f t="shared" si="13"/>
        <v>316</v>
      </c>
    </row>
    <row r="324" spans="1:13">
      <c r="A324" s="868"/>
      <c r="B324" s="332"/>
      <c r="C324" s="728" t="s">
        <v>548</v>
      </c>
      <c r="D324" s="728"/>
      <c r="F324" s="133">
        <f t="shared" ref="F324:H324" si="17">F283+F292+F301+F310</f>
        <v>124446</v>
      </c>
      <c r="G324" s="133">
        <f>G283+G292+G301+G310</f>
        <v>116056.2377</v>
      </c>
      <c r="H324" s="133">
        <f t="shared" si="17"/>
        <v>114915.65231999999</v>
      </c>
      <c r="I324" s="133">
        <f>HLOOKUP($I$8,RevenueScenarios,M324,FALSE)</f>
        <v>114915.65231999999</v>
      </c>
      <c r="J324" s="133"/>
      <c r="K324" s="133">
        <f t="shared" si="14"/>
        <v>-9530.3476800000062</v>
      </c>
      <c r="L324" s="133"/>
      <c r="M324" s="325">
        <f t="shared" si="13"/>
        <v>317</v>
      </c>
    </row>
    <row r="325" spans="1:13">
      <c r="A325" s="868"/>
      <c r="B325" s="332"/>
      <c r="C325" s="332" t="s">
        <v>18</v>
      </c>
      <c r="D325" s="332"/>
      <c r="F325" s="133">
        <f t="shared" ref="F325:F326" si="18">F242+F251+F260+F269+F278+F287+F296+F305+F314</f>
        <v>18791773.620309401</v>
      </c>
      <c r="G325" s="133">
        <f t="shared" ref="G325" si="19">G242+G251+G260+G269+G278+G287+G296+G305+G314</f>
        <v>17610515.359999996</v>
      </c>
      <c r="H325" s="133">
        <f t="shared" ref="H325" si="20">H242+H251+H260+H269+H278+H287+H296+H305+H314</f>
        <v>17484470.120000001</v>
      </c>
      <c r="I325" s="133">
        <f>HLOOKUP($I$8,RevenueScenarios,M325,FALSE)</f>
        <v>17484470.120000001</v>
      </c>
      <c r="J325" s="133"/>
      <c r="K325" s="133">
        <f t="shared" si="14"/>
        <v>-1307303.5003094003</v>
      </c>
      <c r="L325" s="133"/>
      <c r="M325" s="325">
        <f t="shared" si="13"/>
        <v>318</v>
      </c>
    </row>
    <row r="326" spans="1:13">
      <c r="A326" s="868"/>
      <c r="B326" s="332"/>
      <c r="C326" s="332" t="s">
        <v>27</v>
      </c>
      <c r="D326" s="332"/>
      <c r="F326" s="241">
        <f t="shared" si="18"/>
        <v>31399187.73</v>
      </c>
      <c r="G326" s="241">
        <f t="shared" ref="G326" si="21">G243+G252+G261+G270+G279+G288+G297+G306+G315</f>
        <v>34638408.827699997</v>
      </c>
      <c r="H326" s="241">
        <f t="shared" ref="H326" si="22">H243+H252+H261+H270+H279+H288+H297+H306+H315</f>
        <v>34256926.722319998</v>
      </c>
      <c r="I326" s="241">
        <f>HLOOKUP($I$8,RevenueScenarios,M326,FALSE)</f>
        <v>34256926.722319998</v>
      </c>
      <c r="J326" s="241"/>
      <c r="K326" s="241">
        <f t="shared" si="14"/>
        <v>2857738.9923199974</v>
      </c>
      <c r="L326" s="133"/>
      <c r="M326" s="325">
        <f t="shared" si="13"/>
        <v>319</v>
      </c>
    </row>
    <row r="327" spans="1:13">
      <c r="A327" s="868"/>
      <c r="B327" s="728"/>
      <c r="C327" s="728" t="s">
        <v>947</v>
      </c>
      <c r="D327" s="728"/>
      <c r="F327" s="133"/>
      <c r="G327" s="133"/>
      <c r="H327" s="133"/>
      <c r="I327" s="133"/>
      <c r="J327" s="133"/>
      <c r="K327" s="133">
        <f t="shared" si="14"/>
        <v>0</v>
      </c>
      <c r="L327" s="133"/>
      <c r="M327" s="325">
        <f t="shared" si="13"/>
        <v>320</v>
      </c>
    </row>
    <row r="328" spans="1:13">
      <c r="A328" s="868"/>
      <c r="B328" s="332"/>
      <c r="C328" s="332" t="s">
        <v>59</v>
      </c>
      <c r="D328" s="332"/>
      <c r="F328" s="133">
        <f t="shared" ref="F328:H328" si="23">F245+F254+F263+F272+F281+F290</f>
        <v>3722463.87</v>
      </c>
      <c r="G328" s="133">
        <f>G245+G254+G263+G272+G281+G290</f>
        <v>3907153</v>
      </c>
      <c r="H328" s="133">
        <f t="shared" si="23"/>
        <v>3879188</v>
      </c>
      <c r="I328" s="133">
        <f>HLOOKUP($I$8,RevenueScenarios,M328,FALSE)</f>
        <v>3879188</v>
      </c>
      <c r="J328" s="133"/>
      <c r="K328" s="133">
        <f t="shared" si="14"/>
        <v>156724.12999999989</v>
      </c>
      <c r="L328" s="133"/>
      <c r="M328" s="325">
        <f t="shared" si="13"/>
        <v>321</v>
      </c>
    </row>
    <row r="329" spans="1:13">
      <c r="A329" s="868"/>
      <c r="B329" s="728"/>
      <c r="C329" s="728" t="s">
        <v>60</v>
      </c>
      <c r="D329" s="728"/>
      <c r="F329" s="133">
        <f t="shared" ref="F329:H329" si="24">F308+F317+F299</f>
        <v>664612</v>
      </c>
      <c r="G329" s="133">
        <f>G308+G317+G299</f>
        <v>711773</v>
      </c>
      <c r="H329" s="133">
        <f t="shared" si="24"/>
        <v>711773</v>
      </c>
      <c r="I329" s="133">
        <f>HLOOKUP($I$8,RevenueScenarios,M329,FALSE)</f>
        <v>711773</v>
      </c>
      <c r="J329" s="133"/>
      <c r="K329" s="133">
        <f t="shared" si="14"/>
        <v>47161</v>
      </c>
      <c r="L329" s="133"/>
      <c r="M329" s="325">
        <f t="shared" si="13"/>
        <v>322</v>
      </c>
    </row>
    <row r="330" spans="1:13">
      <c r="A330" s="873"/>
      <c r="B330" s="728"/>
      <c r="C330" s="728" t="s">
        <v>28</v>
      </c>
      <c r="D330" s="728"/>
      <c r="F330" s="241">
        <f t="shared" ref="F330:H330" si="25">F245+F254+F263+F272+F281+F290+F299+F308+F317</f>
        <v>4387075.87</v>
      </c>
      <c r="G330" s="241">
        <f>G245+G254+G263+G272+G281+G290+G299+G308+G317</f>
        <v>4618926</v>
      </c>
      <c r="H330" s="241">
        <f t="shared" si="25"/>
        <v>4590961</v>
      </c>
      <c r="I330" s="241">
        <f>HLOOKUP($I$8,RevenueScenarios,M330,FALSE)</f>
        <v>4590961</v>
      </c>
      <c r="J330" s="241"/>
      <c r="K330" s="241">
        <f t="shared" si="14"/>
        <v>203885.12999999989</v>
      </c>
      <c r="L330" s="133"/>
      <c r="M330" s="325">
        <f t="shared" si="13"/>
        <v>323</v>
      </c>
    </row>
    <row r="331" spans="1:13">
      <c r="A331" s="382"/>
      <c r="B331" s="728"/>
      <c r="C331" s="728"/>
      <c r="D331" s="728"/>
      <c r="F331" s="116"/>
      <c r="G331" s="116"/>
      <c r="H331" s="116"/>
      <c r="I331" s="116"/>
      <c r="J331" s="116"/>
      <c r="K331" s="116">
        <f t="shared" si="14"/>
        <v>0</v>
      </c>
      <c r="L331" s="116"/>
      <c r="M331" s="325">
        <f t="shared" si="13"/>
        <v>324</v>
      </c>
    </row>
    <row r="332" spans="1:13">
      <c r="A332" s="382"/>
      <c r="B332" s="728"/>
      <c r="D332" s="332"/>
      <c r="F332" s="116"/>
      <c r="G332" s="116"/>
      <c r="H332" s="116"/>
      <c r="I332" s="116"/>
      <c r="J332" s="116"/>
      <c r="K332" s="116">
        <f t="shared" si="14"/>
        <v>0</v>
      </c>
      <c r="L332" s="116"/>
      <c r="M332" s="325">
        <f t="shared" si="13"/>
        <v>325</v>
      </c>
    </row>
    <row r="333" spans="1:13">
      <c r="A333" s="382" t="s">
        <v>29</v>
      </c>
      <c r="B333" s="728" t="s">
        <v>89</v>
      </c>
      <c r="C333" s="728" t="s">
        <v>16</v>
      </c>
      <c r="D333" s="332" t="s">
        <v>946</v>
      </c>
      <c r="F333" s="116">
        <f>'Booked DEC 2017 Rev'!$T$335</f>
        <v>0</v>
      </c>
      <c r="G333" s="116">
        <f>'AVG Proj Rev 2018 with CET'!$T$335</f>
        <v>0</v>
      </c>
      <c r="H333" s="116">
        <f>'AVG Projected Rev 2019 with CET'!$T$335</f>
        <v>0</v>
      </c>
      <c r="I333" s="116">
        <f>HLOOKUP($I$8,RevenueScenarios,M333,FALSE)</f>
        <v>0</v>
      </c>
      <c r="J333" s="116"/>
      <c r="K333" s="116">
        <f t="shared" si="14"/>
        <v>0</v>
      </c>
      <c r="L333" s="116"/>
      <c r="M333" s="325">
        <f t="shared" si="13"/>
        <v>326</v>
      </c>
    </row>
    <row r="334" spans="1:13">
      <c r="A334" s="382"/>
      <c r="B334" s="728"/>
      <c r="C334" s="728"/>
      <c r="D334" s="332" t="s">
        <v>946</v>
      </c>
      <c r="F334" s="116"/>
      <c r="G334" s="116"/>
      <c r="H334" s="116"/>
      <c r="I334" s="116"/>
      <c r="J334" s="116"/>
      <c r="K334" s="116">
        <f t="shared" si="14"/>
        <v>0</v>
      </c>
      <c r="L334" s="116"/>
      <c r="M334" s="325">
        <f t="shared" si="13"/>
        <v>327</v>
      </c>
    </row>
    <row r="335" spans="1:13">
      <c r="A335" s="382"/>
      <c r="B335" s="728"/>
      <c r="C335" s="728" t="s">
        <v>17</v>
      </c>
      <c r="D335" s="332" t="s">
        <v>946</v>
      </c>
      <c r="F335" s="116"/>
      <c r="G335" s="116"/>
      <c r="H335" s="116"/>
      <c r="I335" s="116"/>
      <c r="J335" s="116"/>
      <c r="K335" s="116">
        <f t="shared" si="14"/>
        <v>0</v>
      </c>
      <c r="L335" s="116"/>
      <c r="M335" s="325">
        <f t="shared" si="13"/>
        <v>328</v>
      </c>
    </row>
    <row r="336" spans="1:13">
      <c r="B336" s="728"/>
      <c r="C336" s="728"/>
      <c r="D336" s="332" t="s">
        <v>946</v>
      </c>
      <c r="F336" s="116"/>
      <c r="G336" s="116"/>
      <c r="H336" s="116"/>
      <c r="I336" s="116"/>
      <c r="J336" s="116"/>
      <c r="K336" s="116">
        <f t="shared" si="14"/>
        <v>0</v>
      </c>
      <c r="L336" s="116"/>
      <c r="M336" s="325">
        <f t="shared" si="13"/>
        <v>329</v>
      </c>
    </row>
    <row r="337" spans="1:13">
      <c r="A337" s="382"/>
      <c r="B337" s="728"/>
      <c r="C337" s="728" t="s">
        <v>18</v>
      </c>
      <c r="D337" s="332" t="s">
        <v>946</v>
      </c>
      <c r="F337" s="116">
        <f>'Booked DEC 2017 Rev'!$T$339</f>
        <v>0</v>
      </c>
      <c r="G337" s="116">
        <f>'AVG Proj Rev 2018 with CET'!$T$339</f>
        <v>0</v>
      </c>
      <c r="H337" s="116">
        <f>'AVG Projected Rev 2019 with CET'!$T$339</f>
        <v>0</v>
      </c>
      <c r="I337" s="116">
        <f>HLOOKUP($I$8,RevenueScenarios,M337,FALSE)</f>
        <v>0</v>
      </c>
      <c r="J337" s="116"/>
      <c r="K337" s="116">
        <f t="shared" si="14"/>
        <v>0</v>
      </c>
      <c r="L337" s="116"/>
      <c r="M337" s="325">
        <f t="shared" si="13"/>
        <v>330</v>
      </c>
    </row>
    <row r="338" spans="1:13">
      <c r="A338" s="382"/>
      <c r="B338" s="332"/>
      <c r="C338" s="728" t="s">
        <v>19</v>
      </c>
      <c r="D338" s="332" t="s">
        <v>946</v>
      </c>
      <c r="F338" s="131">
        <f t="shared" ref="F338:H338" si="26">SUM(F333:F337)</f>
        <v>0</v>
      </c>
      <c r="G338" s="131">
        <f>SUM(G333:G337)</f>
        <v>0</v>
      </c>
      <c r="H338" s="131">
        <f t="shared" si="26"/>
        <v>0</v>
      </c>
      <c r="I338" s="131">
        <f>HLOOKUP($I$8,RevenueScenarios,M338,FALSE)</f>
        <v>0</v>
      </c>
      <c r="J338" s="131"/>
      <c r="K338" s="131">
        <f t="shared" si="14"/>
        <v>0</v>
      </c>
      <c r="L338" s="116"/>
      <c r="M338" s="325">
        <f t="shared" si="13"/>
        <v>331</v>
      </c>
    </row>
    <row r="339" spans="1:13">
      <c r="A339" s="382"/>
      <c r="B339" s="728"/>
      <c r="C339" s="728" t="s">
        <v>947</v>
      </c>
      <c r="D339" s="332" t="s">
        <v>946</v>
      </c>
      <c r="F339" s="116"/>
      <c r="G339" s="116"/>
      <c r="H339" s="116"/>
      <c r="I339" s="116"/>
      <c r="J339" s="116"/>
      <c r="K339" s="116">
        <f t="shared" si="14"/>
        <v>0</v>
      </c>
      <c r="L339" s="116"/>
      <c r="M339" s="325">
        <f t="shared" si="13"/>
        <v>332</v>
      </c>
    </row>
    <row r="340" spans="1:13">
      <c r="A340" s="382"/>
      <c r="B340" s="728"/>
      <c r="C340" s="728" t="s">
        <v>20</v>
      </c>
      <c r="D340" s="332" t="s">
        <v>946</v>
      </c>
      <c r="F340" s="116">
        <f>'Booked DEC 2017 Rev'!$T$342</f>
        <v>0</v>
      </c>
      <c r="G340" s="116">
        <f>'AVG Proj Rev 2018 with CET'!$T$342</f>
        <v>0</v>
      </c>
      <c r="H340" s="116">
        <f>'AVG Projected Rev 2019 with CET'!$T$342</f>
        <v>0</v>
      </c>
      <c r="I340" s="116">
        <f>HLOOKUP($I$8,RevenueScenarios,M340,FALSE)</f>
        <v>0</v>
      </c>
      <c r="J340" s="116"/>
      <c r="K340" s="116">
        <f t="shared" si="14"/>
        <v>0</v>
      </c>
      <c r="L340" s="116"/>
      <c r="M340" s="325">
        <f t="shared" si="13"/>
        <v>333</v>
      </c>
    </row>
    <row r="341" spans="1:13">
      <c r="A341" s="382"/>
      <c r="B341" s="728"/>
      <c r="C341" s="728"/>
      <c r="D341" s="728"/>
      <c r="F341" s="116"/>
      <c r="G341" s="116"/>
      <c r="H341" s="116"/>
      <c r="I341" s="116"/>
      <c r="J341" s="116"/>
      <c r="K341" s="116">
        <f t="shared" si="14"/>
        <v>0</v>
      </c>
      <c r="L341" s="116"/>
      <c r="M341" s="325">
        <f t="shared" si="13"/>
        <v>334</v>
      </c>
    </row>
    <row r="342" spans="1:13">
      <c r="A342" s="382"/>
      <c r="B342" s="728"/>
      <c r="C342" s="728" t="s">
        <v>16</v>
      </c>
      <c r="D342" s="728" t="s">
        <v>955</v>
      </c>
      <c r="F342" s="116">
        <f>'Booked DEC 2017 Rev'!$T$344</f>
        <v>0</v>
      </c>
      <c r="G342" s="116">
        <f>'AVG Proj Rev 2018 with CET'!$T$344</f>
        <v>0</v>
      </c>
      <c r="H342" s="116">
        <f>'AVG Projected Rev 2019 with CET'!$T$344</f>
        <v>0</v>
      </c>
      <c r="I342" s="116">
        <f>HLOOKUP($I$8,RevenueScenarios,M342,FALSE)</f>
        <v>0</v>
      </c>
      <c r="J342" s="116"/>
      <c r="K342" s="116">
        <f t="shared" si="14"/>
        <v>0</v>
      </c>
      <c r="L342" s="116"/>
      <c r="M342" s="325">
        <f t="shared" si="13"/>
        <v>335</v>
      </c>
    </row>
    <row r="343" spans="1:13">
      <c r="A343" s="382"/>
      <c r="B343" s="728" t="s">
        <v>25</v>
      </c>
      <c r="C343" s="728"/>
      <c r="D343" s="728" t="s">
        <v>955</v>
      </c>
      <c r="F343" s="116"/>
      <c r="G343" s="116"/>
      <c r="H343" s="116"/>
      <c r="I343" s="116"/>
      <c r="J343" s="116"/>
      <c r="K343" s="116">
        <f t="shared" si="14"/>
        <v>0</v>
      </c>
      <c r="L343" s="116"/>
      <c r="M343" s="325">
        <f t="shared" si="13"/>
        <v>336</v>
      </c>
    </row>
    <row r="344" spans="1:13">
      <c r="A344" s="382"/>
      <c r="B344" s="728"/>
      <c r="C344" s="728" t="s">
        <v>17</v>
      </c>
      <c r="D344" s="728" t="s">
        <v>955</v>
      </c>
      <c r="F344" s="116"/>
      <c r="G344" s="116"/>
      <c r="H344" s="116"/>
      <c r="I344" s="116"/>
      <c r="J344" s="116"/>
      <c r="K344" s="116">
        <f t="shared" si="14"/>
        <v>0</v>
      </c>
      <c r="L344" s="116"/>
      <c r="M344" s="325">
        <f t="shared" si="13"/>
        <v>337</v>
      </c>
    </row>
    <row r="345" spans="1:13">
      <c r="A345" s="382"/>
      <c r="B345" s="728"/>
      <c r="C345" s="728"/>
      <c r="D345" s="728" t="s">
        <v>955</v>
      </c>
      <c r="F345" s="116"/>
      <c r="G345" s="116"/>
      <c r="H345" s="116"/>
      <c r="I345" s="116"/>
      <c r="J345" s="116"/>
      <c r="K345" s="116">
        <f t="shared" si="14"/>
        <v>0</v>
      </c>
      <c r="L345" s="116"/>
      <c r="M345" s="325">
        <f t="shared" si="13"/>
        <v>338</v>
      </c>
    </row>
    <row r="346" spans="1:13">
      <c r="A346" s="382"/>
      <c r="B346" s="728"/>
      <c r="C346" s="728" t="s">
        <v>18</v>
      </c>
      <c r="D346" s="728" t="s">
        <v>955</v>
      </c>
      <c r="F346" s="116">
        <f>'Booked DEC 2017 Rev'!$T$348</f>
        <v>0</v>
      </c>
      <c r="G346" s="116">
        <f>'AVG Proj Rev 2018 with CET'!$T$348</f>
        <v>0</v>
      </c>
      <c r="H346" s="116">
        <f>'AVG Projected Rev 2019 with CET'!$T$348</f>
        <v>0</v>
      </c>
      <c r="I346" s="116">
        <f>HLOOKUP($I$8,RevenueScenarios,M346,FALSE)</f>
        <v>0</v>
      </c>
      <c r="J346" s="116"/>
      <c r="K346" s="116">
        <f t="shared" si="14"/>
        <v>0</v>
      </c>
      <c r="L346" s="116"/>
      <c r="M346" s="325">
        <f t="shared" si="13"/>
        <v>339</v>
      </c>
    </row>
    <row r="347" spans="1:13">
      <c r="A347" s="382"/>
      <c r="B347" s="332"/>
      <c r="C347" s="728" t="s">
        <v>19</v>
      </c>
      <c r="D347" s="728" t="s">
        <v>955</v>
      </c>
      <c r="F347" s="131">
        <f t="shared" ref="F347:H347" si="27">SUM(F342:F346)</f>
        <v>0</v>
      </c>
      <c r="G347" s="131">
        <f>SUM(G342:G346)</f>
        <v>0</v>
      </c>
      <c r="H347" s="131">
        <f t="shared" si="27"/>
        <v>0</v>
      </c>
      <c r="I347" s="131">
        <f>HLOOKUP($I$8,RevenueScenarios,M347,FALSE)</f>
        <v>0</v>
      </c>
      <c r="J347" s="131"/>
      <c r="K347" s="131">
        <f t="shared" si="14"/>
        <v>0</v>
      </c>
      <c r="L347" s="116"/>
      <c r="M347" s="325">
        <f t="shared" si="13"/>
        <v>340</v>
      </c>
    </row>
    <row r="348" spans="1:13">
      <c r="A348" s="382"/>
      <c r="B348" s="332"/>
      <c r="C348" s="728" t="s">
        <v>947</v>
      </c>
      <c r="D348" s="728" t="s">
        <v>955</v>
      </c>
      <c r="F348" s="116"/>
      <c r="G348" s="116"/>
      <c r="H348" s="116"/>
      <c r="I348" s="116"/>
      <c r="J348" s="116"/>
      <c r="K348" s="116">
        <f t="shared" si="14"/>
        <v>0</v>
      </c>
      <c r="L348" s="116"/>
      <c r="M348" s="325">
        <f t="shared" ref="M348:M371" si="28">+M347+1</f>
        <v>341</v>
      </c>
    </row>
    <row r="349" spans="1:13">
      <c r="A349" s="382"/>
      <c r="B349" s="332"/>
      <c r="C349" s="728" t="s">
        <v>20</v>
      </c>
      <c r="D349" s="728" t="s">
        <v>955</v>
      </c>
      <c r="F349" s="116">
        <f>'Booked DEC 2017 Rev'!$T$351</f>
        <v>0</v>
      </c>
      <c r="G349" s="116">
        <f>'AVG Proj Rev 2018 with CET'!$T$351</f>
        <v>0</v>
      </c>
      <c r="H349" s="116">
        <f>'AVG Projected Rev 2019 with CET'!$T$351</f>
        <v>0</v>
      </c>
      <c r="I349" s="116">
        <f>HLOOKUP($I$8,RevenueScenarios,M349,FALSE)</f>
        <v>0</v>
      </c>
      <c r="J349" s="116"/>
      <c r="K349" s="116">
        <f t="shared" si="14"/>
        <v>0</v>
      </c>
      <c r="L349" s="116"/>
      <c r="M349" s="325">
        <f t="shared" si="28"/>
        <v>342</v>
      </c>
    </row>
    <row r="350" spans="1:13" ht="13.5" thickBot="1">
      <c r="A350" s="382"/>
      <c r="B350" s="332"/>
      <c r="C350" s="332"/>
      <c r="D350" s="332"/>
      <c r="F350" s="235">
        <f>'Booked DEC 2017 Rev'!$T$350</f>
        <v>0</v>
      </c>
      <c r="G350" s="235">
        <f>'AVG Proj Rev 2018 with CET'!$T$350</f>
        <v>0</v>
      </c>
      <c r="H350" s="235">
        <f>'AVG Projected Rev 2019 with CET'!$T$350</f>
        <v>0</v>
      </c>
      <c r="I350" s="235"/>
      <c r="J350" s="235"/>
      <c r="K350" s="235">
        <f t="shared" si="14"/>
        <v>0</v>
      </c>
      <c r="L350" s="116"/>
      <c r="M350" s="325">
        <f t="shared" si="28"/>
        <v>343</v>
      </c>
    </row>
    <row r="351" spans="1:13" ht="13.5" thickTop="1">
      <c r="A351" s="382"/>
      <c r="B351" s="332" t="s">
        <v>547</v>
      </c>
      <c r="C351" s="332"/>
      <c r="D351" s="332"/>
      <c r="F351" s="116"/>
      <c r="G351" s="116"/>
      <c r="H351" s="116"/>
      <c r="I351" s="116"/>
      <c r="J351" s="116"/>
      <c r="K351" s="116">
        <f t="shared" si="14"/>
        <v>0</v>
      </c>
      <c r="L351" s="116"/>
      <c r="M351" s="325">
        <f t="shared" si="28"/>
        <v>344</v>
      </c>
    </row>
    <row r="352" spans="1:13">
      <c r="A352" s="382"/>
      <c r="C352" s="332" t="s">
        <v>16</v>
      </c>
      <c r="D352" s="332"/>
      <c r="F352" s="116">
        <f t="shared" ref="F352:H352" si="29">F333+F342</f>
        <v>0</v>
      </c>
      <c r="G352" s="116">
        <f>G333+G342</f>
        <v>0</v>
      </c>
      <c r="H352" s="116">
        <f t="shared" si="29"/>
        <v>0</v>
      </c>
      <c r="I352" s="116">
        <f>HLOOKUP($I$8,RevenueScenarios,M352,FALSE)</f>
        <v>0</v>
      </c>
      <c r="J352" s="116"/>
      <c r="K352" s="116">
        <f t="shared" si="14"/>
        <v>0</v>
      </c>
      <c r="L352" s="116"/>
      <c r="M352" s="325">
        <f t="shared" si="28"/>
        <v>345</v>
      </c>
    </row>
    <row r="353" spans="1:13">
      <c r="A353" s="382"/>
      <c r="B353" s="728"/>
      <c r="C353" s="728" t="s">
        <v>18</v>
      </c>
      <c r="D353" s="728"/>
      <c r="F353" s="116">
        <f t="shared" ref="F353:H353" si="30">F336+F345</f>
        <v>0</v>
      </c>
      <c r="G353" s="116">
        <f>G336+G345</f>
        <v>0</v>
      </c>
      <c r="H353" s="116">
        <f t="shared" si="30"/>
        <v>0</v>
      </c>
      <c r="I353" s="116">
        <f>HLOOKUP($I$8,RevenueScenarios,M353,FALSE)</f>
        <v>0</v>
      </c>
      <c r="J353" s="116"/>
      <c r="K353" s="116">
        <f t="shared" si="14"/>
        <v>0</v>
      </c>
      <c r="L353" s="116"/>
      <c r="M353" s="325">
        <f t="shared" si="28"/>
        <v>346</v>
      </c>
    </row>
    <row r="354" spans="1:13">
      <c r="A354" s="382"/>
      <c r="B354" s="728"/>
      <c r="C354" s="332" t="s">
        <v>30</v>
      </c>
      <c r="D354" s="332"/>
      <c r="F354" s="131">
        <f t="shared" ref="F354:H354" si="31">F338+F347</f>
        <v>0</v>
      </c>
      <c r="G354" s="131">
        <f>G338+G347</f>
        <v>0</v>
      </c>
      <c r="H354" s="131">
        <f t="shared" si="31"/>
        <v>0</v>
      </c>
      <c r="I354" s="131">
        <f>HLOOKUP($I$8,RevenueScenarios,M354,FALSE)</f>
        <v>0</v>
      </c>
      <c r="J354" s="131"/>
      <c r="K354" s="131">
        <f t="shared" si="14"/>
        <v>0</v>
      </c>
      <c r="L354" s="116"/>
      <c r="M354" s="325">
        <f t="shared" si="28"/>
        <v>347</v>
      </c>
    </row>
    <row r="355" spans="1:13">
      <c r="A355" s="382"/>
      <c r="B355" s="728"/>
      <c r="C355" s="728" t="s">
        <v>947</v>
      </c>
      <c r="D355" s="332"/>
      <c r="F355" s="116"/>
      <c r="G355" s="116"/>
      <c r="H355" s="116"/>
      <c r="I355" s="116"/>
      <c r="J355" s="116"/>
      <c r="K355" s="116">
        <f t="shared" si="14"/>
        <v>0</v>
      </c>
      <c r="L355" s="116"/>
      <c r="M355" s="325">
        <f t="shared" si="28"/>
        <v>348</v>
      </c>
    </row>
    <row r="356" spans="1:13">
      <c r="A356" s="382"/>
      <c r="B356" s="332"/>
      <c r="C356" s="332" t="s">
        <v>59</v>
      </c>
      <c r="D356" s="332"/>
      <c r="F356" s="116">
        <f t="shared" ref="F356:H356" si="32">F340</f>
        <v>0</v>
      </c>
      <c r="G356" s="116">
        <f>G340</f>
        <v>0</v>
      </c>
      <c r="H356" s="116">
        <f t="shared" si="32"/>
        <v>0</v>
      </c>
      <c r="I356" s="116">
        <f>HLOOKUP($I$8,RevenueScenarios,M356,FALSE)</f>
        <v>0</v>
      </c>
      <c r="J356" s="116"/>
      <c r="K356" s="116">
        <f t="shared" si="14"/>
        <v>0</v>
      </c>
      <c r="L356" s="116"/>
      <c r="M356" s="325">
        <f t="shared" si="28"/>
        <v>349</v>
      </c>
    </row>
    <row r="357" spans="1:13">
      <c r="A357" s="868"/>
      <c r="B357" s="332"/>
      <c r="C357" s="728" t="s">
        <v>60</v>
      </c>
      <c r="D357" s="728"/>
      <c r="F357" s="116">
        <f t="shared" ref="F357:H357" si="33">F349</f>
        <v>0</v>
      </c>
      <c r="G357" s="116">
        <f>G349</f>
        <v>0</v>
      </c>
      <c r="H357" s="116">
        <f t="shared" si="33"/>
        <v>0</v>
      </c>
      <c r="I357" s="116">
        <f>HLOOKUP($I$8,RevenueScenarios,M357,FALSE)</f>
        <v>0</v>
      </c>
      <c r="J357" s="116"/>
      <c r="K357" s="116">
        <f t="shared" si="14"/>
        <v>0</v>
      </c>
      <c r="L357" s="116"/>
      <c r="M357" s="325">
        <f t="shared" si="28"/>
        <v>350</v>
      </c>
    </row>
    <row r="358" spans="1:13">
      <c r="A358" s="382"/>
      <c r="B358" s="332"/>
      <c r="C358" s="728" t="s">
        <v>31</v>
      </c>
      <c r="D358" s="728"/>
      <c r="F358" s="131">
        <f t="shared" ref="F358:H358" si="34">F340+F349</f>
        <v>0</v>
      </c>
      <c r="G358" s="131">
        <f>G340+G349</f>
        <v>0</v>
      </c>
      <c r="H358" s="131">
        <f t="shared" si="34"/>
        <v>0</v>
      </c>
      <c r="I358" s="131">
        <f>HLOOKUP($I$8,RevenueScenarios,M358,FALSE)</f>
        <v>0</v>
      </c>
      <c r="J358" s="131"/>
      <c r="K358" s="131">
        <f t="shared" si="14"/>
        <v>0</v>
      </c>
      <c r="L358" s="116"/>
      <c r="M358" s="325">
        <f t="shared" si="28"/>
        <v>351</v>
      </c>
    </row>
    <row r="359" spans="1:13" ht="13.5" thickBot="1">
      <c r="A359" s="382"/>
      <c r="B359" s="332"/>
      <c r="C359" s="728"/>
      <c r="D359" s="728"/>
      <c r="F359" s="235"/>
      <c r="G359" s="235"/>
      <c r="H359" s="235"/>
      <c r="I359" s="235"/>
      <c r="J359" s="235"/>
      <c r="K359" s="235">
        <f t="shared" si="14"/>
        <v>0</v>
      </c>
      <c r="L359" s="116"/>
      <c r="M359" s="325">
        <f t="shared" si="28"/>
        <v>352</v>
      </c>
    </row>
    <row r="360" spans="1:13" ht="13.5" thickTop="1">
      <c r="A360" s="873"/>
      <c r="B360" s="332"/>
      <c r="C360" s="728"/>
      <c r="D360" s="728"/>
      <c r="F360" s="116"/>
      <c r="G360" s="116"/>
      <c r="H360" s="116"/>
      <c r="I360" s="116"/>
      <c r="J360" s="116"/>
      <c r="K360" s="116">
        <f t="shared" si="14"/>
        <v>0</v>
      </c>
      <c r="L360" s="116"/>
      <c r="M360" s="325">
        <f t="shared" si="28"/>
        <v>353</v>
      </c>
    </row>
    <row r="361" spans="1:13">
      <c r="A361" s="382"/>
      <c r="B361" s="332"/>
      <c r="C361" s="728"/>
      <c r="D361" s="728"/>
      <c r="F361" s="116"/>
      <c r="G361" s="116"/>
      <c r="H361" s="116"/>
      <c r="I361" s="116"/>
      <c r="J361" s="116"/>
      <c r="K361" s="116">
        <f t="shared" si="14"/>
        <v>0</v>
      </c>
      <c r="L361" s="116"/>
      <c r="M361" s="325">
        <f t="shared" si="28"/>
        <v>354</v>
      </c>
    </row>
    <row r="362" spans="1:13">
      <c r="A362" s="382"/>
      <c r="B362" s="332" t="s">
        <v>659</v>
      </c>
      <c r="C362" s="728" t="s">
        <v>16</v>
      </c>
      <c r="D362" s="728"/>
      <c r="F362" s="116">
        <f t="shared" ref="F362:H362" si="35">F199+F228+F322+F352</f>
        <v>379378680.95652229</v>
      </c>
      <c r="G362" s="116">
        <f>G199+G228+G322+G352</f>
        <v>358584246.71594608</v>
      </c>
      <c r="H362" s="116">
        <f t="shared" si="35"/>
        <v>373419702.60739779</v>
      </c>
      <c r="I362" s="116">
        <f>HLOOKUP($I$8,RevenueScenarios,M362,FALSE)</f>
        <v>373419702.60739779</v>
      </c>
      <c r="J362" s="116"/>
      <c r="K362" s="116">
        <f t="shared" si="14"/>
        <v>-5958978.3491244912</v>
      </c>
      <c r="L362" s="116"/>
      <c r="M362" s="325">
        <f t="shared" si="28"/>
        <v>355</v>
      </c>
    </row>
    <row r="363" spans="1:13">
      <c r="A363" s="382"/>
      <c r="B363" s="332"/>
      <c r="C363" s="332" t="s">
        <v>17</v>
      </c>
      <c r="D363" s="332"/>
      <c r="F363" s="116">
        <f t="shared" ref="F363:H363" si="36">F200+F229+F323</f>
        <v>104646790.0980107</v>
      </c>
      <c r="G363" s="116">
        <f>G200+G229+G323</f>
        <v>122288460.21999997</v>
      </c>
      <c r="H363" s="116">
        <f t="shared" si="36"/>
        <v>122027377.91</v>
      </c>
      <c r="I363" s="116">
        <f>HLOOKUP($I$8,RevenueScenarios,M363,FALSE)</f>
        <v>122027377.91</v>
      </c>
      <c r="J363" s="116"/>
      <c r="K363" s="116">
        <f t="shared" si="14"/>
        <v>17380587.811989293</v>
      </c>
      <c r="L363" s="116"/>
      <c r="M363" s="325">
        <f t="shared" si="28"/>
        <v>356</v>
      </c>
    </row>
    <row r="364" spans="1:13">
      <c r="A364" s="382"/>
      <c r="B364" s="332"/>
      <c r="C364" s="332" t="s">
        <v>548</v>
      </c>
      <c r="D364" s="332"/>
      <c r="F364" s="116">
        <f t="shared" ref="F364:H364" si="37">F324</f>
        <v>124446</v>
      </c>
      <c r="G364" s="116">
        <f>G324</f>
        <v>116056.2377</v>
      </c>
      <c r="H364" s="116">
        <f t="shared" si="37"/>
        <v>114915.65231999999</v>
      </c>
      <c r="I364" s="116">
        <f>HLOOKUP($I$8,RevenueScenarios,M364,FALSE)</f>
        <v>114915.65231999999</v>
      </c>
      <c r="J364" s="116"/>
      <c r="K364" s="116">
        <f t="shared" si="14"/>
        <v>-9530.3476800000062</v>
      </c>
      <c r="L364" s="116"/>
      <c r="M364" s="325">
        <f t="shared" si="28"/>
        <v>357</v>
      </c>
    </row>
    <row r="365" spans="1:13">
      <c r="A365" s="382"/>
      <c r="B365" s="332"/>
      <c r="C365" s="332" t="s">
        <v>18</v>
      </c>
      <c r="D365" s="332"/>
      <c r="F365" s="116">
        <f t="shared" ref="F365:H365" si="38">F201+F230+F325+F353</f>
        <v>431437243.065467</v>
      </c>
      <c r="G365" s="116">
        <f>G201+G230+G325+G353</f>
        <v>404278743.25</v>
      </c>
      <c r="H365" s="116">
        <f t="shared" si="38"/>
        <v>402723498.3499999</v>
      </c>
      <c r="I365" s="116">
        <f>HLOOKUP($I$8,RevenueScenarios,M365,FALSE)</f>
        <v>402723498.3499999</v>
      </c>
      <c r="J365" s="116"/>
      <c r="K365" s="116">
        <f t="shared" si="14"/>
        <v>-28713744.715467095</v>
      </c>
      <c r="L365" s="116"/>
      <c r="M365" s="325">
        <f t="shared" si="28"/>
        <v>358</v>
      </c>
    </row>
    <row r="366" spans="1:13" ht="13.5" thickBot="1">
      <c r="A366" s="382"/>
      <c r="B366" s="728"/>
      <c r="C366" s="728"/>
      <c r="D366" s="728"/>
      <c r="F366" s="236"/>
      <c r="G366" s="236"/>
      <c r="H366" s="236"/>
      <c r="I366" s="236"/>
      <c r="J366" s="236"/>
      <c r="K366" s="236"/>
      <c r="L366" s="116"/>
      <c r="M366" s="325">
        <f t="shared" si="28"/>
        <v>359</v>
      </c>
    </row>
    <row r="367" spans="1:13">
      <c r="A367" s="382"/>
      <c r="B367" s="728"/>
      <c r="C367" s="332" t="s">
        <v>659</v>
      </c>
      <c r="D367" s="332"/>
      <c r="F367" s="116">
        <f t="shared" ref="F367:H367" si="39">SUM(F362:F366)</f>
        <v>915587160.12</v>
      </c>
      <c r="G367" s="116">
        <f>SUM(G362:G366)</f>
        <v>885267506.42364597</v>
      </c>
      <c r="H367" s="116">
        <f t="shared" si="39"/>
        <v>898285494.51971769</v>
      </c>
      <c r="I367" s="116">
        <f>HLOOKUP($I$8,RevenueScenarios,M367,FALSE)</f>
        <v>898285494.51971769</v>
      </c>
      <c r="J367" s="116"/>
      <c r="K367" s="116">
        <f>I367-F367</f>
        <v>-17301665.600282311</v>
      </c>
      <c r="L367" s="116"/>
      <c r="M367" s="325">
        <f t="shared" si="28"/>
        <v>360</v>
      </c>
    </row>
    <row r="368" spans="1:13">
      <c r="A368" s="382"/>
      <c r="C368" s="728" t="s">
        <v>947</v>
      </c>
      <c r="F368" s="116"/>
      <c r="G368" s="116"/>
      <c r="H368" s="116"/>
      <c r="I368" s="116"/>
      <c r="J368" s="116"/>
      <c r="K368" s="116">
        <f>I368-F368</f>
        <v>0</v>
      </c>
      <c r="L368" s="116"/>
      <c r="M368" s="325">
        <f t="shared" si="28"/>
        <v>361</v>
      </c>
    </row>
    <row r="369" spans="1:13">
      <c r="A369" s="382"/>
      <c r="C369" s="15" t="s">
        <v>59</v>
      </c>
      <c r="F369" s="116">
        <f t="shared" ref="F369:F371" si="40">F204+F233+F328+F356</f>
        <v>105750543.48</v>
      </c>
      <c r="G369" s="116">
        <f t="shared" ref="G369" si="41">G204+G233+G328+G356</f>
        <v>147730544</v>
      </c>
      <c r="H369" s="116">
        <f t="shared" ref="H369" si="42">H204+H233+H328+H356</f>
        <v>147884549</v>
      </c>
      <c r="I369" s="116">
        <f>HLOOKUP($I$8,RevenueScenarios,M369,FALSE)</f>
        <v>147884549</v>
      </c>
      <c r="J369" s="116"/>
      <c r="K369" s="116">
        <f>I369-F369</f>
        <v>42134005.519999996</v>
      </c>
      <c r="L369" s="116"/>
      <c r="M369" s="325">
        <f t="shared" si="28"/>
        <v>362</v>
      </c>
    </row>
    <row r="370" spans="1:13">
      <c r="A370" s="868"/>
      <c r="C370" s="15" t="s">
        <v>60</v>
      </c>
      <c r="F370" s="116">
        <f t="shared" si="40"/>
        <v>76744935</v>
      </c>
      <c r="G370" s="116">
        <f t="shared" ref="G370" si="43">G205+G234+G329+G357</f>
        <v>53650131</v>
      </c>
      <c r="H370" s="116">
        <f t="shared" ref="H370" si="44">H205+H234+H329+H357</f>
        <v>55613234</v>
      </c>
      <c r="I370" s="116">
        <f>HLOOKUP($I$8,RevenueScenarios,M370,FALSE)</f>
        <v>55613234</v>
      </c>
      <c r="J370" s="116"/>
      <c r="K370" s="116">
        <f>I370-F370</f>
        <v>-21131701</v>
      </c>
      <c r="L370" s="116"/>
      <c r="M370" s="325">
        <f t="shared" si="28"/>
        <v>363</v>
      </c>
    </row>
    <row r="371" spans="1:13">
      <c r="A371" s="382"/>
      <c r="C371" s="15" t="s">
        <v>33</v>
      </c>
      <c r="F371" s="131">
        <f t="shared" si="40"/>
        <v>182495478.48000002</v>
      </c>
      <c r="G371" s="131">
        <f t="shared" ref="G371" si="45">G206+G235+G330+G358</f>
        <v>201380675</v>
      </c>
      <c r="H371" s="131">
        <f t="shared" ref="H371" si="46">H206+H235+H330+H358</f>
        <v>203497783</v>
      </c>
      <c r="I371" s="131">
        <f>HLOOKUP($I$8,RevenueScenarios,M371,FALSE)</f>
        <v>203497783</v>
      </c>
      <c r="J371" s="131"/>
      <c r="K371" s="131">
        <f>I371-F371</f>
        <v>21002304.519999981</v>
      </c>
      <c r="L371" s="116"/>
      <c r="M371" s="325">
        <f t="shared" si="28"/>
        <v>364</v>
      </c>
    </row>
    <row r="372" spans="1:13">
      <c r="A372" s="214"/>
      <c r="B372" s="214"/>
      <c r="C372" s="214"/>
      <c r="D372" s="214"/>
      <c r="E372" s="214"/>
      <c r="M372" s="325"/>
    </row>
    <row r="373" spans="1:13">
      <c r="I373" s="116"/>
      <c r="J373" s="116"/>
      <c r="K373" s="116"/>
      <c r="M373" s="325"/>
    </row>
    <row r="621" ht="62.25" customHeight="1"/>
  </sheetData>
  <phoneticPr fontId="0" type="noConversion"/>
  <dataValidations count="1">
    <dataValidation showInputMessage="1" showErrorMessage="1" sqref="G8:H8"/>
  </dataValidations>
  <pageMargins left="0.7" right="0.7" top="0.75" bottom="0.75" header="0.3" footer="0.3"/>
  <pageSetup scale="50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AD523"/>
  <sheetViews>
    <sheetView zoomScale="70" zoomScaleNormal="70" workbookViewId="0">
      <selection activeCell="AA13" sqref="AA13"/>
    </sheetView>
  </sheetViews>
  <sheetFormatPr defaultColWidth="16.42578125" defaultRowHeight="12.75"/>
  <cols>
    <col min="1" max="1" width="11.42578125" style="15" customWidth="1"/>
    <col min="2" max="2" width="28.7109375" style="15" customWidth="1"/>
    <col min="3" max="3" width="42.7109375" style="15" bestFit="1" customWidth="1"/>
    <col min="4" max="4" width="12.140625" style="15" customWidth="1"/>
    <col min="5" max="6" width="3.5703125" style="15" customWidth="1"/>
    <col min="7" max="7" width="3.5703125" style="15" hidden="1" customWidth="1"/>
    <col min="8" max="10" width="19.140625" style="15" bestFit="1" customWidth="1"/>
    <col min="11" max="11" width="17.42578125" style="15" bestFit="1" customWidth="1"/>
    <col min="12" max="18" width="19.85546875" style="15" bestFit="1" customWidth="1"/>
    <col min="19" max="19" width="19.85546875" style="15" customWidth="1"/>
    <col min="20" max="20" width="19.85546875" style="15" bestFit="1" customWidth="1"/>
    <col min="21" max="21" width="18.28515625" style="15" customWidth="1"/>
    <col min="22" max="22" width="13.7109375" style="15" customWidth="1"/>
    <col min="23" max="23" width="47" style="15" bestFit="1" customWidth="1"/>
    <col min="24" max="24" width="17.5703125" style="15" customWidth="1"/>
    <col min="25" max="28" width="21" style="15" bestFit="1" customWidth="1"/>
    <col min="29" max="29" width="21.5703125" style="15" bestFit="1" customWidth="1"/>
    <col min="30" max="30" width="22.140625" style="15" bestFit="1" customWidth="1"/>
    <col min="31" max="31" width="13.85546875" style="15" customWidth="1"/>
    <col min="32" max="32" width="16.42578125" style="15"/>
    <col min="33" max="33" width="12.7109375" style="15" bestFit="1" customWidth="1"/>
    <col min="34" max="42" width="16.42578125" style="15"/>
    <col min="43" max="74" width="16.42578125" style="15" customWidth="1"/>
    <col min="75" max="256" width="16.42578125" style="15"/>
    <col min="257" max="257" width="29.7109375" style="15" customWidth="1"/>
    <col min="258" max="258" width="23" style="15" customWidth="1"/>
    <col min="259" max="259" width="42.7109375" style="15" bestFit="1" customWidth="1"/>
    <col min="260" max="260" width="12.140625" style="15" customWidth="1"/>
    <col min="261" max="263" width="3.5703125" style="15" customWidth="1"/>
    <col min="264" max="276" width="19.85546875" style="15" bestFit="1" customWidth="1"/>
    <col min="277" max="277" width="18.28515625" style="15" customWidth="1"/>
    <col min="278" max="278" width="13.7109375" style="15" customWidth="1"/>
    <col min="279" max="279" width="47" style="15" bestFit="1" customWidth="1"/>
    <col min="280" max="280" width="17.5703125" style="15" customWidth="1"/>
    <col min="281" max="284" width="21" style="15" bestFit="1" customWidth="1"/>
    <col min="285" max="285" width="21.5703125" style="15" bestFit="1" customWidth="1"/>
    <col min="286" max="286" width="22.140625" style="15" bestFit="1" customWidth="1"/>
    <col min="287" max="287" width="13.85546875" style="15" customWidth="1"/>
    <col min="288" max="288" width="16.42578125" style="15"/>
    <col min="289" max="289" width="12.7109375" style="15" bestFit="1" customWidth="1"/>
    <col min="290" max="298" width="16.42578125" style="15"/>
    <col min="299" max="330" width="16.42578125" style="15" customWidth="1"/>
    <col min="331" max="512" width="16.42578125" style="15"/>
    <col min="513" max="513" width="29.7109375" style="15" customWidth="1"/>
    <col min="514" max="514" width="23" style="15" customWidth="1"/>
    <col min="515" max="515" width="42.7109375" style="15" bestFit="1" customWidth="1"/>
    <col min="516" max="516" width="12.140625" style="15" customWidth="1"/>
    <col min="517" max="519" width="3.5703125" style="15" customWidth="1"/>
    <col min="520" max="532" width="19.85546875" style="15" bestFit="1" customWidth="1"/>
    <col min="533" max="533" width="18.28515625" style="15" customWidth="1"/>
    <col min="534" max="534" width="13.7109375" style="15" customWidth="1"/>
    <col min="535" max="535" width="47" style="15" bestFit="1" customWidth="1"/>
    <col min="536" max="536" width="17.5703125" style="15" customWidth="1"/>
    <col min="537" max="540" width="21" style="15" bestFit="1" customWidth="1"/>
    <col min="541" max="541" width="21.5703125" style="15" bestFit="1" customWidth="1"/>
    <col min="542" max="542" width="22.140625" style="15" bestFit="1" customWidth="1"/>
    <col min="543" max="543" width="13.85546875" style="15" customWidth="1"/>
    <col min="544" max="544" width="16.42578125" style="15"/>
    <col min="545" max="545" width="12.7109375" style="15" bestFit="1" customWidth="1"/>
    <col min="546" max="554" width="16.42578125" style="15"/>
    <col min="555" max="586" width="16.42578125" style="15" customWidth="1"/>
    <col min="587" max="768" width="16.42578125" style="15"/>
    <col min="769" max="769" width="29.7109375" style="15" customWidth="1"/>
    <col min="770" max="770" width="23" style="15" customWidth="1"/>
    <col min="771" max="771" width="42.7109375" style="15" bestFit="1" customWidth="1"/>
    <col min="772" max="772" width="12.140625" style="15" customWidth="1"/>
    <col min="773" max="775" width="3.5703125" style="15" customWidth="1"/>
    <col min="776" max="788" width="19.85546875" style="15" bestFit="1" customWidth="1"/>
    <col min="789" max="789" width="18.28515625" style="15" customWidth="1"/>
    <col min="790" max="790" width="13.7109375" style="15" customWidth="1"/>
    <col min="791" max="791" width="47" style="15" bestFit="1" customWidth="1"/>
    <col min="792" max="792" width="17.5703125" style="15" customWidth="1"/>
    <col min="793" max="796" width="21" style="15" bestFit="1" customWidth="1"/>
    <col min="797" max="797" width="21.5703125" style="15" bestFit="1" customWidth="1"/>
    <col min="798" max="798" width="22.140625" style="15" bestFit="1" customWidth="1"/>
    <col min="799" max="799" width="13.85546875" style="15" customWidth="1"/>
    <col min="800" max="800" width="16.42578125" style="15"/>
    <col min="801" max="801" width="12.7109375" style="15" bestFit="1" customWidth="1"/>
    <col min="802" max="810" width="16.42578125" style="15"/>
    <col min="811" max="842" width="16.42578125" style="15" customWidth="1"/>
    <col min="843" max="1024" width="16.42578125" style="15"/>
    <col min="1025" max="1025" width="29.7109375" style="15" customWidth="1"/>
    <col min="1026" max="1026" width="23" style="15" customWidth="1"/>
    <col min="1027" max="1027" width="42.7109375" style="15" bestFit="1" customWidth="1"/>
    <col min="1028" max="1028" width="12.140625" style="15" customWidth="1"/>
    <col min="1029" max="1031" width="3.5703125" style="15" customWidth="1"/>
    <col min="1032" max="1044" width="19.85546875" style="15" bestFit="1" customWidth="1"/>
    <col min="1045" max="1045" width="18.28515625" style="15" customWidth="1"/>
    <col min="1046" max="1046" width="13.7109375" style="15" customWidth="1"/>
    <col min="1047" max="1047" width="47" style="15" bestFit="1" customWidth="1"/>
    <col min="1048" max="1048" width="17.5703125" style="15" customWidth="1"/>
    <col min="1049" max="1052" width="21" style="15" bestFit="1" customWidth="1"/>
    <col min="1053" max="1053" width="21.5703125" style="15" bestFit="1" customWidth="1"/>
    <col min="1054" max="1054" width="22.140625" style="15" bestFit="1" customWidth="1"/>
    <col min="1055" max="1055" width="13.85546875" style="15" customWidth="1"/>
    <col min="1056" max="1056" width="16.42578125" style="15"/>
    <col min="1057" max="1057" width="12.7109375" style="15" bestFit="1" customWidth="1"/>
    <col min="1058" max="1066" width="16.42578125" style="15"/>
    <col min="1067" max="1098" width="16.42578125" style="15" customWidth="1"/>
    <col min="1099" max="1280" width="16.42578125" style="15"/>
    <col min="1281" max="1281" width="29.7109375" style="15" customWidth="1"/>
    <col min="1282" max="1282" width="23" style="15" customWidth="1"/>
    <col min="1283" max="1283" width="42.7109375" style="15" bestFit="1" customWidth="1"/>
    <col min="1284" max="1284" width="12.140625" style="15" customWidth="1"/>
    <col min="1285" max="1287" width="3.5703125" style="15" customWidth="1"/>
    <col min="1288" max="1300" width="19.85546875" style="15" bestFit="1" customWidth="1"/>
    <col min="1301" max="1301" width="18.28515625" style="15" customWidth="1"/>
    <col min="1302" max="1302" width="13.7109375" style="15" customWidth="1"/>
    <col min="1303" max="1303" width="47" style="15" bestFit="1" customWidth="1"/>
    <col min="1304" max="1304" width="17.5703125" style="15" customWidth="1"/>
    <col min="1305" max="1308" width="21" style="15" bestFit="1" customWidth="1"/>
    <col min="1309" max="1309" width="21.5703125" style="15" bestFit="1" customWidth="1"/>
    <col min="1310" max="1310" width="22.140625" style="15" bestFit="1" customWidth="1"/>
    <col min="1311" max="1311" width="13.85546875" style="15" customWidth="1"/>
    <col min="1312" max="1312" width="16.42578125" style="15"/>
    <col min="1313" max="1313" width="12.7109375" style="15" bestFit="1" customWidth="1"/>
    <col min="1314" max="1322" width="16.42578125" style="15"/>
    <col min="1323" max="1354" width="16.42578125" style="15" customWidth="1"/>
    <col min="1355" max="1536" width="16.42578125" style="15"/>
    <col min="1537" max="1537" width="29.7109375" style="15" customWidth="1"/>
    <col min="1538" max="1538" width="23" style="15" customWidth="1"/>
    <col min="1539" max="1539" width="42.7109375" style="15" bestFit="1" customWidth="1"/>
    <col min="1540" max="1540" width="12.140625" style="15" customWidth="1"/>
    <col min="1541" max="1543" width="3.5703125" style="15" customWidth="1"/>
    <col min="1544" max="1556" width="19.85546875" style="15" bestFit="1" customWidth="1"/>
    <col min="1557" max="1557" width="18.28515625" style="15" customWidth="1"/>
    <col min="1558" max="1558" width="13.7109375" style="15" customWidth="1"/>
    <col min="1559" max="1559" width="47" style="15" bestFit="1" customWidth="1"/>
    <col min="1560" max="1560" width="17.5703125" style="15" customWidth="1"/>
    <col min="1561" max="1564" width="21" style="15" bestFit="1" customWidth="1"/>
    <col min="1565" max="1565" width="21.5703125" style="15" bestFit="1" customWidth="1"/>
    <col min="1566" max="1566" width="22.140625" style="15" bestFit="1" customWidth="1"/>
    <col min="1567" max="1567" width="13.85546875" style="15" customWidth="1"/>
    <col min="1568" max="1568" width="16.42578125" style="15"/>
    <col min="1569" max="1569" width="12.7109375" style="15" bestFit="1" customWidth="1"/>
    <col min="1570" max="1578" width="16.42578125" style="15"/>
    <col min="1579" max="1610" width="16.42578125" style="15" customWidth="1"/>
    <col min="1611" max="1792" width="16.42578125" style="15"/>
    <col min="1793" max="1793" width="29.7109375" style="15" customWidth="1"/>
    <col min="1794" max="1794" width="23" style="15" customWidth="1"/>
    <col min="1795" max="1795" width="42.7109375" style="15" bestFit="1" customWidth="1"/>
    <col min="1796" max="1796" width="12.140625" style="15" customWidth="1"/>
    <col min="1797" max="1799" width="3.5703125" style="15" customWidth="1"/>
    <col min="1800" max="1812" width="19.85546875" style="15" bestFit="1" customWidth="1"/>
    <col min="1813" max="1813" width="18.28515625" style="15" customWidth="1"/>
    <col min="1814" max="1814" width="13.7109375" style="15" customWidth="1"/>
    <col min="1815" max="1815" width="47" style="15" bestFit="1" customWidth="1"/>
    <col min="1816" max="1816" width="17.5703125" style="15" customWidth="1"/>
    <col min="1817" max="1820" width="21" style="15" bestFit="1" customWidth="1"/>
    <col min="1821" max="1821" width="21.5703125" style="15" bestFit="1" customWidth="1"/>
    <col min="1822" max="1822" width="22.140625" style="15" bestFit="1" customWidth="1"/>
    <col min="1823" max="1823" width="13.85546875" style="15" customWidth="1"/>
    <col min="1824" max="1824" width="16.42578125" style="15"/>
    <col min="1825" max="1825" width="12.7109375" style="15" bestFit="1" customWidth="1"/>
    <col min="1826" max="1834" width="16.42578125" style="15"/>
    <col min="1835" max="1866" width="16.42578125" style="15" customWidth="1"/>
    <col min="1867" max="2048" width="16.42578125" style="15"/>
    <col min="2049" max="2049" width="29.7109375" style="15" customWidth="1"/>
    <col min="2050" max="2050" width="23" style="15" customWidth="1"/>
    <col min="2051" max="2051" width="42.7109375" style="15" bestFit="1" customWidth="1"/>
    <col min="2052" max="2052" width="12.140625" style="15" customWidth="1"/>
    <col min="2053" max="2055" width="3.5703125" style="15" customWidth="1"/>
    <col min="2056" max="2068" width="19.85546875" style="15" bestFit="1" customWidth="1"/>
    <col min="2069" max="2069" width="18.28515625" style="15" customWidth="1"/>
    <col min="2070" max="2070" width="13.7109375" style="15" customWidth="1"/>
    <col min="2071" max="2071" width="47" style="15" bestFit="1" customWidth="1"/>
    <col min="2072" max="2072" width="17.5703125" style="15" customWidth="1"/>
    <col min="2073" max="2076" width="21" style="15" bestFit="1" customWidth="1"/>
    <col min="2077" max="2077" width="21.5703125" style="15" bestFit="1" customWidth="1"/>
    <col min="2078" max="2078" width="22.140625" style="15" bestFit="1" customWidth="1"/>
    <col min="2079" max="2079" width="13.85546875" style="15" customWidth="1"/>
    <col min="2080" max="2080" width="16.42578125" style="15"/>
    <col min="2081" max="2081" width="12.7109375" style="15" bestFit="1" customWidth="1"/>
    <col min="2082" max="2090" width="16.42578125" style="15"/>
    <col min="2091" max="2122" width="16.42578125" style="15" customWidth="1"/>
    <col min="2123" max="2304" width="16.42578125" style="15"/>
    <col min="2305" max="2305" width="29.7109375" style="15" customWidth="1"/>
    <col min="2306" max="2306" width="23" style="15" customWidth="1"/>
    <col min="2307" max="2307" width="42.7109375" style="15" bestFit="1" customWidth="1"/>
    <col min="2308" max="2308" width="12.140625" style="15" customWidth="1"/>
    <col min="2309" max="2311" width="3.5703125" style="15" customWidth="1"/>
    <col min="2312" max="2324" width="19.85546875" style="15" bestFit="1" customWidth="1"/>
    <col min="2325" max="2325" width="18.28515625" style="15" customWidth="1"/>
    <col min="2326" max="2326" width="13.7109375" style="15" customWidth="1"/>
    <col min="2327" max="2327" width="47" style="15" bestFit="1" customWidth="1"/>
    <col min="2328" max="2328" width="17.5703125" style="15" customWidth="1"/>
    <col min="2329" max="2332" width="21" style="15" bestFit="1" customWidth="1"/>
    <col min="2333" max="2333" width="21.5703125" style="15" bestFit="1" customWidth="1"/>
    <col min="2334" max="2334" width="22.140625" style="15" bestFit="1" customWidth="1"/>
    <col min="2335" max="2335" width="13.85546875" style="15" customWidth="1"/>
    <col min="2336" max="2336" width="16.42578125" style="15"/>
    <col min="2337" max="2337" width="12.7109375" style="15" bestFit="1" customWidth="1"/>
    <col min="2338" max="2346" width="16.42578125" style="15"/>
    <col min="2347" max="2378" width="16.42578125" style="15" customWidth="1"/>
    <col min="2379" max="2560" width="16.42578125" style="15"/>
    <col min="2561" max="2561" width="29.7109375" style="15" customWidth="1"/>
    <col min="2562" max="2562" width="23" style="15" customWidth="1"/>
    <col min="2563" max="2563" width="42.7109375" style="15" bestFit="1" customWidth="1"/>
    <col min="2564" max="2564" width="12.140625" style="15" customWidth="1"/>
    <col min="2565" max="2567" width="3.5703125" style="15" customWidth="1"/>
    <col min="2568" max="2580" width="19.85546875" style="15" bestFit="1" customWidth="1"/>
    <col min="2581" max="2581" width="18.28515625" style="15" customWidth="1"/>
    <col min="2582" max="2582" width="13.7109375" style="15" customWidth="1"/>
    <col min="2583" max="2583" width="47" style="15" bestFit="1" customWidth="1"/>
    <col min="2584" max="2584" width="17.5703125" style="15" customWidth="1"/>
    <col min="2585" max="2588" width="21" style="15" bestFit="1" customWidth="1"/>
    <col min="2589" max="2589" width="21.5703125" style="15" bestFit="1" customWidth="1"/>
    <col min="2590" max="2590" width="22.140625" style="15" bestFit="1" customWidth="1"/>
    <col min="2591" max="2591" width="13.85546875" style="15" customWidth="1"/>
    <col min="2592" max="2592" width="16.42578125" style="15"/>
    <col min="2593" max="2593" width="12.7109375" style="15" bestFit="1" customWidth="1"/>
    <col min="2594" max="2602" width="16.42578125" style="15"/>
    <col min="2603" max="2634" width="16.42578125" style="15" customWidth="1"/>
    <col min="2635" max="2816" width="16.42578125" style="15"/>
    <col min="2817" max="2817" width="29.7109375" style="15" customWidth="1"/>
    <col min="2818" max="2818" width="23" style="15" customWidth="1"/>
    <col min="2819" max="2819" width="42.7109375" style="15" bestFit="1" customWidth="1"/>
    <col min="2820" max="2820" width="12.140625" style="15" customWidth="1"/>
    <col min="2821" max="2823" width="3.5703125" style="15" customWidth="1"/>
    <col min="2824" max="2836" width="19.85546875" style="15" bestFit="1" customWidth="1"/>
    <col min="2837" max="2837" width="18.28515625" style="15" customWidth="1"/>
    <col min="2838" max="2838" width="13.7109375" style="15" customWidth="1"/>
    <col min="2839" max="2839" width="47" style="15" bestFit="1" customWidth="1"/>
    <col min="2840" max="2840" width="17.5703125" style="15" customWidth="1"/>
    <col min="2841" max="2844" width="21" style="15" bestFit="1" customWidth="1"/>
    <col min="2845" max="2845" width="21.5703125" style="15" bestFit="1" customWidth="1"/>
    <col min="2846" max="2846" width="22.140625" style="15" bestFit="1" customWidth="1"/>
    <col min="2847" max="2847" width="13.85546875" style="15" customWidth="1"/>
    <col min="2848" max="2848" width="16.42578125" style="15"/>
    <col min="2849" max="2849" width="12.7109375" style="15" bestFit="1" customWidth="1"/>
    <col min="2850" max="2858" width="16.42578125" style="15"/>
    <col min="2859" max="2890" width="16.42578125" style="15" customWidth="1"/>
    <col min="2891" max="3072" width="16.42578125" style="15"/>
    <col min="3073" max="3073" width="29.7109375" style="15" customWidth="1"/>
    <col min="3074" max="3074" width="23" style="15" customWidth="1"/>
    <col min="3075" max="3075" width="42.7109375" style="15" bestFit="1" customWidth="1"/>
    <col min="3076" max="3076" width="12.140625" style="15" customWidth="1"/>
    <col min="3077" max="3079" width="3.5703125" style="15" customWidth="1"/>
    <col min="3080" max="3092" width="19.85546875" style="15" bestFit="1" customWidth="1"/>
    <col min="3093" max="3093" width="18.28515625" style="15" customWidth="1"/>
    <col min="3094" max="3094" width="13.7109375" style="15" customWidth="1"/>
    <col min="3095" max="3095" width="47" style="15" bestFit="1" customWidth="1"/>
    <col min="3096" max="3096" width="17.5703125" style="15" customWidth="1"/>
    <col min="3097" max="3100" width="21" style="15" bestFit="1" customWidth="1"/>
    <col min="3101" max="3101" width="21.5703125" style="15" bestFit="1" customWidth="1"/>
    <col min="3102" max="3102" width="22.140625" style="15" bestFit="1" customWidth="1"/>
    <col min="3103" max="3103" width="13.85546875" style="15" customWidth="1"/>
    <col min="3104" max="3104" width="16.42578125" style="15"/>
    <col min="3105" max="3105" width="12.7109375" style="15" bestFit="1" customWidth="1"/>
    <col min="3106" max="3114" width="16.42578125" style="15"/>
    <col min="3115" max="3146" width="16.42578125" style="15" customWidth="1"/>
    <col min="3147" max="3328" width="16.42578125" style="15"/>
    <col min="3329" max="3329" width="29.7109375" style="15" customWidth="1"/>
    <col min="3330" max="3330" width="23" style="15" customWidth="1"/>
    <col min="3331" max="3331" width="42.7109375" style="15" bestFit="1" customWidth="1"/>
    <col min="3332" max="3332" width="12.140625" style="15" customWidth="1"/>
    <col min="3333" max="3335" width="3.5703125" style="15" customWidth="1"/>
    <col min="3336" max="3348" width="19.85546875" style="15" bestFit="1" customWidth="1"/>
    <col min="3349" max="3349" width="18.28515625" style="15" customWidth="1"/>
    <col min="3350" max="3350" width="13.7109375" style="15" customWidth="1"/>
    <col min="3351" max="3351" width="47" style="15" bestFit="1" customWidth="1"/>
    <col min="3352" max="3352" width="17.5703125" style="15" customWidth="1"/>
    <col min="3353" max="3356" width="21" style="15" bestFit="1" customWidth="1"/>
    <col min="3357" max="3357" width="21.5703125" style="15" bestFit="1" customWidth="1"/>
    <col min="3358" max="3358" width="22.140625" style="15" bestFit="1" customWidth="1"/>
    <col min="3359" max="3359" width="13.85546875" style="15" customWidth="1"/>
    <col min="3360" max="3360" width="16.42578125" style="15"/>
    <col min="3361" max="3361" width="12.7109375" style="15" bestFit="1" customWidth="1"/>
    <col min="3362" max="3370" width="16.42578125" style="15"/>
    <col min="3371" max="3402" width="16.42578125" style="15" customWidth="1"/>
    <col min="3403" max="3584" width="16.42578125" style="15"/>
    <col min="3585" max="3585" width="29.7109375" style="15" customWidth="1"/>
    <col min="3586" max="3586" width="23" style="15" customWidth="1"/>
    <col min="3587" max="3587" width="42.7109375" style="15" bestFit="1" customWidth="1"/>
    <col min="3588" max="3588" width="12.140625" style="15" customWidth="1"/>
    <col min="3589" max="3591" width="3.5703125" style="15" customWidth="1"/>
    <col min="3592" max="3604" width="19.85546875" style="15" bestFit="1" customWidth="1"/>
    <col min="3605" max="3605" width="18.28515625" style="15" customWidth="1"/>
    <col min="3606" max="3606" width="13.7109375" style="15" customWidth="1"/>
    <col min="3607" max="3607" width="47" style="15" bestFit="1" customWidth="1"/>
    <col min="3608" max="3608" width="17.5703125" style="15" customWidth="1"/>
    <col min="3609" max="3612" width="21" style="15" bestFit="1" customWidth="1"/>
    <col min="3613" max="3613" width="21.5703125" style="15" bestFit="1" customWidth="1"/>
    <col min="3614" max="3614" width="22.140625" style="15" bestFit="1" customWidth="1"/>
    <col min="3615" max="3615" width="13.85546875" style="15" customWidth="1"/>
    <col min="3616" max="3616" width="16.42578125" style="15"/>
    <col min="3617" max="3617" width="12.7109375" style="15" bestFit="1" customWidth="1"/>
    <col min="3618" max="3626" width="16.42578125" style="15"/>
    <col min="3627" max="3658" width="16.42578125" style="15" customWidth="1"/>
    <col min="3659" max="3840" width="16.42578125" style="15"/>
    <col min="3841" max="3841" width="29.7109375" style="15" customWidth="1"/>
    <col min="3842" max="3842" width="23" style="15" customWidth="1"/>
    <col min="3843" max="3843" width="42.7109375" style="15" bestFit="1" customWidth="1"/>
    <col min="3844" max="3844" width="12.140625" style="15" customWidth="1"/>
    <col min="3845" max="3847" width="3.5703125" style="15" customWidth="1"/>
    <col min="3848" max="3860" width="19.85546875" style="15" bestFit="1" customWidth="1"/>
    <col min="3861" max="3861" width="18.28515625" style="15" customWidth="1"/>
    <col min="3862" max="3862" width="13.7109375" style="15" customWidth="1"/>
    <col min="3863" max="3863" width="47" style="15" bestFit="1" customWidth="1"/>
    <col min="3864" max="3864" width="17.5703125" style="15" customWidth="1"/>
    <col min="3865" max="3868" width="21" style="15" bestFit="1" customWidth="1"/>
    <col min="3869" max="3869" width="21.5703125" style="15" bestFit="1" customWidth="1"/>
    <col min="3870" max="3870" width="22.140625" style="15" bestFit="1" customWidth="1"/>
    <col min="3871" max="3871" width="13.85546875" style="15" customWidth="1"/>
    <col min="3872" max="3872" width="16.42578125" style="15"/>
    <col min="3873" max="3873" width="12.7109375" style="15" bestFit="1" customWidth="1"/>
    <col min="3874" max="3882" width="16.42578125" style="15"/>
    <col min="3883" max="3914" width="16.42578125" style="15" customWidth="1"/>
    <col min="3915" max="4096" width="16.42578125" style="15"/>
    <col min="4097" max="4097" width="29.7109375" style="15" customWidth="1"/>
    <col min="4098" max="4098" width="23" style="15" customWidth="1"/>
    <col min="4099" max="4099" width="42.7109375" style="15" bestFit="1" customWidth="1"/>
    <col min="4100" max="4100" width="12.140625" style="15" customWidth="1"/>
    <col min="4101" max="4103" width="3.5703125" style="15" customWidth="1"/>
    <col min="4104" max="4116" width="19.85546875" style="15" bestFit="1" customWidth="1"/>
    <col min="4117" max="4117" width="18.28515625" style="15" customWidth="1"/>
    <col min="4118" max="4118" width="13.7109375" style="15" customWidth="1"/>
    <col min="4119" max="4119" width="47" style="15" bestFit="1" customWidth="1"/>
    <col min="4120" max="4120" width="17.5703125" style="15" customWidth="1"/>
    <col min="4121" max="4124" width="21" style="15" bestFit="1" customWidth="1"/>
    <col min="4125" max="4125" width="21.5703125" style="15" bestFit="1" customWidth="1"/>
    <col min="4126" max="4126" width="22.140625" style="15" bestFit="1" customWidth="1"/>
    <col min="4127" max="4127" width="13.85546875" style="15" customWidth="1"/>
    <col min="4128" max="4128" width="16.42578125" style="15"/>
    <col min="4129" max="4129" width="12.7109375" style="15" bestFit="1" customWidth="1"/>
    <col min="4130" max="4138" width="16.42578125" style="15"/>
    <col min="4139" max="4170" width="16.42578125" style="15" customWidth="1"/>
    <col min="4171" max="4352" width="16.42578125" style="15"/>
    <col min="4353" max="4353" width="29.7109375" style="15" customWidth="1"/>
    <col min="4354" max="4354" width="23" style="15" customWidth="1"/>
    <col min="4355" max="4355" width="42.7109375" style="15" bestFit="1" customWidth="1"/>
    <col min="4356" max="4356" width="12.140625" style="15" customWidth="1"/>
    <col min="4357" max="4359" width="3.5703125" style="15" customWidth="1"/>
    <col min="4360" max="4372" width="19.85546875" style="15" bestFit="1" customWidth="1"/>
    <col min="4373" max="4373" width="18.28515625" style="15" customWidth="1"/>
    <col min="4374" max="4374" width="13.7109375" style="15" customWidth="1"/>
    <col min="4375" max="4375" width="47" style="15" bestFit="1" customWidth="1"/>
    <col min="4376" max="4376" width="17.5703125" style="15" customWidth="1"/>
    <col min="4377" max="4380" width="21" style="15" bestFit="1" customWidth="1"/>
    <col min="4381" max="4381" width="21.5703125" style="15" bestFit="1" customWidth="1"/>
    <col min="4382" max="4382" width="22.140625" style="15" bestFit="1" customWidth="1"/>
    <col min="4383" max="4383" width="13.85546875" style="15" customWidth="1"/>
    <col min="4384" max="4384" width="16.42578125" style="15"/>
    <col min="4385" max="4385" width="12.7109375" style="15" bestFit="1" customWidth="1"/>
    <col min="4386" max="4394" width="16.42578125" style="15"/>
    <col min="4395" max="4426" width="16.42578125" style="15" customWidth="1"/>
    <col min="4427" max="4608" width="16.42578125" style="15"/>
    <col min="4609" max="4609" width="29.7109375" style="15" customWidth="1"/>
    <col min="4610" max="4610" width="23" style="15" customWidth="1"/>
    <col min="4611" max="4611" width="42.7109375" style="15" bestFit="1" customWidth="1"/>
    <col min="4612" max="4612" width="12.140625" style="15" customWidth="1"/>
    <col min="4613" max="4615" width="3.5703125" style="15" customWidth="1"/>
    <col min="4616" max="4628" width="19.85546875" style="15" bestFit="1" customWidth="1"/>
    <col min="4629" max="4629" width="18.28515625" style="15" customWidth="1"/>
    <col min="4630" max="4630" width="13.7109375" style="15" customWidth="1"/>
    <col min="4631" max="4631" width="47" style="15" bestFit="1" customWidth="1"/>
    <col min="4632" max="4632" width="17.5703125" style="15" customWidth="1"/>
    <col min="4633" max="4636" width="21" style="15" bestFit="1" customWidth="1"/>
    <col min="4637" max="4637" width="21.5703125" style="15" bestFit="1" customWidth="1"/>
    <col min="4638" max="4638" width="22.140625" style="15" bestFit="1" customWidth="1"/>
    <col min="4639" max="4639" width="13.85546875" style="15" customWidth="1"/>
    <col min="4640" max="4640" width="16.42578125" style="15"/>
    <col min="4641" max="4641" width="12.7109375" style="15" bestFit="1" customWidth="1"/>
    <col min="4642" max="4650" width="16.42578125" style="15"/>
    <col min="4651" max="4682" width="16.42578125" style="15" customWidth="1"/>
    <col min="4683" max="4864" width="16.42578125" style="15"/>
    <col min="4865" max="4865" width="29.7109375" style="15" customWidth="1"/>
    <col min="4866" max="4866" width="23" style="15" customWidth="1"/>
    <col min="4867" max="4867" width="42.7109375" style="15" bestFit="1" customWidth="1"/>
    <col min="4868" max="4868" width="12.140625" style="15" customWidth="1"/>
    <col min="4869" max="4871" width="3.5703125" style="15" customWidth="1"/>
    <col min="4872" max="4884" width="19.85546875" style="15" bestFit="1" customWidth="1"/>
    <col min="4885" max="4885" width="18.28515625" style="15" customWidth="1"/>
    <col min="4886" max="4886" width="13.7109375" style="15" customWidth="1"/>
    <col min="4887" max="4887" width="47" style="15" bestFit="1" customWidth="1"/>
    <col min="4888" max="4888" width="17.5703125" style="15" customWidth="1"/>
    <col min="4889" max="4892" width="21" style="15" bestFit="1" customWidth="1"/>
    <col min="4893" max="4893" width="21.5703125" style="15" bestFit="1" customWidth="1"/>
    <col min="4894" max="4894" width="22.140625" style="15" bestFit="1" customWidth="1"/>
    <col min="4895" max="4895" width="13.85546875" style="15" customWidth="1"/>
    <col min="4896" max="4896" width="16.42578125" style="15"/>
    <col min="4897" max="4897" width="12.7109375" style="15" bestFit="1" customWidth="1"/>
    <col min="4898" max="4906" width="16.42578125" style="15"/>
    <col min="4907" max="4938" width="16.42578125" style="15" customWidth="1"/>
    <col min="4939" max="5120" width="16.42578125" style="15"/>
    <col min="5121" max="5121" width="29.7109375" style="15" customWidth="1"/>
    <col min="5122" max="5122" width="23" style="15" customWidth="1"/>
    <col min="5123" max="5123" width="42.7109375" style="15" bestFit="1" customWidth="1"/>
    <col min="5124" max="5124" width="12.140625" style="15" customWidth="1"/>
    <col min="5125" max="5127" width="3.5703125" style="15" customWidth="1"/>
    <col min="5128" max="5140" width="19.85546875" style="15" bestFit="1" customWidth="1"/>
    <col min="5141" max="5141" width="18.28515625" style="15" customWidth="1"/>
    <col min="5142" max="5142" width="13.7109375" style="15" customWidth="1"/>
    <col min="5143" max="5143" width="47" style="15" bestFit="1" customWidth="1"/>
    <col min="5144" max="5144" width="17.5703125" style="15" customWidth="1"/>
    <col min="5145" max="5148" width="21" style="15" bestFit="1" customWidth="1"/>
    <col min="5149" max="5149" width="21.5703125" style="15" bestFit="1" customWidth="1"/>
    <col min="5150" max="5150" width="22.140625" style="15" bestFit="1" customWidth="1"/>
    <col min="5151" max="5151" width="13.85546875" style="15" customWidth="1"/>
    <col min="5152" max="5152" width="16.42578125" style="15"/>
    <col min="5153" max="5153" width="12.7109375" style="15" bestFit="1" customWidth="1"/>
    <col min="5154" max="5162" width="16.42578125" style="15"/>
    <col min="5163" max="5194" width="16.42578125" style="15" customWidth="1"/>
    <col min="5195" max="5376" width="16.42578125" style="15"/>
    <col min="5377" max="5377" width="29.7109375" style="15" customWidth="1"/>
    <col min="5378" max="5378" width="23" style="15" customWidth="1"/>
    <col min="5379" max="5379" width="42.7109375" style="15" bestFit="1" customWidth="1"/>
    <col min="5380" max="5380" width="12.140625" style="15" customWidth="1"/>
    <col min="5381" max="5383" width="3.5703125" style="15" customWidth="1"/>
    <col min="5384" max="5396" width="19.85546875" style="15" bestFit="1" customWidth="1"/>
    <col min="5397" max="5397" width="18.28515625" style="15" customWidth="1"/>
    <col min="5398" max="5398" width="13.7109375" style="15" customWidth="1"/>
    <col min="5399" max="5399" width="47" style="15" bestFit="1" customWidth="1"/>
    <col min="5400" max="5400" width="17.5703125" style="15" customWidth="1"/>
    <col min="5401" max="5404" width="21" style="15" bestFit="1" customWidth="1"/>
    <col min="5405" max="5405" width="21.5703125" style="15" bestFit="1" customWidth="1"/>
    <col min="5406" max="5406" width="22.140625" style="15" bestFit="1" customWidth="1"/>
    <col min="5407" max="5407" width="13.85546875" style="15" customWidth="1"/>
    <col min="5408" max="5408" width="16.42578125" style="15"/>
    <col min="5409" max="5409" width="12.7109375" style="15" bestFit="1" customWidth="1"/>
    <col min="5410" max="5418" width="16.42578125" style="15"/>
    <col min="5419" max="5450" width="16.42578125" style="15" customWidth="1"/>
    <col min="5451" max="5632" width="16.42578125" style="15"/>
    <col min="5633" max="5633" width="29.7109375" style="15" customWidth="1"/>
    <col min="5634" max="5634" width="23" style="15" customWidth="1"/>
    <col min="5635" max="5635" width="42.7109375" style="15" bestFit="1" customWidth="1"/>
    <col min="5636" max="5636" width="12.140625" style="15" customWidth="1"/>
    <col min="5637" max="5639" width="3.5703125" style="15" customWidth="1"/>
    <col min="5640" max="5652" width="19.85546875" style="15" bestFit="1" customWidth="1"/>
    <col min="5653" max="5653" width="18.28515625" style="15" customWidth="1"/>
    <col min="5654" max="5654" width="13.7109375" style="15" customWidth="1"/>
    <col min="5655" max="5655" width="47" style="15" bestFit="1" customWidth="1"/>
    <col min="5656" max="5656" width="17.5703125" style="15" customWidth="1"/>
    <col min="5657" max="5660" width="21" style="15" bestFit="1" customWidth="1"/>
    <col min="5661" max="5661" width="21.5703125" style="15" bestFit="1" customWidth="1"/>
    <col min="5662" max="5662" width="22.140625" style="15" bestFit="1" customWidth="1"/>
    <col min="5663" max="5663" width="13.85546875" style="15" customWidth="1"/>
    <col min="5664" max="5664" width="16.42578125" style="15"/>
    <col min="5665" max="5665" width="12.7109375" style="15" bestFit="1" customWidth="1"/>
    <col min="5666" max="5674" width="16.42578125" style="15"/>
    <col min="5675" max="5706" width="16.42578125" style="15" customWidth="1"/>
    <col min="5707" max="5888" width="16.42578125" style="15"/>
    <col min="5889" max="5889" width="29.7109375" style="15" customWidth="1"/>
    <col min="5890" max="5890" width="23" style="15" customWidth="1"/>
    <col min="5891" max="5891" width="42.7109375" style="15" bestFit="1" customWidth="1"/>
    <col min="5892" max="5892" width="12.140625" style="15" customWidth="1"/>
    <col min="5893" max="5895" width="3.5703125" style="15" customWidth="1"/>
    <col min="5896" max="5908" width="19.85546875" style="15" bestFit="1" customWidth="1"/>
    <col min="5909" max="5909" width="18.28515625" style="15" customWidth="1"/>
    <col min="5910" max="5910" width="13.7109375" style="15" customWidth="1"/>
    <col min="5911" max="5911" width="47" style="15" bestFit="1" customWidth="1"/>
    <col min="5912" max="5912" width="17.5703125" style="15" customWidth="1"/>
    <col min="5913" max="5916" width="21" style="15" bestFit="1" customWidth="1"/>
    <col min="5917" max="5917" width="21.5703125" style="15" bestFit="1" customWidth="1"/>
    <col min="5918" max="5918" width="22.140625" style="15" bestFit="1" customWidth="1"/>
    <col min="5919" max="5919" width="13.85546875" style="15" customWidth="1"/>
    <col min="5920" max="5920" width="16.42578125" style="15"/>
    <col min="5921" max="5921" width="12.7109375" style="15" bestFit="1" customWidth="1"/>
    <col min="5922" max="5930" width="16.42578125" style="15"/>
    <col min="5931" max="5962" width="16.42578125" style="15" customWidth="1"/>
    <col min="5963" max="6144" width="16.42578125" style="15"/>
    <col min="6145" max="6145" width="29.7109375" style="15" customWidth="1"/>
    <col min="6146" max="6146" width="23" style="15" customWidth="1"/>
    <col min="6147" max="6147" width="42.7109375" style="15" bestFit="1" customWidth="1"/>
    <col min="6148" max="6148" width="12.140625" style="15" customWidth="1"/>
    <col min="6149" max="6151" width="3.5703125" style="15" customWidth="1"/>
    <col min="6152" max="6164" width="19.85546875" style="15" bestFit="1" customWidth="1"/>
    <col min="6165" max="6165" width="18.28515625" style="15" customWidth="1"/>
    <col min="6166" max="6166" width="13.7109375" style="15" customWidth="1"/>
    <col min="6167" max="6167" width="47" style="15" bestFit="1" customWidth="1"/>
    <col min="6168" max="6168" width="17.5703125" style="15" customWidth="1"/>
    <col min="6169" max="6172" width="21" style="15" bestFit="1" customWidth="1"/>
    <col min="6173" max="6173" width="21.5703125" style="15" bestFit="1" customWidth="1"/>
    <col min="6174" max="6174" width="22.140625" style="15" bestFit="1" customWidth="1"/>
    <col min="6175" max="6175" width="13.85546875" style="15" customWidth="1"/>
    <col min="6176" max="6176" width="16.42578125" style="15"/>
    <col min="6177" max="6177" width="12.7109375" style="15" bestFit="1" customWidth="1"/>
    <col min="6178" max="6186" width="16.42578125" style="15"/>
    <col min="6187" max="6218" width="16.42578125" style="15" customWidth="1"/>
    <col min="6219" max="6400" width="16.42578125" style="15"/>
    <col min="6401" max="6401" width="29.7109375" style="15" customWidth="1"/>
    <col min="6402" max="6402" width="23" style="15" customWidth="1"/>
    <col min="6403" max="6403" width="42.7109375" style="15" bestFit="1" customWidth="1"/>
    <col min="6404" max="6404" width="12.140625" style="15" customWidth="1"/>
    <col min="6405" max="6407" width="3.5703125" style="15" customWidth="1"/>
    <col min="6408" max="6420" width="19.85546875" style="15" bestFit="1" customWidth="1"/>
    <col min="6421" max="6421" width="18.28515625" style="15" customWidth="1"/>
    <col min="6422" max="6422" width="13.7109375" style="15" customWidth="1"/>
    <col min="6423" max="6423" width="47" style="15" bestFit="1" customWidth="1"/>
    <col min="6424" max="6424" width="17.5703125" style="15" customWidth="1"/>
    <col min="6425" max="6428" width="21" style="15" bestFit="1" customWidth="1"/>
    <col min="6429" max="6429" width="21.5703125" style="15" bestFit="1" customWidth="1"/>
    <col min="6430" max="6430" width="22.140625" style="15" bestFit="1" customWidth="1"/>
    <col min="6431" max="6431" width="13.85546875" style="15" customWidth="1"/>
    <col min="6432" max="6432" width="16.42578125" style="15"/>
    <col min="6433" max="6433" width="12.7109375" style="15" bestFit="1" customWidth="1"/>
    <col min="6434" max="6442" width="16.42578125" style="15"/>
    <col min="6443" max="6474" width="16.42578125" style="15" customWidth="1"/>
    <col min="6475" max="6656" width="16.42578125" style="15"/>
    <col min="6657" max="6657" width="29.7109375" style="15" customWidth="1"/>
    <col min="6658" max="6658" width="23" style="15" customWidth="1"/>
    <col min="6659" max="6659" width="42.7109375" style="15" bestFit="1" customWidth="1"/>
    <col min="6660" max="6660" width="12.140625" style="15" customWidth="1"/>
    <col min="6661" max="6663" width="3.5703125" style="15" customWidth="1"/>
    <col min="6664" max="6676" width="19.85546875" style="15" bestFit="1" customWidth="1"/>
    <col min="6677" max="6677" width="18.28515625" style="15" customWidth="1"/>
    <col min="6678" max="6678" width="13.7109375" style="15" customWidth="1"/>
    <col min="6679" max="6679" width="47" style="15" bestFit="1" customWidth="1"/>
    <col min="6680" max="6680" width="17.5703125" style="15" customWidth="1"/>
    <col min="6681" max="6684" width="21" style="15" bestFit="1" customWidth="1"/>
    <col min="6685" max="6685" width="21.5703125" style="15" bestFit="1" customWidth="1"/>
    <col min="6686" max="6686" width="22.140625" style="15" bestFit="1" customWidth="1"/>
    <col min="6687" max="6687" width="13.85546875" style="15" customWidth="1"/>
    <col min="6688" max="6688" width="16.42578125" style="15"/>
    <col min="6689" max="6689" width="12.7109375" style="15" bestFit="1" customWidth="1"/>
    <col min="6690" max="6698" width="16.42578125" style="15"/>
    <col min="6699" max="6730" width="16.42578125" style="15" customWidth="1"/>
    <col min="6731" max="6912" width="16.42578125" style="15"/>
    <col min="6913" max="6913" width="29.7109375" style="15" customWidth="1"/>
    <col min="6914" max="6914" width="23" style="15" customWidth="1"/>
    <col min="6915" max="6915" width="42.7109375" style="15" bestFit="1" customWidth="1"/>
    <col min="6916" max="6916" width="12.140625" style="15" customWidth="1"/>
    <col min="6917" max="6919" width="3.5703125" style="15" customWidth="1"/>
    <col min="6920" max="6932" width="19.85546875" style="15" bestFit="1" customWidth="1"/>
    <col min="6933" max="6933" width="18.28515625" style="15" customWidth="1"/>
    <col min="6934" max="6934" width="13.7109375" style="15" customWidth="1"/>
    <col min="6935" max="6935" width="47" style="15" bestFit="1" customWidth="1"/>
    <col min="6936" max="6936" width="17.5703125" style="15" customWidth="1"/>
    <col min="6937" max="6940" width="21" style="15" bestFit="1" customWidth="1"/>
    <col min="6941" max="6941" width="21.5703125" style="15" bestFit="1" customWidth="1"/>
    <col min="6942" max="6942" width="22.140625" style="15" bestFit="1" customWidth="1"/>
    <col min="6943" max="6943" width="13.85546875" style="15" customWidth="1"/>
    <col min="6944" max="6944" width="16.42578125" style="15"/>
    <col min="6945" max="6945" width="12.7109375" style="15" bestFit="1" customWidth="1"/>
    <col min="6946" max="6954" width="16.42578125" style="15"/>
    <col min="6955" max="6986" width="16.42578125" style="15" customWidth="1"/>
    <col min="6987" max="7168" width="16.42578125" style="15"/>
    <col min="7169" max="7169" width="29.7109375" style="15" customWidth="1"/>
    <col min="7170" max="7170" width="23" style="15" customWidth="1"/>
    <col min="7171" max="7171" width="42.7109375" style="15" bestFit="1" customWidth="1"/>
    <col min="7172" max="7172" width="12.140625" style="15" customWidth="1"/>
    <col min="7173" max="7175" width="3.5703125" style="15" customWidth="1"/>
    <col min="7176" max="7188" width="19.85546875" style="15" bestFit="1" customWidth="1"/>
    <col min="7189" max="7189" width="18.28515625" style="15" customWidth="1"/>
    <col min="7190" max="7190" width="13.7109375" style="15" customWidth="1"/>
    <col min="7191" max="7191" width="47" style="15" bestFit="1" customWidth="1"/>
    <col min="7192" max="7192" width="17.5703125" style="15" customWidth="1"/>
    <col min="7193" max="7196" width="21" style="15" bestFit="1" customWidth="1"/>
    <col min="7197" max="7197" width="21.5703125" style="15" bestFit="1" customWidth="1"/>
    <col min="7198" max="7198" width="22.140625" style="15" bestFit="1" customWidth="1"/>
    <col min="7199" max="7199" width="13.85546875" style="15" customWidth="1"/>
    <col min="7200" max="7200" width="16.42578125" style="15"/>
    <col min="7201" max="7201" width="12.7109375" style="15" bestFit="1" customWidth="1"/>
    <col min="7202" max="7210" width="16.42578125" style="15"/>
    <col min="7211" max="7242" width="16.42578125" style="15" customWidth="1"/>
    <col min="7243" max="7424" width="16.42578125" style="15"/>
    <col min="7425" max="7425" width="29.7109375" style="15" customWidth="1"/>
    <col min="7426" max="7426" width="23" style="15" customWidth="1"/>
    <col min="7427" max="7427" width="42.7109375" style="15" bestFit="1" customWidth="1"/>
    <col min="7428" max="7428" width="12.140625" style="15" customWidth="1"/>
    <col min="7429" max="7431" width="3.5703125" style="15" customWidth="1"/>
    <col min="7432" max="7444" width="19.85546875" style="15" bestFit="1" customWidth="1"/>
    <col min="7445" max="7445" width="18.28515625" style="15" customWidth="1"/>
    <col min="7446" max="7446" width="13.7109375" style="15" customWidth="1"/>
    <col min="7447" max="7447" width="47" style="15" bestFit="1" customWidth="1"/>
    <col min="7448" max="7448" width="17.5703125" style="15" customWidth="1"/>
    <col min="7449" max="7452" width="21" style="15" bestFit="1" customWidth="1"/>
    <col min="7453" max="7453" width="21.5703125" style="15" bestFit="1" customWidth="1"/>
    <col min="7454" max="7454" width="22.140625" style="15" bestFit="1" customWidth="1"/>
    <col min="7455" max="7455" width="13.85546875" style="15" customWidth="1"/>
    <col min="7456" max="7456" width="16.42578125" style="15"/>
    <col min="7457" max="7457" width="12.7109375" style="15" bestFit="1" customWidth="1"/>
    <col min="7458" max="7466" width="16.42578125" style="15"/>
    <col min="7467" max="7498" width="16.42578125" style="15" customWidth="1"/>
    <col min="7499" max="7680" width="16.42578125" style="15"/>
    <col min="7681" max="7681" width="29.7109375" style="15" customWidth="1"/>
    <col min="7682" max="7682" width="23" style="15" customWidth="1"/>
    <col min="7683" max="7683" width="42.7109375" style="15" bestFit="1" customWidth="1"/>
    <col min="7684" max="7684" width="12.140625" style="15" customWidth="1"/>
    <col min="7685" max="7687" width="3.5703125" style="15" customWidth="1"/>
    <col min="7688" max="7700" width="19.85546875" style="15" bestFit="1" customWidth="1"/>
    <col min="7701" max="7701" width="18.28515625" style="15" customWidth="1"/>
    <col min="7702" max="7702" width="13.7109375" style="15" customWidth="1"/>
    <col min="7703" max="7703" width="47" style="15" bestFit="1" customWidth="1"/>
    <col min="7704" max="7704" width="17.5703125" style="15" customWidth="1"/>
    <col min="7705" max="7708" width="21" style="15" bestFit="1" customWidth="1"/>
    <col min="7709" max="7709" width="21.5703125" style="15" bestFit="1" customWidth="1"/>
    <col min="7710" max="7710" width="22.140625" style="15" bestFit="1" customWidth="1"/>
    <col min="7711" max="7711" width="13.85546875" style="15" customWidth="1"/>
    <col min="7712" max="7712" width="16.42578125" style="15"/>
    <col min="7713" max="7713" width="12.7109375" style="15" bestFit="1" customWidth="1"/>
    <col min="7714" max="7722" width="16.42578125" style="15"/>
    <col min="7723" max="7754" width="16.42578125" style="15" customWidth="1"/>
    <col min="7755" max="7936" width="16.42578125" style="15"/>
    <col min="7937" max="7937" width="29.7109375" style="15" customWidth="1"/>
    <col min="7938" max="7938" width="23" style="15" customWidth="1"/>
    <col min="7939" max="7939" width="42.7109375" style="15" bestFit="1" customWidth="1"/>
    <col min="7940" max="7940" width="12.140625" style="15" customWidth="1"/>
    <col min="7941" max="7943" width="3.5703125" style="15" customWidth="1"/>
    <col min="7944" max="7956" width="19.85546875" style="15" bestFit="1" customWidth="1"/>
    <col min="7957" max="7957" width="18.28515625" style="15" customWidth="1"/>
    <col min="7958" max="7958" width="13.7109375" style="15" customWidth="1"/>
    <col min="7959" max="7959" width="47" style="15" bestFit="1" customWidth="1"/>
    <col min="7960" max="7960" width="17.5703125" style="15" customWidth="1"/>
    <col min="7961" max="7964" width="21" style="15" bestFit="1" customWidth="1"/>
    <col min="7965" max="7965" width="21.5703125" style="15" bestFit="1" customWidth="1"/>
    <col min="7966" max="7966" width="22.140625" style="15" bestFit="1" customWidth="1"/>
    <col min="7967" max="7967" width="13.85546875" style="15" customWidth="1"/>
    <col min="7968" max="7968" width="16.42578125" style="15"/>
    <col min="7969" max="7969" width="12.7109375" style="15" bestFit="1" customWidth="1"/>
    <col min="7970" max="7978" width="16.42578125" style="15"/>
    <col min="7979" max="8010" width="16.42578125" style="15" customWidth="1"/>
    <col min="8011" max="8192" width="16.42578125" style="15"/>
    <col min="8193" max="8193" width="29.7109375" style="15" customWidth="1"/>
    <col min="8194" max="8194" width="23" style="15" customWidth="1"/>
    <col min="8195" max="8195" width="42.7109375" style="15" bestFit="1" customWidth="1"/>
    <col min="8196" max="8196" width="12.140625" style="15" customWidth="1"/>
    <col min="8197" max="8199" width="3.5703125" style="15" customWidth="1"/>
    <col min="8200" max="8212" width="19.85546875" style="15" bestFit="1" customWidth="1"/>
    <col min="8213" max="8213" width="18.28515625" style="15" customWidth="1"/>
    <col min="8214" max="8214" width="13.7109375" style="15" customWidth="1"/>
    <col min="8215" max="8215" width="47" style="15" bestFit="1" customWidth="1"/>
    <col min="8216" max="8216" width="17.5703125" style="15" customWidth="1"/>
    <col min="8217" max="8220" width="21" style="15" bestFit="1" customWidth="1"/>
    <col min="8221" max="8221" width="21.5703125" style="15" bestFit="1" customWidth="1"/>
    <col min="8222" max="8222" width="22.140625" style="15" bestFit="1" customWidth="1"/>
    <col min="8223" max="8223" width="13.85546875" style="15" customWidth="1"/>
    <col min="8224" max="8224" width="16.42578125" style="15"/>
    <col min="8225" max="8225" width="12.7109375" style="15" bestFit="1" customWidth="1"/>
    <col min="8226" max="8234" width="16.42578125" style="15"/>
    <col min="8235" max="8266" width="16.42578125" style="15" customWidth="1"/>
    <col min="8267" max="8448" width="16.42578125" style="15"/>
    <col min="8449" max="8449" width="29.7109375" style="15" customWidth="1"/>
    <col min="8450" max="8450" width="23" style="15" customWidth="1"/>
    <col min="8451" max="8451" width="42.7109375" style="15" bestFit="1" customWidth="1"/>
    <col min="8452" max="8452" width="12.140625" style="15" customWidth="1"/>
    <col min="8453" max="8455" width="3.5703125" style="15" customWidth="1"/>
    <col min="8456" max="8468" width="19.85546875" style="15" bestFit="1" customWidth="1"/>
    <col min="8469" max="8469" width="18.28515625" style="15" customWidth="1"/>
    <col min="8470" max="8470" width="13.7109375" style="15" customWidth="1"/>
    <col min="8471" max="8471" width="47" style="15" bestFit="1" customWidth="1"/>
    <col min="8472" max="8472" width="17.5703125" style="15" customWidth="1"/>
    <col min="8473" max="8476" width="21" style="15" bestFit="1" customWidth="1"/>
    <col min="8477" max="8477" width="21.5703125" style="15" bestFit="1" customWidth="1"/>
    <col min="8478" max="8478" width="22.140625" style="15" bestFit="1" customWidth="1"/>
    <col min="8479" max="8479" width="13.85546875" style="15" customWidth="1"/>
    <col min="8480" max="8480" width="16.42578125" style="15"/>
    <col min="8481" max="8481" width="12.7109375" style="15" bestFit="1" customWidth="1"/>
    <col min="8482" max="8490" width="16.42578125" style="15"/>
    <col min="8491" max="8522" width="16.42578125" style="15" customWidth="1"/>
    <col min="8523" max="8704" width="16.42578125" style="15"/>
    <col min="8705" max="8705" width="29.7109375" style="15" customWidth="1"/>
    <col min="8706" max="8706" width="23" style="15" customWidth="1"/>
    <col min="8707" max="8707" width="42.7109375" style="15" bestFit="1" customWidth="1"/>
    <col min="8708" max="8708" width="12.140625" style="15" customWidth="1"/>
    <col min="8709" max="8711" width="3.5703125" style="15" customWidth="1"/>
    <col min="8712" max="8724" width="19.85546875" style="15" bestFit="1" customWidth="1"/>
    <col min="8725" max="8725" width="18.28515625" style="15" customWidth="1"/>
    <col min="8726" max="8726" width="13.7109375" style="15" customWidth="1"/>
    <col min="8727" max="8727" width="47" style="15" bestFit="1" customWidth="1"/>
    <col min="8728" max="8728" width="17.5703125" style="15" customWidth="1"/>
    <col min="8729" max="8732" width="21" style="15" bestFit="1" customWidth="1"/>
    <col min="8733" max="8733" width="21.5703125" style="15" bestFit="1" customWidth="1"/>
    <col min="8734" max="8734" width="22.140625" style="15" bestFit="1" customWidth="1"/>
    <col min="8735" max="8735" width="13.85546875" style="15" customWidth="1"/>
    <col min="8736" max="8736" width="16.42578125" style="15"/>
    <col min="8737" max="8737" width="12.7109375" style="15" bestFit="1" customWidth="1"/>
    <col min="8738" max="8746" width="16.42578125" style="15"/>
    <col min="8747" max="8778" width="16.42578125" style="15" customWidth="1"/>
    <col min="8779" max="8960" width="16.42578125" style="15"/>
    <col min="8961" max="8961" width="29.7109375" style="15" customWidth="1"/>
    <col min="8962" max="8962" width="23" style="15" customWidth="1"/>
    <col min="8963" max="8963" width="42.7109375" style="15" bestFit="1" customWidth="1"/>
    <col min="8964" max="8964" width="12.140625" style="15" customWidth="1"/>
    <col min="8965" max="8967" width="3.5703125" style="15" customWidth="1"/>
    <col min="8968" max="8980" width="19.85546875" style="15" bestFit="1" customWidth="1"/>
    <col min="8981" max="8981" width="18.28515625" style="15" customWidth="1"/>
    <col min="8982" max="8982" width="13.7109375" style="15" customWidth="1"/>
    <col min="8983" max="8983" width="47" style="15" bestFit="1" customWidth="1"/>
    <col min="8984" max="8984" width="17.5703125" style="15" customWidth="1"/>
    <col min="8985" max="8988" width="21" style="15" bestFit="1" customWidth="1"/>
    <col min="8989" max="8989" width="21.5703125" style="15" bestFit="1" customWidth="1"/>
    <col min="8990" max="8990" width="22.140625" style="15" bestFit="1" customWidth="1"/>
    <col min="8991" max="8991" width="13.85546875" style="15" customWidth="1"/>
    <col min="8992" max="8992" width="16.42578125" style="15"/>
    <col min="8993" max="8993" width="12.7109375" style="15" bestFit="1" customWidth="1"/>
    <col min="8994" max="9002" width="16.42578125" style="15"/>
    <col min="9003" max="9034" width="16.42578125" style="15" customWidth="1"/>
    <col min="9035" max="9216" width="16.42578125" style="15"/>
    <col min="9217" max="9217" width="29.7109375" style="15" customWidth="1"/>
    <col min="9218" max="9218" width="23" style="15" customWidth="1"/>
    <col min="9219" max="9219" width="42.7109375" style="15" bestFit="1" customWidth="1"/>
    <col min="9220" max="9220" width="12.140625" style="15" customWidth="1"/>
    <col min="9221" max="9223" width="3.5703125" style="15" customWidth="1"/>
    <col min="9224" max="9236" width="19.85546875" style="15" bestFit="1" customWidth="1"/>
    <col min="9237" max="9237" width="18.28515625" style="15" customWidth="1"/>
    <col min="9238" max="9238" width="13.7109375" style="15" customWidth="1"/>
    <col min="9239" max="9239" width="47" style="15" bestFit="1" customWidth="1"/>
    <col min="9240" max="9240" width="17.5703125" style="15" customWidth="1"/>
    <col min="9241" max="9244" width="21" style="15" bestFit="1" customWidth="1"/>
    <col min="9245" max="9245" width="21.5703125" style="15" bestFit="1" customWidth="1"/>
    <col min="9246" max="9246" width="22.140625" style="15" bestFit="1" customWidth="1"/>
    <col min="9247" max="9247" width="13.85546875" style="15" customWidth="1"/>
    <col min="9248" max="9248" width="16.42578125" style="15"/>
    <col min="9249" max="9249" width="12.7109375" style="15" bestFit="1" customWidth="1"/>
    <col min="9250" max="9258" width="16.42578125" style="15"/>
    <col min="9259" max="9290" width="16.42578125" style="15" customWidth="1"/>
    <col min="9291" max="9472" width="16.42578125" style="15"/>
    <col min="9473" max="9473" width="29.7109375" style="15" customWidth="1"/>
    <col min="9474" max="9474" width="23" style="15" customWidth="1"/>
    <col min="9475" max="9475" width="42.7109375" style="15" bestFit="1" customWidth="1"/>
    <col min="9476" max="9476" width="12.140625" style="15" customWidth="1"/>
    <col min="9477" max="9479" width="3.5703125" style="15" customWidth="1"/>
    <col min="9480" max="9492" width="19.85546875" style="15" bestFit="1" customWidth="1"/>
    <col min="9493" max="9493" width="18.28515625" style="15" customWidth="1"/>
    <col min="9494" max="9494" width="13.7109375" style="15" customWidth="1"/>
    <col min="9495" max="9495" width="47" style="15" bestFit="1" customWidth="1"/>
    <col min="9496" max="9496" width="17.5703125" style="15" customWidth="1"/>
    <col min="9497" max="9500" width="21" style="15" bestFit="1" customWidth="1"/>
    <col min="9501" max="9501" width="21.5703125" style="15" bestFit="1" customWidth="1"/>
    <col min="9502" max="9502" width="22.140625" style="15" bestFit="1" customWidth="1"/>
    <col min="9503" max="9503" width="13.85546875" style="15" customWidth="1"/>
    <col min="9504" max="9504" width="16.42578125" style="15"/>
    <col min="9505" max="9505" width="12.7109375" style="15" bestFit="1" customWidth="1"/>
    <col min="9506" max="9514" width="16.42578125" style="15"/>
    <col min="9515" max="9546" width="16.42578125" style="15" customWidth="1"/>
    <col min="9547" max="9728" width="16.42578125" style="15"/>
    <col min="9729" max="9729" width="29.7109375" style="15" customWidth="1"/>
    <col min="9730" max="9730" width="23" style="15" customWidth="1"/>
    <col min="9731" max="9731" width="42.7109375" style="15" bestFit="1" customWidth="1"/>
    <col min="9732" max="9732" width="12.140625" style="15" customWidth="1"/>
    <col min="9733" max="9735" width="3.5703125" style="15" customWidth="1"/>
    <col min="9736" max="9748" width="19.85546875" style="15" bestFit="1" customWidth="1"/>
    <col min="9749" max="9749" width="18.28515625" style="15" customWidth="1"/>
    <col min="9750" max="9750" width="13.7109375" style="15" customWidth="1"/>
    <col min="9751" max="9751" width="47" style="15" bestFit="1" customWidth="1"/>
    <col min="9752" max="9752" width="17.5703125" style="15" customWidth="1"/>
    <col min="9753" max="9756" width="21" style="15" bestFit="1" customWidth="1"/>
    <col min="9757" max="9757" width="21.5703125" style="15" bestFit="1" customWidth="1"/>
    <col min="9758" max="9758" width="22.140625" style="15" bestFit="1" customWidth="1"/>
    <col min="9759" max="9759" width="13.85546875" style="15" customWidth="1"/>
    <col min="9760" max="9760" width="16.42578125" style="15"/>
    <col min="9761" max="9761" width="12.7109375" style="15" bestFit="1" customWidth="1"/>
    <col min="9762" max="9770" width="16.42578125" style="15"/>
    <col min="9771" max="9802" width="16.42578125" style="15" customWidth="1"/>
    <col min="9803" max="9984" width="16.42578125" style="15"/>
    <col min="9985" max="9985" width="29.7109375" style="15" customWidth="1"/>
    <col min="9986" max="9986" width="23" style="15" customWidth="1"/>
    <col min="9987" max="9987" width="42.7109375" style="15" bestFit="1" customWidth="1"/>
    <col min="9988" max="9988" width="12.140625" style="15" customWidth="1"/>
    <col min="9989" max="9991" width="3.5703125" style="15" customWidth="1"/>
    <col min="9992" max="10004" width="19.85546875" style="15" bestFit="1" customWidth="1"/>
    <col min="10005" max="10005" width="18.28515625" style="15" customWidth="1"/>
    <col min="10006" max="10006" width="13.7109375" style="15" customWidth="1"/>
    <col min="10007" max="10007" width="47" style="15" bestFit="1" customWidth="1"/>
    <col min="10008" max="10008" width="17.5703125" style="15" customWidth="1"/>
    <col min="10009" max="10012" width="21" style="15" bestFit="1" customWidth="1"/>
    <col min="10013" max="10013" width="21.5703125" style="15" bestFit="1" customWidth="1"/>
    <col min="10014" max="10014" width="22.140625" style="15" bestFit="1" customWidth="1"/>
    <col min="10015" max="10015" width="13.85546875" style="15" customWidth="1"/>
    <col min="10016" max="10016" width="16.42578125" style="15"/>
    <col min="10017" max="10017" width="12.7109375" style="15" bestFit="1" customWidth="1"/>
    <col min="10018" max="10026" width="16.42578125" style="15"/>
    <col min="10027" max="10058" width="16.42578125" style="15" customWidth="1"/>
    <col min="10059" max="10240" width="16.42578125" style="15"/>
    <col min="10241" max="10241" width="29.7109375" style="15" customWidth="1"/>
    <col min="10242" max="10242" width="23" style="15" customWidth="1"/>
    <col min="10243" max="10243" width="42.7109375" style="15" bestFit="1" customWidth="1"/>
    <col min="10244" max="10244" width="12.140625" style="15" customWidth="1"/>
    <col min="10245" max="10247" width="3.5703125" style="15" customWidth="1"/>
    <col min="10248" max="10260" width="19.85546875" style="15" bestFit="1" customWidth="1"/>
    <col min="10261" max="10261" width="18.28515625" style="15" customWidth="1"/>
    <col min="10262" max="10262" width="13.7109375" style="15" customWidth="1"/>
    <col min="10263" max="10263" width="47" style="15" bestFit="1" customWidth="1"/>
    <col min="10264" max="10264" width="17.5703125" style="15" customWidth="1"/>
    <col min="10265" max="10268" width="21" style="15" bestFit="1" customWidth="1"/>
    <col min="10269" max="10269" width="21.5703125" style="15" bestFit="1" customWidth="1"/>
    <col min="10270" max="10270" width="22.140625" style="15" bestFit="1" customWidth="1"/>
    <col min="10271" max="10271" width="13.85546875" style="15" customWidth="1"/>
    <col min="10272" max="10272" width="16.42578125" style="15"/>
    <col min="10273" max="10273" width="12.7109375" style="15" bestFit="1" customWidth="1"/>
    <col min="10274" max="10282" width="16.42578125" style="15"/>
    <col min="10283" max="10314" width="16.42578125" style="15" customWidth="1"/>
    <col min="10315" max="10496" width="16.42578125" style="15"/>
    <col min="10497" max="10497" width="29.7109375" style="15" customWidth="1"/>
    <col min="10498" max="10498" width="23" style="15" customWidth="1"/>
    <col min="10499" max="10499" width="42.7109375" style="15" bestFit="1" customWidth="1"/>
    <col min="10500" max="10500" width="12.140625" style="15" customWidth="1"/>
    <col min="10501" max="10503" width="3.5703125" style="15" customWidth="1"/>
    <col min="10504" max="10516" width="19.85546875" style="15" bestFit="1" customWidth="1"/>
    <col min="10517" max="10517" width="18.28515625" style="15" customWidth="1"/>
    <col min="10518" max="10518" width="13.7109375" style="15" customWidth="1"/>
    <col min="10519" max="10519" width="47" style="15" bestFit="1" customWidth="1"/>
    <col min="10520" max="10520" width="17.5703125" style="15" customWidth="1"/>
    <col min="10521" max="10524" width="21" style="15" bestFit="1" customWidth="1"/>
    <col min="10525" max="10525" width="21.5703125" style="15" bestFit="1" customWidth="1"/>
    <col min="10526" max="10526" width="22.140625" style="15" bestFit="1" customWidth="1"/>
    <col min="10527" max="10527" width="13.85546875" style="15" customWidth="1"/>
    <col min="10528" max="10528" width="16.42578125" style="15"/>
    <col min="10529" max="10529" width="12.7109375" style="15" bestFit="1" customWidth="1"/>
    <col min="10530" max="10538" width="16.42578125" style="15"/>
    <col min="10539" max="10570" width="16.42578125" style="15" customWidth="1"/>
    <col min="10571" max="10752" width="16.42578125" style="15"/>
    <col min="10753" max="10753" width="29.7109375" style="15" customWidth="1"/>
    <col min="10754" max="10754" width="23" style="15" customWidth="1"/>
    <col min="10755" max="10755" width="42.7109375" style="15" bestFit="1" customWidth="1"/>
    <col min="10756" max="10756" width="12.140625" style="15" customWidth="1"/>
    <col min="10757" max="10759" width="3.5703125" style="15" customWidth="1"/>
    <col min="10760" max="10772" width="19.85546875" style="15" bestFit="1" customWidth="1"/>
    <col min="10773" max="10773" width="18.28515625" style="15" customWidth="1"/>
    <col min="10774" max="10774" width="13.7109375" style="15" customWidth="1"/>
    <col min="10775" max="10775" width="47" style="15" bestFit="1" customWidth="1"/>
    <col min="10776" max="10776" width="17.5703125" style="15" customWidth="1"/>
    <col min="10777" max="10780" width="21" style="15" bestFit="1" customWidth="1"/>
    <col min="10781" max="10781" width="21.5703125" style="15" bestFit="1" customWidth="1"/>
    <col min="10782" max="10782" width="22.140625" style="15" bestFit="1" customWidth="1"/>
    <col min="10783" max="10783" width="13.85546875" style="15" customWidth="1"/>
    <col min="10784" max="10784" width="16.42578125" style="15"/>
    <col min="10785" max="10785" width="12.7109375" style="15" bestFit="1" customWidth="1"/>
    <col min="10786" max="10794" width="16.42578125" style="15"/>
    <col min="10795" max="10826" width="16.42578125" style="15" customWidth="1"/>
    <col min="10827" max="11008" width="16.42578125" style="15"/>
    <col min="11009" max="11009" width="29.7109375" style="15" customWidth="1"/>
    <col min="11010" max="11010" width="23" style="15" customWidth="1"/>
    <col min="11011" max="11011" width="42.7109375" style="15" bestFit="1" customWidth="1"/>
    <col min="11012" max="11012" width="12.140625" style="15" customWidth="1"/>
    <col min="11013" max="11015" width="3.5703125" style="15" customWidth="1"/>
    <col min="11016" max="11028" width="19.85546875" style="15" bestFit="1" customWidth="1"/>
    <col min="11029" max="11029" width="18.28515625" style="15" customWidth="1"/>
    <col min="11030" max="11030" width="13.7109375" style="15" customWidth="1"/>
    <col min="11031" max="11031" width="47" style="15" bestFit="1" customWidth="1"/>
    <col min="11032" max="11032" width="17.5703125" style="15" customWidth="1"/>
    <col min="11033" max="11036" width="21" style="15" bestFit="1" customWidth="1"/>
    <col min="11037" max="11037" width="21.5703125" style="15" bestFit="1" customWidth="1"/>
    <col min="11038" max="11038" width="22.140625" style="15" bestFit="1" customWidth="1"/>
    <col min="11039" max="11039" width="13.85546875" style="15" customWidth="1"/>
    <col min="11040" max="11040" width="16.42578125" style="15"/>
    <col min="11041" max="11041" width="12.7109375" style="15" bestFit="1" customWidth="1"/>
    <col min="11042" max="11050" width="16.42578125" style="15"/>
    <col min="11051" max="11082" width="16.42578125" style="15" customWidth="1"/>
    <col min="11083" max="11264" width="16.42578125" style="15"/>
    <col min="11265" max="11265" width="29.7109375" style="15" customWidth="1"/>
    <col min="11266" max="11266" width="23" style="15" customWidth="1"/>
    <col min="11267" max="11267" width="42.7109375" style="15" bestFit="1" customWidth="1"/>
    <col min="11268" max="11268" width="12.140625" style="15" customWidth="1"/>
    <col min="11269" max="11271" width="3.5703125" style="15" customWidth="1"/>
    <col min="11272" max="11284" width="19.85546875" style="15" bestFit="1" customWidth="1"/>
    <col min="11285" max="11285" width="18.28515625" style="15" customWidth="1"/>
    <col min="11286" max="11286" width="13.7109375" style="15" customWidth="1"/>
    <col min="11287" max="11287" width="47" style="15" bestFit="1" customWidth="1"/>
    <col min="11288" max="11288" width="17.5703125" style="15" customWidth="1"/>
    <col min="11289" max="11292" width="21" style="15" bestFit="1" customWidth="1"/>
    <col min="11293" max="11293" width="21.5703125" style="15" bestFit="1" customWidth="1"/>
    <col min="11294" max="11294" width="22.140625" style="15" bestFit="1" customWidth="1"/>
    <col min="11295" max="11295" width="13.85546875" style="15" customWidth="1"/>
    <col min="11296" max="11296" width="16.42578125" style="15"/>
    <col min="11297" max="11297" width="12.7109375" style="15" bestFit="1" customWidth="1"/>
    <col min="11298" max="11306" width="16.42578125" style="15"/>
    <col min="11307" max="11338" width="16.42578125" style="15" customWidth="1"/>
    <col min="11339" max="11520" width="16.42578125" style="15"/>
    <col min="11521" max="11521" width="29.7109375" style="15" customWidth="1"/>
    <col min="11522" max="11522" width="23" style="15" customWidth="1"/>
    <col min="11523" max="11523" width="42.7109375" style="15" bestFit="1" customWidth="1"/>
    <col min="11524" max="11524" width="12.140625" style="15" customWidth="1"/>
    <col min="11525" max="11527" width="3.5703125" style="15" customWidth="1"/>
    <col min="11528" max="11540" width="19.85546875" style="15" bestFit="1" customWidth="1"/>
    <col min="11541" max="11541" width="18.28515625" style="15" customWidth="1"/>
    <col min="11542" max="11542" width="13.7109375" style="15" customWidth="1"/>
    <col min="11543" max="11543" width="47" style="15" bestFit="1" customWidth="1"/>
    <col min="11544" max="11544" width="17.5703125" style="15" customWidth="1"/>
    <col min="11545" max="11548" width="21" style="15" bestFit="1" customWidth="1"/>
    <col min="11549" max="11549" width="21.5703125" style="15" bestFit="1" customWidth="1"/>
    <col min="11550" max="11550" width="22.140625" style="15" bestFit="1" customWidth="1"/>
    <col min="11551" max="11551" width="13.85546875" style="15" customWidth="1"/>
    <col min="11552" max="11552" width="16.42578125" style="15"/>
    <col min="11553" max="11553" width="12.7109375" style="15" bestFit="1" customWidth="1"/>
    <col min="11554" max="11562" width="16.42578125" style="15"/>
    <col min="11563" max="11594" width="16.42578125" style="15" customWidth="1"/>
    <col min="11595" max="11776" width="16.42578125" style="15"/>
    <col min="11777" max="11777" width="29.7109375" style="15" customWidth="1"/>
    <col min="11778" max="11778" width="23" style="15" customWidth="1"/>
    <col min="11779" max="11779" width="42.7109375" style="15" bestFit="1" customWidth="1"/>
    <col min="11780" max="11780" width="12.140625" style="15" customWidth="1"/>
    <col min="11781" max="11783" width="3.5703125" style="15" customWidth="1"/>
    <col min="11784" max="11796" width="19.85546875" style="15" bestFit="1" customWidth="1"/>
    <col min="11797" max="11797" width="18.28515625" style="15" customWidth="1"/>
    <col min="11798" max="11798" width="13.7109375" style="15" customWidth="1"/>
    <col min="11799" max="11799" width="47" style="15" bestFit="1" customWidth="1"/>
    <col min="11800" max="11800" width="17.5703125" style="15" customWidth="1"/>
    <col min="11801" max="11804" width="21" style="15" bestFit="1" customWidth="1"/>
    <col min="11805" max="11805" width="21.5703125" style="15" bestFit="1" customWidth="1"/>
    <col min="11806" max="11806" width="22.140625" style="15" bestFit="1" customWidth="1"/>
    <col min="11807" max="11807" width="13.85546875" style="15" customWidth="1"/>
    <col min="11808" max="11808" width="16.42578125" style="15"/>
    <col min="11809" max="11809" width="12.7109375" style="15" bestFit="1" customWidth="1"/>
    <col min="11810" max="11818" width="16.42578125" style="15"/>
    <col min="11819" max="11850" width="16.42578125" style="15" customWidth="1"/>
    <col min="11851" max="12032" width="16.42578125" style="15"/>
    <col min="12033" max="12033" width="29.7109375" style="15" customWidth="1"/>
    <col min="12034" max="12034" width="23" style="15" customWidth="1"/>
    <col min="12035" max="12035" width="42.7109375" style="15" bestFit="1" customWidth="1"/>
    <col min="12036" max="12036" width="12.140625" style="15" customWidth="1"/>
    <col min="12037" max="12039" width="3.5703125" style="15" customWidth="1"/>
    <col min="12040" max="12052" width="19.85546875" style="15" bestFit="1" customWidth="1"/>
    <col min="12053" max="12053" width="18.28515625" style="15" customWidth="1"/>
    <col min="12054" max="12054" width="13.7109375" style="15" customWidth="1"/>
    <col min="12055" max="12055" width="47" style="15" bestFit="1" customWidth="1"/>
    <col min="12056" max="12056" width="17.5703125" style="15" customWidth="1"/>
    <col min="12057" max="12060" width="21" style="15" bestFit="1" customWidth="1"/>
    <col min="12061" max="12061" width="21.5703125" style="15" bestFit="1" customWidth="1"/>
    <col min="12062" max="12062" width="22.140625" style="15" bestFit="1" customWidth="1"/>
    <col min="12063" max="12063" width="13.85546875" style="15" customWidth="1"/>
    <col min="12064" max="12064" width="16.42578125" style="15"/>
    <col min="12065" max="12065" width="12.7109375" style="15" bestFit="1" customWidth="1"/>
    <col min="12066" max="12074" width="16.42578125" style="15"/>
    <col min="12075" max="12106" width="16.42578125" style="15" customWidth="1"/>
    <col min="12107" max="12288" width="16.42578125" style="15"/>
    <col min="12289" max="12289" width="29.7109375" style="15" customWidth="1"/>
    <col min="12290" max="12290" width="23" style="15" customWidth="1"/>
    <col min="12291" max="12291" width="42.7109375" style="15" bestFit="1" customWidth="1"/>
    <col min="12292" max="12292" width="12.140625" style="15" customWidth="1"/>
    <col min="12293" max="12295" width="3.5703125" style="15" customWidth="1"/>
    <col min="12296" max="12308" width="19.85546875" style="15" bestFit="1" customWidth="1"/>
    <col min="12309" max="12309" width="18.28515625" style="15" customWidth="1"/>
    <col min="12310" max="12310" width="13.7109375" style="15" customWidth="1"/>
    <col min="12311" max="12311" width="47" style="15" bestFit="1" customWidth="1"/>
    <col min="12312" max="12312" width="17.5703125" style="15" customWidth="1"/>
    <col min="12313" max="12316" width="21" style="15" bestFit="1" customWidth="1"/>
    <col min="12317" max="12317" width="21.5703125" style="15" bestFit="1" customWidth="1"/>
    <col min="12318" max="12318" width="22.140625" style="15" bestFit="1" customWidth="1"/>
    <col min="12319" max="12319" width="13.85546875" style="15" customWidth="1"/>
    <col min="12320" max="12320" width="16.42578125" style="15"/>
    <col min="12321" max="12321" width="12.7109375" style="15" bestFit="1" customWidth="1"/>
    <col min="12322" max="12330" width="16.42578125" style="15"/>
    <col min="12331" max="12362" width="16.42578125" style="15" customWidth="1"/>
    <col min="12363" max="12544" width="16.42578125" style="15"/>
    <col min="12545" max="12545" width="29.7109375" style="15" customWidth="1"/>
    <col min="12546" max="12546" width="23" style="15" customWidth="1"/>
    <col min="12547" max="12547" width="42.7109375" style="15" bestFit="1" customWidth="1"/>
    <col min="12548" max="12548" width="12.140625" style="15" customWidth="1"/>
    <col min="12549" max="12551" width="3.5703125" style="15" customWidth="1"/>
    <col min="12552" max="12564" width="19.85546875" style="15" bestFit="1" customWidth="1"/>
    <col min="12565" max="12565" width="18.28515625" style="15" customWidth="1"/>
    <col min="12566" max="12566" width="13.7109375" style="15" customWidth="1"/>
    <col min="12567" max="12567" width="47" style="15" bestFit="1" customWidth="1"/>
    <col min="12568" max="12568" width="17.5703125" style="15" customWidth="1"/>
    <col min="12569" max="12572" width="21" style="15" bestFit="1" customWidth="1"/>
    <col min="12573" max="12573" width="21.5703125" style="15" bestFit="1" customWidth="1"/>
    <col min="12574" max="12574" width="22.140625" style="15" bestFit="1" customWidth="1"/>
    <col min="12575" max="12575" width="13.85546875" style="15" customWidth="1"/>
    <col min="12576" max="12576" width="16.42578125" style="15"/>
    <col min="12577" max="12577" width="12.7109375" style="15" bestFit="1" customWidth="1"/>
    <col min="12578" max="12586" width="16.42578125" style="15"/>
    <col min="12587" max="12618" width="16.42578125" style="15" customWidth="1"/>
    <col min="12619" max="12800" width="16.42578125" style="15"/>
    <col min="12801" max="12801" width="29.7109375" style="15" customWidth="1"/>
    <col min="12802" max="12802" width="23" style="15" customWidth="1"/>
    <col min="12803" max="12803" width="42.7109375" style="15" bestFit="1" customWidth="1"/>
    <col min="12804" max="12804" width="12.140625" style="15" customWidth="1"/>
    <col min="12805" max="12807" width="3.5703125" style="15" customWidth="1"/>
    <col min="12808" max="12820" width="19.85546875" style="15" bestFit="1" customWidth="1"/>
    <col min="12821" max="12821" width="18.28515625" style="15" customWidth="1"/>
    <col min="12822" max="12822" width="13.7109375" style="15" customWidth="1"/>
    <col min="12823" max="12823" width="47" style="15" bestFit="1" customWidth="1"/>
    <col min="12824" max="12824" width="17.5703125" style="15" customWidth="1"/>
    <col min="12825" max="12828" width="21" style="15" bestFit="1" customWidth="1"/>
    <col min="12829" max="12829" width="21.5703125" style="15" bestFit="1" customWidth="1"/>
    <col min="12830" max="12830" width="22.140625" style="15" bestFit="1" customWidth="1"/>
    <col min="12831" max="12831" width="13.85546875" style="15" customWidth="1"/>
    <col min="12832" max="12832" width="16.42578125" style="15"/>
    <col min="12833" max="12833" width="12.7109375" style="15" bestFit="1" customWidth="1"/>
    <col min="12834" max="12842" width="16.42578125" style="15"/>
    <col min="12843" max="12874" width="16.42578125" style="15" customWidth="1"/>
    <col min="12875" max="13056" width="16.42578125" style="15"/>
    <col min="13057" max="13057" width="29.7109375" style="15" customWidth="1"/>
    <col min="13058" max="13058" width="23" style="15" customWidth="1"/>
    <col min="13059" max="13059" width="42.7109375" style="15" bestFit="1" customWidth="1"/>
    <col min="13060" max="13060" width="12.140625" style="15" customWidth="1"/>
    <col min="13061" max="13063" width="3.5703125" style="15" customWidth="1"/>
    <col min="13064" max="13076" width="19.85546875" style="15" bestFit="1" customWidth="1"/>
    <col min="13077" max="13077" width="18.28515625" style="15" customWidth="1"/>
    <col min="13078" max="13078" width="13.7109375" style="15" customWidth="1"/>
    <col min="13079" max="13079" width="47" style="15" bestFit="1" customWidth="1"/>
    <col min="13080" max="13080" width="17.5703125" style="15" customWidth="1"/>
    <col min="13081" max="13084" width="21" style="15" bestFit="1" customWidth="1"/>
    <col min="13085" max="13085" width="21.5703125" style="15" bestFit="1" customWidth="1"/>
    <col min="13086" max="13086" width="22.140625" style="15" bestFit="1" customWidth="1"/>
    <col min="13087" max="13087" width="13.85546875" style="15" customWidth="1"/>
    <col min="13088" max="13088" width="16.42578125" style="15"/>
    <col min="13089" max="13089" width="12.7109375" style="15" bestFit="1" customWidth="1"/>
    <col min="13090" max="13098" width="16.42578125" style="15"/>
    <col min="13099" max="13130" width="16.42578125" style="15" customWidth="1"/>
    <col min="13131" max="13312" width="16.42578125" style="15"/>
    <col min="13313" max="13313" width="29.7109375" style="15" customWidth="1"/>
    <col min="13314" max="13314" width="23" style="15" customWidth="1"/>
    <col min="13315" max="13315" width="42.7109375" style="15" bestFit="1" customWidth="1"/>
    <col min="13316" max="13316" width="12.140625" style="15" customWidth="1"/>
    <col min="13317" max="13319" width="3.5703125" style="15" customWidth="1"/>
    <col min="13320" max="13332" width="19.85546875" style="15" bestFit="1" customWidth="1"/>
    <col min="13333" max="13333" width="18.28515625" style="15" customWidth="1"/>
    <col min="13334" max="13334" width="13.7109375" style="15" customWidth="1"/>
    <col min="13335" max="13335" width="47" style="15" bestFit="1" customWidth="1"/>
    <col min="13336" max="13336" width="17.5703125" style="15" customWidth="1"/>
    <col min="13337" max="13340" width="21" style="15" bestFit="1" customWidth="1"/>
    <col min="13341" max="13341" width="21.5703125" style="15" bestFit="1" customWidth="1"/>
    <col min="13342" max="13342" width="22.140625" style="15" bestFit="1" customWidth="1"/>
    <col min="13343" max="13343" width="13.85546875" style="15" customWidth="1"/>
    <col min="13344" max="13344" width="16.42578125" style="15"/>
    <col min="13345" max="13345" width="12.7109375" style="15" bestFit="1" customWidth="1"/>
    <col min="13346" max="13354" width="16.42578125" style="15"/>
    <col min="13355" max="13386" width="16.42578125" style="15" customWidth="1"/>
    <col min="13387" max="13568" width="16.42578125" style="15"/>
    <col min="13569" max="13569" width="29.7109375" style="15" customWidth="1"/>
    <col min="13570" max="13570" width="23" style="15" customWidth="1"/>
    <col min="13571" max="13571" width="42.7109375" style="15" bestFit="1" customWidth="1"/>
    <col min="13572" max="13572" width="12.140625" style="15" customWidth="1"/>
    <col min="13573" max="13575" width="3.5703125" style="15" customWidth="1"/>
    <col min="13576" max="13588" width="19.85546875" style="15" bestFit="1" customWidth="1"/>
    <col min="13589" max="13589" width="18.28515625" style="15" customWidth="1"/>
    <col min="13590" max="13590" width="13.7109375" style="15" customWidth="1"/>
    <col min="13591" max="13591" width="47" style="15" bestFit="1" customWidth="1"/>
    <col min="13592" max="13592" width="17.5703125" style="15" customWidth="1"/>
    <col min="13593" max="13596" width="21" style="15" bestFit="1" customWidth="1"/>
    <col min="13597" max="13597" width="21.5703125" style="15" bestFit="1" customWidth="1"/>
    <col min="13598" max="13598" width="22.140625" style="15" bestFit="1" customWidth="1"/>
    <col min="13599" max="13599" width="13.85546875" style="15" customWidth="1"/>
    <col min="13600" max="13600" width="16.42578125" style="15"/>
    <col min="13601" max="13601" width="12.7109375" style="15" bestFit="1" customWidth="1"/>
    <col min="13602" max="13610" width="16.42578125" style="15"/>
    <col min="13611" max="13642" width="16.42578125" style="15" customWidth="1"/>
    <col min="13643" max="13824" width="16.42578125" style="15"/>
    <col min="13825" max="13825" width="29.7109375" style="15" customWidth="1"/>
    <col min="13826" max="13826" width="23" style="15" customWidth="1"/>
    <col min="13827" max="13827" width="42.7109375" style="15" bestFit="1" customWidth="1"/>
    <col min="13828" max="13828" width="12.140625" style="15" customWidth="1"/>
    <col min="13829" max="13831" width="3.5703125" style="15" customWidth="1"/>
    <col min="13832" max="13844" width="19.85546875" style="15" bestFit="1" customWidth="1"/>
    <col min="13845" max="13845" width="18.28515625" style="15" customWidth="1"/>
    <col min="13846" max="13846" width="13.7109375" style="15" customWidth="1"/>
    <col min="13847" max="13847" width="47" style="15" bestFit="1" customWidth="1"/>
    <col min="13848" max="13848" width="17.5703125" style="15" customWidth="1"/>
    <col min="13849" max="13852" width="21" style="15" bestFit="1" customWidth="1"/>
    <col min="13853" max="13853" width="21.5703125" style="15" bestFit="1" customWidth="1"/>
    <col min="13854" max="13854" width="22.140625" style="15" bestFit="1" customWidth="1"/>
    <col min="13855" max="13855" width="13.85546875" style="15" customWidth="1"/>
    <col min="13856" max="13856" width="16.42578125" style="15"/>
    <col min="13857" max="13857" width="12.7109375" style="15" bestFit="1" customWidth="1"/>
    <col min="13858" max="13866" width="16.42578125" style="15"/>
    <col min="13867" max="13898" width="16.42578125" style="15" customWidth="1"/>
    <col min="13899" max="14080" width="16.42578125" style="15"/>
    <col min="14081" max="14081" width="29.7109375" style="15" customWidth="1"/>
    <col min="14082" max="14082" width="23" style="15" customWidth="1"/>
    <col min="14083" max="14083" width="42.7109375" style="15" bestFit="1" customWidth="1"/>
    <col min="14084" max="14084" width="12.140625" style="15" customWidth="1"/>
    <col min="14085" max="14087" width="3.5703125" style="15" customWidth="1"/>
    <col min="14088" max="14100" width="19.85546875" style="15" bestFit="1" customWidth="1"/>
    <col min="14101" max="14101" width="18.28515625" style="15" customWidth="1"/>
    <col min="14102" max="14102" width="13.7109375" style="15" customWidth="1"/>
    <col min="14103" max="14103" width="47" style="15" bestFit="1" customWidth="1"/>
    <col min="14104" max="14104" width="17.5703125" style="15" customWidth="1"/>
    <col min="14105" max="14108" width="21" style="15" bestFit="1" customWidth="1"/>
    <col min="14109" max="14109" width="21.5703125" style="15" bestFit="1" customWidth="1"/>
    <col min="14110" max="14110" width="22.140625" style="15" bestFit="1" customWidth="1"/>
    <col min="14111" max="14111" width="13.85546875" style="15" customWidth="1"/>
    <col min="14112" max="14112" width="16.42578125" style="15"/>
    <col min="14113" max="14113" width="12.7109375" style="15" bestFit="1" customWidth="1"/>
    <col min="14114" max="14122" width="16.42578125" style="15"/>
    <col min="14123" max="14154" width="16.42578125" style="15" customWidth="1"/>
    <col min="14155" max="14336" width="16.42578125" style="15"/>
    <col min="14337" max="14337" width="29.7109375" style="15" customWidth="1"/>
    <col min="14338" max="14338" width="23" style="15" customWidth="1"/>
    <col min="14339" max="14339" width="42.7109375" style="15" bestFit="1" customWidth="1"/>
    <col min="14340" max="14340" width="12.140625" style="15" customWidth="1"/>
    <col min="14341" max="14343" width="3.5703125" style="15" customWidth="1"/>
    <col min="14344" max="14356" width="19.85546875" style="15" bestFit="1" customWidth="1"/>
    <col min="14357" max="14357" width="18.28515625" style="15" customWidth="1"/>
    <col min="14358" max="14358" width="13.7109375" style="15" customWidth="1"/>
    <col min="14359" max="14359" width="47" style="15" bestFit="1" customWidth="1"/>
    <col min="14360" max="14360" width="17.5703125" style="15" customWidth="1"/>
    <col min="14361" max="14364" width="21" style="15" bestFit="1" customWidth="1"/>
    <col min="14365" max="14365" width="21.5703125" style="15" bestFit="1" customWidth="1"/>
    <col min="14366" max="14366" width="22.140625" style="15" bestFit="1" customWidth="1"/>
    <col min="14367" max="14367" width="13.85546875" style="15" customWidth="1"/>
    <col min="14368" max="14368" width="16.42578125" style="15"/>
    <col min="14369" max="14369" width="12.7109375" style="15" bestFit="1" customWidth="1"/>
    <col min="14370" max="14378" width="16.42578125" style="15"/>
    <col min="14379" max="14410" width="16.42578125" style="15" customWidth="1"/>
    <col min="14411" max="14592" width="16.42578125" style="15"/>
    <col min="14593" max="14593" width="29.7109375" style="15" customWidth="1"/>
    <col min="14594" max="14594" width="23" style="15" customWidth="1"/>
    <col min="14595" max="14595" width="42.7109375" style="15" bestFit="1" customWidth="1"/>
    <col min="14596" max="14596" width="12.140625" style="15" customWidth="1"/>
    <col min="14597" max="14599" width="3.5703125" style="15" customWidth="1"/>
    <col min="14600" max="14612" width="19.85546875" style="15" bestFit="1" customWidth="1"/>
    <col min="14613" max="14613" width="18.28515625" style="15" customWidth="1"/>
    <col min="14614" max="14614" width="13.7109375" style="15" customWidth="1"/>
    <col min="14615" max="14615" width="47" style="15" bestFit="1" customWidth="1"/>
    <col min="14616" max="14616" width="17.5703125" style="15" customWidth="1"/>
    <col min="14617" max="14620" width="21" style="15" bestFit="1" customWidth="1"/>
    <col min="14621" max="14621" width="21.5703125" style="15" bestFit="1" customWidth="1"/>
    <col min="14622" max="14622" width="22.140625" style="15" bestFit="1" customWidth="1"/>
    <col min="14623" max="14623" width="13.85546875" style="15" customWidth="1"/>
    <col min="14624" max="14624" width="16.42578125" style="15"/>
    <col min="14625" max="14625" width="12.7109375" style="15" bestFit="1" customWidth="1"/>
    <col min="14626" max="14634" width="16.42578125" style="15"/>
    <col min="14635" max="14666" width="16.42578125" style="15" customWidth="1"/>
    <col min="14667" max="14848" width="16.42578125" style="15"/>
    <col min="14849" max="14849" width="29.7109375" style="15" customWidth="1"/>
    <col min="14850" max="14850" width="23" style="15" customWidth="1"/>
    <col min="14851" max="14851" width="42.7109375" style="15" bestFit="1" customWidth="1"/>
    <col min="14852" max="14852" width="12.140625" style="15" customWidth="1"/>
    <col min="14853" max="14855" width="3.5703125" style="15" customWidth="1"/>
    <col min="14856" max="14868" width="19.85546875" style="15" bestFit="1" customWidth="1"/>
    <col min="14869" max="14869" width="18.28515625" style="15" customWidth="1"/>
    <col min="14870" max="14870" width="13.7109375" style="15" customWidth="1"/>
    <col min="14871" max="14871" width="47" style="15" bestFit="1" customWidth="1"/>
    <col min="14872" max="14872" width="17.5703125" style="15" customWidth="1"/>
    <col min="14873" max="14876" width="21" style="15" bestFit="1" customWidth="1"/>
    <col min="14877" max="14877" width="21.5703125" style="15" bestFit="1" customWidth="1"/>
    <col min="14878" max="14878" width="22.140625" style="15" bestFit="1" customWidth="1"/>
    <col min="14879" max="14879" width="13.85546875" style="15" customWidth="1"/>
    <col min="14880" max="14880" width="16.42578125" style="15"/>
    <col min="14881" max="14881" width="12.7109375" style="15" bestFit="1" customWidth="1"/>
    <col min="14882" max="14890" width="16.42578125" style="15"/>
    <col min="14891" max="14922" width="16.42578125" style="15" customWidth="1"/>
    <col min="14923" max="15104" width="16.42578125" style="15"/>
    <col min="15105" max="15105" width="29.7109375" style="15" customWidth="1"/>
    <col min="15106" max="15106" width="23" style="15" customWidth="1"/>
    <col min="15107" max="15107" width="42.7109375" style="15" bestFit="1" customWidth="1"/>
    <col min="15108" max="15108" width="12.140625" style="15" customWidth="1"/>
    <col min="15109" max="15111" width="3.5703125" style="15" customWidth="1"/>
    <col min="15112" max="15124" width="19.85546875" style="15" bestFit="1" customWidth="1"/>
    <col min="15125" max="15125" width="18.28515625" style="15" customWidth="1"/>
    <col min="15126" max="15126" width="13.7109375" style="15" customWidth="1"/>
    <col min="15127" max="15127" width="47" style="15" bestFit="1" customWidth="1"/>
    <col min="15128" max="15128" width="17.5703125" style="15" customWidth="1"/>
    <col min="15129" max="15132" width="21" style="15" bestFit="1" customWidth="1"/>
    <col min="15133" max="15133" width="21.5703125" style="15" bestFit="1" customWidth="1"/>
    <col min="15134" max="15134" width="22.140625" style="15" bestFit="1" customWidth="1"/>
    <col min="15135" max="15135" width="13.85546875" style="15" customWidth="1"/>
    <col min="15136" max="15136" width="16.42578125" style="15"/>
    <col min="15137" max="15137" width="12.7109375" style="15" bestFit="1" customWidth="1"/>
    <col min="15138" max="15146" width="16.42578125" style="15"/>
    <col min="15147" max="15178" width="16.42578125" style="15" customWidth="1"/>
    <col min="15179" max="15360" width="16.42578125" style="15"/>
    <col min="15361" max="15361" width="29.7109375" style="15" customWidth="1"/>
    <col min="15362" max="15362" width="23" style="15" customWidth="1"/>
    <col min="15363" max="15363" width="42.7109375" style="15" bestFit="1" customWidth="1"/>
    <col min="15364" max="15364" width="12.140625" style="15" customWidth="1"/>
    <col min="15365" max="15367" width="3.5703125" style="15" customWidth="1"/>
    <col min="15368" max="15380" width="19.85546875" style="15" bestFit="1" customWidth="1"/>
    <col min="15381" max="15381" width="18.28515625" style="15" customWidth="1"/>
    <col min="15382" max="15382" width="13.7109375" style="15" customWidth="1"/>
    <col min="15383" max="15383" width="47" style="15" bestFit="1" customWidth="1"/>
    <col min="15384" max="15384" width="17.5703125" style="15" customWidth="1"/>
    <col min="15385" max="15388" width="21" style="15" bestFit="1" customWidth="1"/>
    <col min="15389" max="15389" width="21.5703125" style="15" bestFit="1" customWidth="1"/>
    <col min="15390" max="15390" width="22.140625" style="15" bestFit="1" customWidth="1"/>
    <col min="15391" max="15391" width="13.85546875" style="15" customWidth="1"/>
    <col min="15392" max="15392" width="16.42578125" style="15"/>
    <col min="15393" max="15393" width="12.7109375" style="15" bestFit="1" customWidth="1"/>
    <col min="15394" max="15402" width="16.42578125" style="15"/>
    <col min="15403" max="15434" width="16.42578125" style="15" customWidth="1"/>
    <col min="15435" max="15616" width="16.42578125" style="15"/>
    <col min="15617" max="15617" width="29.7109375" style="15" customWidth="1"/>
    <col min="15618" max="15618" width="23" style="15" customWidth="1"/>
    <col min="15619" max="15619" width="42.7109375" style="15" bestFit="1" customWidth="1"/>
    <col min="15620" max="15620" width="12.140625" style="15" customWidth="1"/>
    <col min="15621" max="15623" width="3.5703125" style="15" customWidth="1"/>
    <col min="15624" max="15636" width="19.85546875" style="15" bestFit="1" customWidth="1"/>
    <col min="15637" max="15637" width="18.28515625" style="15" customWidth="1"/>
    <col min="15638" max="15638" width="13.7109375" style="15" customWidth="1"/>
    <col min="15639" max="15639" width="47" style="15" bestFit="1" customWidth="1"/>
    <col min="15640" max="15640" width="17.5703125" style="15" customWidth="1"/>
    <col min="15641" max="15644" width="21" style="15" bestFit="1" customWidth="1"/>
    <col min="15645" max="15645" width="21.5703125" style="15" bestFit="1" customWidth="1"/>
    <col min="15646" max="15646" width="22.140625" style="15" bestFit="1" customWidth="1"/>
    <col min="15647" max="15647" width="13.85546875" style="15" customWidth="1"/>
    <col min="15648" max="15648" width="16.42578125" style="15"/>
    <col min="15649" max="15649" width="12.7109375" style="15" bestFit="1" customWidth="1"/>
    <col min="15650" max="15658" width="16.42578125" style="15"/>
    <col min="15659" max="15690" width="16.42578125" style="15" customWidth="1"/>
    <col min="15691" max="15872" width="16.42578125" style="15"/>
    <col min="15873" max="15873" width="29.7109375" style="15" customWidth="1"/>
    <col min="15874" max="15874" width="23" style="15" customWidth="1"/>
    <col min="15875" max="15875" width="42.7109375" style="15" bestFit="1" customWidth="1"/>
    <col min="15876" max="15876" width="12.140625" style="15" customWidth="1"/>
    <col min="15877" max="15879" width="3.5703125" style="15" customWidth="1"/>
    <col min="15880" max="15892" width="19.85546875" style="15" bestFit="1" customWidth="1"/>
    <col min="15893" max="15893" width="18.28515625" style="15" customWidth="1"/>
    <col min="15894" max="15894" width="13.7109375" style="15" customWidth="1"/>
    <col min="15895" max="15895" width="47" style="15" bestFit="1" customWidth="1"/>
    <col min="15896" max="15896" width="17.5703125" style="15" customWidth="1"/>
    <col min="15897" max="15900" width="21" style="15" bestFit="1" customWidth="1"/>
    <col min="15901" max="15901" width="21.5703125" style="15" bestFit="1" customWidth="1"/>
    <col min="15902" max="15902" width="22.140625" style="15" bestFit="1" customWidth="1"/>
    <col min="15903" max="15903" width="13.85546875" style="15" customWidth="1"/>
    <col min="15904" max="15904" width="16.42578125" style="15"/>
    <col min="15905" max="15905" width="12.7109375" style="15" bestFit="1" customWidth="1"/>
    <col min="15906" max="15914" width="16.42578125" style="15"/>
    <col min="15915" max="15946" width="16.42578125" style="15" customWidth="1"/>
    <col min="15947" max="16128" width="16.42578125" style="15"/>
    <col min="16129" max="16129" width="29.7109375" style="15" customWidth="1"/>
    <col min="16130" max="16130" width="23" style="15" customWidth="1"/>
    <col min="16131" max="16131" width="42.7109375" style="15" bestFit="1" customWidth="1"/>
    <col min="16132" max="16132" width="12.140625" style="15" customWidth="1"/>
    <col min="16133" max="16135" width="3.5703125" style="15" customWidth="1"/>
    <col min="16136" max="16148" width="19.85546875" style="15" bestFit="1" customWidth="1"/>
    <col min="16149" max="16149" width="18.28515625" style="15" customWidth="1"/>
    <col min="16150" max="16150" width="13.7109375" style="15" customWidth="1"/>
    <col min="16151" max="16151" width="47" style="15" bestFit="1" customWidth="1"/>
    <col min="16152" max="16152" width="17.5703125" style="15" customWidth="1"/>
    <col min="16153" max="16156" width="21" style="15" bestFit="1" customWidth="1"/>
    <col min="16157" max="16157" width="21.5703125" style="15" bestFit="1" customWidth="1"/>
    <col min="16158" max="16158" width="22.140625" style="15" bestFit="1" customWidth="1"/>
    <col min="16159" max="16159" width="13.85546875" style="15" customWidth="1"/>
    <col min="16160" max="16160" width="16.42578125" style="15"/>
    <col min="16161" max="16161" width="12.7109375" style="15" bestFit="1" customWidth="1"/>
    <col min="16162" max="16170" width="16.42578125" style="15"/>
    <col min="16171" max="16202" width="16.42578125" style="15" customWidth="1"/>
    <col min="16203" max="16384" width="16.42578125" style="15"/>
  </cols>
  <sheetData>
    <row r="1" spans="1:30">
      <c r="B1" s="649"/>
      <c r="C1" s="650"/>
    </row>
    <row r="2" spans="1:30">
      <c r="B2" s="649"/>
      <c r="C2" s="650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</row>
    <row r="3" spans="1:30">
      <c r="B3" s="651"/>
      <c r="C3" s="652"/>
      <c r="D3" s="175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30">
      <c r="A4" s="653"/>
      <c r="B4" s="651"/>
      <c r="C4" s="654"/>
      <c r="D4" s="175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V4" s="653"/>
    </row>
    <row r="5" spans="1:30">
      <c r="A5" s="653"/>
      <c r="B5" s="654"/>
      <c r="C5" s="654"/>
      <c r="D5" s="728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V5" s="653"/>
    </row>
    <row r="6" spans="1:30">
      <c r="A6" s="196"/>
      <c r="B6" s="544"/>
      <c r="C6" s="544"/>
      <c r="H6" s="666"/>
      <c r="I6" s="666"/>
      <c r="J6" s="666"/>
      <c r="K6" s="666"/>
      <c r="L6" s="666"/>
      <c r="M6" s="666"/>
      <c r="N6" s="666"/>
      <c r="O6" s="666"/>
      <c r="P6" s="666"/>
      <c r="Q6" s="666"/>
      <c r="R6" s="666"/>
      <c r="S6" s="666"/>
      <c r="T6" s="666"/>
      <c r="V6" s="196"/>
    </row>
    <row r="7" spans="1:30">
      <c r="A7" s="655"/>
      <c r="B7" s="656"/>
      <c r="C7" s="656"/>
      <c r="D7" s="863"/>
      <c r="E7" s="194"/>
      <c r="F7" s="194"/>
      <c r="G7" s="194"/>
      <c r="H7" s="874"/>
      <c r="I7" s="874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666" t="s">
        <v>982</v>
      </c>
      <c r="U7" s="657"/>
    </row>
    <row r="8" spans="1:30">
      <c r="A8" s="658"/>
      <c r="B8" s="659"/>
      <c r="C8" s="659"/>
      <c r="H8" s="874"/>
      <c r="I8" s="874"/>
      <c r="J8" s="874"/>
      <c r="K8" s="874"/>
      <c r="L8" s="874"/>
      <c r="M8" s="874"/>
      <c r="N8" s="874"/>
      <c r="O8" s="874"/>
      <c r="P8" s="874"/>
      <c r="Q8" s="874"/>
      <c r="R8" s="874"/>
      <c r="S8" s="874"/>
      <c r="T8" s="874" t="s">
        <v>983</v>
      </c>
    </row>
    <row r="9" spans="1:30" ht="13.5" thickBot="1">
      <c r="A9" s="867" t="s">
        <v>836</v>
      </c>
      <c r="B9" s="660"/>
      <c r="C9" s="867" t="s">
        <v>842</v>
      </c>
      <c r="D9" s="867"/>
      <c r="E9" s="867"/>
      <c r="F9" s="661"/>
      <c r="G9" s="875">
        <v>40543</v>
      </c>
      <c r="H9" s="875">
        <v>42766</v>
      </c>
      <c r="I9" s="875">
        <v>42794</v>
      </c>
      <c r="J9" s="875">
        <v>42825</v>
      </c>
      <c r="K9" s="875">
        <v>42855</v>
      </c>
      <c r="L9" s="875">
        <v>42886</v>
      </c>
      <c r="M9" s="875">
        <v>42916</v>
      </c>
      <c r="N9" s="875">
        <v>42947</v>
      </c>
      <c r="O9" s="875">
        <v>42978</v>
      </c>
      <c r="P9" s="875">
        <v>43008</v>
      </c>
      <c r="Q9" s="875">
        <v>43039</v>
      </c>
      <c r="R9" s="875">
        <v>43069</v>
      </c>
      <c r="S9" s="875">
        <v>43100</v>
      </c>
      <c r="T9" s="875">
        <v>42916</v>
      </c>
      <c r="Y9" s="95"/>
      <c r="Z9" s="95"/>
      <c r="AA9" s="95"/>
    </row>
    <row r="10" spans="1:30" ht="13.5" thickBot="1">
      <c r="A10" s="868" t="s">
        <v>843</v>
      </c>
      <c r="B10" s="544"/>
      <c r="C10" s="544"/>
      <c r="D10" s="728"/>
      <c r="H10" s="876"/>
      <c r="I10" s="876"/>
      <c r="J10" s="876"/>
      <c r="K10" s="876"/>
      <c r="L10" s="876"/>
      <c r="M10" s="876"/>
      <c r="N10" s="876"/>
      <c r="O10" s="876"/>
      <c r="P10" s="876"/>
      <c r="Q10" s="876"/>
      <c r="R10" s="876"/>
      <c r="S10" s="876"/>
      <c r="T10" s="876"/>
      <c r="V10" s="662"/>
      <c r="W10" s="663"/>
      <c r="X10" s="664" t="s">
        <v>965</v>
      </c>
      <c r="Y10" s="664" t="s">
        <v>981</v>
      </c>
      <c r="Z10" s="664" t="s">
        <v>109</v>
      </c>
      <c r="AA10" s="664" t="s">
        <v>101</v>
      </c>
      <c r="AB10" s="664" t="s">
        <v>102</v>
      </c>
      <c r="AC10" s="664" t="s">
        <v>881</v>
      </c>
      <c r="AD10" s="665" t="s">
        <v>984</v>
      </c>
    </row>
    <row r="11" spans="1:30" ht="13.5" thickBot="1">
      <c r="A11" s="869" t="s">
        <v>13</v>
      </c>
      <c r="B11" s="728"/>
      <c r="C11" s="728"/>
      <c r="D11" s="870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V11" s="334" t="s">
        <v>151</v>
      </c>
      <c r="W11" s="587"/>
      <c r="X11" s="663"/>
      <c r="Y11" s="663"/>
      <c r="Z11" s="663"/>
      <c r="AA11" s="663"/>
      <c r="AB11" s="663"/>
      <c r="AC11" s="663"/>
      <c r="AD11" s="667"/>
    </row>
    <row r="12" spans="1:30">
      <c r="A12" s="869"/>
      <c r="B12" s="870"/>
      <c r="C12" s="870"/>
      <c r="D12" s="870"/>
      <c r="H12" s="666"/>
      <c r="I12" s="666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V12" s="336" t="s">
        <v>945</v>
      </c>
      <c r="W12" s="351"/>
      <c r="X12" s="194"/>
      <c r="Y12" s="194"/>
      <c r="Z12" s="194"/>
      <c r="AA12" s="194"/>
      <c r="AB12" s="194"/>
      <c r="AC12" s="194"/>
      <c r="AD12" s="668"/>
    </row>
    <row r="13" spans="1:30">
      <c r="A13" s="669"/>
      <c r="B13" s="544"/>
      <c r="C13" s="544"/>
      <c r="D13" s="872"/>
      <c r="E13" s="872"/>
      <c r="F13" s="872"/>
      <c r="G13" s="872"/>
      <c r="H13" s="1253"/>
      <c r="I13" s="1253"/>
      <c r="J13" s="1253"/>
      <c r="K13" s="1253"/>
      <c r="L13" s="1253"/>
      <c r="M13" s="1253"/>
      <c r="N13" s="1253"/>
      <c r="O13" s="1253"/>
      <c r="P13" s="1253"/>
      <c r="Q13" s="1253"/>
      <c r="R13" s="1253"/>
      <c r="S13" s="1253"/>
      <c r="T13" s="666"/>
      <c r="V13" s="222"/>
      <c r="W13" s="28" t="s">
        <v>322</v>
      </c>
      <c r="X13" s="670">
        <f>+$S$21+$S$30+$S$39</f>
        <v>1002147</v>
      </c>
      <c r="Y13" s="670">
        <f>+$T$21+$T$30+$T$39</f>
        <v>992105.25</v>
      </c>
      <c r="Z13" s="670">
        <f>+$T$22</f>
        <v>97193727</v>
      </c>
      <c r="AA13" s="670">
        <f>+$T$15</f>
        <v>316199223</v>
      </c>
      <c r="AB13" s="670">
        <f>+$T$17</f>
        <v>100235379</v>
      </c>
      <c r="AC13" s="670">
        <f>+$T$19</f>
        <v>393060780</v>
      </c>
      <c r="AD13" s="671">
        <f>SUM(AA13:AC13)</f>
        <v>809495382</v>
      </c>
    </row>
    <row r="14" spans="1:30">
      <c r="A14" s="869" t="s">
        <v>14</v>
      </c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V14" s="222"/>
      <c r="W14" s="28" t="s">
        <v>509</v>
      </c>
      <c r="X14" s="670">
        <f>+$S$48</f>
        <v>493</v>
      </c>
      <c r="Y14" s="670">
        <f>+$T$48</f>
        <v>529.91666666666663</v>
      </c>
      <c r="Z14" s="670">
        <f>+$T$49</f>
        <v>3917177</v>
      </c>
      <c r="AA14" s="670">
        <f>+$T$42</f>
        <v>3357867</v>
      </c>
      <c r="AB14" s="670">
        <f>+$T$44</f>
        <v>3463902</v>
      </c>
      <c r="AC14" s="670">
        <f>+$T$46</f>
        <v>15794370</v>
      </c>
      <c r="AD14" s="671">
        <f>SUM(AA14:AC14)</f>
        <v>22616139</v>
      </c>
    </row>
    <row r="15" spans="1:30" ht="13.5" thickBot="1">
      <c r="A15" s="868" t="s">
        <v>945</v>
      </c>
      <c r="B15" s="728" t="s">
        <v>15</v>
      </c>
      <c r="C15" s="728" t="s">
        <v>16</v>
      </c>
      <c r="D15" s="728" t="s">
        <v>946</v>
      </c>
      <c r="H15" s="666">
        <v>50572247</v>
      </c>
      <c r="I15" s="666">
        <v>45285666</v>
      </c>
      <c r="J15" s="666">
        <v>33369229</v>
      </c>
      <c r="K15" s="666">
        <v>20488344</v>
      </c>
      <c r="L15" s="666">
        <v>15264653</v>
      </c>
      <c r="M15" s="666">
        <v>11882163</v>
      </c>
      <c r="N15" s="666">
        <v>11057536</v>
      </c>
      <c r="O15" s="666">
        <v>10876082</v>
      </c>
      <c r="P15" s="666">
        <v>11781393</v>
      </c>
      <c r="Q15" s="666">
        <v>17975369</v>
      </c>
      <c r="R15" s="666">
        <v>35298140</v>
      </c>
      <c r="S15" s="666">
        <v>52348401</v>
      </c>
      <c r="T15" s="666">
        <v>316199223</v>
      </c>
      <c r="V15" s="672"/>
      <c r="W15" s="20" t="s">
        <v>810</v>
      </c>
      <c r="X15" s="673">
        <f>+$S$66</f>
        <v>1</v>
      </c>
      <c r="Y15" s="673">
        <f>+$T$66</f>
        <v>1</v>
      </c>
      <c r="Z15" s="673">
        <f>+$T$67</f>
        <v>297834.61000000004</v>
      </c>
      <c r="AA15" s="673">
        <f>+$T$60</f>
        <v>1777126.4168316997</v>
      </c>
      <c r="AB15" s="673">
        <f>+$T$62</f>
        <v>265317.09801070008</v>
      </c>
      <c r="AC15" s="673">
        <f>+$T$64</f>
        <v>1200610.4451576001</v>
      </c>
      <c r="AD15" s="674">
        <f>SUM(AA15:AC15)</f>
        <v>3243053.96</v>
      </c>
    </row>
    <row r="16" spans="1:30">
      <c r="A16" s="868" t="s">
        <v>945</v>
      </c>
      <c r="B16" s="728"/>
      <c r="C16" s="728"/>
      <c r="D16" s="728" t="s">
        <v>946</v>
      </c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666"/>
      <c r="S16" s="666"/>
      <c r="T16" s="666"/>
      <c r="V16" s="222"/>
      <c r="W16" s="28" t="s">
        <v>103</v>
      </c>
      <c r="X16" s="670">
        <f t="shared" ref="X16:AD16" si="0">SUM(X13:X15)</f>
        <v>1002641</v>
      </c>
      <c r="Y16" s="670">
        <f>SUM(Y13:Y15)</f>
        <v>992636.16666666663</v>
      </c>
      <c r="Z16" s="670">
        <f>SUM(Z13:Z15)</f>
        <v>101408738.61</v>
      </c>
      <c r="AA16" s="670">
        <f>SUM(AA13:AA15)</f>
        <v>321334216.41683167</v>
      </c>
      <c r="AB16" s="670">
        <f t="shared" si="0"/>
        <v>103964598.0980107</v>
      </c>
      <c r="AC16" s="670">
        <f t="shared" si="0"/>
        <v>410055760.44515759</v>
      </c>
      <c r="AD16" s="671">
        <f t="shared" si="0"/>
        <v>835354574.96000004</v>
      </c>
    </row>
    <row r="17" spans="1:30">
      <c r="A17" s="868" t="s">
        <v>945</v>
      </c>
      <c r="B17" s="728"/>
      <c r="C17" s="728" t="s">
        <v>17</v>
      </c>
      <c r="D17" s="728" t="s">
        <v>946</v>
      </c>
      <c r="H17" s="666">
        <v>23670076</v>
      </c>
      <c r="I17" s="666">
        <v>16116116</v>
      </c>
      <c r="J17" s="666">
        <v>11028369</v>
      </c>
      <c r="K17" s="666">
        <v>4098186</v>
      </c>
      <c r="L17" s="666">
        <v>2190789</v>
      </c>
      <c r="M17" s="666">
        <v>1347594</v>
      </c>
      <c r="N17" s="666">
        <v>1342142</v>
      </c>
      <c r="O17" s="666">
        <v>1252270</v>
      </c>
      <c r="P17" s="666">
        <v>1587014</v>
      </c>
      <c r="Q17" s="666">
        <v>4182980</v>
      </c>
      <c r="R17" s="666">
        <v>11405954</v>
      </c>
      <c r="S17" s="666">
        <v>22013889</v>
      </c>
      <c r="T17" s="666">
        <v>100235379</v>
      </c>
      <c r="V17" s="222"/>
      <c r="W17" s="28"/>
      <c r="X17" s="670"/>
      <c r="Y17" s="670"/>
      <c r="Z17" s="670"/>
      <c r="AA17" s="670"/>
      <c r="AB17" s="670"/>
      <c r="AC17" s="670"/>
      <c r="AD17" s="671"/>
    </row>
    <row r="18" spans="1:30">
      <c r="A18" s="868" t="s">
        <v>945</v>
      </c>
      <c r="B18" s="728"/>
      <c r="C18" s="728"/>
      <c r="D18" s="728" t="s">
        <v>946</v>
      </c>
      <c r="H18" s="666"/>
      <c r="I18" s="666"/>
      <c r="J18" s="666"/>
      <c r="K18" s="666"/>
      <c r="L18" s="666"/>
      <c r="M18" s="666"/>
      <c r="N18" s="666"/>
      <c r="O18" s="666"/>
      <c r="P18" s="666"/>
      <c r="Q18" s="666"/>
      <c r="R18" s="666"/>
      <c r="S18" s="666"/>
      <c r="T18" s="666"/>
      <c r="V18" s="336" t="s">
        <v>949</v>
      </c>
      <c r="W18" s="351"/>
      <c r="X18" s="194"/>
      <c r="Y18" s="194"/>
      <c r="Z18" s="194"/>
      <c r="AA18" s="194"/>
      <c r="AB18" s="194"/>
      <c r="AC18" s="194"/>
      <c r="AD18" s="668"/>
    </row>
    <row r="19" spans="1:30" ht="13.5" thickBot="1">
      <c r="A19" s="868" t="s">
        <v>945</v>
      </c>
      <c r="B19" s="728"/>
      <c r="C19" s="728" t="s">
        <v>18</v>
      </c>
      <c r="D19" s="728" t="s">
        <v>946</v>
      </c>
      <c r="H19" s="675">
        <v>79220721</v>
      </c>
      <c r="I19" s="675">
        <v>53938774</v>
      </c>
      <c r="J19" s="675">
        <v>36920603</v>
      </c>
      <c r="K19" s="675">
        <v>29858858</v>
      </c>
      <c r="L19" s="675">
        <v>15622653</v>
      </c>
      <c r="M19" s="675">
        <v>9136338</v>
      </c>
      <c r="N19" s="675">
        <v>9111966</v>
      </c>
      <c r="O19" s="675">
        <v>8504646</v>
      </c>
      <c r="P19" s="675">
        <v>10769498</v>
      </c>
      <c r="Q19" s="675">
        <v>28384746</v>
      </c>
      <c r="R19" s="675">
        <v>39181554</v>
      </c>
      <c r="S19" s="675">
        <v>72410423</v>
      </c>
      <c r="T19" s="675">
        <v>393060780</v>
      </c>
      <c r="V19" s="672"/>
      <c r="W19" s="20" t="s">
        <v>680</v>
      </c>
      <c r="X19" s="673">
        <f>+$S$102</f>
        <v>35</v>
      </c>
      <c r="Y19" s="673">
        <f>+$T$102</f>
        <v>40.833333333333336</v>
      </c>
      <c r="Z19" s="673">
        <f>+$T$103</f>
        <v>619341</v>
      </c>
      <c r="AA19" s="673">
        <f>+$T$96</f>
        <v>373983</v>
      </c>
      <c r="AB19" s="673">
        <f>+$T$98</f>
        <v>111250</v>
      </c>
      <c r="AC19" s="673">
        <f>+$T$100</f>
        <v>2493346</v>
      </c>
      <c r="AD19" s="674">
        <f>SUM(AA19:AC19)</f>
        <v>2978579</v>
      </c>
    </row>
    <row r="20" spans="1:30">
      <c r="A20" s="868" t="s">
        <v>945</v>
      </c>
      <c r="B20" s="728"/>
      <c r="C20" s="728" t="s">
        <v>19</v>
      </c>
      <c r="D20" s="728" t="s">
        <v>946</v>
      </c>
      <c r="H20" s="666">
        <v>153463044</v>
      </c>
      <c r="I20" s="666">
        <v>115340556</v>
      </c>
      <c r="J20" s="666">
        <v>81318201</v>
      </c>
      <c r="K20" s="666">
        <v>54445388</v>
      </c>
      <c r="L20" s="666">
        <v>33078095</v>
      </c>
      <c r="M20" s="666">
        <v>22366095</v>
      </c>
      <c r="N20" s="666">
        <v>21511644</v>
      </c>
      <c r="O20" s="666">
        <v>20632998</v>
      </c>
      <c r="P20" s="666">
        <v>24137905</v>
      </c>
      <c r="Q20" s="666">
        <v>50543095</v>
      </c>
      <c r="R20" s="666">
        <v>85885648</v>
      </c>
      <c r="S20" s="666">
        <v>146772713</v>
      </c>
      <c r="T20" s="666">
        <v>809495382</v>
      </c>
      <c r="V20" s="222"/>
      <c r="W20" s="28" t="s">
        <v>104</v>
      </c>
      <c r="X20" s="670">
        <f t="shared" ref="X20:AD20" si="1">SUM(X19:X19)</f>
        <v>35</v>
      </c>
      <c r="Y20" s="670">
        <f>SUM(Y19:Y19)</f>
        <v>40.833333333333336</v>
      </c>
      <c r="Z20" s="670">
        <f>SUM(Z19:Z19)</f>
        <v>619341</v>
      </c>
      <c r="AA20" s="670">
        <f t="shared" si="1"/>
        <v>373983</v>
      </c>
      <c r="AB20" s="670">
        <f t="shared" si="1"/>
        <v>111250</v>
      </c>
      <c r="AC20" s="670">
        <f t="shared" si="1"/>
        <v>2493346</v>
      </c>
      <c r="AD20" s="671">
        <f t="shared" si="1"/>
        <v>2978579</v>
      </c>
    </row>
    <row r="21" spans="1:30">
      <c r="A21" s="868" t="s">
        <v>945</v>
      </c>
      <c r="B21" s="728"/>
      <c r="C21" s="728" t="s">
        <v>947</v>
      </c>
      <c r="D21" s="728" t="s">
        <v>946</v>
      </c>
      <c r="H21" s="666">
        <v>983933</v>
      </c>
      <c r="I21" s="666">
        <v>984422</v>
      </c>
      <c r="J21" s="666">
        <v>987133</v>
      </c>
      <c r="K21" s="666">
        <v>988850</v>
      </c>
      <c r="L21" s="666">
        <v>989991</v>
      </c>
      <c r="M21" s="666">
        <v>992771</v>
      </c>
      <c r="N21" s="666">
        <v>992158</v>
      </c>
      <c r="O21" s="666">
        <v>992777</v>
      </c>
      <c r="P21" s="666">
        <v>995642</v>
      </c>
      <c r="Q21" s="666">
        <v>996263</v>
      </c>
      <c r="R21" s="666">
        <v>999176</v>
      </c>
      <c r="S21" s="666">
        <v>1002147</v>
      </c>
      <c r="T21" s="666">
        <v>992105.25</v>
      </c>
      <c r="V21" s="222"/>
      <c r="W21" s="28"/>
      <c r="X21" s="670"/>
      <c r="Y21" s="670"/>
      <c r="Z21" s="670"/>
      <c r="AA21" s="670"/>
      <c r="AB21" s="670"/>
      <c r="AC21" s="670"/>
      <c r="AD21" s="671"/>
    </row>
    <row r="22" spans="1:30">
      <c r="A22" s="868" t="s">
        <v>945</v>
      </c>
      <c r="B22" s="728"/>
      <c r="C22" s="728" t="s">
        <v>20</v>
      </c>
      <c r="D22" s="728" t="s">
        <v>946</v>
      </c>
      <c r="H22" s="666">
        <v>19966763</v>
      </c>
      <c r="I22" s="666">
        <v>13594715</v>
      </c>
      <c r="J22" s="666">
        <v>9305272</v>
      </c>
      <c r="K22" s="666">
        <v>7525631</v>
      </c>
      <c r="L22" s="666">
        <v>3937724</v>
      </c>
      <c r="M22" s="666">
        <v>2270003</v>
      </c>
      <c r="N22" s="666">
        <v>2267146</v>
      </c>
      <c r="O22" s="666">
        <v>2115860</v>
      </c>
      <c r="P22" s="666">
        <v>2679403</v>
      </c>
      <c r="Q22" s="666">
        <v>7062006</v>
      </c>
      <c r="R22" s="666">
        <v>9318658</v>
      </c>
      <c r="S22" s="666">
        <v>17150546</v>
      </c>
      <c r="T22" s="666">
        <v>97193727</v>
      </c>
      <c r="V22" s="336"/>
      <c r="W22" s="28" t="s">
        <v>690</v>
      </c>
      <c r="X22" s="670"/>
      <c r="Y22" s="670"/>
      <c r="Z22" s="670"/>
      <c r="AA22" s="670">
        <f>+$T$195</f>
        <v>-1433989</v>
      </c>
      <c r="AB22" s="670"/>
      <c r="AC22" s="670"/>
      <c r="AD22" s="671">
        <f>SUM(AA22:AC22)</f>
        <v>-1433989</v>
      </c>
    </row>
    <row r="23" spans="1:30" ht="13.5" thickBot="1">
      <c r="A23" s="868" t="s">
        <v>945</v>
      </c>
      <c r="B23" s="332"/>
      <c r="C23" s="728"/>
      <c r="D23" s="728"/>
      <c r="H23" s="666"/>
      <c r="I23" s="666"/>
      <c r="J23" s="666"/>
      <c r="K23" s="666"/>
      <c r="L23" s="666"/>
      <c r="M23" s="666"/>
      <c r="N23" s="666"/>
      <c r="O23" s="666"/>
      <c r="P23" s="666"/>
      <c r="Q23" s="666"/>
      <c r="R23" s="666"/>
      <c r="S23" s="666"/>
      <c r="T23" s="666"/>
      <c r="V23" s="336"/>
      <c r="W23" s="20" t="s">
        <v>114</v>
      </c>
      <c r="X23" s="673"/>
      <c r="Y23" s="673"/>
      <c r="Z23" s="673"/>
      <c r="AA23" s="673">
        <f>+$T$196</f>
        <v>20806992</v>
      </c>
      <c r="AB23" s="673"/>
      <c r="AC23" s="673"/>
      <c r="AD23" s="674">
        <f>SUM(AA23:AC23)</f>
        <v>20806992</v>
      </c>
    </row>
    <row r="24" spans="1:30">
      <c r="A24" s="868" t="s">
        <v>945</v>
      </c>
      <c r="B24" s="728" t="s">
        <v>247</v>
      </c>
      <c r="C24" s="728" t="s">
        <v>16</v>
      </c>
      <c r="D24" s="728" t="s">
        <v>946</v>
      </c>
      <c r="H24" s="666"/>
      <c r="I24" s="666"/>
      <c r="J24" s="666"/>
      <c r="K24" s="666"/>
      <c r="L24" s="666"/>
      <c r="M24" s="666"/>
      <c r="N24" s="666"/>
      <c r="O24" s="666"/>
      <c r="P24" s="666"/>
      <c r="Q24" s="666"/>
      <c r="R24" s="666"/>
      <c r="S24" s="666"/>
      <c r="T24" s="666">
        <v>0</v>
      </c>
      <c r="V24" s="877"/>
      <c r="W24" s="28" t="s">
        <v>966</v>
      </c>
      <c r="X24" s="670"/>
      <c r="Y24" s="670"/>
      <c r="Z24" s="670"/>
      <c r="AA24" s="670">
        <f>SUM(AA22:AA23)</f>
        <v>19373003</v>
      </c>
      <c r="AB24" s="670"/>
      <c r="AC24" s="670"/>
      <c r="AD24" s="671">
        <f>SUM(AD22:AD23)</f>
        <v>19373003</v>
      </c>
    </row>
    <row r="25" spans="1:30">
      <c r="A25" s="868" t="s">
        <v>945</v>
      </c>
      <c r="B25" s="728"/>
      <c r="C25" s="728"/>
      <c r="D25" s="728" t="s">
        <v>946</v>
      </c>
      <c r="H25" s="666"/>
      <c r="I25" s="666"/>
      <c r="J25" s="666"/>
      <c r="K25" s="666"/>
      <c r="L25" s="666"/>
      <c r="M25" s="666"/>
      <c r="N25" s="666"/>
      <c r="O25" s="666"/>
      <c r="P25" s="666"/>
      <c r="Q25" s="666"/>
      <c r="R25" s="666"/>
      <c r="S25" s="666"/>
      <c r="T25" s="666"/>
      <c r="V25" s="336"/>
      <c r="W25" s="351"/>
      <c r="X25" s="194"/>
      <c r="Y25" s="194"/>
      <c r="Z25" s="194"/>
      <c r="AA25" s="194"/>
      <c r="AB25" s="194"/>
      <c r="AC25" s="194"/>
      <c r="AD25" s="668"/>
    </row>
    <row r="26" spans="1:30">
      <c r="A26" s="868" t="s">
        <v>945</v>
      </c>
      <c r="B26" s="728"/>
      <c r="C26" s="728" t="s">
        <v>17</v>
      </c>
      <c r="D26" s="728" t="s">
        <v>946</v>
      </c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6"/>
      <c r="S26" s="666"/>
      <c r="T26" s="666">
        <v>0</v>
      </c>
      <c r="V26" s="336" t="s">
        <v>953</v>
      </c>
      <c r="W26" s="351"/>
      <c r="X26" s="194"/>
      <c r="Y26" s="194"/>
      <c r="Z26" s="194"/>
      <c r="AA26" s="194"/>
      <c r="AB26" s="194"/>
      <c r="AC26" s="194"/>
      <c r="AD26" s="668"/>
    </row>
    <row r="27" spans="1:30">
      <c r="A27" s="868" t="s">
        <v>945</v>
      </c>
      <c r="B27" s="728"/>
      <c r="C27" s="728"/>
      <c r="D27" s="728" t="s">
        <v>946</v>
      </c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V27" s="336"/>
      <c r="W27" s="351" t="s">
        <v>890</v>
      </c>
      <c r="X27" s="670">
        <f>+$S$129</f>
        <v>9</v>
      </c>
      <c r="Y27" s="670">
        <f>+$T$129</f>
        <v>9</v>
      </c>
      <c r="Z27" s="670">
        <f>+$T$130</f>
        <v>31275505</v>
      </c>
      <c r="AA27" s="670">
        <f>+$T$123</f>
        <v>5148837</v>
      </c>
      <c r="AB27" s="670">
        <f>+$T$125</f>
        <v>0</v>
      </c>
      <c r="AC27" s="670">
        <f>+$T$127</f>
        <v>0</v>
      </c>
      <c r="AD27" s="671">
        <f t="shared" ref="AD27:AD33" si="2">SUM(AA27:AC27)</f>
        <v>5148837</v>
      </c>
    </row>
    <row r="28" spans="1:30">
      <c r="A28" s="868" t="s">
        <v>945</v>
      </c>
      <c r="B28" s="728"/>
      <c r="C28" s="728" t="s">
        <v>18</v>
      </c>
      <c r="D28" s="728" t="s">
        <v>946</v>
      </c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>
        <v>0</v>
      </c>
      <c r="V28" s="336"/>
      <c r="W28" s="351" t="s">
        <v>956</v>
      </c>
      <c r="X28" s="670">
        <f>+$S$138</f>
        <v>0</v>
      </c>
      <c r="Y28" s="670">
        <f>+$T$138</f>
        <v>0</v>
      </c>
      <c r="Z28" s="670">
        <f>+$T$139</f>
        <v>0</v>
      </c>
      <c r="AA28" s="670">
        <f>+$T$132</f>
        <v>0</v>
      </c>
      <c r="AB28" s="670">
        <f>+$T$134</f>
        <v>0</v>
      </c>
      <c r="AC28" s="670">
        <f>+$T$136</f>
        <v>0</v>
      </c>
      <c r="AD28" s="671">
        <f t="shared" si="2"/>
        <v>0</v>
      </c>
    </row>
    <row r="29" spans="1:30">
      <c r="A29" s="868" t="s">
        <v>945</v>
      </c>
      <c r="B29" s="728"/>
      <c r="C29" s="728" t="s">
        <v>19</v>
      </c>
      <c r="D29" s="728" t="s">
        <v>946</v>
      </c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>
        <v>0</v>
      </c>
      <c r="V29" s="336"/>
      <c r="W29" s="351" t="s">
        <v>567</v>
      </c>
      <c r="X29" s="670">
        <f>+$S$156</f>
        <v>0</v>
      </c>
      <c r="Y29" s="670">
        <f>+$T$156</f>
        <v>0</v>
      </c>
      <c r="Z29" s="670">
        <f>+$T$157</f>
        <v>0</v>
      </c>
      <c r="AA29" s="670">
        <f>+$T$150</f>
        <v>0</v>
      </c>
      <c r="AB29" s="670">
        <f>+$T$152</f>
        <v>0</v>
      </c>
      <c r="AC29" s="670">
        <f>+$T$154</f>
        <v>0</v>
      </c>
      <c r="AD29" s="671">
        <f t="shared" si="2"/>
        <v>0</v>
      </c>
    </row>
    <row r="30" spans="1:30">
      <c r="A30" s="868" t="s">
        <v>945</v>
      </c>
      <c r="B30" s="728"/>
      <c r="C30" s="728" t="s">
        <v>947</v>
      </c>
      <c r="D30" s="728" t="s">
        <v>946</v>
      </c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V30" s="336"/>
      <c r="W30" s="351" t="s">
        <v>566</v>
      </c>
      <c r="X30" s="670">
        <f>+$S$183</f>
        <v>0</v>
      </c>
      <c r="Y30" s="670">
        <f>+$T$183</f>
        <v>0</v>
      </c>
      <c r="Z30" s="670">
        <f>+$T$184</f>
        <v>0</v>
      </c>
      <c r="AA30" s="670">
        <f>+$T$177</f>
        <v>0</v>
      </c>
      <c r="AB30" s="670">
        <f>+$T$179</f>
        <v>0</v>
      </c>
      <c r="AC30" s="670">
        <f>+$T$181</f>
        <v>0</v>
      </c>
      <c r="AD30" s="671">
        <f t="shared" si="2"/>
        <v>0</v>
      </c>
    </row>
    <row r="31" spans="1:30">
      <c r="A31" s="868" t="s">
        <v>945</v>
      </c>
      <c r="B31" s="728"/>
      <c r="C31" s="728" t="s">
        <v>20</v>
      </c>
      <c r="D31" s="728" t="s">
        <v>946</v>
      </c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>
        <v>0</v>
      </c>
      <c r="V31" s="336"/>
      <c r="W31" s="351" t="s">
        <v>692</v>
      </c>
      <c r="X31" s="670">
        <f>+$S$147</f>
        <v>1</v>
      </c>
      <c r="Y31" s="670">
        <f>+$T$147</f>
        <v>1</v>
      </c>
      <c r="Z31" s="670">
        <f>+$T$148</f>
        <v>21165</v>
      </c>
      <c r="AA31" s="670">
        <f>+$T$141</f>
        <v>24214</v>
      </c>
      <c r="AB31" s="670">
        <f>+$T$143</f>
        <v>2090</v>
      </c>
      <c r="AC31" s="670">
        <f>+$T$145</f>
        <v>0</v>
      </c>
      <c r="AD31" s="671">
        <f t="shared" si="2"/>
        <v>26304</v>
      </c>
    </row>
    <row r="32" spans="1:30">
      <c r="A32" s="868" t="s">
        <v>945</v>
      </c>
      <c r="B32" s="332"/>
      <c r="C32" s="332"/>
      <c r="D32" s="332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V32" s="336"/>
      <c r="W32" s="351" t="s">
        <v>681</v>
      </c>
      <c r="X32" s="670">
        <f>+$S$165</f>
        <v>700</v>
      </c>
      <c r="Y32" s="670">
        <f>+$T$165</f>
        <v>618.08333333333337</v>
      </c>
      <c r="Z32" s="670">
        <f>+$T$166</f>
        <v>44783653</v>
      </c>
      <c r="AA32" s="670">
        <f>+$T$159</f>
        <v>20188113</v>
      </c>
      <c r="AB32" s="670">
        <f>+$T$161</f>
        <v>568888</v>
      </c>
      <c r="AC32" s="670">
        <f>+$T$172</f>
        <v>0</v>
      </c>
      <c r="AD32" s="671">
        <f t="shared" si="2"/>
        <v>20757001</v>
      </c>
    </row>
    <row r="33" spans="1:30" ht="13.5" thickBot="1">
      <c r="A33" s="868" t="s">
        <v>945</v>
      </c>
      <c r="B33" s="728" t="s">
        <v>808</v>
      </c>
      <c r="C33" s="728" t="s">
        <v>16</v>
      </c>
      <c r="D33" s="728" t="s">
        <v>946</v>
      </c>
      <c r="H33" s="666">
        <v>0</v>
      </c>
      <c r="I33" s="666">
        <v>0</v>
      </c>
      <c r="J33" s="666">
        <v>0</v>
      </c>
      <c r="K33" s="666">
        <v>0</v>
      </c>
      <c r="L33" s="666">
        <v>0</v>
      </c>
      <c r="M33" s="666">
        <v>0</v>
      </c>
      <c r="N33" s="666">
        <v>0</v>
      </c>
      <c r="O33" s="666">
        <v>0</v>
      </c>
      <c r="P33" s="666">
        <v>0</v>
      </c>
      <c r="Q33" s="666">
        <v>0</v>
      </c>
      <c r="R33" s="666">
        <v>0</v>
      </c>
      <c r="S33" s="666">
        <v>0</v>
      </c>
      <c r="T33" s="666">
        <v>0</v>
      </c>
      <c r="V33" s="342"/>
      <c r="W33" s="354" t="s">
        <v>895</v>
      </c>
      <c r="X33" s="673">
        <f>+$S$174</f>
        <v>0</v>
      </c>
      <c r="Y33" s="673">
        <f>+$T$174</f>
        <v>0</v>
      </c>
      <c r="Z33" s="673">
        <f>+$T$175</f>
        <v>0</v>
      </c>
      <c r="AA33" s="673">
        <f>+$T$168</f>
        <v>0</v>
      </c>
      <c r="AB33" s="673">
        <f>+$T$170</f>
        <v>0</v>
      </c>
      <c r="AC33" s="673">
        <f>+$T$172</f>
        <v>0</v>
      </c>
      <c r="AD33" s="674">
        <f t="shared" si="2"/>
        <v>0</v>
      </c>
    </row>
    <row r="34" spans="1:30">
      <c r="A34" s="868" t="s">
        <v>945</v>
      </c>
      <c r="B34" s="728"/>
      <c r="C34" s="728"/>
      <c r="D34" s="728" t="s">
        <v>946</v>
      </c>
      <c r="H34" s="666">
        <v>0</v>
      </c>
      <c r="I34" s="666">
        <v>0</v>
      </c>
      <c r="J34" s="666">
        <v>0</v>
      </c>
      <c r="K34" s="666">
        <v>0</v>
      </c>
      <c r="L34" s="666">
        <v>0</v>
      </c>
      <c r="M34" s="666">
        <v>0</v>
      </c>
      <c r="N34" s="666">
        <v>0</v>
      </c>
      <c r="O34" s="666">
        <v>0</v>
      </c>
      <c r="P34" s="666">
        <v>0</v>
      </c>
      <c r="Q34" s="666">
        <v>0</v>
      </c>
      <c r="R34" s="666">
        <v>0</v>
      </c>
      <c r="S34" s="666">
        <v>0</v>
      </c>
      <c r="T34" s="666"/>
      <c r="V34" s="222"/>
      <c r="W34" s="28" t="s">
        <v>105</v>
      </c>
      <c r="X34" s="670">
        <f t="shared" ref="X34:AD34" si="3">SUM(X27:X33)</f>
        <v>710</v>
      </c>
      <c r="Y34" s="670">
        <f>SUM(Y27:Y33)</f>
        <v>628.08333333333337</v>
      </c>
      <c r="Z34" s="670">
        <f t="shared" si="3"/>
        <v>76080323</v>
      </c>
      <c r="AA34" s="670">
        <f t="shared" si="3"/>
        <v>25361164</v>
      </c>
      <c r="AB34" s="670">
        <f t="shared" si="3"/>
        <v>570978</v>
      </c>
      <c r="AC34" s="670">
        <f t="shared" si="3"/>
        <v>0</v>
      </c>
      <c r="AD34" s="671">
        <f t="shared" si="3"/>
        <v>25932142</v>
      </c>
    </row>
    <row r="35" spans="1:30">
      <c r="A35" s="868" t="s">
        <v>945</v>
      </c>
      <c r="B35" s="728"/>
      <c r="C35" s="728" t="s">
        <v>17</v>
      </c>
      <c r="D35" s="728" t="s">
        <v>946</v>
      </c>
      <c r="H35" s="666">
        <v>0</v>
      </c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0</v>
      </c>
      <c r="O35" s="666">
        <v>0</v>
      </c>
      <c r="P35" s="666">
        <v>0</v>
      </c>
      <c r="Q35" s="666">
        <v>0</v>
      </c>
      <c r="R35" s="666">
        <v>0</v>
      </c>
      <c r="S35" s="666">
        <v>0</v>
      </c>
      <c r="T35" s="666">
        <v>0</v>
      </c>
      <c r="V35" s="336"/>
      <c r="W35" s="351"/>
      <c r="X35" s="194"/>
      <c r="Y35" s="194"/>
      <c r="Z35" s="194"/>
      <c r="AA35" s="194"/>
      <c r="AB35" s="194"/>
      <c r="AC35" s="194"/>
      <c r="AD35" s="668"/>
    </row>
    <row r="36" spans="1:30">
      <c r="A36" s="868" t="s">
        <v>945</v>
      </c>
      <c r="B36" s="728"/>
      <c r="C36" s="728"/>
      <c r="D36" s="728" t="s">
        <v>946</v>
      </c>
      <c r="H36" s="666">
        <v>0</v>
      </c>
      <c r="I36" s="666">
        <v>0</v>
      </c>
      <c r="J36" s="666">
        <v>0</v>
      </c>
      <c r="K36" s="666">
        <v>0</v>
      </c>
      <c r="L36" s="666">
        <v>0</v>
      </c>
      <c r="M36" s="666">
        <v>0</v>
      </c>
      <c r="N36" s="666">
        <v>0</v>
      </c>
      <c r="O36" s="666">
        <v>0</v>
      </c>
      <c r="P36" s="666">
        <v>0</v>
      </c>
      <c r="Q36" s="666">
        <v>0</v>
      </c>
      <c r="R36" s="666">
        <v>0</v>
      </c>
      <c r="S36" s="666">
        <v>0</v>
      </c>
      <c r="T36" s="666"/>
      <c r="V36" s="222"/>
      <c r="W36" s="28" t="s">
        <v>967</v>
      </c>
      <c r="X36" s="676">
        <f t="shared" ref="X36:AD36" si="4">+X34+X24+X16+X20</f>
        <v>1003386</v>
      </c>
      <c r="Y36" s="676">
        <f>+Y34+Y24+Y16+Y20</f>
        <v>993305.08333333337</v>
      </c>
      <c r="Z36" s="676">
        <f t="shared" si="4"/>
        <v>178108402.61000001</v>
      </c>
      <c r="AA36" s="676">
        <f t="shared" si="4"/>
        <v>366442366.41683167</v>
      </c>
      <c r="AB36" s="676">
        <f>+AB34+AB24+AB16+AB20</f>
        <v>104646826.0980107</v>
      </c>
      <c r="AC36" s="676">
        <f t="shared" si="4"/>
        <v>412549106.44515759</v>
      </c>
      <c r="AD36" s="677">
        <f t="shared" si="4"/>
        <v>883638298.96000004</v>
      </c>
    </row>
    <row r="37" spans="1:30" ht="13.5" thickBot="1">
      <c r="A37" s="868" t="s">
        <v>945</v>
      </c>
      <c r="B37" s="728"/>
      <c r="C37" s="728" t="s">
        <v>18</v>
      </c>
      <c r="D37" s="728" t="s">
        <v>946</v>
      </c>
      <c r="H37" s="675">
        <v>0</v>
      </c>
      <c r="I37" s="675">
        <v>0</v>
      </c>
      <c r="J37" s="675">
        <v>0</v>
      </c>
      <c r="K37" s="675">
        <v>0</v>
      </c>
      <c r="L37" s="675">
        <v>0</v>
      </c>
      <c r="M37" s="675">
        <v>0</v>
      </c>
      <c r="N37" s="675">
        <v>0</v>
      </c>
      <c r="O37" s="675">
        <v>0</v>
      </c>
      <c r="P37" s="675">
        <v>0</v>
      </c>
      <c r="Q37" s="675">
        <v>0</v>
      </c>
      <c r="R37" s="675">
        <v>0</v>
      </c>
      <c r="S37" s="675">
        <v>0</v>
      </c>
      <c r="T37" s="675">
        <v>0</v>
      </c>
      <c r="V37" s="342"/>
      <c r="W37" s="354"/>
      <c r="X37" s="661"/>
      <c r="Y37" s="661"/>
      <c r="Z37" s="661"/>
      <c r="AA37" s="661"/>
      <c r="AB37" s="661"/>
      <c r="AC37" s="661"/>
      <c r="AD37" s="678"/>
    </row>
    <row r="38" spans="1:30" ht="13.5" thickBot="1">
      <c r="A38" s="868" t="s">
        <v>945</v>
      </c>
      <c r="B38" s="728"/>
      <c r="C38" s="728" t="s">
        <v>19</v>
      </c>
      <c r="D38" s="728" t="s">
        <v>946</v>
      </c>
      <c r="H38" s="666">
        <v>0</v>
      </c>
      <c r="I38" s="666">
        <v>0</v>
      </c>
      <c r="J38" s="666">
        <v>0</v>
      </c>
      <c r="K38" s="666">
        <v>0</v>
      </c>
      <c r="L38" s="666">
        <v>0</v>
      </c>
      <c r="M38" s="666">
        <v>0</v>
      </c>
      <c r="N38" s="666">
        <v>0</v>
      </c>
      <c r="O38" s="666">
        <v>0</v>
      </c>
      <c r="P38" s="666">
        <v>0</v>
      </c>
      <c r="Q38" s="666">
        <v>0</v>
      </c>
      <c r="R38" s="666">
        <v>0</v>
      </c>
      <c r="S38" s="666">
        <v>0</v>
      </c>
      <c r="T38" s="666">
        <v>0</v>
      </c>
      <c r="V38" s="222"/>
      <c r="W38" s="28"/>
      <c r="X38" s="676"/>
      <c r="Y38" s="676"/>
      <c r="Z38" s="676"/>
      <c r="AA38" s="676"/>
      <c r="AB38" s="676"/>
      <c r="AC38" s="676"/>
      <c r="AD38" s="677"/>
    </row>
    <row r="39" spans="1:30">
      <c r="A39" s="868" t="s">
        <v>945</v>
      </c>
      <c r="B39" s="728"/>
      <c r="C39" s="728" t="s">
        <v>947</v>
      </c>
      <c r="D39" s="728" t="s">
        <v>946</v>
      </c>
      <c r="H39" s="666">
        <v>0</v>
      </c>
      <c r="I39" s="666">
        <v>0</v>
      </c>
      <c r="J39" s="666">
        <v>0</v>
      </c>
      <c r="K39" s="666">
        <v>0</v>
      </c>
      <c r="L39" s="666">
        <v>0</v>
      </c>
      <c r="M39" s="666">
        <v>0</v>
      </c>
      <c r="N39" s="666">
        <v>0</v>
      </c>
      <c r="O39" s="666">
        <v>0</v>
      </c>
      <c r="P39" s="666">
        <v>0</v>
      </c>
      <c r="Q39" s="666">
        <v>0</v>
      </c>
      <c r="R39" s="666">
        <v>0</v>
      </c>
      <c r="S39" s="666">
        <v>0</v>
      </c>
      <c r="T39" s="666">
        <v>0</v>
      </c>
      <c r="V39" s="344" t="s">
        <v>968</v>
      </c>
      <c r="W39" s="357"/>
      <c r="X39" s="663"/>
      <c r="Y39" s="663"/>
      <c r="Z39" s="663"/>
      <c r="AA39" s="663"/>
      <c r="AB39" s="663"/>
      <c r="AC39" s="663"/>
      <c r="AD39" s="667"/>
    </row>
    <row r="40" spans="1:30" ht="13.5" thickBot="1">
      <c r="A40" s="868" t="s">
        <v>945</v>
      </c>
      <c r="B40" s="728"/>
      <c r="C40" s="728" t="s">
        <v>20</v>
      </c>
      <c r="D40" s="728" t="s">
        <v>946</v>
      </c>
      <c r="H40" s="666">
        <v>0</v>
      </c>
      <c r="I40" s="666">
        <v>0</v>
      </c>
      <c r="J40" s="666">
        <v>0</v>
      </c>
      <c r="K40" s="666">
        <v>0</v>
      </c>
      <c r="L40" s="666">
        <v>0</v>
      </c>
      <c r="M40" s="666">
        <v>0</v>
      </c>
      <c r="N40" s="666">
        <v>0</v>
      </c>
      <c r="O40" s="666">
        <v>0</v>
      </c>
      <c r="P40" s="666">
        <v>0</v>
      </c>
      <c r="Q40" s="666">
        <v>0</v>
      </c>
      <c r="R40" s="666">
        <v>0</v>
      </c>
      <c r="S40" s="666">
        <v>0</v>
      </c>
      <c r="T40" s="666">
        <v>0</v>
      </c>
      <c r="V40" s="679" t="s">
        <v>945</v>
      </c>
      <c r="W40" s="583"/>
      <c r="X40" s="194"/>
      <c r="Y40" s="194"/>
      <c r="Z40" s="194"/>
      <c r="AA40" s="194"/>
      <c r="AB40" s="194"/>
      <c r="AC40" s="194"/>
      <c r="AD40" s="668"/>
    </row>
    <row r="41" spans="1:30">
      <c r="A41" s="868" t="s">
        <v>945</v>
      </c>
      <c r="B41" s="332"/>
      <c r="C41" s="332"/>
      <c r="D41" s="728"/>
      <c r="H41" s="666"/>
      <c r="I41" s="666"/>
      <c r="J41" s="666"/>
      <c r="K41" s="666"/>
      <c r="L41" s="666"/>
      <c r="M41" s="666"/>
      <c r="N41" s="666"/>
      <c r="O41" s="666"/>
      <c r="P41" s="666"/>
      <c r="Q41" s="666"/>
      <c r="R41" s="666"/>
      <c r="S41" s="666"/>
      <c r="T41" s="666"/>
      <c r="V41" s="222"/>
      <c r="W41" s="28" t="s">
        <v>969</v>
      </c>
      <c r="X41" s="670">
        <f>+$S$244</f>
        <v>27703</v>
      </c>
      <c r="Y41" s="670">
        <f>+$T$244</f>
        <v>27583.166666666668</v>
      </c>
      <c r="Z41" s="670">
        <f>+$T$245</f>
        <v>3395528</v>
      </c>
      <c r="AA41" s="670">
        <f>+$T$238</f>
        <v>12201566</v>
      </c>
      <c r="AB41" s="670">
        <v>0</v>
      </c>
      <c r="AC41" s="670">
        <f>+$T$242</f>
        <v>17122316</v>
      </c>
      <c r="AD41" s="671">
        <f>SUM(AA41:AC41)</f>
        <v>29323882</v>
      </c>
    </row>
    <row r="42" spans="1:30">
      <c r="A42" s="868" t="s">
        <v>945</v>
      </c>
      <c r="B42" s="728" t="s">
        <v>948</v>
      </c>
      <c r="C42" s="728" t="s">
        <v>16</v>
      </c>
      <c r="D42" s="728" t="s">
        <v>946</v>
      </c>
      <c r="H42" s="666">
        <v>442695</v>
      </c>
      <c r="I42" s="666">
        <v>416960</v>
      </c>
      <c r="J42" s="666">
        <v>408200</v>
      </c>
      <c r="K42" s="666">
        <v>223472</v>
      </c>
      <c r="L42" s="666">
        <v>208165</v>
      </c>
      <c r="M42" s="666">
        <v>183130</v>
      </c>
      <c r="N42" s="666">
        <v>179682</v>
      </c>
      <c r="O42" s="666">
        <v>163641</v>
      </c>
      <c r="P42" s="666">
        <v>173646</v>
      </c>
      <c r="Q42" s="666">
        <v>199819</v>
      </c>
      <c r="R42" s="666">
        <v>361174</v>
      </c>
      <c r="S42" s="666">
        <v>397283</v>
      </c>
      <c r="T42" s="666">
        <v>3357867</v>
      </c>
      <c r="V42" s="222"/>
      <c r="W42" s="28" t="s">
        <v>509</v>
      </c>
      <c r="X42" s="670">
        <f>+$S$253</f>
        <v>24</v>
      </c>
      <c r="Y42" s="670">
        <f>+$T$253</f>
        <v>24.416666666666668</v>
      </c>
      <c r="Z42" s="670">
        <f>+$T$254</f>
        <v>171161</v>
      </c>
      <c r="AA42" s="670">
        <f>+$T$247</f>
        <v>167408</v>
      </c>
      <c r="AB42" s="670">
        <v>0</v>
      </c>
      <c r="AC42" s="670">
        <f>+$T$251</f>
        <v>859949</v>
      </c>
      <c r="AD42" s="671">
        <f>SUM(AA42:AC42)</f>
        <v>1027357</v>
      </c>
    </row>
    <row r="43" spans="1:30" ht="13.5" thickBot="1">
      <c r="A43" s="868" t="s">
        <v>945</v>
      </c>
      <c r="B43" s="728"/>
      <c r="C43" s="728"/>
      <c r="D43" s="728" t="s">
        <v>946</v>
      </c>
      <c r="H43" s="666"/>
      <c r="I43" s="666"/>
      <c r="J43" s="666"/>
      <c r="K43" s="666"/>
      <c r="L43" s="666"/>
      <c r="M43" s="666"/>
      <c r="N43" s="666"/>
      <c r="O43" s="666"/>
      <c r="P43" s="666"/>
      <c r="Q43" s="666"/>
      <c r="R43" s="666"/>
      <c r="S43" s="666"/>
      <c r="T43" s="666"/>
      <c r="V43" s="672"/>
      <c r="W43" s="20" t="s">
        <v>810</v>
      </c>
      <c r="X43" s="673">
        <f>+$S$262</f>
        <v>1</v>
      </c>
      <c r="Y43" s="673">
        <f>+$T$262</f>
        <v>1</v>
      </c>
      <c r="Z43" s="673">
        <f>+$T$263</f>
        <v>6776.8700000000008</v>
      </c>
      <c r="AA43" s="673">
        <f>+$T$256</f>
        <v>61516.109690600002</v>
      </c>
      <c r="AB43" s="673">
        <v>0</v>
      </c>
      <c r="AC43" s="673">
        <f>+$T$260</f>
        <v>34019.620309400001</v>
      </c>
      <c r="AD43" s="674">
        <f>SUM(AA43:AC43)</f>
        <v>95535.73000000001</v>
      </c>
    </row>
    <row r="44" spans="1:30">
      <c r="A44" s="868" t="s">
        <v>945</v>
      </c>
      <c r="B44" s="332"/>
      <c r="C44" s="728" t="s">
        <v>17</v>
      </c>
      <c r="D44" s="728" t="s">
        <v>946</v>
      </c>
      <c r="H44" s="666">
        <v>501210</v>
      </c>
      <c r="I44" s="666">
        <v>445432</v>
      </c>
      <c r="J44" s="666">
        <v>454778</v>
      </c>
      <c r="K44" s="666">
        <v>203035</v>
      </c>
      <c r="L44" s="666">
        <v>176255</v>
      </c>
      <c r="M44" s="666">
        <v>155666</v>
      </c>
      <c r="N44" s="666">
        <v>160334</v>
      </c>
      <c r="O44" s="666">
        <v>125756</v>
      </c>
      <c r="P44" s="666">
        <v>160344</v>
      </c>
      <c r="Q44" s="666">
        <v>185227</v>
      </c>
      <c r="R44" s="666">
        <v>405090</v>
      </c>
      <c r="S44" s="666">
        <v>490775</v>
      </c>
      <c r="T44" s="666">
        <v>3463902</v>
      </c>
      <c r="V44" s="222"/>
      <c r="W44" s="28" t="s">
        <v>106</v>
      </c>
      <c r="X44" s="670">
        <f t="shared" ref="X44:AD44" si="5">SUM(X41:X43)</f>
        <v>27728</v>
      </c>
      <c r="Y44" s="670">
        <f>SUM(Y41:Y43)</f>
        <v>27608.583333333336</v>
      </c>
      <c r="Z44" s="670">
        <f t="shared" si="5"/>
        <v>3573465.87</v>
      </c>
      <c r="AA44" s="670">
        <f t="shared" si="5"/>
        <v>12430490.109690599</v>
      </c>
      <c r="AB44" s="670">
        <f t="shared" si="5"/>
        <v>0</v>
      </c>
      <c r="AC44" s="670">
        <f t="shared" si="5"/>
        <v>18016284.620309401</v>
      </c>
      <c r="AD44" s="671">
        <f t="shared" si="5"/>
        <v>30446774.73</v>
      </c>
    </row>
    <row r="45" spans="1:30">
      <c r="A45" s="868" t="s">
        <v>945</v>
      </c>
      <c r="B45" s="728"/>
      <c r="C45" s="728"/>
      <c r="D45" s="728" t="s">
        <v>946</v>
      </c>
      <c r="H45" s="666"/>
      <c r="I45" s="666"/>
      <c r="J45" s="666"/>
      <c r="K45" s="666"/>
      <c r="L45" s="666"/>
      <c r="M45" s="666"/>
      <c r="N45" s="666"/>
      <c r="O45" s="666"/>
      <c r="P45" s="666"/>
      <c r="Q45" s="666"/>
      <c r="R45" s="666"/>
      <c r="S45" s="666"/>
      <c r="T45" s="666"/>
      <c r="V45" s="222"/>
      <c r="W45" s="28"/>
      <c r="X45" s="670"/>
      <c r="Y45" s="670"/>
      <c r="Z45" s="670"/>
      <c r="AA45" s="670"/>
      <c r="AB45" s="670"/>
      <c r="AC45" s="670"/>
      <c r="AD45" s="671"/>
    </row>
    <row r="46" spans="1:30">
      <c r="A46" s="868" t="s">
        <v>945</v>
      </c>
      <c r="B46" s="332"/>
      <c r="C46" s="332" t="s">
        <v>18</v>
      </c>
      <c r="D46" s="728" t="s">
        <v>946</v>
      </c>
      <c r="H46" s="675">
        <v>1722366</v>
      </c>
      <c r="I46" s="675">
        <v>1530690</v>
      </c>
      <c r="J46" s="675">
        <v>1562807</v>
      </c>
      <c r="K46" s="675">
        <v>1439022</v>
      </c>
      <c r="L46" s="675">
        <v>1211759</v>
      </c>
      <c r="M46" s="675">
        <v>1059169</v>
      </c>
      <c r="N46" s="675">
        <v>1051933</v>
      </c>
      <c r="O46" s="675">
        <v>853293</v>
      </c>
      <c r="P46" s="675">
        <v>1088101</v>
      </c>
      <c r="Q46" s="675">
        <v>1260331</v>
      </c>
      <c r="R46" s="675">
        <v>1351351</v>
      </c>
      <c r="S46" s="675">
        <v>1663548</v>
      </c>
      <c r="T46" s="675">
        <v>15794370</v>
      </c>
      <c r="V46" s="336"/>
      <c r="W46" s="28" t="s">
        <v>690</v>
      </c>
      <c r="X46" s="670"/>
      <c r="Y46" s="670"/>
      <c r="Z46" s="670"/>
      <c r="AA46" s="670">
        <f>+$T$319</f>
        <v>340767.31000000006</v>
      </c>
      <c r="AB46" s="670"/>
      <c r="AC46" s="670"/>
      <c r="AD46" s="671">
        <f>SUM(AA46:AC46)</f>
        <v>340767.31000000006</v>
      </c>
    </row>
    <row r="47" spans="1:30" ht="13.5" thickBot="1">
      <c r="A47" s="868" t="s">
        <v>945</v>
      </c>
      <c r="B47" s="332"/>
      <c r="C47" s="728" t="s">
        <v>19</v>
      </c>
      <c r="D47" s="728" t="s">
        <v>946</v>
      </c>
      <c r="H47" s="666">
        <v>2666271</v>
      </c>
      <c r="I47" s="666">
        <v>2393082</v>
      </c>
      <c r="J47" s="666">
        <v>2425785</v>
      </c>
      <c r="K47" s="666">
        <v>1865529</v>
      </c>
      <c r="L47" s="666">
        <v>1596179</v>
      </c>
      <c r="M47" s="666">
        <v>1397965</v>
      </c>
      <c r="N47" s="666">
        <v>1391949</v>
      </c>
      <c r="O47" s="666">
        <v>1142690</v>
      </c>
      <c r="P47" s="666">
        <v>1422091</v>
      </c>
      <c r="Q47" s="666">
        <v>1645377</v>
      </c>
      <c r="R47" s="666">
        <v>2117615</v>
      </c>
      <c r="S47" s="666">
        <v>2551606</v>
      </c>
      <c r="T47" s="666">
        <v>22616139</v>
      </c>
      <c r="V47" s="336"/>
      <c r="W47" s="20" t="s">
        <v>114</v>
      </c>
      <c r="X47" s="673"/>
      <c r="Y47" s="673"/>
      <c r="Z47" s="673"/>
      <c r="AA47" s="673">
        <f>+$T$320</f>
        <v>165057.12000000002</v>
      </c>
      <c r="AB47" s="673"/>
      <c r="AC47" s="673"/>
      <c r="AD47" s="674">
        <f>SUM(AA47:AC47)</f>
        <v>165057.12000000002</v>
      </c>
    </row>
    <row r="48" spans="1:30">
      <c r="A48" s="868" t="s">
        <v>945</v>
      </c>
      <c r="B48" s="332"/>
      <c r="C48" s="728" t="s">
        <v>947</v>
      </c>
      <c r="D48" s="728" t="s">
        <v>946</v>
      </c>
      <c r="H48" s="666">
        <v>548</v>
      </c>
      <c r="I48" s="666">
        <v>552</v>
      </c>
      <c r="J48" s="666">
        <v>553</v>
      </c>
      <c r="K48" s="666">
        <v>553</v>
      </c>
      <c r="L48" s="666">
        <v>553</v>
      </c>
      <c r="M48" s="666">
        <v>548</v>
      </c>
      <c r="N48" s="666">
        <v>535</v>
      </c>
      <c r="O48" s="666">
        <v>514</v>
      </c>
      <c r="P48" s="666">
        <v>506</v>
      </c>
      <c r="Q48" s="666">
        <v>506</v>
      </c>
      <c r="R48" s="666">
        <v>498</v>
      </c>
      <c r="S48" s="666">
        <v>493</v>
      </c>
      <c r="T48" s="666">
        <v>529.91666666666663</v>
      </c>
      <c r="V48" s="877"/>
      <c r="W48" s="28" t="s">
        <v>966</v>
      </c>
      <c r="X48" s="670"/>
      <c r="Y48" s="670"/>
      <c r="Z48" s="670"/>
      <c r="AA48" s="670">
        <f>SUM(AA46:AA47)</f>
        <v>505824.43000000005</v>
      </c>
      <c r="AB48" s="670"/>
      <c r="AC48" s="670"/>
      <c r="AD48" s="671">
        <f>SUM(AD46:AD47)</f>
        <v>505824.43000000005</v>
      </c>
    </row>
    <row r="49" spans="1:30">
      <c r="A49" s="868" t="s">
        <v>945</v>
      </c>
      <c r="B49" s="332"/>
      <c r="C49" s="332" t="s">
        <v>20</v>
      </c>
      <c r="D49" s="728" t="s">
        <v>946</v>
      </c>
      <c r="H49" s="666">
        <v>433905</v>
      </c>
      <c r="I49" s="666">
        <v>385595</v>
      </c>
      <c r="J49" s="666">
        <v>393690</v>
      </c>
      <c r="K49" s="666">
        <v>362691</v>
      </c>
      <c r="L49" s="666">
        <v>305412</v>
      </c>
      <c r="M49" s="666">
        <v>263559</v>
      </c>
      <c r="N49" s="666">
        <v>261922</v>
      </c>
      <c r="O49" s="666">
        <v>212296</v>
      </c>
      <c r="P49" s="666">
        <v>270722</v>
      </c>
      <c r="Q49" s="666">
        <v>313563</v>
      </c>
      <c r="R49" s="666">
        <v>319668</v>
      </c>
      <c r="S49" s="666">
        <v>394154</v>
      </c>
      <c r="T49" s="666">
        <v>3917177</v>
      </c>
      <c r="V49" s="336"/>
      <c r="W49" s="351"/>
      <c r="X49" s="194"/>
      <c r="Y49" s="194"/>
      <c r="Z49" s="194"/>
      <c r="AA49" s="194"/>
      <c r="AB49" s="194"/>
      <c r="AC49" s="194"/>
      <c r="AD49" s="668"/>
    </row>
    <row r="50" spans="1:30">
      <c r="A50" s="868" t="s">
        <v>945</v>
      </c>
      <c r="B50" s="332"/>
      <c r="C50" s="332"/>
      <c r="D50" s="332"/>
      <c r="H50" s="666"/>
      <c r="I50" s="666"/>
      <c r="J50" s="666"/>
      <c r="K50" s="666"/>
      <c r="L50" s="666"/>
      <c r="M50" s="666"/>
      <c r="N50" s="666"/>
      <c r="O50" s="666"/>
      <c r="P50" s="666"/>
      <c r="Q50" s="666"/>
      <c r="R50" s="666"/>
      <c r="S50" s="666"/>
      <c r="T50" s="666"/>
      <c r="V50" s="336"/>
      <c r="W50" s="351"/>
      <c r="X50" s="194"/>
      <c r="Y50" s="194"/>
      <c r="Z50" s="194"/>
      <c r="AA50" s="194"/>
      <c r="AB50" s="194"/>
      <c r="AC50" s="194"/>
      <c r="AD50" s="668"/>
    </row>
    <row r="51" spans="1:30">
      <c r="A51" s="868" t="s">
        <v>945</v>
      </c>
      <c r="B51" s="728" t="s">
        <v>811</v>
      </c>
      <c r="C51" s="728" t="s">
        <v>16</v>
      </c>
      <c r="D51" s="728" t="s">
        <v>946</v>
      </c>
      <c r="H51" s="666">
        <v>0</v>
      </c>
      <c r="I51" s="666">
        <v>0</v>
      </c>
      <c r="J51" s="666">
        <v>0</v>
      </c>
      <c r="K51" s="666">
        <v>0</v>
      </c>
      <c r="L51" s="666">
        <v>0</v>
      </c>
      <c r="M51" s="666">
        <v>0</v>
      </c>
      <c r="N51" s="666">
        <v>0</v>
      </c>
      <c r="O51" s="666">
        <v>0</v>
      </c>
      <c r="P51" s="666">
        <v>0</v>
      </c>
      <c r="Q51" s="666">
        <v>0</v>
      </c>
      <c r="R51" s="666">
        <v>0</v>
      </c>
      <c r="S51" s="666">
        <v>0</v>
      </c>
      <c r="T51" s="666">
        <v>0</v>
      </c>
      <c r="V51" s="336" t="s">
        <v>949</v>
      </c>
      <c r="W51" s="351"/>
      <c r="X51" s="194"/>
      <c r="Y51" s="194"/>
      <c r="Z51" s="194"/>
      <c r="AA51" s="194"/>
      <c r="AB51" s="194"/>
      <c r="AC51" s="194"/>
      <c r="AD51" s="668"/>
    </row>
    <row r="52" spans="1:30">
      <c r="A52" s="868" t="s">
        <v>945</v>
      </c>
      <c r="B52" s="728"/>
      <c r="C52" s="728" t="s">
        <v>17</v>
      </c>
      <c r="D52" s="728" t="s">
        <v>946</v>
      </c>
      <c r="H52" s="666"/>
      <c r="I52" s="666"/>
      <c r="J52" s="666"/>
      <c r="K52" s="666"/>
      <c r="L52" s="666"/>
      <c r="M52" s="666"/>
      <c r="N52" s="666"/>
      <c r="O52" s="666"/>
      <c r="P52" s="666"/>
      <c r="Q52" s="666"/>
      <c r="R52" s="666"/>
      <c r="S52" s="666"/>
      <c r="T52" s="666"/>
      <c r="V52" s="336"/>
      <c r="W52" s="28" t="s">
        <v>970</v>
      </c>
      <c r="X52" s="670">
        <f>+$S$289</f>
        <v>0</v>
      </c>
      <c r="Y52" s="670">
        <f>+$T$289</f>
        <v>0</v>
      </c>
      <c r="Z52" s="670">
        <f>+$T$290</f>
        <v>0</v>
      </c>
      <c r="AA52" s="670">
        <f>+$T$283</f>
        <v>0</v>
      </c>
      <c r="AB52" s="670">
        <f>+$T$285</f>
        <v>0</v>
      </c>
      <c r="AC52" s="670">
        <f>+$T$287</f>
        <v>0</v>
      </c>
      <c r="AD52" s="671">
        <f>SUM(AA52:AC52)</f>
        <v>0</v>
      </c>
    </row>
    <row r="53" spans="1:30" ht="13.5" thickBot="1">
      <c r="A53" s="868" t="s">
        <v>945</v>
      </c>
      <c r="B53" s="728"/>
      <c r="C53" s="728" t="s">
        <v>812</v>
      </c>
      <c r="D53" s="728" t="s">
        <v>946</v>
      </c>
      <c r="H53" s="666">
        <v>0</v>
      </c>
      <c r="I53" s="666">
        <v>0</v>
      </c>
      <c r="J53" s="666">
        <v>0</v>
      </c>
      <c r="K53" s="666">
        <v>0</v>
      </c>
      <c r="L53" s="666">
        <v>0</v>
      </c>
      <c r="M53" s="666">
        <v>0</v>
      </c>
      <c r="N53" s="666">
        <v>0</v>
      </c>
      <c r="O53" s="666">
        <v>0</v>
      </c>
      <c r="P53" s="666">
        <v>0</v>
      </c>
      <c r="Q53" s="666">
        <v>0</v>
      </c>
      <c r="R53" s="666">
        <v>0</v>
      </c>
      <c r="S53" s="666">
        <v>0</v>
      </c>
      <c r="T53" s="666">
        <v>0</v>
      </c>
      <c r="V53" s="672"/>
      <c r="W53" s="20" t="s">
        <v>680</v>
      </c>
      <c r="X53" s="673">
        <f>+$S$280</f>
        <v>4</v>
      </c>
      <c r="Y53" s="673">
        <f>+$T$280</f>
        <v>4.833333333333333</v>
      </c>
      <c r="Z53" s="673">
        <f>+$T$281</f>
        <v>148998</v>
      </c>
      <c r="AA53" s="673">
        <f>+$T$274</f>
        <v>52514</v>
      </c>
      <c r="AB53" s="673">
        <f>+$T$276</f>
        <v>-36</v>
      </c>
      <c r="AC53" s="673">
        <f>+$T$278</f>
        <v>775489</v>
      </c>
      <c r="AD53" s="674">
        <f>SUM(AA53:AC53)</f>
        <v>827967</v>
      </c>
    </row>
    <row r="54" spans="1:30">
      <c r="A54" s="868" t="s">
        <v>945</v>
      </c>
      <c r="B54" s="728"/>
      <c r="C54" s="728" t="s">
        <v>813</v>
      </c>
      <c r="D54" s="728" t="s">
        <v>946</v>
      </c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V54" s="222"/>
      <c r="W54" s="28" t="s">
        <v>107</v>
      </c>
      <c r="X54" s="670">
        <f t="shared" ref="X54:AD54" si="6">SUM(X52:X53)</f>
        <v>4</v>
      </c>
      <c r="Y54" s="670">
        <f>SUM(Y52:Y53)</f>
        <v>4.833333333333333</v>
      </c>
      <c r="Z54" s="670">
        <f t="shared" si="6"/>
        <v>148998</v>
      </c>
      <c r="AA54" s="670">
        <f t="shared" si="6"/>
        <v>52514</v>
      </c>
      <c r="AB54" s="670">
        <f t="shared" si="6"/>
        <v>-36</v>
      </c>
      <c r="AC54" s="670">
        <f t="shared" si="6"/>
        <v>775489</v>
      </c>
      <c r="AD54" s="671">
        <f t="shared" si="6"/>
        <v>827967</v>
      </c>
    </row>
    <row r="55" spans="1:30">
      <c r="A55" s="868" t="s">
        <v>945</v>
      </c>
      <c r="B55" s="728"/>
      <c r="C55" s="728" t="s">
        <v>814</v>
      </c>
      <c r="D55" s="728" t="s">
        <v>946</v>
      </c>
      <c r="H55" s="675">
        <v>0</v>
      </c>
      <c r="I55" s="675">
        <v>0</v>
      </c>
      <c r="J55" s="675">
        <v>0</v>
      </c>
      <c r="K55" s="675">
        <v>0</v>
      </c>
      <c r="L55" s="675">
        <v>0</v>
      </c>
      <c r="M55" s="675">
        <v>0</v>
      </c>
      <c r="N55" s="675">
        <v>0</v>
      </c>
      <c r="O55" s="675">
        <v>0</v>
      </c>
      <c r="P55" s="675">
        <v>0</v>
      </c>
      <c r="Q55" s="675">
        <v>0</v>
      </c>
      <c r="R55" s="675">
        <v>0</v>
      </c>
      <c r="S55" s="675">
        <v>0</v>
      </c>
      <c r="T55" s="675">
        <v>0</v>
      </c>
      <c r="V55" s="222"/>
      <c r="W55" s="28"/>
      <c r="X55" s="670"/>
      <c r="Y55" s="670"/>
      <c r="Z55" s="670"/>
      <c r="AA55" s="670"/>
      <c r="AB55" s="670"/>
      <c r="AC55" s="670"/>
      <c r="AD55" s="671"/>
    </row>
    <row r="56" spans="1:30">
      <c r="A56" s="868" t="s">
        <v>945</v>
      </c>
      <c r="B56" s="728"/>
      <c r="C56" s="728" t="s">
        <v>19</v>
      </c>
      <c r="D56" s="728" t="s">
        <v>946</v>
      </c>
      <c r="H56" s="666">
        <v>0</v>
      </c>
      <c r="I56" s="666">
        <v>0</v>
      </c>
      <c r="J56" s="666">
        <v>0</v>
      </c>
      <c r="K56" s="666">
        <v>0</v>
      </c>
      <c r="L56" s="666">
        <v>0</v>
      </c>
      <c r="M56" s="666">
        <v>0</v>
      </c>
      <c r="N56" s="666">
        <v>0</v>
      </c>
      <c r="O56" s="666">
        <v>0</v>
      </c>
      <c r="P56" s="666">
        <v>0</v>
      </c>
      <c r="Q56" s="666">
        <v>0</v>
      </c>
      <c r="R56" s="666">
        <v>0</v>
      </c>
      <c r="S56" s="666">
        <v>0</v>
      </c>
      <c r="T56" s="666">
        <v>0</v>
      </c>
      <c r="V56" s="336" t="s">
        <v>953</v>
      </c>
      <c r="W56" s="351"/>
      <c r="X56" s="194"/>
      <c r="Y56" s="194"/>
      <c r="Z56" s="194"/>
      <c r="AA56" s="194"/>
      <c r="AB56" s="194"/>
      <c r="AC56" s="194"/>
      <c r="AD56" s="668"/>
    </row>
    <row r="57" spans="1:30">
      <c r="A57" s="868" t="s">
        <v>945</v>
      </c>
      <c r="B57" s="728"/>
      <c r="C57" s="728" t="s">
        <v>947</v>
      </c>
      <c r="D57" s="728" t="s">
        <v>946</v>
      </c>
      <c r="H57" s="666">
        <v>0</v>
      </c>
      <c r="I57" s="666">
        <v>0</v>
      </c>
      <c r="J57" s="666">
        <v>0</v>
      </c>
      <c r="K57" s="666">
        <v>0</v>
      </c>
      <c r="L57" s="666">
        <v>0</v>
      </c>
      <c r="M57" s="666">
        <v>0</v>
      </c>
      <c r="N57" s="666">
        <v>0</v>
      </c>
      <c r="O57" s="666">
        <v>0</v>
      </c>
      <c r="P57" s="666">
        <v>0</v>
      </c>
      <c r="Q57" s="666">
        <v>0</v>
      </c>
      <c r="R57" s="666">
        <v>0</v>
      </c>
      <c r="S57" s="666">
        <v>0</v>
      </c>
      <c r="T57" s="666">
        <v>0</v>
      </c>
      <c r="V57" s="336"/>
      <c r="W57" s="351" t="s">
        <v>971</v>
      </c>
      <c r="X57" s="670">
        <f>+$S$316</f>
        <v>2</v>
      </c>
      <c r="Y57" s="670">
        <f>+$T$316</f>
        <v>2</v>
      </c>
      <c r="Z57" s="670">
        <f>+$T$317</f>
        <v>517921</v>
      </c>
      <c r="AA57" s="670">
        <f>+$T$310</f>
        <v>43701</v>
      </c>
      <c r="AB57" s="670">
        <v>0</v>
      </c>
      <c r="AC57" s="670">
        <f>+$T$314</f>
        <v>0</v>
      </c>
      <c r="AD57" s="671">
        <f>SUM(AA57:AC57)</f>
        <v>43701</v>
      </c>
    </row>
    <row r="58" spans="1:30" ht="13.5" thickBot="1">
      <c r="A58" s="868" t="s">
        <v>945</v>
      </c>
      <c r="B58" s="728"/>
      <c r="C58" s="728" t="s">
        <v>83</v>
      </c>
      <c r="D58" s="728" t="s">
        <v>946</v>
      </c>
      <c r="H58" s="666">
        <v>0</v>
      </c>
      <c r="I58" s="666">
        <v>0</v>
      </c>
      <c r="J58" s="666">
        <v>0</v>
      </c>
      <c r="K58" s="666">
        <v>0</v>
      </c>
      <c r="L58" s="666">
        <v>0</v>
      </c>
      <c r="M58" s="666">
        <v>0</v>
      </c>
      <c r="N58" s="666">
        <v>0</v>
      </c>
      <c r="O58" s="666">
        <v>0</v>
      </c>
      <c r="P58" s="666">
        <v>0</v>
      </c>
      <c r="Q58" s="666">
        <v>0</v>
      </c>
      <c r="R58" s="666">
        <v>0</v>
      </c>
      <c r="S58" s="666">
        <v>0</v>
      </c>
      <c r="T58" s="666">
        <v>0</v>
      </c>
      <c r="V58" s="342"/>
      <c r="W58" s="354" t="s">
        <v>90</v>
      </c>
      <c r="X58" s="673">
        <f>+$S$307</f>
        <v>3</v>
      </c>
      <c r="Y58" s="673">
        <f>+$T$307</f>
        <v>3</v>
      </c>
      <c r="Z58" s="673">
        <f>+$T$308</f>
        <v>146691</v>
      </c>
      <c r="AA58" s="673">
        <f>+$T$301</f>
        <v>80745</v>
      </c>
      <c r="AB58" s="673">
        <v>0</v>
      </c>
      <c r="AC58" s="673">
        <f>+$T$305</f>
        <v>0</v>
      </c>
      <c r="AD58" s="674">
        <f>SUM(AA58:AC58)</f>
        <v>80745</v>
      </c>
    </row>
    <row r="59" spans="1:30">
      <c r="A59" s="868" t="s">
        <v>945</v>
      </c>
      <c r="B59" s="332"/>
      <c r="C59" s="332"/>
      <c r="D59" s="728"/>
      <c r="H59" s="666"/>
      <c r="I59" s="666"/>
      <c r="J59" s="666"/>
      <c r="K59" s="666"/>
      <c r="L59" s="666"/>
      <c r="M59" s="666"/>
      <c r="N59" s="666"/>
      <c r="O59" s="666"/>
      <c r="P59" s="666"/>
      <c r="Q59" s="666"/>
      <c r="R59" s="666"/>
      <c r="S59" s="666"/>
      <c r="T59" s="666"/>
      <c r="U59" s="15" t="s">
        <v>1267</v>
      </c>
      <c r="V59" s="336"/>
      <c r="W59" s="351" t="s">
        <v>108</v>
      </c>
      <c r="X59" s="670">
        <f t="shared" ref="X59:AD59" si="7">SUM(X57:X58)</f>
        <v>5</v>
      </c>
      <c r="Y59" s="670">
        <f>SUM(Y57:Y58)</f>
        <v>5</v>
      </c>
      <c r="Z59" s="670">
        <f t="shared" si="7"/>
        <v>664612</v>
      </c>
      <c r="AA59" s="670">
        <f t="shared" si="7"/>
        <v>124446</v>
      </c>
      <c r="AB59" s="670">
        <f t="shared" si="7"/>
        <v>0</v>
      </c>
      <c r="AC59" s="670">
        <f t="shared" si="7"/>
        <v>0</v>
      </c>
      <c r="AD59" s="671">
        <f t="shared" si="7"/>
        <v>124446</v>
      </c>
    </row>
    <row r="60" spans="1:30">
      <c r="A60" s="868" t="s">
        <v>945</v>
      </c>
      <c r="B60" s="728" t="s">
        <v>810</v>
      </c>
      <c r="C60" s="728" t="s">
        <v>16</v>
      </c>
      <c r="D60" s="728" t="s">
        <v>946</v>
      </c>
      <c r="H60" s="666">
        <v>93977.250398500037</v>
      </c>
      <c r="I60" s="666">
        <v>140304.49284880009</v>
      </c>
      <c r="J60" s="666">
        <v>156863.77036039997</v>
      </c>
      <c r="K60" s="666">
        <v>145313.10485969961</v>
      </c>
      <c r="L60" s="666">
        <v>156912.84887360001</v>
      </c>
      <c r="M60" s="666">
        <v>157712.24562340017</v>
      </c>
      <c r="N60" s="666">
        <v>146990.05987900004</v>
      </c>
      <c r="O60" s="666">
        <v>151131.92810340005</v>
      </c>
      <c r="P60" s="666">
        <v>156235.64311559987</v>
      </c>
      <c r="Q60" s="666">
        <v>160369.92596779997</v>
      </c>
      <c r="R60" s="666">
        <v>166333.1575731</v>
      </c>
      <c r="S60" s="666">
        <v>144981.98922839994</v>
      </c>
      <c r="T60" s="666">
        <v>1777126.4168316997</v>
      </c>
      <c r="U60" s="666">
        <v>1892342</v>
      </c>
      <c r="V60" s="336"/>
      <c r="W60" s="351"/>
      <c r="X60" s="194"/>
      <c r="Y60" s="194"/>
      <c r="Z60" s="194"/>
      <c r="AA60" s="194"/>
      <c r="AB60" s="194"/>
      <c r="AC60" s="194"/>
      <c r="AD60" s="668"/>
    </row>
    <row r="61" spans="1:30">
      <c r="A61" s="868" t="s">
        <v>945</v>
      </c>
      <c r="B61" s="728"/>
      <c r="C61" s="728"/>
      <c r="D61" s="728" t="s">
        <v>946</v>
      </c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V61" s="222"/>
      <c r="W61" s="28" t="s">
        <v>972</v>
      </c>
      <c r="X61" s="676">
        <f t="shared" ref="X61:AD61" si="8">+X59+X54+X44+X48</f>
        <v>27737</v>
      </c>
      <c r="Y61" s="676">
        <f>+Y59+Y54+Y44+Y48</f>
        <v>27618.416666666668</v>
      </c>
      <c r="Z61" s="676">
        <f t="shared" si="8"/>
        <v>4387075.87</v>
      </c>
      <c r="AA61" s="676">
        <f t="shared" si="8"/>
        <v>13113274.539690599</v>
      </c>
      <c r="AB61" s="676">
        <f t="shared" si="8"/>
        <v>-36</v>
      </c>
      <c r="AC61" s="676">
        <f t="shared" si="8"/>
        <v>18791773.620309401</v>
      </c>
      <c r="AD61" s="677">
        <f t="shared" si="8"/>
        <v>31905012.16</v>
      </c>
    </row>
    <row r="62" spans="1:30" ht="13.5" thickBot="1">
      <c r="A62" s="868" t="s">
        <v>945</v>
      </c>
      <c r="B62" s="728"/>
      <c r="C62" s="728" t="s">
        <v>17</v>
      </c>
      <c r="D62" s="728" t="s">
        <v>946</v>
      </c>
      <c r="H62" s="666">
        <v>15780.015652500002</v>
      </c>
      <c r="I62" s="666">
        <v>20426.571972000009</v>
      </c>
      <c r="J62" s="666">
        <v>22818.512826000002</v>
      </c>
      <c r="K62" s="666">
        <v>21159.803830500008</v>
      </c>
      <c r="L62" s="666">
        <v>22805.886383999998</v>
      </c>
      <c r="M62" s="666">
        <v>24509.844717399999</v>
      </c>
      <c r="N62" s="666">
        <v>22919.322768999995</v>
      </c>
      <c r="O62" s="666">
        <v>23402.7739974</v>
      </c>
      <c r="P62" s="666">
        <v>24186.199511600007</v>
      </c>
      <c r="Q62" s="666">
        <v>22850.167265799999</v>
      </c>
      <c r="R62" s="666">
        <v>23979.743991300002</v>
      </c>
      <c r="S62" s="666">
        <v>20478.255093200001</v>
      </c>
      <c r="T62" s="666">
        <v>265317.09801070008</v>
      </c>
      <c r="V62" s="672"/>
      <c r="W62" s="20"/>
      <c r="X62" s="680"/>
      <c r="Y62" s="680"/>
      <c r="Z62" s="680"/>
      <c r="AA62" s="680"/>
      <c r="AB62" s="680"/>
      <c r="AC62" s="680"/>
      <c r="AD62" s="681"/>
    </row>
    <row r="63" spans="1:30">
      <c r="A63" s="868" t="s">
        <v>945</v>
      </c>
      <c r="B63" s="728"/>
      <c r="C63" s="728"/>
      <c r="D63" s="728" t="s">
        <v>946</v>
      </c>
      <c r="H63" s="666"/>
      <c r="I63" s="666"/>
      <c r="J63" s="666"/>
      <c r="K63" s="666"/>
      <c r="L63" s="666"/>
      <c r="M63" s="666"/>
      <c r="N63" s="666"/>
      <c r="O63" s="666"/>
      <c r="P63" s="666"/>
      <c r="Q63" s="666"/>
      <c r="R63" s="666"/>
      <c r="S63" s="666"/>
      <c r="T63" s="666"/>
      <c r="V63" s="222"/>
      <c r="W63" s="28"/>
      <c r="X63" s="676"/>
      <c r="Y63" s="676"/>
      <c r="Z63" s="676"/>
      <c r="AA63" s="676"/>
      <c r="AB63" s="676"/>
      <c r="AC63" s="676"/>
      <c r="AD63" s="677"/>
    </row>
    <row r="64" spans="1:30">
      <c r="A64" s="868" t="s">
        <v>945</v>
      </c>
      <c r="B64" s="728"/>
      <c r="C64" s="728" t="s">
        <v>18</v>
      </c>
      <c r="D64" s="728" t="s">
        <v>946</v>
      </c>
      <c r="H64" s="675">
        <v>73188.503949000005</v>
      </c>
      <c r="I64" s="675">
        <v>94739.465179200037</v>
      </c>
      <c r="J64" s="675">
        <v>105833.4068136</v>
      </c>
      <c r="K64" s="675">
        <v>98140.23130980003</v>
      </c>
      <c r="L64" s="675">
        <v>105774.84474239999</v>
      </c>
      <c r="M64" s="675">
        <v>108207.07965919998</v>
      </c>
      <c r="N64" s="675">
        <v>101185.17735199997</v>
      </c>
      <c r="O64" s="675">
        <v>103319.5378992</v>
      </c>
      <c r="P64" s="675">
        <v>106778.23737280002</v>
      </c>
      <c r="Q64" s="675">
        <v>100879.86676639998</v>
      </c>
      <c r="R64" s="675">
        <v>109258.96843559999</v>
      </c>
      <c r="S64" s="675">
        <v>93305.1256784</v>
      </c>
      <c r="T64" s="675">
        <v>1200610.4451576001</v>
      </c>
      <c r="V64" s="336" t="s">
        <v>973</v>
      </c>
      <c r="W64" s="351"/>
      <c r="X64" s="670">
        <f t="shared" ref="X64:AD64" si="9">+X59+X54+X44+X34+X16</f>
        <v>1031088</v>
      </c>
      <c r="Y64" s="670">
        <f>+Y59+Y54+Y44+Y34+Y16</f>
        <v>1020882.6666666666</v>
      </c>
      <c r="Z64" s="670">
        <f t="shared" si="9"/>
        <v>181876137.48000002</v>
      </c>
      <c r="AA64" s="670">
        <f t="shared" si="9"/>
        <v>359302830.52652228</v>
      </c>
      <c r="AB64" s="670">
        <f t="shared" si="9"/>
        <v>104535540.0980107</v>
      </c>
      <c r="AC64" s="670">
        <f t="shared" si="9"/>
        <v>428847534.065467</v>
      </c>
      <c r="AD64" s="671">
        <f t="shared" si="9"/>
        <v>892685904.69000006</v>
      </c>
    </row>
    <row r="65" spans="1:30">
      <c r="A65" s="868" t="s">
        <v>945</v>
      </c>
      <c r="B65" s="728"/>
      <c r="C65" s="728" t="s">
        <v>19</v>
      </c>
      <c r="D65" s="728" t="s">
        <v>946</v>
      </c>
      <c r="H65" s="666">
        <v>182945.77000000005</v>
      </c>
      <c r="I65" s="666">
        <v>255470.53000000012</v>
      </c>
      <c r="J65" s="666">
        <v>285515.68999999994</v>
      </c>
      <c r="K65" s="666">
        <v>264613.13999999966</v>
      </c>
      <c r="L65" s="666">
        <v>285493.58</v>
      </c>
      <c r="M65" s="666">
        <v>290429.17000000016</v>
      </c>
      <c r="N65" s="666">
        <v>271094.56</v>
      </c>
      <c r="O65" s="666">
        <v>277854.24000000005</v>
      </c>
      <c r="P65" s="666">
        <v>287200.0799999999</v>
      </c>
      <c r="Q65" s="666">
        <v>284099.95999999996</v>
      </c>
      <c r="R65" s="666">
        <v>299571.87</v>
      </c>
      <c r="S65" s="666">
        <v>258765.36999999997</v>
      </c>
      <c r="T65" s="666">
        <v>3243053.96</v>
      </c>
      <c r="V65" s="336" t="s">
        <v>974</v>
      </c>
      <c r="W65" s="351"/>
      <c r="X65" s="670">
        <f t="shared" ref="X65:AD65" si="10">+X41+X13</f>
        <v>1029850</v>
      </c>
      <c r="Y65" s="670">
        <f>+Y41+Y13</f>
        <v>1019688.4166666666</v>
      </c>
      <c r="Z65" s="670">
        <f t="shared" si="10"/>
        <v>100589255</v>
      </c>
      <c r="AA65" s="670">
        <f t="shared" si="10"/>
        <v>328400789</v>
      </c>
      <c r="AB65" s="670">
        <f t="shared" si="10"/>
        <v>100235379</v>
      </c>
      <c r="AC65" s="670">
        <f t="shared" si="10"/>
        <v>410183096</v>
      </c>
      <c r="AD65" s="671">
        <f t="shared" si="10"/>
        <v>838819264</v>
      </c>
    </row>
    <row r="66" spans="1:30">
      <c r="A66" s="868" t="s">
        <v>945</v>
      </c>
      <c r="B66" s="728"/>
      <c r="C66" s="728" t="s">
        <v>947</v>
      </c>
      <c r="D66" s="728" t="s">
        <v>946</v>
      </c>
      <c r="H66" s="666">
        <v>1</v>
      </c>
      <c r="I66" s="666">
        <v>1</v>
      </c>
      <c r="J66" s="666">
        <v>1</v>
      </c>
      <c r="K66" s="666">
        <v>1</v>
      </c>
      <c r="L66" s="666">
        <v>1</v>
      </c>
      <c r="M66" s="666">
        <v>1</v>
      </c>
      <c r="N66" s="666">
        <v>1</v>
      </c>
      <c r="O66" s="666">
        <v>1</v>
      </c>
      <c r="P66" s="666">
        <v>1</v>
      </c>
      <c r="Q66" s="666">
        <v>1</v>
      </c>
      <c r="R66" s="666">
        <v>1</v>
      </c>
      <c r="S66" s="666">
        <v>1</v>
      </c>
      <c r="T66" s="666">
        <v>1</v>
      </c>
      <c r="V66" s="336" t="s">
        <v>882</v>
      </c>
      <c r="W66" s="351"/>
      <c r="X66" s="670">
        <f t="shared" ref="X66:AD66" si="11">+X77-X65</f>
        <v>1273</v>
      </c>
      <c r="Y66" s="670">
        <f>+Y77-Y65</f>
        <v>1235.0833333333721</v>
      </c>
      <c r="Z66" s="670">
        <f t="shared" si="11"/>
        <v>81906223.480000019</v>
      </c>
      <c r="AA66" s="670">
        <f t="shared" si="11"/>
        <v>51154851.956522286</v>
      </c>
      <c r="AB66" s="670">
        <f t="shared" si="11"/>
        <v>4411411.0980107039</v>
      </c>
      <c r="AC66" s="670">
        <f t="shared" si="11"/>
        <v>21157784.065467</v>
      </c>
      <c r="AD66" s="671">
        <f t="shared" si="11"/>
        <v>76724047.120000005</v>
      </c>
    </row>
    <row r="67" spans="1:30">
      <c r="A67" s="868" t="s">
        <v>945</v>
      </c>
      <c r="B67" s="728"/>
      <c r="C67" s="728" t="s">
        <v>20</v>
      </c>
      <c r="D67" s="728" t="s">
        <v>946</v>
      </c>
      <c r="H67" s="666">
        <v>18446.45</v>
      </c>
      <c r="I67" s="666">
        <v>23878.160000000007</v>
      </c>
      <c r="J67" s="666">
        <v>26674.28</v>
      </c>
      <c r="K67" s="666">
        <v>24735.290000000008</v>
      </c>
      <c r="L67" s="666">
        <v>26659.519999999997</v>
      </c>
      <c r="M67" s="666">
        <v>26921.469999999998</v>
      </c>
      <c r="N67" s="666">
        <v>25174.449999999993</v>
      </c>
      <c r="O67" s="666">
        <v>25705.47</v>
      </c>
      <c r="P67" s="666">
        <v>26565.980000000007</v>
      </c>
      <c r="Q67" s="666">
        <v>25098.489999999998</v>
      </c>
      <c r="R67" s="666">
        <v>25876.77</v>
      </c>
      <c r="S67" s="666">
        <v>22098.280000000002</v>
      </c>
      <c r="T67" s="666">
        <v>297834.61000000004</v>
      </c>
      <c r="U67" s="15">
        <f>U60/T67</f>
        <v>6.353667224907138</v>
      </c>
      <c r="V67" s="336" t="s">
        <v>883</v>
      </c>
      <c r="W67" s="351"/>
      <c r="X67" s="670">
        <f t="shared" ref="X67:AD67" si="12">+X16+X44</f>
        <v>1030369</v>
      </c>
      <c r="Y67" s="670">
        <f>+Y16+Y44</f>
        <v>1020244.75</v>
      </c>
      <c r="Z67" s="670">
        <f t="shared" si="12"/>
        <v>104982204.48</v>
      </c>
      <c r="AA67" s="670">
        <f t="shared" si="12"/>
        <v>333764706.52652228</v>
      </c>
      <c r="AB67" s="670">
        <f t="shared" si="12"/>
        <v>103964598.0980107</v>
      </c>
      <c r="AC67" s="670">
        <f t="shared" si="12"/>
        <v>428072045.065467</v>
      </c>
      <c r="AD67" s="671">
        <f t="shared" si="12"/>
        <v>865801349.69000006</v>
      </c>
    </row>
    <row r="68" spans="1:30" ht="21.75" customHeight="1">
      <c r="A68" s="868" t="s">
        <v>945</v>
      </c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V68" s="336" t="s">
        <v>975</v>
      </c>
      <c r="W68" s="351"/>
      <c r="X68" s="670">
        <f t="shared" ref="X68:AD68" si="13">+X54+X20</f>
        <v>39</v>
      </c>
      <c r="Y68" s="670">
        <f>+Y54+Y20</f>
        <v>45.666666666666671</v>
      </c>
      <c r="Z68" s="670">
        <f t="shared" si="13"/>
        <v>768339</v>
      </c>
      <c r="AA68" s="670">
        <f t="shared" si="13"/>
        <v>426497</v>
      </c>
      <c r="AB68" s="670">
        <f t="shared" si="13"/>
        <v>111214</v>
      </c>
      <c r="AC68" s="670">
        <f t="shared" si="13"/>
        <v>3268835</v>
      </c>
      <c r="AD68" s="671">
        <f t="shared" si="13"/>
        <v>3806546</v>
      </c>
    </row>
    <row r="69" spans="1:30">
      <c r="A69" s="868" t="s">
        <v>945</v>
      </c>
      <c r="B69" s="728" t="s">
        <v>4</v>
      </c>
      <c r="C69" s="728" t="s">
        <v>16</v>
      </c>
      <c r="D69" s="728" t="s">
        <v>946</v>
      </c>
      <c r="H69" s="666">
        <v>0</v>
      </c>
      <c r="I69" s="666">
        <v>0</v>
      </c>
      <c r="J69" s="666">
        <v>0</v>
      </c>
      <c r="K69" s="666">
        <v>0</v>
      </c>
      <c r="L69" s="666">
        <v>0</v>
      </c>
      <c r="M69" s="666">
        <v>0</v>
      </c>
      <c r="N69" s="666">
        <v>0</v>
      </c>
      <c r="O69" s="666">
        <v>0</v>
      </c>
      <c r="P69" s="666">
        <v>0</v>
      </c>
      <c r="Q69" s="666">
        <v>0</v>
      </c>
      <c r="R69" s="666">
        <v>0</v>
      </c>
      <c r="S69" s="666">
        <v>0</v>
      </c>
      <c r="T69" s="666">
        <v>0</v>
      </c>
      <c r="V69" s="336" t="s">
        <v>884</v>
      </c>
      <c r="W69" s="351"/>
      <c r="X69" s="670">
        <f t="shared" ref="X69:AD69" si="14">+X59+X34</f>
        <v>715</v>
      </c>
      <c r="Y69" s="670">
        <f>+Y59+Y34</f>
        <v>633.08333333333337</v>
      </c>
      <c r="Z69" s="670">
        <f t="shared" si="14"/>
        <v>76744935</v>
      </c>
      <c r="AA69" s="670">
        <f t="shared" si="14"/>
        <v>25485610</v>
      </c>
      <c r="AB69" s="670">
        <f t="shared" si="14"/>
        <v>570978</v>
      </c>
      <c r="AC69" s="670">
        <f t="shared" si="14"/>
        <v>0</v>
      </c>
      <c r="AD69" s="671">
        <f t="shared" si="14"/>
        <v>26056588</v>
      </c>
    </row>
    <row r="70" spans="1:30">
      <c r="A70" s="868" t="s">
        <v>945</v>
      </c>
      <c r="B70" s="728"/>
      <c r="C70" s="728"/>
      <c r="D70" s="728" t="s">
        <v>946</v>
      </c>
      <c r="H70" s="666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V70" s="336" t="s">
        <v>976</v>
      </c>
      <c r="W70" s="351"/>
      <c r="X70" s="670"/>
      <c r="Y70" s="670"/>
      <c r="Z70" s="670"/>
      <c r="AA70" s="670"/>
      <c r="AB70" s="670"/>
      <c r="AC70" s="670"/>
      <c r="AD70" s="671"/>
    </row>
    <row r="71" spans="1:30">
      <c r="A71" s="868" t="s">
        <v>945</v>
      </c>
      <c r="B71" s="728"/>
      <c r="C71" s="728" t="s">
        <v>17</v>
      </c>
      <c r="D71" s="728" t="s">
        <v>946</v>
      </c>
      <c r="H71" s="666">
        <v>0</v>
      </c>
      <c r="I71" s="666">
        <v>0</v>
      </c>
      <c r="J71" s="666">
        <v>0</v>
      </c>
      <c r="K71" s="666">
        <v>0</v>
      </c>
      <c r="L71" s="666">
        <v>0</v>
      </c>
      <c r="M71" s="666">
        <v>0</v>
      </c>
      <c r="N71" s="666">
        <v>0</v>
      </c>
      <c r="O71" s="666">
        <v>0</v>
      </c>
      <c r="P71" s="666">
        <v>0</v>
      </c>
      <c r="Q71" s="666">
        <v>0</v>
      </c>
      <c r="R71" s="666">
        <v>0</v>
      </c>
      <c r="S71" s="666">
        <v>0</v>
      </c>
      <c r="T71" s="666">
        <v>0</v>
      </c>
      <c r="V71" s="336" t="s">
        <v>977</v>
      </c>
      <c r="W71" s="351"/>
      <c r="X71" s="670"/>
      <c r="Y71" s="670"/>
      <c r="Z71" s="670"/>
      <c r="AA71" s="670"/>
      <c r="AB71" s="670"/>
      <c r="AC71" s="670"/>
      <c r="AD71" s="671"/>
    </row>
    <row r="72" spans="1:30">
      <c r="A72" s="868" t="s">
        <v>945</v>
      </c>
      <c r="B72" s="728"/>
      <c r="C72" s="728"/>
      <c r="D72" s="728" t="s">
        <v>946</v>
      </c>
      <c r="H72" s="666"/>
      <c r="I72" s="666"/>
      <c r="J72" s="666"/>
      <c r="K72" s="666"/>
      <c r="L72" s="666"/>
      <c r="M72" s="666"/>
      <c r="N72" s="666"/>
      <c r="O72" s="666"/>
      <c r="P72" s="666"/>
      <c r="Q72" s="666"/>
      <c r="R72" s="666"/>
      <c r="S72" s="666"/>
      <c r="T72" s="666"/>
      <c r="V72" s="336"/>
      <c r="W72" s="351"/>
      <c r="X72" s="670"/>
      <c r="Y72" s="670"/>
      <c r="Z72" s="670"/>
      <c r="AA72" s="670"/>
      <c r="AB72" s="670"/>
      <c r="AC72" s="670"/>
      <c r="AD72" s="671"/>
    </row>
    <row r="73" spans="1:30">
      <c r="A73" s="868" t="s">
        <v>945</v>
      </c>
      <c r="B73" s="728"/>
      <c r="C73" s="728" t="s">
        <v>18</v>
      </c>
      <c r="D73" s="728" t="s">
        <v>946</v>
      </c>
      <c r="H73" s="675">
        <v>0</v>
      </c>
      <c r="I73" s="675">
        <v>0</v>
      </c>
      <c r="J73" s="675">
        <v>0</v>
      </c>
      <c r="K73" s="675">
        <v>0</v>
      </c>
      <c r="L73" s="675">
        <v>0</v>
      </c>
      <c r="M73" s="675">
        <v>0</v>
      </c>
      <c r="N73" s="675">
        <v>0</v>
      </c>
      <c r="O73" s="675">
        <v>0</v>
      </c>
      <c r="P73" s="675">
        <v>0</v>
      </c>
      <c r="Q73" s="675">
        <v>0</v>
      </c>
      <c r="R73" s="675">
        <v>0</v>
      </c>
      <c r="S73" s="675">
        <v>0</v>
      </c>
      <c r="T73" s="675">
        <v>0</v>
      </c>
      <c r="V73" s="336"/>
      <c r="W73" s="351"/>
      <c r="X73" s="194"/>
      <c r="Y73" s="194"/>
      <c r="Z73" s="194"/>
      <c r="AA73" s="194"/>
      <c r="AB73" s="194"/>
      <c r="AC73" s="194"/>
      <c r="AD73" s="668"/>
    </row>
    <row r="74" spans="1:30">
      <c r="A74" s="868" t="s">
        <v>945</v>
      </c>
      <c r="B74" s="728"/>
      <c r="C74" s="728" t="s">
        <v>19</v>
      </c>
      <c r="D74" s="728" t="s">
        <v>946</v>
      </c>
      <c r="H74" s="666">
        <v>0</v>
      </c>
      <c r="I74" s="666">
        <v>0</v>
      </c>
      <c r="J74" s="666">
        <v>0</v>
      </c>
      <c r="K74" s="666">
        <v>0</v>
      </c>
      <c r="L74" s="666">
        <v>0</v>
      </c>
      <c r="M74" s="666">
        <v>0</v>
      </c>
      <c r="N74" s="666">
        <v>0</v>
      </c>
      <c r="O74" s="666">
        <v>0</v>
      </c>
      <c r="P74" s="666">
        <v>0</v>
      </c>
      <c r="Q74" s="666">
        <v>0</v>
      </c>
      <c r="R74" s="666">
        <v>0</v>
      </c>
      <c r="S74" s="666">
        <v>0</v>
      </c>
      <c r="T74" s="666">
        <v>0</v>
      </c>
      <c r="V74" s="336" t="s">
        <v>978</v>
      </c>
      <c r="W74" s="351"/>
      <c r="X74" s="670">
        <f t="shared" ref="X74:AD74" si="15">+X36</f>
        <v>1003386</v>
      </c>
      <c r="Y74" s="670">
        <f t="shared" si="15"/>
        <v>993305.08333333337</v>
      </c>
      <c r="Z74" s="670">
        <f t="shared" si="15"/>
        <v>178108402.61000001</v>
      </c>
      <c r="AA74" s="670">
        <f t="shared" si="15"/>
        <v>366442366.41683167</v>
      </c>
      <c r="AB74" s="670">
        <f t="shared" si="15"/>
        <v>104646826.0980107</v>
      </c>
      <c r="AC74" s="670">
        <f t="shared" si="15"/>
        <v>412549106.44515759</v>
      </c>
      <c r="AD74" s="671">
        <f t="shared" si="15"/>
        <v>883638298.96000004</v>
      </c>
    </row>
    <row r="75" spans="1:30">
      <c r="A75" s="868" t="s">
        <v>945</v>
      </c>
      <c r="B75" s="728"/>
      <c r="C75" s="728" t="s">
        <v>947</v>
      </c>
      <c r="D75" s="728" t="s">
        <v>946</v>
      </c>
      <c r="H75" s="666">
        <v>0</v>
      </c>
      <c r="I75" s="666">
        <v>0</v>
      </c>
      <c r="J75" s="666">
        <v>0</v>
      </c>
      <c r="K75" s="666">
        <v>0</v>
      </c>
      <c r="L75" s="666">
        <v>0</v>
      </c>
      <c r="M75" s="666">
        <v>0</v>
      </c>
      <c r="N75" s="666">
        <v>0</v>
      </c>
      <c r="O75" s="666">
        <v>0</v>
      </c>
      <c r="P75" s="666">
        <v>0</v>
      </c>
      <c r="Q75" s="666">
        <v>0</v>
      </c>
      <c r="R75" s="666">
        <v>0</v>
      </c>
      <c r="S75" s="666">
        <v>0</v>
      </c>
      <c r="T75" s="666">
        <v>0</v>
      </c>
      <c r="V75" s="336" t="s">
        <v>979</v>
      </c>
      <c r="W75" s="351"/>
      <c r="X75" s="670">
        <f t="shared" ref="X75:AD75" si="16">+X61</f>
        <v>27737</v>
      </c>
      <c r="Y75" s="670">
        <f>+Y61</f>
        <v>27618.416666666668</v>
      </c>
      <c r="Z75" s="670">
        <f t="shared" si="16"/>
        <v>4387075.87</v>
      </c>
      <c r="AA75" s="670">
        <f t="shared" si="16"/>
        <v>13113274.539690599</v>
      </c>
      <c r="AB75" s="670">
        <f t="shared" si="16"/>
        <v>-36</v>
      </c>
      <c r="AC75" s="670">
        <f t="shared" si="16"/>
        <v>18791773.620309401</v>
      </c>
      <c r="AD75" s="671">
        <f t="shared" si="16"/>
        <v>31905012.16</v>
      </c>
    </row>
    <row r="76" spans="1:30">
      <c r="A76" s="868" t="s">
        <v>945</v>
      </c>
      <c r="B76" s="728"/>
      <c r="C76" s="728" t="s">
        <v>20</v>
      </c>
      <c r="D76" s="728" t="s">
        <v>946</v>
      </c>
      <c r="H76" s="666">
        <v>0</v>
      </c>
      <c r="I76" s="666">
        <v>0</v>
      </c>
      <c r="J76" s="666">
        <v>0</v>
      </c>
      <c r="K76" s="666">
        <v>0</v>
      </c>
      <c r="L76" s="666">
        <v>0</v>
      </c>
      <c r="M76" s="666">
        <v>0</v>
      </c>
      <c r="N76" s="666">
        <v>0</v>
      </c>
      <c r="O76" s="666">
        <v>0</v>
      </c>
      <c r="P76" s="666">
        <v>0</v>
      </c>
      <c r="Q76" s="666">
        <v>0</v>
      </c>
      <c r="R76" s="666">
        <v>0</v>
      </c>
      <c r="S76" s="666">
        <v>0</v>
      </c>
      <c r="T76" s="666">
        <v>0</v>
      </c>
      <c r="V76" s="336"/>
      <c r="W76" s="351"/>
      <c r="X76" s="194"/>
      <c r="Y76" s="194"/>
      <c r="Z76" s="194"/>
      <c r="AA76" s="194"/>
      <c r="AB76" s="194"/>
      <c r="AC76" s="194"/>
      <c r="AD76" s="668"/>
    </row>
    <row r="77" spans="1:30">
      <c r="A77" s="382"/>
      <c r="B77" s="728"/>
      <c r="C77" s="728"/>
      <c r="D77" s="728"/>
      <c r="H77" s="666"/>
      <c r="I77" s="666"/>
      <c r="J77" s="666"/>
      <c r="K77" s="666"/>
      <c r="L77" s="666"/>
      <c r="M77" s="666"/>
      <c r="N77" s="666"/>
      <c r="O77" s="666"/>
      <c r="P77" s="666"/>
      <c r="Q77" s="666"/>
      <c r="R77" s="666"/>
      <c r="S77" s="666"/>
      <c r="T77" s="666"/>
      <c r="V77" s="222" t="s">
        <v>980</v>
      </c>
      <c r="W77" s="28"/>
      <c r="X77" s="676">
        <f t="shared" ref="X77:AD77" si="17">SUM(X74:X76)</f>
        <v>1031123</v>
      </c>
      <c r="Y77" s="676">
        <f t="shared" si="17"/>
        <v>1020923.5</v>
      </c>
      <c r="Z77" s="676">
        <f t="shared" si="17"/>
        <v>182495478.48000002</v>
      </c>
      <c r="AA77" s="676">
        <f t="shared" si="17"/>
        <v>379555640.95652229</v>
      </c>
      <c r="AB77" s="676">
        <f t="shared" si="17"/>
        <v>104646790.0980107</v>
      </c>
      <c r="AC77" s="676">
        <f t="shared" si="17"/>
        <v>431340880.065467</v>
      </c>
      <c r="AD77" s="677">
        <f t="shared" si="17"/>
        <v>915543311.12</v>
      </c>
    </row>
    <row r="78" spans="1:30" ht="13.5" thickBot="1">
      <c r="A78" s="382" t="s">
        <v>949</v>
      </c>
      <c r="B78" s="728" t="s">
        <v>88</v>
      </c>
      <c r="C78" s="728" t="s">
        <v>16</v>
      </c>
      <c r="D78" s="728" t="s">
        <v>946</v>
      </c>
      <c r="H78" s="666">
        <v>0</v>
      </c>
      <c r="I78" s="666">
        <v>0</v>
      </c>
      <c r="J78" s="666">
        <v>0</v>
      </c>
      <c r="K78" s="666">
        <v>0</v>
      </c>
      <c r="L78" s="666">
        <v>0</v>
      </c>
      <c r="M78" s="666">
        <v>0</v>
      </c>
      <c r="N78" s="666">
        <v>0</v>
      </c>
      <c r="O78" s="666">
        <v>0</v>
      </c>
      <c r="P78" s="666">
        <v>0</v>
      </c>
      <c r="Q78" s="666">
        <v>0</v>
      </c>
      <c r="R78" s="666">
        <v>0</v>
      </c>
      <c r="S78" s="666">
        <v>0</v>
      </c>
      <c r="T78" s="666">
        <v>0</v>
      </c>
      <c r="V78" s="342"/>
      <c r="W78" s="354"/>
      <c r="X78" s="661"/>
      <c r="Y78" s="661"/>
      <c r="Z78" s="661"/>
      <c r="AA78" s="661"/>
      <c r="AB78" s="661"/>
      <c r="AC78" s="661"/>
      <c r="AD78" s="678"/>
    </row>
    <row r="79" spans="1:30">
      <c r="A79" s="382" t="s">
        <v>949</v>
      </c>
      <c r="B79" s="728"/>
      <c r="C79" s="728"/>
      <c r="D79" s="728" t="s">
        <v>946</v>
      </c>
      <c r="H79" s="666"/>
      <c r="I79" s="666"/>
      <c r="J79" s="666"/>
      <c r="K79" s="666"/>
      <c r="L79" s="666"/>
      <c r="M79" s="666"/>
      <c r="N79" s="666"/>
      <c r="O79" s="666"/>
      <c r="P79" s="666"/>
      <c r="Q79" s="666"/>
      <c r="R79" s="666"/>
      <c r="S79" s="666"/>
      <c r="T79" s="666"/>
      <c r="V79" s="344"/>
      <c r="W79" s="357"/>
      <c r="X79" s="357"/>
      <c r="Y79" s="357"/>
      <c r="Z79" s="357"/>
      <c r="AA79" s="357"/>
      <c r="AB79" s="357"/>
      <c r="AC79" s="357"/>
      <c r="AD79" s="345"/>
    </row>
    <row r="80" spans="1:30">
      <c r="A80" s="382" t="s">
        <v>949</v>
      </c>
      <c r="B80" s="728"/>
      <c r="C80" s="728" t="s">
        <v>17</v>
      </c>
      <c r="D80" s="728" t="s">
        <v>946</v>
      </c>
      <c r="H80" s="666">
        <v>0</v>
      </c>
      <c r="I80" s="666">
        <v>0</v>
      </c>
      <c r="J80" s="666">
        <v>0</v>
      </c>
      <c r="K80" s="666">
        <v>0</v>
      </c>
      <c r="L80" s="666">
        <v>0</v>
      </c>
      <c r="M80" s="666">
        <v>0</v>
      </c>
      <c r="N80" s="666">
        <v>0</v>
      </c>
      <c r="O80" s="666">
        <v>0</v>
      </c>
      <c r="P80" s="666">
        <v>0</v>
      </c>
      <c r="Q80" s="666">
        <v>0</v>
      </c>
      <c r="R80" s="666">
        <v>0</v>
      </c>
      <c r="S80" s="666">
        <v>0</v>
      </c>
      <c r="T80" s="666">
        <v>0</v>
      </c>
      <c r="V80" s="336" t="s">
        <v>888</v>
      </c>
      <c r="W80" s="351"/>
      <c r="X80" s="361">
        <f>+X77-T440</f>
        <v>0</v>
      </c>
      <c r="Y80" s="361">
        <f>+Y77-T508</f>
        <v>0</v>
      </c>
      <c r="Z80" s="361">
        <f>+Z77-$T$371</f>
        <v>0</v>
      </c>
      <c r="AA80" s="361">
        <f>+AA77-$T$362-$T$364</f>
        <v>0</v>
      </c>
      <c r="AB80" s="361">
        <f>+AB77-$T$363</f>
        <v>0</v>
      </c>
      <c r="AC80" s="361">
        <f>+AC77-$T$365</f>
        <v>-96363</v>
      </c>
      <c r="AD80" s="362">
        <f>+AD77-$T$367</f>
        <v>-96362.999999880791</v>
      </c>
    </row>
    <row r="81" spans="1:30" ht="13.5" thickBot="1">
      <c r="A81" s="382" t="s">
        <v>949</v>
      </c>
      <c r="B81" s="728"/>
      <c r="C81" s="728"/>
      <c r="D81" s="728" t="s">
        <v>946</v>
      </c>
      <c r="H81" s="666"/>
      <c r="I81" s="666"/>
      <c r="J81" s="666"/>
      <c r="K81" s="666"/>
      <c r="L81" s="666"/>
      <c r="M81" s="666"/>
      <c r="N81" s="666"/>
      <c r="O81" s="666"/>
      <c r="P81" s="666"/>
      <c r="Q81" s="666"/>
      <c r="R81" s="666"/>
      <c r="S81" s="666"/>
      <c r="T81" s="666"/>
      <c r="V81" s="342"/>
      <c r="W81" s="354"/>
      <c r="X81" s="354"/>
      <c r="Y81" s="354"/>
      <c r="Z81" s="354"/>
      <c r="AA81" s="354"/>
      <c r="AB81" s="354"/>
      <c r="AC81" s="354"/>
      <c r="AD81" s="343"/>
    </row>
    <row r="82" spans="1:30">
      <c r="A82" s="382" t="s">
        <v>949</v>
      </c>
      <c r="B82" s="728"/>
      <c r="C82" s="728" t="s">
        <v>18</v>
      </c>
      <c r="D82" s="728" t="s">
        <v>946</v>
      </c>
      <c r="H82" s="675">
        <v>0</v>
      </c>
      <c r="I82" s="675">
        <v>0</v>
      </c>
      <c r="J82" s="675">
        <v>0</v>
      </c>
      <c r="K82" s="675">
        <v>0</v>
      </c>
      <c r="L82" s="675">
        <v>0</v>
      </c>
      <c r="M82" s="675">
        <v>0</v>
      </c>
      <c r="N82" s="675">
        <v>0</v>
      </c>
      <c r="O82" s="675">
        <v>0</v>
      </c>
      <c r="P82" s="675">
        <v>0</v>
      </c>
      <c r="Q82" s="675">
        <v>0</v>
      </c>
      <c r="R82" s="675">
        <v>0</v>
      </c>
      <c r="S82" s="675">
        <v>0</v>
      </c>
      <c r="T82" s="675">
        <v>0</v>
      </c>
    </row>
    <row r="83" spans="1:30">
      <c r="A83" s="382" t="s">
        <v>949</v>
      </c>
      <c r="B83" s="728"/>
      <c r="C83" s="728" t="s">
        <v>19</v>
      </c>
      <c r="D83" s="728" t="s">
        <v>946</v>
      </c>
      <c r="H83" s="666">
        <v>0</v>
      </c>
      <c r="I83" s="666">
        <v>0</v>
      </c>
      <c r="J83" s="666">
        <v>0</v>
      </c>
      <c r="K83" s="666">
        <v>0</v>
      </c>
      <c r="L83" s="666">
        <v>0</v>
      </c>
      <c r="M83" s="666">
        <v>0</v>
      </c>
      <c r="N83" s="666">
        <v>0</v>
      </c>
      <c r="O83" s="666">
        <v>0</v>
      </c>
      <c r="P83" s="666">
        <v>0</v>
      </c>
      <c r="Q83" s="666">
        <v>0</v>
      </c>
      <c r="R83" s="666">
        <v>0</v>
      </c>
      <c r="S83" s="666">
        <v>0</v>
      </c>
      <c r="T83" s="666">
        <v>0</v>
      </c>
      <c r="X83" s="30"/>
    </row>
    <row r="84" spans="1:30">
      <c r="A84" s="382" t="s">
        <v>949</v>
      </c>
      <c r="B84" s="728"/>
      <c r="C84" s="728" t="s">
        <v>947</v>
      </c>
      <c r="D84" s="728" t="s">
        <v>946</v>
      </c>
      <c r="H84" s="666"/>
      <c r="I84" s="666"/>
      <c r="J84" s="666"/>
      <c r="K84" s="666"/>
      <c r="L84" s="666"/>
      <c r="M84" s="666"/>
      <c r="N84" s="666"/>
      <c r="O84" s="666"/>
      <c r="P84" s="666"/>
      <c r="Q84" s="666"/>
      <c r="R84" s="666"/>
      <c r="S84" s="666"/>
      <c r="T84" s="666"/>
    </row>
    <row r="85" spans="1:30">
      <c r="A85" s="382" t="s">
        <v>949</v>
      </c>
      <c r="B85" s="728"/>
      <c r="C85" s="728" t="s">
        <v>20</v>
      </c>
      <c r="D85" s="728" t="s">
        <v>946</v>
      </c>
      <c r="H85" s="666">
        <v>0</v>
      </c>
      <c r="I85" s="666">
        <v>0</v>
      </c>
      <c r="J85" s="666">
        <v>0</v>
      </c>
      <c r="K85" s="666">
        <v>0</v>
      </c>
      <c r="L85" s="666">
        <v>0</v>
      </c>
      <c r="M85" s="666">
        <v>0</v>
      </c>
      <c r="N85" s="666">
        <v>0</v>
      </c>
      <c r="O85" s="666">
        <v>0</v>
      </c>
      <c r="P85" s="666">
        <v>0</v>
      </c>
      <c r="Q85" s="666">
        <v>0</v>
      </c>
      <c r="R85" s="666">
        <v>0</v>
      </c>
      <c r="S85" s="666">
        <v>0</v>
      </c>
      <c r="T85" s="666">
        <v>0</v>
      </c>
    </row>
    <row r="86" spans="1:30">
      <c r="A86" s="382" t="s">
        <v>949</v>
      </c>
      <c r="B86" s="728"/>
      <c r="C86" s="728"/>
      <c r="D86" s="728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</row>
    <row r="87" spans="1:30">
      <c r="A87" s="382" t="s">
        <v>949</v>
      </c>
      <c r="B87" s="728" t="s">
        <v>950</v>
      </c>
      <c r="C87" s="728" t="s">
        <v>16</v>
      </c>
      <c r="D87" s="728" t="s">
        <v>946</v>
      </c>
      <c r="H87" s="666">
        <v>0</v>
      </c>
      <c r="I87" s="666">
        <v>0</v>
      </c>
      <c r="J87" s="666">
        <v>0</v>
      </c>
      <c r="K87" s="666">
        <v>0</v>
      </c>
      <c r="L87" s="666">
        <v>0</v>
      </c>
      <c r="M87" s="666">
        <v>0</v>
      </c>
      <c r="N87" s="666">
        <v>0</v>
      </c>
      <c r="O87" s="666">
        <v>0</v>
      </c>
      <c r="P87" s="666">
        <v>0</v>
      </c>
      <c r="Q87" s="666">
        <v>0</v>
      </c>
      <c r="R87" s="666">
        <v>0</v>
      </c>
      <c r="S87" s="666">
        <v>0</v>
      </c>
      <c r="T87" s="666">
        <v>0</v>
      </c>
    </row>
    <row r="88" spans="1:30">
      <c r="A88" s="382" t="s">
        <v>949</v>
      </c>
      <c r="B88" s="728"/>
      <c r="C88" s="728"/>
      <c r="D88" s="728" t="s">
        <v>946</v>
      </c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</row>
    <row r="89" spans="1:30">
      <c r="A89" s="382" t="s">
        <v>949</v>
      </c>
      <c r="B89" s="728"/>
      <c r="C89" s="728" t="s">
        <v>17</v>
      </c>
      <c r="D89" s="728" t="s">
        <v>946</v>
      </c>
      <c r="H89" s="666">
        <v>0</v>
      </c>
      <c r="I89" s="666">
        <v>0</v>
      </c>
      <c r="J89" s="666">
        <v>0</v>
      </c>
      <c r="K89" s="666">
        <v>0</v>
      </c>
      <c r="L89" s="666">
        <v>0</v>
      </c>
      <c r="M89" s="666">
        <v>0</v>
      </c>
      <c r="N89" s="666">
        <v>0</v>
      </c>
      <c r="O89" s="666">
        <v>0</v>
      </c>
      <c r="P89" s="666">
        <v>0</v>
      </c>
      <c r="Q89" s="666">
        <v>0</v>
      </c>
      <c r="R89" s="666">
        <v>0</v>
      </c>
      <c r="S89" s="666">
        <v>0</v>
      </c>
      <c r="T89" s="666">
        <v>0</v>
      </c>
    </row>
    <row r="90" spans="1:30">
      <c r="A90" s="382" t="s">
        <v>949</v>
      </c>
      <c r="B90" s="728"/>
      <c r="C90" s="728"/>
      <c r="D90" s="728" t="s">
        <v>946</v>
      </c>
      <c r="H90" s="666"/>
      <c r="I90" s="666"/>
      <c r="J90" s="666"/>
      <c r="K90" s="666"/>
      <c r="L90" s="666"/>
      <c r="M90" s="666"/>
      <c r="N90" s="666"/>
      <c r="O90" s="666"/>
      <c r="P90" s="666"/>
      <c r="Q90" s="666"/>
      <c r="R90" s="666"/>
      <c r="S90" s="666"/>
      <c r="T90" s="666"/>
    </row>
    <row r="91" spans="1:30">
      <c r="A91" s="382" t="s">
        <v>949</v>
      </c>
      <c r="B91" s="728"/>
      <c r="C91" s="728" t="s">
        <v>18</v>
      </c>
      <c r="D91" s="728" t="s">
        <v>946</v>
      </c>
      <c r="H91" s="675">
        <v>0</v>
      </c>
      <c r="I91" s="675">
        <v>0</v>
      </c>
      <c r="J91" s="675">
        <v>0</v>
      </c>
      <c r="K91" s="675">
        <v>0</v>
      </c>
      <c r="L91" s="675">
        <v>0</v>
      </c>
      <c r="M91" s="675">
        <v>0</v>
      </c>
      <c r="N91" s="675">
        <v>0</v>
      </c>
      <c r="O91" s="675">
        <v>0</v>
      </c>
      <c r="P91" s="675">
        <v>0</v>
      </c>
      <c r="Q91" s="675">
        <v>0</v>
      </c>
      <c r="R91" s="675">
        <v>0</v>
      </c>
      <c r="S91" s="675">
        <v>0</v>
      </c>
      <c r="T91" s="675">
        <v>0</v>
      </c>
    </row>
    <row r="92" spans="1:30">
      <c r="A92" s="382" t="s">
        <v>949</v>
      </c>
      <c r="B92" s="728"/>
      <c r="C92" s="728" t="s">
        <v>19</v>
      </c>
      <c r="D92" s="728" t="s">
        <v>946</v>
      </c>
      <c r="H92" s="666">
        <v>0</v>
      </c>
      <c r="I92" s="666">
        <v>0</v>
      </c>
      <c r="J92" s="666">
        <v>0</v>
      </c>
      <c r="K92" s="666">
        <v>0</v>
      </c>
      <c r="L92" s="666">
        <v>0</v>
      </c>
      <c r="M92" s="666">
        <v>0</v>
      </c>
      <c r="N92" s="666">
        <v>0</v>
      </c>
      <c r="O92" s="666">
        <v>0</v>
      </c>
      <c r="P92" s="666">
        <v>0</v>
      </c>
      <c r="Q92" s="666">
        <v>0</v>
      </c>
      <c r="R92" s="666">
        <v>0</v>
      </c>
      <c r="S92" s="666">
        <v>0</v>
      </c>
      <c r="T92" s="666">
        <v>0</v>
      </c>
    </row>
    <row r="93" spans="1:30">
      <c r="A93" s="382" t="s">
        <v>949</v>
      </c>
      <c r="B93" s="728"/>
      <c r="C93" s="728" t="s">
        <v>947</v>
      </c>
      <c r="D93" s="728" t="s">
        <v>946</v>
      </c>
      <c r="H93" s="666">
        <v>0</v>
      </c>
      <c r="I93" s="666">
        <v>0</v>
      </c>
      <c r="J93" s="666">
        <v>0</v>
      </c>
      <c r="K93" s="666">
        <v>0</v>
      </c>
      <c r="L93" s="666">
        <v>0</v>
      </c>
      <c r="M93" s="666">
        <v>0</v>
      </c>
      <c r="N93" s="666">
        <v>0</v>
      </c>
      <c r="O93" s="666">
        <v>0</v>
      </c>
      <c r="P93" s="666">
        <v>0</v>
      </c>
      <c r="Q93" s="666">
        <v>0</v>
      </c>
      <c r="R93" s="666">
        <v>0</v>
      </c>
      <c r="S93" s="666">
        <v>0</v>
      </c>
      <c r="T93" s="666">
        <v>0</v>
      </c>
    </row>
    <row r="94" spans="1:30">
      <c r="A94" s="382" t="s">
        <v>949</v>
      </c>
      <c r="B94" s="728"/>
      <c r="C94" s="728" t="s">
        <v>20</v>
      </c>
      <c r="D94" s="728" t="s">
        <v>946</v>
      </c>
      <c r="H94" s="666">
        <v>0</v>
      </c>
      <c r="I94" s="666">
        <v>0</v>
      </c>
      <c r="J94" s="666">
        <v>0</v>
      </c>
      <c r="K94" s="666">
        <v>0</v>
      </c>
      <c r="L94" s="666">
        <v>0</v>
      </c>
      <c r="M94" s="666">
        <v>0</v>
      </c>
      <c r="N94" s="666">
        <v>0</v>
      </c>
      <c r="O94" s="666">
        <v>0</v>
      </c>
      <c r="P94" s="666">
        <v>0</v>
      </c>
      <c r="Q94" s="666">
        <v>0</v>
      </c>
      <c r="R94" s="666">
        <v>0</v>
      </c>
      <c r="S94" s="666">
        <v>0</v>
      </c>
      <c r="T94" s="666">
        <v>0</v>
      </c>
    </row>
    <row r="95" spans="1:30">
      <c r="A95" s="382" t="s">
        <v>949</v>
      </c>
      <c r="B95" s="728"/>
      <c r="C95" s="728"/>
      <c r="D95" s="728"/>
      <c r="H95" s="666"/>
      <c r="I95" s="666"/>
      <c r="J95" s="666"/>
      <c r="K95" s="666"/>
      <c r="L95" s="666"/>
      <c r="M95" s="666"/>
      <c r="N95" s="666"/>
      <c r="O95" s="666"/>
      <c r="P95" s="666"/>
      <c r="Q95" s="666"/>
      <c r="R95" s="666"/>
      <c r="S95" s="666"/>
      <c r="T95" s="666"/>
    </row>
    <row r="96" spans="1:30">
      <c r="A96" s="382" t="s">
        <v>949</v>
      </c>
      <c r="B96" s="728" t="s">
        <v>951</v>
      </c>
      <c r="C96" s="728" t="s">
        <v>16</v>
      </c>
      <c r="D96" s="728" t="s">
        <v>946</v>
      </c>
      <c r="H96" s="666">
        <v>47249</v>
      </c>
      <c r="I96" s="666">
        <v>38819</v>
      </c>
      <c r="J96" s="666">
        <v>37218</v>
      </c>
      <c r="K96" s="666">
        <v>34219</v>
      </c>
      <c r="L96" s="666">
        <v>37966</v>
      </c>
      <c r="M96" s="666">
        <v>36665</v>
      </c>
      <c r="N96" s="666">
        <v>27429</v>
      </c>
      <c r="O96" s="666">
        <v>22775</v>
      </c>
      <c r="P96" s="666">
        <v>18036</v>
      </c>
      <c r="Q96" s="666">
        <v>23101</v>
      </c>
      <c r="R96" s="666">
        <v>23135</v>
      </c>
      <c r="S96" s="666">
        <v>27371</v>
      </c>
      <c r="T96" s="666">
        <v>373983</v>
      </c>
    </row>
    <row r="97" spans="1:20">
      <c r="A97" s="382" t="s">
        <v>949</v>
      </c>
      <c r="B97" s="728"/>
      <c r="C97" s="728"/>
      <c r="D97" s="728" t="s">
        <v>946</v>
      </c>
      <c r="H97" s="666"/>
      <c r="I97" s="666"/>
      <c r="J97" s="666"/>
      <c r="K97" s="666"/>
      <c r="L97" s="666"/>
      <c r="M97" s="666"/>
      <c r="N97" s="666"/>
      <c r="O97" s="666"/>
      <c r="P97" s="666"/>
      <c r="Q97" s="666"/>
      <c r="R97" s="666"/>
      <c r="S97" s="666"/>
      <c r="T97" s="666"/>
    </row>
    <row r="98" spans="1:20">
      <c r="A98" s="382" t="s">
        <v>949</v>
      </c>
      <c r="B98" s="728"/>
      <c r="C98" s="728" t="s">
        <v>17</v>
      </c>
      <c r="D98" s="728" t="s">
        <v>946</v>
      </c>
      <c r="H98" s="666">
        <v>16259</v>
      </c>
      <c r="I98" s="666">
        <v>10977</v>
      </c>
      <c r="J98" s="666">
        <v>9254</v>
      </c>
      <c r="K98" s="666">
        <v>9090</v>
      </c>
      <c r="L98" s="666">
        <v>11719</v>
      </c>
      <c r="M98" s="666">
        <v>13421</v>
      </c>
      <c r="N98" s="666">
        <v>7816</v>
      </c>
      <c r="O98" s="666">
        <v>7171</v>
      </c>
      <c r="P98" s="666">
        <v>5413</v>
      </c>
      <c r="Q98" s="666">
        <v>4888</v>
      </c>
      <c r="R98" s="666">
        <v>6789</v>
      </c>
      <c r="S98" s="666">
        <v>8453</v>
      </c>
      <c r="T98" s="666">
        <v>111250</v>
      </c>
    </row>
    <row r="99" spans="1:20">
      <c r="A99" s="382" t="s">
        <v>949</v>
      </c>
      <c r="B99" s="728"/>
      <c r="C99" s="728"/>
      <c r="D99" s="728" t="s">
        <v>946</v>
      </c>
      <c r="H99" s="666"/>
      <c r="I99" s="666"/>
      <c r="J99" s="666"/>
      <c r="K99" s="666"/>
      <c r="L99" s="666"/>
      <c r="M99" s="666"/>
      <c r="N99" s="666"/>
      <c r="O99" s="666"/>
      <c r="P99" s="666"/>
      <c r="Q99" s="666"/>
      <c r="R99" s="666"/>
      <c r="S99" s="666"/>
      <c r="T99" s="666"/>
    </row>
    <row r="100" spans="1:20">
      <c r="A100" s="382" t="s">
        <v>949</v>
      </c>
      <c r="B100" s="728"/>
      <c r="C100" s="728" t="s">
        <v>18</v>
      </c>
      <c r="D100" s="728" t="s">
        <v>946</v>
      </c>
      <c r="H100" s="675">
        <v>359953</v>
      </c>
      <c r="I100" s="675">
        <v>243003</v>
      </c>
      <c r="J100" s="675">
        <v>204155</v>
      </c>
      <c r="K100" s="675">
        <v>202605</v>
      </c>
      <c r="L100" s="675">
        <v>259436</v>
      </c>
      <c r="M100" s="675">
        <v>300717</v>
      </c>
      <c r="N100" s="675">
        <v>175237</v>
      </c>
      <c r="O100" s="675">
        <v>160818</v>
      </c>
      <c r="P100" s="675">
        <v>121425</v>
      </c>
      <c r="Q100" s="675">
        <v>109623</v>
      </c>
      <c r="R100" s="675">
        <v>157774</v>
      </c>
      <c r="S100" s="675">
        <v>198600</v>
      </c>
      <c r="T100" s="675">
        <v>2493346</v>
      </c>
    </row>
    <row r="101" spans="1:20">
      <c r="A101" s="382" t="s">
        <v>949</v>
      </c>
      <c r="B101" s="728"/>
      <c r="C101" s="728" t="s">
        <v>19</v>
      </c>
      <c r="D101" s="728" t="s">
        <v>946</v>
      </c>
      <c r="H101" s="666">
        <v>423461</v>
      </c>
      <c r="I101" s="666">
        <v>292799</v>
      </c>
      <c r="J101" s="666">
        <v>250627</v>
      </c>
      <c r="K101" s="666">
        <v>245914</v>
      </c>
      <c r="L101" s="666">
        <v>309121</v>
      </c>
      <c r="M101" s="666">
        <v>350803</v>
      </c>
      <c r="N101" s="666">
        <v>210482</v>
      </c>
      <c r="O101" s="666">
        <v>190764</v>
      </c>
      <c r="P101" s="666">
        <v>144874</v>
      </c>
      <c r="Q101" s="666">
        <v>137612</v>
      </c>
      <c r="R101" s="666">
        <v>187698</v>
      </c>
      <c r="S101" s="666">
        <v>234424</v>
      </c>
      <c r="T101" s="666">
        <v>2978579</v>
      </c>
    </row>
    <row r="102" spans="1:20">
      <c r="A102" s="382" t="s">
        <v>949</v>
      </c>
      <c r="B102" s="728"/>
      <c r="C102" s="728" t="s">
        <v>947</v>
      </c>
      <c r="D102" s="728" t="s">
        <v>946</v>
      </c>
      <c r="H102" s="666">
        <v>43</v>
      </c>
      <c r="I102" s="666">
        <v>42</v>
      </c>
      <c r="J102" s="666">
        <v>44</v>
      </c>
      <c r="K102" s="666">
        <v>44</v>
      </c>
      <c r="L102" s="666">
        <v>44</v>
      </c>
      <c r="M102" s="666">
        <v>43</v>
      </c>
      <c r="N102" s="666">
        <v>44</v>
      </c>
      <c r="O102" s="666">
        <v>38</v>
      </c>
      <c r="P102" s="666">
        <v>37</v>
      </c>
      <c r="Q102" s="666">
        <v>38</v>
      </c>
      <c r="R102" s="666">
        <v>38</v>
      </c>
      <c r="S102" s="666">
        <v>35</v>
      </c>
      <c r="T102" s="666">
        <v>40.833333333333336</v>
      </c>
    </row>
    <row r="103" spans="1:20">
      <c r="A103" s="382" t="s">
        <v>949</v>
      </c>
      <c r="B103" s="728"/>
      <c r="C103" s="728" t="s">
        <v>20</v>
      </c>
      <c r="D103" s="728" t="s">
        <v>946</v>
      </c>
      <c r="H103" s="666">
        <v>90722</v>
      </c>
      <c r="I103" s="666">
        <v>61246</v>
      </c>
      <c r="J103" s="666">
        <v>51639</v>
      </c>
      <c r="K103" s="666">
        <v>49270</v>
      </c>
      <c r="L103" s="666">
        <v>65388</v>
      </c>
      <c r="M103" s="666">
        <v>74883</v>
      </c>
      <c r="N103" s="666">
        <v>43608</v>
      </c>
      <c r="O103" s="666">
        <v>40011</v>
      </c>
      <c r="P103" s="666">
        <v>30202</v>
      </c>
      <c r="Q103" s="666">
        <v>27274</v>
      </c>
      <c r="R103" s="666">
        <v>37900</v>
      </c>
      <c r="S103" s="666">
        <v>47198</v>
      </c>
      <c r="T103" s="666">
        <v>619341</v>
      </c>
    </row>
    <row r="104" spans="1:20">
      <c r="A104" s="382" t="s">
        <v>949</v>
      </c>
      <c r="B104" s="728"/>
      <c r="C104" s="728"/>
      <c r="D104" s="728"/>
      <c r="H104" s="666"/>
      <c r="I104" s="666"/>
      <c r="J104" s="666"/>
      <c r="K104" s="666"/>
      <c r="L104" s="666"/>
      <c r="M104" s="666"/>
      <c r="N104" s="666"/>
      <c r="O104" s="666"/>
      <c r="P104" s="666"/>
      <c r="Q104" s="666"/>
      <c r="R104" s="666"/>
      <c r="S104" s="666"/>
      <c r="T104" s="666"/>
    </row>
    <row r="105" spans="1:20">
      <c r="A105" s="382" t="s">
        <v>949</v>
      </c>
      <c r="B105" s="728" t="s">
        <v>87</v>
      </c>
      <c r="C105" s="728" t="s">
        <v>16</v>
      </c>
      <c r="D105" s="728" t="s">
        <v>946</v>
      </c>
      <c r="H105" s="666">
        <v>0</v>
      </c>
      <c r="I105" s="666">
        <v>0</v>
      </c>
      <c r="J105" s="666">
        <v>0</v>
      </c>
      <c r="K105" s="666">
        <v>0</v>
      </c>
      <c r="L105" s="666">
        <v>0</v>
      </c>
      <c r="M105" s="666">
        <v>0</v>
      </c>
      <c r="N105" s="666">
        <v>0</v>
      </c>
      <c r="O105" s="666">
        <v>0</v>
      </c>
      <c r="P105" s="666">
        <v>0</v>
      </c>
      <c r="Q105" s="666">
        <v>0</v>
      </c>
      <c r="R105" s="666">
        <v>0</v>
      </c>
      <c r="S105" s="666">
        <v>0</v>
      </c>
      <c r="T105" s="666">
        <v>0</v>
      </c>
    </row>
    <row r="106" spans="1:20">
      <c r="A106" s="382" t="s">
        <v>949</v>
      </c>
      <c r="B106" s="728"/>
      <c r="C106" s="728"/>
      <c r="D106" s="728" t="s">
        <v>946</v>
      </c>
      <c r="H106" s="666"/>
      <c r="I106" s="666"/>
      <c r="J106" s="666"/>
      <c r="K106" s="666"/>
      <c r="L106" s="666"/>
      <c r="M106" s="666"/>
      <c r="N106" s="666"/>
      <c r="O106" s="666"/>
      <c r="P106" s="666"/>
      <c r="Q106" s="666"/>
      <c r="R106" s="666"/>
      <c r="S106" s="666"/>
      <c r="T106" s="666"/>
    </row>
    <row r="107" spans="1:20">
      <c r="A107" s="382" t="s">
        <v>949</v>
      </c>
      <c r="B107" s="728"/>
      <c r="C107" s="728" t="s">
        <v>17</v>
      </c>
      <c r="D107" s="728" t="s">
        <v>946</v>
      </c>
      <c r="H107" s="666">
        <v>0</v>
      </c>
      <c r="I107" s="666">
        <v>0</v>
      </c>
      <c r="J107" s="666">
        <v>0</v>
      </c>
      <c r="K107" s="666">
        <v>0</v>
      </c>
      <c r="L107" s="666">
        <v>0</v>
      </c>
      <c r="M107" s="666">
        <v>0</v>
      </c>
      <c r="N107" s="666">
        <v>0</v>
      </c>
      <c r="O107" s="666">
        <v>0</v>
      </c>
      <c r="P107" s="666">
        <v>0</v>
      </c>
      <c r="Q107" s="666">
        <v>0</v>
      </c>
      <c r="R107" s="666">
        <v>0</v>
      </c>
      <c r="S107" s="666">
        <v>0</v>
      </c>
      <c r="T107" s="666">
        <v>0</v>
      </c>
    </row>
    <row r="108" spans="1:20">
      <c r="A108" s="382" t="s">
        <v>949</v>
      </c>
      <c r="B108" s="728"/>
      <c r="C108" s="728"/>
      <c r="D108" s="728" t="s">
        <v>946</v>
      </c>
      <c r="H108" s="666"/>
      <c r="I108" s="666"/>
      <c r="J108" s="666"/>
      <c r="K108" s="666"/>
      <c r="L108" s="666"/>
      <c r="M108" s="666"/>
      <c r="N108" s="666"/>
      <c r="O108" s="666"/>
      <c r="P108" s="666"/>
      <c r="Q108" s="666"/>
      <c r="R108" s="666"/>
      <c r="S108" s="666"/>
      <c r="T108" s="666"/>
    </row>
    <row r="109" spans="1:20">
      <c r="A109" s="382" t="s">
        <v>949</v>
      </c>
      <c r="B109" s="728"/>
      <c r="C109" s="728" t="s">
        <v>18</v>
      </c>
      <c r="D109" s="728" t="s">
        <v>946</v>
      </c>
      <c r="H109" s="675">
        <v>0</v>
      </c>
      <c r="I109" s="675">
        <v>0</v>
      </c>
      <c r="J109" s="675">
        <v>0</v>
      </c>
      <c r="K109" s="675">
        <v>0</v>
      </c>
      <c r="L109" s="675">
        <v>0</v>
      </c>
      <c r="M109" s="675">
        <v>0</v>
      </c>
      <c r="N109" s="675">
        <v>0</v>
      </c>
      <c r="O109" s="675">
        <v>0</v>
      </c>
      <c r="P109" s="675">
        <v>0</v>
      </c>
      <c r="Q109" s="675">
        <v>0</v>
      </c>
      <c r="R109" s="675">
        <v>0</v>
      </c>
      <c r="S109" s="675">
        <v>0</v>
      </c>
      <c r="T109" s="675">
        <v>0</v>
      </c>
    </row>
    <row r="110" spans="1:20">
      <c r="A110" s="382" t="s">
        <v>949</v>
      </c>
      <c r="B110" s="728"/>
      <c r="C110" s="728" t="s">
        <v>19</v>
      </c>
      <c r="D110" s="728" t="s">
        <v>946</v>
      </c>
      <c r="H110" s="666">
        <v>0</v>
      </c>
      <c r="I110" s="666">
        <v>0</v>
      </c>
      <c r="J110" s="666">
        <v>0</v>
      </c>
      <c r="K110" s="666">
        <v>0</v>
      </c>
      <c r="L110" s="666">
        <v>0</v>
      </c>
      <c r="M110" s="666">
        <v>0</v>
      </c>
      <c r="N110" s="666">
        <v>0</v>
      </c>
      <c r="O110" s="666">
        <v>0</v>
      </c>
      <c r="P110" s="666">
        <v>0</v>
      </c>
      <c r="Q110" s="666">
        <v>0</v>
      </c>
      <c r="R110" s="666">
        <v>0</v>
      </c>
      <c r="S110" s="666">
        <v>0</v>
      </c>
      <c r="T110" s="666">
        <v>0</v>
      </c>
    </row>
    <row r="111" spans="1:20">
      <c r="A111" s="382" t="s">
        <v>949</v>
      </c>
      <c r="B111" s="728"/>
      <c r="C111" s="728" t="s">
        <v>947</v>
      </c>
      <c r="D111" s="728" t="s">
        <v>946</v>
      </c>
      <c r="H111" s="666">
        <v>0</v>
      </c>
      <c r="I111" s="666">
        <v>0</v>
      </c>
      <c r="J111" s="666">
        <v>0</v>
      </c>
      <c r="K111" s="666">
        <v>0</v>
      </c>
      <c r="L111" s="666">
        <v>0</v>
      </c>
      <c r="M111" s="666">
        <v>0</v>
      </c>
      <c r="N111" s="666">
        <v>0</v>
      </c>
      <c r="O111" s="666">
        <v>0</v>
      </c>
      <c r="P111" s="666">
        <v>0</v>
      </c>
      <c r="Q111" s="666">
        <v>0</v>
      </c>
      <c r="R111" s="666">
        <v>0</v>
      </c>
      <c r="S111" s="666">
        <v>0</v>
      </c>
      <c r="T111" s="666">
        <v>0</v>
      </c>
    </row>
    <row r="112" spans="1:20">
      <c r="A112" s="382" t="s">
        <v>949</v>
      </c>
      <c r="B112" s="728"/>
      <c r="C112" s="728" t="s">
        <v>20</v>
      </c>
      <c r="D112" s="728" t="s">
        <v>946</v>
      </c>
      <c r="H112" s="666">
        <v>0</v>
      </c>
      <c r="I112" s="666">
        <v>0</v>
      </c>
      <c r="J112" s="666">
        <v>0</v>
      </c>
      <c r="K112" s="666">
        <v>0</v>
      </c>
      <c r="L112" s="666">
        <v>0</v>
      </c>
      <c r="M112" s="666">
        <v>0</v>
      </c>
      <c r="N112" s="666">
        <v>0</v>
      </c>
      <c r="O112" s="666">
        <v>0</v>
      </c>
      <c r="P112" s="666">
        <v>0</v>
      </c>
      <c r="Q112" s="666">
        <v>0</v>
      </c>
      <c r="R112" s="666">
        <v>0</v>
      </c>
      <c r="S112" s="666">
        <v>0</v>
      </c>
      <c r="T112" s="666">
        <v>0</v>
      </c>
    </row>
    <row r="113" spans="1:20">
      <c r="A113" s="382"/>
      <c r="B113" s="728"/>
      <c r="C113" s="728"/>
      <c r="D113" s="728"/>
      <c r="H113" s="666">
        <v>0</v>
      </c>
      <c r="I113" s="666">
        <v>0</v>
      </c>
      <c r="J113" s="666">
        <v>0</v>
      </c>
      <c r="K113" s="666">
        <v>0</v>
      </c>
      <c r="L113" s="666">
        <v>0</v>
      </c>
      <c r="M113" s="666">
        <v>0</v>
      </c>
      <c r="N113" s="666">
        <v>0</v>
      </c>
      <c r="O113" s="666">
        <v>0</v>
      </c>
      <c r="P113" s="666">
        <v>0</v>
      </c>
      <c r="Q113" s="666">
        <v>0</v>
      </c>
      <c r="R113" s="666">
        <v>0</v>
      </c>
      <c r="S113" s="666">
        <v>0</v>
      </c>
      <c r="T113" s="666"/>
    </row>
    <row r="114" spans="1:20">
      <c r="A114" s="382"/>
      <c r="B114" s="728" t="s">
        <v>952</v>
      </c>
      <c r="C114" s="728" t="s">
        <v>16</v>
      </c>
      <c r="D114" s="728" t="s">
        <v>946</v>
      </c>
      <c r="H114" s="666">
        <v>0</v>
      </c>
      <c r="I114" s="666">
        <v>0</v>
      </c>
      <c r="J114" s="666">
        <v>0</v>
      </c>
      <c r="K114" s="666">
        <v>0</v>
      </c>
      <c r="L114" s="666">
        <v>0</v>
      </c>
      <c r="M114" s="666">
        <v>0</v>
      </c>
      <c r="N114" s="666">
        <v>0</v>
      </c>
      <c r="O114" s="666">
        <v>0</v>
      </c>
      <c r="P114" s="666">
        <v>0</v>
      </c>
      <c r="Q114" s="666">
        <v>0</v>
      </c>
      <c r="R114" s="666">
        <v>0</v>
      </c>
      <c r="S114" s="666">
        <v>0</v>
      </c>
      <c r="T114" s="666">
        <v>0</v>
      </c>
    </row>
    <row r="115" spans="1:20">
      <c r="A115" s="382"/>
      <c r="B115" s="728"/>
      <c r="C115" s="728"/>
      <c r="D115" s="728" t="s">
        <v>946</v>
      </c>
      <c r="H115" s="666">
        <v>0</v>
      </c>
      <c r="I115" s="666">
        <v>0</v>
      </c>
      <c r="J115" s="666">
        <v>0</v>
      </c>
      <c r="K115" s="666">
        <v>0</v>
      </c>
      <c r="L115" s="666">
        <v>0</v>
      </c>
      <c r="M115" s="666">
        <v>0</v>
      </c>
      <c r="N115" s="666">
        <v>0</v>
      </c>
      <c r="O115" s="666">
        <v>0</v>
      </c>
      <c r="P115" s="666">
        <v>0</v>
      </c>
      <c r="Q115" s="666">
        <v>0</v>
      </c>
      <c r="R115" s="666">
        <v>0</v>
      </c>
      <c r="S115" s="666">
        <v>0</v>
      </c>
      <c r="T115" s="666"/>
    </row>
    <row r="116" spans="1:20">
      <c r="A116" s="382"/>
      <c r="B116" s="728"/>
      <c r="C116" s="728" t="s">
        <v>17</v>
      </c>
      <c r="D116" s="728" t="s">
        <v>946</v>
      </c>
      <c r="H116" s="666">
        <v>0</v>
      </c>
      <c r="I116" s="666">
        <v>0</v>
      </c>
      <c r="J116" s="666">
        <v>0</v>
      </c>
      <c r="K116" s="666">
        <v>0</v>
      </c>
      <c r="L116" s="666">
        <v>0</v>
      </c>
      <c r="M116" s="666">
        <v>0</v>
      </c>
      <c r="N116" s="666">
        <v>0</v>
      </c>
      <c r="O116" s="666">
        <v>0</v>
      </c>
      <c r="P116" s="666">
        <v>0</v>
      </c>
      <c r="Q116" s="666">
        <v>0</v>
      </c>
      <c r="R116" s="666">
        <v>0</v>
      </c>
      <c r="S116" s="666">
        <v>0</v>
      </c>
      <c r="T116" s="666">
        <v>0</v>
      </c>
    </row>
    <row r="117" spans="1:20">
      <c r="A117" s="382"/>
      <c r="B117" s="728"/>
      <c r="C117" s="728"/>
      <c r="D117" s="728" t="s">
        <v>946</v>
      </c>
      <c r="H117" s="666">
        <v>0</v>
      </c>
      <c r="I117" s="666">
        <v>0</v>
      </c>
      <c r="J117" s="666">
        <v>0</v>
      </c>
      <c r="K117" s="666">
        <v>0</v>
      </c>
      <c r="L117" s="666">
        <v>0</v>
      </c>
      <c r="M117" s="666">
        <v>0</v>
      </c>
      <c r="N117" s="666">
        <v>0</v>
      </c>
      <c r="O117" s="666">
        <v>0</v>
      </c>
      <c r="P117" s="666">
        <v>0</v>
      </c>
      <c r="Q117" s="666">
        <v>0</v>
      </c>
      <c r="R117" s="666">
        <v>0</v>
      </c>
      <c r="S117" s="666">
        <v>0</v>
      </c>
      <c r="T117" s="666"/>
    </row>
    <row r="118" spans="1:20">
      <c r="A118" s="382"/>
      <c r="B118" s="728"/>
      <c r="C118" s="728" t="s">
        <v>18</v>
      </c>
      <c r="D118" s="728" t="s">
        <v>946</v>
      </c>
      <c r="H118" s="675">
        <v>0</v>
      </c>
      <c r="I118" s="675">
        <v>0</v>
      </c>
      <c r="J118" s="675">
        <v>0</v>
      </c>
      <c r="K118" s="675">
        <v>0</v>
      </c>
      <c r="L118" s="675">
        <v>0</v>
      </c>
      <c r="M118" s="675">
        <v>0</v>
      </c>
      <c r="N118" s="675">
        <v>0</v>
      </c>
      <c r="O118" s="675">
        <v>0</v>
      </c>
      <c r="P118" s="675">
        <v>0</v>
      </c>
      <c r="Q118" s="675">
        <v>0</v>
      </c>
      <c r="R118" s="675">
        <v>0</v>
      </c>
      <c r="S118" s="675">
        <v>0</v>
      </c>
      <c r="T118" s="675">
        <v>0</v>
      </c>
    </row>
    <row r="119" spans="1:20">
      <c r="A119" s="382"/>
      <c r="B119" s="728"/>
      <c r="C119" s="728" t="s">
        <v>19</v>
      </c>
      <c r="D119" s="728" t="s">
        <v>946</v>
      </c>
      <c r="H119" s="666">
        <v>0</v>
      </c>
      <c r="I119" s="666">
        <v>0</v>
      </c>
      <c r="J119" s="666">
        <v>0</v>
      </c>
      <c r="K119" s="666">
        <v>0</v>
      </c>
      <c r="L119" s="666">
        <v>0</v>
      </c>
      <c r="M119" s="666">
        <v>0</v>
      </c>
      <c r="N119" s="666">
        <v>0</v>
      </c>
      <c r="O119" s="666">
        <v>0</v>
      </c>
      <c r="P119" s="666">
        <v>0</v>
      </c>
      <c r="Q119" s="666">
        <v>0</v>
      </c>
      <c r="R119" s="666">
        <v>0</v>
      </c>
      <c r="S119" s="666">
        <v>0</v>
      </c>
      <c r="T119" s="666">
        <v>0</v>
      </c>
    </row>
    <row r="120" spans="1:20">
      <c r="A120" s="382"/>
      <c r="B120" s="728"/>
      <c r="C120" s="728" t="s">
        <v>947</v>
      </c>
      <c r="D120" s="728" t="s">
        <v>946</v>
      </c>
      <c r="H120" s="666">
        <v>0</v>
      </c>
      <c r="I120" s="666">
        <v>0</v>
      </c>
      <c r="J120" s="666">
        <v>0</v>
      </c>
      <c r="K120" s="666">
        <v>0</v>
      </c>
      <c r="L120" s="666">
        <v>0</v>
      </c>
      <c r="M120" s="666">
        <v>0</v>
      </c>
      <c r="N120" s="666">
        <v>0</v>
      </c>
      <c r="O120" s="666">
        <v>0</v>
      </c>
      <c r="P120" s="666">
        <v>0</v>
      </c>
      <c r="Q120" s="666">
        <v>0</v>
      </c>
      <c r="R120" s="666">
        <v>0</v>
      </c>
      <c r="S120" s="666">
        <v>0</v>
      </c>
      <c r="T120" s="666">
        <v>0</v>
      </c>
    </row>
    <row r="121" spans="1:20">
      <c r="A121" s="382"/>
      <c r="B121" s="728"/>
      <c r="C121" s="728" t="s">
        <v>20</v>
      </c>
      <c r="D121" s="728" t="s">
        <v>946</v>
      </c>
      <c r="H121" s="666">
        <v>0</v>
      </c>
      <c r="I121" s="666">
        <v>0</v>
      </c>
      <c r="J121" s="666">
        <v>0</v>
      </c>
      <c r="K121" s="666">
        <v>0</v>
      </c>
      <c r="L121" s="666">
        <v>0</v>
      </c>
      <c r="M121" s="666">
        <v>0</v>
      </c>
      <c r="N121" s="666">
        <v>0</v>
      </c>
      <c r="O121" s="666">
        <v>0</v>
      </c>
      <c r="P121" s="666">
        <v>0</v>
      </c>
      <c r="Q121" s="666">
        <v>0</v>
      </c>
      <c r="R121" s="666">
        <v>0</v>
      </c>
      <c r="S121" s="666">
        <v>0</v>
      </c>
      <c r="T121" s="666">
        <v>0</v>
      </c>
    </row>
    <row r="122" spans="1:20">
      <c r="A122" s="382"/>
      <c r="H122" s="666"/>
      <c r="I122" s="666"/>
      <c r="J122" s="666"/>
      <c r="K122" s="666"/>
      <c r="L122" s="666"/>
      <c r="M122" s="666"/>
      <c r="N122" s="666"/>
      <c r="O122" s="666"/>
      <c r="P122" s="666"/>
      <c r="Q122" s="666"/>
      <c r="R122" s="666"/>
      <c r="S122" s="666"/>
      <c r="T122" s="666"/>
    </row>
    <row r="123" spans="1:20">
      <c r="A123" s="382" t="s">
        <v>953</v>
      </c>
      <c r="B123" s="728" t="s">
        <v>954</v>
      </c>
      <c r="C123" s="728" t="s">
        <v>16</v>
      </c>
      <c r="D123" s="728" t="s">
        <v>955</v>
      </c>
      <c r="H123" s="666">
        <v>553048</v>
      </c>
      <c r="I123" s="666">
        <v>517609</v>
      </c>
      <c r="J123" s="666">
        <v>553657</v>
      </c>
      <c r="K123" s="666">
        <v>537433</v>
      </c>
      <c r="L123" s="666">
        <v>547497</v>
      </c>
      <c r="M123" s="666">
        <v>422036</v>
      </c>
      <c r="N123" s="666">
        <v>352360</v>
      </c>
      <c r="O123" s="666">
        <v>344741</v>
      </c>
      <c r="P123" s="666">
        <v>237006</v>
      </c>
      <c r="Q123" s="666">
        <v>249536</v>
      </c>
      <c r="R123" s="666">
        <v>262202</v>
      </c>
      <c r="S123" s="666">
        <v>571712</v>
      </c>
      <c r="T123" s="666">
        <v>5148837</v>
      </c>
    </row>
    <row r="124" spans="1:20">
      <c r="A124" s="382" t="s">
        <v>953</v>
      </c>
      <c r="B124" s="728"/>
      <c r="C124" s="728"/>
      <c r="D124" s="728" t="s">
        <v>955</v>
      </c>
      <c r="H124" s="666"/>
      <c r="I124" s="666"/>
      <c r="J124" s="666"/>
      <c r="K124" s="666"/>
      <c r="L124" s="666"/>
      <c r="M124" s="666"/>
      <c r="N124" s="666"/>
      <c r="O124" s="666"/>
      <c r="P124" s="666"/>
      <c r="Q124" s="666"/>
      <c r="R124" s="666"/>
      <c r="S124" s="666"/>
      <c r="T124" s="666"/>
    </row>
    <row r="125" spans="1:20">
      <c r="A125" s="382" t="s">
        <v>953</v>
      </c>
      <c r="B125" s="728"/>
      <c r="C125" s="728" t="s">
        <v>17</v>
      </c>
      <c r="D125" s="728" t="s">
        <v>955</v>
      </c>
      <c r="H125" s="666">
        <v>0</v>
      </c>
      <c r="I125" s="666">
        <v>0</v>
      </c>
      <c r="J125" s="666">
        <v>0</v>
      </c>
      <c r="K125" s="666">
        <v>0</v>
      </c>
      <c r="L125" s="666">
        <v>0</v>
      </c>
      <c r="M125" s="666">
        <v>0</v>
      </c>
      <c r="N125" s="666">
        <v>0</v>
      </c>
      <c r="O125" s="666">
        <v>0</v>
      </c>
      <c r="P125" s="666">
        <v>0</v>
      </c>
      <c r="Q125" s="666">
        <v>0</v>
      </c>
      <c r="R125" s="666">
        <v>0</v>
      </c>
      <c r="S125" s="666">
        <v>0</v>
      </c>
      <c r="T125" s="666">
        <v>0</v>
      </c>
    </row>
    <row r="126" spans="1:20">
      <c r="A126" s="382" t="s">
        <v>953</v>
      </c>
      <c r="B126" s="728"/>
      <c r="C126" s="728"/>
      <c r="D126" s="728" t="s">
        <v>955</v>
      </c>
      <c r="H126" s="666"/>
      <c r="I126" s="666"/>
      <c r="J126" s="666"/>
      <c r="K126" s="666"/>
      <c r="L126" s="666"/>
      <c r="M126" s="666"/>
      <c r="N126" s="666"/>
      <c r="O126" s="666"/>
      <c r="P126" s="666"/>
      <c r="Q126" s="666"/>
      <c r="R126" s="666"/>
      <c r="S126" s="666"/>
      <c r="T126" s="666"/>
    </row>
    <row r="127" spans="1:20">
      <c r="A127" s="382" t="s">
        <v>953</v>
      </c>
      <c r="B127" s="728"/>
      <c r="C127" s="728" t="s">
        <v>18</v>
      </c>
      <c r="D127" s="728" t="s">
        <v>955</v>
      </c>
      <c r="H127" s="675">
        <v>0</v>
      </c>
      <c r="I127" s="675">
        <v>0</v>
      </c>
      <c r="J127" s="675">
        <v>0</v>
      </c>
      <c r="K127" s="675">
        <v>0</v>
      </c>
      <c r="L127" s="675">
        <v>0</v>
      </c>
      <c r="M127" s="675">
        <v>0</v>
      </c>
      <c r="N127" s="675">
        <v>0</v>
      </c>
      <c r="O127" s="675">
        <v>0</v>
      </c>
      <c r="P127" s="675">
        <v>0</v>
      </c>
      <c r="Q127" s="675">
        <v>0</v>
      </c>
      <c r="R127" s="675">
        <v>0</v>
      </c>
      <c r="S127" s="675">
        <v>0</v>
      </c>
      <c r="T127" s="675">
        <v>0</v>
      </c>
    </row>
    <row r="128" spans="1:20">
      <c r="A128" s="382" t="s">
        <v>953</v>
      </c>
      <c r="B128" s="728"/>
      <c r="C128" s="728" t="s">
        <v>19</v>
      </c>
      <c r="D128" s="728" t="s">
        <v>955</v>
      </c>
      <c r="H128" s="666">
        <v>553048</v>
      </c>
      <c r="I128" s="666">
        <v>517609</v>
      </c>
      <c r="J128" s="666">
        <v>553657</v>
      </c>
      <c r="K128" s="666">
        <v>537433</v>
      </c>
      <c r="L128" s="666">
        <v>547497</v>
      </c>
      <c r="M128" s="666">
        <v>422036</v>
      </c>
      <c r="N128" s="666">
        <v>352360</v>
      </c>
      <c r="O128" s="666">
        <v>344741</v>
      </c>
      <c r="P128" s="666">
        <v>237006</v>
      </c>
      <c r="Q128" s="666">
        <v>249536</v>
      </c>
      <c r="R128" s="666">
        <v>262202</v>
      </c>
      <c r="S128" s="666">
        <v>571712</v>
      </c>
      <c r="T128" s="666">
        <v>5148837</v>
      </c>
    </row>
    <row r="129" spans="1:20">
      <c r="A129" s="382" t="s">
        <v>953</v>
      </c>
      <c r="B129" s="728"/>
      <c r="C129" s="728" t="s">
        <v>947</v>
      </c>
      <c r="D129" s="728" t="s">
        <v>955</v>
      </c>
      <c r="H129" s="666">
        <v>9</v>
      </c>
      <c r="I129" s="666">
        <v>9</v>
      </c>
      <c r="J129" s="666">
        <v>9</v>
      </c>
      <c r="K129" s="666">
        <v>9</v>
      </c>
      <c r="L129" s="666">
        <v>9</v>
      </c>
      <c r="M129" s="666">
        <v>9</v>
      </c>
      <c r="N129" s="666">
        <v>9</v>
      </c>
      <c r="O129" s="666">
        <v>9</v>
      </c>
      <c r="P129" s="666">
        <v>9</v>
      </c>
      <c r="Q129" s="666">
        <v>9</v>
      </c>
      <c r="R129" s="666">
        <v>9</v>
      </c>
      <c r="S129" s="666">
        <v>9</v>
      </c>
      <c r="T129" s="666">
        <v>9</v>
      </c>
    </row>
    <row r="130" spans="1:20">
      <c r="A130" s="382" t="s">
        <v>953</v>
      </c>
      <c r="B130" s="728"/>
      <c r="C130" s="728" t="s">
        <v>20</v>
      </c>
      <c r="D130" s="728" t="s">
        <v>955</v>
      </c>
      <c r="H130" s="666">
        <v>3985054</v>
      </c>
      <c r="I130" s="666">
        <v>2667243</v>
      </c>
      <c r="J130" s="666">
        <v>2036586</v>
      </c>
      <c r="K130" s="666">
        <v>1870269</v>
      </c>
      <c r="L130" s="666">
        <v>1939901</v>
      </c>
      <c r="M130" s="666">
        <v>2590787</v>
      </c>
      <c r="N130" s="666">
        <v>3651835</v>
      </c>
      <c r="O130" s="666">
        <v>4104673</v>
      </c>
      <c r="P130" s="666">
        <v>2308404</v>
      </c>
      <c r="Q130" s="666">
        <v>1344386</v>
      </c>
      <c r="R130" s="666">
        <v>1570908</v>
      </c>
      <c r="S130" s="666">
        <v>3205459</v>
      </c>
      <c r="T130" s="666">
        <v>31275505</v>
      </c>
    </row>
    <row r="131" spans="1:20" ht="7.5" customHeight="1">
      <c r="A131" s="382" t="s">
        <v>953</v>
      </c>
      <c r="B131" s="728"/>
      <c r="C131" s="728"/>
      <c r="D131" s="728"/>
      <c r="H131" s="666"/>
      <c r="I131" s="666"/>
      <c r="J131" s="666"/>
      <c r="K131" s="666"/>
      <c r="L131" s="666"/>
      <c r="M131" s="666"/>
      <c r="N131" s="666"/>
      <c r="O131" s="666"/>
      <c r="P131" s="666"/>
      <c r="Q131" s="666"/>
      <c r="R131" s="666"/>
      <c r="S131" s="666"/>
      <c r="T131" s="666"/>
    </row>
    <row r="132" spans="1:20">
      <c r="A132" s="382" t="s">
        <v>953</v>
      </c>
      <c r="B132" s="728" t="s">
        <v>956</v>
      </c>
      <c r="C132" s="728" t="s">
        <v>16</v>
      </c>
      <c r="D132" s="728" t="s">
        <v>955</v>
      </c>
      <c r="H132" s="666">
        <v>0</v>
      </c>
      <c r="I132" s="666">
        <v>0</v>
      </c>
      <c r="J132" s="666">
        <v>0</v>
      </c>
      <c r="K132" s="666">
        <v>0</v>
      </c>
      <c r="L132" s="666">
        <v>0</v>
      </c>
      <c r="M132" s="666">
        <v>0</v>
      </c>
      <c r="N132" s="666">
        <v>0</v>
      </c>
      <c r="O132" s="666">
        <v>0</v>
      </c>
      <c r="P132" s="666">
        <v>0</v>
      </c>
      <c r="Q132" s="666">
        <v>0</v>
      </c>
      <c r="R132" s="666">
        <v>0</v>
      </c>
      <c r="S132" s="666">
        <v>0</v>
      </c>
      <c r="T132" s="666">
        <v>0</v>
      </c>
    </row>
    <row r="133" spans="1:20">
      <c r="A133" s="382" t="s">
        <v>953</v>
      </c>
      <c r="B133" s="728"/>
      <c r="C133" s="728"/>
      <c r="D133" s="728" t="s">
        <v>955</v>
      </c>
      <c r="H133" s="666">
        <v>0</v>
      </c>
      <c r="I133" s="666">
        <v>0</v>
      </c>
      <c r="J133" s="666">
        <v>0</v>
      </c>
      <c r="K133" s="666">
        <v>0</v>
      </c>
      <c r="L133" s="666">
        <v>0</v>
      </c>
      <c r="M133" s="666">
        <v>0</v>
      </c>
      <c r="N133" s="666">
        <v>0</v>
      </c>
      <c r="O133" s="666">
        <v>0</v>
      </c>
      <c r="P133" s="666">
        <v>0</v>
      </c>
      <c r="Q133" s="666">
        <v>0</v>
      </c>
      <c r="R133" s="666">
        <v>0</v>
      </c>
      <c r="S133" s="666">
        <v>0</v>
      </c>
      <c r="T133" s="666"/>
    </row>
    <row r="134" spans="1:20">
      <c r="A134" s="382" t="s">
        <v>953</v>
      </c>
      <c r="B134" s="728"/>
      <c r="C134" s="728" t="s">
        <v>17</v>
      </c>
      <c r="D134" s="728" t="s">
        <v>955</v>
      </c>
      <c r="H134" s="666">
        <v>0</v>
      </c>
      <c r="I134" s="666">
        <v>0</v>
      </c>
      <c r="J134" s="666">
        <v>0</v>
      </c>
      <c r="K134" s="666">
        <v>0</v>
      </c>
      <c r="L134" s="666">
        <v>0</v>
      </c>
      <c r="M134" s="666">
        <v>0</v>
      </c>
      <c r="N134" s="666">
        <v>0</v>
      </c>
      <c r="O134" s="666">
        <v>0</v>
      </c>
      <c r="P134" s="666">
        <v>0</v>
      </c>
      <c r="Q134" s="666">
        <v>0</v>
      </c>
      <c r="R134" s="666">
        <v>0</v>
      </c>
      <c r="S134" s="666">
        <v>0</v>
      </c>
      <c r="T134" s="666">
        <v>0</v>
      </c>
    </row>
    <row r="135" spans="1:20">
      <c r="A135" s="382" t="s">
        <v>953</v>
      </c>
      <c r="B135" s="728"/>
      <c r="C135" s="728"/>
      <c r="D135" s="728" t="s">
        <v>955</v>
      </c>
      <c r="H135" s="666">
        <v>0</v>
      </c>
      <c r="I135" s="666">
        <v>0</v>
      </c>
      <c r="J135" s="666">
        <v>0</v>
      </c>
      <c r="K135" s="666">
        <v>0</v>
      </c>
      <c r="L135" s="666">
        <v>0</v>
      </c>
      <c r="M135" s="666">
        <v>0</v>
      </c>
      <c r="N135" s="666">
        <v>0</v>
      </c>
      <c r="O135" s="666">
        <v>0</v>
      </c>
      <c r="P135" s="666">
        <v>0</v>
      </c>
      <c r="Q135" s="666">
        <v>0</v>
      </c>
      <c r="R135" s="666">
        <v>0</v>
      </c>
      <c r="S135" s="666">
        <v>0</v>
      </c>
      <c r="T135" s="666"/>
    </row>
    <row r="136" spans="1:20">
      <c r="A136" s="382" t="s">
        <v>953</v>
      </c>
      <c r="B136" s="728"/>
      <c r="C136" s="728" t="s">
        <v>18</v>
      </c>
      <c r="D136" s="728" t="s">
        <v>955</v>
      </c>
      <c r="H136" s="675">
        <v>0</v>
      </c>
      <c r="I136" s="675">
        <v>0</v>
      </c>
      <c r="J136" s="675">
        <v>0</v>
      </c>
      <c r="K136" s="675">
        <v>0</v>
      </c>
      <c r="L136" s="675">
        <v>0</v>
      </c>
      <c r="M136" s="675">
        <v>0</v>
      </c>
      <c r="N136" s="675">
        <v>0</v>
      </c>
      <c r="O136" s="675">
        <v>0</v>
      </c>
      <c r="P136" s="675">
        <v>0</v>
      </c>
      <c r="Q136" s="675">
        <v>0</v>
      </c>
      <c r="R136" s="675">
        <v>0</v>
      </c>
      <c r="S136" s="675">
        <v>0</v>
      </c>
      <c r="T136" s="675">
        <v>0</v>
      </c>
    </row>
    <row r="137" spans="1:20">
      <c r="A137" s="382" t="s">
        <v>953</v>
      </c>
      <c r="B137" s="728"/>
      <c r="C137" s="728" t="s">
        <v>19</v>
      </c>
      <c r="D137" s="728" t="s">
        <v>955</v>
      </c>
      <c r="H137" s="666">
        <v>0</v>
      </c>
      <c r="I137" s="666">
        <v>0</v>
      </c>
      <c r="J137" s="666">
        <v>0</v>
      </c>
      <c r="K137" s="666">
        <v>0</v>
      </c>
      <c r="L137" s="666">
        <v>0</v>
      </c>
      <c r="M137" s="666">
        <v>0</v>
      </c>
      <c r="N137" s="666">
        <v>0</v>
      </c>
      <c r="O137" s="666">
        <v>0</v>
      </c>
      <c r="P137" s="666">
        <v>0</v>
      </c>
      <c r="Q137" s="666">
        <v>0</v>
      </c>
      <c r="R137" s="666">
        <v>0</v>
      </c>
      <c r="S137" s="666">
        <v>0</v>
      </c>
      <c r="T137" s="666">
        <v>0</v>
      </c>
    </row>
    <row r="138" spans="1:20">
      <c r="A138" s="382" t="s">
        <v>953</v>
      </c>
      <c r="B138" s="728"/>
      <c r="C138" s="728" t="s">
        <v>947</v>
      </c>
      <c r="D138" s="728" t="s">
        <v>955</v>
      </c>
      <c r="H138" s="666">
        <v>0</v>
      </c>
      <c r="I138" s="666">
        <v>0</v>
      </c>
      <c r="J138" s="666">
        <v>0</v>
      </c>
      <c r="K138" s="666">
        <v>0</v>
      </c>
      <c r="L138" s="666">
        <v>0</v>
      </c>
      <c r="M138" s="666">
        <v>0</v>
      </c>
      <c r="N138" s="666">
        <v>0</v>
      </c>
      <c r="O138" s="666">
        <v>0</v>
      </c>
      <c r="P138" s="666">
        <v>0</v>
      </c>
      <c r="Q138" s="666">
        <v>0</v>
      </c>
      <c r="R138" s="666">
        <v>0</v>
      </c>
      <c r="S138" s="666">
        <v>0</v>
      </c>
      <c r="T138" s="666">
        <v>0</v>
      </c>
    </row>
    <row r="139" spans="1:20">
      <c r="A139" s="382" t="s">
        <v>953</v>
      </c>
      <c r="B139" s="728"/>
      <c r="C139" s="728" t="s">
        <v>20</v>
      </c>
      <c r="D139" s="728" t="s">
        <v>955</v>
      </c>
      <c r="H139" s="666">
        <v>0</v>
      </c>
      <c r="I139" s="666">
        <v>0</v>
      </c>
      <c r="J139" s="666">
        <v>0</v>
      </c>
      <c r="K139" s="666">
        <v>0</v>
      </c>
      <c r="L139" s="666">
        <v>0</v>
      </c>
      <c r="M139" s="666">
        <v>0</v>
      </c>
      <c r="N139" s="666">
        <v>0</v>
      </c>
      <c r="O139" s="666">
        <v>0</v>
      </c>
      <c r="P139" s="666">
        <v>0</v>
      </c>
      <c r="Q139" s="666">
        <v>0</v>
      </c>
      <c r="R139" s="666">
        <v>0</v>
      </c>
      <c r="S139" s="666">
        <v>0</v>
      </c>
      <c r="T139" s="666">
        <v>0</v>
      </c>
    </row>
    <row r="140" spans="1:20">
      <c r="A140" s="382" t="s">
        <v>953</v>
      </c>
      <c r="B140" s="728"/>
      <c r="C140" s="728"/>
      <c r="D140" s="728"/>
      <c r="H140" s="666"/>
      <c r="I140" s="666"/>
      <c r="J140" s="666"/>
      <c r="K140" s="666"/>
      <c r="L140" s="666"/>
      <c r="M140" s="666"/>
      <c r="N140" s="666"/>
      <c r="O140" s="666"/>
      <c r="P140" s="666"/>
      <c r="Q140" s="666"/>
      <c r="R140" s="666"/>
      <c r="S140" s="666"/>
      <c r="T140" s="666"/>
    </row>
    <row r="141" spans="1:20">
      <c r="A141" s="382" t="s">
        <v>953</v>
      </c>
      <c r="B141" s="728" t="s">
        <v>692</v>
      </c>
      <c r="C141" s="728" t="s">
        <v>16</v>
      </c>
      <c r="D141" s="728" t="s">
        <v>955</v>
      </c>
      <c r="H141" s="666">
        <v>4417</v>
      </c>
      <c r="I141" s="666">
        <v>6577</v>
      </c>
      <c r="J141" s="666">
        <v>1951</v>
      </c>
      <c r="K141" s="666">
        <v>1360</v>
      </c>
      <c r="L141" s="666">
        <v>953</v>
      </c>
      <c r="M141" s="666">
        <v>1468</v>
      </c>
      <c r="N141" s="666">
        <v>632</v>
      </c>
      <c r="O141" s="666">
        <v>652</v>
      </c>
      <c r="P141" s="666">
        <v>689</v>
      </c>
      <c r="Q141" s="666">
        <v>988</v>
      </c>
      <c r="R141" s="666">
        <v>1504</v>
      </c>
      <c r="S141" s="666">
        <v>3023</v>
      </c>
      <c r="T141" s="666">
        <v>24214</v>
      </c>
    </row>
    <row r="142" spans="1:20">
      <c r="A142" s="382" t="s">
        <v>953</v>
      </c>
      <c r="B142" s="728"/>
      <c r="C142" s="728"/>
      <c r="D142" s="728" t="s">
        <v>955</v>
      </c>
      <c r="H142" s="666"/>
      <c r="I142" s="666"/>
      <c r="J142" s="666"/>
      <c r="K142" s="666"/>
      <c r="L142" s="666"/>
      <c r="M142" s="666"/>
      <c r="N142" s="666"/>
      <c r="O142" s="666"/>
      <c r="P142" s="666"/>
      <c r="Q142" s="666"/>
      <c r="R142" s="666"/>
      <c r="S142" s="666"/>
      <c r="T142" s="666"/>
    </row>
    <row r="143" spans="1:20">
      <c r="A143" s="382" t="s">
        <v>953</v>
      </c>
      <c r="B143" s="728"/>
      <c r="C143" s="728" t="s">
        <v>17</v>
      </c>
      <c r="D143" s="728" t="s">
        <v>955</v>
      </c>
      <c r="H143" s="666">
        <v>388</v>
      </c>
      <c r="I143" s="666">
        <v>450</v>
      </c>
      <c r="J143" s="666">
        <v>281</v>
      </c>
      <c r="K143" s="666">
        <v>245</v>
      </c>
      <c r="L143" s="666">
        <v>183</v>
      </c>
      <c r="M143" s="666">
        <v>123</v>
      </c>
      <c r="N143" s="666">
        <v>65</v>
      </c>
      <c r="O143" s="666">
        <v>49</v>
      </c>
      <c r="P143" s="666">
        <v>51</v>
      </c>
      <c r="Q143" s="666">
        <v>53</v>
      </c>
      <c r="R143" s="666">
        <v>74</v>
      </c>
      <c r="S143" s="666">
        <v>128</v>
      </c>
      <c r="T143" s="666">
        <v>2090</v>
      </c>
    </row>
    <row r="144" spans="1:20">
      <c r="A144" s="382" t="s">
        <v>953</v>
      </c>
      <c r="B144" s="728"/>
      <c r="C144" s="728"/>
      <c r="D144" s="728" t="s">
        <v>955</v>
      </c>
      <c r="H144" s="666"/>
      <c r="I144" s="666"/>
      <c r="J144" s="666"/>
      <c r="K144" s="666"/>
      <c r="L144" s="666"/>
      <c r="M144" s="666"/>
      <c r="N144" s="666"/>
      <c r="O144" s="666"/>
      <c r="P144" s="666"/>
      <c r="Q144" s="666"/>
      <c r="R144" s="666"/>
      <c r="S144" s="666"/>
      <c r="T144" s="666"/>
    </row>
    <row r="145" spans="1:20">
      <c r="A145" s="382" t="s">
        <v>953</v>
      </c>
      <c r="B145" s="728"/>
      <c r="C145" s="728" t="s">
        <v>18</v>
      </c>
      <c r="D145" s="728" t="s">
        <v>955</v>
      </c>
      <c r="H145" s="675">
        <v>0</v>
      </c>
      <c r="I145" s="675">
        <v>0</v>
      </c>
      <c r="J145" s="675">
        <v>0</v>
      </c>
      <c r="K145" s="675">
        <v>0</v>
      </c>
      <c r="L145" s="675">
        <v>0</v>
      </c>
      <c r="M145" s="675">
        <v>0</v>
      </c>
      <c r="N145" s="675">
        <v>0</v>
      </c>
      <c r="O145" s="675">
        <v>0</v>
      </c>
      <c r="P145" s="675">
        <v>0</v>
      </c>
      <c r="Q145" s="675">
        <v>0</v>
      </c>
      <c r="R145" s="675">
        <v>0</v>
      </c>
      <c r="S145" s="675">
        <v>0</v>
      </c>
      <c r="T145" s="675">
        <v>0</v>
      </c>
    </row>
    <row r="146" spans="1:20">
      <c r="A146" s="382" t="s">
        <v>953</v>
      </c>
      <c r="B146" s="728"/>
      <c r="C146" s="728" t="s">
        <v>19</v>
      </c>
      <c r="D146" s="728" t="s">
        <v>955</v>
      </c>
      <c r="H146" s="666">
        <v>4805</v>
      </c>
      <c r="I146" s="666">
        <v>7027</v>
      </c>
      <c r="J146" s="666">
        <v>2232</v>
      </c>
      <c r="K146" s="666">
        <v>1605</v>
      </c>
      <c r="L146" s="666">
        <v>1136</v>
      </c>
      <c r="M146" s="666">
        <v>1591</v>
      </c>
      <c r="N146" s="666">
        <v>697</v>
      </c>
      <c r="O146" s="666">
        <v>701</v>
      </c>
      <c r="P146" s="666">
        <v>740</v>
      </c>
      <c r="Q146" s="666">
        <v>1041</v>
      </c>
      <c r="R146" s="666">
        <v>1578</v>
      </c>
      <c r="S146" s="666">
        <v>3151</v>
      </c>
      <c r="T146" s="666">
        <v>26304</v>
      </c>
    </row>
    <row r="147" spans="1:20">
      <c r="A147" s="382" t="s">
        <v>953</v>
      </c>
      <c r="B147" s="728"/>
      <c r="C147" s="728" t="s">
        <v>947</v>
      </c>
      <c r="D147" s="728" t="s">
        <v>955</v>
      </c>
      <c r="H147" s="666">
        <v>1</v>
      </c>
      <c r="I147" s="666">
        <v>1</v>
      </c>
      <c r="J147" s="666">
        <v>1</v>
      </c>
      <c r="K147" s="666">
        <v>1</v>
      </c>
      <c r="L147" s="666">
        <v>1</v>
      </c>
      <c r="M147" s="666">
        <v>1</v>
      </c>
      <c r="N147" s="666">
        <v>1</v>
      </c>
      <c r="O147" s="666">
        <v>1</v>
      </c>
      <c r="P147" s="666">
        <v>1</v>
      </c>
      <c r="Q147" s="666">
        <v>1</v>
      </c>
      <c r="R147" s="666">
        <v>1</v>
      </c>
      <c r="S147" s="666">
        <v>1</v>
      </c>
      <c r="T147" s="666">
        <v>1</v>
      </c>
    </row>
    <row r="148" spans="1:20">
      <c r="A148" s="382" t="s">
        <v>953</v>
      </c>
      <c r="B148" s="728"/>
      <c r="C148" s="728" t="s">
        <v>20</v>
      </c>
      <c r="D148" s="728" t="s">
        <v>955</v>
      </c>
      <c r="H148" s="666">
        <v>5668</v>
      </c>
      <c r="I148" s="666">
        <v>3489</v>
      </c>
      <c r="J148" s="666">
        <v>2210</v>
      </c>
      <c r="K148" s="666">
        <v>1382</v>
      </c>
      <c r="L148" s="666">
        <v>811</v>
      </c>
      <c r="M148" s="666">
        <v>487</v>
      </c>
      <c r="N148" s="666">
        <v>360</v>
      </c>
      <c r="O148" s="666">
        <v>388</v>
      </c>
      <c r="P148" s="666">
        <v>441</v>
      </c>
      <c r="Q148" s="666">
        <v>828</v>
      </c>
      <c r="R148" s="666">
        <v>1524</v>
      </c>
      <c r="S148" s="666">
        <v>3577</v>
      </c>
      <c r="T148" s="666">
        <v>21165</v>
      </c>
    </row>
    <row r="149" spans="1:20">
      <c r="A149" s="382" t="s">
        <v>953</v>
      </c>
      <c r="B149" s="728"/>
      <c r="C149" s="728"/>
      <c r="D149" s="728"/>
      <c r="H149" s="666"/>
      <c r="I149" s="666"/>
      <c r="J149" s="666"/>
      <c r="K149" s="666"/>
      <c r="L149" s="666"/>
      <c r="M149" s="666"/>
      <c r="N149" s="666"/>
      <c r="O149" s="666"/>
      <c r="P149" s="666"/>
      <c r="Q149" s="666"/>
      <c r="R149" s="666"/>
      <c r="S149" s="666"/>
      <c r="T149" s="666"/>
    </row>
    <row r="150" spans="1:20">
      <c r="A150" s="382" t="s">
        <v>953</v>
      </c>
      <c r="B150" s="729" t="s">
        <v>957</v>
      </c>
      <c r="C150" s="728" t="s">
        <v>16</v>
      </c>
      <c r="D150" s="728" t="s">
        <v>955</v>
      </c>
      <c r="H150" s="666">
        <v>0</v>
      </c>
      <c r="I150" s="666">
        <v>0</v>
      </c>
      <c r="J150" s="666">
        <v>0</v>
      </c>
      <c r="K150" s="666">
        <v>0</v>
      </c>
      <c r="L150" s="666">
        <v>0</v>
      </c>
      <c r="M150" s="666">
        <v>0</v>
      </c>
      <c r="N150" s="666">
        <v>0</v>
      </c>
      <c r="O150" s="666">
        <v>0</v>
      </c>
      <c r="P150" s="666">
        <v>0</v>
      </c>
      <c r="Q150" s="666">
        <v>0</v>
      </c>
      <c r="R150" s="666">
        <v>0</v>
      </c>
      <c r="S150" s="666">
        <v>0</v>
      </c>
      <c r="T150" s="666">
        <v>0</v>
      </c>
    </row>
    <row r="151" spans="1:20">
      <c r="A151" s="382" t="s">
        <v>953</v>
      </c>
      <c r="B151" s="728"/>
      <c r="C151" s="728"/>
      <c r="D151" s="728" t="s">
        <v>955</v>
      </c>
      <c r="H151" s="666">
        <v>0</v>
      </c>
      <c r="I151" s="666">
        <v>0</v>
      </c>
      <c r="J151" s="666">
        <v>0</v>
      </c>
      <c r="K151" s="666">
        <v>0</v>
      </c>
      <c r="L151" s="666">
        <v>0</v>
      </c>
      <c r="M151" s="666">
        <v>0</v>
      </c>
      <c r="N151" s="666">
        <v>0</v>
      </c>
      <c r="O151" s="666">
        <v>0</v>
      </c>
      <c r="P151" s="666">
        <v>0</v>
      </c>
      <c r="Q151" s="666">
        <v>0</v>
      </c>
      <c r="R151" s="666">
        <v>0</v>
      </c>
      <c r="S151" s="666">
        <v>0</v>
      </c>
      <c r="T151" s="666"/>
    </row>
    <row r="152" spans="1:20">
      <c r="A152" s="382" t="s">
        <v>953</v>
      </c>
      <c r="B152" s="728"/>
      <c r="C152" s="728" t="s">
        <v>17</v>
      </c>
      <c r="D152" s="728" t="s">
        <v>955</v>
      </c>
      <c r="H152" s="666">
        <v>0</v>
      </c>
      <c r="I152" s="666">
        <v>0</v>
      </c>
      <c r="J152" s="666">
        <v>0</v>
      </c>
      <c r="K152" s="666">
        <v>0</v>
      </c>
      <c r="L152" s="666">
        <v>0</v>
      </c>
      <c r="M152" s="666">
        <v>0</v>
      </c>
      <c r="N152" s="666">
        <v>0</v>
      </c>
      <c r="O152" s="666">
        <v>0</v>
      </c>
      <c r="P152" s="666">
        <v>0</v>
      </c>
      <c r="Q152" s="666">
        <v>0</v>
      </c>
      <c r="R152" s="666">
        <v>0</v>
      </c>
      <c r="S152" s="666">
        <v>0</v>
      </c>
      <c r="T152" s="666">
        <v>0</v>
      </c>
    </row>
    <row r="153" spans="1:20">
      <c r="A153" s="382" t="s">
        <v>953</v>
      </c>
      <c r="B153" s="728"/>
      <c r="C153" s="728"/>
      <c r="D153" s="728" t="s">
        <v>955</v>
      </c>
      <c r="H153" s="666">
        <v>0</v>
      </c>
      <c r="I153" s="666">
        <v>0</v>
      </c>
      <c r="J153" s="666">
        <v>0</v>
      </c>
      <c r="K153" s="666">
        <v>0</v>
      </c>
      <c r="L153" s="666">
        <v>0</v>
      </c>
      <c r="M153" s="666">
        <v>0</v>
      </c>
      <c r="N153" s="666">
        <v>0</v>
      </c>
      <c r="O153" s="666">
        <v>0</v>
      </c>
      <c r="P153" s="666">
        <v>0</v>
      </c>
      <c r="Q153" s="666">
        <v>0</v>
      </c>
      <c r="R153" s="666">
        <v>0</v>
      </c>
      <c r="S153" s="666">
        <v>0</v>
      </c>
      <c r="T153" s="666"/>
    </row>
    <row r="154" spans="1:20">
      <c r="A154" s="382" t="s">
        <v>953</v>
      </c>
      <c r="B154" s="728"/>
      <c r="C154" s="728" t="s">
        <v>18</v>
      </c>
      <c r="D154" s="728" t="s">
        <v>955</v>
      </c>
      <c r="H154" s="675">
        <v>0</v>
      </c>
      <c r="I154" s="675">
        <v>0</v>
      </c>
      <c r="J154" s="675">
        <v>0</v>
      </c>
      <c r="K154" s="675">
        <v>0</v>
      </c>
      <c r="L154" s="675">
        <v>0</v>
      </c>
      <c r="M154" s="675">
        <v>0</v>
      </c>
      <c r="N154" s="675">
        <v>0</v>
      </c>
      <c r="O154" s="675">
        <v>0</v>
      </c>
      <c r="P154" s="675">
        <v>0</v>
      </c>
      <c r="Q154" s="675">
        <v>0</v>
      </c>
      <c r="R154" s="675">
        <v>0</v>
      </c>
      <c r="S154" s="675">
        <v>0</v>
      </c>
      <c r="T154" s="675">
        <v>0</v>
      </c>
    </row>
    <row r="155" spans="1:20">
      <c r="A155" s="382" t="s">
        <v>953</v>
      </c>
      <c r="B155" s="728"/>
      <c r="C155" s="728" t="s">
        <v>19</v>
      </c>
      <c r="D155" s="728" t="s">
        <v>955</v>
      </c>
      <c r="H155" s="666">
        <v>0</v>
      </c>
      <c r="I155" s="666">
        <v>0</v>
      </c>
      <c r="J155" s="666">
        <v>0</v>
      </c>
      <c r="K155" s="666">
        <v>0</v>
      </c>
      <c r="L155" s="666">
        <v>0</v>
      </c>
      <c r="M155" s="666">
        <v>0</v>
      </c>
      <c r="N155" s="666">
        <v>0</v>
      </c>
      <c r="O155" s="666">
        <v>0</v>
      </c>
      <c r="P155" s="666">
        <v>0</v>
      </c>
      <c r="Q155" s="666">
        <v>0</v>
      </c>
      <c r="R155" s="666">
        <v>0</v>
      </c>
      <c r="S155" s="666">
        <v>0</v>
      </c>
      <c r="T155" s="666">
        <v>0</v>
      </c>
    </row>
    <row r="156" spans="1:20">
      <c r="A156" s="382" t="s">
        <v>953</v>
      </c>
      <c r="B156" s="728"/>
      <c r="C156" s="728" t="s">
        <v>947</v>
      </c>
      <c r="D156" s="728" t="s">
        <v>955</v>
      </c>
      <c r="H156" s="666">
        <v>0</v>
      </c>
      <c r="I156" s="666">
        <v>0</v>
      </c>
      <c r="J156" s="666">
        <v>0</v>
      </c>
      <c r="K156" s="666">
        <v>0</v>
      </c>
      <c r="L156" s="666">
        <v>0</v>
      </c>
      <c r="M156" s="666">
        <v>0</v>
      </c>
      <c r="N156" s="666">
        <v>0</v>
      </c>
      <c r="O156" s="666">
        <v>0</v>
      </c>
      <c r="P156" s="666">
        <v>0</v>
      </c>
      <c r="Q156" s="666">
        <v>0</v>
      </c>
      <c r="R156" s="666">
        <v>0</v>
      </c>
      <c r="S156" s="666">
        <v>0</v>
      </c>
      <c r="T156" s="666">
        <v>0</v>
      </c>
    </row>
    <row r="157" spans="1:20">
      <c r="A157" s="382" t="s">
        <v>953</v>
      </c>
      <c r="B157" s="728"/>
      <c r="C157" s="728" t="s">
        <v>20</v>
      </c>
      <c r="D157" s="728" t="s">
        <v>955</v>
      </c>
      <c r="H157" s="666">
        <v>0</v>
      </c>
      <c r="I157" s="666">
        <v>0</v>
      </c>
      <c r="J157" s="666">
        <v>0</v>
      </c>
      <c r="K157" s="666">
        <v>0</v>
      </c>
      <c r="L157" s="666">
        <v>0</v>
      </c>
      <c r="M157" s="666">
        <v>0</v>
      </c>
      <c r="N157" s="666">
        <v>0</v>
      </c>
      <c r="O157" s="666">
        <v>0</v>
      </c>
      <c r="P157" s="666">
        <v>0</v>
      </c>
      <c r="Q157" s="666">
        <v>0</v>
      </c>
      <c r="R157" s="666">
        <v>0</v>
      </c>
      <c r="S157" s="666">
        <v>0</v>
      </c>
      <c r="T157" s="666">
        <v>0</v>
      </c>
    </row>
    <row r="158" spans="1:20">
      <c r="A158" s="382" t="s">
        <v>953</v>
      </c>
      <c r="B158" s="332"/>
      <c r="C158" s="332"/>
      <c r="D158" s="332"/>
      <c r="H158" s="666"/>
      <c r="I158" s="666"/>
      <c r="J158" s="666"/>
      <c r="K158" s="666"/>
      <c r="L158" s="666"/>
      <c r="M158" s="666"/>
      <c r="N158" s="666"/>
      <c r="O158" s="666"/>
      <c r="P158" s="666"/>
      <c r="Q158" s="666"/>
      <c r="R158" s="666"/>
      <c r="S158" s="666"/>
      <c r="T158" s="666"/>
    </row>
    <row r="159" spans="1:20">
      <c r="A159" s="382" t="s">
        <v>953</v>
      </c>
      <c r="B159" s="728" t="s">
        <v>958</v>
      </c>
      <c r="C159" s="728" t="s">
        <v>16</v>
      </c>
      <c r="D159" s="728" t="s">
        <v>955</v>
      </c>
      <c r="H159" s="666">
        <v>1829062</v>
      </c>
      <c r="I159" s="666">
        <v>1656880</v>
      </c>
      <c r="J159" s="666">
        <v>1593054</v>
      </c>
      <c r="K159" s="666">
        <v>1550898</v>
      </c>
      <c r="L159" s="666">
        <v>1474547</v>
      </c>
      <c r="M159" s="666">
        <v>1480524</v>
      </c>
      <c r="N159" s="666">
        <v>1833424</v>
      </c>
      <c r="O159" s="666">
        <v>1573507</v>
      </c>
      <c r="P159" s="666">
        <v>1591400</v>
      </c>
      <c r="Q159" s="666">
        <v>1744931</v>
      </c>
      <c r="R159" s="666">
        <v>1830506</v>
      </c>
      <c r="S159" s="666">
        <v>2029380</v>
      </c>
      <c r="T159" s="666">
        <v>20188113</v>
      </c>
    </row>
    <row r="160" spans="1:20">
      <c r="A160" s="382" t="s">
        <v>953</v>
      </c>
      <c r="B160" s="728"/>
      <c r="C160" s="728"/>
      <c r="D160" s="728" t="s">
        <v>955</v>
      </c>
      <c r="H160" s="666"/>
      <c r="I160" s="666"/>
      <c r="J160" s="666"/>
      <c r="K160" s="666"/>
      <c r="L160" s="666"/>
      <c r="M160" s="666"/>
      <c r="N160" s="666"/>
      <c r="O160" s="666"/>
      <c r="P160" s="666"/>
      <c r="Q160" s="666"/>
      <c r="R160" s="666"/>
      <c r="S160" s="666"/>
      <c r="T160" s="666"/>
    </row>
    <row r="161" spans="1:21">
      <c r="A161" s="382" t="s">
        <v>953</v>
      </c>
      <c r="B161" s="728"/>
      <c r="C161" s="728" t="s">
        <v>17</v>
      </c>
      <c r="D161" s="728" t="s">
        <v>955</v>
      </c>
      <c r="H161" s="666">
        <v>53069</v>
      </c>
      <c r="I161" s="666">
        <v>39955</v>
      </c>
      <c r="J161" s="666">
        <v>40401</v>
      </c>
      <c r="K161" s="666">
        <v>52391</v>
      </c>
      <c r="L161" s="666">
        <v>43035</v>
      </c>
      <c r="M161" s="666">
        <v>47258</v>
      </c>
      <c r="N161" s="666">
        <v>43746</v>
      </c>
      <c r="O161" s="666">
        <v>56663</v>
      </c>
      <c r="P161" s="666">
        <v>45150</v>
      </c>
      <c r="Q161" s="666">
        <v>47050</v>
      </c>
      <c r="R161" s="666">
        <v>45557</v>
      </c>
      <c r="S161" s="666">
        <v>54613</v>
      </c>
      <c r="T161" s="666">
        <v>568888</v>
      </c>
    </row>
    <row r="162" spans="1:21">
      <c r="A162" s="382" t="s">
        <v>953</v>
      </c>
      <c r="B162" s="728"/>
      <c r="C162" s="728"/>
      <c r="D162" s="728" t="s">
        <v>955</v>
      </c>
      <c r="H162" s="666"/>
      <c r="I162" s="666"/>
      <c r="J162" s="666"/>
      <c r="K162" s="666"/>
      <c r="L162" s="666"/>
      <c r="M162" s="666"/>
      <c r="N162" s="666"/>
      <c r="O162" s="666"/>
      <c r="P162" s="666"/>
      <c r="Q162" s="666"/>
      <c r="R162" s="666"/>
      <c r="S162" s="666"/>
      <c r="T162" s="666"/>
    </row>
    <row r="163" spans="1:21">
      <c r="A163" s="382" t="s">
        <v>953</v>
      </c>
      <c r="B163" s="728"/>
      <c r="C163" s="728" t="s">
        <v>18</v>
      </c>
      <c r="D163" s="728" t="s">
        <v>955</v>
      </c>
      <c r="H163" s="675">
        <v>0</v>
      </c>
      <c r="I163" s="675">
        <v>2275</v>
      </c>
      <c r="J163" s="675">
        <v>0</v>
      </c>
      <c r="K163" s="675">
        <v>94241</v>
      </c>
      <c r="L163" s="675">
        <v>32641</v>
      </c>
      <c r="M163" s="675">
        <v>0</v>
      </c>
      <c r="N163" s="675">
        <v>-153</v>
      </c>
      <c r="O163" s="675">
        <v>-32641</v>
      </c>
      <c r="P163" s="675">
        <v>0</v>
      </c>
      <c r="Q163" s="675">
        <v>0</v>
      </c>
      <c r="R163" s="675">
        <v>0</v>
      </c>
      <c r="S163" s="675">
        <v>0</v>
      </c>
      <c r="T163" s="675">
        <v>96363</v>
      </c>
    </row>
    <row r="164" spans="1:21">
      <c r="A164" s="382" t="s">
        <v>953</v>
      </c>
      <c r="B164" s="728"/>
      <c r="C164" s="728" t="s">
        <v>19</v>
      </c>
      <c r="D164" s="728" t="s">
        <v>955</v>
      </c>
      <c r="H164" s="666">
        <v>1882131</v>
      </c>
      <c r="I164" s="666">
        <v>1699110</v>
      </c>
      <c r="J164" s="666">
        <v>1633455</v>
      </c>
      <c r="K164" s="666">
        <v>1697530</v>
      </c>
      <c r="L164" s="666">
        <v>1550223</v>
      </c>
      <c r="M164" s="666">
        <v>1527782</v>
      </c>
      <c r="N164" s="666">
        <v>1877017</v>
      </c>
      <c r="O164" s="666">
        <v>1597529</v>
      </c>
      <c r="P164" s="666">
        <v>1636550</v>
      </c>
      <c r="Q164" s="666">
        <v>1791981</v>
      </c>
      <c r="R164" s="666">
        <v>1876063</v>
      </c>
      <c r="S164" s="666">
        <v>2083993</v>
      </c>
      <c r="T164" s="666">
        <v>20853364</v>
      </c>
    </row>
    <row r="165" spans="1:21">
      <c r="A165" s="382" t="s">
        <v>953</v>
      </c>
      <c r="B165" s="728"/>
      <c r="C165" s="728" t="s">
        <v>947</v>
      </c>
      <c r="D165" s="728" t="s">
        <v>955</v>
      </c>
      <c r="H165" s="666">
        <v>564</v>
      </c>
      <c r="I165" s="666">
        <v>562</v>
      </c>
      <c r="J165" s="666">
        <v>562</v>
      </c>
      <c r="K165" s="666">
        <v>562</v>
      </c>
      <c r="L165" s="666">
        <v>562</v>
      </c>
      <c r="M165" s="666">
        <v>563</v>
      </c>
      <c r="N165" s="666">
        <v>562</v>
      </c>
      <c r="O165" s="666">
        <v>693</v>
      </c>
      <c r="P165" s="666">
        <v>693</v>
      </c>
      <c r="Q165" s="666">
        <v>694</v>
      </c>
      <c r="R165" s="666">
        <v>700</v>
      </c>
      <c r="S165" s="666">
        <v>700</v>
      </c>
      <c r="T165" s="666">
        <v>618.08333333333337</v>
      </c>
    </row>
    <row r="166" spans="1:21">
      <c r="A166" s="382" t="s">
        <v>953</v>
      </c>
      <c r="B166" s="728"/>
      <c r="C166" s="728" t="s">
        <v>20</v>
      </c>
      <c r="D166" s="728" t="s">
        <v>955</v>
      </c>
      <c r="H166" s="666">
        <v>4645783</v>
      </c>
      <c r="I166" s="666">
        <v>3804451</v>
      </c>
      <c r="J166" s="666">
        <v>3777764</v>
      </c>
      <c r="K166" s="666">
        <v>3545637</v>
      </c>
      <c r="L166" s="666">
        <v>3241296</v>
      </c>
      <c r="M166" s="666">
        <v>3353380</v>
      </c>
      <c r="N166" s="666">
        <v>3223787</v>
      </c>
      <c r="O166" s="666">
        <v>3301535</v>
      </c>
      <c r="P166" s="666">
        <v>3182229</v>
      </c>
      <c r="Q166" s="666">
        <v>3652303</v>
      </c>
      <c r="R166" s="666">
        <v>4244893</v>
      </c>
      <c r="S166" s="666">
        <v>4810595</v>
      </c>
      <c r="T166" s="666">
        <v>44783653</v>
      </c>
    </row>
    <row r="167" spans="1:21">
      <c r="A167" s="382" t="s">
        <v>953</v>
      </c>
      <c r="B167" s="728"/>
      <c r="C167" s="728"/>
      <c r="D167" s="728"/>
      <c r="H167" s="666"/>
      <c r="I167" s="666"/>
      <c r="J167" s="666"/>
      <c r="K167" s="666"/>
      <c r="L167" s="666"/>
      <c r="M167" s="666"/>
      <c r="N167" s="666"/>
      <c r="O167" s="666"/>
      <c r="P167" s="666"/>
      <c r="Q167" s="666"/>
      <c r="R167" s="666"/>
      <c r="S167" s="666"/>
      <c r="T167" s="666"/>
    </row>
    <row r="168" spans="1:21">
      <c r="A168" s="382" t="s">
        <v>953</v>
      </c>
      <c r="B168" s="728" t="s">
        <v>959</v>
      </c>
      <c r="C168" s="728" t="s">
        <v>16</v>
      </c>
      <c r="D168" s="728" t="s">
        <v>955</v>
      </c>
      <c r="H168" s="666">
        <v>0</v>
      </c>
      <c r="I168" s="666">
        <v>0</v>
      </c>
      <c r="J168" s="666">
        <v>0</v>
      </c>
      <c r="K168" s="666">
        <v>0</v>
      </c>
      <c r="L168" s="666">
        <v>0</v>
      </c>
      <c r="M168" s="666">
        <v>0</v>
      </c>
      <c r="N168" s="666">
        <v>0</v>
      </c>
      <c r="O168" s="666">
        <v>0</v>
      </c>
      <c r="P168" s="666">
        <v>0</v>
      </c>
      <c r="Q168" s="666">
        <v>0</v>
      </c>
      <c r="R168" s="666">
        <v>0</v>
      </c>
      <c r="S168" s="666">
        <v>0</v>
      </c>
      <c r="T168" s="666">
        <v>0</v>
      </c>
    </row>
    <row r="169" spans="1:21">
      <c r="A169" s="382" t="s">
        <v>953</v>
      </c>
      <c r="B169" s="728"/>
      <c r="C169" s="728"/>
      <c r="D169" s="728" t="s">
        <v>955</v>
      </c>
      <c r="H169" s="666">
        <v>0</v>
      </c>
      <c r="I169" s="666">
        <v>0</v>
      </c>
      <c r="J169" s="666">
        <v>0</v>
      </c>
      <c r="K169" s="666">
        <v>0</v>
      </c>
      <c r="L169" s="666">
        <v>0</v>
      </c>
      <c r="M169" s="666">
        <v>0</v>
      </c>
      <c r="N169" s="666">
        <v>0</v>
      </c>
      <c r="O169" s="666">
        <v>0</v>
      </c>
      <c r="P169" s="666">
        <v>0</v>
      </c>
      <c r="Q169" s="666">
        <v>0</v>
      </c>
      <c r="R169" s="666">
        <v>0</v>
      </c>
      <c r="S169" s="666">
        <v>0</v>
      </c>
      <c r="T169" s="666"/>
      <c r="U169" s="95"/>
    </row>
    <row r="170" spans="1:21">
      <c r="A170" s="382" t="s">
        <v>953</v>
      </c>
      <c r="B170" s="728"/>
      <c r="C170" s="728" t="s">
        <v>17</v>
      </c>
      <c r="D170" s="728" t="s">
        <v>955</v>
      </c>
      <c r="H170" s="666">
        <v>0</v>
      </c>
      <c r="I170" s="666">
        <v>0</v>
      </c>
      <c r="J170" s="666">
        <v>0</v>
      </c>
      <c r="K170" s="666">
        <v>0</v>
      </c>
      <c r="L170" s="666">
        <v>0</v>
      </c>
      <c r="M170" s="666">
        <v>0</v>
      </c>
      <c r="N170" s="666">
        <v>0</v>
      </c>
      <c r="O170" s="666">
        <v>0</v>
      </c>
      <c r="P170" s="666">
        <v>0</v>
      </c>
      <c r="Q170" s="666">
        <v>0</v>
      </c>
      <c r="R170" s="666">
        <v>0</v>
      </c>
      <c r="S170" s="666">
        <v>0</v>
      </c>
      <c r="T170" s="666">
        <v>0</v>
      </c>
    </row>
    <row r="171" spans="1:21">
      <c r="A171" s="382" t="s">
        <v>953</v>
      </c>
      <c r="B171" s="728"/>
      <c r="C171" s="728"/>
      <c r="D171" s="728" t="s">
        <v>955</v>
      </c>
      <c r="H171" s="666">
        <v>0</v>
      </c>
      <c r="I171" s="666">
        <v>0</v>
      </c>
      <c r="J171" s="666">
        <v>0</v>
      </c>
      <c r="K171" s="666">
        <v>0</v>
      </c>
      <c r="L171" s="666">
        <v>0</v>
      </c>
      <c r="M171" s="666">
        <v>0</v>
      </c>
      <c r="N171" s="666">
        <v>0</v>
      </c>
      <c r="O171" s="666">
        <v>0</v>
      </c>
      <c r="P171" s="666">
        <v>0</v>
      </c>
      <c r="Q171" s="666">
        <v>0</v>
      </c>
      <c r="R171" s="666">
        <v>0</v>
      </c>
      <c r="S171" s="666">
        <v>0</v>
      </c>
      <c r="T171" s="666"/>
    </row>
    <row r="172" spans="1:21">
      <c r="A172" s="382" t="s">
        <v>953</v>
      </c>
      <c r="B172" s="728"/>
      <c r="C172" s="728" t="s">
        <v>18</v>
      </c>
      <c r="D172" s="728" t="s">
        <v>955</v>
      </c>
      <c r="H172" s="675">
        <v>0</v>
      </c>
      <c r="I172" s="675">
        <v>0</v>
      </c>
      <c r="J172" s="675">
        <v>0</v>
      </c>
      <c r="K172" s="675">
        <v>0</v>
      </c>
      <c r="L172" s="675">
        <v>0</v>
      </c>
      <c r="M172" s="675">
        <v>0</v>
      </c>
      <c r="N172" s="675">
        <v>0</v>
      </c>
      <c r="O172" s="675">
        <v>0</v>
      </c>
      <c r="P172" s="675">
        <v>0</v>
      </c>
      <c r="Q172" s="675">
        <v>0</v>
      </c>
      <c r="R172" s="675">
        <v>0</v>
      </c>
      <c r="S172" s="675">
        <v>0</v>
      </c>
      <c r="T172" s="675">
        <v>0</v>
      </c>
    </row>
    <row r="173" spans="1:21">
      <c r="A173" s="382" t="s">
        <v>953</v>
      </c>
      <c r="B173" s="728"/>
      <c r="C173" s="728" t="s">
        <v>19</v>
      </c>
      <c r="D173" s="728" t="s">
        <v>955</v>
      </c>
      <c r="H173" s="666">
        <v>0</v>
      </c>
      <c r="I173" s="666">
        <v>0</v>
      </c>
      <c r="J173" s="666">
        <v>0</v>
      </c>
      <c r="K173" s="666">
        <v>0</v>
      </c>
      <c r="L173" s="666">
        <v>0</v>
      </c>
      <c r="M173" s="666">
        <v>0</v>
      </c>
      <c r="N173" s="666">
        <v>0</v>
      </c>
      <c r="O173" s="666">
        <v>0</v>
      </c>
      <c r="P173" s="666">
        <v>0</v>
      </c>
      <c r="Q173" s="666">
        <v>0</v>
      </c>
      <c r="R173" s="666">
        <v>0</v>
      </c>
      <c r="S173" s="666">
        <v>0</v>
      </c>
      <c r="T173" s="666">
        <v>0</v>
      </c>
    </row>
    <row r="174" spans="1:21">
      <c r="A174" s="382" t="s">
        <v>953</v>
      </c>
      <c r="B174" s="728"/>
      <c r="C174" s="728" t="s">
        <v>947</v>
      </c>
      <c r="D174" s="728" t="s">
        <v>955</v>
      </c>
      <c r="H174" s="666">
        <v>0</v>
      </c>
      <c r="I174" s="666">
        <v>0</v>
      </c>
      <c r="J174" s="666">
        <v>0</v>
      </c>
      <c r="K174" s="666">
        <v>0</v>
      </c>
      <c r="L174" s="666">
        <v>0</v>
      </c>
      <c r="M174" s="666">
        <v>0</v>
      </c>
      <c r="N174" s="666">
        <v>0</v>
      </c>
      <c r="O174" s="666">
        <v>0</v>
      </c>
      <c r="P174" s="666">
        <v>0</v>
      </c>
      <c r="Q174" s="666">
        <v>0</v>
      </c>
      <c r="R174" s="666">
        <v>0</v>
      </c>
      <c r="S174" s="666">
        <v>0</v>
      </c>
      <c r="T174" s="666">
        <v>0</v>
      </c>
    </row>
    <row r="175" spans="1:21">
      <c r="A175" s="382" t="s">
        <v>953</v>
      </c>
      <c r="B175" s="728"/>
      <c r="C175" s="728" t="s">
        <v>20</v>
      </c>
      <c r="D175" s="728" t="s">
        <v>955</v>
      </c>
      <c r="H175" s="666">
        <v>0</v>
      </c>
      <c r="I175" s="666">
        <v>0</v>
      </c>
      <c r="J175" s="666">
        <v>0</v>
      </c>
      <c r="K175" s="666">
        <v>0</v>
      </c>
      <c r="L175" s="666">
        <v>0</v>
      </c>
      <c r="M175" s="666">
        <v>0</v>
      </c>
      <c r="N175" s="666">
        <v>0</v>
      </c>
      <c r="O175" s="666">
        <v>0</v>
      </c>
      <c r="P175" s="666">
        <v>0</v>
      </c>
      <c r="Q175" s="666">
        <v>0</v>
      </c>
      <c r="R175" s="666">
        <v>0</v>
      </c>
      <c r="S175" s="666">
        <v>0</v>
      </c>
      <c r="T175" s="666">
        <v>0</v>
      </c>
    </row>
    <row r="176" spans="1:21">
      <c r="A176" s="382" t="s">
        <v>953</v>
      </c>
      <c r="B176" s="728"/>
      <c r="C176" s="728"/>
      <c r="D176" s="728"/>
      <c r="H176" s="666"/>
      <c r="I176" s="666"/>
      <c r="J176" s="666"/>
      <c r="K176" s="666"/>
      <c r="L176" s="666"/>
      <c r="M176" s="666"/>
      <c r="N176" s="666"/>
      <c r="O176" s="666"/>
      <c r="P176" s="666"/>
      <c r="Q176" s="666"/>
      <c r="R176" s="666"/>
      <c r="S176" s="666"/>
      <c r="T176" s="666"/>
    </row>
    <row r="177" spans="1:21">
      <c r="A177" s="382" t="s">
        <v>953</v>
      </c>
      <c r="B177" s="728" t="s">
        <v>127</v>
      </c>
      <c r="C177" s="728" t="s">
        <v>16</v>
      </c>
      <c r="D177" s="728" t="s">
        <v>955</v>
      </c>
      <c r="H177" s="666"/>
      <c r="I177" s="666"/>
      <c r="J177" s="666"/>
      <c r="K177" s="666"/>
      <c r="L177" s="666"/>
      <c r="M177" s="666"/>
      <c r="N177" s="666"/>
      <c r="O177" s="666"/>
      <c r="P177" s="666"/>
      <c r="Q177" s="666"/>
      <c r="R177" s="666"/>
      <c r="S177" s="666"/>
      <c r="T177" s="666">
        <v>0</v>
      </c>
    </row>
    <row r="178" spans="1:21">
      <c r="A178" s="382" t="s">
        <v>953</v>
      </c>
      <c r="B178" s="728"/>
      <c r="C178" s="728"/>
      <c r="D178" s="728" t="s">
        <v>955</v>
      </c>
      <c r="H178" s="666"/>
      <c r="I178" s="666"/>
      <c r="J178" s="666"/>
      <c r="K178" s="666"/>
      <c r="L178" s="666"/>
      <c r="M178" s="666"/>
      <c r="N178" s="666"/>
      <c r="O178" s="666"/>
      <c r="P178" s="666"/>
      <c r="Q178" s="666"/>
      <c r="R178" s="666"/>
      <c r="S178" s="666"/>
      <c r="T178" s="666"/>
    </row>
    <row r="179" spans="1:21">
      <c r="A179" s="382" t="s">
        <v>953</v>
      </c>
      <c r="B179" s="728"/>
      <c r="C179" s="728" t="s">
        <v>17</v>
      </c>
      <c r="D179" s="728" t="s">
        <v>955</v>
      </c>
      <c r="H179" s="666"/>
      <c r="I179" s="666"/>
      <c r="J179" s="666"/>
      <c r="K179" s="666"/>
      <c r="L179" s="666"/>
      <c r="M179" s="666"/>
      <c r="N179" s="666"/>
      <c r="O179" s="666"/>
      <c r="P179" s="666"/>
      <c r="Q179" s="666"/>
      <c r="R179" s="666"/>
      <c r="S179" s="666"/>
      <c r="T179" s="666">
        <v>0</v>
      </c>
    </row>
    <row r="180" spans="1:21">
      <c r="A180" s="382" t="s">
        <v>953</v>
      </c>
      <c r="B180" s="728"/>
      <c r="C180" s="728"/>
      <c r="D180" s="728" t="s">
        <v>955</v>
      </c>
      <c r="H180" s="666"/>
      <c r="I180" s="666"/>
      <c r="J180" s="666"/>
      <c r="K180" s="666"/>
      <c r="L180" s="666"/>
      <c r="M180" s="666"/>
      <c r="N180" s="666"/>
      <c r="O180" s="666"/>
      <c r="P180" s="666"/>
      <c r="Q180" s="666"/>
      <c r="R180" s="666"/>
      <c r="S180" s="666"/>
      <c r="T180" s="666"/>
    </row>
    <row r="181" spans="1:21">
      <c r="A181" s="382" t="s">
        <v>953</v>
      </c>
      <c r="B181" s="728"/>
      <c r="C181" s="728" t="s">
        <v>18</v>
      </c>
      <c r="D181" s="728" t="s">
        <v>955</v>
      </c>
      <c r="H181" s="675"/>
      <c r="I181" s="675"/>
      <c r="J181" s="675"/>
      <c r="K181" s="675"/>
      <c r="L181" s="675"/>
      <c r="M181" s="675"/>
      <c r="N181" s="675"/>
      <c r="O181" s="675"/>
      <c r="P181" s="675"/>
      <c r="Q181" s="675"/>
      <c r="R181" s="675"/>
      <c r="S181" s="675"/>
      <c r="T181" s="675">
        <v>0</v>
      </c>
    </row>
    <row r="182" spans="1:21">
      <c r="A182" s="382" t="s">
        <v>953</v>
      </c>
      <c r="B182" s="728"/>
      <c r="C182" s="728" t="s">
        <v>19</v>
      </c>
      <c r="D182" s="728" t="s">
        <v>955</v>
      </c>
      <c r="H182" s="666"/>
      <c r="I182" s="666"/>
      <c r="J182" s="666"/>
      <c r="K182" s="666"/>
      <c r="L182" s="666"/>
      <c r="M182" s="666"/>
      <c r="N182" s="666"/>
      <c r="O182" s="666"/>
      <c r="P182" s="666"/>
      <c r="Q182" s="666"/>
      <c r="R182" s="666"/>
      <c r="S182" s="666"/>
      <c r="T182" s="666">
        <v>0</v>
      </c>
    </row>
    <row r="183" spans="1:21">
      <c r="A183" s="382" t="s">
        <v>953</v>
      </c>
      <c r="B183" s="728"/>
      <c r="C183" s="728" t="s">
        <v>947</v>
      </c>
      <c r="D183" s="728" t="s">
        <v>955</v>
      </c>
      <c r="H183" s="666">
        <v>0</v>
      </c>
      <c r="I183" s="666">
        <v>0</v>
      </c>
      <c r="J183" s="666">
        <v>0</v>
      </c>
      <c r="K183" s="666">
        <v>0</v>
      </c>
      <c r="L183" s="666">
        <v>0</v>
      </c>
      <c r="M183" s="666">
        <v>0</v>
      </c>
      <c r="N183" s="666">
        <v>0</v>
      </c>
      <c r="O183" s="666">
        <v>0</v>
      </c>
      <c r="P183" s="666">
        <v>0</v>
      </c>
      <c r="Q183" s="666">
        <v>0</v>
      </c>
      <c r="R183" s="666">
        <v>0</v>
      </c>
      <c r="S183" s="666">
        <v>0</v>
      </c>
      <c r="T183" s="666">
        <v>0</v>
      </c>
    </row>
    <row r="184" spans="1:21">
      <c r="A184" s="382" t="s">
        <v>953</v>
      </c>
      <c r="B184" s="728"/>
      <c r="C184" s="728" t="s">
        <v>20</v>
      </c>
      <c r="D184" s="728" t="s">
        <v>955</v>
      </c>
      <c r="H184" s="666"/>
      <c r="I184" s="666"/>
      <c r="J184" s="666"/>
      <c r="K184" s="666"/>
      <c r="L184" s="666"/>
      <c r="M184" s="666"/>
      <c r="N184" s="666"/>
      <c r="O184" s="666"/>
      <c r="P184" s="666"/>
      <c r="Q184" s="666"/>
      <c r="R184" s="666"/>
      <c r="S184" s="666"/>
      <c r="T184" s="666">
        <v>0</v>
      </c>
      <c r="U184" s="95"/>
    </row>
    <row r="185" spans="1:21">
      <c r="A185" s="382" t="s">
        <v>953</v>
      </c>
      <c r="B185" s="728"/>
      <c r="C185" s="728"/>
      <c r="D185" s="728"/>
      <c r="H185" s="666"/>
      <c r="I185" s="666"/>
      <c r="J185" s="666"/>
      <c r="K185" s="666"/>
      <c r="L185" s="666"/>
      <c r="M185" s="666"/>
      <c r="N185" s="666"/>
      <c r="O185" s="666"/>
      <c r="P185" s="666"/>
      <c r="Q185" s="666"/>
      <c r="R185" s="666"/>
      <c r="S185" s="666"/>
      <c r="T185" s="666"/>
    </row>
    <row r="186" spans="1:21">
      <c r="A186" s="382" t="s">
        <v>953</v>
      </c>
      <c r="B186" s="728" t="s">
        <v>84</v>
      </c>
      <c r="C186" s="728" t="s">
        <v>16</v>
      </c>
      <c r="D186" s="728" t="s">
        <v>955</v>
      </c>
      <c r="H186" s="666">
        <v>0</v>
      </c>
      <c r="I186" s="666">
        <v>0</v>
      </c>
      <c r="J186" s="666">
        <v>0</v>
      </c>
      <c r="K186" s="666">
        <v>0</v>
      </c>
      <c r="L186" s="666">
        <v>0</v>
      </c>
      <c r="M186" s="666">
        <v>0</v>
      </c>
      <c r="N186" s="666">
        <v>0</v>
      </c>
      <c r="O186" s="666">
        <v>0</v>
      </c>
      <c r="P186" s="666">
        <v>0</v>
      </c>
      <c r="Q186" s="666">
        <v>0</v>
      </c>
      <c r="R186" s="666">
        <v>0</v>
      </c>
      <c r="S186" s="666">
        <v>0</v>
      </c>
      <c r="T186" s="666">
        <v>0</v>
      </c>
    </row>
    <row r="187" spans="1:21">
      <c r="A187" s="382" t="s">
        <v>953</v>
      </c>
      <c r="B187" s="728"/>
      <c r="C187" s="728"/>
      <c r="D187" s="728" t="s">
        <v>955</v>
      </c>
      <c r="H187" s="666">
        <v>0</v>
      </c>
      <c r="I187" s="666">
        <v>0</v>
      </c>
      <c r="J187" s="666">
        <v>0</v>
      </c>
      <c r="K187" s="666">
        <v>0</v>
      </c>
      <c r="L187" s="666">
        <v>0</v>
      </c>
      <c r="M187" s="666">
        <v>0</v>
      </c>
      <c r="N187" s="666">
        <v>0</v>
      </c>
      <c r="O187" s="666">
        <v>0</v>
      </c>
      <c r="P187" s="666">
        <v>0</v>
      </c>
      <c r="Q187" s="666">
        <v>0</v>
      </c>
      <c r="R187" s="666">
        <v>0</v>
      </c>
      <c r="S187" s="666">
        <v>0</v>
      </c>
      <c r="T187" s="666"/>
    </row>
    <row r="188" spans="1:21">
      <c r="A188" s="382" t="s">
        <v>953</v>
      </c>
      <c r="B188" s="728"/>
      <c r="C188" s="728" t="s">
        <v>17</v>
      </c>
      <c r="D188" s="728" t="s">
        <v>955</v>
      </c>
      <c r="H188" s="666">
        <v>0</v>
      </c>
      <c r="I188" s="666">
        <v>0</v>
      </c>
      <c r="J188" s="666">
        <v>0</v>
      </c>
      <c r="K188" s="666">
        <v>0</v>
      </c>
      <c r="L188" s="666">
        <v>0</v>
      </c>
      <c r="M188" s="666">
        <v>0</v>
      </c>
      <c r="N188" s="666">
        <v>0</v>
      </c>
      <c r="O188" s="666">
        <v>0</v>
      </c>
      <c r="P188" s="666">
        <v>0</v>
      </c>
      <c r="Q188" s="666">
        <v>0</v>
      </c>
      <c r="R188" s="666">
        <v>0</v>
      </c>
      <c r="S188" s="666">
        <v>0</v>
      </c>
      <c r="T188" s="666">
        <v>0</v>
      </c>
    </row>
    <row r="189" spans="1:21">
      <c r="A189" s="382" t="s">
        <v>953</v>
      </c>
      <c r="B189" s="728"/>
      <c r="C189" s="728"/>
      <c r="D189" s="728" t="s">
        <v>955</v>
      </c>
      <c r="H189" s="666">
        <v>0</v>
      </c>
      <c r="I189" s="666">
        <v>0</v>
      </c>
      <c r="J189" s="666">
        <v>0</v>
      </c>
      <c r="K189" s="666">
        <v>0</v>
      </c>
      <c r="L189" s="666">
        <v>0</v>
      </c>
      <c r="M189" s="666">
        <v>0</v>
      </c>
      <c r="N189" s="666">
        <v>0</v>
      </c>
      <c r="O189" s="666">
        <v>0</v>
      </c>
      <c r="P189" s="666">
        <v>0</v>
      </c>
      <c r="Q189" s="666">
        <v>0</v>
      </c>
      <c r="R189" s="666">
        <v>0</v>
      </c>
      <c r="S189" s="666">
        <v>0</v>
      </c>
      <c r="T189" s="666"/>
    </row>
    <row r="190" spans="1:21">
      <c r="A190" s="382" t="s">
        <v>953</v>
      </c>
      <c r="B190" s="728"/>
      <c r="C190" s="728" t="s">
        <v>18</v>
      </c>
      <c r="D190" s="728" t="s">
        <v>955</v>
      </c>
      <c r="H190" s="675">
        <v>0</v>
      </c>
      <c r="I190" s="675">
        <v>0</v>
      </c>
      <c r="J190" s="675">
        <v>0</v>
      </c>
      <c r="K190" s="675">
        <v>0</v>
      </c>
      <c r="L190" s="675">
        <v>0</v>
      </c>
      <c r="M190" s="675">
        <v>0</v>
      </c>
      <c r="N190" s="675">
        <v>0</v>
      </c>
      <c r="O190" s="675">
        <v>0</v>
      </c>
      <c r="P190" s="675">
        <v>0</v>
      </c>
      <c r="Q190" s="675">
        <v>0</v>
      </c>
      <c r="R190" s="675">
        <v>0</v>
      </c>
      <c r="S190" s="675">
        <v>0</v>
      </c>
      <c r="T190" s="675">
        <v>0</v>
      </c>
    </row>
    <row r="191" spans="1:21">
      <c r="A191" s="382" t="s">
        <v>953</v>
      </c>
      <c r="B191" s="728"/>
      <c r="C191" s="728" t="s">
        <v>19</v>
      </c>
      <c r="D191" s="728" t="s">
        <v>955</v>
      </c>
      <c r="H191" s="666">
        <v>0</v>
      </c>
      <c r="I191" s="666">
        <v>0</v>
      </c>
      <c r="J191" s="666">
        <v>0</v>
      </c>
      <c r="K191" s="666">
        <v>0</v>
      </c>
      <c r="L191" s="666">
        <v>0</v>
      </c>
      <c r="M191" s="666">
        <v>0</v>
      </c>
      <c r="N191" s="666">
        <v>0</v>
      </c>
      <c r="O191" s="666">
        <v>0</v>
      </c>
      <c r="P191" s="666">
        <v>0</v>
      </c>
      <c r="Q191" s="666">
        <v>0</v>
      </c>
      <c r="R191" s="666">
        <v>0</v>
      </c>
      <c r="S191" s="666">
        <v>0</v>
      </c>
      <c r="T191" s="666">
        <v>0</v>
      </c>
    </row>
    <row r="192" spans="1:21">
      <c r="A192" s="382" t="s">
        <v>953</v>
      </c>
      <c r="B192" s="728"/>
      <c r="C192" s="728" t="s">
        <v>947</v>
      </c>
      <c r="D192" s="728" t="s">
        <v>955</v>
      </c>
      <c r="H192" s="666">
        <v>0</v>
      </c>
      <c r="I192" s="666">
        <v>0</v>
      </c>
      <c r="J192" s="666">
        <v>0</v>
      </c>
      <c r="K192" s="666">
        <v>0</v>
      </c>
      <c r="L192" s="666">
        <v>0</v>
      </c>
      <c r="M192" s="666">
        <v>0</v>
      </c>
      <c r="N192" s="666">
        <v>0</v>
      </c>
      <c r="O192" s="666">
        <v>0</v>
      </c>
      <c r="P192" s="666">
        <v>0</v>
      </c>
      <c r="Q192" s="666">
        <v>0</v>
      </c>
      <c r="R192" s="666">
        <v>0</v>
      </c>
      <c r="S192" s="666">
        <v>0</v>
      </c>
      <c r="T192" s="666">
        <v>0</v>
      </c>
    </row>
    <row r="193" spans="1:21">
      <c r="A193" s="382" t="s">
        <v>953</v>
      </c>
      <c r="B193" s="728"/>
      <c r="C193" s="728" t="s">
        <v>20</v>
      </c>
      <c r="D193" s="728" t="s">
        <v>955</v>
      </c>
      <c r="H193" s="666">
        <v>0</v>
      </c>
      <c r="I193" s="666">
        <v>0</v>
      </c>
      <c r="J193" s="666">
        <v>0</v>
      </c>
      <c r="K193" s="666">
        <v>0</v>
      </c>
      <c r="L193" s="666">
        <v>0</v>
      </c>
      <c r="M193" s="666">
        <v>0</v>
      </c>
      <c r="N193" s="666">
        <v>0</v>
      </c>
      <c r="O193" s="666">
        <v>0</v>
      </c>
      <c r="P193" s="666">
        <v>0</v>
      </c>
      <c r="Q193" s="666">
        <v>0</v>
      </c>
      <c r="R193" s="666">
        <v>0</v>
      </c>
      <c r="S193" s="666">
        <v>0</v>
      </c>
      <c r="T193" s="666">
        <v>0</v>
      </c>
    </row>
    <row r="194" spans="1:21">
      <c r="A194" s="382"/>
      <c r="B194" s="728"/>
      <c r="C194" s="728"/>
      <c r="D194" s="728"/>
      <c r="H194" s="666"/>
      <c r="I194" s="666"/>
      <c r="J194" s="666"/>
      <c r="K194" s="666"/>
      <c r="L194" s="666"/>
      <c r="M194" s="666"/>
      <c r="N194" s="666"/>
      <c r="O194" s="666"/>
      <c r="P194" s="666"/>
      <c r="Q194" s="666"/>
      <c r="R194" s="666"/>
      <c r="S194" s="666"/>
      <c r="T194" s="666"/>
    </row>
    <row r="195" spans="1:21">
      <c r="A195" s="382"/>
      <c r="B195" s="332" t="s">
        <v>690</v>
      </c>
      <c r="C195" s="728" t="s">
        <v>16</v>
      </c>
      <c r="D195" s="728"/>
      <c r="H195" s="666">
        <v>1436959</v>
      </c>
      <c r="I195" s="666">
        <v>-1879276</v>
      </c>
      <c r="J195" s="666">
        <v>1210113</v>
      </c>
      <c r="K195" s="666">
        <v>1030861</v>
      </c>
      <c r="L195" s="666">
        <v>-1099491</v>
      </c>
      <c r="M195" s="666">
        <v>33304</v>
      </c>
      <c r="N195" s="666">
        <v>246816</v>
      </c>
      <c r="O195" s="666">
        <v>395142</v>
      </c>
      <c r="P195" s="666">
        <v>1320003</v>
      </c>
      <c r="Q195" s="666">
        <v>162462</v>
      </c>
      <c r="R195" s="666">
        <v>-818695</v>
      </c>
      <c r="S195" s="666">
        <v>-3472187</v>
      </c>
      <c r="T195" s="666">
        <v>-1433989</v>
      </c>
    </row>
    <row r="196" spans="1:21">
      <c r="A196" s="382"/>
      <c r="B196" s="332" t="s">
        <v>114</v>
      </c>
      <c r="C196" s="728" t="s">
        <v>16</v>
      </c>
      <c r="D196" s="728"/>
      <c r="H196" s="666">
        <v>3596351</v>
      </c>
      <c r="I196" s="666">
        <v>3190082</v>
      </c>
      <c r="J196" s="666">
        <v>2140865</v>
      </c>
      <c r="K196" s="666">
        <v>1507130</v>
      </c>
      <c r="L196" s="666">
        <v>900846</v>
      </c>
      <c r="M196" s="666">
        <v>516273</v>
      </c>
      <c r="N196" s="666">
        <v>417429</v>
      </c>
      <c r="O196" s="666">
        <v>404279</v>
      </c>
      <c r="P196" s="666">
        <v>501596</v>
      </c>
      <c r="Q196" s="666">
        <v>1254206</v>
      </c>
      <c r="R196" s="666">
        <v>2505884</v>
      </c>
      <c r="S196" s="666">
        <v>3872051</v>
      </c>
      <c r="T196" s="666">
        <v>20806992</v>
      </c>
    </row>
    <row r="197" spans="1:21">
      <c r="H197" s="666"/>
      <c r="I197" s="666"/>
      <c r="J197" s="666"/>
      <c r="K197" s="666"/>
      <c r="L197" s="666"/>
      <c r="M197" s="666"/>
      <c r="N197" s="666"/>
      <c r="O197" s="666"/>
      <c r="P197" s="666"/>
      <c r="Q197" s="666"/>
      <c r="R197" s="666"/>
      <c r="S197" s="666"/>
      <c r="T197" s="666">
        <v>0</v>
      </c>
    </row>
    <row r="198" spans="1:21">
      <c r="A198" s="382"/>
      <c r="B198" s="332" t="s">
        <v>543</v>
      </c>
      <c r="C198" s="728"/>
      <c r="D198" s="728"/>
      <c r="H198" s="666"/>
      <c r="I198" s="666"/>
      <c r="J198" s="666"/>
      <c r="K198" s="666"/>
      <c r="L198" s="666"/>
      <c r="M198" s="666"/>
      <c r="N198" s="666"/>
      <c r="O198" s="666"/>
      <c r="P198" s="666"/>
      <c r="Q198" s="666"/>
      <c r="R198" s="666"/>
      <c r="S198" s="666"/>
      <c r="T198" s="666"/>
    </row>
    <row r="199" spans="1:21">
      <c r="A199" s="382"/>
      <c r="B199" s="332"/>
      <c r="C199" s="728" t="s">
        <v>16</v>
      </c>
      <c r="D199" s="728"/>
      <c r="H199" s="666">
        <v>58576005.250398502</v>
      </c>
      <c r="I199" s="666">
        <v>49373621.492848799</v>
      </c>
      <c r="J199" s="666">
        <v>39471150.770360403</v>
      </c>
      <c r="K199" s="666">
        <v>25519030.104859699</v>
      </c>
      <c r="L199" s="666">
        <v>17492048.8488736</v>
      </c>
      <c r="M199" s="666">
        <v>14713275.2456234</v>
      </c>
      <c r="N199" s="666">
        <v>14262298.059878999</v>
      </c>
      <c r="O199" s="666">
        <v>13931950.9281034</v>
      </c>
      <c r="P199" s="666">
        <v>15780004.643115601</v>
      </c>
      <c r="Q199" s="666">
        <v>21770781.925967801</v>
      </c>
      <c r="R199" s="666">
        <v>39630183.157573096</v>
      </c>
      <c r="S199" s="666">
        <v>55922015.989228398</v>
      </c>
      <c r="T199" s="666">
        <v>366442366.41683173</v>
      </c>
      <c r="U199" s="95"/>
    </row>
    <row r="200" spans="1:21">
      <c r="A200" s="382"/>
      <c r="B200" s="332"/>
      <c r="C200" s="728" t="s">
        <v>17</v>
      </c>
      <c r="D200" s="728"/>
      <c r="H200" s="666">
        <v>24256782.0156525</v>
      </c>
      <c r="I200" s="666">
        <v>16633356.571971999</v>
      </c>
      <c r="J200" s="666">
        <v>11555901.512825999</v>
      </c>
      <c r="K200" s="666">
        <v>4384106.8038304998</v>
      </c>
      <c r="L200" s="666">
        <v>2444786.8863840001</v>
      </c>
      <c r="M200" s="666">
        <v>1588571.8447173999</v>
      </c>
      <c r="N200" s="666">
        <v>1577022.322769</v>
      </c>
      <c r="O200" s="666">
        <v>1465311.7739974</v>
      </c>
      <c r="P200" s="666">
        <v>1822158.1995116</v>
      </c>
      <c r="Q200" s="666">
        <v>4443048.1672657998</v>
      </c>
      <c r="R200" s="666">
        <v>11887443.7439913</v>
      </c>
      <c r="S200" s="666">
        <v>22588336.255093198</v>
      </c>
      <c r="T200" s="666">
        <v>104646826.0980107</v>
      </c>
    </row>
    <row r="201" spans="1:21">
      <c r="A201" s="382"/>
      <c r="B201" s="728"/>
      <c r="C201" s="728" t="s">
        <v>18</v>
      </c>
      <c r="D201" s="728"/>
      <c r="H201" s="675">
        <v>81376228.503949001</v>
      </c>
      <c r="I201" s="675">
        <v>55809481.465179197</v>
      </c>
      <c r="J201" s="675">
        <v>38793398.406813599</v>
      </c>
      <c r="K201" s="675">
        <v>31692866.231309801</v>
      </c>
      <c r="L201" s="675">
        <v>17232263.844742399</v>
      </c>
      <c r="M201" s="675">
        <v>10604431.079659199</v>
      </c>
      <c r="N201" s="675">
        <v>10440168.177352</v>
      </c>
      <c r="O201" s="675">
        <v>9589435.5378991999</v>
      </c>
      <c r="P201" s="675">
        <v>12085802.237372801</v>
      </c>
      <c r="Q201" s="675">
        <v>29855579.866766401</v>
      </c>
      <c r="R201" s="675">
        <v>40799937.9684356</v>
      </c>
      <c r="S201" s="675">
        <v>74365876.125678405</v>
      </c>
      <c r="T201" s="675">
        <v>412645469.44515759</v>
      </c>
    </row>
    <row r="202" spans="1:21">
      <c r="A202" s="382"/>
      <c r="B202" s="728"/>
      <c r="C202" s="728" t="s">
        <v>457</v>
      </c>
      <c r="D202" s="728"/>
      <c r="H202" s="666">
        <v>164209015.76999998</v>
      </c>
      <c r="I202" s="666">
        <v>121816459.53</v>
      </c>
      <c r="J202" s="666">
        <v>89820450.689999998</v>
      </c>
      <c r="K202" s="666">
        <v>61596003.140000001</v>
      </c>
      <c r="L202" s="666">
        <v>37169099.579999998</v>
      </c>
      <c r="M202" s="666">
        <v>26906278.170000002</v>
      </c>
      <c r="N202" s="666">
        <v>26279488.559999999</v>
      </c>
      <c r="O202" s="666">
        <v>24986698.240000002</v>
      </c>
      <c r="P202" s="666">
        <v>29687965.080000002</v>
      </c>
      <c r="Q202" s="666">
        <v>56069409.960000001</v>
      </c>
      <c r="R202" s="666">
        <v>92317564.870000005</v>
      </c>
      <c r="S202" s="666">
        <v>152876228.37</v>
      </c>
      <c r="T202" s="666">
        <v>883734661.96000004</v>
      </c>
    </row>
    <row r="203" spans="1:21">
      <c r="A203" s="382"/>
      <c r="B203" s="332"/>
      <c r="C203" s="728" t="s">
        <v>947</v>
      </c>
      <c r="D203" s="728"/>
      <c r="H203" s="666">
        <v>985099</v>
      </c>
      <c r="I203" s="666">
        <v>985589</v>
      </c>
      <c r="J203" s="666">
        <v>988303</v>
      </c>
      <c r="K203" s="666">
        <v>990020</v>
      </c>
      <c r="L203" s="666">
        <v>991161</v>
      </c>
      <c r="M203" s="666">
        <v>993936</v>
      </c>
      <c r="N203" s="666">
        <v>993310</v>
      </c>
      <c r="O203" s="666">
        <v>994033</v>
      </c>
      <c r="P203" s="666">
        <v>996889</v>
      </c>
      <c r="Q203" s="666">
        <v>997512</v>
      </c>
      <c r="R203" s="666">
        <v>1000423</v>
      </c>
      <c r="S203" s="666">
        <v>1003386</v>
      </c>
      <c r="T203" s="666">
        <v>993305.08333333337</v>
      </c>
    </row>
    <row r="204" spans="1:21">
      <c r="A204" s="382"/>
      <c r="B204" s="728"/>
      <c r="C204" s="728" t="s">
        <v>59</v>
      </c>
      <c r="D204" s="728"/>
      <c r="H204" s="666">
        <v>20509836.449999999</v>
      </c>
      <c r="I204" s="666">
        <v>14065434.16</v>
      </c>
      <c r="J204" s="666">
        <v>9777275.2799999993</v>
      </c>
      <c r="K204" s="666">
        <v>7962327.29</v>
      </c>
      <c r="L204" s="666">
        <v>4335183.5199999996</v>
      </c>
      <c r="M204" s="666">
        <v>2635366.4699999997</v>
      </c>
      <c r="N204" s="666">
        <v>2597850.4500000002</v>
      </c>
      <c r="O204" s="666">
        <v>2393872.4699999997</v>
      </c>
      <c r="P204" s="666">
        <v>3006892.98</v>
      </c>
      <c r="Q204" s="666">
        <v>7427941.4900000002</v>
      </c>
      <c r="R204" s="666">
        <v>9702102.7699999996</v>
      </c>
      <c r="S204" s="666">
        <v>17613996.280000001</v>
      </c>
      <c r="T204" s="666">
        <v>102028079.61</v>
      </c>
    </row>
    <row r="205" spans="1:21">
      <c r="A205" s="382"/>
      <c r="B205" s="332"/>
      <c r="C205" s="332" t="s">
        <v>60</v>
      </c>
      <c r="D205" s="332"/>
      <c r="H205" s="675">
        <v>8636505</v>
      </c>
      <c r="I205" s="675">
        <v>6475183</v>
      </c>
      <c r="J205" s="675">
        <v>5816560</v>
      </c>
      <c r="K205" s="675">
        <v>5417288</v>
      </c>
      <c r="L205" s="675">
        <v>5182008</v>
      </c>
      <c r="M205" s="675">
        <v>5944654</v>
      </c>
      <c r="N205" s="675">
        <v>6875982</v>
      </c>
      <c r="O205" s="675">
        <v>7406596</v>
      </c>
      <c r="P205" s="675">
        <v>5491074</v>
      </c>
      <c r="Q205" s="675">
        <v>4997517</v>
      </c>
      <c r="R205" s="675">
        <v>5817325</v>
      </c>
      <c r="S205" s="675">
        <v>8019631</v>
      </c>
      <c r="T205" s="675">
        <v>76080323</v>
      </c>
    </row>
    <row r="206" spans="1:21">
      <c r="A206" s="873"/>
      <c r="B206" s="728"/>
      <c r="C206" s="728" t="s">
        <v>458</v>
      </c>
      <c r="D206" s="728"/>
      <c r="H206" s="666">
        <v>29146341.449999999</v>
      </c>
      <c r="I206" s="666">
        <v>20540617.16</v>
      </c>
      <c r="J206" s="666">
        <v>15593835.279999999</v>
      </c>
      <c r="K206" s="666">
        <v>13379615.289999999</v>
      </c>
      <c r="L206" s="666">
        <v>9517191.5199999996</v>
      </c>
      <c r="M206" s="666">
        <v>8580020.4699999988</v>
      </c>
      <c r="N206" s="666">
        <v>9473832.4499999993</v>
      </c>
      <c r="O206" s="666">
        <v>9800468.4699999988</v>
      </c>
      <c r="P206" s="666">
        <v>8497966.9800000004</v>
      </c>
      <c r="Q206" s="666">
        <v>12425458.49</v>
      </c>
      <c r="R206" s="666">
        <v>15519427.77</v>
      </c>
      <c r="S206" s="666">
        <v>25633627.280000001</v>
      </c>
      <c r="T206" s="666">
        <v>178108402.61000001</v>
      </c>
      <c r="U206" s="95">
        <f>+T206-Z36</f>
        <v>0</v>
      </c>
    </row>
    <row r="207" spans="1:21">
      <c r="A207" s="382"/>
      <c r="B207" s="728"/>
      <c r="C207" s="728"/>
      <c r="D207" s="728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95"/>
    </row>
    <row r="208" spans="1:21">
      <c r="A208" s="382"/>
      <c r="B208" s="728"/>
      <c r="C208" s="728"/>
      <c r="D208" s="728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</row>
    <row r="209" spans="1:20">
      <c r="A209" s="382" t="s">
        <v>459</v>
      </c>
      <c r="B209" s="728" t="s">
        <v>15</v>
      </c>
      <c r="C209" s="728" t="s">
        <v>16</v>
      </c>
      <c r="D209" s="728"/>
      <c r="H209" s="666">
        <v>0</v>
      </c>
      <c r="I209" s="666">
        <v>0</v>
      </c>
      <c r="J209" s="666">
        <v>0</v>
      </c>
      <c r="K209" s="666">
        <v>0</v>
      </c>
      <c r="L209" s="666">
        <v>0</v>
      </c>
      <c r="M209" s="666">
        <v>0</v>
      </c>
      <c r="N209" s="666">
        <v>0</v>
      </c>
      <c r="O209" s="666">
        <v>0</v>
      </c>
      <c r="P209" s="666">
        <v>0</v>
      </c>
      <c r="Q209" s="666">
        <v>0</v>
      </c>
      <c r="R209" s="666">
        <v>0</v>
      </c>
      <c r="S209" s="666">
        <v>0</v>
      </c>
      <c r="T209" s="666">
        <v>0</v>
      </c>
    </row>
    <row r="210" spans="1:20">
      <c r="A210" s="382"/>
      <c r="B210" s="728"/>
      <c r="C210" s="728"/>
      <c r="D210" s="728"/>
      <c r="H210" s="666">
        <v>0</v>
      </c>
      <c r="I210" s="666">
        <v>0</v>
      </c>
      <c r="J210" s="666">
        <v>0</v>
      </c>
      <c r="K210" s="666">
        <v>0</v>
      </c>
      <c r="L210" s="666">
        <v>0</v>
      </c>
      <c r="M210" s="666">
        <v>0</v>
      </c>
      <c r="N210" s="666">
        <v>0</v>
      </c>
      <c r="O210" s="666">
        <v>0</v>
      </c>
      <c r="P210" s="666">
        <v>0</v>
      </c>
      <c r="Q210" s="666">
        <v>0</v>
      </c>
      <c r="R210" s="666">
        <v>0</v>
      </c>
      <c r="S210" s="666">
        <v>0</v>
      </c>
      <c r="T210" s="666"/>
    </row>
    <row r="211" spans="1:20">
      <c r="A211" s="382"/>
      <c r="B211" s="728"/>
      <c r="C211" s="728" t="s">
        <v>17</v>
      </c>
      <c r="D211" s="728"/>
      <c r="H211" s="666">
        <v>0</v>
      </c>
      <c r="I211" s="666">
        <v>0</v>
      </c>
      <c r="J211" s="666">
        <v>0</v>
      </c>
      <c r="K211" s="666">
        <v>0</v>
      </c>
      <c r="L211" s="666">
        <v>0</v>
      </c>
      <c r="M211" s="666">
        <v>0</v>
      </c>
      <c r="N211" s="666">
        <v>0</v>
      </c>
      <c r="O211" s="666">
        <v>0</v>
      </c>
      <c r="P211" s="666">
        <v>0</v>
      </c>
      <c r="Q211" s="666">
        <v>0</v>
      </c>
      <c r="R211" s="666">
        <v>0</v>
      </c>
      <c r="S211" s="666">
        <v>0</v>
      </c>
      <c r="T211" s="666">
        <v>0</v>
      </c>
    </row>
    <row r="212" spans="1:20">
      <c r="A212" s="382"/>
      <c r="B212" s="728"/>
      <c r="C212" s="728"/>
      <c r="D212" s="728"/>
      <c r="H212" s="666">
        <v>0</v>
      </c>
      <c r="I212" s="666">
        <v>0</v>
      </c>
      <c r="J212" s="666">
        <v>0</v>
      </c>
      <c r="K212" s="666">
        <v>0</v>
      </c>
      <c r="L212" s="666">
        <v>0</v>
      </c>
      <c r="M212" s="666">
        <v>0</v>
      </c>
      <c r="N212" s="666">
        <v>0</v>
      </c>
      <c r="O212" s="666">
        <v>0</v>
      </c>
      <c r="P212" s="666">
        <v>0</v>
      </c>
      <c r="Q212" s="666">
        <v>0</v>
      </c>
      <c r="R212" s="666">
        <v>0</v>
      </c>
      <c r="S212" s="666">
        <v>0</v>
      </c>
      <c r="T212" s="666"/>
    </row>
    <row r="213" spans="1:20">
      <c r="A213" s="382"/>
      <c r="B213" s="728"/>
      <c r="C213" s="728" t="s">
        <v>18</v>
      </c>
      <c r="D213" s="728"/>
      <c r="H213" s="675">
        <v>0</v>
      </c>
      <c r="I213" s="675">
        <v>0</v>
      </c>
      <c r="J213" s="675">
        <v>0</v>
      </c>
      <c r="K213" s="675">
        <v>0</v>
      </c>
      <c r="L213" s="675">
        <v>0</v>
      </c>
      <c r="M213" s="675">
        <v>0</v>
      </c>
      <c r="N213" s="675">
        <v>0</v>
      </c>
      <c r="O213" s="675">
        <v>0</v>
      </c>
      <c r="P213" s="675">
        <v>0</v>
      </c>
      <c r="Q213" s="675">
        <v>0</v>
      </c>
      <c r="R213" s="675">
        <v>0</v>
      </c>
      <c r="S213" s="675">
        <v>0</v>
      </c>
      <c r="T213" s="675">
        <v>0</v>
      </c>
    </row>
    <row r="214" spans="1:20">
      <c r="A214" s="382"/>
      <c r="B214" s="728"/>
      <c r="C214" s="728" t="s">
        <v>19</v>
      </c>
      <c r="D214" s="728"/>
      <c r="H214" s="666">
        <v>0</v>
      </c>
      <c r="I214" s="666">
        <v>0</v>
      </c>
      <c r="J214" s="666">
        <v>0</v>
      </c>
      <c r="K214" s="666">
        <v>0</v>
      </c>
      <c r="L214" s="666">
        <v>0</v>
      </c>
      <c r="M214" s="666">
        <v>0</v>
      </c>
      <c r="N214" s="666">
        <v>0</v>
      </c>
      <c r="O214" s="666">
        <v>0</v>
      </c>
      <c r="P214" s="666">
        <v>0</v>
      </c>
      <c r="Q214" s="666">
        <v>0</v>
      </c>
      <c r="R214" s="666">
        <v>0</v>
      </c>
      <c r="S214" s="666">
        <v>0</v>
      </c>
      <c r="T214" s="666">
        <v>0</v>
      </c>
    </row>
    <row r="215" spans="1:20">
      <c r="A215" s="382"/>
      <c r="B215" s="728"/>
      <c r="C215" s="728" t="s">
        <v>947</v>
      </c>
      <c r="D215" s="728"/>
      <c r="H215" s="666">
        <v>0</v>
      </c>
      <c r="I215" s="666">
        <v>0</v>
      </c>
      <c r="J215" s="666">
        <v>0</v>
      </c>
      <c r="K215" s="666">
        <v>0</v>
      </c>
      <c r="L215" s="666">
        <v>0</v>
      </c>
      <c r="M215" s="666">
        <v>0</v>
      </c>
      <c r="N215" s="666">
        <v>0</v>
      </c>
      <c r="O215" s="666">
        <v>0</v>
      </c>
      <c r="P215" s="666">
        <v>0</v>
      </c>
      <c r="Q215" s="666">
        <v>0</v>
      </c>
      <c r="R215" s="666">
        <v>0</v>
      </c>
      <c r="S215" s="666">
        <v>0</v>
      </c>
      <c r="T215" s="666">
        <v>0</v>
      </c>
    </row>
    <row r="216" spans="1:20">
      <c r="A216" s="382"/>
      <c r="B216" s="728"/>
      <c r="C216" s="728" t="s">
        <v>20</v>
      </c>
      <c r="D216" s="728"/>
      <c r="H216" s="666">
        <v>0</v>
      </c>
      <c r="I216" s="666">
        <v>0</v>
      </c>
      <c r="J216" s="666">
        <v>0</v>
      </c>
      <c r="K216" s="666">
        <v>0</v>
      </c>
      <c r="L216" s="666">
        <v>0</v>
      </c>
      <c r="M216" s="666">
        <v>0</v>
      </c>
      <c r="N216" s="666">
        <v>0</v>
      </c>
      <c r="O216" s="666">
        <v>0</v>
      </c>
      <c r="P216" s="666">
        <v>0</v>
      </c>
      <c r="Q216" s="666">
        <v>0</v>
      </c>
      <c r="R216" s="666">
        <v>0</v>
      </c>
      <c r="S216" s="666">
        <v>0</v>
      </c>
      <c r="T216" s="666">
        <v>0</v>
      </c>
    </row>
    <row r="217" spans="1:20">
      <c r="A217" s="382"/>
      <c r="B217" s="728"/>
      <c r="C217" s="728"/>
      <c r="D217" s="728"/>
      <c r="H217" s="666">
        <v>0</v>
      </c>
      <c r="I217" s="666">
        <v>0</v>
      </c>
      <c r="J217" s="666">
        <v>0</v>
      </c>
      <c r="K217" s="666">
        <v>0</v>
      </c>
      <c r="L217" s="666">
        <v>0</v>
      </c>
      <c r="M217" s="666">
        <v>0</v>
      </c>
      <c r="N217" s="666">
        <v>0</v>
      </c>
      <c r="O217" s="666">
        <v>0</v>
      </c>
      <c r="P217" s="666">
        <v>0</v>
      </c>
      <c r="Q217" s="666">
        <v>0</v>
      </c>
      <c r="R217" s="666">
        <v>0</v>
      </c>
      <c r="S217" s="666">
        <v>0</v>
      </c>
      <c r="T217" s="666"/>
    </row>
    <row r="218" spans="1:20">
      <c r="A218" s="382"/>
      <c r="B218" s="728" t="s">
        <v>88</v>
      </c>
      <c r="C218" s="728" t="s">
        <v>16</v>
      </c>
      <c r="D218" s="728"/>
      <c r="H218" s="666">
        <v>0</v>
      </c>
      <c r="I218" s="666">
        <v>0</v>
      </c>
      <c r="J218" s="666">
        <v>0</v>
      </c>
      <c r="K218" s="666">
        <v>0</v>
      </c>
      <c r="L218" s="666">
        <v>0</v>
      </c>
      <c r="M218" s="666">
        <v>0</v>
      </c>
      <c r="N218" s="666">
        <v>0</v>
      </c>
      <c r="O218" s="666">
        <v>0</v>
      </c>
      <c r="P218" s="666">
        <v>0</v>
      </c>
      <c r="Q218" s="666">
        <v>0</v>
      </c>
      <c r="R218" s="666">
        <v>0</v>
      </c>
      <c r="S218" s="666">
        <v>0</v>
      </c>
      <c r="T218" s="666">
        <v>0</v>
      </c>
    </row>
    <row r="219" spans="1:20">
      <c r="A219" s="382"/>
      <c r="B219" s="728"/>
      <c r="C219" s="728"/>
      <c r="D219" s="728"/>
      <c r="H219" s="666">
        <v>0</v>
      </c>
      <c r="I219" s="666">
        <v>0</v>
      </c>
      <c r="J219" s="666">
        <v>0</v>
      </c>
      <c r="K219" s="666">
        <v>0</v>
      </c>
      <c r="L219" s="666">
        <v>0</v>
      </c>
      <c r="M219" s="666">
        <v>0</v>
      </c>
      <c r="N219" s="666">
        <v>0</v>
      </c>
      <c r="O219" s="666">
        <v>0</v>
      </c>
      <c r="P219" s="666">
        <v>0</v>
      </c>
      <c r="Q219" s="666">
        <v>0</v>
      </c>
      <c r="R219" s="666">
        <v>0</v>
      </c>
      <c r="S219" s="666">
        <v>0</v>
      </c>
      <c r="T219" s="666"/>
    </row>
    <row r="220" spans="1:20">
      <c r="A220" s="382"/>
      <c r="B220" s="728"/>
      <c r="C220" s="728" t="s">
        <v>17</v>
      </c>
      <c r="D220" s="728"/>
      <c r="H220" s="666">
        <v>0</v>
      </c>
      <c r="I220" s="666">
        <v>0</v>
      </c>
      <c r="J220" s="666">
        <v>0</v>
      </c>
      <c r="K220" s="666">
        <v>0</v>
      </c>
      <c r="L220" s="666">
        <v>0</v>
      </c>
      <c r="M220" s="666">
        <v>0</v>
      </c>
      <c r="N220" s="666">
        <v>0</v>
      </c>
      <c r="O220" s="666">
        <v>0</v>
      </c>
      <c r="P220" s="666">
        <v>0</v>
      </c>
      <c r="Q220" s="666">
        <v>0</v>
      </c>
      <c r="R220" s="666">
        <v>0</v>
      </c>
      <c r="S220" s="666">
        <v>0</v>
      </c>
      <c r="T220" s="666">
        <v>0</v>
      </c>
    </row>
    <row r="221" spans="1:20">
      <c r="A221" s="382"/>
      <c r="B221" s="728"/>
      <c r="C221" s="728"/>
      <c r="D221" s="728"/>
      <c r="H221" s="666">
        <v>0</v>
      </c>
      <c r="I221" s="666">
        <v>0</v>
      </c>
      <c r="J221" s="666">
        <v>0</v>
      </c>
      <c r="K221" s="666">
        <v>0</v>
      </c>
      <c r="L221" s="666">
        <v>0</v>
      </c>
      <c r="M221" s="666">
        <v>0</v>
      </c>
      <c r="N221" s="666">
        <v>0</v>
      </c>
      <c r="O221" s="666">
        <v>0</v>
      </c>
      <c r="P221" s="666">
        <v>0</v>
      </c>
      <c r="Q221" s="666">
        <v>0</v>
      </c>
      <c r="R221" s="666">
        <v>0</v>
      </c>
      <c r="S221" s="666">
        <v>0</v>
      </c>
      <c r="T221" s="666"/>
    </row>
    <row r="222" spans="1:20">
      <c r="A222" s="382"/>
      <c r="B222" s="728"/>
      <c r="C222" s="728" t="s">
        <v>18</v>
      </c>
      <c r="D222" s="728"/>
      <c r="H222" s="675">
        <v>0</v>
      </c>
      <c r="I222" s="675">
        <v>0</v>
      </c>
      <c r="J222" s="675">
        <v>0</v>
      </c>
      <c r="K222" s="675">
        <v>0</v>
      </c>
      <c r="L222" s="675">
        <v>0</v>
      </c>
      <c r="M222" s="675">
        <v>0</v>
      </c>
      <c r="N222" s="675">
        <v>0</v>
      </c>
      <c r="O222" s="675">
        <v>0</v>
      </c>
      <c r="P222" s="675">
        <v>0</v>
      </c>
      <c r="Q222" s="675">
        <v>0</v>
      </c>
      <c r="R222" s="675">
        <v>0</v>
      </c>
      <c r="S222" s="675">
        <v>0</v>
      </c>
      <c r="T222" s="675">
        <v>0</v>
      </c>
    </row>
    <row r="223" spans="1:20">
      <c r="A223" s="382"/>
      <c r="B223" s="728"/>
      <c r="C223" s="728" t="s">
        <v>19</v>
      </c>
      <c r="D223" s="728"/>
      <c r="H223" s="666">
        <v>0</v>
      </c>
      <c r="I223" s="666">
        <v>0</v>
      </c>
      <c r="J223" s="666">
        <v>0</v>
      </c>
      <c r="K223" s="666">
        <v>0</v>
      </c>
      <c r="L223" s="666">
        <v>0</v>
      </c>
      <c r="M223" s="666">
        <v>0</v>
      </c>
      <c r="N223" s="666">
        <v>0</v>
      </c>
      <c r="O223" s="666">
        <v>0</v>
      </c>
      <c r="P223" s="666">
        <v>0</v>
      </c>
      <c r="Q223" s="666">
        <v>0</v>
      </c>
      <c r="R223" s="666">
        <v>0</v>
      </c>
      <c r="S223" s="666">
        <v>0</v>
      </c>
      <c r="T223" s="666">
        <v>0</v>
      </c>
    </row>
    <row r="224" spans="1:20">
      <c r="A224" s="382"/>
      <c r="B224" s="728"/>
      <c r="C224" s="728" t="s">
        <v>947</v>
      </c>
      <c r="D224" s="728"/>
      <c r="H224" s="666">
        <v>0</v>
      </c>
      <c r="I224" s="666">
        <v>0</v>
      </c>
      <c r="J224" s="666">
        <v>0</v>
      </c>
      <c r="K224" s="666">
        <v>0</v>
      </c>
      <c r="L224" s="666">
        <v>0</v>
      </c>
      <c r="M224" s="666">
        <v>0</v>
      </c>
      <c r="N224" s="666">
        <v>0</v>
      </c>
      <c r="O224" s="666">
        <v>0</v>
      </c>
      <c r="P224" s="666">
        <v>0</v>
      </c>
      <c r="Q224" s="666">
        <v>0</v>
      </c>
      <c r="R224" s="666">
        <v>0</v>
      </c>
      <c r="S224" s="666">
        <v>0</v>
      </c>
      <c r="T224" s="666">
        <v>0</v>
      </c>
    </row>
    <row r="225" spans="1:20">
      <c r="A225" s="382"/>
      <c r="B225" s="332"/>
      <c r="C225" s="728" t="s">
        <v>20</v>
      </c>
      <c r="D225" s="728"/>
      <c r="H225" s="666">
        <v>0</v>
      </c>
      <c r="I225" s="666">
        <v>0</v>
      </c>
      <c r="J225" s="666">
        <v>0</v>
      </c>
      <c r="K225" s="666">
        <v>0</v>
      </c>
      <c r="L225" s="666">
        <v>0</v>
      </c>
      <c r="M225" s="666">
        <v>0</v>
      </c>
      <c r="N225" s="666">
        <v>0</v>
      </c>
      <c r="O225" s="666">
        <v>0</v>
      </c>
      <c r="P225" s="666">
        <v>0</v>
      </c>
      <c r="Q225" s="666">
        <v>0</v>
      </c>
      <c r="R225" s="666">
        <v>0</v>
      </c>
      <c r="S225" s="666">
        <v>0</v>
      </c>
      <c r="T225" s="666">
        <v>0</v>
      </c>
    </row>
    <row r="226" spans="1:20">
      <c r="A226" s="382"/>
      <c r="B226" s="332"/>
      <c r="C226" s="728"/>
      <c r="D226" s="728"/>
      <c r="H226" s="666"/>
      <c r="I226" s="666"/>
      <c r="J226" s="666"/>
      <c r="K226" s="666"/>
      <c r="L226" s="666"/>
      <c r="M226" s="666"/>
      <c r="N226" s="666"/>
      <c r="O226" s="666"/>
      <c r="P226" s="666"/>
      <c r="Q226" s="666"/>
      <c r="R226" s="666"/>
      <c r="S226" s="666"/>
      <c r="T226" s="666"/>
    </row>
    <row r="227" spans="1:20">
      <c r="A227" s="382"/>
      <c r="B227" s="332" t="s">
        <v>544</v>
      </c>
      <c r="C227" s="728"/>
      <c r="D227" s="728"/>
      <c r="H227" s="666"/>
      <c r="I227" s="666"/>
      <c r="J227" s="666"/>
      <c r="K227" s="666"/>
      <c r="L227" s="666"/>
      <c r="M227" s="666"/>
      <c r="N227" s="666"/>
      <c r="O227" s="666"/>
      <c r="P227" s="666"/>
      <c r="Q227" s="666"/>
      <c r="R227" s="666"/>
      <c r="S227" s="666"/>
      <c r="T227" s="666"/>
    </row>
    <row r="228" spans="1:20">
      <c r="A228" s="382"/>
      <c r="B228" s="332"/>
      <c r="C228" s="728" t="s">
        <v>16</v>
      </c>
      <c r="D228" s="728"/>
      <c r="H228" s="666">
        <v>0</v>
      </c>
      <c r="I228" s="666">
        <v>0</v>
      </c>
      <c r="J228" s="666">
        <v>0</v>
      </c>
      <c r="K228" s="666">
        <v>0</v>
      </c>
      <c r="L228" s="666">
        <v>0</v>
      </c>
      <c r="M228" s="666">
        <v>0</v>
      </c>
      <c r="N228" s="666">
        <v>0</v>
      </c>
      <c r="O228" s="666">
        <v>0</v>
      </c>
      <c r="P228" s="666">
        <v>0</v>
      </c>
      <c r="Q228" s="666">
        <v>0</v>
      </c>
      <c r="R228" s="666">
        <v>0</v>
      </c>
      <c r="S228" s="666">
        <v>0</v>
      </c>
      <c r="T228" s="666">
        <v>0</v>
      </c>
    </row>
    <row r="229" spans="1:20">
      <c r="A229" s="382"/>
      <c r="B229" s="332"/>
      <c r="C229" s="728" t="s">
        <v>17</v>
      </c>
      <c r="D229" s="728"/>
      <c r="H229" s="666">
        <v>0</v>
      </c>
      <c r="I229" s="666">
        <v>0</v>
      </c>
      <c r="J229" s="666">
        <v>0</v>
      </c>
      <c r="K229" s="666">
        <v>0</v>
      </c>
      <c r="L229" s="666">
        <v>0</v>
      </c>
      <c r="M229" s="666">
        <v>0</v>
      </c>
      <c r="N229" s="666">
        <v>0</v>
      </c>
      <c r="O229" s="666">
        <v>0</v>
      </c>
      <c r="P229" s="666">
        <v>0</v>
      </c>
      <c r="Q229" s="666">
        <v>0</v>
      </c>
      <c r="R229" s="666">
        <v>0</v>
      </c>
      <c r="S229" s="666">
        <v>0</v>
      </c>
      <c r="T229" s="666">
        <v>0</v>
      </c>
    </row>
    <row r="230" spans="1:20">
      <c r="A230" s="382"/>
      <c r="B230" s="332"/>
      <c r="C230" s="728" t="s">
        <v>18</v>
      </c>
      <c r="D230" s="728"/>
      <c r="H230" s="666">
        <v>0</v>
      </c>
      <c r="I230" s="666">
        <v>0</v>
      </c>
      <c r="J230" s="666">
        <v>0</v>
      </c>
      <c r="K230" s="666">
        <v>0</v>
      </c>
      <c r="L230" s="666">
        <v>0</v>
      </c>
      <c r="M230" s="666">
        <v>0</v>
      </c>
      <c r="N230" s="666">
        <v>0</v>
      </c>
      <c r="O230" s="666">
        <v>0</v>
      </c>
      <c r="P230" s="666">
        <v>0</v>
      </c>
      <c r="Q230" s="666">
        <v>0</v>
      </c>
      <c r="R230" s="666">
        <v>0</v>
      </c>
      <c r="S230" s="666">
        <v>0</v>
      </c>
      <c r="T230" s="666">
        <v>0</v>
      </c>
    </row>
    <row r="231" spans="1:20">
      <c r="A231" s="382"/>
      <c r="B231" s="728"/>
      <c r="C231" s="728" t="s">
        <v>461</v>
      </c>
      <c r="D231" s="728"/>
      <c r="H231" s="666">
        <v>0</v>
      </c>
      <c r="I231" s="666">
        <v>0</v>
      </c>
      <c r="J231" s="666">
        <v>0</v>
      </c>
      <c r="K231" s="666">
        <v>0</v>
      </c>
      <c r="L231" s="666">
        <v>0</v>
      </c>
      <c r="M231" s="666">
        <v>0</v>
      </c>
      <c r="N231" s="666">
        <v>0</v>
      </c>
      <c r="O231" s="666">
        <v>0</v>
      </c>
      <c r="P231" s="666">
        <v>0</v>
      </c>
      <c r="Q231" s="666">
        <v>0</v>
      </c>
      <c r="R231" s="666">
        <v>0</v>
      </c>
      <c r="S231" s="666">
        <v>0</v>
      </c>
      <c r="T231" s="666">
        <v>0</v>
      </c>
    </row>
    <row r="232" spans="1:20">
      <c r="A232" s="868"/>
      <c r="B232" s="332"/>
      <c r="C232" s="728" t="s">
        <v>947</v>
      </c>
      <c r="D232" s="728"/>
      <c r="H232" s="666">
        <v>0</v>
      </c>
      <c r="I232" s="666">
        <v>0</v>
      </c>
      <c r="J232" s="666">
        <v>0</v>
      </c>
      <c r="K232" s="666">
        <v>0</v>
      </c>
      <c r="L232" s="666">
        <v>0</v>
      </c>
      <c r="M232" s="666">
        <v>0</v>
      </c>
      <c r="N232" s="666">
        <v>0</v>
      </c>
      <c r="O232" s="666">
        <v>0</v>
      </c>
      <c r="P232" s="666">
        <v>0</v>
      </c>
      <c r="Q232" s="666">
        <v>0</v>
      </c>
      <c r="R232" s="666">
        <v>0</v>
      </c>
      <c r="S232" s="666">
        <v>0</v>
      </c>
      <c r="T232" s="666">
        <v>0</v>
      </c>
    </row>
    <row r="233" spans="1:20">
      <c r="A233" s="382"/>
      <c r="B233" s="728"/>
      <c r="C233" s="728" t="s">
        <v>59</v>
      </c>
      <c r="D233" s="728"/>
      <c r="H233" s="666">
        <v>0</v>
      </c>
      <c r="I233" s="666">
        <v>0</v>
      </c>
      <c r="J233" s="666">
        <v>0</v>
      </c>
      <c r="K233" s="666">
        <v>0</v>
      </c>
      <c r="L233" s="666">
        <v>0</v>
      </c>
      <c r="M233" s="666">
        <v>0</v>
      </c>
      <c r="N233" s="666">
        <v>0</v>
      </c>
      <c r="O233" s="666">
        <v>0</v>
      </c>
      <c r="P233" s="666">
        <v>0</v>
      </c>
      <c r="Q233" s="666">
        <v>0</v>
      </c>
      <c r="R233" s="666">
        <v>0</v>
      </c>
      <c r="S233" s="666">
        <v>0</v>
      </c>
      <c r="T233" s="666">
        <v>0</v>
      </c>
    </row>
    <row r="234" spans="1:20">
      <c r="A234" s="869"/>
      <c r="B234" s="728"/>
      <c r="C234" s="728" t="s">
        <v>60</v>
      </c>
      <c r="D234" s="728"/>
      <c r="H234" s="666">
        <v>0</v>
      </c>
      <c r="I234" s="666">
        <v>0</v>
      </c>
      <c r="J234" s="666">
        <v>0</v>
      </c>
      <c r="K234" s="666">
        <v>0</v>
      </c>
      <c r="L234" s="666">
        <v>0</v>
      </c>
      <c r="M234" s="666">
        <v>0</v>
      </c>
      <c r="N234" s="666">
        <v>0</v>
      </c>
      <c r="O234" s="666">
        <v>0</v>
      </c>
      <c r="P234" s="666">
        <v>0</v>
      </c>
      <c r="Q234" s="666">
        <v>0</v>
      </c>
      <c r="R234" s="666">
        <v>0</v>
      </c>
      <c r="S234" s="666">
        <v>0</v>
      </c>
      <c r="T234" s="666">
        <v>0</v>
      </c>
    </row>
    <row r="235" spans="1:20">
      <c r="A235" s="869"/>
      <c r="B235" s="728"/>
      <c r="C235" s="728" t="s">
        <v>462</v>
      </c>
      <c r="D235" s="728"/>
      <c r="H235" s="666">
        <v>0</v>
      </c>
      <c r="I235" s="666">
        <v>0</v>
      </c>
      <c r="J235" s="666">
        <v>0</v>
      </c>
      <c r="K235" s="666">
        <v>0</v>
      </c>
      <c r="L235" s="666">
        <v>0</v>
      </c>
      <c r="M235" s="666">
        <v>0</v>
      </c>
      <c r="N235" s="666">
        <v>0</v>
      </c>
      <c r="O235" s="666">
        <v>0</v>
      </c>
      <c r="P235" s="666">
        <v>0</v>
      </c>
      <c r="Q235" s="666">
        <v>0</v>
      </c>
      <c r="R235" s="666">
        <v>0</v>
      </c>
      <c r="S235" s="666">
        <v>0</v>
      </c>
      <c r="T235" s="666">
        <v>0</v>
      </c>
    </row>
    <row r="236" spans="1:20">
      <c r="A236" s="868" t="s">
        <v>24</v>
      </c>
      <c r="D236" s="728"/>
      <c r="H236" s="666"/>
      <c r="I236" s="666"/>
      <c r="J236" s="666"/>
      <c r="K236" s="666"/>
      <c r="L236" s="666"/>
      <c r="M236" s="666"/>
      <c r="N236" s="666"/>
      <c r="O236" s="666"/>
      <c r="P236" s="666"/>
      <c r="Q236" s="666"/>
      <c r="R236" s="666"/>
      <c r="S236" s="666"/>
      <c r="T236" s="666"/>
    </row>
    <row r="237" spans="1:20">
      <c r="A237" s="868"/>
      <c r="H237" s="666"/>
      <c r="I237" s="666"/>
      <c r="J237" s="666"/>
      <c r="K237" s="666"/>
      <c r="L237" s="666"/>
      <c r="M237" s="666"/>
      <c r="N237" s="666"/>
      <c r="O237" s="666"/>
      <c r="P237" s="666"/>
      <c r="Q237" s="666"/>
      <c r="R237" s="666"/>
      <c r="S237" s="666"/>
      <c r="T237" s="666"/>
    </row>
    <row r="238" spans="1:20">
      <c r="B238" s="728" t="s">
        <v>15</v>
      </c>
      <c r="C238" s="728" t="s">
        <v>16</v>
      </c>
      <c r="D238" s="332" t="s">
        <v>946</v>
      </c>
      <c r="H238" s="666">
        <v>1671180</v>
      </c>
      <c r="I238" s="666">
        <v>1518793</v>
      </c>
      <c r="J238" s="666">
        <v>1252763</v>
      </c>
      <c r="K238" s="666">
        <v>1100042</v>
      </c>
      <c r="L238" s="666">
        <v>789848</v>
      </c>
      <c r="M238" s="666">
        <v>500077</v>
      </c>
      <c r="N238" s="666">
        <v>483912</v>
      </c>
      <c r="O238" s="666">
        <v>484650</v>
      </c>
      <c r="P238" s="666">
        <v>550270</v>
      </c>
      <c r="Q238" s="666">
        <v>914188</v>
      </c>
      <c r="R238" s="666">
        <v>1312991</v>
      </c>
      <c r="S238" s="666">
        <v>1622852</v>
      </c>
      <c r="T238" s="666">
        <v>12201566</v>
      </c>
    </row>
    <row r="239" spans="1:20">
      <c r="B239" s="728"/>
      <c r="C239" s="728"/>
      <c r="D239" s="332" t="s">
        <v>946</v>
      </c>
      <c r="H239" s="666"/>
      <c r="I239" s="666"/>
      <c r="J239" s="666"/>
      <c r="K239" s="666"/>
      <c r="L239" s="666"/>
      <c r="M239" s="666"/>
      <c r="N239" s="666"/>
      <c r="O239" s="666"/>
      <c r="P239" s="666"/>
      <c r="Q239" s="666"/>
      <c r="R239" s="666"/>
      <c r="S239" s="666"/>
      <c r="T239" s="666"/>
    </row>
    <row r="240" spans="1:20">
      <c r="A240" s="868" t="s">
        <v>945</v>
      </c>
      <c r="B240" s="332"/>
      <c r="C240" s="728" t="s">
        <v>17</v>
      </c>
      <c r="D240" s="332" t="s">
        <v>946</v>
      </c>
      <c r="H240" s="666"/>
      <c r="I240" s="666"/>
      <c r="J240" s="666"/>
      <c r="K240" s="666"/>
      <c r="L240" s="666"/>
      <c r="M240" s="666"/>
      <c r="N240" s="666"/>
      <c r="O240" s="666"/>
      <c r="P240" s="666"/>
      <c r="Q240" s="666"/>
      <c r="R240" s="666"/>
      <c r="S240" s="666"/>
      <c r="T240" s="666"/>
    </row>
    <row r="241" spans="1:20">
      <c r="A241" s="868" t="s">
        <v>945</v>
      </c>
      <c r="B241" s="332"/>
      <c r="C241" s="728"/>
      <c r="D241" s="332" t="s">
        <v>946</v>
      </c>
      <c r="H241" s="666"/>
      <c r="I241" s="666"/>
      <c r="J241" s="666"/>
      <c r="K241" s="666"/>
      <c r="L241" s="666"/>
      <c r="M241" s="666"/>
      <c r="N241" s="666"/>
      <c r="O241" s="666"/>
      <c r="P241" s="666"/>
      <c r="Q241" s="666"/>
      <c r="R241" s="666"/>
      <c r="S241" s="666"/>
      <c r="T241" s="666"/>
    </row>
    <row r="242" spans="1:20">
      <c r="A242" s="868" t="s">
        <v>945</v>
      </c>
      <c r="B242" s="728"/>
      <c r="C242" s="728" t="s">
        <v>18</v>
      </c>
      <c r="D242" s="332" t="s">
        <v>946</v>
      </c>
      <c r="H242" s="675">
        <v>3240907</v>
      </c>
      <c r="I242" s="675">
        <v>2323149</v>
      </c>
      <c r="J242" s="675">
        <v>1783134</v>
      </c>
      <c r="K242" s="675">
        <v>1524232</v>
      </c>
      <c r="L242" s="675">
        <v>896512</v>
      </c>
      <c r="M242" s="675">
        <v>255638</v>
      </c>
      <c r="N242" s="675">
        <v>288291</v>
      </c>
      <c r="O242" s="675">
        <v>302650</v>
      </c>
      <c r="P242" s="675">
        <v>385385</v>
      </c>
      <c r="Q242" s="675">
        <v>1515813</v>
      </c>
      <c r="R242" s="675">
        <v>1995388</v>
      </c>
      <c r="S242" s="675">
        <v>2611217</v>
      </c>
      <c r="T242" s="675">
        <v>17122316</v>
      </c>
    </row>
    <row r="243" spans="1:20">
      <c r="A243" s="868" t="s">
        <v>945</v>
      </c>
      <c r="B243" s="332"/>
      <c r="C243" s="728" t="s">
        <v>19</v>
      </c>
      <c r="D243" s="332" t="s">
        <v>946</v>
      </c>
      <c r="H243" s="666">
        <v>4912087</v>
      </c>
      <c r="I243" s="666">
        <v>3841942</v>
      </c>
      <c r="J243" s="666">
        <v>3035897</v>
      </c>
      <c r="K243" s="666">
        <v>2624274</v>
      </c>
      <c r="L243" s="666">
        <v>1686360</v>
      </c>
      <c r="M243" s="666">
        <v>755715</v>
      </c>
      <c r="N243" s="666">
        <v>772203</v>
      </c>
      <c r="O243" s="666">
        <v>787300</v>
      </c>
      <c r="P243" s="666">
        <v>935655</v>
      </c>
      <c r="Q243" s="666">
        <v>2430001</v>
      </c>
      <c r="R243" s="666">
        <v>3308379</v>
      </c>
      <c r="S243" s="666">
        <v>4234069</v>
      </c>
      <c r="T243" s="666">
        <v>29323882</v>
      </c>
    </row>
    <row r="244" spans="1:20">
      <c r="A244" s="868" t="s">
        <v>945</v>
      </c>
      <c r="B244" s="332"/>
      <c r="C244" s="728" t="s">
        <v>947</v>
      </c>
      <c r="D244" s="332" t="s">
        <v>946</v>
      </c>
      <c r="H244" s="666">
        <v>27594</v>
      </c>
      <c r="I244" s="666">
        <v>27600</v>
      </c>
      <c r="J244" s="666">
        <v>27701</v>
      </c>
      <c r="K244" s="666">
        <v>27605</v>
      </c>
      <c r="L244" s="666">
        <v>27575</v>
      </c>
      <c r="M244" s="666">
        <v>27580</v>
      </c>
      <c r="N244" s="666">
        <v>27532</v>
      </c>
      <c r="O244" s="666">
        <v>27500</v>
      </c>
      <c r="P244" s="666">
        <v>27481</v>
      </c>
      <c r="Q244" s="666">
        <v>27503</v>
      </c>
      <c r="R244" s="666">
        <v>27624</v>
      </c>
      <c r="S244" s="666">
        <v>27703</v>
      </c>
      <c r="T244" s="666">
        <v>27583.166666666668</v>
      </c>
    </row>
    <row r="245" spans="1:20">
      <c r="A245" s="868"/>
      <c r="B245" s="332"/>
      <c r="C245" s="728" t="s">
        <v>20</v>
      </c>
      <c r="D245" s="332" t="s">
        <v>946</v>
      </c>
      <c r="H245" s="666">
        <v>651934</v>
      </c>
      <c r="I245" s="666">
        <v>467331</v>
      </c>
      <c r="J245" s="666">
        <v>358694</v>
      </c>
      <c r="K245" s="666">
        <v>306613</v>
      </c>
      <c r="L245" s="666">
        <v>180341</v>
      </c>
      <c r="M245" s="666">
        <v>51394</v>
      </c>
      <c r="N245" s="666">
        <v>57972</v>
      </c>
      <c r="O245" s="666">
        <v>60861</v>
      </c>
      <c r="P245" s="666">
        <v>77498</v>
      </c>
      <c r="Q245" s="666">
        <v>304818</v>
      </c>
      <c r="R245" s="666">
        <v>381653</v>
      </c>
      <c r="S245" s="666">
        <v>496419</v>
      </c>
      <c r="T245" s="666">
        <v>3395528</v>
      </c>
    </row>
    <row r="246" spans="1:20">
      <c r="A246" s="868"/>
      <c r="B246" s="332"/>
      <c r="C246" s="332"/>
      <c r="D246" s="332"/>
      <c r="H246" s="666"/>
      <c r="I246" s="666"/>
      <c r="J246" s="666"/>
      <c r="K246" s="666"/>
      <c r="L246" s="666"/>
      <c r="M246" s="666"/>
      <c r="N246" s="666"/>
      <c r="O246" s="666"/>
      <c r="P246" s="666"/>
      <c r="Q246" s="666"/>
      <c r="R246" s="666"/>
      <c r="S246" s="666"/>
      <c r="T246" s="666"/>
    </row>
    <row r="247" spans="1:20">
      <c r="A247" s="868" t="s">
        <v>945</v>
      </c>
      <c r="B247" s="332" t="s">
        <v>960</v>
      </c>
      <c r="C247" s="728" t="s">
        <v>16</v>
      </c>
      <c r="D247" s="332" t="s">
        <v>946</v>
      </c>
      <c r="H247" s="666">
        <v>20070</v>
      </c>
      <c r="I247" s="666">
        <v>16701</v>
      </c>
      <c r="J247" s="666">
        <v>16004</v>
      </c>
      <c r="K247" s="666">
        <v>15133</v>
      </c>
      <c r="L247" s="666">
        <v>13638</v>
      </c>
      <c r="M247" s="666">
        <v>10739</v>
      </c>
      <c r="N247" s="666">
        <v>12031</v>
      </c>
      <c r="O247" s="666">
        <v>6458</v>
      </c>
      <c r="P247" s="666">
        <v>9944</v>
      </c>
      <c r="Q247" s="666">
        <v>19083</v>
      </c>
      <c r="R247" s="666">
        <v>15420</v>
      </c>
      <c r="S247" s="666">
        <v>12187</v>
      </c>
      <c r="T247" s="666">
        <v>167408</v>
      </c>
    </row>
    <row r="248" spans="1:20">
      <c r="A248" s="868" t="s">
        <v>945</v>
      </c>
      <c r="B248" s="728"/>
      <c r="C248" s="728"/>
      <c r="D248" s="332" t="s">
        <v>946</v>
      </c>
      <c r="H248" s="666"/>
      <c r="I248" s="666"/>
      <c r="J248" s="666"/>
      <c r="K248" s="666"/>
      <c r="L248" s="666"/>
      <c r="M248" s="666"/>
      <c r="N248" s="666"/>
      <c r="O248" s="666"/>
      <c r="P248" s="666"/>
      <c r="Q248" s="666"/>
      <c r="R248" s="666"/>
      <c r="S248" s="666"/>
      <c r="T248" s="666"/>
    </row>
    <row r="249" spans="1:20">
      <c r="A249" s="868" t="s">
        <v>945</v>
      </c>
      <c r="B249" s="332"/>
      <c r="C249" s="728" t="s">
        <v>17</v>
      </c>
      <c r="D249" s="332" t="s">
        <v>946</v>
      </c>
      <c r="H249" s="666"/>
      <c r="I249" s="666"/>
      <c r="J249" s="666"/>
      <c r="K249" s="666"/>
      <c r="L249" s="666"/>
      <c r="M249" s="666"/>
      <c r="N249" s="666"/>
      <c r="O249" s="666"/>
      <c r="P249" s="666"/>
      <c r="Q249" s="666"/>
      <c r="R249" s="666"/>
      <c r="S249" s="666"/>
      <c r="T249" s="666"/>
    </row>
    <row r="250" spans="1:20">
      <c r="A250" s="868" t="s">
        <v>945</v>
      </c>
      <c r="B250" s="332"/>
      <c r="C250" s="728"/>
      <c r="D250" s="332" t="s">
        <v>946</v>
      </c>
      <c r="H250" s="666"/>
      <c r="I250" s="666"/>
      <c r="J250" s="666"/>
      <c r="K250" s="666"/>
      <c r="L250" s="666"/>
      <c r="M250" s="666"/>
      <c r="N250" s="666"/>
      <c r="O250" s="666"/>
      <c r="P250" s="666"/>
      <c r="Q250" s="666"/>
      <c r="R250" s="666"/>
      <c r="S250" s="666"/>
      <c r="T250" s="666"/>
    </row>
    <row r="251" spans="1:20">
      <c r="A251" s="868" t="s">
        <v>945</v>
      </c>
      <c r="B251" s="332"/>
      <c r="C251" s="728" t="s">
        <v>18</v>
      </c>
      <c r="D251" s="332" t="s">
        <v>946</v>
      </c>
      <c r="H251" s="675">
        <v>108848</v>
      </c>
      <c r="I251" s="675">
        <v>87422</v>
      </c>
      <c r="J251" s="675">
        <v>83824</v>
      </c>
      <c r="K251" s="675">
        <v>78736</v>
      </c>
      <c r="L251" s="675">
        <v>68584</v>
      </c>
      <c r="M251" s="675">
        <v>51928</v>
      </c>
      <c r="N251" s="675">
        <v>53157</v>
      </c>
      <c r="O251" s="675">
        <v>26297</v>
      </c>
      <c r="P251" s="675">
        <v>46878</v>
      </c>
      <c r="Q251" s="675">
        <v>98223</v>
      </c>
      <c r="R251" s="675">
        <v>86445</v>
      </c>
      <c r="S251" s="675">
        <v>69607</v>
      </c>
      <c r="T251" s="675">
        <v>859949</v>
      </c>
    </row>
    <row r="252" spans="1:20">
      <c r="A252" s="868" t="s">
        <v>945</v>
      </c>
      <c r="B252" s="332"/>
      <c r="C252" s="728" t="s">
        <v>19</v>
      </c>
      <c r="D252" s="332" t="s">
        <v>946</v>
      </c>
      <c r="H252" s="666">
        <v>128918</v>
      </c>
      <c r="I252" s="666">
        <v>104123</v>
      </c>
      <c r="J252" s="666">
        <v>99828</v>
      </c>
      <c r="K252" s="666">
        <v>93869</v>
      </c>
      <c r="L252" s="666">
        <v>82222</v>
      </c>
      <c r="M252" s="666">
        <v>62667</v>
      </c>
      <c r="N252" s="666">
        <v>65188</v>
      </c>
      <c r="O252" s="666">
        <v>32755</v>
      </c>
      <c r="P252" s="666">
        <v>56822</v>
      </c>
      <c r="Q252" s="666">
        <v>117306</v>
      </c>
      <c r="R252" s="666">
        <v>101865</v>
      </c>
      <c r="S252" s="666">
        <v>81794</v>
      </c>
      <c r="T252" s="666">
        <v>1027357</v>
      </c>
    </row>
    <row r="253" spans="1:20">
      <c r="A253" s="868" t="s">
        <v>945</v>
      </c>
      <c r="B253" s="728"/>
      <c r="C253" s="728" t="s">
        <v>947</v>
      </c>
      <c r="D253" s="332" t="s">
        <v>946</v>
      </c>
      <c r="H253" s="666">
        <v>25</v>
      </c>
      <c r="I253" s="666">
        <v>25</v>
      </c>
      <c r="J253" s="666">
        <v>25</v>
      </c>
      <c r="K253" s="666">
        <v>25</v>
      </c>
      <c r="L253" s="666">
        <v>25</v>
      </c>
      <c r="M253" s="666">
        <v>24</v>
      </c>
      <c r="N253" s="666">
        <v>24</v>
      </c>
      <c r="O253" s="666">
        <v>24</v>
      </c>
      <c r="P253" s="666">
        <v>24</v>
      </c>
      <c r="Q253" s="666">
        <v>24</v>
      </c>
      <c r="R253" s="666">
        <v>24</v>
      </c>
      <c r="S253" s="666">
        <v>24</v>
      </c>
      <c r="T253" s="666">
        <v>24.416666666666668</v>
      </c>
    </row>
    <row r="254" spans="1:20">
      <c r="A254" s="868" t="s">
        <v>945</v>
      </c>
      <c r="B254" s="332"/>
      <c r="C254" s="728" t="s">
        <v>20</v>
      </c>
      <c r="D254" s="332" t="s">
        <v>946</v>
      </c>
      <c r="H254" s="666">
        <v>21896</v>
      </c>
      <c r="I254" s="666">
        <v>17586</v>
      </c>
      <c r="J254" s="666">
        <v>16862</v>
      </c>
      <c r="K254" s="666">
        <v>15838</v>
      </c>
      <c r="L254" s="666">
        <v>13796</v>
      </c>
      <c r="M254" s="666">
        <v>10442</v>
      </c>
      <c r="N254" s="666">
        <v>10689</v>
      </c>
      <c r="O254" s="666">
        <v>5288</v>
      </c>
      <c r="P254" s="666">
        <v>9427</v>
      </c>
      <c r="Q254" s="666">
        <v>19752</v>
      </c>
      <c r="R254" s="666">
        <v>16352</v>
      </c>
      <c r="S254" s="666">
        <v>13233</v>
      </c>
      <c r="T254" s="666">
        <v>171161</v>
      </c>
    </row>
    <row r="255" spans="1:20">
      <c r="A255" s="868" t="s">
        <v>945</v>
      </c>
      <c r="B255" s="332"/>
      <c r="C255" s="654"/>
      <c r="D255" s="332"/>
      <c r="H255" s="666"/>
      <c r="I255" s="666"/>
      <c r="J255" s="666"/>
      <c r="K255" s="666"/>
      <c r="L255" s="666"/>
      <c r="M255" s="666"/>
      <c r="N255" s="666"/>
      <c r="O255" s="666"/>
      <c r="P255" s="666"/>
      <c r="Q255" s="666"/>
      <c r="R255" s="666"/>
      <c r="S255" s="666"/>
      <c r="T255" s="666"/>
    </row>
    <row r="256" spans="1:20">
      <c r="A256" s="868" t="s">
        <v>945</v>
      </c>
      <c r="B256" s="332" t="s">
        <v>810</v>
      </c>
      <c r="C256" s="728" t="s">
        <v>16</v>
      </c>
      <c r="D256" s="332" t="s">
        <v>946</v>
      </c>
      <c r="H256" s="666">
        <v>6771.0802426000009</v>
      </c>
      <c r="I256" s="666">
        <v>5605.8756692000043</v>
      </c>
      <c r="J256" s="666">
        <v>5933.2134071999999</v>
      </c>
      <c r="K256" s="666">
        <v>5586.2091873999998</v>
      </c>
      <c r="L256" s="666">
        <v>5312.6805718000014</v>
      </c>
      <c r="M256" s="666">
        <v>4737.1671163999999</v>
      </c>
      <c r="N256" s="666">
        <v>4350.2393603999999</v>
      </c>
      <c r="O256" s="666">
        <v>4906.3899463999996</v>
      </c>
      <c r="P256" s="666">
        <v>4814.8469391999979</v>
      </c>
      <c r="Q256" s="666">
        <v>3568.8426636000008</v>
      </c>
      <c r="R256" s="666">
        <v>5637.9924920000003</v>
      </c>
      <c r="S256" s="666">
        <v>4291.5720943999995</v>
      </c>
      <c r="T256" s="666">
        <v>61516.109690600002</v>
      </c>
    </row>
    <row r="257" spans="1:20">
      <c r="A257" s="868" t="s">
        <v>945</v>
      </c>
      <c r="B257" s="728"/>
      <c r="C257" s="728"/>
      <c r="D257" s="332" t="s">
        <v>946</v>
      </c>
      <c r="H257" s="666"/>
      <c r="I257" s="666"/>
      <c r="J257" s="666"/>
      <c r="K257" s="666"/>
      <c r="L257" s="666"/>
      <c r="M257" s="666"/>
      <c r="N257" s="666"/>
      <c r="O257" s="666"/>
      <c r="P257" s="666"/>
      <c r="Q257" s="666"/>
      <c r="R257" s="666"/>
      <c r="S257" s="666"/>
      <c r="T257" s="666"/>
    </row>
    <row r="258" spans="1:20">
      <c r="A258" s="868" t="s">
        <v>945</v>
      </c>
      <c r="B258" s="332"/>
      <c r="C258" s="728" t="s">
        <v>17</v>
      </c>
      <c r="D258" s="332" t="s">
        <v>946</v>
      </c>
      <c r="H258" s="666"/>
      <c r="I258" s="666"/>
      <c r="J258" s="666"/>
      <c r="K258" s="666"/>
      <c r="L258" s="666"/>
      <c r="M258" s="666"/>
      <c r="N258" s="666"/>
      <c r="O258" s="666"/>
      <c r="P258" s="666"/>
      <c r="Q258" s="666"/>
      <c r="R258" s="666"/>
      <c r="S258" s="666"/>
      <c r="T258" s="666"/>
    </row>
    <row r="259" spans="1:20">
      <c r="A259" s="868" t="s">
        <v>945</v>
      </c>
      <c r="B259" s="332"/>
      <c r="C259" s="728"/>
      <c r="D259" s="332" t="s">
        <v>946</v>
      </c>
      <c r="H259" s="666"/>
      <c r="I259" s="666"/>
      <c r="J259" s="666"/>
      <c r="K259" s="666"/>
      <c r="L259" s="666"/>
      <c r="M259" s="666"/>
      <c r="N259" s="666"/>
      <c r="O259" s="666"/>
      <c r="P259" s="666"/>
      <c r="Q259" s="666"/>
      <c r="R259" s="666"/>
      <c r="S259" s="666"/>
      <c r="T259" s="666"/>
    </row>
    <row r="260" spans="1:20">
      <c r="A260" s="868" t="s">
        <v>945</v>
      </c>
      <c r="B260" s="332"/>
      <c r="C260" s="728" t="s">
        <v>18</v>
      </c>
      <c r="D260" s="332" t="s">
        <v>946</v>
      </c>
      <c r="H260" s="675">
        <v>2648.0197573999999</v>
      </c>
      <c r="I260" s="675">
        <v>3172.3343308000003</v>
      </c>
      <c r="J260" s="675">
        <v>3356.7665927999997</v>
      </c>
      <c r="K260" s="675">
        <v>3160.8508125999997</v>
      </c>
      <c r="L260" s="675">
        <v>3071.2694281999998</v>
      </c>
      <c r="M260" s="675">
        <v>2681.8028835999999</v>
      </c>
      <c r="N260" s="675">
        <v>2462.5006395999999</v>
      </c>
      <c r="O260" s="675">
        <v>2777.5300536000004</v>
      </c>
      <c r="P260" s="675">
        <v>2725.7130607999998</v>
      </c>
      <c r="Q260" s="675">
        <v>2020.0173363999997</v>
      </c>
      <c r="R260" s="675">
        <v>3385.5475080000006</v>
      </c>
      <c r="S260" s="675">
        <v>2557.2679055999997</v>
      </c>
      <c r="T260" s="675">
        <v>34019.620309400001</v>
      </c>
    </row>
    <row r="261" spans="1:20">
      <c r="A261" s="868" t="s">
        <v>945</v>
      </c>
      <c r="B261" s="332"/>
      <c r="C261" s="728" t="s">
        <v>19</v>
      </c>
      <c r="D261" s="332" t="s">
        <v>946</v>
      </c>
      <c r="H261" s="666">
        <v>9419.1</v>
      </c>
      <c r="I261" s="666">
        <v>8778.2100000000046</v>
      </c>
      <c r="J261" s="666">
        <v>9289.98</v>
      </c>
      <c r="K261" s="666">
        <v>8747.06</v>
      </c>
      <c r="L261" s="666">
        <v>8383.9500000000007</v>
      </c>
      <c r="M261" s="666">
        <v>7418.9699999999993</v>
      </c>
      <c r="N261" s="666">
        <v>6812.74</v>
      </c>
      <c r="O261" s="666">
        <v>7683.92</v>
      </c>
      <c r="P261" s="666">
        <v>7540.5599999999977</v>
      </c>
      <c r="Q261" s="666">
        <v>5588.8600000000006</v>
      </c>
      <c r="R261" s="666">
        <v>9023.5400000000009</v>
      </c>
      <c r="S261" s="666">
        <v>6848.8399999999992</v>
      </c>
      <c r="T261" s="666">
        <v>95535.73000000001</v>
      </c>
    </row>
    <row r="262" spans="1:20">
      <c r="A262" s="868" t="s">
        <v>945</v>
      </c>
      <c r="B262" s="728"/>
      <c r="C262" s="728" t="s">
        <v>947</v>
      </c>
      <c r="D262" s="332" t="s">
        <v>946</v>
      </c>
      <c r="H262" s="666">
        <v>1</v>
      </c>
      <c r="I262" s="666">
        <v>1</v>
      </c>
      <c r="J262" s="666">
        <v>1</v>
      </c>
      <c r="K262" s="666">
        <v>1</v>
      </c>
      <c r="L262" s="666">
        <v>1</v>
      </c>
      <c r="M262" s="666">
        <v>1</v>
      </c>
      <c r="N262" s="666">
        <v>1</v>
      </c>
      <c r="O262" s="666">
        <v>1</v>
      </c>
      <c r="P262" s="666">
        <v>1</v>
      </c>
      <c r="Q262" s="666">
        <v>1</v>
      </c>
      <c r="R262" s="666">
        <v>1</v>
      </c>
      <c r="S262" s="666">
        <v>1</v>
      </c>
      <c r="T262" s="666">
        <v>1</v>
      </c>
    </row>
    <row r="263" spans="1:20">
      <c r="A263" s="868" t="s">
        <v>945</v>
      </c>
      <c r="B263" s="332"/>
      <c r="C263" s="728" t="s">
        <v>20</v>
      </c>
      <c r="D263" s="332" t="s">
        <v>946</v>
      </c>
      <c r="H263" s="666">
        <v>532.66999999999996</v>
      </c>
      <c r="I263" s="666">
        <v>638.1400000000001</v>
      </c>
      <c r="J263" s="666">
        <v>675.24</v>
      </c>
      <c r="K263" s="666">
        <v>635.82999999999993</v>
      </c>
      <c r="L263" s="666">
        <v>617.80999999999995</v>
      </c>
      <c r="M263" s="666">
        <v>539.29</v>
      </c>
      <c r="N263" s="666">
        <v>495.19</v>
      </c>
      <c r="O263" s="666">
        <v>558.54000000000008</v>
      </c>
      <c r="P263" s="666">
        <v>548.12</v>
      </c>
      <c r="Q263" s="666">
        <v>406.21</v>
      </c>
      <c r="R263" s="666">
        <v>643.65000000000009</v>
      </c>
      <c r="S263" s="666">
        <v>486.17999999999995</v>
      </c>
      <c r="T263" s="666">
        <v>6776.8700000000008</v>
      </c>
    </row>
    <row r="264" spans="1:20">
      <c r="A264" s="868" t="s">
        <v>945</v>
      </c>
      <c r="B264" s="332"/>
      <c r="C264" s="332"/>
      <c r="D264" s="332"/>
      <c r="H264" s="666"/>
      <c r="I264" s="666"/>
      <c r="J264" s="666"/>
      <c r="K264" s="666"/>
      <c r="L264" s="666"/>
      <c r="M264" s="666"/>
      <c r="N264" s="666"/>
      <c r="O264" s="666"/>
      <c r="P264" s="666"/>
      <c r="Q264" s="666"/>
      <c r="R264" s="666"/>
      <c r="S264" s="666"/>
      <c r="T264" s="666"/>
    </row>
    <row r="265" spans="1:20">
      <c r="A265" s="868" t="s">
        <v>945</v>
      </c>
      <c r="B265" s="332" t="s">
        <v>765</v>
      </c>
      <c r="C265" s="728" t="s">
        <v>16</v>
      </c>
      <c r="D265" s="332" t="s">
        <v>946</v>
      </c>
      <c r="H265" s="666">
        <v>0</v>
      </c>
      <c r="I265" s="666">
        <v>0</v>
      </c>
      <c r="J265" s="666">
        <v>0</v>
      </c>
      <c r="K265" s="666">
        <v>0</v>
      </c>
      <c r="L265" s="666">
        <v>0</v>
      </c>
      <c r="M265" s="666">
        <v>0</v>
      </c>
      <c r="N265" s="666">
        <v>0</v>
      </c>
      <c r="O265" s="666">
        <v>0</v>
      </c>
      <c r="P265" s="666">
        <v>0</v>
      </c>
      <c r="Q265" s="666">
        <v>0</v>
      </c>
      <c r="R265" s="666">
        <v>0</v>
      </c>
      <c r="S265" s="666">
        <v>0</v>
      </c>
      <c r="T265" s="666">
        <v>0</v>
      </c>
    </row>
    <row r="266" spans="1:20">
      <c r="A266" s="868" t="s">
        <v>945</v>
      </c>
      <c r="B266" s="728"/>
      <c r="C266" s="728"/>
      <c r="D266" s="332" t="s">
        <v>946</v>
      </c>
      <c r="H266" s="666"/>
      <c r="I266" s="666"/>
      <c r="J266" s="666"/>
      <c r="K266" s="666"/>
      <c r="L266" s="666"/>
      <c r="M266" s="666"/>
      <c r="N266" s="666"/>
      <c r="O266" s="666"/>
      <c r="P266" s="666"/>
      <c r="Q266" s="666"/>
      <c r="R266" s="666"/>
      <c r="S266" s="666"/>
      <c r="T266" s="666"/>
    </row>
    <row r="267" spans="1:20">
      <c r="A267" s="868" t="s">
        <v>945</v>
      </c>
      <c r="B267" s="332"/>
      <c r="C267" s="728" t="s">
        <v>17</v>
      </c>
      <c r="D267" s="332" t="s">
        <v>946</v>
      </c>
      <c r="H267" s="666"/>
      <c r="I267" s="666"/>
      <c r="J267" s="666"/>
      <c r="K267" s="666"/>
      <c r="L267" s="666"/>
      <c r="M267" s="666"/>
      <c r="N267" s="666"/>
      <c r="O267" s="666"/>
      <c r="P267" s="666"/>
      <c r="Q267" s="666"/>
      <c r="R267" s="666"/>
      <c r="S267" s="666"/>
      <c r="T267" s="666"/>
    </row>
    <row r="268" spans="1:20">
      <c r="A268" s="868" t="s">
        <v>945</v>
      </c>
      <c r="B268" s="332"/>
      <c r="C268" s="728"/>
      <c r="D268" s="332" t="s">
        <v>946</v>
      </c>
      <c r="H268" s="666"/>
      <c r="I268" s="666"/>
      <c r="J268" s="666"/>
      <c r="K268" s="666"/>
      <c r="L268" s="666"/>
      <c r="M268" s="666"/>
      <c r="N268" s="666"/>
      <c r="O268" s="666"/>
      <c r="P268" s="666"/>
      <c r="Q268" s="666"/>
      <c r="R268" s="666"/>
      <c r="S268" s="666"/>
      <c r="T268" s="666"/>
    </row>
    <row r="269" spans="1:20">
      <c r="A269" s="868" t="s">
        <v>945</v>
      </c>
      <c r="B269" s="332"/>
      <c r="C269" s="728" t="s">
        <v>18</v>
      </c>
      <c r="D269" s="332" t="s">
        <v>946</v>
      </c>
      <c r="H269" s="675">
        <v>0</v>
      </c>
      <c r="I269" s="675">
        <v>0</v>
      </c>
      <c r="J269" s="675">
        <v>0</v>
      </c>
      <c r="K269" s="675">
        <v>0</v>
      </c>
      <c r="L269" s="675">
        <v>0</v>
      </c>
      <c r="M269" s="675">
        <v>0</v>
      </c>
      <c r="N269" s="675">
        <v>0</v>
      </c>
      <c r="O269" s="675">
        <v>0</v>
      </c>
      <c r="P269" s="675">
        <v>0</v>
      </c>
      <c r="Q269" s="675">
        <v>0</v>
      </c>
      <c r="R269" s="675">
        <v>0</v>
      </c>
      <c r="S269" s="675">
        <v>0</v>
      </c>
      <c r="T269" s="675">
        <v>0</v>
      </c>
    </row>
    <row r="270" spans="1:20">
      <c r="A270" s="868" t="s">
        <v>945</v>
      </c>
      <c r="B270" s="332"/>
      <c r="C270" s="728" t="s">
        <v>19</v>
      </c>
      <c r="D270" s="332" t="s">
        <v>946</v>
      </c>
      <c r="H270" s="666">
        <v>0</v>
      </c>
      <c r="I270" s="666">
        <v>0</v>
      </c>
      <c r="J270" s="666">
        <v>0</v>
      </c>
      <c r="K270" s="666">
        <v>0</v>
      </c>
      <c r="L270" s="666">
        <v>0</v>
      </c>
      <c r="M270" s="666">
        <v>0</v>
      </c>
      <c r="N270" s="666">
        <v>0</v>
      </c>
      <c r="O270" s="666">
        <v>0</v>
      </c>
      <c r="P270" s="666">
        <v>0</v>
      </c>
      <c r="Q270" s="666">
        <v>0</v>
      </c>
      <c r="R270" s="666">
        <v>0</v>
      </c>
      <c r="S270" s="666">
        <v>0</v>
      </c>
      <c r="T270" s="666">
        <v>0</v>
      </c>
    </row>
    <row r="271" spans="1:20">
      <c r="A271" s="868" t="s">
        <v>945</v>
      </c>
      <c r="B271" s="728"/>
      <c r="C271" s="728" t="s">
        <v>947</v>
      </c>
      <c r="D271" s="332" t="s">
        <v>946</v>
      </c>
      <c r="H271" s="666">
        <v>0</v>
      </c>
      <c r="I271" s="666">
        <v>0</v>
      </c>
      <c r="J271" s="666">
        <v>0</v>
      </c>
      <c r="K271" s="666">
        <v>0</v>
      </c>
      <c r="L271" s="666">
        <v>0</v>
      </c>
      <c r="M271" s="666">
        <v>0</v>
      </c>
      <c r="N271" s="666">
        <v>0</v>
      </c>
      <c r="O271" s="666">
        <v>0</v>
      </c>
      <c r="P271" s="666">
        <v>0</v>
      </c>
      <c r="Q271" s="666">
        <v>0</v>
      </c>
      <c r="R271" s="666">
        <v>0</v>
      </c>
      <c r="S271" s="666">
        <v>0</v>
      </c>
      <c r="T271" s="666">
        <v>0</v>
      </c>
    </row>
    <row r="272" spans="1:20">
      <c r="A272" s="868" t="s">
        <v>945</v>
      </c>
      <c r="B272" s="332"/>
      <c r="C272" s="728" t="s">
        <v>20</v>
      </c>
      <c r="D272" s="332" t="s">
        <v>946</v>
      </c>
      <c r="H272" s="666">
        <v>0</v>
      </c>
      <c r="I272" s="666">
        <v>0</v>
      </c>
      <c r="J272" s="666">
        <v>0</v>
      </c>
      <c r="K272" s="666">
        <v>0</v>
      </c>
      <c r="L272" s="666">
        <v>0</v>
      </c>
      <c r="M272" s="666">
        <v>0</v>
      </c>
      <c r="N272" s="666">
        <v>0</v>
      </c>
      <c r="O272" s="666">
        <v>0</v>
      </c>
      <c r="P272" s="666">
        <v>0</v>
      </c>
      <c r="Q272" s="666">
        <v>0</v>
      </c>
      <c r="R272" s="666">
        <v>0</v>
      </c>
      <c r="S272" s="666">
        <v>0</v>
      </c>
      <c r="T272" s="666">
        <v>0</v>
      </c>
    </row>
    <row r="273" spans="1:20">
      <c r="A273" s="868" t="s">
        <v>945</v>
      </c>
      <c r="B273" s="728"/>
      <c r="C273" s="728"/>
      <c r="D273" s="728"/>
      <c r="H273" s="666"/>
      <c r="I273" s="666"/>
      <c r="J273" s="666"/>
      <c r="K273" s="666"/>
      <c r="L273" s="666"/>
      <c r="M273" s="666"/>
      <c r="N273" s="666"/>
      <c r="O273" s="666"/>
      <c r="P273" s="666"/>
      <c r="Q273" s="666"/>
      <c r="R273" s="666"/>
      <c r="S273" s="666"/>
      <c r="T273" s="666"/>
    </row>
    <row r="274" spans="1:20">
      <c r="A274" s="868"/>
      <c r="B274" s="728" t="s">
        <v>961</v>
      </c>
      <c r="C274" s="728" t="s">
        <v>16</v>
      </c>
      <c r="D274" s="332" t="s">
        <v>946</v>
      </c>
      <c r="H274" s="666">
        <v>6021</v>
      </c>
      <c r="I274" s="666">
        <v>5713</v>
      </c>
      <c r="J274" s="666">
        <v>4977</v>
      </c>
      <c r="K274" s="666">
        <v>4847</v>
      </c>
      <c r="L274" s="666">
        <v>4176</v>
      </c>
      <c r="M274" s="666">
        <v>2602</v>
      </c>
      <c r="N274" s="666">
        <v>5030</v>
      </c>
      <c r="O274" s="666">
        <v>1793</v>
      </c>
      <c r="P274" s="666">
        <v>2520</v>
      </c>
      <c r="Q274" s="666">
        <v>5014</v>
      </c>
      <c r="R274" s="666">
        <v>5863</v>
      </c>
      <c r="S274" s="666">
        <v>3958</v>
      </c>
      <c r="T274" s="666">
        <v>52514</v>
      </c>
    </row>
    <row r="275" spans="1:20">
      <c r="A275" s="868" t="s">
        <v>949</v>
      </c>
      <c r="B275" s="728"/>
      <c r="C275" s="728"/>
      <c r="D275" s="332" t="s">
        <v>946</v>
      </c>
      <c r="H275" s="666"/>
      <c r="I275" s="666"/>
      <c r="J275" s="666"/>
      <c r="K275" s="666"/>
      <c r="L275" s="666"/>
      <c r="M275" s="666"/>
      <c r="N275" s="666"/>
      <c r="O275" s="666"/>
      <c r="P275" s="666"/>
      <c r="Q275" s="666"/>
      <c r="R275" s="666"/>
      <c r="S275" s="666"/>
      <c r="T275" s="666"/>
    </row>
    <row r="276" spans="1:20">
      <c r="A276" s="868" t="s">
        <v>949</v>
      </c>
      <c r="B276" s="332"/>
      <c r="C276" s="728" t="s">
        <v>17</v>
      </c>
      <c r="D276" s="332" t="s">
        <v>946</v>
      </c>
      <c r="H276" s="666">
        <v>63</v>
      </c>
      <c r="I276" s="666">
        <v>-16</v>
      </c>
      <c r="J276" s="666">
        <v>-151</v>
      </c>
      <c r="K276" s="666">
        <v>-177</v>
      </c>
      <c r="L276" s="666">
        <v>125</v>
      </c>
      <c r="M276" s="666">
        <v>-541</v>
      </c>
      <c r="N276" s="666">
        <v>274</v>
      </c>
      <c r="O276" s="666">
        <v>-368</v>
      </c>
      <c r="P276" s="666">
        <v>-194</v>
      </c>
      <c r="Q276" s="666">
        <v>489</v>
      </c>
      <c r="R276" s="666">
        <v>458</v>
      </c>
      <c r="S276" s="666">
        <v>2</v>
      </c>
      <c r="T276" s="666">
        <v>-36</v>
      </c>
    </row>
    <row r="277" spans="1:20">
      <c r="A277" s="868" t="s">
        <v>949</v>
      </c>
      <c r="B277" s="332"/>
      <c r="C277" s="728"/>
      <c r="D277" s="332" t="s">
        <v>946</v>
      </c>
      <c r="H277" s="666"/>
      <c r="I277" s="666"/>
      <c r="J277" s="666"/>
      <c r="K277" s="666"/>
      <c r="L277" s="666"/>
      <c r="M277" s="666"/>
      <c r="N277" s="666"/>
      <c r="O277" s="666"/>
      <c r="P277" s="666"/>
      <c r="Q277" s="666"/>
      <c r="R277" s="666"/>
      <c r="S277" s="666"/>
      <c r="T277" s="666"/>
    </row>
    <row r="278" spans="1:20">
      <c r="A278" s="868" t="s">
        <v>949</v>
      </c>
      <c r="B278" s="332"/>
      <c r="C278" s="728" t="s">
        <v>18</v>
      </c>
      <c r="D278" s="332" t="s">
        <v>946</v>
      </c>
      <c r="H278" s="675">
        <v>97606</v>
      </c>
      <c r="I278" s="675">
        <v>91368</v>
      </c>
      <c r="J278" s="675">
        <v>76430</v>
      </c>
      <c r="K278" s="675">
        <v>73787</v>
      </c>
      <c r="L278" s="675">
        <v>59743</v>
      </c>
      <c r="M278" s="675">
        <v>28179</v>
      </c>
      <c r="N278" s="675">
        <v>77102</v>
      </c>
      <c r="O278" s="675">
        <v>11425</v>
      </c>
      <c r="P278" s="675">
        <v>26149</v>
      </c>
      <c r="Q278" s="675">
        <v>76567</v>
      </c>
      <c r="R278" s="675">
        <v>98638</v>
      </c>
      <c r="S278" s="675">
        <v>58495</v>
      </c>
      <c r="T278" s="675">
        <v>775489</v>
      </c>
    </row>
    <row r="279" spans="1:20">
      <c r="A279" s="868" t="s">
        <v>949</v>
      </c>
      <c r="B279" s="332"/>
      <c r="C279" s="728" t="s">
        <v>19</v>
      </c>
      <c r="D279" s="332" t="s">
        <v>946</v>
      </c>
      <c r="H279" s="666">
        <v>103690</v>
      </c>
      <c r="I279" s="666">
        <v>97065</v>
      </c>
      <c r="J279" s="666">
        <v>81256</v>
      </c>
      <c r="K279" s="666">
        <v>78457</v>
      </c>
      <c r="L279" s="666">
        <v>64044</v>
      </c>
      <c r="M279" s="666">
        <v>30240</v>
      </c>
      <c r="N279" s="666">
        <v>82406</v>
      </c>
      <c r="O279" s="666">
        <v>12850</v>
      </c>
      <c r="P279" s="666">
        <v>28475</v>
      </c>
      <c r="Q279" s="666">
        <v>82070</v>
      </c>
      <c r="R279" s="666">
        <v>104959</v>
      </c>
      <c r="S279" s="666">
        <v>62455</v>
      </c>
      <c r="T279" s="666">
        <v>827967</v>
      </c>
    </row>
    <row r="280" spans="1:20">
      <c r="A280" s="868" t="s">
        <v>949</v>
      </c>
      <c r="B280" s="728"/>
      <c r="C280" s="728" t="s">
        <v>947</v>
      </c>
      <c r="D280" s="332" t="s">
        <v>946</v>
      </c>
      <c r="H280" s="666">
        <v>5</v>
      </c>
      <c r="I280" s="666">
        <v>5</v>
      </c>
      <c r="J280" s="666">
        <v>5</v>
      </c>
      <c r="K280" s="666">
        <v>5</v>
      </c>
      <c r="L280" s="666">
        <v>5</v>
      </c>
      <c r="M280" s="666">
        <v>5</v>
      </c>
      <c r="N280" s="666">
        <v>5</v>
      </c>
      <c r="O280" s="666">
        <v>4</v>
      </c>
      <c r="P280" s="666">
        <v>5</v>
      </c>
      <c r="Q280" s="666">
        <v>5</v>
      </c>
      <c r="R280" s="666">
        <v>5</v>
      </c>
      <c r="S280" s="666">
        <v>4</v>
      </c>
      <c r="T280" s="666">
        <v>4.833333333333333</v>
      </c>
    </row>
    <row r="281" spans="1:20">
      <c r="A281" s="868" t="s">
        <v>949</v>
      </c>
      <c r="B281" s="332"/>
      <c r="C281" s="728" t="s">
        <v>20</v>
      </c>
      <c r="D281" s="332" t="s">
        <v>946</v>
      </c>
      <c r="H281" s="666">
        <v>18958</v>
      </c>
      <c r="I281" s="666">
        <v>17732</v>
      </c>
      <c r="J281" s="666">
        <v>14806</v>
      </c>
      <c r="K281" s="666">
        <v>14288</v>
      </c>
      <c r="L281" s="666">
        <v>11621</v>
      </c>
      <c r="M281" s="666">
        <v>5363</v>
      </c>
      <c r="N281" s="666">
        <v>15015</v>
      </c>
      <c r="O281" s="666">
        <v>2146</v>
      </c>
      <c r="P281" s="666">
        <v>5036</v>
      </c>
      <c r="Q281" s="666">
        <v>14952</v>
      </c>
      <c r="R281" s="666">
        <v>18329</v>
      </c>
      <c r="S281" s="666">
        <v>10752</v>
      </c>
      <c r="T281" s="666">
        <v>148998</v>
      </c>
    </row>
    <row r="282" spans="1:20">
      <c r="A282" s="868" t="s">
        <v>949</v>
      </c>
      <c r="B282" s="728"/>
      <c r="C282" s="728"/>
      <c r="D282" s="728"/>
      <c r="H282" s="666"/>
      <c r="I282" s="666"/>
      <c r="J282" s="666"/>
      <c r="K282" s="666"/>
      <c r="L282" s="666"/>
      <c r="M282" s="666"/>
      <c r="N282" s="666"/>
      <c r="O282" s="666"/>
      <c r="P282" s="666"/>
      <c r="Q282" s="666"/>
      <c r="R282" s="666"/>
      <c r="S282" s="666"/>
      <c r="T282" s="666"/>
    </row>
    <row r="283" spans="1:20">
      <c r="A283" s="868"/>
      <c r="B283" s="728" t="s">
        <v>89</v>
      </c>
      <c r="C283" s="728" t="s">
        <v>16</v>
      </c>
      <c r="D283" s="332" t="s">
        <v>946</v>
      </c>
      <c r="H283" s="666">
        <v>0</v>
      </c>
      <c r="I283" s="666">
        <v>0</v>
      </c>
      <c r="J283" s="666">
        <v>0</v>
      </c>
      <c r="K283" s="666">
        <v>0</v>
      </c>
      <c r="L283" s="666">
        <v>0</v>
      </c>
      <c r="M283" s="666">
        <v>0</v>
      </c>
      <c r="N283" s="666">
        <v>0</v>
      </c>
      <c r="O283" s="666">
        <v>0</v>
      </c>
      <c r="P283" s="666">
        <v>0</v>
      </c>
      <c r="Q283" s="666">
        <v>0</v>
      </c>
      <c r="R283" s="666">
        <v>0</v>
      </c>
      <c r="S283" s="666">
        <v>0</v>
      </c>
      <c r="T283" s="666">
        <v>0</v>
      </c>
    </row>
    <row r="284" spans="1:20">
      <c r="A284" s="868"/>
      <c r="B284" s="728"/>
      <c r="C284" s="728"/>
      <c r="D284" s="332" t="s">
        <v>946</v>
      </c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</row>
    <row r="285" spans="1:20">
      <c r="A285" s="868"/>
      <c r="B285" s="332"/>
      <c r="C285" s="728" t="s">
        <v>17</v>
      </c>
      <c r="D285" s="332" t="s">
        <v>946</v>
      </c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</row>
    <row r="286" spans="1:20">
      <c r="A286" s="868"/>
      <c r="B286" s="332"/>
      <c r="C286" s="728"/>
      <c r="D286" s="332" t="s">
        <v>946</v>
      </c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</row>
    <row r="287" spans="1:20">
      <c r="A287" s="868"/>
      <c r="B287" s="332"/>
      <c r="C287" s="728" t="s">
        <v>18</v>
      </c>
      <c r="D287" s="332" t="s">
        <v>946</v>
      </c>
      <c r="H287" s="675">
        <v>0</v>
      </c>
      <c r="I287" s="675">
        <v>0</v>
      </c>
      <c r="J287" s="675">
        <v>0</v>
      </c>
      <c r="K287" s="675">
        <v>0</v>
      </c>
      <c r="L287" s="675">
        <v>0</v>
      </c>
      <c r="M287" s="675">
        <v>0</v>
      </c>
      <c r="N287" s="675">
        <v>0</v>
      </c>
      <c r="O287" s="675">
        <v>0</v>
      </c>
      <c r="P287" s="675">
        <v>0</v>
      </c>
      <c r="Q287" s="675">
        <v>0</v>
      </c>
      <c r="R287" s="675">
        <v>0</v>
      </c>
      <c r="S287" s="675">
        <v>0</v>
      </c>
      <c r="T287" s="675">
        <v>0</v>
      </c>
    </row>
    <row r="288" spans="1:20">
      <c r="A288" s="868"/>
      <c r="B288" s="332"/>
      <c r="C288" s="728" t="s">
        <v>19</v>
      </c>
      <c r="D288" s="332" t="s">
        <v>946</v>
      </c>
      <c r="H288" s="666">
        <v>0</v>
      </c>
      <c r="I288" s="666">
        <v>0</v>
      </c>
      <c r="J288" s="666">
        <v>0</v>
      </c>
      <c r="K288" s="666">
        <v>0</v>
      </c>
      <c r="L288" s="666">
        <v>0</v>
      </c>
      <c r="M288" s="666">
        <v>0</v>
      </c>
      <c r="N288" s="666">
        <v>0</v>
      </c>
      <c r="O288" s="666">
        <v>0</v>
      </c>
      <c r="P288" s="666">
        <v>0</v>
      </c>
      <c r="Q288" s="666">
        <v>0</v>
      </c>
      <c r="R288" s="666">
        <v>0</v>
      </c>
      <c r="S288" s="666">
        <v>0</v>
      </c>
      <c r="T288" s="666">
        <v>0</v>
      </c>
    </row>
    <row r="289" spans="1:20">
      <c r="A289" s="868"/>
      <c r="B289" s="728"/>
      <c r="C289" s="728" t="s">
        <v>947</v>
      </c>
      <c r="D289" s="332" t="s">
        <v>946</v>
      </c>
      <c r="H289" s="666">
        <v>0</v>
      </c>
      <c r="I289" s="666">
        <v>0</v>
      </c>
      <c r="J289" s="666">
        <v>0</v>
      </c>
      <c r="K289" s="666">
        <v>0</v>
      </c>
      <c r="L289" s="666">
        <v>0</v>
      </c>
      <c r="M289" s="666">
        <v>0</v>
      </c>
      <c r="N289" s="666">
        <v>0</v>
      </c>
      <c r="O289" s="666">
        <v>0</v>
      </c>
      <c r="P289" s="666">
        <v>0</v>
      </c>
      <c r="Q289" s="666">
        <v>0</v>
      </c>
      <c r="R289" s="666">
        <v>0</v>
      </c>
      <c r="S289" s="666">
        <v>0</v>
      </c>
      <c r="T289" s="666">
        <v>0</v>
      </c>
    </row>
    <row r="290" spans="1:20">
      <c r="A290" s="868"/>
      <c r="B290" s="728"/>
      <c r="C290" s="728" t="s">
        <v>20</v>
      </c>
      <c r="D290" s="332" t="s">
        <v>946</v>
      </c>
      <c r="H290" s="666">
        <v>0</v>
      </c>
      <c r="I290" s="666">
        <v>0</v>
      </c>
      <c r="J290" s="666">
        <v>0</v>
      </c>
      <c r="K290" s="666">
        <v>0</v>
      </c>
      <c r="L290" s="666">
        <v>0</v>
      </c>
      <c r="M290" s="666">
        <v>0</v>
      </c>
      <c r="N290" s="666">
        <v>0</v>
      </c>
      <c r="O290" s="666">
        <v>0</v>
      </c>
      <c r="P290" s="666">
        <v>0</v>
      </c>
      <c r="Q290" s="666">
        <v>0</v>
      </c>
      <c r="R290" s="666">
        <v>0</v>
      </c>
      <c r="S290" s="666">
        <v>0</v>
      </c>
      <c r="T290" s="666">
        <v>0</v>
      </c>
    </row>
    <row r="291" spans="1:20">
      <c r="A291" s="868"/>
      <c r="B291" s="728"/>
      <c r="C291" s="728"/>
      <c r="D291" s="728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</row>
    <row r="292" spans="1:20">
      <c r="A292" s="868"/>
      <c r="B292" s="728" t="s">
        <v>25</v>
      </c>
      <c r="C292" s="728" t="s">
        <v>16</v>
      </c>
      <c r="D292" s="332" t="s">
        <v>946</v>
      </c>
      <c r="H292" s="666">
        <v>0</v>
      </c>
      <c r="I292" s="666">
        <v>0</v>
      </c>
      <c r="J292" s="666">
        <v>0</v>
      </c>
      <c r="K292" s="666">
        <v>0</v>
      </c>
      <c r="L292" s="666">
        <v>0</v>
      </c>
      <c r="M292" s="666">
        <v>0</v>
      </c>
      <c r="N292" s="666">
        <v>0</v>
      </c>
      <c r="O292" s="666">
        <v>0</v>
      </c>
      <c r="P292" s="666">
        <v>0</v>
      </c>
      <c r="Q292" s="666">
        <v>0</v>
      </c>
      <c r="R292" s="666">
        <v>0</v>
      </c>
      <c r="S292" s="666">
        <v>0</v>
      </c>
      <c r="T292" s="666">
        <v>0</v>
      </c>
    </row>
    <row r="293" spans="1:20">
      <c r="A293" s="868"/>
      <c r="B293" s="728" t="s">
        <v>693</v>
      </c>
      <c r="C293" s="728" t="s">
        <v>463</v>
      </c>
      <c r="D293" s="332" t="s">
        <v>946</v>
      </c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</row>
    <row r="294" spans="1:20">
      <c r="A294" s="868"/>
      <c r="B294" s="332"/>
      <c r="C294" s="332"/>
      <c r="D294" s="332" t="s">
        <v>946</v>
      </c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</row>
    <row r="295" spans="1:20">
      <c r="A295" s="868"/>
      <c r="B295" s="332"/>
      <c r="C295" s="332"/>
      <c r="D295" s="332" t="s">
        <v>946</v>
      </c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</row>
    <row r="296" spans="1:20">
      <c r="A296" s="868"/>
      <c r="B296" s="332"/>
      <c r="C296" s="332" t="s">
        <v>18</v>
      </c>
      <c r="D296" s="332" t="s">
        <v>946</v>
      </c>
      <c r="H296" s="675"/>
      <c r="I296" s="675"/>
      <c r="J296" s="675"/>
      <c r="K296" s="675"/>
      <c r="L296" s="675"/>
      <c r="M296" s="675"/>
      <c r="N296" s="675"/>
      <c r="O296" s="675"/>
      <c r="P296" s="675"/>
      <c r="Q296" s="675"/>
      <c r="R296" s="675"/>
      <c r="S296" s="675"/>
      <c r="T296" s="675">
        <v>0</v>
      </c>
    </row>
    <row r="297" spans="1:20">
      <c r="A297" s="868"/>
      <c r="B297" s="332"/>
      <c r="C297" s="332" t="s">
        <v>19</v>
      </c>
      <c r="D297" s="332" t="s">
        <v>946</v>
      </c>
      <c r="H297" s="666">
        <v>0</v>
      </c>
      <c r="I297" s="666">
        <v>0</v>
      </c>
      <c r="J297" s="666">
        <v>0</v>
      </c>
      <c r="K297" s="666">
        <v>0</v>
      </c>
      <c r="L297" s="666">
        <v>0</v>
      </c>
      <c r="M297" s="666">
        <v>0</v>
      </c>
      <c r="N297" s="666">
        <v>0</v>
      </c>
      <c r="O297" s="666">
        <v>0</v>
      </c>
      <c r="P297" s="666">
        <v>0</v>
      </c>
      <c r="Q297" s="666">
        <v>0</v>
      </c>
      <c r="R297" s="666">
        <v>0</v>
      </c>
      <c r="S297" s="666">
        <v>0</v>
      </c>
      <c r="T297" s="666">
        <v>0</v>
      </c>
    </row>
    <row r="298" spans="1:20">
      <c r="A298" s="868"/>
      <c r="B298" s="728"/>
      <c r="C298" s="728" t="s">
        <v>947</v>
      </c>
      <c r="D298" s="332" t="s">
        <v>946</v>
      </c>
      <c r="H298" s="666">
        <v>0</v>
      </c>
      <c r="I298" s="666">
        <v>0</v>
      </c>
      <c r="J298" s="666">
        <v>0</v>
      </c>
      <c r="K298" s="666">
        <v>0</v>
      </c>
      <c r="L298" s="666">
        <v>0</v>
      </c>
      <c r="M298" s="666">
        <v>0</v>
      </c>
      <c r="N298" s="666">
        <v>0</v>
      </c>
      <c r="O298" s="666">
        <v>0</v>
      </c>
      <c r="P298" s="666">
        <v>0</v>
      </c>
      <c r="Q298" s="666">
        <v>0</v>
      </c>
      <c r="R298" s="666">
        <v>0</v>
      </c>
      <c r="S298" s="666">
        <v>0</v>
      </c>
      <c r="T298" s="666">
        <v>0</v>
      </c>
    </row>
    <row r="299" spans="1:20">
      <c r="A299" s="868"/>
      <c r="B299" s="728"/>
      <c r="C299" s="332" t="s">
        <v>20</v>
      </c>
      <c r="D299" s="332" t="s">
        <v>946</v>
      </c>
      <c r="H299" s="666">
        <v>0</v>
      </c>
      <c r="I299" s="666">
        <v>0</v>
      </c>
      <c r="J299" s="666">
        <v>0</v>
      </c>
      <c r="K299" s="666">
        <v>0</v>
      </c>
      <c r="L299" s="666">
        <v>0</v>
      </c>
      <c r="M299" s="666">
        <v>0</v>
      </c>
      <c r="N299" s="666">
        <v>0</v>
      </c>
      <c r="O299" s="666">
        <v>0</v>
      </c>
      <c r="P299" s="666">
        <v>0</v>
      </c>
      <c r="Q299" s="666">
        <v>0</v>
      </c>
      <c r="R299" s="666">
        <v>0</v>
      </c>
      <c r="S299" s="666">
        <v>0</v>
      </c>
      <c r="T299" s="666">
        <v>0</v>
      </c>
    </row>
    <row r="300" spans="1:20">
      <c r="A300" s="868"/>
      <c r="C300" s="332"/>
      <c r="D300" s="332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</row>
    <row r="301" spans="1:20">
      <c r="A301" s="868" t="s">
        <v>953</v>
      </c>
      <c r="B301" s="728" t="s">
        <v>962</v>
      </c>
      <c r="C301" s="728" t="s">
        <v>16</v>
      </c>
      <c r="D301" s="332" t="s">
        <v>955</v>
      </c>
      <c r="H301" s="666">
        <v>8254</v>
      </c>
      <c r="I301" s="666">
        <v>7331</v>
      </c>
      <c r="J301" s="666">
        <v>6918</v>
      </c>
      <c r="K301" s="666">
        <v>6456</v>
      </c>
      <c r="L301" s="666">
        <v>6082</v>
      </c>
      <c r="M301" s="666">
        <v>6223</v>
      </c>
      <c r="N301" s="666">
        <v>6088</v>
      </c>
      <c r="O301" s="666">
        <v>6153</v>
      </c>
      <c r="P301" s="666">
        <v>6312</v>
      </c>
      <c r="Q301" s="666">
        <v>6600</v>
      </c>
      <c r="R301" s="666">
        <v>6937</v>
      </c>
      <c r="S301" s="666">
        <v>7391</v>
      </c>
      <c r="T301" s="666">
        <v>80745</v>
      </c>
    </row>
    <row r="302" spans="1:20">
      <c r="A302" s="868" t="s">
        <v>953</v>
      </c>
      <c r="B302" s="332"/>
      <c r="C302" s="728"/>
      <c r="D302" s="332" t="s">
        <v>955</v>
      </c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</row>
    <row r="303" spans="1:20">
      <c r="A303" s="868" t="s">
        <v>953</v>
      </c>
      <c r="B303" s="332"/>
      <c r="C303" s="728" t="s">
        <v>17</v>
      </c>
      <c r="D303" s="332" t="s">
        <v>955</v>
      </c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</row>
    <row r="304" spans="1:20">
      <c r="A304" s="868" t="s">
        <v>953</v>
      </c>
      <c r="B304" s="332"/>
      <c r="C304" s="728"/>
      <c r="D304" s="332" t="s">
        <v>955</v>
      </c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</row>
    <row r="305" spans="1:20">
      <c r="A305" s="868" t="s">
        <v>953</v>
      </c>
      <c r="B305" s="332"/>
      <c r="C305" s="728" t="s">
        <v>18</v>
      </c>
      <c r="D305" s="332" t="s">
        <v>955</v>
      </c>
      <c r="H305" s="675"/>
      <c r="I305" s="675"/>
      <c r="J305" s="675"/>
      <c r="K305" s="675"/>
      <c r="L305" s="675"/>
      <c r="M305" s="675"/>
      <c r="N305" s="675"/>
      <c r="O305" s="675"/>
      <c r="P305" s="675"/>
      <c r="Q305" s="675"/>
      <c r="R305" s="675"/>
      <c r="S305" s="675"/>
      <c r="T305" s="675">
        <v>0</v>
      </c>
    </row>
    <row r="306" spans="1:20">
      <c r="A306" s="868" t="s">
        <v>953</v>
      </c>
      <c r="B306" s="728"/>
      <c r="C306" s="728" t="s">
        <v>19</v>
      </c>
      <c r="D306" s="332" t="s">
        <v>955</v>
      </c>
      <c r="H306" s="666">
        <v>8254</v>
      </c>
      <c r="I306" s="666">
        <v>7331</v>
      </c>
      <c r="J306" s="666">
        <v>6918</v>
      </c>
      <c r="K306" s="666">
        <v>6456</v>
      </c>
      <c r="L306" s="666">
        <v>6082</v>
      </c>
      <c r="M306" s="666">
        <v>6223</v>
      </c>
      <c r="N306" s="666">
        <v>6088</v>
      </c>
      <c r="O306" s="666">
        <v>6153</v>
      </c>
      <c r="P306" s="666">
        <v>6312</v>
      </c>
      <c r="Q306" s="666">
        <v>6600</v>
      </c>
      <c r="R306" s="666">
        <v>6937</v>
      </c>
      <c r="S306" s="666">
        <v>7391</v>
      </c>
      <c r="T306" s="666">
        <v>80745</v>
      </c>
    </row>
    <row r="307" spans="1:20">
      <c r="A307" s="868" t="s">
        <v>953</v>
      </c>
      <c r="B307" s="728"/>
      <c r="C307" s="728" t="s">
        <v>947</v>
      </c>
      <c r="D307" s="332" t="s">
        <v>955</v>
      </c>
      <c r="H307" s="666">
        <v>3</v>
      </c>
      <c r="I307" s="666">
        <v>3</v>
      </c>
      <c r="J307" s="666">
        <v>3</v>
      </c>
      <c r="K307" s="666">
        <v>3</v>
      </c>
      <c r="L307" s="666">
        <v>3</v>
      </c>
      <c r="M307" s="666">
        <v>3</v>
      </c>
      <c r="N307" s="666">
        <v>3</v>
      </c>
      <c r="O307" s="666">
        <v>3</v>
      </c>
      <c r="P307" s="666">
        <v>3</v>
      </c>
      <c r="Q307" s="666">
        <v>3</v>
      </c>
      <c r="R307" s="666">
        <v>3</v>
      </c>
      <c r="S307" s="666">
        <v>3</v>
      </c>
      <c r="T307" s="666">
        <v>3</v>
      </c>
    </row>
    <row r="308" spans="1:20">
      <c r="A308" s="868" t="s">
        <v>953</v>
      </c>
      <c r="B308" s="728"/>
      <c r="C308" s="728" t="s">
        <v>20</v>
      </c>
      <c r="D308" s="332" t="s">
        <v>955</v>
      </c>
      <c r="H308" s="666">
        <v>21370</v>
      </c>
      <c r="I308" s="666">
        <v>15853</v>
      </c>
      <c r="J308" s="666">
        <v>13386</v>
      </c>
      <c r="K308" s="666">
        <v>10625</v>
      </c>
      <c r="L308" s="666">
        <v>8386</v>
      </c>
      <c r="M308" s="666">
        <v>8867</v>
      </c>
      <c r="N308" s="666">
        <v>8426</v>
      </c>
      <c r="O308" s="666">
        <v>8815</v>
      </c>
      <c r="P308" s="666">
        <v>9766</v>
      </c>
      <c r="Q308" s="666">
        <v>11485</v>
      </c>
      <c r="R308" s="666">
        <v>13498</v>
      </c>
      <c r="S308" s="666">
        <v>16214</v>
      </c>
      <c r="T308" s="666">
        <v>146691</v>
      </c>
    </row>
    <row r="309" spans="1:20">
      <c r="A309" s="868" t="s">
        <v>953</v>
      </c>
      <c r="C309" s="332"/>
      <c r="D309" s="332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</row>
    <row r="310" spans="1:20">
      <c r="A310" s="868" t="s">
        <v>953</v>
      </c>
      <c r="B310" s="728" t="s">
        <v>963</v>
      </c>
      <c r="C310" s="728" t="s">
        <v>16</v>
      </c>
      <c r="D310" s="332" t="s">
        <v>955</v>
      </c>
      <c r="H310" s="666">
        <v>4737</v>
      </c>
      <c r="I310" s="666">
        <v>3565</v>
      </c>
      <c r="J310" s="666">
        <v>8197</v>
      </c>
      <c r="K310" s="666">
        <v>4726</v>
      </c>
      <c r="L310" s="666">
        <v>4513</v>
      </c>
      <c r="M310" s="666">
        <v>6133</v>
      </c>
      <c r="N310" s="666">
        <v>1522</v>
      </c>
      <c r="O310" s="666">
        <v>-1981</v>
      </c>
      <c r="P310" s="666">
        <v>2781</v>
      </c>
      <c r="Q310" s="666">
        <v>2878</v>
      </c>
      <c r="R310" s="666">
        <v>3407</v>
      </c>
      <c r="S310" s="666">
        <v>3223</v>
      </c>
      <c r="T310" s="666">
        <v>43701</v>
      </c>
    </row>
    <row r="311" spans="1:20">
      <c r="A311" s="868" t="s">
        <v>953</v>
      </c>
      <c r="B311" s="728" t="s">
        <v>694</v>
      </c>
      <c r="C311" s="728"/>
      <c r="D311" s="332" t="s">
        <v>955</v>
      </c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</row>
    <row r="312" spans="1:20">
      <c r="A312" s="868" t="s">
        <v>953</v>
      </c>
      <c r="B312" s="332"/>
      <c r="C312" s="728" t="s">
        <v>17</v>
      </c>
      <c r="D312" s="332" t="s">
        <v>955</v>
      </c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</row>
    <row r="313" spans="1:20">
      <c r="A313" s="868" t="s">
        <v>953</v>
      </c>
      <c r="B313" s="332"/>
      <c r="C313" s="728"/>
      <c r="D313" s="332" t="s">
        <v>955</v>
      </c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</row>
    <row r="314" spans="1:20">
      <c r="A314" s="868" t="s">
        <v>953</v>
      </c>
      <c r="B314" s="332"/>
      <c r="C314" s="728" t="s">
        <v>18</v>
      </c>
      <c r="D314" s="332" t="s">
        <v>955</v>
      </c>
      <c r="H314" s="675"/>
      <c r="I314" s="675"/>
      <c r="J314" s="675"/>
      <c r="K314" s="675"/>
      <c r="L314" s="675"/>
      <c r="M314" s="675"/>
      <c r="N314" s="675"/>
      <c r="O314" s="675"/>
      <c r="P314" s="675"/>
      <c r="Q314" s="675"/>
      <c r="R314" s="675"/>
      <c r="S314" s="675"/>
      <c r="T314" s="675">
        <v>0</v>
      </c>
    </row>
    <row r="315" spans="1:20">
      <c r="A315" s="868" t="s">
        <v>953</v>
      </c>
      <c r="B315" s="728"/>
      <c r="C315" s="728" t="s">
        <v>19</v>
      </c>
      <c r="D315" s="332" t="s">
        <v>955</v>
      </c>
      <c r="H315" s="666">
        <v>4737</v>
      </c>
      <c r="I315" s="666">
        <v>3565</v>
      </c>
      <c r="J315" s="666">
        <v>8197</v>
      </c>
      <c r="K315" s="666">
        <v>4726</v>
      </c>
      <c r="L315" s="666">
        <v>4513</v>
      </c>
      <c r="M315" s="666">
        <v>6133</v>
      </c>
      <c r="N315" s="666">
        <v>1522</v>
      </c>
      <c r="O315" s="666">
        <v>-1981</v>
      </c>
      <c r="P315" s="666">
        <v>2781</v>
      </c>
      <c r="Q315" s="666">
        <v>2878</v>
      </c>
      <c r="R315" s="666">
        <v>3407</v>
      </c>
      <c r="S315" s="666">
        <v>3223</v>
      </c>
      <c r="T315" s="666">
        <v>43701</v>
      </c>
    </row>
    <row r="316" spans="1:20">
      <c r="A316" s="868" t="s">
        <v>953</v>
      </c>
      <c r="B316" s="728"/>
      <c r="C316" s="728" t="s">
        <v>947</v>
      </c>
      <c r="D316" s="332" t="s">
        <v>955</v>
      </c>
      <c r="H316" s="666">
        <v>2</v>
      </c>
      <c r="I316" s="666">
        <v>2</v>
      </c>
      <c r="J316" s="666">
        <v>2</v>
      </c>
      <c r="K316" s="666">
        <v>2</v>
      </c>
      <c r="L316" s="666">
        <v>2</v>
      </c>
      <c r="M316" s="666">
        <v>2</v>
      </c>
      <c r="N316" s="666">
        <v>2</v>
      </c>
      <c r="O316" s="666">
        <v>2</v>
      </c>
      <c r="P316" s="666">
        <v>2</v>
      </c>
      <c r="Q316" s="666">
        <v>2</v>
      </c>
      <c r="R316" s="666">
        <v>2</v>
      </c>
      <c r="S316" s="666">
        <v>2</v>
      </c>
      <c r="T316" s="666">
        <v>2</v>
      </c>
    </row>
    <row r="317" spans="1:20">
      <c r="A317" s="868" t="s">
        <v>953</v>
      </c>
      <c r="B317" s="332"/>
      <c r="C317" s="728" t="s">
        <v>20</v>
      </c>
      <c r="D317" s="332" t="s">
        <v>955</v>
      </c>
      <c r="H317" s="666">
        <v>75035</v>
      </c>
      <c r="I317" s="666">
        <v>49575</v>
      </c>
      <c r="J317" s="666">
        <v>51851</v>
      </c>
      <c r="K317" s="666">
        <v>92988</v>
      </c>
      <c r="L317" s="666">
        <v>92566</v>
      </c>
      <c r="M317" s="666">
        <v>13560</v>
      </c>
      <c r="N317" s="666">
        <v>19138</v>
      </c>
      <c r="O317" s="666">
        <v>-41851</v>
      </c>
      <c r="P317" s="666">
        <v>39984</v>
      </c>
      <c r="Q317" s="666">
        <v>37529</v>
      </c>
      <c r="R317" s="666">
        <v>48007</v>
      </c>
      <c r="S317" s="666">
        <v>39539</v>
      </c>
      <c r="T317" s="666">
        <v>517921</v>
      </c>
    </row>
    <row r="318" spans="1:20">
      <c r="A318" s="868" t="s">
        <v>953</v>
      </c>
      <c r="B318" s="332"/>
      <c r="C318" s="728"/>
      <c r="D318" s="728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</row>
    <row r="319" spans="1:20">
      <c r="A319" s="868"/>
      <c r="B319" s="332" t="s">
        <v>690</v>
      </c>
      <c r="C319" s="332" t="s">
        <v>16</v>
      </c>
      <c r="D319" s="332" t="s">
        <v>946</v>
      </c>
      <c r="H319" s="666">
        <v>45994.820000000007</v>
      </c>
      <c r="I319" s="666">
        <v>85042.51999999996</v>
      </c>
      <c r="J319" s="666">
        <v>102647.68999999997</v>
      </c>
      <c r="K319" s="666">
        <v>-9643.7699999999895</v>
      </c>
      <c r="L319" s="666">
        <v>59737.489999999991</v>
      </c>
      <c r="M319" s="666">
        <v>103924.6</v>
      </c>
      <c r="N319" s="666">
        <v>106098.70000000001</v>
      </c>
      <c r="O319" s="666">
        <v>8699.8500000000058</v>
      </c>
      <c r="P319" s="666">
        <v>77121.899999999994</v>
      </c>
      <c r="Q319" s="666">
        <v>-56644.12000000001</v>
      </c>
      <c r="R319" s="666">
        <v>-133722.24000000002</v>
      </c>
      <c r="S319" s="666">
        <v>-48490.130000000005</v>
      </c>
      <c r="T319" s="666">
        <v>340767.31000000006</v>
      </c>
    </row>
    <row r="320" spans="1:20">
      <c r="A320" s="868"/>
      <c r="B320" s="332" t="s">
        <v>114</v>
      </c>
      <c r="C320" s="728" t="s">
        <v>16</v>
      </c>
      <c r="D320" s="728" t="s">
        <v>946</v>
      </c>
      <c r="H320" s="666">
        <v>27627.95</v>
      </c>
      <c r="I320" s="666">
        <v>24808.65</v>
      </c>
      <c r="J320" s="666">
        <v>18899.490000000002</v>
      </c>
      <c r="K320" s="666">
        <v>15445.45</v>
      </c>
      <c r="L320" s="666">
        <v>9145.25</v>
      </c>
      <c r="M320" s="666">
        <v>3078.21</v>
      </c>
      <c r="N320" s="666">
        <v>2695.61</v>
      </c>
      <c r="O320" s="666">
        <v>2759.14</v>
      </c>
      <c r="P320" s="666">
        <v>4119.1000000000004</v>
      </c>
      <c r="Q320" s="666">
        <v>11695.87</v>
      </c>
      <c r="R320" s="666">
        <v>19441.43</v>
      </c>
      <c r="S320" s="666">
        <v>25340.97</v>
      </c>
      <c r="T320" s="666">
        <v>165057.12000000002</v>
      </c>
    </row>
    <row r="321" spans="1:21">
      <c r="A321" s="868"/>
      <c r="B321" s="332" t="s">
        <v>545</v>
      </c>
      <c r="C321" s="332"/>
      <c r="D321" s="332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</row>
    <row r="322" spans="1:21">
      <c r="A322" s="868"/>
      <c r="B322" s="332"/>
      <c r="C322" s="332" t="s">
        <v>16</v>
      </c>
      <c r="D322" s="332"/>
      <c r="H322" s="666">
        <v>1777664.8502426001</v>
      </c>
      <c r="I322" s="666">
        <v>1656664.0456691999</v>
      </c>
      <c r="J322" s="666">
        <v>1401224.3934072</v>
      </c>
      <c r="K322" s="666">
        <v>1131409.8891874</v>
      </c>
      <c r="L322" s="666">
        <v>881857.42057179997</v>
      </c>
      <c r="M322" s="666">
        <v>625157.97711639991</v>
      </c>
      <c r="N322" s="666">
        <v>614117.54936039995</v>
      </c>
      <c r="O322" s="666">
        <v>509266.37994640006</v>
      </c>
      <c r="P322" s="666">
        <v>648789.84693919995</v>
      </c>
      <c r="Q322" s="666">
        <v>896905.59266359999</v>
      </c>
      <c r="R322" s="666">
        <v>1225631.1824920001</v>
      </c>
      <c r="S322" s="666">
        <v>1620139.4120944</v>
      </c>
      <c r="T322" s="666">
        <v>12988828.539690599</v>
      </c>
      <c r="U322" s="95"/>
    </row>
    <row r="323" spans="1:21">
      <c r="A323" s="868"/>
      <c r="B323" s="332"/>
      <c r="C323" s="332" t="s">
        <v>17</v>
      </c>
      <c r="D323" s="332"/>
      <c r="H323" s="666">
        <v>63</v>
      </c>
      <c r="I323" s="666">
        <v>-16</v>
      </c>
      <c r="J323" s="666">
        <v>-151</v>
      </c>
      <c r="K323" s="666">
        <v>-177</v>
      </c>
      <c r="L323" s="666">
        <v>125</v>
      </c>
      <c r="M323" s="666">
        <v>-541</v>
      </c>
      <c r="N323" s="666">
        <v>274</v>
      </c>
      <c r="O323" s="666">
        <v>-368</v>
      </c>
      <c r="P323" s="666">
        <v>-194</v>
      </c>
      <c r="Q323" s="666">
        <v>489</v>
      </c>
      <c r="R323" s="666">
        <v>458</v>
      </c>
      <c r="S323" s="666">
        <v>2</v>
      </c>
      <c r="T323" s="666">
        <v>-36</v>
      </c>
      <c r="U323" s="95"/>
    </row>
    <row r="324" spans="1:21">
      <c r="A324" s="868"/>
      <c r="B324" s="332"/>
      <c r="C324" s="728" t="s">
        <v>548</v>
      </c>
      <c r="D324" s="728"/>
      <c r="H324" s="666">
        <v>12991</v>
      </c>
      <c r="I324" s="666">
        <v>10896</v>
      </c>
      <c r="J324" s="666">
        <v>15115</v>
      </c>
      <c r="K324" s="666">
        <v>11182</v>
      </c>
      <c r="L324" s="666">
        <v>10595</v>
      </c>
      <c r="M324" s="666">
        <v>12356</v>
      </c>
      <c r="N324" s="666">
        <v>7610</v>
      </c>
      <c r="O324" s="666">
        <v>4172</v>
      </c>
      <c r="P324" s="666">
        <v>9093</v>
      </c>
      <c r="Q324" s="666">
        <v>9478</v>
      </c>
      <c r="R324" s="666">
        <v>10344</v>
      </c>
      <c r="S324" s="666">
        <v>10614</v>
      </c>
      <c r="T324" s="666">
        <v>124446</v>
      </c>
    </row>
    <row r="325" spans="1:21">
      <c r="A325" s="868"/>
      <c r="B325" s="332"/>
      <c r="C325" s="332" t="s">
        <v>18</v>
      </c>
      <c r="D325" s="332"/>
      <c r="H325" s="675">
        <v>3450009.0197573998</v>
      </c>
      <c r="I325" s="675">
        <v>2505111.3343308</v>
      </c>
      <c r="J325" s="675">
        <v>1946744.7665927999</v>
      </c>
      <c r="K325" s="675">
        <v>1679915.8508126</v>
      </c>
      <c r="L325" s="675">
        <v>1027910.2694282</v>
      </c>
      <c r="M325" s="675">
        <v>338426.8028836</v>
      </c>
      <c r="N325" s="675">
        <v>421012.50063959998</v>
      </c>
      <c r="O325" s="675">
        <v>343149.53005360003</v>
      </c>
      <c r="P325" s="675">
        <v>461137.71306079999</v>
      </c>
      <c r="Q325" s="675">
        <v>1692623.0173364</v>
      </c>
      <c r="R325" s="675">
        <v>2183856.5475079999</v>
      </c>
      <c r="S325" s="675">
        <v>2741876.2679055999</v>
      </c>
      <c r="T325" s="675">
        <v>18791773.620309401</v>
      </c>
    </row>
    <row r="326" spans="1:21">
      <c r="A326" s="868"/>
      <c r="B326" s="332"/>
      <c r="C326" s="332" t="s">
        <v>27</v>
      </c>
      <c r="D326" s="332"/>
      <c r="H326" s="666">
        <v>5240727.87</v>
      </c>
      <c r="I326" s="666">
        <v>4172655.38</v>
      </c>
      <c r="J326" s="666">
        <v>3362933.16</v>
      </c>
      <c r="K326" s="666">
        <v>2822330.74</v>
      </c>
      <c r="L326" s="666">
        <v>1920487.69</v>
      </c>
      <c r="M326" s="666">
        <v>975399.77999999991</v>
      </c>
      <c r="N326" s="666">
        <v>1043014.0499999999</v>
      </c>
      <c r="O326" s="666">
        <v>856219.91000000015</v>
      </c>
      <c r="P326" s="666">
        <v>1118826.56</v>
      </c>
      <c r="Q326" s="666">
        <v>2599495.61</v>
      </c>
      <c r="R326" s="666">
        <v>3420289.73</v>
      </c>
      <c r="S326" s="666">
        <v>4372631.68</v>
      </c>
      <c r="T326" s="666">
        <v>31905012.16</v>
      </c>
    </row>
    <row r="327" spans="1:21">
      <c r="A327" s="868"/>
      <c r="B327" s="728"/>
      <c r="C327" s="728" t="s">
        <v>947</v>
      </c>
      <c r="D327" s="728"/>
      <c r="H327" s="666">
        <v>27630</v>
      </c>
      <c r="I327" s="666">
        <v>27636</v>
      </c>
      <c r="J327" s="666">
        <v>27737</v>
      </c>
      <c r="K327" s="666">
        <v>27641</v>
      </c>
      <c r="L327" s="666">
        <v>27611</v>
      </c>
      <c r="M327" s="666">
        <v>27615</v>
      </c>
      <c r="N327" s="666">
        <v>27567</v>
      </c>
      <c r="O327" s="666">
        <v>27534</v>
      </c>
      <c r="P327" s="666">
        <v>27516</v>
      </c>
      <c r="Q327" s="666">
        <v>27538</v>
      </c>
      <c r="R327" s="666">
        <v>27659</v>
      </c>
      <c r="S327" s="666">
        <v>27737</v>
      </c>
      <c r="T327" s="666">
        <v>27618.416666666668</v>
      </c>
    </row>
    <row r="328" spans="1:21">
      <c r="A328" s="868"/>
      <c r="B328" s="332"/>
      <c r="C328" s="332" t="s">
        <v>59</v>
      </c>
      <c r="D328" s="332"/>
      <c r="H328" s="666">
        <v>693320.67</v>
      </c>
      <c r="I328" s="666">
        <v>503287.14</v>
      </c>
      <c r="J328" s="666">
        <v>391037.24</v>
      </c>
      <c r="K328" s="666">
        <v>337374.83</v>
      </c>
      <c r="L328" s="666">
        <v>206375.81</v>
      </c>
      <c r="M328" s="666">
        <v>67738.290000000008</v>
      </c>
      <c r="N328" s="666">
        <v>84171.19</v>
      </c>
      <c r="O328" s="666">
        <v>68853.539999999994</v>
      </c>
      <c r="P328" s="666">
        <v>92509.119999999995</v>
      </c>
      <c r="Q328" s="666">
        <v>339928.21</v>
      </c>
      <c r="R328" s="666">
        <v>416977.65</v>
      </c>
      <c r="S328" s="666">
        <v>520890.18</v>
      </c>
      <c r="T328" s="666">
        <v>3722463.87</v>
      </c>
    </row>
    <row r="329" spans="1:21">
      <c r="A329" s="868"/>
      <c r="B329" s="728"/>
      <c r="C329" s="728" t="s">
        <v>60</v>
      </c>
      <c r="D329" s="728"/>
      <c r="H329" s="675">
        <v>96405</v>
      </c>
      <c r="I329" s="675">
        <v>65428</v>
      </c>
      <c r="J329" s="675">
        <v>65237</v>
      </c>
      <c r="K329" s="675">
        <v>103613</v>
      </c>
      <c r="L329" s="675">
        <v>100952</v>
      </c>
      <c r="M329" s="675">
        <v>22427</v>
      </c>
      <c r="N329" s="675">
        <v>27564</v>
      </c>
      <c r="O329" s="675">
        <v>-33036</v>
      </c>
      <c r="P329" s="675">
        <v>49750</v>
      </c>
      <c r="Q329" s="675">
        <v>49014</v>
      </c>
      <c r="R329" s="675">
        <v>61505</v>
      </c>
      <c r="S329" s="675">
        <v>55753</v>
      </c>
      <c r="T329" s="675">
        <v>664612</v>
      </c>
    </row>
    <row r="330" spans="1:21">
      <c r="A330" s="873"/>
      <c r="B330" s="728"/>
      <c r="C330" s="728" t="s">
        <v>28</v>
      </c>
      <c r="D330" s="728"/>
      <c r="H330" s="666">
        <v>789725.67</v>
      </c>
      <c r="I330" s="666">
        <v>568715.14</v>
      </c>
      <c r="J330" s="666">
        <v>456274.24</v>
      </c>
      <c r="K330" s="666">
        <v>440987.83</v>
      </c>
      <c r="L330" s="666">
        <v>307327.81</v>
      </c>
      <c r="M330" s="666">
        <v>90165.290000000008</v>
      </c>
      <c r="N330" s="666">
        <v>111735.19</v>
      </c>
      <c r="O330" s="666">
        <v>35817.539999999994</v>
      </c>
      <c r="P330" s="666">
        <v>142259.12</v>
      </c>
      <c r="Q330" s="666">
        <v>388942.21</v>
      </c>
      <c r="R330" s="666">
        <v>478482.65</v>
      </c>
      <c r="S330" s="666">
        <v>576643.17999999993</v>
      </c>
      <c r="T330" s="666">
        <v>4387075.87</v>
      </c>
      <c r="U330" s="95">
        <f>+T330-Z61</f>
        <v>0</v>
      </c>
    </row>
    <row r="331" spans="1:21">
      <c r="A331" s="382"/>
      <c r="B331" s="728"/>
      <c r="C331" s="728"/>
      <c r="D331" s="728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</row>
    <row r="332" spans="1:21">
      <c r="A332" s="382"/>
      <c r="B332" s="728"/>
      <c r="D332" s="332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</row>
    <row r="333" spans="1:21">
      <c r="A333" s="382" t="s">
        <v>29</v>
      </c>
      <c r="B333" s="728" t="s">
        <v>89</v>
      </c>
      <c r="C333" s="728" t="s">
        <v>16</v>
      </c>
      <c r="D333" s="332" t="s">
        <v>946</v>
      </c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>
        <v>0</v>
      </c>
    </row>
    <row r="334" spans="1:21">
      <c r="A334" s="382"/>
      <c r="B334" s="728"/>
      <c r="C334" s="728"/>
      <c r="D334" s="332" t="s">
        <v>946</v>
      </c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</row>
    <row r="335" spans="1:21">
      <c r="A335" s="382"/>
      <c r="B335" s="728"/>
      <c r="C335" s="728" t="s">
        <v>17</v>
      </c>
      <c r="D335" s="332" t="s">
        <v>946</v>
      </c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</row>
    <row r="336" spans="1:21">
      <c r="B336" s="728"/>
      <c r="C336" s="728"/>
      <c r="D336" s="332" t="s">
        <v>946</v>
      </c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</row>
    <row r="337" spans="1:20">
      <c r="A337" s="382"/>
      <c r="B337" s="728"/>
      <c r="C337" s="728" t="s">
        <v>18</v>
      </c>
      <c r="D337" s="332" t="s">
        <v>946</v>
      </c>
      <c r="H337" s="675"/>
      <c r="I337" s="675"/>
      <c r="J337" s="675"/>
      <c r="K337" s="675"/>
      <c r="L337" s="675"/>
      <c r="M337" s="675"/>
      <c r="N337" s="675"/>
      <c r="O337" s="675"/>
      <c r="P337" s="675"/>
      <c r="Q337" s="675"/>
      <c r="R337" s="675"/>
      <c r="S337" s="675"/>
      <c r="T337" s="675">
        <v>0</v>
      </c>
    </row>
    <row r="338" spans="1:20">
      <c r="A338" s="382"/>
      <c r="B338" s="332"/>
      <c r="C338" s="728" t="s">
        <v>19</v>
      </c>
      <c r="D338" s="332" t="s">
        <v>946</v>
      </c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>
        <v>0</v>
      </c>
    </row>
    <row r="339" spans="1:20">
      <c r="A339" s="382"/>
      <c r="B339" s="728"/>
      <c r="C339" s="728" t="s">
        <v>947</v>
      </c>
      <c r="D339" s="332" t="s">
        <v>946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66">
        <v>0</v>
      </c>
      <c r="R339" s="666">
        <v>0</v>
      </c>
      <c r="S339" s="666">
        <v>0</v>
      </c>
      <c r="T339" s="666">
        <v>0</v>
      </c>
    </row>
    <row r="340" spans="1:20">
      <c r="A340" s="382"/>
      <c r="B340" s="728"/>
      <c r="C340" s="728" t="s">
        <v>20</v>
      </c>
      <c r="D340" s="332" t="s">
        <v>946</v>
      </c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>
        <v>0</v>
      </c>
    </row>
    <row r="341" spans="1:20">
      <c r="A341" s="382"/>
      <c r="B341" s="728"/>
      <c r="C341" s="728"/>
      <c r="D341" s="728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</row>
    <row r="342" spans="1:20">
      <c r="A342" s="382"/>
      <c r="B342" s="728"/>
      <c r="C342" s="728" t="s">
        <v>16</v>
      </c>
      <c r="D342" s="728" t="s">
        <v>955</v>
      </c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>
        <v>0</v>
      </c>
    </row>
    <row r="343" spans="1:20">
      <c r="A343" s="382"/>
      <c r="B343" s="728" t="s">
        <v>25</v>
      </c>
      <c r="C343" s="728"/>
      <c r="D343" s="728" t="s">
        <v>955</v>
      </c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</row>
    <row r="344" spans="1:20">
      <c r="A344" s="382"/>
      <c r="B344" s="728"/>
      <c r="C344" s="728" t="s">
        <v>17</v>
      </c>
      <c r="D344" s="728" t="s">
        <v>955</v>
      </c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</row>
    <row r="345" spans="1:20">
      <c r="A345" s="382"/>
      <c r="B345" s="728"/>
      <c r="C345" s="728"/>
      <c r="D345" s="728" t="s">
        <v>955</v>
      </c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</row>
    <row r="346" spans="1:20">
      <c r="A346" s="382"/>
      <c r="B346" s="728"/>
      <c r="C346" s="728" t="s">
        <v>18</v>
      </c>
      <c r="D346" s="728" t="s">
        <v>955</v>
      </c>
      <c r="H346" s="675"/>
      <c r="I346" s="675"/>
      <c r="J346" s="675"/>
      <c r="K346" s="675"/>
      <c r="L346" s="675"/>
      <c r="M346" s="675"/>
      <c r="N346" s="675"/>
      <c r="O346" s="675"/>
      <c r="P346" s="675"/>
      <c r="Q346" s="675"/>
      <c r="R346" s="675"/>
      <c r="S346" s="675"/>
      <c r="T346" s="675">
        <v>0</v>
      </c>
    </row>
    <row r="347" spans="1:20">
      <c r="A347" s="382"/>
      <c r="B347" s="332"/>
      <c r="C347" s="728" t="s">
        <v>19</v>
      </c>
      <c r="D347" s="728" t="s">
        <v>955</v>
      </c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>
        <v>0</v>
      </c>
    </row>
    <row r="348" spans="1:20">
      <c r="A348" s="382"/>
      <c r="B348" s="332"/>
      <c r="C348" s="728" t="s">
        <v>947</v>
      </c>
      <c r="D348" s="728" t="s">
        <v>955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66">
        <v>0</v>
      </c>
      <c r="R348" s="666">
        <v>0</v>
      </c>
      <c r="S348" s="666">
        <v>0</v>
      </c>
      <c r="T348" s="666">
        <v>0</v>
      </c>
    </row>
    <row r="349" spans="1:20">
      <c r="A349" s="382"/>
      <c r="B349" s="332"/>
      <c r="C349" s="728" t="s">
        <v>20</v>
      </c>
      <c r="D349" s="728" t="s">
        <v>955</v>
      </c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>
        <v>0</v>
      </c>
    </row>
    <row r="350" spans="1:20">
      <c r="A350" s="382"/>
      <c r="B350" s="332"/>
      <c r="C350" s="332"/>
      <c r="D350" s="332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</row>
    <row r="351" spans="1:20">
      <c r="A351" s="382"/>
      <c r="B351" s="332" t="s">
        <v>547</v>
      </c>
      <c r="C351" s="332"/>
      <c r="D351" s="332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</row>
    <row r="352" spans="1:20">
      <c r="A352" s="382"/>
      <c r="C352" s="332" t="s">
        <v>16</v>
      </c>
      <c r="D352" s="332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>
        <v>0</v>
      </c>
    </row>
    <row r="353" spans="1:21">
      <c r="A353" s="382"/>
      <c r="B353" s="728"/>
      <c r="C353" s="728" t="s">
        <v>18</v>
      </c>
      <c r="D353" s="728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>
        <v>0</v>
      </c>
    </row>
    <row r="354" spans="1:21">
      <c r="A354" s="382"/>
      <c r="B354" s="728"/>
      <c r="C354" s="332" t="s">
        <v>30</v>
      </c>
      <c r="D354" s="332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>
        <v>0</v>
      </c>
    </row>
    <row r="355" spans="1:21">
      <c r="A355" s="382"/>
      <c r="B355" s="728"/>
      <c r="C355" s="728" t="s">
        <v>947</v>
      </c>
      <c r="D355" s="332"/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66">
        <v>0</v>
      </c>
      <c r="R355" s="666">
        <v>0</v>
      </c>
      <c r="S355" s="666">
        <v>0</v>
      </c>
      <c r="T355" s="666">
        <v>0</v>
      </c>
    </row>
    <row r="356" spans="1:21">
      <c r="A356" s="382"/>
      <c r="B356" s="332"/>
      <c r="C356" s="332" t="s">
        <v>59</v>
      </c>
      <c r="D356" s="332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>
        <v>0</v>
      </c>
    </row>
    <row r="357" spans="1:21">
      <c r="A357" s="868"/>
      <c r="B357" s="332"/>
      <c r="C357" s="728" t="s">
        <v>60</v>
      </c>
      <c r="D357" s="728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>
        <v>0</v>
      </c>
    </row>
    <row r="358" spans="1:21">
      <c r="A358" s="382"/>
      <c r="B358" s="332"/>
      <c r="C358" s="728" t="s">
        <v>31</v>
      </c>
      <c r="D358" s="728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>
        <v>0</v>
      </c>
    </row>
    <row r="359" spans="1:21">
      <c r="A359" s="382"/>
      <c r="B359" s="332"/>
      <c r="C359" s="728"/>
      <c r="D359" s="728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</row>
    <row r="360" spans="1:21">
      <c r="A360" s="873"/>
      <c r="B360" s="332"/>
      <c r="C360" s="728"/>
      <c r="D360" s="728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</row>
    <row r="361" spans="1:21">
      <c r="A361" s="382"/>
      <c r="B361" s="332"/>
      <c r="C361" s="728"/>
      <c r="D361" s="728"/>
      <c r="H361" s="666">
        <v>0</v>
      </c>
      <c r="I361" s="666">
        <v>0</v>
      </c>
      <c r="J361" s="666">
        <v>0</v>
      </c>
      <c r="K361" s="666">
        <v>0</v>
      </c>
      <c r="L361" s="666">
        <v>0</v>
      </c>
      <c r="M361" s="666">
        <v>0</v>
      </c>
      <c r="N361" s="666">
        <v>0</v>
      </c>
      <c r="O361" s="666">
        <v>0</v>
      </c>
      <c r="P361" s="666">
        <v>0</v>
      </c>
      <c r="Q361" s="666">
        <v>0</v>
      </c>
      <c r="R361" s="666">
        <v>0</v>
      </c>
      <c r="S361" s="666">
        <v>0</v>
      </c>
      <c r="T361" s="666">
        <v>0</v>
      </c>
    </row>
    <row r="362" spans="1:21">
      <c r="A362" s="382"/>
      <c r="B362" s="332" t="s">
        <v>659</v>
      </c>
      <c r="C362" s="728" t="s">
        <v>16</v>
      </c>
      <c r="D362" s="728"/>
      <c r="H362" s="666">
        <v>60353670.100641102</v>
      </c>
      <c r="I362" s="666">
        <v>51030285.538517997</v>
      </c>
      <c r="J362" s="666">
        <v>40872375.163767606</v>
      </c>
      <c r="K362" s="666">
        <v>26650439.994047098</v>
      </c>
      <c r="L362" s="666">
        <v>18373906.269445401</v>
      </c>
      <c r="M362" s="666">
        <v>15338433.222739801</v>
      </c>
      <c r="N362" s="666">
        <v>14876415.609239399</v>
      </c>
      <c r="O362" s="666">
        <v>14441217.3080498</v>
      </c>
      <c r="P362" s="666">
        <v>16428794.490054801</v>
      </c>
      <c r="Q362" s="666">
        <v>22667687.518631402</v>
      </c>
      <c r="R362" s="666">
        <v>40855814.340065099</v>
      </c>
      <c r="S362" s="666">
        <v>57542155.401322797</v>
      </c>
      <c r="T362" s="666">
        <v>379431194.95652229</v>
      </c>
    </row>
    <row r="363" spans="1:21">
      <c r="A363" s="382"/>
      <c r="B363" s="332"/>
      <c r="C363" s="332" t="s">
        <v>17</v>
      </c>
      <c r="D363" s="332"/>
      <c r="H363" s="666">
        <v>24256845.0156525</v>
      </c>
      <c r="I363" s="666">
        <v>16633340.571971999</v>
      </c>
      <c r="J363" s="666">
        <v>11555750.512825999</v>
      </c>
      <c r="K363" s="666">
        <v>4383929.8038304998</v>
      </c>
      <c r="L363" s="666">
        <v>2444911.8863840001</v>
      </c>
      <c r="M363" s="666">
        <v>1588030.8447173999</v>
      </c>
      <c r="N363" s="666">
        <v>1577296.322769</v>
      </c>
      <c r="O363" s="666">
        <v>1464943.7739974</v>
      </c>
      <c r="P363" s="666">
        <v>1821964.1995116</v>
      </c>
      <c r="Q363" s="666">
        <v>4443537.1672657998</v>
      </c>
      <c r="R363" s="666">
        <v>11887901.7439913</v>
      </c>
      <c r="S363" s="666">
        <v>22588338.255093198</v>
      </c>
      <c r="T363" s="666">
        <v>104646790.0980107</v>
      </c>
    </row>
    <row r="364" spans="1:21">
      <c r="A364" s="382"/>
      <c r="B364" s="332"/>
      <c r="C364" s="332" t="s">
        <v>548</v>
      </c>
      <c r="D364" s="332"/>
      <c r="H364" s="666">
        <v>12991</v>
      </c>
      <c r="I364" s="666">
        <v>10896</v>
      </c>
      <c r="J364" s="666">
        <v>15115</v>
      </c>
      <c r="K364" s="666">
        <v>11182</v>
      </c>
      <c r="L364" s="666">
        <v>10595</v>
      </c>
      <c r="M364" s="666">
        <v>12356</v>
      </c>
      <c r="N364" s="666">
        <v>7610</v>
      </c>
      <c r="O364" s="666">
        <v>4172</v>
      </c>
      <c r="P364" s="666">
        <v>9093</v>
      </c>
      <c r="Q364" s="666">
        <v>9478</v>
      </c>
      <c r="R364" s="666">
        <v>10344</v>
      </c>
      <c r="S364" s="666">
        <v>10614</v>
      </c>
      <c r="T364" s="666">
        <v>124446</v>
      </c>
    </row>
    <row r="365" spans="1:21">
      <c r="A365" s="382"/>
      <c r="B365" s="332"/>
      <c r="C365" s="332" t="s">
        <v>18</v>
      </c>
      <c r="D365" s="332"/>
      <c r="H365" s="666">
        <v>84826237.523706406</v>
      </c>
      <c r="I365" s="666">
        <v>58314592.799509995</v>
      </c>
      <c r="J365" s="666">
        <v>40740143.1734064</v>
      </c>
      <c r="K365" s="666">
        <v>33372782.0821224</v>
      </c>
      <c r="L365" s="666">
        <v>18260174.1141706</v>
      </c>
      <c r="M365" s="666">
        <v>10942857.8825428</v>
      </c>
      <c r="N365" s="666">
        <v>10861180.677991601</v>
      </c>
      <c r="O365" s="666">
        <v>9932585.0679528005</v>
      </c>
      <c r="P365" s="666">
        <v>12546939.950433601</v>
      </c>
      <c r="Q365" s="666">
        <v>31548202.884102799</v>
      </c>
      <c r="R365" s="666">
        <v>42983794.515943602</v>
      </c>
      <c r="S365" s="666">
        <v>77107752.393583998</v>
      </c>
      <c r="T365" s="666">
        <v>431437243.065467</v>
      </c>
    </row>
    <row r="366" spans="1:21">
      <c r="A366" s="382"/>
      <c r="B366" s="728"/>
      <c r="C366" s="728"/>
      <c r="D366" s="728"/>
      <c r="H366" s="675"/>
      <c r="I366" s="675"/>
      <c r="J366" s="675"/>
      <c r="K366" s="675"/>
      <c r="L366" s="675"/>
      <c r="M366" s="675"/>
      <c r="N366" s="675"/>
      <c r="O366" s="675"/>
      <c r="P366" s="675"/>
      <c r="Q366" s="675"/>
      <c r="R366" s="675"/>
      <c r="S366" s="675"/>
      <c r="T366" s="675"/>
    </row>
    <row r="367" spans="1:21">
      <c r="A367" s="382"/>
      <c r="B367" s="728"/>
      <c r="C367" s="332" t="s">
        <v>659</v>
      </c>
      <c r="D367" s="332"/>
      <c r="H367" s="666">
        <v>169449743.64000002</v>
      </c>
      <c r="I367" s="666">
        <v>125989114.91</v>
      </c>
      <c r="J367" s="666">
        <v>93183383.849999994</v>
      </c>
      <c r="K367" s="666">
        <v>64418333.879999995</v>
      </c>
      <c r="L367" s="666">
        <v>39089587.269999996</v>
      </c>
      <c r="M367" s="666">
        <v>27881677.949999999</v>
      </c>
      <c r="N367" s="666">
        <v>27322502.609999999</v>
      </c>
      <c r="O367" s="666">
        <v>25842918.149999999</v>
      </c>
      <c r="P367" s="666">
        <v>30806791.640000001</v>
      </c>
      <c r="Q367" s="666">
        <v>58668905.57</v>
      </c>
      <c r="R367" s="666">
        <v>95737854.599999994</v>
      </c>
      <c r="S367" s="666">
        <v>157248860.05000001</v>
      </c>
      <c r="T367" s="666">
        <v>915639674.11999989</v>
      </c>
      <c r="U367" s="95">
        <f>+T367</f>
        <v>915639674.11999989</v>
      </c>
    </row>
    <row r="368" spans="1:21">
      <c r="A368" s="382"/>
      <c r="C368" s="728" t="s">
        <v>947</v>
      </c>
      <c r="H368" s="666">
        <v>1012729</v>
      </c>
      <c r="I368" s="666">
        <v>1013225</v>
      </c>
      <c r="J368" s="666">
        <v>1016040</v>
      </c>
      <c r="K368" s="666">
        <v>1017661</v>
      </c>
      <c r="L368" s="666">
        <v>1018772</v>
      </c>
      <c r="M368" s="666">
        <v>1021551</v>
      </c>
      <c r="N368" s="666">
        <v>1020877</v>
      </c>
      <c r="O368" s="666">
        <v>1021567</v>
      </c>
      <c r="P368" s="666">
        <v>1024405</v>
      </c>
      <c r="Q368" s="666">
        <v>1025050</v>
      </c>
      <c r="R368" s="666">
        <v>1028082</v>
      </c>
      <c r="S368" s="666">
        <v>1031123</v>
      </c>
      <c r="T368" s="666">
        <v>1020923.5</v>
      </c>
    </row>
    <row r="369" spans="1:21">
      <c r="A369" s="382"/>
      <c r="C369" s="15" t="s">
        <v>59</v>
      </c>
      <c r="H369" s="666">
        <v>21203157.120000001</v>
      </c>
      <c r="I369" s="666">
        <v>14568721.300000001</v>
      </c>
      <c r="J369" s="666">
        <v>10168312.52</v>
      </c>
      <c r="K369" s="666">
        <v>8299702.1200000001</v>
      </c>
      <c r="L369" s="666">
        <v>4541559.3299999991</v>
      </c>
      <c r="M369" s="666">
        <v>2703104.76</v>
      </c>
      <c r="N369" s="666">
        <v>2682021.64</v>
      </c>
      <c r="O369" s="666">
        <v>2462726.0099999998</v>
      </c>
      <c r="P369" s="666">
        <v>3099402.1</v>
      </c>
      <c r="Q369" s="666">
        <v>7767869.7000000002</v>
      </c>
      <c r="R369" s="666">
        <v>10119080.42</v>
      </c>
      <c r="S369" s="666">
        <v>18134886.460000001</v>
      </c>
      <c r="T369" s="666">
        <v>105750543.47999999</v>
      </c>
    </row>
    <row r="370" spans="1:21">
      <c r="A370" s="868"/>
      <c r="C370" s="15" t="s">
        <v>60</v>
      </c>
      <c r="H370" s="675">
        <v>8732910</v>
      </c>
      <c r="I370" s="675">
        <v>6540611</v>
      </c>
      <c r="J370" s="675">
        <v>5881797</v>
      </c>
      <c r="K370" s="675">
        <v>5520901</v>
      </c>
      <c r="L370" s="675">
        <v>5282960</v>
      </c>
      <c r="M370" s="675">
        <v>5967081</v>
      </c>
      <c r="N370" s="675">
        <v>6903546</v>
      </c>
      <c r="O370" s="675">
        <v>7373560</v>
      </c>
      <c r="P370" s="675">
        <v>5540824</v>
      </c>
      <c r="Q370" s="675">
        <v>5046531</v>
      </c>
      <c r="R370" s="675">
        <v>5878830</v>
      </c>
      <c r="S370" s="675">
        <v>8075384</v>
      </c>
      <c r="T370" s="675">
        <v>76744935</v>
      </c>
    </row>
    <row r="371" spans="1:21">
      <c r="A371" s="382"/>
      <c r="C371" s="15" t="s">
        <v>33</v>
      </c>
      <c r="H371" s="666">
        <v>29936067.120000001</v>
      </c>
      <c r="I371" s="666">
        <v>21109332.300000001</v>
      </c>
      <c r="J371" s="666">
        <v>16050109.52</v>
      </c>
      <c r="K371" s="666">
        <v>13820603.119999999</v>
      </c>
      <c r="L371" s="666">
        <v>9824519.3300000001</v>
      </c>
      <c r="M371" s="666">
        <v>8670185.7599999979</v>
      </c>
      <c r="N371" s="666">
        <v>9585567.6399999987</v>
      </c>
      <c r="O371" s="666">
        <v>9836286.0099999979</v>
      </c>
      <c r="P371" s="666">
        <v>8640226.0999999996</v>
      </c>
      <c r="Q371" s="666">
        <v>12814400.700000001</v>
      </c>
      <c r="R371" s="666">
        <v>15997910.42</v>
      </c>
      <c r="S371" s="666">
        <v>26210270.460000001</v>
      </c>
      <c r="T371" s="666">
        <v>182495478.47999999</v>
      </c>
      <c r="U371" s="95"/>
    </row>
    <row r="372" spans="1:21">
      <c r="A372" s="214"/>
      <c r="B372" s="214"/>
      <c r="C372" s="214" t="s">
        <v>964</v>
      </c>
      <c r="D372" s="214"/>
      <c r="E372" s="214"/>
      <c r="F372" s="214"/>
      <c r="G372" s="214"/>
      <c r="H372" s="363">
        <v>0</v>
      </c>
      <c r="I372" s="363">
        <v>0</v>
      </c>
      <c r="J372" s="363">
        <v>0</v>
      </c>
      <c r="K372" s="363">
        <v>0</v>
      </c>
      <c r="L372" s="363">
        <v>0</v>
      </c>
      <c r="M372" s="363">
        <v>0</v>
      </c>
      <c r="N372" s="363">
        <v>0</v>
      </c>
      <c r="O372" s="363">
        <v>0</v>
      </c>
      <c r="P372" s="363">
        <v>0</v>
      </c>
      <c r="Q372" s="363">
        <v>0</v>
      </c>
      <c r="R372" s="363">
        <v>0</v>
      </c>
      <c r="S372" s="363">
        <v>0</v>
      </c>
      <c r="T372" s="363">
        <v>0</v>
      </c>
    </row>
    <row r="373" spans="1:21" ht="13.5" thickBot="1"/>
    <row r="374" spans="1:21" ht="13.5" thickBot="1">
      <c r="A374" s="19"/>
      <c r="B374" s="334" t="s">
        <v>151</v>
      </c>
      <c r="C374" s="682" t="s">
        <v>965</v>
      </c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683" t="s">
        <v>965</v>
      </c>
    </row>
    <row r="375" spans="1:21">
      <c r="A375" s="19"/>
      <c r="B375" s="336" t="s">
        <v>945</v>
      </c>
      <c r="C375" s="337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364"/>
    </row>
    <row r="376" spans="1:21">
      <c r="A376" s="19"/>
      <c r="B376" s="222"/>
      <c r="C376" s="684" t="s">
        <v>322</v>
      </c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685">
        <f>+$S$21</f>
        <v>1002147</v>
      </c>
    </row>
    <row r="377" spans="1:21">
      <c r="A377" s="19"/>
      <c r="B377" s="222"/>
      <c r="C377" s="684" t="s">
        <v>509</v>
      </c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685">
        <f>+$S$48</f>
        <v>493</v>
      </c>
    </row>
    <row r="378" spans="1:21" ht="13.5" thickBot="1">
      <c r="A378" s="19"/>
      <c r="B378" s="672"/>
      <c r="C378" s="686" t="s">
        <v>810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687">
        <f>+$S$66</f>
        <v>1</v>
      </c>
    </row>
    <row r="379" spans="1:21">
      <c r="A379" s="19"/>
      <c r="B379" s="222"/>
      <c r="C379" s="684" t="s">
        <v>103</v>
      </c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685">
        <f>SUM(T376:T378)</f>
        <v>1002641</v>
      </c>
    </row>
    <row r="380" spans="1:21">
      <c r="A380" s="19"/>
      <c r="B380" s="222"/>
      <c r="C380" s="684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685"/>
    </row>
    <row r="381" spans="1:21">
      <c r="A381" s="19"/>
      <c r="B381" s="336" t="s">
        <v>949</v>
      </c>
      <c r="C381" s="337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364"/>
    </row>
    <row r="382" spans="1:21" ht="13.5" thickBot="1">
      <c r="A382" s="19"/>
      <c r="B382" s="672"/>
      <c r="C382" s="686" t="s">
        <v>680</v>
      </c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687">
        <f>+$S$102</f>
        <v>35</v>
      </c>
    </row>
    <row r="383" spans="1:21">
      <c r="A383" s="19"/>
      <c r="B383" s="222"/>
      <c r="C383" s="684" t="s">
        <v>104</v>
      </c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685">
        <f>SUM(T382:T382)</f>
        <v>35</v>
      </c>
    </row>
    <row r="384" spans="1:21">
      <c r="A384" s="19"/>
      <c r="B384" s="222"/>
      <c r="C384" s="684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685"/>
    </row>
    <row r="385" spans="1:20">
      <c r="A385" s="19"/>
      <c r="B385" s="336"/>
      <c r="C385" s="684" t="s">
        <v>690</v>
      </c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685"/>
    </row>
    <row r="386" spans="1:20" ht="13.5" thickBot="1">
      <c r="A386" s="19"/>
      <c r="B386" s="336"/>
      <c r="C386" s="686" t="s">
        <v>114</v>
      </c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687"/>
    </row>
    <row r="387" spans="1:20">
      <c r="A387" s="19"/>
      <c r="B387" s="877"/>
      <c r="C387" s="684" t="s">
        <v>966</v>
      </c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685"/>
    </row>
    <row r="388" spans="1:20">
      <c r="A388" s="19"/>
      <c r="B388" s="336"/>
      <c r="C388" s="337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364"/>
    </row>
    <row r="389" spans="1:20">
      <c r="A389" s="19"/>
      <c r="B389" s="336" t="s">
        <v>953</v>
      </c>
      <c r="C389" s="337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364"/>
    </row>
    <row r="390" spans="1:20">
      <c r="A390" s="19"/>
      <c r="B390" s="336"/>
      <c r="C390" s="337" t="s">
        <v>890</v>
      </c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364">
        <f>+$S$129</f>
        <v>9</v>
      </c>
    </row>
    <row r="391" spans="1:20">
      <c r="A391" s="19"/>
      <c r="B391" s="336"/>
      <c r="C391" s="337" t="s">
        <v>956</v>
      </c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364">
        <f>+$S$138</f>
        <v>0</v>
      </c>
    </row>
    <row r="392" spans="1:20">
      <c r="A392" s="19"/>
      <c r="B392" s="336"/>
      <c r="C392" s="337" t="s">
        <v>567</v>
      </c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364">
        <f>+$S$156</f>
        <v>0</v>
      </c>
    </row>
    <row r="393" spans="1:20">
      <c r="A393" s="19"/>
      <c r="B393" s="336"/>
      <c r="C393" s="337" t="s">
        <v>566</v>
      </c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364">
        <f>+$S$183</f>
        <v>0</v>
      </c>
    </row>
    <row r="394" spans="1:20">
      <c r="A394" s="19"/>
      <c r="B394" s="336"/>
      <c r="C394" s="337" t="s">
        <v>692</v>
      </c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364">
        <f>+$S$147</f>
        <v>1</v>
      </c>
    </row>
    <row r="395" spans="1:20">
      <c r="A395" s="19"/>
      <c r="B395" s="336"/>
      <c r="C395" s="337" t="s">
        <v>681</v>
      </c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364">
        <f>+$S$165</f>
        <v>700</v>
      </c>
    </row>
    <row r="396" spans="1:20" ht="13.5" thickBot="1">
      <c r="A396" s="19"/>
      <c r="B396" s="342"/>
      <c r="C396" s="343" t="s">
        <v>895</v>
      </c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365">
        <f>+$S$174</f>
        <v>0</v>
      </c>
    </row>
    <row r="397" spans="1:20">
      <c r="A397" s="19"/>
      <c r="B397" s="222"/>
      <c r="C397" s="684" t="s">
        <v>105</v>
      </c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685">
        <f>SUM(T390:T396)</f>
        <v>710</v>
      </c>
    </row>
    <row r="398" spans="1:20">
      <c r="A398" s="19"/>
      <c r="B398" s="336"/>
      <c r="C398" s="337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364"/>
    </row>
    <row r="399" spans="1:20">
      <c r="A399" s="19"/>
      <c r="B399" s="222"/>
      <c r="C399" s="684" t="s">
        <v>967</v>
      </c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685">
        <f>+T397+T387+T379+T383</f>
        <v>1003386</v>
      </c>
    </row>
    <row r="400" spans="1:20" ht="13.5" thickBot="1">
      <c r="A400" s="19"/>
      <c r="B400" s="342"/>
      <c r="C400" s="34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365"/>
    </row>
    <row r="401" spans="1:20" ht="13.5" thickBot="1">
      <c r="A401" s="19"/>
      <c r="B401" s="222"/>
      <c r="C401" s="684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685"/>
    </row>
    <row r="402" spans="1:20">
      <c r="A402" s="19"/>
      <c r="B402" s="344" t="s">
        <v>968</v>
      </c>
      <c r="C402" s="345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366"/>
    </row>
    <row r="403" spans="1:20" ht="13.5" thickBot="1">
      <c r="A403" s="19"/>
      <c r="B403" s="679" t="s">
        <v>945</v>
      </c>
      <c r="C403" s="211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688"/>
    </row>
    <row r="404" spans="1:20">
      <c r="A404" s="19"/>
      <c r="B404" s="222"/>
      <c r="C404" s="684" t="s">
        <v>969</v>
      </c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685">
        <f>+$S$244</f>
        <v>27703</v>
      </c>
    </row>
    <row r="405" spans="1:20">
      <c r="A405" s="19"/>
      <c r="B405" s="222"/>
      <c r="C405" s="684" t="s">
        <v>509</v>
      </c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685">
        <f>+$S$253</f>
        <v>24</v>
      </c>
    </row>
    <row r="406" spans="1:20" ht="13.5" thickBot="1">
      <c r="A406" s="19"/>
      <c r="B406" s="672"/>
      <c r="C406" s="686" t="s">
        <v>810</v>
      </c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687">
        <f>+$S$262</f>
        <v>1</v>
      </c>
    </row>
    <row r="407" spans="1:20">
      <c r="A407" s="19"/>
      <c r="B407" s="222"/>
      <c r="C407" s="684" t="s">
        <v>106</v>
      </c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685">
        <f>SUM(T404:T406)</f>
        <v>27728</v>
      </c>
    </row>
    <row r="408" spans="1:20">
      <c r="A408" s="19"/>
      <c r="B408" s="222"/>
      <c r="C408" s="684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685"/>
    </row>
    <row r="409" spans="1:20">
      <c r="A409" s="19"/>
      <c r="B409" s="336"/>
      <c r="C409" s="684" t="s">
        <v>690</v>
      </c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685"/>
    </row>
    <row r="410" spans="1:20" ht="13.5" thickBot="1">
      <c r="A410" s="19"/>
      <c r="B410" s="336"/>
      <c r="C410" s="686" t="s">
        <v>114</v>
      </c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687"/>
    </row>
    <row r="411" spans="1:20">
      <c r="A411" s="19"/>
      <c r="B411" s="877"/>
      <c r="C411" s="684" t="s">
        <v>966</v>
      </c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685"/>
    </row>
    <row r="412" spans="1:20">
      <c r="A412" s="19"/>
      <c r="B412" s="336"/>
      <c r="C412" s="337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364"/>
    </row>
    <row r="413" spans="1:20">
      <c r="A413" s="19"/>
      <c r="B413" s="336"/>
      <c r="C413" s="337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364"/>
    </row>
    <row r="414" spans="1:20">
      <c r="A414" s="19"/>
      <c r="B414" s="336" t="s">
        <v>949</v>
      </c>
      <c r="C414" s="337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364"/>
    </row>
    <row r="415" spans="1:20">
      <c r="A415" s="19"/>
      <c r="B415" s="336"/>
      <c r="C415" s="684" t="s">
        <v>970</v>
      </c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685">
        <f>+$S$289</f>
        <v>0</v>
      </c>
    </row>
    <row r="416" spans="1:20" ht="13.5" thickBot="1">
      <c r="A416" s="19"/>
      <c r="B416" s="672"/>
      <c r="C416" s="686" t="s">
        <v>680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687">
        <f>+$S$280</f>
        <v>4</v>
      </c>
    </row>
    <row r="417" spans="1:20">
      <c r="A417" s="19"/>
      <c r="B417" s="222"/>
      <c r="C417" s="684" t="s">
        <v>107</v>
      </c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685">
        <f>SUM(T415:T416)</f>
        <v>4</v>
      </c>
    </row>
    <row r="418" spans="1:20">
      <c r="A418" s="19"/>
      <c r="B418" s="222"/>
      <c r="C418" s="684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685"/>
    </row>
    <row r="419" spans="1:20">
      <c r="A419" s="19"/>
      <c r="B419" s="336" t="s">
        <v>953</v>
      </c>
      <c r="C419" s="337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364"/>
    </row>
    <row r="420" spans="1:20">
      <c r="A420" s="19"/>
      <c r="B420" s="336"/>
      <c r="C420" s="337" t="s">
        <v>971</v>
      </c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364">
        <f>+$S$316</f>
        <v>2</v>
      </c>
    </row>
    <row r="421" spans="1:20" ht="13.5" thickBot="1">
      <c r="A421" s="19"/>
      <c r="B421" s="342"/>
      <c r="C421" s="343" t="s">
        <v>90</v>
      </c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365">
        <f>+$S$307</f>
        <v>3</v>
      </c>
    </row>
    <row r="422" spans="1:20">
      <c r="A422" s="19"/>
      <c r="B422" s="336"/>
      <c r="C422" s="337" t="s">
        <v>108</v>
      </c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364">
        <f>SUM(T420:T421)</f>
        <v>5</v>
      </c>
    </row>
    <row r="423" spans="1:20">
      <c r="A423" s="19"/>
      <c r="B423" s="336"/>
      <c r="C423" s="337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364"/>
    </row>
    <row r="424" spans="1:20">
      <c r="A424" s="19"/>
      <c r="B424" s="222"/>
      <c r="C424" s="684" t="s">
        <v>972</v>
      </c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685">
        <f>+T422+T417+T407+T411</f>
        <v>27737</v>
      </c>
    </row>
    <row r="425" spans="1:20" ht="13.5" thickBot="1">
      <c r="A425" s="19"/>
      <c r="B425" s="672"/>
      <c r="C425" s="686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687"/>
    </row>
    <row r="426" spans="1:20">
      <c r="A426" s="19"/>
      <c r="B426" s="222"/>
      <c r="C426" s="684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685"/>
    </row>
    <row r="427" spans="1:20">
      <c r="A427" s="19"/>
      <c r="B427" s="336" t="s">
        <v>973</v>
      </c>
      <c r="C427" s="337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364">
        <f>+T422+T417+T407+T397+T379</f>
        <v>1031088</v>
      </c>
    </row>
    <row r="428" spans="1:20">
      <c r="A428" s="19"/>
      <c r="B428" s="336" t="s">
        <v>974</v>
      </c>
      <c r="C428" s="337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364">
        <f>+T404+T376</f>
        <v>1029850</v>
      </c>
    </row>
    <row r="429" spans="1:20">
      <c r="A429" s="19"/>
      <c r="B429" s="336" t="s">
        <v>882</v>
      </c>
      <c r="C429" s="337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364">
        <f>+T440-T428</f>
        <v>1273</v>
      </c>
    </row>
    <row r="430" spans="1:20">
      <c r="A430" s="19"/>
      <c r="B430" s="336" t="s">
        <v>883</v>
      </c>
      <c r="C430" s="337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364">
        <f>+T379+T407</f>
        <v>1030369</v>
      </c>
    </row>
    <row r="431" spans="1:20">
      <c r="A431" s="19"/>
      <c r="B431" s="336" t="s">
        <v>975</v>
      </c>
      <c r="C431" s="337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364">
        <f>+T417+T383</f>
        <v>39</v>
      </c>
    </row>
    <row r="432" spans="1:20">
      <c r="A432" s="19"/>
      <c r="B432" s="336" t="s">
        <v>884</v>
      </c>
      <c r="C432" s="337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364">
        <f>+T422+T397</f>
        <v>715</v>
      </c>
    </row>
    <row r="433" spans="1:21">
      <c r="A433" s="19"/>
      <c r="B433" s="336" t="s">
        <v>976</v>
      </c>
      <c r="C433" s="337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364"/>
    </row>
    <row r="434" spans="1:21">
      <c r="A434" s="19"/>
      <c r="B434" s="336" t="s">
        <v>977</v>
      </c>
      <c r="C434" s="337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364"/>
    </row>
    <row r="435" spans="1:21">
      <c r="A435" s="19"/>
      <c r="B435" s="336"/>
      <c r="C435" s="337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364"/>
    </row>
    <row r="436" spans="1:21">
      <c r="A436" s="19"/>
      <c r="B436" s="336"/>
      <c r="C436" s="337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364"/>
    </row>
    <row r="437" spans="1:21">
      <c r="A437" s="19"/>
      <c r="B437" s="336" t="s">
        <v>978</v>
      </c>
      <c r="C437" s="337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364">
        <f>+T399</f>
        <v>1003386</v>
      </c>
    </row>
    <row r="438" spans="1:21">
      <c r="A438" s="19"/>
      <c r="B438" s="336" t="s">
        <v>979</v>
      </c>
      <c r="C438" s="337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364">
        <f>+T424</f>
        <v>27737</v>
      </c>
    </row>
    <row r="439" spans="1:21" ht="13.5" thickBot="1">
      <c r="A439" s="19"/>
      <c r="B439" s="342"/>
      <c r="C439" s="34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365"/>
    </row>
    <row r="440" spans="1:21" ht="13.5" thickBot="1">
      <c r="A440" s="19"/>
      <c r="B440" s="672" t="s">
        <v>980</v>
      </c>
      <c r="C440" s="686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687">
        <f>SUM(T437:T439)</f>
        <v>1031123</v>
      </c>
    </row>
    <row r="441" spans="1:21" ht="13.5" thickBo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28"/>
      <c r="T441" s="689"/>
      <c r="U441" s="194"/>
    </row>
    <row r="442" spans="1:21" ht="13.5" thickBot="1">
      <c r="A442" s="19"/>
      <c r="B442" s="334" t="s">
        <v>151</v>
      </c>
      <c r="C442" s="682" t="s">
        <v>981</v>
      </c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683" t="s">
        <v>981</v>
      </c>
    </row>
    <row r="443" spans="1:21">
      <c r="A443" s="19"/>
      <c r="B443" s="336" t="s">
        <v>945</v>
      </c>
      <c r="C443" s="337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364"/>
    </row>
    <row r="444" spans="1:21">
      <c r="A444" s="19"/>
      <c r="B444" s="222"/>
      <c r="C444" s="684" t="s">
        <v>322</v>
      </c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685">
        <f>+$T$21</f>
        <v>992105.25</v>
      </c>
    </row>
    <row r="445" spans="1:21">
      <c r="A445" s="19"/>
      <c r="B445" s="222"/>
      <c r="C445" s="684" t="s">
        <v>509</v>
      </c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685">
        <f>+$T$48</f>
        <v>529.91666666666663</v>
      </c>
    </row>
    <row r="446" spans="1:21" ht="13.5" thickBot="1">
      <c r="A446" s="19"/>
      <c r="B446" s="672"/>
      <c r="C446" s="686" t="s">
        <v>810</v>
      </c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687">
        <f>+$T$66</f>
        <v>1</v>
      </c>
    </row>
    <row r="447" spans="1:21">
      <c r="A447" s="19"/>
      <c r="B447" s="222"/>
      <c r="C447" s="684" t="s">
        <v>103</v>
      </c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685">
        <f>SUM(T444:T446)</f>
        <v>992636.16666666663</v>
      </c>
    </row>
    <row r="448" spans="1:21">
      <c r="A448" s="19"/>
      <c r="B448" s="222"/>
      <c r="C448" s="684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685"/>
    </row>
    <row r="449" spans="1:20">
      <c r="A449" s="19"/>
      <c r="B449" s="336" t="s">
        <v>949</v>
      </c>
      <c r="C449" s="337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364"/>
    </row>
    <row r="450" spans="1:20" ht="13.5" thickBot="1">
      <c r="A450" s="19"/>
      <c r="B450" s="672"/>
      <c r="C450" s="686" t="s">
        <v>680</v>
      </c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687">
        <f>+$T$102</f>
        <v>40.833333333333336</v>
      </c>
    </row>
    <row r="451" spans="1:20">
      <c r="A451" s="19"/>
      <c r="B451" s="222"/>
      <c r="C451" s="684" t="s">
        <v>104</v>
      </c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685">
        <f>SUM(T450:T450)</f>
        <v>40.833333333333336</v>
      </c>
    </row>
    <row r="452" spans="1:20">
      <c r="A452" s="19"/>
      <c r="B452" s="222"/>
      <c r="C452" s="684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685"/>
    </row>
    <row r="453" spans="1:20">
      <c r="A453" s="19"/>
      <c r="B453" s="336"/>
      <c r="C453" s="684" t="s">
        <v>690</v>
      </c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685"/>
    </row>
    <row r="454" spans="1:20" ht="13.5" thickBot="1">
      <c r="A454" s="19"/>
      <c r="B454" s="336"/>
      <c r="C454" s="686" t="s">
        <v>114</v>
      </c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687"/>
    </row>
    <row r="455" spans="1:20">
      <c r="A455" s="19"/>
      <c r="B455" s="877"/>
      <c r="C455" s="684" t="s">
        <v>966</v>
      </c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685"/>
    </row>
    <row r="456" spans="1:20">
      <c r="A456" s="19"/>
      <c r="B456" s="336"/>
      <c r="C456" s="337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364"/>
    </row>
    <row r="457" spans="1:20">
      <c r="A457" s="19"/>
      <c r="B457" s="336" t="s">
        <v>953</v>
      </c>
      <c r="C457" s="337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364"/>
    </row>
    <row r="458" spans="1:20">
      <c r="A458" s="19"/>
      <c r="B458" s="336"/>
      <c r="C458" s="337" t="s">
        <v>890</v>
      </c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364">
        <f>+$T$129</f>
        <v>9</v>
      </c>
    </row>
    <row r="459" spans="1:20">
      <c r="A459" s="19"/>
      <c r="B459" s="336"/>
      <c r="C459" s="337" t="s">
        <v>956</v>
      </c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364">
        <f>+$T$138</f>
        <v>0</v>
      </c>
    </row>
    <row r="460" spans="1:20">
      <c r="A460" s="19"/>
      <c r="B460" s="336"/>
      <c r="C460" s="337" t="s">
        <v>567</v>
      </c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364">
        <f>+$T$156</f>
        <v>0</v>
      </c>
    </row>
    <row r="461" spans="1:20">
      <c r="A461" s="19"/>
      <c r="B461" s="336"/>
      <c r="C461" s="337" t="s">
        <v>566</v>
      </c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364">
        <f>+$T$183</f>
        <v>0</v>
      </c>
    </row>
    <row r="462" spans="1:20">
      <c r="A462" s="19"/>
      <c r="B462" s="336"/>
      <c r="C462" s="337" t="s">
        <v>692</v>
      </c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364">
        <f>+$T$147</f>
        <v>1</v>
      </c>
    </row>
    <row r="463" spans="1:20">
      <c r="A463" s="19"/>
      <c r="B463" s="336"/>
      <c r="C463" s="337" t="s">
        <v>681</v>
      </c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364">
        <f>+$T$165</f>
        <v>618.08333333333337</v>
      </c>
    </row>
    <row r="464" spans="1:20" ht="13.5" thickBot="1">
      <c r="A464" s="19"/>
      <c r="B464" s="342"/>
      <c r="C464" s="343" t="s">
        <v>895</v>
      </c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365">
        <f>+$T$174</f>
        <v>0</v>
      </c>
    </row>
    <row r="465" spans="1:20">
      <c r="A465" s="19"/>
      <c r="B465" s="222"/>
      <c r="C465" s="684" t="s">
        <v>105</v>
      </c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685">
        <f>SUM(T458:T464)</f>
        <v>628.08333333333337</v>
      </c>
    </row>
    <row r="466" spans="1:20">
      <c r="A466" s="19"/>
      <c r="B466" s="336"/>
      <c r="C466" s="337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364"/>
    </row>
    <row r="467" spans="1:20">
      <c r="A467" s="19"/>
      <c r="B467" s="222"/>
      <c r="C467" s="684" t="s">
        <v>967</v>
      </c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685">
        <f>+T465+T455+T447+T451</f>
        <v>993305.08333333337</v>
      </c>
    </row>
    <row r="468" spans="1:20" ht="13.5" thickBot="1">
      <c r="A468" s="19"/>
      <c r="B468" s="342"/>
      <c r="C468" s="343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365"/>
    </row>
    <row r="469" spans="1:20" ht="13.5" thickBot="1">
      <c r="A469" s="19"/>
      <c r="B469" s="222"/>
      <c r="C469" s="684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685"/>
    </row>
    <row r="470" spans="1:20">
      <c r="A470" s="19"/>
      <c r="B470" s="344" t="s">
        <v>968</v>
      </c>
      <c r="C470" s="345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366"/>
    </row>
    <row r="471" spans="1:20" ht="13.5" thickBot="1">
      <c r="A471" s="19"/>
      <c r="B471" s="679" t="s">
        <v>945</v>
      </c>
      <c r="C471" s="211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688"/>
    </row>
    <row r="472" spans="1:20">
      <c r="A472" s="19"/>
      <c r="B472" s="222"/>
      <c r="C472" s="684" t="s">
        <v>969</v>
      </c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685">
        <f>+$T$244</f>
        <v>27583.166666666668</v>
      </c>
    </row>
    <row r="473" spans="1:20">
      <c r="A473" s="19"/>
      <c r="B473" s="222"/>
      <c r="C473" s="684" t="s">
        <v>509</v>
      </c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685">
        <f>+$T$253</f>
        <v>24.416666666666668</v>
      </c>
    </row>
    <row r="474" spans="1:20" ht="13.5" thickBot="1">
      <c r="A474" s="19"/>
      <c r="B474" s="672"/>
      <c r="C474" s="686" t="s">
        <v>810</v>
      </c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687">
        <f>+$T$262</f>
        <v>1</v>
      </c>
    </row>
    <row r="475" spans="1:20">
      <c r="A475" s="19"/>
      <c r="B475" s="222"/>
      <c r="C475" s="684" t="s">
        <v>106</v>
      </c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685">
        <f>SUM(T472:T474)</f>
        <v>27608.583333333336</v>
      </c>
    </row>
    <row r="476" spans="1:20">
      <c r="A476" s="19"/>
      <c r="B476" s="222"/>
      <c r="C476" s="684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685"/>
    </row>
    <row r="477" spans="1:20">
      <c r="A477" s="19"/>
      <c r="B477" s="336"/>
      <c r="C477" s="684" t="s">
        <v>690</v>
      </c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685"/>
    </row>
    <row r="478" spans="1:20" ht="13.5" thickBot="1">
      <c r="A478" s="19"/>
      <c r="B478" s="336"/>
      <c r="C478" s="686" t="s">
        <v>114</v>
      </c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687"/>
    </row>
    <row r="479" spans="1:20">
      <c r="A479" s="19"/>
      <c r="B479" s="877"/>
      <c r="C479" s="684" t="s">
        <v>966</v>
      </c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685"/>
    </row>
    <row r="480" spans="1:20">
      <c r="A480" s="19"/>
      <c r="B480" s="336"/>
      <c r="C480" s="337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364"/>
    </row>
    <row r="481" spans="1:20">
      <c r="A481" s="19"/>
      <c r="B481" s="336"/>
      <c r="C481" s="337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364"/>
    </row>
    <row r="482" spans="1:20">
      <c r="A482" s="19"/>
      <c r="B482" s="336" t="s">
        <v>949</v>
      </c>
      <c r="C482" s="337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364"/>
    </row>
    <row r="483" spans="1:20">
      <c r="A483" s="19"/>
      <c r="B483" s="336"/>
      <c r="C483" s="684" t="s">
        <v>970</v>
      </c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685">
        <f>+$T$289</f>
        <v>0</v>
      </c>
    </row>
    <row r="484" spans="1:20" ht="13.5" thickBot="1">
      <c r="A484" s="19"/>
      <c r="B484" s="672"/>
      <c r="C484" s="686" t="s">
        <v>680</v>
      </c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687">
        <f>+$T$280</f>
        <v>4.833333333333333</v>
      </c>
    </row>
    <row r="485" spans="1:20">
      <c r="A485" s="19"/>
      <c r="B485" s="222"/>
      <c r="C485" s="684" t="s">
        <v>107</v>
      </c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685">
        <f>SUM(T483:T484)</f>
        <v>4.833333333333333</v>
      </c>
    </row>
    <row r="486" spans="1:20">
      <c r="A486" s="19"/>
      <c r="B486" s="222"/>
      <c r="C486" s="684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685"/>
    </row>
    <row r="487" spans="1:20">
      <c r="A487" s="19"/>
      <c r="B487" s="336" t="s">
        <v>953</v>
      </c>
      <c r="C487" s="337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364"/>
    </row>
    <row r="488" spans="1:20">
      <c r="A488" s="19"/>
      <c r="B488" s="336"/>
      <c r="C488" s="337" t="s">
        <v>971</v>
      </c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364">
        <f>+$T$316</f>
        <v>2</v>
      </c>
    </row>
    <row r="489" spans="1:20" ht="13.5" thickBot="1">
      <c r="A489" s="19"/>
      <c r="B489" s="342"/>
      <c r="C489" s="343" t="s">
        <v>90</v>
      </c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365">
        <f>+$T$307</f>
        <v>3</v>
      </c>
    </row>
    <row r="490" spans="1:20">
      <c r="A490" s="19"/>
      <c r="B490" s="336"/>
      <c r="C490" s="337" t="s">
        <v>108</v>
      </c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364">
        <f>SUM(T488:T489)</f>
        <v>5</v>
      </c>
    </row>
    <row r="491" spans="1:20">
      <c r="A491" s="19"/>
      <c r="B491" s="336"/>
      <c r="C491" s="337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364"/>
    </row>
    <row r="492" spans="1:20">
      <c r="A492" s="19"/>
      <c r="B492" s="222"/>
      <c r="C492" s="684" t="s">
        <v>972</v>
      </c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685">
        <f>+T490+T485+T475+T479</f>
        <v>27618.416666666668</v>
      </c>
    </row>
    <row r="493" spans="1:20" ht="13.5" thickBot="1">
      <c r="A493" s="19"/>
      <c r="B493" s="672"/>
      <c r="C493" s="686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687"/>
    </row>
    <row r="494" spans="1:20">
      <c r="A494" s="19"/>
      <c r="B494" s="222"/>
      <c r="C494" s="684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685"/>
    </row>
    <row r="495" spans="1:20">
      <c r="A495" s="19"/>
      <c r="B495" s="336" t="s">
        <v>973</v>
      </c>
      <c r="C495" s="337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364">
        <f>+T490+T485+T475+T465+T447</f>
        <v>1020882.6666666666</v>
      </c>
    </row>
    <row r="496" spans="1:20">
      <c r="A496" s="19"/>
      <c r="B496" s="336" t="s">
        <v>974</v>
      </c>
      <c r="C496" s="337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364">
        <f>+T472+T444</f>
        <v>1019688.4166666666</v>
      </c>
    </row>
    <row r="497" spans="1:20">
      <c r="A497" s="19"/>
      <c r="B497" s="336" t="s">
        <v>882</v>
      </c>
      <c r="C497" s="337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364">
        <f>+T508-T496</f>
        <v>1235.0833333333721</v>
      </c>
    </row>
    <row r="498" spans="1:20">
      <c r="A498" s="19"/>
      <c r="B498" s="336" t="s">
        <v>883</v>
      </c>
      <c r="C498" s="337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364">
        <f>+T447+T475</f>
        <v>1020244.75</v>
      </c>
    </row>
    <row r="499" spans="1:20">
      <c r="A499" s="19"/>
      <c r="B499" s="336" t="s">
        <v>975</v>
      </c>
      <c r="C499" s="337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364">
        <f>+T485+T451</f>
        <v>45.666666666666671</v>
      </c>
    </row>
    <row r="500" spans="1:20">
      <c r="A500" s="19"/>
      <c r="B500" s="336" t="s">
        <v>884</v>
      </c>
      <c r="C500" s="337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364">
        <f>+T490+T465</f>
        <v>633.08333333333337</v>
      </c>
    </row>
    <row r="501" spans="1:20">
      <c r="A501" s="19"/>
      <c r="B501" s="336" t="s">
        <v>976</v>
      </c>
      <c r="C501" s="337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364"/>
    </row>
    <row r="502" spans="1:20">
      <c r="A502" s="19"/>
      <c r="B502" s="336" t="s">
        <v>977</v>
      </c>
      <c r="C502" s="337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364"/>
    </row>
    <row r="503" spans="1:20">
      <c r="A503" s="19"/>
      <c r="B503" s="336"/>
      <c r="C503" s="337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364"/>
    </row>
    <row r="504" spans="1:20">
      <c r="A504" s="19"/>
      <c r="B504" s="336"/>
      <c r="C504" s="337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364"/>
    </row>
    <row r="505" spans="1:20">
      <c r="A505" s="19"/>
      <c r="B505" s="336" t="s">
        <v>978</v>
      </c>
      <c r="C505" s="337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364">
        <f>+T467</f>
        <v>993305.08333333337</v>
      </c>
    </row>
    <row r="506" spans="1:20">
      <c r="A506" s="19"/>
      <c r="B506" s="336" t="s">
        <v>979</v>
      </c>
      <c r="C506" s="337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364">
        <f>+T492</f>
        <v>27618.416666666668</v>
      </c>
    </row>
    <row r="507" spans="1:20" ht="13.5" thickBot="1">
      <c r="A507" s="19"/>
      <c r="B507" s="342"/>
      <c r="C507" s="34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365"/>
    </row>
    <row r="508" spans="1:20" ht="13.5" thickBot="1">
      <c r="A508" s="19"/>
      <c r="B508" s="672" t="s">
        <v>980</v>
      </c>
      <c r="C508" s="686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687">
        <f>SUM(T505:T507)</f>
        <v>1020923.5</v>
      </c>
    </row>
    <row r="509" spans="1:20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T509" s="367"/>
    </row>
    <row r="510" spans="1:20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T510" s="367"/>
    </row>
    <row r="511" spans="1:20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T511" s="367"/>
    </row>
    <row r="512" spans="1:20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T512" s="367"/>
    </row>
    <row r="513" spans="1:20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T513" s="367"/>
    </row>
    <row r="514" spans="1:20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T514" s="367"/>
    </row>
    <row r="515" spans="1:20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T515" s="367"/>
    </row>
    <row r="516" spans="1:20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T516" s="367"/>
    </row>
    <row r="517" spans="1:20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T517" s="367"/>
    </row>
    <row r="518" spans="1:20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T518" s="367"/>
    </row>
    <row r="519" spans="1:20">
      <c r="T519" s="367"/>
    </row>
    <row r="520" spans="1:20">
      <c r="T520" s="367"/>
    </row>
    <row r="521" spans="1:20">
      <c r="T521" s="367"/>
    </row>
    <row r="522" spans="1:20">
      <c r="T522" s="367"/>
    </row>
    <row r="523" spans="1:20">
      <c r="T523" s="367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09985" r:id="rId3" name="Button 1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0</xdr:row>
                    <xdr:rowOff>123825</xdr:rowOff>
                  </from>
                  <to>
                    <xdr:col>1</xdr:col>
                    <xdr:colOff>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523"/>
  <sheetViews>
    <sheetView topLeftCell="E1" zoomScale="80" zoomScaleNormal="80" workbookViewId="0">
      <selection activeCell="T21" sqref="T21"/>
    </sheetView>
  </sheetViews>
  <sheetFormatPr defaultColWidth="16.42578125" defaultRowHeight="12.75"/>
  <cols>
    <col min="1" max="1" width="29.7109375" style="15" customWidth="1"/>
    <col min="2" max="2" width="23" style="15" customWidth="1"/>
    <col min="3" max="3" width="42.7109375" style="15" bestFit="1" customWidth="1"/>
    <col min="4" max="4" width="12.140625" style="15" customWidth="1"/>
    <col min="5" max="7" width="3.5703125" style="15" customWidth="1"/>
    <col min="8" max="20" width="19.85546875" style="15" bestFit="1" customWidth="1"/>
    <col min="21" max="21" width="18.28515625" style="15" customWidth="1"/>
    <col min="22" max="22" width="13.7109375" style="15" customWidth="1"/>
    <col min="23" max="23" width="47" style="15" bestFit="1" customWidth="1"/>
    <col min="24" max="24" width="17.5703125" style="15" bestFit="1" customWidth="1"/>
    <col min="25" max="25" width="15.85546875" style="15" bestFit="1" customWidth="1"/>
    <col min="26" max="28" width="21" style="15" bestFit="1" customWidth="1"/>
    <col min="29" max="29" width="21.5703125" style="15" bestFit="1" customWidth="1"/>
    <col min="30" max="30" width="22.140625" style="15" bestFit="1" customWidth="1"/>
    <col min="31" max="31" width="13.85546875" style="15" customWidth="1"/>
    <col min="32" max="32" width="16.42578125" style="15"/>
    <col min="33" max="33" width="12.7109375" style="15" bestFit="1" customWidth="1"/>
    <col min="34" max="42" width="16.42578125" style="15"/>
    <col min="43" max="74" width="16.42578125" style="15" customWidth="1"/>
    <col min="75" max="16384" width="16.42578125" style="15"/>
  </cols>
  <sheetData>
    <row r="1" spans="1:31">
      <c r="B1" s="474"/>
      <c r="C1" s="475"/>
      <c r="H1" s="15">
        <v>3</v>
      </c>
      <c r="I1" s="15">
        <v>4</v>
      </c>
      <c r="J1" s="15">
        <v>5</v>
      </c>
      <c r="K1" s="15">
        <v>6</v>
      </c>
      <c r="L1" s="15">
        <v>7</v>
      </c>
      <c r="M1" s="15">
        <v>8</v>
      </c>
      <c r="N1" s="15">
        <v>9</v>
      </c>
      <c r="O1" s="15">
        <v>10</v>
      </c>
      <c r="P1" s="15">
        <v>11</v>
      </c>
      <c r="Q1" s="15">
        <v>12</v>
      </c>
      <c r="R1" s="15">
        <v>13</v>
      </c>
      <c r="S1" s="15">
        <v>14</v>
      </c>
    </row>
    <row r="2" spans="1:31">
      <c r="B2" s="474"/>
      <c r="C2" s="475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</row>
    <row r="3" spans="1:31">
      <c r="B3" s="882"/>
      <c r="C3" s="883"/>
      <c r="D3" s="175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</row>
    <row r="4" spans="1:31">
      <c r="A4" s="653"/>
      <c r="B4" s="882"/>
      <c r="C4" s="884"/>
      <c r="D4" s="175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V4" s="653"/>
    </row>
    <row r="5" spans="1:31">
      <c r="A5" s="653"/>
      <c r="B5" s="884"/>
      <c r="C5" s="884"/>
      <c r="D5" s="728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  <c r="V5" s="653"/>
    </row>
    <row r="6" spans="1:31">
      <c r="A6" s="196"/>
      <c r="B6" s="630"/>
      <c r="C6" s="630"/>
      <c r="H6" s="481"/>
      <c r="I6" s="481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481"/>
      <c r="V6" s="196"/>
      <c r="Y6" s="282">
        <f>Y7+7500000</f>
        <v>330628839.49603915</v>
      </c>
      <c r="Z6" s="460">
        <f>14500000*0.6666</f>
        <v>9665700</v>
      </c>
    </row>
    <row r="7" spans="1:31">
      <c r="A7" s="476"/>
      <c r="B7" s="477"/>
      <c r="C7" s="477"/>
      <c r="D7" s="863"/>
      <c r="E7" s="194"/>
      <c r="F7" s="194"/>
      <c r="G7" s="194"/>
      <c r="H7" s="885"/>
      <c r="I7" s="885"/>
      <c r="J7" s="885"/>
      <c r="K7" s="885"/>
      <c r="L7" s="885"/>
      <c r="M7" s="885"/>
      <c r="N7" s="885"/>
      <c r="O7" s="885"/>
      <c r="P7" s="885"/>
      <c r="Q7" s="885"/>
      <c r="R7" s="885"/>
      <c r="S7" s="885"/>
      <c r="T7" s="885"/>
      <c r="Y7" s="460">
        <f>Y8*'Booked DEC 2017 Rev'!AA13</f>
        <v>323128839.49603915</v>
      </c>
      <c r="Z7" s="282">
        <f>Y6-Z6</f>
        <v>320963139.49603915</v>
      </c>
    </row>
    <row r="8" spans="1:31">
      <c r="A8" s="478"/>
      <c r="B8" s="479"/>
      <c r="C8" s="479"/>
      <c r="H8" s="885"/>
      <c r="I8" s="885"/>
      <c r="J8" s="885"/>
      <c r="K8" s="885"/>
      <c r="L8" s="885"/>
      <c r="M8" s="885"/>
      <c r="N8" s="885"/>
      <c r="O8" s="885"/>
      <c r="P8" s="885"/>
      <c r="Q8" s="885"/>
      <c r="R8" s="885"/>
      <c r="S8" s="885"/>
      <c r="T8" s="885" t="s">
        <v>78</v>
      </c>
      <c r="Y8" s="15">
        <f>Y13/'Booked DEC 2017 Rev'!Y13</f>
        <v>1.0219153495391073</v>
      </c>
    </row>
    <row r="9" spans="1:31" ht="13.5" thickBot="1">
      <c r="A9" s="867" t="s">
        <v>836</v>
      </c>
      <c r="B9" s="480"/>
      <c r="C9" s="867" t="s">
        <v>842</v>
      </c>
      <c r="D9" s="867"/>
      <c r="E9" s="867"/>
      <c r="F9" s="867"/>
      <c r="G9" s="879"/>
      <c r="H9" s="886">
        <v>43131</v>
      </c>
      <c r="I9" s="886">
        <v>43159</v>
      </c>
      <c r="J9" s="886">
        <v>43190</v>
      </c>
      <c r="K9" s="886">
        <v>43220</v>
      </c>
      <c r="L9" s="886">
        <v>43251</v>
      </c>
      <c r="M9" s="886">
        <v>43281</v>
      </c>
      <c r="N9" s="886">
        <v>43312</v>
      </c>
      <c r="O9" s="886">
        <v>43343</v>
      </c>
      <c r="P9" s="886">
        <v>43373</v>
      </c>
      <c r="Q9" s="886">
        <v>43404</v>
      </c>
      <c r="R9" s="886">
        <v>43434</v>
      </c>
      <c r="S9" s="886">
        <v>43465</v>
      </c>
      <c r="T9" s="886">
        <v>43465</v>
      </c>
      <c r="Z9" s="95"/>
      <c r="AA9" s="95"/>
    </row>
    <row r="10" spans="1:31" ht="15.75" thickBot="1">
      <c r="A10" s="868" t="s">
        <v>843</v>
      </c>
      <c r="B10" s="630"/>
      <c r="C10" s="630"/>
      <c r="D10" s="728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V10" s="662"/>
      <c r="W10" s="663"/>
      <c r="X10" s="348" t="s">
        <v>965</v>
      </c>
      <c r="Y10" s="348" t="s">
        <v>981</v>
      </c>
      <c r="Z10" s="348" t="s">
        <v>109</v>
      </c>
      <c r="AA10" s="348" t="s">
        <v>101</v>
      </c>
      <c r="AB10" s="348" t="s">
        <v>102</v>
      </c>
      <c r="AC10" s="348" t="s">
        <v>881</v>
      </c>
      <c r="AD10" s="349" t="s">
        <v>984</v>
      </c>
    </row>
    <row r="11" spans="1:31" ht="16.5" thickBot="1">
      <c r="A11" s="869" t="s">
        <v>13</v>
      </c>
      <c r="B11" s="728"/>
      <c r="C11" s="728"/>
      <c r="D11" s="870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V11" s="334" t="s">
        <v>151</v>
      </c>
      <c r="W11" s="350"/>
      <c r="X11" s="663"/>
      <c r="Y11" s="663"/>
      <c r="Z11" s="663"/>
      <c r="AA11" s="663"/>
      <c r="AB11" s="663"/>
      <c r="AC11" s="663"/>
      <c r="AD11" s="667"/>
    </row>
    <row r="12" spans="1:31">
      <c r="A12" s="869"/>
      <c r="B12" s="870"/>
      <c r="C12" s="870"/>
      <c r="D12" s="870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V12" s="336" t="s">
        <v>945</v>
      </c>
      <c r="W12" s="351"/>
      <c r="X12" s="194"/>
      <c r="Y12" s="194"/>
      <c r="Z12" s="194"/>
      <c r="AA12" s="194"/>
      <c r="AB12" s="194"/>
      <c r="AC12" s="194"/>
      <c r="AD12" s="668"/>
    </row>
    <row r="13" spans="1:31" ht="15.75">
      <c r="A13" s="888"/>
      <c r="B13" s="630"/>
      <c r="C13" s="630"/>
      <c r="D13" s="872"/>
      <c r="E13" s="872"/>
      <c r="F13" s="872"/>
      <c r="G13" s="872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V13" s="338"/>
      <c r="W13" s="352" t="s">
        <v>322</v>
      </c>
      <c r="X13" s="670">
        <f>+$S$21</f>
        <v>1025861</v>
      </c>
      <c r="Y13" s="670">
        <f>+$T$21</f>
        <v>1013847.5833333334</v>
      </c>
      <c r="Z13" s="670">
        <f>+$T$22</f>
        <v>107496087</v>
      </c>
      <c r="AA13" s="670">
        <f>+$T$15</f>
        <v>310073126.1002</v>
      </c>
      <c r="AB13" s="670">
        <f>+$T$17</f>
        <v>118753958.82999998</v>
      </c>
      <c r="AC13" s="670">
        <f>+$T$19</f>
        <v>372811479.16000003</v>
      </c>
      <c r="AD13" s="671">
        <f>SUM(AA13:AC13)</f>
        <v>801638564.09019995</v>
      </c>
      <c r="AE13" s="199">
        <f>AA13/'Booked DEC 2017 Rev'!AA13</f>
        <v>0.98062583189902397</v>
      </c>
    </row>
    <row r="14" spans="1:31" ht="15.75">
      <c r="A14" s="869" t="s">
        <v>14</v>
      </c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15" t="s">
        <v>1585</v>
      </c>
      <c r="V14" s="338"/>
      <c r="W14" s="352" t="s">
        <v>509</v>
      </c>
      <c r="X14" s="670">
        <f>+$S$48</f>
        <v>469</v>
      </c>
      <c r="Y14" s="670">
        <f>+$T$48</f>
        <v>482.5</v>
      </c>
      <c r="Z14" s="670">
        <f>+$T$49</f>
        <v>3441887</v>
      </c>
      <c r="AA14" s="670">
        <f>+$T$42</f>
        <v>2922058.8119900357</v>
      </c>
      <c r="AB14" s="670">
        <f>+$T$44</f>
        <v>3225408.27</v>
      </c>
      <c r="AC14" s="670">
        <f>+$T$46</f>
        <v>11936945.999999998</v>
      </c>
      <c r="AD14" s="671">
        <f>SUM(AA14:AC14)</f>
        <v>18084413.081990033</v>
      </c>
      <c r="AE14" s="199">
        <f>AA14/'Booked DEC 2017 Rev'!AA14</f>
        <v>0.87021279043810718</v>
      </c>
    </row>
    <row r="15" spans="1:31" ht="16.5" thickBot="1">
      <c r="A15" s="868" t="s">
        <v>945</v>
      </c>
      <c r="B15" s="728" t="s">
        <v>15</v>
      </c>
      <c r="C15" s="728" t="s">
        <v>16</v>
      </c>
      <c r="D15" s="728" t="s">
        <v>946</v>
      </c>
      <c r="H15" s="444">
        <v>54298739.601387888</v>
      </c>
      <c r="I15" s="444">
        <v>45168704.758465029</v>
      </c>
      <c r="J15" s="444">
        <v>36234870.97448013</v>
      </c>
      <c r="K15" s="444">
        <v>22377135.398697644</v>
      </c>
      <c r="L15" s="444">
        <v>14685548.257142164</v>
      </c>
      <c r="M15" s="444">
        <v>11984366.847870026</v>
      </c>
      <c r="N15" s="444">
        <v>11381729.651640331</v>
      </c>
      <c r="O15" s="444">
        <v>11197822.17733806</v>
      </c>
      <c r="P15" s="444">
        <v>12968240.351874519</v>
      </c>
      <c r="Q15" s="444">
        <v>17411325.00481974</v>
      </c>
      <c r="R15" s="444">
        <v>32323683.159040295</v>
      </c>
      <c r="S15" s="444">
        <v>45411422.678584404</v>
      </c>
      <c r="T15" s="444">
        <f>315443588.86134+U20</f>
        <v>310073126.1002</v>
      </c>
      <c r="U15" s="282">
        <v>-9433510.4611399993</v>
      </c>
      <c r="V15" s="340"/>
      <c r="W15" s="353" t="s">
        <v>810</v>
      </c>
      <c r="X15" s="673">
        <f>+$S$66</f>
        <v>1</v>
      </c>
      <c r="Y15" s="673">
        <f>+$T$66</f>
        <v>1</v>
      </c>
      <c r="Z15" s="673">
        <f>+$T$67</f>
        <v>242105</v>
      </c>
      <c r="AA15" s="673">
        <f>+$T$60</f>
        <v>1531126.0126068778</v>
      </c>
      <c r="AB15" s="673">
        <f>+$T$62</f>
        <v>226297.95999999996</v>
      </c>
      <c r="AC15" s="673">
        <f>+$T$64</f>
        <v>839654.02</v>
      </c>
      <c r="AD15" s="674">
        <f>SUM(AA15:AC15)</f>
        <v>2597077.9926068778</v>
      </c>
      <c r="AE15" s="199">
        <f>AA15/'Booked DEC 2017 Rev'!AA15</f>
        <v>0.86157405466776149</v>
      </c>
    </row>
    <row r="16" spans="1:31" ht="15.75">
      <c r="A16" s="868" t="s">
        <v>945</v>
      </c>
      <c r="B16" s="728"/>
      <c r="C16" s="728"/>
      <c r="D16" s="728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V16" s="338"/>
      <c r="W16" s="352" t="s">
        <v>103</v>
      </c>
      <c r="X16" s="670">
        <f t="shared" ref="X16:AD16" si="0">SUM(X13:X15)</f>
        <v>1026331</v>
      </c>
      <c r="Y16" s="670">
        <f t="shared" si="0"/>
        <v>1014331.0833333334</v>
      </c>
      <c r="Z16" s="670">
        <f>SUM(Z13:Z15)</f>
        <v>111180079</v>
      </c>
      <c r="AA16" s="670">
        <f>SUM(AA13:AA15)</f>
        <v>314526310.92479688</v>
      </c>
      <c r="AB16" s="670">
        <f t="shared" si="0"/>
        <v>122205665.05999997</v>
      </c>
      <c r="AC16" s="670">
        <f t="shared" si="0"/>
        <v>385588079.18000001</v>
      </c>
      <c r="AD16" s="671">
        <f t="shared" si="0"/>
        <v>822320055.16479683</v>
      </c>
    </row>
    <row r="17" spans="1:31" ht="15.75">
      <c r="A17" s="868" t="s">
        <v>945</v>
      </c>
      <c r="B17" s="728"/>
      <c r="C17" s="728" t="s">
        <v>17</v>
      </c>
      <c r="D17" s="728" t="s">
        <v>946</v>
      </c>
      <c r="H17" s="444">
        <v>24958565.77</v>
      </c>
      <c r="I17" s="444">
        <v>20775630.16</v>
      </c>
      <c r="J17" s="444">
        <v>16186502.729999999</v>
      </c>
      <c r="K17" s="444">
        <v>4977581</v>
      </c>
      <c r="L17" s="444">
        <v>2991107.86</v>
      </c>
      <c r="M17" s="444">
        <v>1767472.3</v>
      </c>
      <c r="N17" s="444">
        <v>1466711.6400000001</v>
      </c>
      <c r="O17" s="444">
        <v>1369831.75</v>
      </c>
      <c r="P17" s="444">
        <v>1578648.35</v>
      </c>
      <c r="Q17" s="444">
        <v>3979737.01</v>
      </c>
      <c r="R17" s="444">
        <v>14910111.52</v>
      </c>
      <c r="S17" s="444">
        <v>23792058.740000002</v>
      </c>
      <c r="T17" s="444">
        <v>118753958.82999998</v>
      </c>
      <c r="U17" s="15" t="s">
        <v>1586</v>
      </c>
      <c r="V17" s="338"/>
      <c r="W17" s="352"/>
      <c r="X17" s="670"/>
      <c r="Y17" s="670"/>
      <c r="Z17" s="670"/>
      <c r="AA17" s="670"/>
      <c r="AB17" s="670"/>
      <c r="AC17" s="670"/>
      <c r="AD17" s="671"/>
    </row>
    <row r="18" spans="1:31">
      <c r="A18" s="868" t="s">
        <v>945</v>
      </c>
      <c r="B18" s="728"/>
      <c r="C18" s="728"/>
      <c r="D18" s="728" t="s">
        <v>946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1543">
        <v>-4063047.6999999997</v>
      </c>
      <c r="V18" s="336" t="s">
        <v>949</v>
      </c>
      <c r="W18" s="351"/>
      <c r="X18" s="194"/>
      <c r="Y18" s="194"/>
      <c r="Z18" s="194"/>
      <c r="AA18" s="194"/>
      <c r="AB18" s="194"/>
      <c r="AC18" s="194"/>
      <c r="AD18" s="668"/>
    </row>
    <row r="19" spans="1:31" ht="16.5" thickBot="1">
      <c r="A19" s="868" t="s">
        <v>945</v>
      </c>
      <c r="B19" s="728"/>
      <c r="C19" s="728" t="s">
        <v>18</v>
      </c>
      <c r="D19" s="728" t="s">
        <v>946</v>
      </c>
      <c r="H19" s="445">
        <v>66826063.680000007</v>
      </c>
      <c r="I19" s="445">
        <v>55626336.75</v>
      </c>
      <c r="J19" s="445">
        <v>43339039.270000003</v>
      </c>
      <c r="K19" s="445">
        <v>28385536.329999998</v>
      </c>
      <c r="L19" s="445">
        <v>17057321.75</v>
      </c>
      <c r="M19" s="445">
        <v>10079323.49</v>
      </c>
      <c r="N19" s="445">
        <v>8364182.5999999996</v>
      </c>
      <c r="O19" s="445">
        <v>7811707.8899999997</v>
      </c>
      <c r="P19" s="445">
        <v>9002521.5099999998</v>
      </c>
      <c r="Q19" s="445">
        <v>22695154.41</v>
      </c>
      <c r="R19" s="445">
        <v>39921527.170000002</v>
      </c>
      <c r="S19" s="445">
        <v>63702764.310000002</v>
      </c>
      <c r="T19" s="445">
        <v>372811479.16000003</v>
      </c>
      <c r="V19" s="340"/>
      <c r="W19" s="353" t="s">
        <v>680</v>
      </c>
      <c r="X19" s="673">
        <f>+$S$102</f>
        <v>24</v>
      </c>
      <c r="Y19" s="673">
        <f>+$T$102</f>
        <v>30</v>
      </c>
      <c r="Z19" s="673">
        <f>+$T$103</f>
        <v>311449</v>
      </c>
      <c r="AA19" s="673">
        <f>+$T$96</f>
        <v>213097.5289885008</v>
      </c>
      <c r="AB19" s="673">
        <f>+$T$98</f>
        <v>55777.409999999996</v>
      </c>
      <c r="AC19" s="673">
        <f>+$T$100</f>
        <v>1080148.71</v>
      </c>
      <c r="AD19" s="674">
        <f>SUM(AA19:AC19)</f>
        <v>1349023.6489885007</v>
      </c>
      <c r="AE19" s="199">
        <f>AA19/'Booked DEC 2017 Rev'!AA19</f>
        <v>0.56980538951904447</v>
      </c>
    </row>
    <row r="20" spans="1:31" ht="17.25">
      <c r="A20" s="868" t="s">
        <v>945</v>
      </c>
      <c r="B20" s="728"/>
      <c r="C20" s="728" t="s">
        <v>19</v>
      </c>
      <c r="D20" s="728" t="s">
        <v>946</v>
      </c>
      <c r="H20" s="444">
        <v>146083369.05138791</v>
      </c>
      <c r="I20" s="444">
        <v>121570671.66846503</v>
      </c>
      <c r="J20" s="444">
        <v>95760412.974480122</v>
      </c>
      <c r="K20" s="444">
        <v>55740252.728697643</v>
      </c>
      <c r="L20" s="444">
        <v>34733977.867142163</v>
      </c>
      <c r="M20" s="444">
        <v>23831162.637870029</v>
      </c>
      <c r="N20" s="444">
        <v>21212623.891640332</v>
      </c>
      <c r="O20" s="444">
        <v>20379361.817338061</v>
      </c>
      <c r="P20" s="444">
        <v>23549410.211874519</v>
      </c>
      <c r="Q20" s="444">
        <v>44086216.424819738</v>
      </c>
      <c r="R20" s="444">
        <v>87155321.8490403</v>
      </c>
      <c r="S20" s="444">
        <v>132906245.72858441</v>
      </c>
      <c r="T20" s="444">
        <f>SUM(T15:T19)</f>
        <v>801638564.09019995</v>
      </c>
      <c r="U20" s="1544">
        <f>U15-U18</f>
        <v>-5370462.7611400001</v>
      </c>
      <c r="V20" s="338"/>
      <c r="W20" s="352" t="s">
        <v>104</v>
      </c>
      <c r="X20" s="670">
        <f t="shared" ref="X20:AD20" si="1">SUM(X19:X19)</f>
        <v>24</v>
      </c>
      <c r="Y20" s="670">
        <f t="shared" si="1"/>
        <v>30</v>
      </c>
      <c r="Z20" s="670">
        <f>SUM(Z19:Z19)</f>
        <v>311449</v>
      </c>
      <c r="AA20" s="670">
        <f t="shared" si="1"/>
        <v>213097.5289885008</v>
      </c>
      <c r="AB20" s="670">
        <f t="shared" si="1"/>
        <v>55777.409999999996</v>
      </c>
      <c r="AC20" s="670">
        <f t="shared" si="1"/>
        <v>1080148.71</v>
      </c>
      <c r="AD20" s="671">
        <f t="shared" si="1"/>
        <v>1349023.6489885007</v>
      </c>
    </row>
    <row r="21" spans="1:31" ht="15.75">
      <c r="A21" s="868" t="s">
        <v>945</v>
      </c>
      <c r="B21" s="728"/>
      <c r="C21" s="728" t="s">
        <v>947</v>
      </c>
      <c r="D21" s="728" t="s">
        <v>946</v>
      </c>
      <c r="H21" s="444">
        <v>1007328</v>
      </c>
      <c r="I21" s="444">
        <v>1008995</v>
      </c>
      <c r="J21" s="444">
        <v>1011706</v>
      </c>
      <c r="K21" s="444">
        <v>1011992</v>
      </c>
      <c r="L21" s="444">
        <v>1012743</v>
      </c>
      <c r="M21" s="444">
        <v>1013053</v>
      </c>
      <c r="N21" s="444">
        <v>1010875</v>
      </c>
      <c r="O21" s="444">
        <v>1012483</v>
      </c>
      <c r="P21" s="444">
        <v>1013378</v>
      </c>
      <c r="Q21" s="444">
        <v>1016782</v>
      </c>
      <c r="R21" s="444">
        <v>1020975</v>
      </c>
      <c r="S21" s="444">
        <v>1025861</v>
      </c>
      <c r="T21" s="444">
        <v>1013847.5833333334</v>
      </c>
      <c r="V21" s="338"/>
      <c r="W21" s="352"/>
      <c r="X21" s="670"/>
      <c r="Y21" s="670"/>
      <c r="Z21" s="670"/>
      <c r="AA21" s="670"/>
      <c r="AB21" s="670"/>
      <c r="AC21" s="670"/>
      <c r="AD21" s="671"/>
    </row>
    <row r="22" spans="1:31" ht="15.75">
      <c r="A22" s="868" t="s">
        <v>945</v>
      </c>
      <c r="B22" s="728"/>
      <c r="C22" s="728" t="s">
        <v>20</v>
      </c>
      <c r="D22" s="728" t="s">
        <v>946</v>
      </c>
      <c r="H22" s="444">
        <v>19268560</v>
      </c>
      <c r="I22" s="444">
        <v>16039242</v>
      </c>
      <c r="J22" s="444">
        <v>12496335</v>
      </c>
      <c r="K22" s="444">
        <v>8184657</v>
      </c>
      <c r="L22" s="444">
        <v>4918291</v>
      </c>
      <c r="M22" s="444">
        <v>2906262</v>
      </c>
      <c r="N22" s="444">
        <v>2411720</v>
      </c>
      <c r="O22" s="444">
        <v>2252420</v>
      </c>
      <c r="P22" s="444">
        <v>2595778</v>
      </c>
      <c r="Q22" s="444">
        <v>6543898</v>
      </c>
      <c r="R22" s="444">
        <v>11510933</v>
      </c>
      <c r="S22" s="444">
        <v>18367991</v>
      </c>
      <c r="T22" s="444">
        <v>107496087</v>
      </c>
      <c r="V22" s="336"/>
      <c r="W22" s="352" t="s">
        <v>690</v>
      </c>
      <c r="X22" s="670"/>
      <c r="Y22" s="670"/>
      <c r="Z22" s="670"/>
      <c r="AA22" s="670">
        <f>+$T$195</f>
        <v>0</v>
      </c>
      <c r="AB22" s="670"/>
      <c r="AC22" s="670"/>
      <c r="AD22" s="671">
        <f>SUM(AA22:AC22)</f>
        <v>0</v>
      </c>
    </row>
    <row r="23" spans="1:31" ht="16.5" thickBot="1">
      <c r="A23" s="868" t="s">
        <v>945</v>
      </c>
      <c r="B23" s="332"/>
      <c r="C23" s="728"/>
      <c r="D23" s="728"/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444"/>
      <c r="V23" s="336"/>
      <c r="W23" s="353" t="s">
        <v>114</v>
      </c>
      <c r="X23" s="673"/>
      <c r="Y23" s="673"/>
      <c r="Z23" s="673"/>
      <c r="AA23" s="673">
        <f>+$T$196</f>
        <v>0</v>
      </c>
      <c r="AB23" s="673"/>
      <c r="AC23" s="673"/>
      <c r="AD23" s="674">
        <f>SUM(AA23:AC23)</f>
        <v>0</v>
      </c>
    </row>
    <row r="24" spans="1:31" ht="15.75">
      <c r="A24" s="868" t="s">
        <v>945</v>
      </c>
      <c r="B24" s="728" t="s">
        <v>247</v>
      </c>
      <c r="C24" s="728" t="s">
        <v>16</v>
      </c>
      <c r="D24" s="728" t="s">
        <v>946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444">
        <v>0</v>
      </c>
      <c r="V24" s="877"/>
      <c r="W24" s="352" t="s">
        <v>966</v>
      </c>
      <c r="X24" s="670"/>
      <c r="Y24" s="670"/>
      <c r="Z24" s="670"/>
      <c r="AA24" s="670">
        <f>SUM(AA22:AA23)</f>
        <v>0</v>
      </c>
      <c r="AB24" s="670"/>
      <c r="AC24" s="670"/>
      <c r="AD24" s="671">
        <f>SUM(AD22:AD23)</f>
        <v>0</v>
      </c>
    </row>
    <row r="25" spans="1:31">
      <c r="A25" s="868" t="s">
        <v>945</v>
      </c>
      <c r="B25" s="728"/>
      <c r="C25" s="728"/>
      <c r="D25" s="728" t="s">
        <v>946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444"/>
      <c r="V25" s="336"/>
      <c r="W25" s="351"/>
      <c r="X25" s="194"/>
      <c r="Y25" s="194"/>
      <c r="Z25" s="194"/>
      <c r="AA25" s="194"/>
      <c r="AB25" s="194"/>
      <c r="AC25" s="194"/>
      <c r="AD25" s="668"/>
    </row>
    <row r="26" spans="1:31">
      <c r="A26" s="868" t="s">
        <v>945</v>
      </c>
      <c r="B26" s="728"/>
      <c r="C26" s="728" t="s">
        <v>17</v>
      </c>
      <c r="D26" s="728" t="s">
        <v>946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444">
        <v>0</v>
      </c>
      <c r="V26" s="336" t="s">
        <v>953</v>
      </c>
      <c r="W26" s="351"/>
      <c r="X26" s="194"/>
      <c r="Y26" s="194"/>
      <c r="Z26" s="194"/>
      <c r="AA26" s="194"/>
      <c r="AB26" s="194"/>
      <c r="AC26" s="194"/>
      <c r="AD26" s="668"/>
    </row>
    <row r="27" spans="1:31">
      <c r="A27" s="868" t="s">
        <v>945</v>
      </c>
      <c r="B27" s="728"/>
      <c r="C27" s="728"/>
      <c r="D27" s="728" t="s">
        <v>946</v>
      </c>
      <c r="H27" s="444"/>
      <c r="I27" s="444"/>
      <c r="J27" s="444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V27" s="336"/>
      <c r="W27" s="351" t="s">
        <v>890</v>
      </c>
      <c r="X27" s="670">
        <f>+$S$129</f>
        <v>7</v>
      </c>
      <c r="Y27" s="670">
        <f>+$T$129</f>
        <v>7</v>
      </c>
      <c r="Z27" s="670">
        <f>+$T$130</f>
        <v>6130851</v>
      </c>
      <c r="AA27" s="670">
        <f>+$T$123</f>
        <v>2411276.6531284349</v>
      </c>
      <c r="AB27" s="670">
        <f>+$T$125</f>
        <v>0</v>
      </c>
      <c r="AC27" s="670">
        <f>+$T$127</f>
        <v>0</v>
      </c>
      <c r="AD27" s="671">
        <f t="shared" ref="AD27:AD33" si="2">SUM(AA27:AC27)</f>
        <v>2411276.6531284349</v>
      </c>
      <c r="AE27" s="199">
        <f>AA27/'Booked DEC 2017 Rev'!AA27</f>
        <v>0.46831481616691983</v>
      </c>
    </row>
    <row r="28" spans="1:31">
      <c r="A28" s="868" t="s">
        <v>945</v>
      </c>
      <c r="B28" s="728"/>
      <c r="C28" s="728" t="s">
        <v>18</v>
      </c>
      <c r="D28" s="728" t="s">
        <v>946</v>
      </c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>
        <v>0</v>
      </c>
      <c r="V28" s="336"/>
      <c r="W28" s="351" t="s">
        <v>956</v>
      </c>
      <c r="X28" s="670">
        <f>+$S$138</f>
        <v>0</v>
      </c>
      <c r="Y28" s="670">
        <f>+$T$138</f>
        <v>0</v>
      </c>
      <c r="Z28" s="670">
        <f>+$T$139</f>
        <v>0</v>
      </c>
      <c r="AA28" s="670">
        <f>+$T$132</f>
        <v>0</v>
      </c>
      <c r="AB28" s="670">
        <f>+$T$134</f>
        <v>0</v>
      </c>
      <c r="AC28" s="670">
        <f>+$T$136</f>
        <v>0</v>
      </c>
      <c r="AD28" s="671">
        <f t="shared" si="2"/>
        <v>0</v>
      </c>
    </row>
    <row r="29" spans="1:31">
      <c r="A29" s="868" t="s">
        <v>945</v>
      </c>
      <c r="B29" s="728"/>
      <c r="C29" s="728" t="s">
        <v>19</v>
      </c>
      <c r="D29" s="728" t="s">
        <v>946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444">
        <v>0</v>
      </c>
      <c r="V29" s="336"/>
      <c r="W29" s="351" t="s">
        <v>567</v>
      </c>
      <c r="X29" s="670">
        <f>+$S$156</f>
        <v>0</v>
      </c>
      <c r="Y29" s="670">
        <f>+$T$156</f>
        <v>0</v>
      </c>
      <c r="Z29" s="670">
        <f>+$T$157</f>
        <v>0</v>
      </c>
      <c r="AA29" s="670">
        <f>+$T$150</f>
        <v>0</v>
      </c>
      <c r="AB29" s="670">
        <f>+$T$152</f>
        <v>0</v>
      </c>
      <c r="AC29" s="670">
        <f>+$T$154</f>
        <v>0</v>
      </c>
      <c r="AD29" s="671">
        <f t="shared" si="2"/>
        <v>0</v>
      </c>
    </row>
    <row r="30" spans="1:31">
      <c r="A30" s="868" t="s">
        <v>945</v>
      </c>
      <c r="B30" s="728"/>
      <c r="C30" s="728" t="s">
        <v>947</v>
      </c>
      <c r="D30" s="728" t="s">
        <v>946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444"/>
      <c r="V30" s="336"/>
      <c r="W30" s="351" t="s">
        <v>566</v>
      </c>
      <c r="X30" s="670">
        <f>+$S$183</f>
        <v>0</v>
      </c>
      <c r="Y30" s="670">
        <f>+$T$183</f>
        <v>0</v>
      </c>
      <c r="Z30" s="670">
        <f>+$T$184</f>
        <v>0</v>
      </c>
      <c r="AA30" s="670">
        <f>+$T$177</f>
        <v>0</v>
      </c>
      <c r="AB30" s="670">
        <f>+$T$179</f>
        <v>0</v>
      </c>
      <c r="AC30" s="670">
        <f>+$T$181</f>
        <v>0</v>
      </c>
      <c r="AD30" s="671">
        <f t="shared" si="2"/>
        <v>0</v>
      </c>
    </row>
    <row r="31" spans="1:31">
      <c r="A31" s="868" t="s">
        <v>945</v>
      </c>
      <c r="B31" s="728"/>
      <c r="C31" s="728" t="s">
        <v>20</v>
      </c>
      <c r="D31" s="728" t="s">
        <v>946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>
        <v>0</v>
      </c>
      <c r="V31" s="336"/>
      <c r="W31" s="351" t="s">
        <v>692</v>
      </c>
      <c r="X31" s="670">
        <f>+$S$147</f>
        <v>1</v>
      </c>
      <c r="Y31" s="670">
        <f>+$T$147</f>
        <v>1</v>
      </c>
      <c r="Z31" s="670">
        <f>+$T$148</f>
        <v>21165</v>
      </c>
      <c r="AA31" s="670">
        <f>+$T$141</f>
        <v>25268.759246702306</v>
      </c>
      <c r="AB31" s="670">
        <f>+$T$143</f>
        <v>0</v>
      </c>
      <c r="AC31" s="670">
        <f>+$T$145</f>
        <v>0</v>
      </c>
      <c r="AD31" s="671">
        <f t="shared" si="2"/>
        <v>25268.759246702306</v>
      </c>
      <c r="AE31" s="199">
        <f>AA31/'Booked DEC 2017 Rev'!AA31</f>
        <v>1.0435598929008965</v>
      </c>
    </row>
    <row r="32" spans="1:31">
      <c r="A32" s="868" t="s">
        <v>945</v>
      </c>
      <c r="B32" s="332"/>
      <c r="C32" s="332"/>
      <c r="D32" s="332"/>
      <c r="H32" s="444"/>
      <c r="I32" s="444"/>
      <c r="J32" s="444"/>
      <c r="K32" s="444"/>
      <c r="L32" s="444"/>
      <c r="M32" s="444"/>
      <c r="N32" s="444"/>
      <c r="O32" s="444"/>
      <c r="P32" s="444"/>
      <c r="Q32" s="444"/>
      <c r="R32" s="444"/>
      <c r="S32" s="444"/>
      <c r="T32" s="444"/>
      <c r="V32" s="336"/>
      <c r="W32" s="351" t="s">
        <v>681</v>
      </c>
      <c r="X32" s="670">
        <f>+$S$165</f>
        <v>957</v>
      </c>
      <c r="Y32" s="670">
        <f>+$T$165</f>
        <v>829</v>
      </c>
      <c r="Z32" s="670">
        <f>+$T$166</f>
        <v>46786342</v>
      </c>
      <c r="AA32" s="670">
        <f>+$T$159</f>
        <v>23284754.669785567</v>
      </c>
      <c r="AB32" s="670">
        <f>+$T$161</f>
        <v>0</v>
      </c>
      <c r="AC32" s="670">
        <f>+$T$172</f>
        <v>0</v>
      </c>
      <c r="AD32" s="671">
        <f t="shared" si="2"/>
        <v>23284754.669785567</v>
      </c>
      <c r="AE32" s="199">
        <f>AA32/'Booked DEC 2017 Rev'!AA32</f>
        <v>1.1533893568846958</v>
      </c>
    </row>
    <row r="33" spans="1:30" ht="13.5" thickBot="1">
      <c r="A33" s="868" t="s">
        <v>945</v>
      </c>
      <c r="B33" s="728" t="s">
        <v>808</v>
      </c>
      <c r="C33" s="728" t="s">
        <v>16</v>
      </c>
      <c r="D33" s="728" t="s">
        <v>946</v>
      </c>
      <c r="H33" s="444">
        <v>0</v>
      </c>
      <c r="I33" s="444">
        <v>0</v>
      </c>
      <c r="J33" s="444">
        <v>0</v>
      </c>
      <c r="K33" s="444">
        <v>0</v>
      </c>
      <c r="L33" s="444">
        <v>0</v>
      </c>
      <c r="M33" s="444">
        <v>0</v>
      </c>
      <c r="N33" s="444">
        <v>0</v>
      </c>
      <c r="O33" s="444">
        <v>0</v>
      </c>
      <c r="P33" s="444">
        <v>0</v>
      </c>
      <c r="Q33" s="444">
        <v>0</v>
      </c>
      <c r="R33" s="444">
        <v>0</v>
      </c>
      <c r="S33" s="444">
        <v>0</v>
      </c>
      <c r="T33" s="444">
        <v>0</v>
      </c>
      <c r="V33" s="342"/>
      <c r="W33" s="354" t="s">
        <v>895</v>
      </c>
      <c r="X33" s="673">
        <f>+$S$174</f>
        <v>0</v>
      </c>
      <c r="Y33" s="673">
        <f>+$T$174</f>
        <v>0</v>
      </c>
      <c r="Z33" s="673">
        <f>+$T$175</f>
        <v>0</v>
      </c>
      <c r="AA33" s="673">
        <f>+$T$168</f>
        <v>0</v>
      </c>
      <c r="AB33" s="673">
        <f>+$T$170</f>
        <v>0</v>
      </c>
      <c r="AC33" s="673">
        <f>+$T$172</f>
        <v>0</v>
      </c>
      <c r="AD33" s="674">
        <f t="shared" si="2"/>
        <v>0</v>
      </c>
    </row>
    <row r="34" spans="1:30" ht="15.75">
      <c r="A34" s="868" t="s">
        <v>945</v>
      </c>
      <c r="B34" s="728"/>
      <c r="C34" s="728"/>
      <c r="D34" s="728" t="s">
        <v>946</v>
      </c>
      <c r="H34" s="444">
        <v>0</v>
      </c>
      <c r="I34" s="444">
        <v>0</v>
      </c>
      <c r="J34" s="444">
        <v>0</v>
      </c>
      <c r="K34" s="444">
        <v>0</v>
      </c>
      <c r="L34" s="444">
        <v>0</v>
      </c>
      <c r="M34" s="444">
        <v>0</v>
      </c>
      <c r="N34" s="444">
        <v>0</v>
      </c>
      <c r="O34" s="444">
        <v>0</v>
      </c>
      <c r="P34" s="444">
        <v>0</v>
      </c>
      <c r="Q34" s="444">
        <v>0</v>
      </c>
      <c r="R34" s="444">
        <v>0</v>
      </c>
      <c r="S34" s="444">
        <v>0</v>
      </c>
      <c r="T34" s="444"/>
      <c r="V34" s="338"/>
      <c r="W34" s="352" t="s">
        <v>105</v>
      </c>
      <c r="X34" s="670">
        <f t="shared" ref="X34:AD34" si="3">SUM(X27:X33)</f>
        <v>965</v>
      </c>
      <c r="Y34" s="670">
        <f t="shared" si="3"/>
        <v>837</v>
      </c>
      <c r="Z34" s="670">
        <f t="shared" si="3"/>
        <v>52938358</v>
      </c>
      <c r="AA34" s="670">
        <f t="shared" si="3"/>
        <v>25721300.082160704</v>
      </c>
      <c r="AB34" s="670">
        <f t="shared" si="3"/>
        <v>0</v>
      </c>
      <c r="AC34" s="670">
        <f t="shared" si="3"/>
        <v>0</v>
      </c>
      <c r="AD34" s="671">
        <f t="shared" si="3"/>
        <v>25721300.082160704</v>
      </c>
    </row>
    <row r="35" spans="1:30">
      <c r="A35" s="868" t="s">
        <v>945</v>
      </c>
      <c r="B35" s="728"/>
      <c r="C35" s="728" t="s">
        <v>17</v>
      </c>
      <c r="D35" s="728" t="s">
        <v>946</v>
      </c>
      <c r="H35" s="444">
        <v>0</v>
      </c>
      <c r="I35" s="444">
        <v>0</v>
      </c>
      <c r="J35" s="444">
        <v>0</v>
      </c>
      <c r="K35" s="444">
        <v>0</v>
      </c>
      <c r="L35" s="444">
        <v>0</v>
      </c>
      <c r="M35" s="444">
        <v>0</v>
      </c>
      <c r="N35" s="444">
        <v>0</v>
      </c>
      <c r="O35" s="444">
        <v>0</v>
      </c>
      <c r="P35" s="444">
        <v>0</v>
      </c>
      <c r="Q35" s="444">
        <v>0</v>
      </c>
      <c r="R35" s="444">
        <v>0</v>
      </c>
      <c r="S35" s="444">
        <v>0</v>
      </c>
      <c r="T35" s="444">
        <v>0</v>
      </c>
      <c r="V35" s="336"/>
      <c r="W35" s="351"/>
      <c r="X35" s="194"/>
      <c r="Y35" s="194"/>
      <c r="Z35" s="194"/>
      <c r="AA35" s="194"/>
      <c r="AB35" s="194"/>
      <c r="AC35" s="194"/>
      <c r="AD35" s="668"/>
    </row>
    <row r="36" spans="1:30" ht="15.75">
      <c r="A36" s="868" t="s">
        <v>945</v>
      </c>
      <c r="B36" s="728"/>
      <c r="C36" s="728"/>
      <c r="D36" s="728" t="s">
        <v>946</v>
      </c>
      <c r="H36" s="444">
        <v>0</v>
      </c>
      <c r="I36" s="444">
        <v>0</v>
      </c>
      <c r="J36" s="444">
        <v>0</v>
      </c>
      <c r="K36" s="444">
        <v>0</v>
      </c>
      <c r="L36" s="444">
        <v>0</v>
      </c>
      <c r="M36" s="444">
        <v>0</v>
      </c>
      <c r="N36" s="444">
        <v>0</v>
      </c>
      <c r="O36" s="444">
        <v>0</v>
      </c>
      <c r="P36" s="444">
        <v>0</v>
      </c>
      <c r="Q36" s="444">
        <v>0</v>
      </c>
      <c r="R36" s="444">
        <v>0</v>
      </c>
      <c r="S36" s="444">
        <v>0</v>
      </c>
      <c r="T36" s="444"/>
      <c r="V36" s="338"/>
      <c r="W36" s="352" t="s">
        <v>967</v>
      </c>
      <c r="X36" s="355">
        <f t="shared" ref="X36:AD36" si="4">+X34+X24+X16+X20</f>
        <v>1027320</v>
      </c>
      <c r="Y36" s="355">
        <f t="shared" si="4"/>
        <v>1015198.0833333334</v>
      </c>
      <c r="Z36" s="355">
        <f t="shared" si="4"/>
        <v>164429886</v>
      </c>
      <c r="AA36" s="355">
        <f t="shared" si="4"/>
        <v>340460708.53594607</v>
      </c>
      <c r="AB36" s="355">
        <f>+AB34+AB24+AB16+AB20</f>
        <v>122261442.46999997</v>
      </c>
      <c r="AC36" s="355">
        <f t="shared" si="4"/>
        <v>386668227.88999999</v>
      </c>
      <c r="AD36" s="356">
        <f t="shared" si="4"/>
        <v>849390378.89594603</v>
      </c>
    </row>
    <row r="37" spans="1:30" ht="13.5" thickBot="1">
      <c r="A37" s="868" t="s">
        <v>945</v>
      </c>
      <c r="B37" s="728"/>
      <c r="C37" s="728" t="s">
        <v>18</v>
      </c>
      <c r="D37" s="728" t="s">
        <v>946</v>
      </c>
      <c r="H37" s="445">
        <v>0</v>
      </c>
      <c r="I37" s="445">
        <v>0</v>
      </c>
      <c r="J37" s="445">
        <v>0</v>
      </c>
      <c r="K37" s="445">
        <v>0</v>
      </c>
      <c r="L37" s="445">
        <v>0</v>
      </c>
      <c r="M37" s="445">
        <v>0</v>
      </c>
      <c r="N37" s="445">
        <v>0</v>
      </c>
      <c r="O37" s="445">
        <v>0</v>
      </c>
      <c r="P37" s="445">
        <v>0</v>
      </c>
      <c r="Q37" s="445">
        <v>0</v>
      </c>
      <c r="R37" s="445">
        <v>0</v>
      </c>
      <c r="S37" s="445">
        <v>0</v>
      </c>
      <c r="T37" s="445">
        <v>0</v>
      </c>
      <c r="V37" s="342"/>
      <c r="W37" s="354"/>
      <c r="X37" s="661"/>
      <c r="Y37" s="661"/>
      <c r="Z37" s="661"/>
      <c r="AA37" s="661"/>
      <c r="AB37" s="661"/>
      <c r="AC37" s="661"/>
      <c r="AD37" s="678"/>
    </row>
    <row r="38" spans="1:30" ht="16.5" thickBot="1">
      <c r="A38" s="868" t="s">
        <v>945</v>
      </c>
      <c r="B38" s="728"/>
      <c r="C38" s="728" t="s">
        <v>19</v>
      </c>
      <c r="D38" s="728" t="s">
        <v>946</v>
      </c>
      <c r="H38" s="444">
        <v>0</v>
      </c>
      <c r="I38" s="444">
        <v>0</v>
      </c>
      <c r="J38" s="444">
        <v>0</v>
      </c>
      <c r="K38" s="444">
        <v>0</v>
      </c>
      <c r="L38" s="444">
        <v>0</v>
      </c>
      <c r="M38" s="444">
        <v>0</v>
      </c>
      <c r="N38" s="444">
        <v>0</v>
      </c>
      <c r="O38" s="444">
        <v>0</v>
      </c>
      <c r="P38" s="444">
        <v>0</v>
      </c>
      <c r="Q38" s="444">
        <v>0</v>
      </c>
      <c r="R38" s="444">
        <v>0</v>
      </c>
      <c r="S38" s="444">
        <v>0</v>
      </c>
      <c r="T38" s="444">
        <v>0</v>
      </c>
      <c r="V38" s="338"/>
      <c r="W38" s="352"/>
      <c r="X38" s="355"/>
      <c r="Y38" s="355"/>
      <c r="Z38" s="355"/>
      <c r="AA38" s="355"/>
      <c r="AB38" s="355"/>
      <c r="AC38" s="355"/>
      <c r="AD38" s="356"/>
    </row>
    <row r="39" spans="1:30">
      <c r="A39" s="868" t="s">
        <v>945</v>
      </c>
      <c r="B39" s="728"/>
      <c r="C39" s="728" t="s">
        <v>947</v>
      </c>
      <c r="D39" s="728" t="s">
        <v>946</v>
      </c>
      <c r="H39" s="444">
        <v>0</v>
      </c>
      <c r="I39" s="444">
        <v>0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44">
        <v>0</v>
      </c>
      <c r="R39" s="444">
        <v>0</v>
      </c>
      <c r="S39" s="444">
        <v>0</v>
      </c>
      <c r="T39" s="444">
        <v>0</v>
      </c>
      <c r="V39" s="344" t="s">
        <v>968</v>
      </c>
      <c r="W39" s="357"/>
      <c r="X39" s="663"/>
      <c r="Y39" s="663"/>
      <c r="Z39" s="663"/>
      <c r="AA39" s="663"/>
      <c r="AB39" s="663"/>
      <c r="AC39" s="663"/>
      <c r="AD39" s="667"/>
    </row>
    <row r="40" spans="1:30" ht="16.5" thickBot="1">
      <c r="A40" s="868" t="s">
        <v>945</v>
      </c>
      <c r="B40" s="728"/>
      <c r="C40" s="728" t="s">
        <v>20</v>
      </c>
      <c r="D40" s="728" t="s">
        <v>946</v>
      </c>
      <c r="H40" s="444">
        <v>0</v>
      </c>
      <c r="I40" s="444">
        <v>0</v>
      </c>
      <c r="J40" s="444">
        <v>0</v>
      </c>
      <c r="K40" s="444">
        <v>0</v>
      </c>
      <c r="L40" s="444">
        <v>0</v>
      </c>
      <c r="M40" s="444">
        <v>0</v>
      </c>
      <c r="N40" s="444">
        <v>0</v>
      </c>
      <c r="O40" s="444">
        <v>0</v>
      </c>
      <c r="P40" s="444">
        <v>0</v>
      </c>
      <c r="Q40" s="444">
        <v>0</v>
      </c>
      <c r="R40" s="444">
        <v>0</v>
      </c>
      <c r="S40" s="444">
        <v>0</v>
      </c>
      <c r="T40" s="444">
        <v>0</v>
      </c>
      <c r="V40" s="346" t="s">
        <v>945</v>
      </c>
      <c r="W40" s="358"/>
      <c r="X40" s="194"/>
      <c r="Y40" s="194"/>
      <c r="Z40" s="194"/>
      <c r="AA40" s="194"/>
      <c r="AB40" s="194"/>
      <c r="AC40" s="194"/>
      <c r="AD40" s="668"/>
    </row>
    <row r="41" spans="1:30" ht="15.75">
      <c r="A41" s="868" t="s">
        <v>945</v>
      </c>
      <c r="B41" s="332"/>
      <c r="C41" s="332"/>
      <c r="D41" s="728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V41" s="338"/>
      <c r="W41" s="352" t="s">
        <v>969</v>
      </c>
      <c r="X41" s="670">
        <f>+$S$244</f>
        <v>27828</v>
      </c>
      <c r="Y41" s="670">
        <f>+$T$244</f>
        <v>27761.583333333332</v>
      </c>
      <c r="Z41" s="670">
        <f>+$T$245</f>
        <v>3579736</v>
      </c>
      <c r="AA41" s="670">
        <f>+$T$238</f>
        <v>16624532.299999999</v>
      </c>
      <c r="AB41" s="670">
        <v>0</v>
      </c>
      <c r="AC41" s="670">
        <f>+$T$242</f>
        <v>16134765.069999997</v>
      </c>
      <c r="AD41" s="671">
        <f>SUM(AA41:AC41)</f>
        <v>32759297.369999997</v>
      </c>
    </row>
    <row r="42" spans="1:30" ht="15.75">
      <c r="A42" s="868" t="s">
        <v>945</v>
      </c>
      <c r="B42" s="728" t="s">
        <v>948</v>
      </c>
      <c r="C42" s="728" t="s">
        <v>16</v>
      </c>
      <c r="D42" s="728" t="s">
        <v>946</v>
      </c>
      <c r="H42" s="444">
        <v>416935.75186907168</v>
      </c>
      <c r="I42" s="444">
        <v>384922.4031614947</v>
      </c>
      <c r="J42" s="444">
        <v>375920.62434027635</v>
      </c>
      <c r="K42" s="444">
        <v>196879.60465343457</v>
      </c>
      <c r="L42" s="444">
        <v>183359.3961090066</v>
      </c>
      <c r="M42" s="444">
        <v>179212.31092918199</v>
      </c>
      <c r="N42" s="444">
        <v>151152.8645021336</v>
      </c>
      <c r="O42" s="444">
        <v>135402.75215351861</v>
      </c>
      <c r="P42" s="444">
        <v>150159.11697147158</v>
      </c>
      <c r="Q42" s="444">
        <v>150768.25540766801</v>
      </c>
      <c r="R42" s="444">
        <v>284314.8958118147</v>
      </c>
      <c r="S42" s="444">
        <v>313030.83608096308</v>
      </c>
      <c r="T42" s="444">
        <v>2922058.8119900357</v>
      </c>
      <c r="V42" s="338"/>
      <c r="W42" s="352" t="s">
        <v>509</v>
      </c>
      <c r="X42" s="670">
        <f>+$S$253</f>
        <v>24</v>
      </c>
      <c r="Y42" s="670">
        <f>+$T$253</f>
        <v>24</v>
      </c>
      <c r="Z42" s="670">
        <f>+$T$254</f>
        <v>172339</v>
      </c>
      <c r="AA42" s="670">
        <f>+$T$247</f>
        <v>159342.73000000001</v>
      </c>
      <c r="AB42" s="670">
        <v>0</v>
      </c>
      <c r="AC42" s="670">
        <f>+$T$251</f>
        <v>776774.95</v>
      </c>
      <c r="AD42" s="671">
        <f>SUM(AA42:AC42)</f>
        <v>936117.67999999993</v>
      </c>
    </row>
    <row r="43" spans="1:30" ht="16.5" thickBot="1">
      <c r="A43" s="868" t="s">
        <v>945</v>
      </c>
      <c r="B43" s="728"/>
      <c r="C43" s="728"/>
      <c r="D43" s="728" t="s">
        <v>946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444"/>
      <c r="V43" s="340"/>
      <c r="W43" s="353" t="s">
        <v>810</v>
      </c>
      <c r="X43" s="673">
        <f>+$S$262</f>
        <v>1</v>
      </c>
      <c r="Y43" s="673">
        <f>+$T$262</f>
        <v>1</v>
      </c>
      <c r="Z43" s="673">
        <f>+$T$263</f>
        <v>5420</v>
      </c>
      <c r="AA43" s="673">
        <f>+$T$256</f>
        <v>44484.78</v>
      </c>
      <c r="AB43" s="673">
        <v>0</v>
      </c>
      <c r="AC43" s="673">
        <f>+$T$260</f>
        <v>24429.3</v>
      </c>
      <c r="AD43" s="674">
        <f>SUM(AA43:AC43)</f>
        <v>68914.080000000002</v>
      </c>
    </row>
    <row r="44" spans="1:30" ht="15.75">
      <c r="A44" s="868" t="s">
        <v>945</v>
      </c>
      <c r="B44" s="332"/>
      <c r="C44" s="728" t="s">
        <v>17</v>
      </c>
      <c r="D44" s="728" t="s">
        <v>946</v>
      </c>
      <c r="H44" s="444">
        <v>524428.34</v>
      </c>
      <c r="I44" s="444">
        <v>470679.15</v>
      </c>
      <c r="J44" s="444">
        <v>455657.64</v>
      </c>
      <c r="K44" s="444">
        <v>203804.75999999998</v>
      </c>
      <c r="L44" s="444">
        <v>175577.62</v>
      </c>
      <c r="M44" s="444">
        <v>170885.05000000002</v>
      </c>
      <c r="N44" s="444">
        <v>124920.32000000001</v>
      </c>
      <c r="O44" s="444">
        <v>101763.41</v>
      </c>
      <c r="P44" s="444">
        <v>130573.16</v>
      </c>
      <c r="Q44" s="444">
        <v>131909.9</v>
      </c>
      <c r="R44" s="444">
        <v>332469.11</v>
      </c>
      <c r="S44" s="444">
        <v>402739.81</v>
      </c>
      <c r="T44" s="444">
        <v>3225408.27</v>
      </c>
      <c r="V44" s="338"/>
      <c r="W44" s="352" t="s">
        <v>106</v>
      </c>
      <c r="X44" s="670">
        <f t="shared" ref="X44:AD44" si="5">SUM(X41:X43)</f>
        <v>27853</v>
      </c>
      <c r="Y44" s="670">
        <f t="shared" si="5"/>
        <v>27786.583333333332</v>
      </c>
      <c r="Z44" s="670">
        <f t="shared" si="5"/>
        <v>3757495</v>
      </c>
      <c r="AA44" s="670">
        <f t="shared" si="5"/>
        <v>16828359.809999999</v>
      </c>
      <c r="AB44" s="670">
        <f t="shared" si="5"/>
        <v>0</v>
      </c>
      <c r="AC44" s="670">
        <f t="shared" si="5"/>
        <v>16935969.319999997</v>
      </c>
      <c r="AD44" s="671">
        <f t="shared" si="5"/>
        <v>33764329.129999995</v>
      </c>
    </row>
    <row r="45" spans="1:30" ht="15.75">
      <c r="A45" s="868" t="s">
        <v>945</v>
      </c>
      <c r="B45" s="728"/>
      <c r="C45" s="728"/>
      <c r="D45" s="728" t="s">
        <v>946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4"/>
      <c r="V45" s="338"/>
      <c r="W45" s="352"/>
      <c r="X45" s="670"/>
      <c r="Y45" s="670"/>
      <c r="Z45" s="670"/>
      <c r="AA45" s="670"/>
      <c r="AB45" s="670"/>
      <c r="AC45" s="670"/>
      <c r="AD45" s="671"/>
    </row>
    <row r="46" spans="1:30" ht="15.75">
      <c r="A46" s="868" t="s">
        <v>945</v>
      </c>
      <c r="B46" s="332"/>
      <c r="C46" s="332" t="s">
        <v>18</v>
      </c>
      <c r="D46" s="728" t="s">
        <v>946</v>
      </c>
      <c r="H46" s="445">
        <v>1441688.46</v>
      </c>
      <c r="I46" s="445">
        <v>1293928.3500000001</v>
      </c>
      <c r="J46" s="445">
        <v>1252633.21</v>
      </c>
      <c r="K46" s="445">
        <v>1162232.67</v>
      </c>
      <c r="L46" s="445">
        <v>1001262.4299999999</v>
      </c>
      <c r="M46" s="445">
        <v>974502.25</v>
      </c>
      <c r="N46" s="445">
        <v>712380.24</v>
      </c>
      <c r="O46" s="445">
        <v>580323.87</v>
      </c>
      <c r="P46" s="445">
        <v>744616.60000000009</v>
      </c>
      <c r="Q46" s="445">
        <v>752239.57000000007</v>
      </c>
      <c r="R46" s="445">
        <v>913979.74</v>
      </c>
      <c r="S46" s="445">
        <v>1107158.6099999999</v>
      </c>
      <c r="T46" s="445">
        <v>11936945.999999998</v>
      </c>
      <c r="V46" s="336"/>
      <c r="W46" s="352" t="s">
        <v>690</v>
      </c>
      <c r="X46" s="670"/>
      <c r="Y46" s="670"/>
      <c r="Z46" s="670"/>
      <c r="AA46" s="670">
        <f>+$T$319</f>
        <v>-4010225.3000000007</v>
      </c>
      <c r="AB46" s="670"/>
      <c r="AC46" s="670"/>
      <c r="AD46" s="671">
        <f>SUM(AA46:AC46)</f>
        <v>-4010225.3000000007</v>
      </c>
    </row>
    <row r="47" spans="1:30" ht="16.5" thickBot="1">
      <c r="A47" s="868" t="s">
        <v>945</v>
      </c>
      <c r="B47" s="332"/>
      <c r="C47" s="728" t="s">
        <v>19</v>
      </c>
      <c r="D47" s="728" t="s">
        <v>946</v>
      </c>
      <c r="H47" s="444">
        <v>2383052.5518690716</v>
      </c>
      <c r="I47" s="444">
        <v>2149529.903161495</v>
      </c>
      <c r="J47" s="444">
        <v>2084211.4743402763</v>
      </c>
      <c r="K47" s="444">
        <v>1562917.0346534345</v>
      </c>
      <c r="L47" s="444">
        <v>1360199.4461090066</v>
      </c>
      <c r="M47" s="444">
        <v>1324599.610929182</v>
      </c>
      <c r="N47" s="444">
        <v>988453.42450213362</v>
      </c>
      <c r="O47" s="444">
        <v>817490.03215351864</v>
      </c>
      <c r="P47" s="444">
        <v>1025348.8769714717</v>
      </c>
      <c r="Q47" s="444">
        <v>1034917.725407668</v>
      </c>
      <c r="R47" s="444">
        <v>1530763.7458118147</v>
      </c>
      <c r="S47" s="444">
        <v>1822929.256080963</v>
      </c>
      <c r="T47" s="444">
        <v>18084413.081990037</v>
      </c>
      <c r="V47" s="336"/>
      <c r="W47" s="353" t="s">
        <v>114</v>
      </c>
      <c r="X47" s="673"/>
      <c r="Y47" s="673"/>
      <c r="Z47" s="673"/>
      <c r="AA47" s="673">
        <f>+$T$320</f>
        <v>0</v>
      </c>
      <c r="AB47" s="673"/>
      <c r="AC47" s="673"/>
      <c r="AD47" s="674">
        <f>SUM(AA47:AC47)</f>
        <v>0</v>
      </c>
    </row>
    <row r="48" spans="1:30" ht="15.75">
      <c r="A48" s="868" t="s">
        <v>945</v>
      </c>
      <c r="B48" s="332"/>
      <c r="C48" s="728" t="s">
        <v>947</v>
      </c>
      <c r="D48" s="728" t="s">
        <v>946</v>
      </c>
      <c r="H48" s="444">
        <v>496</v>
      </c>
      <c r="I48" s="444">
        <v>496</v>
      </c>
      <c r="J48" s="444">
        <v>496</v>
      </c>
      <c r="K48" s="444">
        <v>496</v>
      </c>
      <c r="L48" s="444">
        <v>496</v>
      </c>
      <c r="M48" s="444">
        <v>496</v>
      </c>
      <c r="N48" s="444">
        <v>469</v>
      </c>
      <c r="O48" s="444">
        <v>469</v>
      </c>
      <c r="P48" s="444">
        <v>469</v>
      </c>
      <c r="Q48" s="444">
        <v>469</v>
      </c>
      <c r="R48" s="444">
        <v>469</v>
      </c>
      <c r="S48" s="444">
        <v>469</v>
      </c>
      <c r="T48" s="444">
        <v>482.5</v>
      </c>
      <c r="V48" s="877"/>
      <c r="W48" s="352" t="s">
        <v>966</v>
      </c>
      <c r="X48" s="670"/>
      <c r="Y48" s="670"/>
      <c r="Z48" s="670"/>
      <c r="AA48" s="670">
        <f>SUM(AA46:AA47)</f>
        <v>-4010225.3000000007</v>
      </c>
      <c r="AB48" s="670"/>
      <c r="AC48" s="670"/>
      <c r="AD48" s="671">
        <f>SUM(AD46:AD47)</f>
        <v>-4010225.3000000007</v>
      </c>
    </row>
    <row r="49" spans="1:30">
      <c r="A49" s="868" t="s">
        <v>945</v>
      </c>
      <c r="B49" s="332"/>
      <c r="C49" s="332" t="s">
        <v>20</v>
      </c>
      <c r="D49" s="728" t="s">
        <v>946</v>
      </c>
      <c r="H49" s="444">
        <v>415695</v>
      </c>
      <c r="I49" s="444">
        <v>373090</v>
      </c>
      <c r="J49" s="444">
        <v>361183</v>
      </c>
      <c r="K49" s="444">
        <v>335117</v>
      </c>
      <c r="L49" s="444">
        <v>288703</v>
      </c>
      <c r="M49" s="444">
        <v>280987</v>
      </c>
      <c r="N49" s="444">
        <v>205407</v>
      </c>
      <c r="O49" s="444">
        <v>167330</v>
      </c>
      <c r="P49" s="444">
        <v>214702</v>
      </c>
      <c r="Q49" s="444">
        <v>216900</v>
      </c>
      <c r="R49" s="444">
        <v>263536</v>
      </c>
      <c r="S49" s="444">
        <v>319237</v>
      </c>
      <c r="T49" s="444">
        <v>3441887</v>
      </c>
      <c r="V49" s="336"/>
      <c r="W49" s="351"/>
      <c r="X49" s="194"/>
      <c r="Y49" s="194"/>
      <c r="Z49" s="194"/>
      <c r="AA49" s="194"/>
      <c r="AB49" s="194"/>
      <c r="AC49" s="194"/>
      <c r="AD49" s="668"/>
    </row>
    <row r="50" spans="1:30">
      <c r="A50" s="868" t="s">
        <v>945</v>
      </c>
      <c r="B50" s="332"/>
      <c r="C50" s="332"/>
      <c r="D50" s="332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V50" s="336"/>
      <c r="W50" s="351"/>
      <c r="X50" s="194"/>
      <c r="Y50" s="194"/>
      <c r="Z50" s="194"/>
      <c r="AA50" s="194"/>
      <c r="AB50" s="194"/>
      <c r="AC50" s="194"/>
      <c r="AD50" s="668"/>
    </row>
    <row r="51" spans="1:30">
      <c r="A51" s="868" t="s">
        <v>945</v>
      </c>
      <c r="B51" s="728" t="s">
        <v>811</v>
      </c>
      <c r="C51" s="728" t="s">
        <v>16</v>
      </c>
      <c r="D51" s="728" t="s">
        <v>946</v>
      </c>
      <c r="H51" s="444">
        <v>0</v>
      </c>
      <c r="I51" s="444">
        <v>0</v>
      </c>
      <c r="J51" s="444">
        <v>0</v>
      </c>
      <c r="K51" s="444">
        <v>0</v>
      </c>
      <c r="L51" s="444">
        <v>0</v>
      </c>
      <c r="M51" s="444">
        <v>0</v>
      </c>
      <c r="N51" s="444">
        <v>0</v>
      </c>
      <c r="O51" s="444">
        <v>0</v>
      </c>
      <c r="P51" s="444">
        <v>0</v>
      </c>
      <c r="Q51" s="444">
        <v>0</v>
      </c>
      <c r="R51" s="444">
        <v>0</v>
      </c>
      <c r="S51" s="444">
        <v>0</v>
      </c>
      <c r="T51" s="444">
        <v>0</v>
      </c>
      <c r="V51" s="336" t="s">
        <v>949</v>
      </c>
      <c r="W51" s="351"/>
      <c r="X51" s="194"/>
      <c r="Y51" s="194"/>
      <c r="Z51" s="194"/>
      <c r="AA51" s="194"/>
      <c r="AB51" s="194"/>
      <c r="AC51" s="194"/>
      <c r="AD51" s="668"/>
    </row>
    <row r="52" spans="1:30" ht="15.75">
      <c r="A52" s="868" t="s">
        <v>945</v>
      </c>
      <c r="B52" s="728"/>
      <c r="C52" s="728" t="s">
        <v>17</v>
      </c>
      <c r="D52" s="728" t="s">
        <v>946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444"/>
      <c r="V52" s="336"/>
      <c r="W52" s="352" t="s">
        <v>970</v>
      </c>
      <c r="X52" s="670">
        <f>+$S$289</f>
        <v>0</v>
      </c>
      <c r="Y52" s="670">
        <f>+$T$289</f>
        <v>0</v>
      </c>
      <c r="Z52" s="670">
        <f>+$T$290</f>
        <v>0</v>
      </c>
      <c r="AA52" s="670">
        <f>+$T$283</f>
        <v>0</v>
      </c>
      <c r="AB52" s="670">
        <f>+$T$285</f>
        <v>0</v>
      </c>
      <c r="AC52" s="670">
        <f>+$T$287</f>
        <v>0</v>
      </c>
      <c r="AD52" s="671">
        <f>SUM(AA52:AC52)</f>
        <v>0</v>
      </c>
    </row>
    <row r="53" spans="1:30" ht="16.5" thickBot="1">
      <c r="A53" s="868" t="s">
        <v>945</v>
      </c>
      <c r="B53" s="728"/>
      <c r="C53" s="728" t="s">
        <v>812</v>
      </c>
      <c r="D53" s="728" t="s">
        <v>946</v>
      </c>
      <c r="H53" s="444">
        <v>0</v>
      </c>
      <c r="I53" s="444">
        <v>0</v>
      </c>
      <c r="J53" s="444">
        <v>0</v>
      </c>
      <c r="K53" s="444">
        <v>0</v>
      </c>
      <c r="L53" s="444">
        <v>0</v>
      </c>
      <c r="M53" s="444">
        <v>0</v>
      </c>
      <c r="N53" s="444">
        <v>0</v>
      </c>
      <c r="O53" s="444">
        <v>0</v>
      </c>
      <c r="P53" s="444">
        <v>0</v>
      </c>
      <c r="Q53" s="444">
        <v>0</v>
      </c>
      <c r="R53" s="444">
        <v>0</v>
      </c>
      <c r="S53" s="444">
        <v>0</v>
      </c>
      <c r="T53" s="444">
        <v>0</v>
      </c>
      <c r="V53" s="340"/>
      <c r="W53" s="353" t="s">
        <v>680</v>
      </c>
      <c r="X53" s="673">
        <f>+$S$280</f>
        <v>5</v>
      </c>
      <c r="Y53" s="673">
        <f>+$T$280</f>
        <v>5</v>
      </c>
      <c r="Z53" s="673">
        <f>+$T$281</f>
        <v>149658</v>
      </c>
      <c r="AA53" s="673">
        <f>+$T$274</f>
        <v>56459.670000000013</v>
      </c>
      <c r="AB53" s="673">
        <f>+$T$276</f>
        <v>27017.749999999993</v>
      </c>
      <c r="AC53" s="673">
        <f>+$T$278</f>
        <v>674546.04</v>
      </c>
      <c r="AD53" s="674">
        <f>SUM(AA53:AC53)</f>
        <v>758023.46000000008</v>
      </c>
    </row>
    <row r="54" spans="1:30" ht="15.75">
      <c r="A54" s="868" t="s">
        <v>945</v>
      </c>
      <c r="B54" s="728"/>
      <c r="C54" s="728" t="s">
        <v>813</v>
      </c>
      <c r="D54" s="728" t="s">
        <v>946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444"/>
      <c r="V54" s="338"/>
      <c r="W54" s="352" t="s">
        <v>107</v>
      </c>
      <c r="X54" s="670">
        <f t="shared" ref="X54:AD54" si="6">SUM(X52:X53)</f>
        <v>5</v>
      </c>
      <c r="Y54" s="670">
        <f t="shared" si="6"/>
        <v>5</v>
      </c>
      <c r="Z54" s="670">
        <f t="shared" si="6"/>
        <v>149658</v>
      </c>
      <c r="AA54" s="670">
        <f t="shared" si="6"/>
        <v>56459.670000000013</v>
      </c>
      <c r="AB54" s="670">
        <f t="shared" si="6"/>
        <v>27017.749999999993</v>
      </c>
      <c r="AC54" s="670">
        <f t="shared" si="6"/>
        <v>674546.04</v>
      </c>
      <c r="AD54" s="671">
        <f t="shared" si="6"/>
        <v>758023.46000000008</v>
      </c>
    </row>
    <row r="55" spans="1:30" ht="15.75">
      <c r="A55" s="868" t="s">
        <v>945</v>
      </c>
      <c r="B55" s="728"/>
      <c r="C55" s="728" t="s">
        <v>814</v>
      </c>
      <c r="D55" s="728" t="s">
        <v>946</v>
      </c>
      <c r="H55" s="445">
        <v>0</v>
      </c>
      <c r="I55" s="445">
        <v>0</v>
      </c>
      <c r="J55" s="445">
        <v>0</v>
      </c>
      <c r="K55" s="445">
        <v>0</v>
      </c>
      <c r="L55" s="445">
        <v>0</v>
      </c>
      <c r="M55" s="445">
        <v>0</v>
      </c>
      <c r="N55" s="445">
        <v>0</v>
      </c>
      <c r="O55" s="445">
        <v>0</v>
      </c>
      <c r="P55" s="445">
        <v>0</v>
      </c>
      <c r="Q55" s="445">
        <v>0</v>
      </c>
      <c r="R55" s="445">
        <v>0</v>
      </c>
      <c r="S55" s="445">
        <v>0</v>
      </c>
      <c r="T55" s="445">
        <v>0</v>
      </c>
      <c r="V55" s="338"/>
      <c r="W55" s="352"/>
      <c r="X55" s="670"/>
      <c r="Y55" s="670"/>
      <c r="Z55" s="670"/>
      <c r="AA55" s="670"/>
      <c r="AB55" s="670"/>
      <c r="AC55" s="670"/>
      <c r="AD55" s="671"/>
    </row>
    <row r="56" spans="1:30">
      <c r="A56" s="868" t="s">
        <v>945</v>
      </c>
      <c r="B56" s="728"/>
      <c r="C56" s="728" t="s">
        <v>19</v>
      </c>
      <c r="D56" s="728" t="s">
        <v>946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444">
        <v>0</v>
      </c>
      <c r="O56" s="444">
        <v>0</v>
      </c>
      <c r="P56" s="444">
        <v>0</v>
      </c>
      <c r="Q56" s="444">
        <v>0</v>
      </c>
      <c r="R56" s="444">
        <v>0</v>
      </c>
      <c r="S56" s="444">
        <v>0</v>
      </c>
      <c r="T56" s="444">
        <v>0</v>
      </c>
      <c r="V56" s="336" t="s">
        <v>953</v>
      </c>
      <c r="W56" s="351"/>
      <c r="X56" s="194"/>
      <c r="Y56" s="194"/>
      <c r="Z56" s="194"/>
      <c r="AA56" s="194"/>
      <c r="AB56" s="194"/>
      <c r="AC56" s="194"/>
      <c r="AD56" s="668"/>
    </row>
    <row r="57" spans="1:30">
      <c r="A57" s="868" t="s">
        <v>945</v>
      </c>
      <c r="B57" s="728"/>
      <c r="C57" s="728" t="s">
        <v>947</v>
      </c>
      <c r="D57" s="728" t="s">
        <v>946</v>
      </c>
      <c r="H57" s="444">
        <v>0</v>
      </c>
      <c r="I57" s="444">
        <v>0</v>
      </c>
      <c r="J57" s="444">
        <v>0</v>
      </c>
      <c r="K57" s="444">
        <v>0</v>
      </c>
      <c r="L57" s="444">
        <v>0</v>
      </c>
      <c r="M57" s="444">
        <v>0</v>
      </c>
      <c r="N57" s="444">
        <v>0</v>
      </c>
      <c r="O57" s="444">
        <v>0</v>
      </c>
      <c r="P57" s="444">
        <v>0</v>
      </c>
      <c r="Q57" s="444">
        <v>0</v>
      </c>
      <c r="R57" s="444">
        <v>0</v>
      </c>
      <c r="S57" s="444">
        <v>0</v>
      </c>
      <c r="T57" s="444">
        <v>0</v>
      </c>
      <c r="V57" s="336"/>
      <c r="W57" s="351" t="s">
        <v>971</v>
      </c>
      <c r="X57" s="670">
        <f>+$S$316</f>
        <v>2</v>
      </c>
      <c r="Y57" s="670">
        <f>+$T$316</f>
        <v>2</v>
      </c>
      <c r="Z57" s="670">
        <f>+$T$317</f>
        <v>565082</v>
      </c>
      <c r="AA57" s="670">
        <f>+$T$310</f>
        <v>36709.64</v>
      </c>
      <c r="AB57" s="670">
        <v>0</v>
      </c>
      <c r="AC57" s="670">
        <f>+$T$314</f>
        <v>0</v>
      </c>
      <c r="AD57" s="671">
        <f>SUM(AA57:AC57)</f>
        <v>36709.64</v>
      </c>
    </row>
    <row r="58" spans="1:30" ht="13.5" thickBot="1">
      <c r="A58" s="868" t="s">
        <v>945</v>
      </c>
      <c r="B58" s="728"/>
      <c r="C58" s="728" t="s">
        <v>83</v>
      </c>
      <c r="D58" s="728" t="s">
        <v>946</v>
      </c>
      <c r="H58" s="444">
        <v>0</v>
      </c>
      <c r="I58" s="444">
        <v>0</v>
      </c>
      <c r="J58" s="444">
        <v>0</v>
      </c>
      <c r="K58" s="444">
        <v>0</v>
      </c>
      <c r="L58" s="444">
        <v>0</v>
      </c>
      <c r="M58" s="444">
        <v>0</v>
      </c>
      <c r="N58" s="444">
        <v>0</v>
      </c>
      <c r="O58" s="444">
        <v>0</v>
      </c>
      <c r="P58" s="444">
        <v>0</v>
      </c>
      <c r="Q58" s="444">
        <v>0</v>
      </c>
      <c r="R58" s="444">
        <v>0</v>
      </c>
      <c r="S58" s="444">
        <v>0</v>
      </c>
      <c r="T58" s="444">
        <v>0</v>
      </c>
      <c r="V58" s="342"/>
      <c r="W58" s="354" t="s">
        <v>90</v>
      </c>
      <c r="X58" s="673">
        <f>+$S$307</f>
        <v>3</v>
      </c>
      <c r="Y58" s="673">
        <f>+$T$307</f>
        <v>3</v>
      </c>
      <c r="Z58" s="673">
        <f>+$T$308</f>
        <v>146691</v>
      </c>
      <c r="AA58" s="673">
        <f>+$T$301</f>
        <v>79346.597699999998</v>
      </c>
      <c r="AB58" s="673">
        <v>0</v>
      </c>
      <c r="AC58" s="673">
        <f>+$T$305</f>
        <v>0</v>
      </c>
      <c r="AD58" s="674">
        <f>SUM(AA58:AC58)</f>
        <v>79346.597699999998</v>
      </c>
    </row>
    <row r="59" spans="1:30">
      <c r="A59" s="868" t="s">
        <v>945</v>
      </c>
      <c r="B59" s="332"/>
      <c r="C59" s="332"/>
      <c r="D59" s="728"/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444"/>
      <c r="V59" s="336"/>
      <c r="W59" s="351" t="s">
        <v>108</v>
      </c>
      <c r="X59" s="670">
        <f t="shared" ref="X59:AD59" si="7">SUM(X57:X58)</f>
        <v>5</v>
      </c>
      <c r="Y59" s="670">
        <f t="shared" si="7"/>
        <v>5</v>
      </c>
      <c r="Z59" s="670">
        <f t="shared" si="7"/>
        <v>711773</v>
      </c>
      <c r="AA59" s="670">
        <f t="shared" si="7"/>
        <v>116056.2377</v>
      </c>
      <c r="AB59" s="670">
        <f t="shared" si="7"/>
        <v>0</v>
      </c>
      <c r="AC59" s="670">
        <f t="shared" si="7"/>
        <v>0</v>
      </c>
      <c r="AD59" s="671">
        <f t="shared" si="7"/>
        <v>116056.2377</v>
      </c>
    </row>
    <row r="60" spans="1:30">
      <c r="A60" s="868" t="s">
        <v>945</v>
      </c>
      <c r="B60" s="728" t="s">
        <v>810</v>
      </c>
      <c r="C60" s="728" t="s">
        <v>16</v>
      </c>
      <c r="D60" s="728" t="s">
        <v>946</v>
      </c>
      <c r="H60" s="444">
        <v>121852.56812853091</v>
      </c>
      <c r="I60" s="444">
        <v>125161.45724420223</v>
      </c>
      <c r="J60" s="444">
        <v>139818.88953439065</v>
      </c>
      <c r="K60" s="444">
        <v>129656.31500736199</v>
      </c>
      <c r="L60" s="444">
        <v>139746.80970811087</v>
      </c>
      <c r="M60" s="444">
        <v>135408.92517950313</v>
      </c>
      <c r="N60" s="444">
        <v>126619.32247605908</v>
      </c>
      <c r="O60" s="444">
        <v>125683.26218257114</v>
      </c>
      <c r="P60" s="444">
        <v>129894.28941589985</v>
      </c>
      <c r="Q60" s="444">
        <v>122712.90971130317</v>
      </c>
      <c r="R60" s="444">
        <v>126526.68488631738</v>
      </c>
      <c r="S60" s="444">
        <v>108044.5791326273</v>
      </c>
      <c r="T60" s="444">
        <v>1531126.0126068778</v>
      </c>
      <c r="V60" s="336"/>
      <c r="W60" s="351"/>
      <c r="X60" s="194"/>
      <c r="Y60" s="194"/>
      <c r="Z60" s="194"/>
      <c r="AA60" s="194"/>
      <c r="AB60" s="194"/>
      <c r="AC60" s="194"/>
      <c r="AD60" s="668"/>
    </row>
    <row r="61" spans="1:30" ht="15.75">
      <c r="A61" s="868" t="s">
        <v>945</v>
      </c>
      <c r="B61" s="728"/>
      <c r="C61" s="728"/>
      <c r="D61" s="728" t="s">
        <v>946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444"/>
      <c r="V61" s="338"/>
      <c r="W61" s="352" t="s">
        <v>972</v>
      </c>
      <c r="X61" s="355">
        <f t="shared" ref="X61:AD61" si="8">+X59+X54+X44+X48</f>
        <v>27863</v>
      </c>
      <c r="Y61" s="355">
        <f t="shared" si="8"/>
        <v>27796.583333333332</v>
      </c>
      <c r="Z61" s="355">
        <f t="shared" si="8"/>
        <v>4618926</v>
      </c>
      <c r="AA61" s="355">
        <f t="shared" si="8"/>
        <v>12990650.417699996</v>
      </c>
      <c r="AB61" s="355">
        <f t="shared" si="8"/>
        <v>27017.749999999993</v>
      </c>
      <c r="AC61" s="355">
        <f t="shared" si="8"/>
        <v>17610515.359999996</v>
      </c>
      <c r="AD61" s="356">
        <f t="shared" si="8"/>
        <v>30628183.527699996</v>
      </c>
    </row>
    <row r="62" spans="1:30" ht="16.5" thickBot="1">
      <c r="A62" s="868" t="s">
        <v>945</v>
      </c>
      <c r="B62" s="728"/>
      <c r="C62" s="728" t="s">
        <v>17</v>
      </c>
      <c r="D62" s="728" t="s">
        <v>946</v>
      </c>
      <c r="H62" s="444">
        <v>17382.8</v>
      </c>
      <c r="I62" s="444">
        <v>17854.830000000002</v>
      </c>
      <c r="J62" s="444">
        <v>19945.78</v>
      </c>
      <c r="K62" s="444">
        <v>18496.04</v>
      </c>
      <c r="L62" s="444">
        <v>19935.490000000002</v>
      </c>
      <c r="M62" s="444">
        <v>20130.849999999999</v>
      </c>
      <c r="N62" s="444">
        <v>18824.12</v>
      </c>
      <c r="O62" s="444">
        <v>19221.38</v>
      </c>
      <c r="P62" s="444">
        <v>19865.39</v>
      </c>
      <c r="Q62" s="444">
        <v>18767.11</v>
      </c>
      <c r="R62" s="444">
        <v>19350.37</v>
      </c>
      <c r="S62" s="444">
        <v>16523.8</v>
      </c>
      <c r="T62" s="444">
        <v>226297.95999999996</v>
      </c>
      <c r="V62" s="340"/>
      <c r="W62" s="353"/>
      <c r="X62" s="359"/>
      <c r="Y62" s="359"/>
      <c r="Z62" s="359"/>
      <c r="AA62" s="359"/>
      <c r="AB62" s="359"/>
      <c r="AC62" s="359"/>
      <c r="AD62" s="360"/>
    </row>
    <row r="63" spans="1:30" ht="15.75">
      <c r="A63" s="868" t="s">
        <v>945</v>
      </c>
      <c r="B63" s="728"/>
      <c r="C63" s="728"/>
      <c r="D63" s="728" t="s">
        <v>946</v>
      </c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444"/>
      <c r="V63" s="338"/>
      <c r="W63" s="352"/>
      <c r="X63" s="355"/>
      <c r="Y63" s="355"/>
      <c r="Z63" s="355"/>
      <c r="AA63" s="355"/>
      <c r="AB63" s="355"/>
      <c r="AC63" s="355"/>
      <c r="AD63" s="356"/>
    </row>
    <row r="64" spans="1:30">
      <c r="A64" s="868" t="s">
        <v>945</v>
      </c>
      <c r="B64" s="728"/>
      <c r="C64" s="728" t="s">
        <v>18</v>
      </c>
      <c r="D64" s="728" t="s">
        <v>946</v>
      </c>
      <c r="H64" s="445">
        <v>64497</v>
      </c>
      <c r="I64" s="445">
        <v>66248.41</v>
      </c>
      <c r="J64" s="445">
        <v>74006.64</v>
      </c>
      <c r="K64" s="445">
        <v>68627.55</v>
      </c>
      <c r="L64" s="445">
        <v>73968.490000000005</v>
      </c>
      <c r="M64" s="445">
        <v>74693.33</v>
      </c>
      <c r="N64" s="445">
        <v>69844.87</v>
      </c>
      <c r="O64" s="445">
        <v>71318.83</v>
      </c>
      <c r="P64" s="445">
        <v>73708.38</v>
      </c>
      <c r="Q64" s="445">
        <v>69633.31</v>
      </c>
      <c r="R64" s="445">
        <v>71797.429999999993</v>
      </c>
      <c r="S64" s="445">
        <v>61309.78</v>
      </c>
      <c r="T64" s="445">
        <v>839654.02</v>
      </c>
      <c r="V64" s="336" t="s">
        <v>973</v>
      </c>
      <c r="W64" s="351"/>
      <c r="X64" s="670">
        <f t="shared" ref="X64:AD64" si="9">+X59+X54+X44+X34+X16</f>
        <v>1055159</v>
      </c>
      <c r="Y64" s="670">
        <f t="shared" si="9"/>
        <v>1042964.6666666667</v>
      </c>
      <c r="Z64" s="670">
        <f t="shared" si="9"/>
        <v>168737363</v>
      </c>
      <c r="AA64" s="670">
        <f t="shared" si="9"/>
        <v>357248486.7246576</v>
      </c>
      <c r="AB64" s="670">
        <f t="shared" si="9"/>
        <v>122232682.80999997</v>
      </c>
      <c r="AC64" s="670">
        <f t="shared" si="9"/>
        <v>403198594.54000002</v>
      </c>
      <c r="AD64" s="671">
        <f t="shared" si="9"/>
        <v>882679764.07465756</v>
      </c>
    </row>
    <row r="65" spans="1:30">
      <c r="A65" s="868" t="s">
        <v>945</v>
      </c>
      <c r="B65" s="728"/>
      <c r="C65" s="728" t="s">
        <v>19</v>
      </c>
      <c r="D65" s="728" t="s">
        <v>946</v>
      </c>
      <c r="H65" s="444">
        <v>203732.36812853091</v>
      </c>
      <c r="I65" s="444">
        <v>209264.69724420222</v>
      </c>
      <c r="J65" s="444">
        <v>233771.30953439063</v>
      </c>
      <c r="K65" s="444">
        <v>216779.90500736202</v>
      </c>
      <c r="L65" s="444">
        <v>233650.78970811085</v>
      </c>
      <c r="M65" s="444">
        <v>230233.10517950315</v>
      </c>
      <c r="N65" s="444">
        <v>215288.31247605907</v>
      </c>
      <c r="O65" s="444">
        <v>216223.47218257113</v>
      </c>
      <c r="P65" s="444">
        <v>223468.05941589986</v>
      </c>
      <c r="Q65" s="444">
        <v>211113.32971130317</v>
      </c>
      <c r="R65" s="444">
        <v>217674.48488631737</v>
      </c>
      <c r="S65" s="444">
        <v>185878.1591326273</v>
      </c>
      <c r="T65" s="444">
        <v>2597077.9926068778</v>
      </c>
      <c r="V65" s="336" t="s">
        <v>974</v>
      </c>
      <c r="W65" s="351"/>
      <c r="X65" s="670">
        <f t="shared" ref="X65:AD65" si="10">+X41+X13</f>
        <v>1053689</v>
      </c>
      <c r="Y65" s="670">
        <f t="shared" si="10"/>
        <v>1041609.1666666667</v>
      </c>
      <c r="Z65" s="670">
        <f t="shared" si="10"/>
        <v>111075823</v>
      </c>
      <c r="AA65" s="670">
        <f t="shared" si="10"/>
        <v>326697658.40020001</v>
      </c>
      <c r="AB65" s="670">
        <f t="shared" si="10"/>
        <v>118753958.82999998</v>
      </c>
      <c r="AC65" s="670">
        <f t="shared" si="10"/>
        <v>388946244.23000002</v>
      </c>
      <c r="AD65" s="671">
        <f t="shared" si="10"/>
        <v>834397861.46019995</v>
      </c>
    </row>
    <row r="66" spans="1:30">
      <c r="A66" s="868" t="s">
        <v>945</v>
      </c>
      <c r="B66" s="728"/>
      <c r="C66" s="728" t="s">
        <v>947</v>
      </c>
      <c r="D66" s="728" t="s">
        <v>946</v>
      </c>
      <c r="H66" s="444">
        <v>1</v>
      </c>
      <c r="I66" s="444">
        <v>1</v>
      </c>
      <c r="J66" s="444">
        <v>1</v>
      </c>
      <c r="K66" s="444">
        <v>1</v>
      </c>
      <c r="L66" s="444">
        <v>1</v>
      </c>
      <c r="M66" s="444">
        <v>1</v>
      </c>
      <c r="N66" s="444">
        <v>1</v>
      </c>
      <c r="O66" s="444">
        <v>1</v>
      </c>
      <c r="P66" s="444">
        <v>1</v>
      </c>
      <c r="Q66" s="444">
        <v>1</v>
      </c>
      <c r="R66" s="444">
        <v>1</v>
      </c>
      <c r="S66" s="444">
        <v>1</v>
      </c>
      <c r="T66" s="444">
        <v>1</v>
      </c>
      <c r="V66" s="336" t="s">
        <v>882</v>
      </c>
      <c r="W66" s="351"/>
      <c r="X66" s="670">
        <f t="shared" ref="X66:AD66" si="11">+X77-X65</f>
        <v>1494</v>
      </c>
      <c r="Y66" s="670">
        <f t="shared" si="11"/>
        <v>1385.5</v>
      </c>
      <c r="Z66" s="670">
        <f t="shared" si="11"/>
        <v>57972989</v>
      </c>
      <c r="AA66" s="670">
        <f t="shared" si="11"/>
        <v>26753700.553446054</v>
      </c>
      <c r="AB66" s="670">
        <f t="shared" si="11"/>
        <v>3534501.3899999857</v>
      </c>
      <c r="AC66" s="670">
        <f t="shared" si="11"/>
        <v>15332499.019999981</v>
      </c>
      <c r="AD66" s="671">
        <f t="shared" si="11"/>
        <v>45620700.963446021</v>
      </c>
    </row>
    <row r="67" spans="1:30">
      <c r="A67" s="868" t="s">
        <v>945</v>
      </c>
      <c r="B67" s="728"/>
      <c r="C67" s="728" t="s">
        <v>20</v>
      </c>
      <c r="D67" s="728" t="s">
        <v>946</v>
      </c>
      <c r="H67" s="444">
        <v>18597</v>
      </c>
      <c r="I67" s="444">
        <v>19102</v>
      </c>
      <c r="J67" s="444">
        <v>21339</v>
      </c>
      <c r="K67" s="444">
        <v>19788</v>
      </c>
      <c r="L67" s="444">
        <v>21328</v>
      </c>
      <c r="M67" s="444">
        <v>21537</v>
      </c>
      <c r="N67" s="444">
        <v>20139</v>
      </c>
      <c r="O67" s="444">
        <v>20564</v>
      </c>
      <c r="P67" s="444">
        <v>21253</v>
      </c>
      <c r="Q67" s="444">
        <v>20078</v>
      </c>
      <c r="R67" s="444">
        <v>20702</v>
      </c>
      <c r="S67" s="444">
        <v>17678</v>
      </c>
      <c r="T67" s="444">
        <v>242105</v>
      </c>
      <c r="V67" s="336" t="s">
        <v>883</v>
      </c>
      <c r="W67" s="351"/>
      <c r="X67" s="670">
        <f t="shared" ref="X67:AD67" si="12">+X16+X44</f>
        <v>1054184</v>
      </c>
      <c r="Y67" s="670">
        <f t="shared" si="12"/>
        <v>1042117.6666666667</v>
      </c>
      <c r="Z67" s="670">
        <f t="shared" si="12"/>
        <v>114937574</v>
      </c>
      <c r="AA67" s="670">
        <f t="shared" si="12"/>
        <v>331354670.73479688</v>
      </c>
      <c r="AB67" s="670">
        <f t="shared" si="12"/>
        <v>122205665.05999997</v>
      </c>
      <c r="AC67" s="670">
        <f t="shared" si="12"/>
        <v>402524048.5</v>
      </c>
      <c r="AD67" s="671">
        <f t="shared" si="12"/>
        <v>856084384.29479682</v>
      </c>
    </row>
    <row r="68" spans="1:30">
      <c r="A68" s="868" t="s">
        <v>945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444"/>
      <c r="V68" s="336" t="s">
        <v>975</v>
      </c>
      <c r="W68" s="351"/>
      <c r="X68" s="670">
        <f t="shared" ref="X68:AD68" si="13">+X54+X20</f>
        <v>29</v>
      </c>
      <c r="Y68" s="670">
        <f t="shared" si="13"/>
        <v>35</v>
      </c>
      <c r="Z68" s="670">
        <f t="shared" si="13"/>
        <v>461107</v>
      </c>
      <c r="AA68" s="670">
        <f t="shared" si="13"/>
        <v>269557.19898850081</v>
      </c>
      <c r="AB68" s="670">
        <f t="shared" si="13"/>
        <v>82795.159999999989</v>
      </c>
      <c r="AC68" s="670">
        <f t="shared" si="13"/>
        <v>1754694.75</v>
      </c>
      <c r="AD68" s="671">
        <f t="shared" si="13"/>
        <v>2107047.1089885007</v>
      </c>
    </row>
    <row r="69" spans="1:30">
      <c r="A69" s="868" t="s">
        <v>945</v>
      </c>
      <c r="B69" s="728" t="s">
        <v>4</v>
      </c>
      <c r="C69" s="728" t="s">
        <v>16</v>
      </c>
      <c r="D69" s="728" t="s">
        <v>946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V69" s="336" t="s">
        <v>884</v>
      </c>
      <c r="W69" s="351"/>
      <c r="X69" s="670">
        <f t="shared" ref="X69:AD69" si="14">+X59+X34</f>
        <v>970</v>
      </c>
      <c r="Y69" s="670">
        <f t="shared" si="14"/>
        <v>842</v>
      </c>
      <c r="Z69" s="670">
        <f t="shared" si="14"/>
        <v>53650131</v>
      </c>
      <c r="AA69" s="670">
        <f t="shared" si="14"/>
        <v>25837356.319860704</v>
      </c>
      <c r="AB69" s="670">
        <f t="shared" si="14"/>
        <v>0</v>
      </c>
      <c r="AC69" s="670">
        <f t="shared" si="14"/>
        <v>0</v>
      </c>
      <c r="AD69" s="671">
        <f t="shared" si="14"/>
        <v>25837356.319860704</v>
      </c>
    </row>
    <row r="70" spans="1:30">
      <c r="A70" s="868" t="s">
        <v>945</v>
      </c>
      <c r="B70" s="728"/>
      <c r="C70" s="728"/>
      <c r="D70" s="728" t="s">
        <v>946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444"/>
      <c r="V70" s="336" t="s">
        <v>976</v>
      </c>
      <c r="W70" s="351"/>
      <c r="X70" s="670"/>
      <c r="Y70" s="670"/>
      <c r="Z70" s="670"/>
      <c r="AA70" s="670"/>
      <c r="AB70" s="670"/>
      <c r="AC70" s="670"/>
      <c r="AD70" s="671"/>
    </row>
    <row r="71" spans="1:30">
      <c r="A71" s="868" t="s">
        <v>945</v>
      </c>
      <c r="B71" s="728"/>
      <c r="C71" s="728" t="s">
        <v>17</v>
      </c>
      <c r="D71" s="728" t="s">
        <v>946</v>
      </c>
      <c r="H71" s="444">
        <v>0</v>
      </c>
      <c r="I71" s="444">
        <v>0</v>
      </c>
      <c r="J71" s="444">
        <v>0</v>
      </c>
      <c r="K71" s="444">
        <v>0</v>
      </c>
      <c r="L71" s="444">
        <v>0</v>
      </c>
      <c r="M71" s="444">
        <v>0</v>
      </c>
      <c r="N71" s="444">
        <v>0</v>
      </c>
      <c r="O71" s="444">
        <v>0</v>
      </c>
      <c r="P71" s="444">
        <v>0</v>
      </c>
      <c r="Q71" s="444">
        <v>0</v>
      </c>
      <c r="R71" s="444">
        <v>0</v>
      </c>
      <c r="S71" s="444">
        <v>0</v>
      </c>
      <c r="T71" s="444">
        <v>0</v>
      </c>
      <c r="V71" s="336" t="s">
        <v>977</v>
      </c>
      <c r="W71" s="351"/>
      <c r="X71" s="670"/>
      <c r="Y71" s="670"/>
      <c r="Z71" s="670"/>
      <c r="AA71" s="670"/>
      <c r="AB71" s="670"/>
      <c r="AC71" s="670"/>
      <c r="AD71" s="671"/>
    </row>
    <row r="72" spans="1:30">
      <c r="A72" s="868" t="s">
        <v>945</v>
      </c>
      <c r="B72" s="728"/>
      <c r="C72" s="728"/>
      <c r="D72" s="728" t="s">
        <v>946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444"/>
      <c r="V72" s="336"/>
      <c r="W72" s="351"/>
      <c r="X72" s="670"/>
      <c r="Y72" s="670"/>
      <c r="Z72" s="670"/>
      <c r="AA72" s="670"/>
      <c r="AB72" s="670"/>
      <c r="AC72" s="670"/>
      <c r="AD72" s="671"/>
    </row>
    <row r="73" spans="1:30">
      <c r="A73" s="868" t="s">
        <v>945</v>
      </c>
      <c r="B73" s="728"/>
      <c r="C73" s="728" t="s">
        <v>18</v>
      </c>
      <c r="D73" s="728" t="s">
        <v>946</v>
      </c>
      <c r="H73" s="445">
        <v>0</v>
      </c>
      <c r="I73" s="445">
        <v>0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0</v>
      </c>
      <c r="P73" s="445">
        <v>0</v>
      </c>
      <c r="Q73" s="445">
        <v>0</v>
      </c>
      <c r="R73" s="445">
        <v>0</v>
      </c>
      <c r="S73" s="445">
        <v>0</v>
      </c>
      <c r="T73" s="445">
        <v>0</v>
      </c>
      <c r="V73" s="336"/>
      <c r="W73" s="351"/>
      <c r="X73" s="194"/>
      <c r="Y73" s="194"/>
      <c r="Z73" s="194"/>
      <c r="AA73" s="194"/>
      <c r="AB73" s="194"/>
      <c r="AC73" s="194"/>
      <c r="AD73" s="668"/>
    </row>
    <row r="74" spans="1:30">
      <c r="A74" s="868" t="s">
        <v>945</v>
      </c>
      <c r="B74" s="728"/>
      <c r="C74" s="728" t="s">
        <v>19</v>
      </c>
      <c r="D74" s="728" t="s">
        <v>946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0</v>
      </c>
      <c r="Q74" s="444">
        <v>0</v>
      </c>
      <c r="R74" s="444">
        <v>0</v>
      </c>
      <c r="S74" s="444">
        <v>0</v>
      </c>
      <c r="T74" s="444">
        <v>0</v>
      </c>
      <c r="V74" s="336" t="s">
        <v>978</v>
      </c>
      <c r="W74" s="351"/>
      <c r="X74" s="670">
        <f>+X36</f>
        <v>1027320</v>
      </c>
      <c r="Y74" s="670">
        <f t="shared" ref="Y74:AD74" si="15">+Y36</f>
        <v>1015198.0833333334</v>
      </c>
      <c r="Z74" s="670">
        <f t="shared" si="15"/>
        <v>164429886</v>
      </c>
      <c r="AA74" s="670">
        <f t="shared" si="15"/>
        <v>340460708.53594607</v>
      </c>
      <c r="AB74" s="670">
        <f t="shared" si="15"/>
        <v>122261442.46999997</v>
      </c>
      <c r="AC74" s="670">
        <f t="shared" si="15"/>
        <v>386668227.88999999</v>
      </c>
      <c r="AD74" s="671">
        <f t="shared" si="15"/>
        <v>849390378.89594603</v>
      </c>
    </row>
    <row r="75" spans="1:30">
      <c r="A75" s="868" t="s">
        <v>945</v>
      </c>
      <c r="B75" s="728"/>
      <c r="C75" s="728" t="s">
        <v>947</v>
      </c>
      <c r="D75" s="728" t="s">
        <v>946</v>
      </c>
      <c r="H75" s="444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0</v>
      </c>
      <c r="O75" s="444">
        <v>0</v>
      </c>
      <c r="P75" s="444">
        <v>0</v>
      </c>
      <c r="Q75" s="444">
        <v>0</v>
      </c>
      <c r="R75" s="444">
        <v>0</v>
      </c>
      <c r="S75" s="444">
        <v>0</v>
      </c>
      <c r="T75" s="444">
        <v>0</v>
      </c>
      <c r="V75" s="336" t="s">
        <v>979</v>
      </c>
      <c r="W75" s="351"/>
      <c r="X75" s="670">
        <f t="shared" ref="X75:AD75" si="16">+X61</f>
        <v>27863</v>
      </c>
      <c r="Y75" s="670">
        <f t="shared" si="16"/>
        <v>27796.583333333332</v>
      </c>
      <c r="Z75" s="670">
        <f t="shared" si="16"/>
        <v>4618926</v>
      </c>
      <c r="AA75" s="670">
        <f t="shared" si="16"/>
        <v>12990650.417699996</v>
      </c>
      <c r="AB75" s="670">
        <f t="shared" si="16"/>
        <v>27017.749999999993</v>
      </c>
      <c r="AC75" s="670">
        <f t="shared" si="16"/>
        <v>17610515.359999996</v>
      </c>
      <c r="AD75" s="671">
        <f t="shared" si="16"/>
        <v>30628183.527699996</v>
      </c>
    </row>
    <row r="76" spans="1:30">
      <c r="A76" s="868" t="s">
        <v>945</v>
      </c>
      <c r="B76" s="728"/>
      <c r="C76" s="728" t="s">
        <v>20</v>
      </c>
      <c r="D76" s="728" t="s">
        <v>946</v>
      </c>
      <c r="H76" s="444">
        <v>0</v>
      </c>
      <c r="I76" s="444">
        <v>0</v>
      </c>
      <c r="J76" s="444">
        <v>0</v>
      </c>
      <c r="K76" s="444">
        <v>0</v>
      </c>
      <c r="L76" s="444">
        <v>0</v>
      </c>
      <c r="M76" s="444">
        <v>0</v>
      </c>
      <c r="N76" s="444">
        <v>0</v>
      </c>
      <c r="O76" s="444">
        <v>0</v>
      </c>
      <c r="P76" s="444">
        <v>0</v>
      </c>
      <c r="Q76" s="444">
        <v>0</v>
      </c>
      <c r="R76" s="444">
        <v>0</v>
      </c>
      <c r="S76" s="444">
        <v>0</v>
      </c>
      <c r="T76" s="444">
        <v>0</v>
      </c>
      <c r="V76" s="336"/>
      <c r="W76" s="351"/>
      <c r="X76" s="194"/>
      <c r="Y76" s="194"/>
      <c r="Z76" s="194"/>
      <c r="AA76" s="194"/>
      <c r="AB76" s="194"/>
      <c r="AC76" s="194"/>
      <c r="AD76" s="668"/>
    </row>
    <row r="77" spans="1:30" ht="15.75">
      <c r="A77" s="382"/>
      <c r="B77" s="728"/>
      <c r="C77" s="728"/>
      <c r="D77" s="728"/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444"/>
      <c r="V77" s="338" t="s">
        <v>980</v>
      </c>
      <c r="W77" s="352"/>
      <c r="X77" s="355">
        <f t="shared" ref="X77:AD77" si="17">SUM(X74:X76)</f>
        <v>1055183</v>
      </c>
      <c r="Y77" s="355">
        <f t="shared" si="17"/>
        <v>1042994.6666666667</v>
      </c>
      <c r="Z77" s="355">
        <f t="shared" si="17"/>
        <v>169048812</v>
      </c>
      <c r="AA77" s="355">
        <f t="shared" si="17"/>
        <v>353451358.95364606</v>
      </c>
      <c r="AB77" s="355">
        <f t="shared" si="17"/>
        <v>122288460.21999997</v>
      </c>
      <c r="AC77" s="355">
        <f t="shared" si="17"/>
        <v>404278743.25</v>
      </c>
      <c r="AD77" s="356">
        <f t="shared" si="17"/>
        <v>880018562.42364597</v>
      </c>
    </row>
    <row r="78" spans="1:30" ht="13.5" thickBot="1">
      <c r="A78" s="382" t="s">
        <v>949</v>
      </c>
      <c r="B78" s="728" t="s">
        <v>88</v>
      </c>
      <c r="C78" s="728" t="s">
        <v>16</v>
      </c>
      <c r="D78" s="728" t="s">
        <v>946</v>
      </c>
      <c r="H78" s="444">
        <v>0</v>
      </c>
      <c r="I78" s="444">
        <v>0</v>
      </c>
      <c r="J78" s="444">
        <v>0</v>
      </c>
      <c r="K78" s="444">
        <v>0</v>
      </c>
      <c r="L78" s="444">
        <v>0</v>
      </c>
      <c r="M78" s="444">
        <v>0</v>
      </c>
      <c r="N78" s="444">
        <v>0</v>
      </c>
      <c r="O78" s="444">
        <v>0</v>
      </c>
      <c r="P78" s="444">
        <v>0</v>
      </c>
      <c r="Q78" s="444">
        <v>0</v>
      </c>
      <c r="R78" s="444">
        <v>0</v>
      </c>
      <c r="S78" s="444">
        <v>0</v>
      </c>
      <c r="T78" s="444">
        <v>0</v>
      </c>
      <c r="V78" s="342"/>
      <c r="W78" s="354"/>
      <c r="X78" s="661"/>
      <c r="Y78" s="661"/>
      <c r="Z78" s="661"/>
      <c r="AA78" s="661"/>
      <c r="AB78" s="661"/>
      <c r="AC78" s="661"/>
      <c r="AD78" s="678"/>
    </row>
    <row r="79" spans="1:30">
      <c r="A79" s="382" t="s">
        <v>949</v>
      </c>
      <c r="B79" s="728"/>
      <c r="C79" s="728"/>
      <c r="D79" s="728" t="s">
        <v>946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444"/>
      <c r="V79" s="344"/>
      <c r="W79" s="357"/>
      <c r="X79" s="357"/>
      <c r="Y79" s="357"/>
      <c r="Z79" s="357"/>
      <c r="AA79" s="357"/>
      <c r="AB79" s="357"/>
      <c r="AC79" s="357"/>
      <c r="AD79" s="345"/>
    </row>
    <row r="80" spans="1:30">
      <c r="A80" s="382" t="s">
        <v>949</v>
      </c>
      <c r="B80" s="728"/>
      <c r="C80" s="728" t="s">
        <v>17</v>
      </c>
      <c r="D80" s="728" t="s">
        <v>946</v>
      </c>
      <c r="H80" s="444">
        <v>0</v>
      </c>
      <c r="I80" s="444">
        <v>0</v>
      </c>
      <c r="J80" s="444">
        <v>0</v>
      </c>
      <c r="K80" s="444">
        <v>0</v>
      </c>
      <c r="L80" s="444">
        <v>0</v>
      </c>
      <c r="M80" s="444">
        <v>0</v>
      </c>
      <c r="N80" s="444">
        <v>0</v>
      </c>
      <c r="O80" s="444">
        <v>0</v>
      </c>
      <c r="P80" s="444">
        <v>0</v>
      </c>
      <c r="Q80" s="444">
        <v>0</v>
      </c>
      <c r="R80" s="444">
        <v>0</v>
      </c>
      <c r="S80" s="444">
        <v>0</v>
      </c>
      <c r="T80" s="444">
        <v>0</v>
      </c>
      <c r="V80" s="336" t="s">
        <v>888</v>
      </c>
      <c r="W80" s="351"/>
      <c r="X80" s="361">
        <f>X77-T440</f>
        <v>0</v>
      </c>
      <c r="Y80" s="361">
        <f>Y77-T508</f>
        <v>0</v>
      </c>
      <c r="Z80" s="361">
        <f>+Z77-$T$371</f>
        <v>-32331863</v>
      </c>
      <c r="AA80" s="361">
        <f>+AA77-$T$362-$T$364</f>
        <v>-10619406.761140242</v>
      </c>
      <c r="AB80" s="361">
        <f>+AB77-$T$363</f>
        <v>0</v>
      </c>
      <c r="AC80" s="361">
        <f>+AC77-$T$365</f>
        <v>0</v>
      </c>
      <c r="AD80" s="362">
        <f>+AD77-$T$367</f>
        <v>-10619406.761140466</v>
      </c>
    </row>
    <row r="81" spans="1:30" ht="13.5" thickBot="1">
      <c r="A81" s="382" t="s">
        <v>949</v>
      </c>
      <c r="B81" s="728"/>
      <c r="C81" s="728"/>
      <c r="D81" s="728" t="s">
        <v>946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444"/>
      <c r="V81" s="342"/>
      <c r="W81" s="354"/>
      <c r="X81" s="354"/>
      <c r="Y81" s="354"/>
      <c r="Z81" s="354"/>
      <c r="AA81" s="354"/>
      <c r="AB81" s="354"/>
      <c r="AC81" s="354"/>
      <c r="AD81" s="343"/>
    </row>
    <row r="82" spans="1:30">
      <c r="A82" s="382" t="s">
        <v>949</v>
      </c>
      <c r="B82" s="728"/>
      <c r="C82" s="728" t="s">
        <v>18</v>
      </c>
      <c r="D82" s="728" t="s">
        <v>946</v>
      </c>
      <c r="H82" s="445">
        <v>0</v>
      </c>
      <c r="I82" s="445">
        <v>0</v>
      </c>
      <c r="J82" s="445">
        <v>0</v>
      </c>
      <c r="K82" s="445">
        <v>0</v>
      </c>
      <c r="L82" s="445">
        <v>0</v>
      </c>
      <c r="M82" s="445">
        <v>0</v>
      </c>
      <c r="N82" s="445">
        <v>0</v>
      </c>
      <c r="O82" s="445">
        <v>0</v>
      </c>
      <c r="P82" s="445">
        <v>0</v>
      </c>
      <c r="Q82" s="445">
        <v>0</v>
      </c>
      <c r="R82" s="445">
        <v>0</v>
      </c>
      <c r="S82" s="445">
        <v>0</v>
      </c>
      <c r="T82" s="445">
        <v>0</v>
      </c>
    </row>
    <row r="83" spans="1:30">
      <c r="A83" s="382" t="s">
        <v>949</v>
      </c>
      <c r="B83" s="728"/>
      <c r="C83" s="728" t="s">
        <v>19</v>
      </c>
      <c r="D83" s="728" t="s">
        <v>946</v>
      </c>
      <c r="H83" s="444">
        <v>0</v>
      </c>
      <c r="I83" s="444">
        <v>0</v>
      </c>
      <c r="J83" s="444">
        <v>0</v>
      </c>
      <c r="K83" s="444">
        <v>0</v>
      </c>
      <c r="L83" s="444">
        <v>0</v>
      </c>
      <c r="M83" s="444">
        <v>0</v>
      </c>
      <c r="N83" s="444">
        <v>0</v>
      </c>
      <c r="O83" s="444">
        <v>0</v>
      </c>
      <c r="P83" s="444">
        <v>0</v>
      </c>
      <c r="Q83" s="444">
        <v>0</v>
      </c>
      <c r="R83" s="444">
        <v>0</v>
      </c>
      <c r="S83" s="444">
        <v>0</v>
      </c>
      <c r="T83" s="444">
        <v>0</v>
      </c>
    </row>
    <row r="84" spans="1:30">
      <c r="A84" s="382" t="s">
        <v>949</v>
      </c>
      <c r="B84" s="728"/>
      <c r="C84" s="728" t="s">
        <v>947</v>
      </c>
      <c r="D84" s="728" t="s">
        <v>946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444"/>
    </row>
    <row r="85" spans="1:30">
      <c r="A85" s="382" t="s">
        <v>949</v>
      </c>
      <c r="B85" s="728"/>
      <c r="C85" s="728" t="s">
        <v>20</v>
      </c>
      <c r="D85" s="728" t="s">
        <v>946</v>
      </c>
      <c r="H85" s="444">
        <v>0</v>
      </c>
      <c r="I85" s="444">
        <v>0</v>
      </c>
      <c r="J85" s="444">
        <v>0</v>
      </c>
      <c r="K85" s="444">
        <v>0</v>
      </c>
      <c r="L85" s="444">
        <v>0</v>
      </c>
      <c r="M85" s="444">
        <v>0</v>
      </c>
      <c r="N85" s="444">
        <v>0</v>
      </c>
      <c r="O85" s="444">
        <v>0</v>
      </c>
      <c r="P85" s="444">
        <v>0</v>
      </c>
      <c r="Q85" s="444">
        <v>0</v>
      </c>
      <c r="R85" s="444">
        <v>0</v>
      </c>
      <c r="S85" s="444">
        <v>0</v>
      </c>
      <c r="T85" s="444">
        <v>0</v>
      </c>
    </row>
    <row r="86" spans="1:30">
      <c r="A86" s="382" t="s">
        <v>949</v>
      </c>
      <c r="B86" s="728"/>
      <c r="C86" s="728"/>
      <c r="D86" s="728"/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444"/>
    </row>
    <row r="87" spans="1:30">
      <c r="A87" s="382" t="s">
        <v>949</v>
      </c>
      <c r="B87" s="728" t="s">
        <v>950</v>
      </c>
      <c r="C87" s="728" t="s">
        <v>16</v>
      </c>
      <c r="D87" s="728" t="s">
        <v>946</v>
      </c>
      <c r="H87" s="444">
        <v>0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0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</row>
    <row r="88" spans="1:30">
      <c r="A88" s="382" t="s">
        <v>949</v>
      </c>
      <c r="B88" s="728"/>
      <c r="C88" s="728"/>
      <c r="D88" s="728" t="s">
        <v>946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444"/>
    </row>
    <row r="89" spans="1:30">
      <c r="A89" s="382" t="s">
        <v>949</v>
      </c>
      <c r="B89" s="728"/>
      <c r="C89" s="728" t="s">
        <v>17</v>
      </c>
      <c r="D89" s="728" t="s">
        <v>946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0</v>
      </c>
      <c r="T89" s="444">
        <v>0</v>
      </c>
    </row>
    <row r="90" spans="1:30">
      <c r="A90" s="382" t="s">
        <v>949</v>
      </c>
      <c r="B90" s="728"/>
      <c r="C90" s="728"/>
      <c r="D90" s="728" t="s">
        <v>946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444"/>
    </row>
    <row r="91" spans="1:30">
      <c r="A91" s="382" t="s">
        <v>949</v>
      </c>
      <c r="B91" s="728"/>
      <c r="C91" s="728" t="s">
        <v>18</v>
      </c>
      <c r="D91" s="728" t="s">
        <v>946</v>
      </c>
      <c r="H91" s="445">
        <v>0</v>
      </c>
      <c r="I91" s="445">
        <v>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O91" s="445">
        <v>0</v>
      </c>
      <c r="P91" s="445">
        <v>0</v>
      </c>
      <c r="Q91" s="445">
        <v>0</v>
      </c>
      <c r="R91" s="445">
        <v>0</v>
      </c>
      <c r="S91" s="445">
        <v>0</v>
      </c>
      <c r="T91" s="445">
        <v>0</v>
      </c>
    </row>
    <row r="92" spans="1:30">
      <c r="A92" s="382" t="s">
        <v>949</v>
      </c>
      <c r="B92" s="728"/>
      <c r="C92" s="728" t="s">
        <v>19</v>
      </c>
      <c r="D92" s="728" t="s">
        <v>946</v>
      </c>
      <c r="H92" s="444">
        <v>0</v>
      </c>
      <c r="I92" s="444">
        <v>0</v>
      </c>
      <c r="J92" s="444">
        <v>0</v>
      </c>
      <c r="K92" s="444">
        <v>0</v>
      </c>
      <c r="L92" s="444">
        <v>0</v>
      </c>
      <c r="M92" s="444">
        <v>0</v>
      </c>
      <c r="N92" s="444">
        <v>0</v>
      </c>
      <c r="O92" s="444">
        <v>0</v>
      </c>
      <c r="P92" s="444">
        <v>0</v>
      </c>
      <c r="Q92" s="444">
        <v>0</v>
      </c>
      <c r="R92" s="444">
        <v>0</v>
      </c>
      <c r="S92" s="444">
        <v>0</v>
      </c>
      <c r="T92" s="444">
        <v>0</v>
      </c>
    </row>
    <row r="93" spans="1:30">
      <c r="A93" s="382" t="s">
        <v>949</v>
      </c>
      <c r="B93" s="728"/>
      <c r="C93" s="728" t="s">
        <v>947</v>
      </c>
      <c r="D93" s="728" t="s">
        <v>946</v>
      </c>
      <c r="H93" s="444">
        <v>0</v>
      </c>
      <c r="I93" s="444">
        <v>0</v>
      </c>
      <c r="J93" s="444">
        <v>0</v>
      </c>
      <c r="K93" s="444">
        <v>0</v>
      </c>
      <c r="L93" s="444">
        <v>0</v>
      </c>
      <c r="M93" s="444">
        <v>0</v>
      </c>
      <c r="N93" s="444">
        <v>0</v>
      </c>
      <c r="O93" s="444">
        <v>0</v>
      </c>
      <c r="P93" s="444">
        <v>0</v>
      </c>
      <c r="Q93" s="444">
        <v>0</v>
      </c>
      <c r="R93" s="444">
        <v>0</v>
      </c>
      <c r="S93" s="444">
        <v>0</v>
      </c>
      <c r="T93" s="444">
        <v>0</v>
      </c>
    </row>
    <row r="94" spans="1:30">
      <c r="A94" s="382" t="s">
        <v>949</v>
      </c>
      <c r="B94" s="728"/>
      <c r="C94" s="728" t="s">
        <v>20</v>
      </c>
      <c r="D94" s="728" t="s">
        <v>946</v>
      </c>
      <c r="H94" s="444">
        <v>0</v>
      </c>
      <c r="I94" s="444">
        <v>0</v>
      </c>
      <c r="J94" s="444">
        <v>0</v>
      </c>
      <c r="K94" s="444">
        <v>0</v>
      </c>
      <c r="L94" s="444">
        <v>0</v>
      </c>
      <c r="M94" s="444">
        <v>0</v>
      </c>
      <c r="N94" s="444">
        <v>0</v>
      </c>
      <c r="O94" s="444">
        <v>0</v>
      </c>
      <c r="P94" s="444">
        <v>0</v>
      </c>
      <c r="Q94" s="444">
        <v>0</v>
      </c>
      <c r="R94" s="444">
        <v>0</v>
      </c>
      <c r="S94" s="444">
        <v>0</v>
      </c>
      <c r="T94" s="444">
        <v>0</v>
      </c>
    </row>
    <row r="95" spans="1:30">
      <c r="A95" s="382" t="s">
        <v>949</v>
      </c>
      <c r="B95" s="728"/>
      <c r="C95" s="728"/>
      <c r="D95" s="728"/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444"/>
    </row>
    <row r="96" spans="1:30">
      <c r="A96" s="382" t="s">
        <v>949</v>
      </c>
      <c r="B96" s="728" t="s">
        <v>951</v>
      </c>
      <c r="C96" s="728" t="s">
        <v>16</v>
      </c>
      <c r="D96" s="728" t="s">
        <v>946</v>
      </c>
      <c r="H96" s="444">
        <v>24164.85549393831</v>
      </c>
      <c r="I96" s="444">
        <v>22976.263315524666</v>
      </c>
      <c r="J96" s="444">
        <v>21483.669790696524</v>
      </c>
      <c r="K96" s="444">
        <v>21264.375974627255</v>
      </c>
      <c r="L96" s="444">
        <v>23077.506893008882</v>
      </c>
      <c r="M96" s="444">
        <v>28972.305912048232</v>
      </c>
      <c r="N96" s="444">
        <v>13695.476498341732</v>
      </c>
      <c r="O96" s="444">
        <v>11905.436794398127</v>
      </c>
      <c r="P96" s="444">
        <v>10354.62995539539</v>
      </c>
      <c r="Q96" s="444">
        <v>12244.42380679453</v>
      </c>
      <c r="R96" s="444">
        <v>11874.901162132875</v>
      </c>
      <c r="S96" s="444">
        <v>11083.683391594252</v>
      </c>
      <c r="T96" s="444">
        <v>213097.5289885008</v>
      </c>
    </row>
    <row r="97" spans="1:20">
      <c r="A97" s="382" t="s">
        <v>949</v>
      </c>
      <c r="B97" s="728"/>
      <c r="C97" s="728"/>
      <c r="D97" s="728" t="s">
        <v>946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444"/>
    </row>
    <row r="98" spans="1:20">
      <c r="A98" s="382" t="s">
        <v>949</v>
      </c>
      <c r="B98" s="728"/>
      <c r="C98" s="728" t="s">
        <v>17</v>
      </c>
      <c r="D98" s="728" t="s">
        <v>946</v>
      </c>
      <c r="H98" s="444">
        <v>6559.5300000000007</v>
      </c>
      <c r="I98" s="444">
        <v>5890.45</v>
      </c>
      <c r="J98" s="444">
        <v>5060.01</v>
      </c>
      <c r="K98" s="444">
        <v>4938.76</v>
      </c>
      <c r="L98" s="444">
        <v>5947.04</v>
      </c>
      <c r="M98" s="444">
        <v>9988.39</v>
      </c>
      <c r="N98" s="444">
        <v>3837.54</v>
      </c>
      <c r="O98" s="444">
        <v>2954.45</v>
      </c>
      <c r="P98" s="444">
        <v>2040.3799999999999</v>
      </c>
      <c r="Q98" s="444">
        <v>3156.2799999999997</v>
      </c>
      <c r="R98" s="444">
        <v>2936.36</v>
      </c>
      <c r="S98" s="444">
        <v>2468.2200000000003</v>
      </c>
      <c r="T98" s="444">
        <v>55777.409999999996</v>
      </c>
    </row>
    <row r="99" spans="1:20">
      <c r="A99" s="382" t="s">
        <v>949</v>
      </c>
      <c r="B99" s="728"/>
      <c r="C99" s="728"/>
      <c r="D99" s="728" t="s">
        <v>946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444"/>
    </row>
    <row r="100" spans="1:20">
      <c r="A100" s="382" t="s">
        <v>949</v>
      </c>
      <c r="B100" s="728"/>
      <c r="C100" s="728" t="s">
        <v>18</v>
      </c>
      <c r="D100" s="728" t="s">
        <v>946</v>
      </c>
      <c r="H100" s="445">
        <v>127027.56</v>
      </c>
      <c r="I100" s="445">
        <v>114070.59</v>
      </c>
      <c r="J100" s="445">
        <v>97988.82</v>
      </c>
      <c r="K100" s="445">
        <v>95640.900000000009</v>
      </c>
      <c r="L100" s="445">
        <v>115166.53</v>
      </c>
      <c r="M100" s="445">
        <v>193428.57</v>
      </c>
      <c r="N100" s="445">
        <v>74315.3</v>
      </c>
      <c r="O100" s="445">
        <v>57213.899999999994</v>
      </c>
      <c r="P100" s="445">
        <v>39512.519999999997</v>
      </c>
      <c r="Q100" s="445">
        <v>61122.5</v>
      </c>
      <c r="R100" s="445">
        <v>56863.62</v>
      </c>
      <c r="S100" s="445">
        <v>47797.899999999994</v>
      </c>
      <c r="T100" s="445">
        <v>1080148.71</v>
      </c>
    </row>
    <row r="101" spans="1:20">
      <c r="A101" s="382" t="s">
        <v>949</v>
      </c>
      <c r="B101" s="728"/>
      <c r="C101" s="728" t="s">
        <v>19</v>
      </c>
      <c r="D101" s="728" t="s">
        <v>946</v>
      </c>
      <c r="H101" s="444">
        <v>157751.94549393831</v>
      </c>
      <c r="I101" s="444">
        <v>142937.30331552465</v>
      </c>
      <c r="J101" s="444">
        <v>124532.49979069653</v>
      </c>
      <c r="K101" s="444">
        <v>121844.03597462727</v>
      </c>
      <c r="L101" s="444">
        <v>144191.0768930089</v>
      </c>
      <c r="M101" s="444">
        <v>232389.26591204823</v>
      </c>
      <c r="N101" s="444">
        <v>91848.316498341737</v>
      </c>
      <c r="O101" s="444">
        <v>72073.786794398125</v>
      </c>
      <c r="P101" s="444">
        <v>51907.529955395388</v>
      </c>
      <c r="Q101" s="444">
        <v>76523.203806794525</v>
      </c>
      <c r="R101" s="444">
        <v>71674.881162132879</v>
      </c>
      <c r="S101" s="444">
        <v>61349.803391594251</v>
      </c>
      <c r="T101" s="444">
        <v>1349023.6489885009</v>
      </c>
    </row>
    <row r="102" spans="1:20">
      <c r="A102" s="382" t="s">
        <v>949</v>
      </c>
      <c r="B102" s="728"/>
      <c r="C102" s="728" t="s">
        <v>947</v>
      </c>
      <c r="D102" s="728" t="s">
        <v>946</v>
      </c>
      <c r="H102" s="444">
        <v>36</v>
      </c>
      <c r="I102" s="444">
        <v>36</v>
      </c>
      <c r="J102" s="444">
        <v>36</v>
      </c>
      <c r="K102" s="444">
        <v>36</v>
      </c>
      <c r="L102" s="444">
        <v>36</v>
      </c>
      <c r="M102" s="444">
        <v>36</v>
      </c>
      <c r="N102" s="444">
        <v>24</v>
      </c>
      <c r="O102" s="444">
        <v>24</v>
      </c>
      <c r="P102" s="444">
        <v>24</v>
      </c>
      <c r="Q102" s="444">
        <v>24</v>
      </c>
      <c r="R102" s="444">
        <v>24</v>
      </c>
      <c r="S102" s="444">
        <v>24</v>
      </c>
      <c r="T102" s="444">
        <v>30</v>
      </c>
    </row>
    <row r="103" spans="1:20">
      <c r="A103" s="382" t="s">
        <v>949</v>
      </c>
      <c r="B103" s="728"/>
      <c r="C103" s="728" t="s">
        <v>20</v>
      </c>
      <c r="D103" s="728" t="s">
        <v>946</v>
      </c>
      <c r="H103" s="444">
        <v>36627</v>
      </c>
      <c r="I103" s="444">
        <v>32891</v>
      </c>
      <c r="J103" s="444">
        <v>28254</v>
      </c>
      <c r="K103" s="444">
        <v>27577</v>
      </c>
      <c r="L103" s="444">
        <v>33207</v>
      </c>
      <c r="M103" s="444">
        <v>55773</v>
      </c>
      <c r="N103" s="444">
        <v>21428</v>
      </c>
      <c r="O103" s="444">
        <v>16497</v>
      </c>
      <c r="P103" s="444">
        <v>11393</v>
      </c>
      <c r="Q103" s="444">
        <v>17624</v>
      </c>
      <c r="R103" s="444">
        <v>16396</v>
      </c>
      <c r="S103" s="444">
        <v>13782</v>
      </c>
      <c r="T103" s="444">
        <v>311449</v>
      </c>
    </row>
    <row r="104" spans="1:20">
      <c r="A104" s="382" t="s">
        <v>949</v>
      </c>
      <c r="B104" s="728"/>
      <c r="C104" s="728"/>
      <c r="D104" s="728"/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444"/>
    </row>
    <row r="105" spans="1:20">
      <c r="A105" s="382" t="s">
        <v>949</v>
      </c>
      <c r="B105" s="728" t="s">
        <v>87</v>
      </c>
      <c r="C105" s="728" t="s">
        <v>16</v>
      </c>
      <c r="D105" s="728" t="s">
        <v>946</v>
      </c>
      <c r="H105" s="444">
        <v>0</v>
      </c>
      <c r="I105" s="444">
        <v>0</v>
      </c>
      <c r="J105" s="444">
        <v>0</v>
      </c>
      <c r="K105" s="444">
        <v>0</v>
      </c>
      <c r="L105" s="444">
        <v>0</v>
      </c>
      <c r="M105" s="444">
        <v>0</v>
      </c>
      <c r="N105" s="444">
        <v>0</v>
      </c>
      <c r="O105" s="444">
        <v>0</v>
      </c>
      <c r="P105" s="444">
        <v>0</v>
      </c>
      <c r="Q105" s="444">
        <v>0</v>
      </c>
      <c r="R105" s="444">
        <v>0</v>
      </c>
      <c r="S105" s="444">
        <v>0</v>
      </c>
      <c r="T105" s="444">
        <v>0</v>
      </c>
    </row>
    <row r="106" spans="1:20">
      <c r="A106" s="382" t="s">
        <v>949</v>
      </c>
      <c r="B106" s="728"/>
      <c r="C106" s="728"/>
      <c r="D106" s="728" t="s">
        <v>946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</row>
    <row r="107" spans="1:20">
      <c r="A107" s="382" t="s">
        <v>949</v>
      </c>
      <c r="B107" s="728"/>
      <c r="C107" s="728" t="s">
        <v>17</v>
      </c>
      <c r="D107" s="728" t="s">
        <v>946</v>
      </c>
      <c r="H107" s="444">
        <v>0</v>
      </c>
      <c r="I107" s="444">
        <v>0</v>
      </c>
      <c r="J107" s="444">
        <v>0</v>
      </c>
      <c r="K107" s="444">
        <v>0</v>
      </c>
      <c r="L107" s="444">
        <v>0</v>
      </c>
      <c r="M107" s="444">
        <v>0</v>
      </c>
      <c r="N107" s="444">
        <v>0</v>
      </c>
      <c r="O107" s="444">
        <v>0</v>
      </c>
      <c r="P107" s="444">
        <v>0</v>
      </c>
      <c r="Q107" s="444">
        <v>0</v>
      </c>
      <c r="R107" s="444">
        <v>0</v>
      </c>
      <c r="S107" s="444">
        <v>0</v>
      </c>
      <c r="T107" s="444">
        <v>0</v>
      </c>
    </row>
    <row r="108" spans="1:20">
      <c r="A108" s="382" t="s">
        <v>949</v>
      </c>
      <c r="B108" s="728"/>
      <c r="C108" s="728"/>
      <c r="D108" s="728" t="s">
        <v>946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444"/>
    </row>
    <row r="109" spans="1:20">
      <c r="A109" s="382" t="s">
        <v>949</v>
      </c>
      <c r="B109" s="728"/>
      <c r="C109" s="728" t="s">
        <v>18</v>
      </c>
      <c r="D109" s="728" t="s">
        <v>946</v>
      </c>
      <c r="H109" s="445">
        <v>0</v>
      </c>
      <c r="I109" s="445">
        <v>0</v>
      </c>
      <c r="J109" s="445">
        <v>0</v>
      </c>
      <c r="K109" s="445">
        <v>0</v>
      </c>
      <c r="L109" s="445">
        <v>0</v>
      </c>
      <c r="M109" s="445">
        <v>0</v>
      </c>
      <c r="N109" s="445">
        <v>0</v>
      </c>
      <c r="O109" s="445">
        <v>0</v>
      </c>
      <c r="P109" s="445">
        <v>0</v>
      </c>
      <c r="Q109" s="445">
        <v>0</v>
      </c>
      <c r="R109" s="445">
        <v>0</v>
      </c>
      <c r="S109" s="445">
        <v>0</v>
      </c>
      <c r="T109" s="445">
        <v>0</v>
      </c>
    </row>
    <row r="110" spans="1:20">
      <c r="A110" s="382" t="s">
        <v>949</v>
      </c>
      <c r="B110" s="728"/>
      <c r="C110" s="728" t="s">
        <v>19</v>
      </c>
      <c r="D110" s="728" t="s">
        <v>946</v>
      </c>
      <c r="H110" s="444">
        <v>0</v>
      </c>
      <c r="I110" s="444">
        <v>0</v>
      </c>
      <c r="J110" s="444">
        <v>0</v>
      </c>
      <c r="K110" s="444">
        <v>0</v>
      </c>
      <c r="L110" s="444">
        <v>0</v>
      </c>
      <c r="M110" s="444">
        <v>0</v>
      </c>
      <c r="N110" s="444">
        <v>0</v>
      </c>
      <c r="O110" s="444">
        <v>0</v>
      </c>
      <c r="P110" s="444">
        <v>0</v>
      </c>
      <c r="Q110" s="444">
        <v>0</v>
      </c>
      <c r="R110" s="444">
        <v>0</v>
      </c>
      <c r="S110" s="444">
        <v>0</v>
      </c>
      <c r="T110" s="444">
        <v>0</v>
      </c>
    </row>
    <row r="111" spans="1:20">
      <c r="A111" s="382" t="s">
        <v>949</v>
      </c>
      <c r="B111" s="728"/>
      <c r="C111" s="728" t="s">
        <v>947</v>
      </c>
      <c r="D111" s="728" t="s">
        <v>946</v>
      </c>
      <c r="H111" s="444">
        <v>0</v>
      </c>
      <c r="I111" s="444">
        <v>0</v>
      </c>
      <c r="J111" s="444">
        <v>0</v>
      </c>
      <c r="K111" s="444">
        <v>0</v>
      </c>
      <c r="L111" s="444">
        <v>0</v>
      </c>
      <c r="M111" s="444">
        <v>0</v>
      </c>
      <c r="N111" s="444">
        <v>0</v>
      </c>
      <c r="O111" s="444">
        <v>0</v>
      </c>
      <c r="P111" s="444">
        <v>0</v>
      </c>
      <c r="Q111" s="444">
        <v>0</v>
      </c>
      <c r="R111" s="444">
        <v>0</v>
      </c>
      <c r="S111" s="444">
        <v>0</v>
      </c>
      <c r="T111" s="444">
        <v>0</v>
      </c>
    </row>
    <row r="112" spans="1:20">
      <c r="A112" s="382" t="s">
        <v>949</v>
      </c>
      <c r="B112" s="728"/>
      <c r="C112" s="728" t="s">
        <v>20</v>
      </c>
      <c r="D112" s="728" t="s">
        <v>946</v>
      </c>
      <c r="H112" s="444">
        <v>0</v>
      </c>
      <c r="I112" s="444">
        <v>0</v>
      </c>
      <c r="J112" s="444">
        <v>0</v>
      </c>
      <c r="K112" s="444">
        <v>0</v>
      </c>
      <c r="L112" s="444">
        <v>0</v>
      </c>
      <c r="M112" s="444">
        <v>0</v>
      </c>
      <c r="N112" s="444">
        <v>0</v>
      </c>
      <c r="O112" s="444">
        <v>0</v>
      </c>
      <c r="P112" s="444">
        <v>0</v>
      </c>
      <c r="Q112" s="444">
        <v>0</v>
      </c>
      <c r="R112" s="444">
        <v>0</v>
      </c>
      <c r="S112" s="444">
        <v>0</v>
      </c>
      <c r="T112" s="444">
        <v>0</v>
      </c>
    </row>
    <row r="113" spans="1:20">
      <c r="A113" s="382"/>
      <c r="B113" s="728"/>
      <c r="C113" s="728"/>
      <c r="D113" s="728"/>
      <c r="H113" s="444">
        <v>0</v>
      </c>
      <c r="I113" s="444">
        <v>0</v>
      </c>
      <c r="J113" s="444">
        <v>0</v>
      </c>
      <c r="K113" s="444">
        <v>0</v>
      </c>
      <c r="L113" s="444">
        <v>0</v>
      </c>
      <c r="M113" s="444">
        <v>0</v>
      </c>
      <c r="N113" s="444">
        <v>0</v>
      </c>
      <c r="O113" s="444">
        <v>0</v>
      </c>
      <c r="P113" s="444">
        <v>0</v>
      </c>
      <c r="Q113" s="444">
        <v>0</v>
      </c>
      <c r="R113" s="444">
        <v>0</v>
      </c>
      <c r="S113" s="444">
        <v>0</v>
      </c>
      <c r="T113" s="444"/>
    </row>
    <row r="114" spans="1:20">
      <c r="A114" s="382"/>
      <c r="B114" s="728" t="s">
        <v>952</v>
      </c>
      <c r="C114" s="728" t="s">
        <v>16</v>
      </c>
      <c r="D114" s="728" t="s">
        <v>946</v>
      </c>
      <c r="H114" s="444">
        <v>437412</v>
      </c>
      <c r="I114" s="444">
        <v>437412</v>
      </c>
      <c r="J114" s="444">
        <v>437412</v>
      </c>
      <c r="K114" s="444">
        <v>437412</v>
      </c>
      <c r="L114" s="444">
        <v>437412</v>
      </c>
      <c r="M114" s="444">
        <v>437412</v>
      </c>
      <c r="N114" s="444">
        <v>437412</v>
      </c>
      <c r="O114" s="444">
        <v>437412</v>
      </c>
      <c r="P114" s="444">
        <v>437412</v>
      </c>
      <c r="Q114" s="444">
        <v>437412</v>
      </c>
      <c r="R114" s="444">
        <v>437412</v>
      </c>
      <c r="S114" s="444">
        <v>437412</v>
      </c>
      <c r="T114" s="444">
        <v>5248944</v>
      </c>
    </row>
    <row r="115" spans="1:20">
      <c r="A115" s="382"/>
      <c r="B115" s="728"/>
      <c r="C115" s="728"/>
      <c r="D115" s="728" t="s">
        <v>946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444"/>
    </row>
    <row r="116" spans="1:20">
      <c r="A116" s="382"/>
      <c r="B116" s="728"/>
      <c r="C116" s="728" t="s">
        <v>17</v>
      </c>
      <c r="D116" s="728" t="s">
        <v>946</v>
      </c>
      <c r="H116" s="444">
        <v>0</v>
      </c>
      <c r="I116" s="444">
        <v>0</v>
      </c>
      <c r="J116" s="444">
        <v>0</v>
      </c>
      <c r="K116" s="444">
        <v>0</v>
      </c>
      <c r="L116" s="444">
        <v>0</v>
      </c>
      <c r="M116" s="444">
        <v>0</v>
      </c>
      <c r="N116" s="444">
        <v>0</v>
      </c>
      <c r="O116" s="444">
        <v>0</v>
      </c>
      <c r="P116" s="444">
        <v>0</v>
      </c>
      <c r="Q116" s="444">
        <v>0</v>
      </c>
      <c r="R116" s="444">
        <v>0</v>
      </c>
      <c r="S116" s="444">
        <v>0</v>
      </c>
      <c r="T116" s="444">
        <v>0</v>
      </c>
    </row>
    <row r="117" spans="1:20">
      <c r="A117" s="382"/>
      <c r="B117" s="728"/>
      <c r="C117" s="728"/>
      <c r="D117" s="728" t="s">
        <v>946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444"/>
    </row>
    <row r="118" spans="1:20">
      <c r="A118" s="382"/>
      <c r="B118" s="728"/>
      <c r="C118" s="728" t="s">
        <v>18</v>
      </c>
      <c r="D118" s="728" t="s">
        <v>946</v>
      </c>
      <c r="H118" s="445">
        <v>0</v>
      </c>
      <c r="I118" s="445">
        <v>0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O118" s="445">
        <v>0</v>
      </c>
      <c r="P118" s="445">
        <v>0</v>
      </c>
      <c r="Q118" s="445">
        <v>0</v>
      </c>
      <c r="R118" s="445">
        <v>0</v>
      </c>
      <c r="S118" s="445">
        <v>0</v>
      </c>
      <c r="T118" s="445">
        <v>0</v>
      </c>
    </row>
    <row r="119" spans="1:20">
      <c r="A119" s="382"/>
      <c r="B119" s="728"/>
      <c r="C119" s="728" t="s">
        <v>19</v>
      </c>
      <c r="D119" s="728" t="s">
        <v>946</v>
      </c>
      <c r="H119" s="444">
        <v>437412</v>
      </c>
      <c r="I119" s="444">
        <v>437412</v>
      </c>
      <c r="J119" s="444">
        <v>437412</v>
      </c>
      <c r="K119" s="444">
        <v>437412</v>
      </c>
      <c r="L119" s="444">
        <v>437412</v>
      </c>
      <c r="M119" s="444">
        <v>437412</v>
      </c>
      <c r="N119" s="444">
        <v>437412</v>
      </c>
      <c r="O119" s="444">
        <v>437412</v>
      </c>
      <c r="P119" s="444">
        <v>437412</v>
      </c>
      <c r="Q119" s="444">
        <v>437412</v>
      </c>
      <c r="R119" s="444">
        <v>437412</v>
      </c>
      <c r="S119" s="444">
        <v>437412</v>
      </c>
      <c r="T119" s="444">
        <v>5248944</v>
      </c>
    </row>
    <row r="120" spans="1:20">
      <c r="A120" s="382"/>
      <c r="B120" s="728"/>
      <c r="C120" s="728" t="s">
        <v>947</v>
      </c>
      <c r="D120" s="728" t="s">
        <v>946</v>
      </c>
      <c r="H120" s="444">
        <v>1</v>
      </c>
      <c r="I120" s="444">
        <v>1</v>
      </c>
      <c r="J120" s="444">
        <v>1</v>
      </c>
      <c r="K120" s="444">
        <v>1</v>
      </c>
      <c r="L120" s="444">
        <v>1</v>
      </c>
      <c r="M120" s="444">
        <v>1</v>
      </c>
      <c r="N120" s="444">
        <v>1</v>
      </c>
      <c r="O120" s="444">
        <v>1</v>
      </c>
      <c r="P120" s="444">
        <v>1</v>
      </c>
      <c r="Q120" s="444">
        <v>1</v>
      </c>
      <c r="R120" s="444">
        <v>1</v>
      </c>
      <c r="S120" s="444">
        <v>1</v>
      </c>
      <c r="T120" s="444">
        <v>1</v>
      </c>
    </row>
    <row r="121" spans="1:20">
      <c r="A121" s="382"/>
      <c r="B121" s="728"/>
      <c r="C121" s="728" t="s">
        <v>20</v>
      </c>
      <c r="D121" s="728" t="s">
        <v>946</v>
      </c>
      <c r="H121" s="444">
        <v>2895339</v>
      </c>
      <c r="I121" s="444">
        <v>2199151</v>
      </c>
      <c r="J121" s="444">
        <v>2066091</v>
      </c>
      <c r="K121" s="444">
        <v>2576278</v>
      </c>
      <c r="L121" s="444">
        <v>2846069</v>
      </c>
      <c r="M121" s="444">
        <v>3080918</v>
      </c>
      <c r="N121" s="444">
        <v>3326664</v>
      </c>
      <c r="O121" s="444">
        <v>3450970</v>
      </c>
      <c r="P121" s="444">
        <v>2633230</v>
      </c>
      <c r="Q121" s="444">
        <v>1957005</v>
      </c>
      <c r="R121" s="444">
        <v>2182448</v>
      </c>
      <c r="S121" s="444">
        <v>3117700</v>
      </c>
      <c r="T121" s="444">
        <v>32331863</v>
      </c>
    </row>
    <row r="122" spans="1:20">
      <c r="A122" s="382"/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444"/>
    </row>
    <row r="123" spans="1:20">
      <c r="A123" s="382" t="s">
        <v>953</v>
      </c>
      <c r="B123" s="728" t="s">
        <v>954</v>
      </c>
      <c r="C123" s="728" t="s">
        <v>16</v>
      </c>
      <c r="D123" s="728" t="s">
        <v>955</v>
      </c>
      <c r="H123" s="444">
        <v>198515.00460647119</v>
      </c>
      <c r="I123" s="444">
        <v>193525.64106140719</v>
      </c>
      <c r="J123" s="444">
        <v>203987.28188925391</v>
      </c>
      <c r="K123" s="444">
        <v>191942.3078127359</v>
      </c>
      <c r="L123" s="444">
        <v>203366.48766633801</v>
      </c>
      <c r="M123" s="444">
        <v>192467.76213938979</v>
      </c>
      <c r="N123" s="444">
        <v>245300.01976170778</v>
      </c>
      <c r="O123" s="444">
        <v>245649.40102015584</v>
      </c>
      <c r="P123" s="444">
        <v>212005.6760544256</v>
      </c>
      <c r="Q123" s="444">
        <v>179642.80918708676</v>
      </c>
      <c r="R123" s="444">
        <v>164934.55947026669</v>
      </c>
      <c r="S123" s="444">
        <v>179939.70245919601</v>
      </c>
      <c r="T123" s="444">
        <v>2411276.6531284349</v>
      </c>
    </row>
    <row r="124" spans="1:20">
      <c r="A124" s="382" t="s">
        <v>953</v>
      </c>
      <c r="B124" s="728"/>
      <c r="C124" s="728"/>
      <c r="D124" s="728" t="s">
        <v>955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444"/>
    </row>
    <row r="125" spans="1:20">
      <c r="A125" s="382" t="s">
        <v>953</v>
      </c>
      <c r="B125" s="728"/>
      <c r="C125" s="728" t="s">
        <v>17</v>
      </c>
      <c r="D125" s="728" t="s">
        <v>955</v>
      </c>
      <c r="H125" s="444">
        <v>0</v>
      </c>
      <c r="I125" s="444">
        <v>0</v>
      </c>
      <c r="J125" s="444">
        <v>0</v>
      </c>
      <c r="K125" s="444">
        <v>0</v>
      </c>
      <c r="L125" s="444">
        <v>0</v>
      </c>
      <c r="M125" s="444">
        <v>0</v>
      </c>
      <c r="N125" s="444">
        <v>0</v>
      </c>
      <c r="O125" s="444">
        <v>0</v>
      </c>
      <c r="P125" s="444">
        <v>0</v>
      </c>
      <c r="Q125" s="444">
        <v>0</v>
      </c>
      <c r="R125" s="444">
        <v>0</v>
      </c>
      <c r="S125" s="444">
        <v>0</v>
      </c>
      <c r="T125" s="444">
        <v>0</v>
      </c>
    </row>
    <row r="126" spans="1:20">
      <c r="A126" s="382" t="s">
        <v>953</v>
      </c>
      <c r="B126" s="728"/>
      <c r="C126" s="728"/>
      <c r="D126" s="728" t="s">
        <v>955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444"/>
    </row>
    <row r="127" spans="1:20">
      <c r="A127" s="382" t="s">
        <v>953</v>
      </c>
      <c r="B127" s="728"/>
      <c r="C127" s="728" t="s">
        <v>18</v>
      </c>
      <c r="D127" s="728" t="s">
        <v>955</v>
      </c>
      <c r="H127" s="445">
        <v>0</v>
      </c>
      <c r="I127" s="445">
        <v>0</v>
      </c>
      <c r="J127" s="445">
        <v>0</v>
      </c>
      <c r="K127" s="445">
        <v>0</v>
      </c>
      <c r="L127" s="445">
        <v>0</v>
      </c>
      <c r="M127" s="445">
        <v>0</v>
      </c>
      <c r="N127" s="445">
        <v>0</v>
      </c>
      <c r="O127" s="445">
        <v>0</v>
      </c>
      <c r="P127" s="445">
        <v>0</v>
      </c>
      <c r="Q127" s="445">
        <v>0</v>
      </c>
      <c r="R127" s="445">
        <v>0</v>
      </c>
      <c r="S127" s="445">
        <v>0</v>
      </c>
      <c r="T127" s="445">
        <v>0</v>
      </c>
    </row>
    <row r="128" spans="1:20">
      <c r="A128" s="382" t="s">
        <v>953</v>
      </c>
      <c r="B128" s="728"/>
      <c r="C128" s="728" t="s">
        <v>19</v>
      </c>
      <c r="D128" s="728" t="s">
        <v>955</v>
      </c>
      <c r="H128" s="444">
        <v>198515.00460647119</v>
      </c>
      <c r="I128" s="444">
        <v>193525.64106140719</v>
      </c>
      <c r="J128" s="444">
        <v>203987.28188925391</v>
      </c>
      <c r="K128" s="444">
        <v>191942.3078127359</v>
      </c>
      <c r="L128" s="444">
        <v>203366.48766633801</v>
      </c>
      <c r="M128" s="444">
        <v>192467.76213938979</v>
      </c>
      <c r="N128" s="444">
        <v>245300.01976170778</v>
      </c>
      <c r="O128" s="444">
        <v>245649.40102015584</v>
      </c>
      <c r="P128" s="444">
        <v>212005.6760544256</v>
      </c>
      <c r="Q128" s="444">
        <v>179642.80918708676</v>
      </c>
      <c r="R128" s="444">
        <v>164934.55947026669</v>
      </c>
      <c r="S128" s="444">
        <v>179939.70245919601</v>
      </c>
      <c r="T128" s="444">
        <v>2411276.6531284349</v>
      </c>
    </row>
    <row r="129" spans="1:20">
      <c r="A129" s="382" t="s">
        <v>953</v>
      </c>
      <c r="B129" s="728"/>
      <c r="C129" s="728" t="s">
        <v>947</v>
      </c>
      <c r="D129" s="728" t="s">
        <v>955</v>
      </c>
      <c r="H129" s="444">
        <v>7</v>
      </c>
      <c r="I129" s="444">
        <v>7</v>
      </c>
      <c r="J129" s="444">
        <v>7</v>
      </c>
      <c r="K129" s="444">
        <v>7</v>
      </c>
      <c r="L129" s="444">
        <v>7</v>
      </c>
      <c r="M129" s="444">
        <v>7</v>
      </c>
      <c r="N129" s="444">
        <v>7</v>
      </c>
      <c r="O129" s="444">
        <v>7</v>
      </c>
      <c r="P129" s="444">
        <v>7</v>
      </c>
      <c r="Q129" s="444">
        <v>7</v>
      </c>
      <c r="R129" s="444">
        <v>7</v>
      </c>
      <c r="S129" s="444">
        <v>7</v>
      </c>
      <c r="T129" s="444">
        <v>7</v>
      </c>
    </row>
    <row r="130" spans="1:20">
      <c r="A130" s="382" t="s">
        <v>953</v>
      </c>
      <c r="B130" s="728"/>
      <c r="C130" s="728" t="s">
        <v>20</v>
      </c>
      <c r="D130" s="728" t="s">
        <v>955</v>
      </c>
      <c r="H130" s="444">
        <v>480239</v>
      </c>
      <c r="I130" s="444">
        <v>448979</v>
      </c>
      <c r="J130" s="444">
        <v>496667</v>
      </c>
      <c r="K130" s="444">
        <v>447582</v>
      </c>
      <c r="L130" s="444">
        <v>486886</v>
      </c>
      <c r="M130" s="444">
        <v>471041</v>
      </c>
      <c r="N130" s="444">
        <v>703590</v>
      </c>
      <c r="O130" s="444">
        <v>741131</v>
      </c>
      <c r="P130" s="444">
        <v>572035</v>
      </c>
      <c r="Q130" s="444">
        <v>448553</v>
      </c>
      <c r="R130" s="444">
        <v>379279</v>
      </c>
      <c r="S130" s="444">
        <v>454869</v>
      </c>
      <c r="T130" s="444">
        <v>6130851</v>
      </c>
    </row>
    <row r="131" spans="1:20">
      <c r="A131" s="382" t="s">
        <v>953</v>
      </c>
      <c r="B131" s="728"/>
      <c r="C131" s="728"/>
      <c r="D131" s="728"/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444"/>
    </row>
    <row r="132" spans="1:20">
      <c r="A132" s="382" t="s">
        <v>953</v>
      </c>
      <c r="B132" s="728" t="s">
        <v>956</v>
      </c>
      <c r="C132" s="728" t="s">
        <v>16</v>
      </c>
      <c r="D132" s="728" t="s">
        <v>955</v>
      </c>
      <c r="H132" s="444">
        <v>0</v>
      </c>
      <c r="I132" s="444">
        <v>0</v>
      </c>
      <c r="J132" s="444">
        <v>0</v>
      </c>
      <c r="K132" s="444">
        <v>0</v>
      </c>
      <c r="L132" s="444">
        <v>0</v>
      </c>
      <c r="M132" s="444">
        <v>0</v>
      </c>
      <c r="N132" s="444">
        <v>0</v>
      </c>
      <c r="O132" s="444">
        <v>0</v>
      </c>
      <c r="P132" s="444">
        <v>0</v>
      </c>
      <c r="Q132" s="444">
        <v>0</v>
      </c>
      <c r="R132" s="444">
        <v>0</v>
      </c>
      <c r="S132" s="444">
        <v>0</v>
      </c>
      <c r="T132" s="444">
        <v>0</v>
      </c>
    </row>
    <row r="133" spans="1:20">
      <c r="A133" s="382" t="s">
        <v>953</v>
      </c>
      <c r="B133" s="728"/>
      <c r="C133" s="728"/>
      <c r="D133" s="728" t="s">
        <v>955</v>
      </c>
      <c r="H133" s="444">
        <v>0</v>
      </c>
      <c r="I133" s="444">
        <v>0</v>
      </c>
      <c r="J133" s="444">
        <v>0</v>
      </c>
      <c r="K133" s="444">
        <v>0</v>
      </c>
      <c r="L133" s="444">
        <v>0</v>
      </c>
      <c r="M133" s="444">
        <v>0</v>
      </c>
      <c r="N133" s="444">
        <v>0</v>
      </c>
      <c r="O133" s="444">
        <v>0</v>
      </c>
      <c r="P133" s="444">
        <v>0</v>
      </c>
      <c r="Q133" s="444">
        <v>0</v>
      </c>
      <c r="R133" s="444">
        <v>0</v>
      </c>
      <c r="S133" s="444">
        <v>0</v>
      </c>
      <c r="T133" s="444"/>
    </row>
    <row r="134" spans="1:20">
      <c r="A134" s="382" t="s">
        <v>953</v>
      </c>
      <c r="B134" s="728"/>
      <c r="C134" s="728" t="s">
        <v>17</v>
      </c>
      <c r="D134" s="728" t="s">
        <v>955</v>
      </c>
      <c r="H134" s="444">
        <v>0</v>
      </c>
      <c r="I134" s="444">
        <v>0</v>
      </c>
      <c r="J134" s="444">
        <v>0</v>
      </c>
      <c r="K134" s="444">
        <v>0</v>
      </c>
      <c r="L134" s="444">
        <v>0</v>
      </c>
      <c r="M134" s="444">
        <v>0</v>
      </c>
      <c r="N134" s="444">
        <v>0</v>
      </c>
      <c r="O134" s="444">
        <v>0</v>
      </c>
      <c r="P134" s="444">
        <v>0</v>
      </c>
      <c r="Q134" s="444">
        <v>0</v>
      </c>
      <c r="R134" s="444">
        <v>0</v>
      </c>
      <c r="S134" s="444">
        <v>0</v>
      </c>
      <c r="T134" s="444">
        <v>0</v>
      </c>
    </row>
    <row r="135" spans="1:20">
      <c r="A135" s="382" t="s">
        <v>953</v>
      </c>
      <c r="B135" s="728"/>
      <c r="C135" s="728"/>
      <c r="D135" s="728" t="s">
        <v>955</v>
      </c>
      <c r="H135" s="444">
        <v>0</v>
      </c>
      <c r="I135" s="444">
        <v>0</v>
      </c>
      <c r="J135" s="444">
        <v>0</v>
      </c>
      <c r="K135" s="444">
        <v>0</v>
      </c>
      <c r="L135" s="444">
        <v>0</v>
      </c>
      <c r="M135" s="444">
        <v>0</v>
      </c>
      <c r="N135" s="444">
        <v>0</v>
      </c>
      <c r="O135" s="444">
        <v>0</v>
      </c>
      <c r="P135" s="444">
        <v>0</v>
      </c>
      <c r="Q135" s="444">
        <v>0</v>
      </c>
      <c r="R135" s="444">
        <v>0</v>
      </c>
      <c r="S135" s="444">
        <v>0</v>
      </c>
      <c r="T135" s="444"/>
    </row>
    <row r="136" spans="1:20">
      <c r="A136" s="382" t="s">
        <v>953</v>
      </c>
      <c r="B136" s="728"/>
      <c r="C136" s="728" t="s">
        <v>18</v>
      </c>
      <c r="D136" s="728" t="s">
        <v>955</v>
      </c>
      <c r="H136" s="445">
        <v>0</v>
      </c>
      <c r="I136" s="445">
        <v>0</v>
      </c>
      <c r="J136" s="445">
        <v>0</v>
      </c>
      <c r="K136" s="445">
        <v>0</v>
      </c>
      <c r="L136" s="445">
        <v>0</v>
      </c>
      <c r="M136" s="445">
        <v>0</v>
      </c>
      <c r="N136" s="445">
        <v>0</v>
      </c>
      <c r="O136" s="445">
        <v>0</v>
      </c>
      <c r="P136" s="445">
        <v>0</v>
      </c>
      <c r="Q136" s="445">
        <v>0</v>
      </c>
      <c r="R136" s="445">
        <v>0</v>
      </c>
      <c r="S136" s="445">
        <v>0</v>
      </c>
      <c r="T136" s="445">
        <v>0</v>
      </c>
    </row>
    <row r="137" spans="1:20">
      <c r="A137" s="382" t="s">
        <v>953</v>
      </c>
      <c r="B137" s="728"/>
      <c r="C137" s="728" t="s">
        <v>19</v>
      </c>
      <c r="D137" s="728" t="s">
        <v>955</v>
      </c>
      <c r="H137" s="444">
        <v>0</v>
      </c>
      <c r="I137" s="444">
        <v>0</v>
      </c>
      <c r="J137" s="444">
        <v>0</v>
      </c>
      <c r="K137" s="444">
        <v>0</v>
      </c>
      <c r="L137" s="444">
        <v>0</v>
      </c>
      <c r="M137" s="444">
        <v>0</v>
      </c>
      <c r="N137" s="444">
        <v>0</v>
      </c>
      <c r="O137" s="444">
        <v>0</v>
      </c>
      <c r="P137" s="444">
        <v>0</v>
      </c>
      <c r="Q137" s="444">
        <v>0</v>
      </c>
      <c r="R137" s="444">
        <v>0</v>
      </c>
      <c r="S137" s="444">
        <v>0</v>
      </c>
      <c r="T137" s="444">
        <v>0</v>
      </c>
    </row>
    <row r="138" spans="1:20">
      <c r="A138" s="382" t="s">
        <v>953</v>
      </c>
      <c r="B138" s="728"/>
      <c r="C138" s="728" t="s">
        <v>947</v>
      </c>
      <c r="D138" s="728" t="s">
        <v>955</v>
      </c>
      <c r="H138" s="444">
        <v>0</v>
      </c>
      <c r="I138" s="444">
        <v>0</v>
      </c>
      <c r="J138" s="444">
        <v>0</v>
      </c>
      <c r="K138" s="444">
        <v>0</v>
      </c>
      <c r="L138" s="444">
        <v>0</v>
      </c>
      <c r="M138" s="444">
        <v>0</v>
      </c>
      <c r="N138" s="444">
        <v>0</v>
      </c>
      <c r="O138" s="444">
        <v>0</v>
      </c>
      <c r="P138" s="444">
        <v>0</v>
      </c>
      <c r="Q138" s="444">
        <v>0</v>
      </c>
      <c r="R138" s="444">
        <v>0</v>
      </c>
      <c r="S138" s="444">
        <v>0</v>
      </c>
      <c r="T138" s="444">
        <v>0</v>
      </c>
    </row>
    <row r="139" spans="1:20">
      <c r="A139" s="382" t="s">
        <v>953</v>
      </c>
      <c r="B139" s="728"/>
      <c r="C139" s="728" t="s">
        <v>20</v>
      </c>
      <c r="D139" s="728" t="s">
        <v>955</v>
      </c>
      <c r="H139" s="444">
        <v>0</v>
      </c>
      <c r="I139" s="444">
        <v>0</v>
      </c>
      <c r="J139" s="444">
        <v>0</v>
      </c>
      <c r="K139" s="444">
        <v>0</v>
      </c>
      <c r="L139" s="444">
        <v>0</v>
      </c>
      <c r="M139" s="444">
        <v>0</v>
      </c>
      <c r="N139" s="444">
        <v>0</v>
      </c>
      <c r="O139" s="444">
        <v>0</v>
      </c>
      <c r="P139" s="444">
        <v>0</v>
      </c>
      <c r="Q139" s="444">
        <v>0</v>
      </c>
      <c r="R139" s="444">
        <v>0</v>
      </c>
      <c r="S139" s="444">
        <v>0</v>
      </c>
      <c r="T139" s="444">
        <v>0</v>
      </c>
    </row>
    <row r="140" spans="1:20">
      <c r="A140" s="382" t="s">
        <v>953</v>
      </c>
      <c r="B140" s="728"/>
      <c r="C140" s="728"/>
      <c r="D140" s="728"/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444"/>
    </row>
    <row r="141" spans="1:20">
      <c r="A141" s="382" t="s">
        <v>953</v>
      </c>
      <c r="B141" s="728" t="s">
        <v>692</v>
      </c>
      <c r="C141" s="728" t="s">
        <v>16</v>
      </c>
      <c r="D141" s="728" t="s">
        <v>955</v>
      </c>
      <c r="H141" s="444">
        <v>5006.6173855312809</v>
      </c>
      <c r="I141" s="444">
        <v>3387.6070223534916</v>
      </c>
      <c r="J141" s="444">
        <v>2437.2966906455549</v>
      </c>
      <c r="K141" s="444">
        <v>1822.087295615325</v>
      </c>
      <c r="L141" s="444">
        <v>1397.8258878694619</v>
      </c>
      <c r="M141" s="444">
        <v>1157.0944859038752</v>
      </c>
      <c r="N141" s="444">
        <v>1062.7367201853981</v>
      </c>
      <c r="O141" s="444">
        <v>1083.5423607993939</v>
      </c>
      <c r="P141" s="444">
        <v>1122.9111861799736</v>
      </c>
      <c r="Q141" s="444">
        <v>1410.4593950302301</v>
      </c>
      <c r="R141" s="444">
        <v>1927.5920335899377</v>
      </c>
      <c r="S141" s="444">
        <v>3452.9887829983873</v>
      </c>
      <c r="T141" s="444">
        <v>25268.759246702306</v>
      </c>
    </row>
    <row r="142" spans="1:20">
      <c r="A142" s="382" t="s">
        <v>953</v>
      </c>
      <c r="B142" s="728"/>
      <c r="C142" s="728"/>
      <c r="D142" s="728" t="s">
        <v>955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444"/>
    </row>
    <row r="143" spans="1:20">
      <c r="A143" s="382" t="s">
        <v>953</v>
      </c>
      <c r="B143" s="728"/>
      <c r="C143" s="728" t="s">
        <v>17</v>
      </c>
      <c r="D143" s="728" t="s">
        <v>955</v>
      </c>
      <c r="H143" s="444">
        <v>0</v>
      </c>
      <c r="I143" s="444">
        <v>0</v>
      </c>
      <c r="J143" s="444">
        <v>0</v>
      </c>
      <c r="K143" s="444">
        <v>0</v>
      </c>
      <c r="L143" s="444">
        <v>0</v>
      </c>
      <c r="M143" s="444">
        <v>0</v>
      </c>
      <c r="N143" s="444">
        <v>0</v>
      </c>
      <c r="O143" s="444">
        <v>0</v>
      </c>
      <c r="P143" s="444">
        <v>0</v>
      </c>
      <c r="Q143" s="444">
        <v>0</v>
      </c>
      <c r="R143" s="444">
        <v>0</v>
      </c>
      <c r="S143" s="444">
        <v>0</v>
      </c>
      <c r="T143" s="444">
        <v>0</v>
      </c>
    </row>
    <row r="144" spans="1:20">
      <c r="A144" s="382" t="s">
        <v>953</v>
      </c>
      <c r="B144" s="728"/>
      <c r="C144" s="728"/>
      <c r="D144" s="728" t="s">
        <v>955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444"/>
    </row>
    <row r="145" spans="1:20">
      <c r="A145" s="382" t="s">
        <v>953</v>
      </c>
      <c r="B145" s="728"/>
      <c r="C145" s="728" t="s">
        <v>18</v>
      </c>
      <c r="D145" s="728" t="s">
        <v>955</v>
      </c>
      <c r="H145" s="445">
        <v>0</v>
      </c>
      <c r="I145" s="445">
        <v>0</v>
      </c>
      <c r="J145" s="445">
        <v>0</v>
      </c>
      <c r="K145" s="445">
        <v>0</v>
      </c>
      <c r="L145" s="445">
        <v>0</v>
      </c>
      <c r="M145" s="445">
        <v>0</v>
      </c>
      <c r="N145" s="445">
        <v>0</v>
      </c>
      <c r="O145" s="445">
        <v>0</v>
      </c>
      <c r="P145" s="445">
        <v>0</v>
      </c>
      <c r="Q145" s="445">
        <v>0</v>
      </c>
      <c r="R145" s="445">
        <v>0</v>
      </c>
      <c r="S145" s="445">
        <v>0</v>
      </c>
      <c r="T145" s="445">
        <v>0</v>
      </c>
    </row>
    <row r="146" spans="1:20">
      <c r="A146" s="382" t="s">
        <v>953</v>
      </c>
      <c r="B146" s="728"/>
      <c r="C146" s="728" t="s">
        <v>19</v>
      </c>
      <c r="D146" s="728" t="s">
        <v>955</v>
      </c>
      <c r="H146" s="444">
        <v>5006.6173855312809</v>
      </c>
      <c r="I146" s="444">
        <v>3387.6070223534916</v>
      </c>
      <c r="J146" s="444">
        <v>2437.2966906455549</v>
      </c>
      <c r="K146" s="444">
        <v>1822.087295615325</v>
      </c>
      <c r="L146" s="444">
        <v>1397.8258878694619</v>
      </c>
      <c r="M146" s="444">
        <v>1157.0944859038752</v>
      </c>
      <c r="N146" s="444">
        <v>1062.7367201853981</v>
      </c>
      <c r="O146" s="444">
        <v>1083.5423607993939</v>
      </c>
      <c r="P146" s="444">
        <v>1122.9111861799736</v>
      </c>
      <c r="Q146" s="444">
        <v>1410.4593950302301</v>
      </c>
      <c r="R146" s="444">
        <v>1927.5920335899377</v>
      </c>
      <c r="S146" s="444">
        <v>3452.9887829983873</v>
      </c>
      <c r="T146" s="444">
        <v>25268.759246702306</v>
      </c>
    </row>
    <row r="147" spans="1:20">
      <c r="A147" s="382" t="s">
        <v>953</v>
      </c>
      <c r="B147" s="728"/>
      <c r="C147" s="728" t="s">
        <v>947</v>
      </c>
      <c r="D147" s="728" t="s">
        <v>955</v>
      </c>
      <c r="H147" s="444">
        <v>1</v>
      </c>
      <c r="I147" s="444">
        <v>1</v>
      </c>
      <c r="J147" s="444">
        <v>1</v>
      </c>
      <c r="K147" s="444">
        <v>1</v>
      </c>
      <c r="L147" s="444">
        <v>1</v>
      </c>
      <c r="M147" s="444">
        <v>1</v>
      </c>
      <c r="N147" s="444">
        <v>1</v>
      </c>
      <c r="O147" s="444">
        <v>1</v>
      </c>
      <c r="P147" s="444">
        <v>1</v>
      </c>
      <c r="Q147" s="444">
        <v>1</v>
      </c>
      <c r="R147" s="444">
        <v>1</v>
      </c>
      <c r="S147" s="444">
        <v>1</v>
      </c>
      <c r="T147" s="444">
        <v>1</v>
      </c>
    </row>
    <row r="148" spans="1:20">
      <c r="A148" s="382" t="s">
        <v>953</v>
      </c>
      <c r="B148" s="728"/>
      <c r="C148" s="728" t="s">
        <v>20</v>
      </c>
      <c r="D148" s="728" t="s">
        <v>955</v>
      </c>
      <c r="H148" s="444">
        <v>5668</v>
      </c>
      <c r="I148" s="444">
        <v>3489</v>
      </c>
      <c r="J148" s="444">
        <v>2210</v>
      </c>
      <c r="K148" s="444">
        <v>1382</v>
      </c>
      <c r="L148" s="444">
        <v>811</v>
      </c>
      <c r="M148" s="444">
        <v>487</v>
      </c>
      <c r="N148" s="444">
        <v>360</v>
      </c>
      <c r="O148" s="444">
        <v>388</v>
      </c>
      <c r="P148" s="444">
        <v>441</v>
      </c>
      <c r="Q148" s="444">
        <v>828</v>
      </c>
      <c r="R148" s="444">
        <v>1524</v>
      </c>
      <c r="S148" s="444">
        <v>3577</v>
      </c>
      <c r="T148" s="444">
        <v>21165</v>
      </c>
    </row>
    <row r="149" spans="1:20">
      <c r="A149" s="382" t="s">
        <v>953</v>
      </c>
      <c r="B149" s="728"/>
      <c r="C149" s="728"/>
      <c r="D149" s="728"/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444"/>
    </row>
    <row r="150" spans="1:20">
      <c r="A150" s="382" t="s">
        <v>953</v>
      </c>
      <c r="B150" s="729" t="s">
        <v>957</v>
      </c>
      <c r="C150" s="728" t="s">
        <v>16</v>
      </c>
      <c r="D150" s="728" t="s">
        <v>955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444"/>
    </row>
    <row r="151" spans="1:20">
      <c r="A151" s="382" t="s">
        <v>953</v>
      </c>
      <c r="B151" s="728"/>
      <c r="C151" s="728"/>
      <c r="D151" s="728" t="s">
        <v>955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444"/>
    </row>
    <row r="152" spans="1:20">
      <c r="A152" s="382" t="s">
        <v>953</v>
      </c>
      <c r="B152" s="728"/>
      <c r="C152" s="728" t="s">
        <v>17</v>
      </c>
      <c r="D152" s="728" t="s">
        <v>955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</row>
    <row r="153" spans="1:20">
      <c r="A153" s="382" t="s">
        <v>953</v>
      </c>
      <c r="B153" s="728"/>
      <c r="C153" s="728"/>
      <c r="D153" s="728" t="s">
        <v>955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444"/>
    </row>
    <row r="154" spans="1:20">
      <c r="A154" s="382" t="s">
        <v>953</v>
      </c>
      <c r="B154" s="728"/>
      <c r="C154" s="728" t="s">
        <v>18</v>
      </c>
      <c r="D154" s="728" t="s">
        <v>955</v>
      </c>
      <c r="H154" s="445"/>
      <c r="I154" s="445"/>
      <c r="J154" s="445"/>
      <c r="K154" s="445"/>
      <c r="L154" s="445"/>
      <c r="M154" s="445"/>
      <c r="N154" s="445"/>
      <c r="O154" s="445"/>
      <c r="P154" s="445"/>
      <c r="Q154" s="445"/>
      <c r="R154" s="445"/>
      <c r="S154" s="445"/>
      <c r="T154" s="445"/>
    </row>
    <row r="155" spans="1:20">
      <c r="A155" s="382" t="s">
        <v>953</v>
      </c>
      <c r="B155" s="728"/>
      <c r="C155" s="728" t="s">
        <v>19</v>
      </c>
      <c r="D155" s="728" t="s">
        <v>955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444"/>
    </row>
    <row r="156" spans="1:20">
      <c r="A156" s="382" t="s">
        <v>953</v>
      </c>
      <c r="B156" s="728"/>
      <c r="C156" s="728" t="s">
        <v>947</v>
      </c>
      <c r="D156" s="728" t="s">
        <v>955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444"/>
    </row>
    <row r="157" spans="1:20">
      <c r="A157" s="382" t="s">
        <v>953</v>
      </c>
      <c r="B157" s="728"/>
      <c r="C157" s="728" t="s">
        <v>20</v>
      </c>
      <c r="D157" s="728" t="s">
        <v>955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444"/>
    </row>
    <row r="158" spans="1:20">
      <c r="A158" s="382" t="s">
        <v>953</v>
      </c>
      <c r="B158" s="332"/>
      <c r="C158" s="332"/>
      <c r="D158" s="332"/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444"/>
    </row>
    <row r="159" spans="1:20">
      <c r="A159" s="382" t="s">
        <v>953</v>
      </c>
      <c r="B159" s="728" t="s">
        <v>958</v>
      </c>
      <c r="C159" s="728" t="s">
        <v>16</v>
      </c>
      <c r="D159" s="728" t="s">
        <v>955</v>
      </c>
      <c r="H159" s="444">
        <v>2065425.6943014381</v>
      </c>
      <c r="I159" s="444">
        <v>1894228.2780595482</v>
      </c>
      <c r="J159" s="444">
        <v>1880150.4561344828</v>
      </c>
      <c r="K159" s="444">
        <v>1827763.8670990479</v>
      </c>
      <c r="L159" s="444">
        <v>1771195.3940664348</v>
      </c>
      <c r="M159" s="444">
        <v>1714702.3739155289</v>
      </c>
      <c r="N159" s="444">
        <v>1978589.8720692666</v>
      </c>
      <c r="O159" s="444">
        <v>1937548.4923399745</v>
      </c>
      <c r="P159" s="444">
        <v>1909618.303593559</v>
      </c>
      <c r="Q159" s="444">
        <v>2005064.5362315725</v>
      </c>
      <c r="R159" s="444">
        <v>2097886.7197651593</v>
      </c>
      <c r="S159" s="444">
        <v>2202580.6822095532</v>
      </c>
      <c r="T159" s="444">
        <v>23284754.669785567</v>
      </c>
    </row>
    <row r="160" spans="1:20">
      <c r="A160" s="382" t="s">
        <v>953</v>
      </c>
      <c r="B160" s="728"/>
      <c r="C160" s="728"/>
      <c r="D160" s="728" t="s">
        <v>955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444"/>
    </row>
    <row r="161" spans="1:20">
      <c r="A161" s="382" t="s">
        <v>953</v>
      </c>
      <c r="B161" s="728"/>
      <c r="C161" s="728" t="s">
        <v>17</v>
      </c>
      <c r="D161" s="728" t="s">
        <v>955</v>
      </c>
      <c r="H161" s="444">
        <v>0</v>
      </c>
      <c r="I161" s="444">
        <v>0</v>
      </c>
      <c r="J161" s="444">
        <v>0</v>
      </c>
      <c r="K161" s="444">
        <v>0</v>
      </c>
      <c r="L161" s="444">
        <v>0</v>
      </c>
      <c r="M161" s="444">
        <v>0</v>
      </c>
      <c r="N161" s="444">
        <v>0</v>
      </c>
      <c r="O161" s="444">
        <v>0</v>
      </c>
      <c r="P161" s="444">
        <v>0</v>
      </c>
      <c r="Q161" s="444">
        <v>0</v>
      </c>
      <c r="R161" s="444">
        <v>0</v>
      </c>
      <c r="S161" s="444">
        <v>0</v>
      </c>
      <c r="T161" s="444">
        <v>0</v>
      </c>
    </row>
    <row r="162" spans="1:20">
      <c r="A162" s="382" t="s">
        <v>953</v>
      </c>
      <c r="B162" s="728"/>
      <c r="C162" s="728"/>
      <c r="D162" s="728" t="s">
        <v>955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444"/>
    </row>
    <row r="163" spans="1:20">
      <c r="A163" s="382" t="s">
        <v>953</v>
      </c>
      <c r="B163" s="728"/>
      <c r="C163" s="728" t="s">
        <v>18</v>
      </c>
      <c r="D163" s="728" t="s">
        <v>955</v>
      </c>
      <c r="H163" s="445">
        <v>0</v>
      </c>
      <c r="I163" s="445">
        <v>0</v>
      </c>
      <c r="J163" s="445">
        <v>0</v>
      </c>
      <c r="K163" s="445">
        <v>0</v>
      </c>
      <c r="L163" s="445">
        <v>0</v>
      </c>
      <c r="M163" s="445">
        <v>0</v>
      </c>
      <c r="N163" s="445">
        <v>0</v>
      </c>
      <c r="O163" s="445">
        <v>0</v>
      </c>
      <c r="P163" s="445">
        <v>0</v>
      </c>
      <c r="Q163" s="445">
        <v>0</v>
      </c>
      <c r="R163" s="445">
        <v>0</v>
      </c>
      <c r="S163" s="445">
        <v>0</v>
      </c>
      <c r="T163" s="445">
        <v>0</v>
      </c>
    </row>
    <row r="164" spans="1:20">
      <c r="A164" s="382" t="s">
        <v>953</v>
      </c>
      <c r="B164" s="728"/>
      <c r="C164" s="728" t="s">
        <v>19</v>
      </c>
      <c r="D164" s="728" t="s">
        <v>955</v>
      </c>
      <c r="H164" s="444">
        <v>2065425.6943014381</v>
      </c>
      <c r="I164" s="444">
        <v>1894228.2780595482</v>
      </c>
      <c r="J164" s="444">
        <v>1880150.4561344828</v>
      </c>
      <c r="K164" s="444">
        <v>1827763.8670990479</v>
      </c>
      <c r="L164" s="444">
        <v>1771195.3940664348</v>
      </c>
      <c r="M164" s="444">
        <v>1714702.3739155289</v>
      </c>
      <c r="N164" s="444">
        <v>1978589.8720692666</v>
      </c>
      <c r="O164" s="444">
        <v>1937548.4923399745</v>
      </c>
      <c r="P164" s="444">
        <v>1909618.303593559</v>
      </c>
      <c r="Q164" s="444">
        <v>2005064.5362315725</v>
      </c>
      <c r="R164" s="444">
        <v>2097886.7197651593</v>
      </c>
      <c r="S164" s="444">
        <v>2202580.6822095532</v>
      </c>
      <c r="T164" s="444">
        <v>23284754.669785567</v>
      </c>
    </row>
    <row r="165" spans="1:20">
      <c r="A165" s="382" t="s">
        <v>953</v>
      </c>
      <c r="B165" s="728"/>
      <c r="C165" s="728" t="s">
        <v>947</v>
      </c>
      <c r="D165" s="728" t="s">
        <v>955</v>
      </c>
      <c r="H165" s="444">
        <v>701</v>
      </c>
      <c r="I165" s="444">
        <v>701</v>
      </c>
      <c r="J165" s="444">
        <v>701</v>
      </c>
      <c r="K165" s="444">
        <v>701</v>
      </c>
      <c r="L165" s="444">
        <v>701</v>
      </c>
      <c r="M165" s="444">
        <v>701</v>
      </c>
      <c r="N165" s="444">
        <v>957</v>
      </c>
      <c r="O165" s="444">
        <v>957</v>
      </c>
      <c r="P165" s="444">
        <v>957</v>
      </c>
      <c r="Q165" s="444">
        <v>957</v>
      </c>
      <c r="R165" s="444">
        <v>957</v>
      </c>
      <c r="S165" s="444">
        <v>957</v>
      </c>
      <c r="T165" s="444">
        <v>829</v>
      </c>
    </row>
    <row r="166" spans="1:20">
      <c r="A166" s="382" t="s">
        <v>953</v>
      </c>
      <c r="B166" s="728"/>
      <c r="C166" s="728" t="s">
        <v>20</v>
      </c>
      <c r="D166" s="728" t="s">
        <v>955</v>
      </c>
      <c r="H166" s="444">
        <v>4873999</v>
      </c>
      <c r="I166" s="444">
        <v>3981196</v>
      </c>
      <c r="J166" s="444">
        <v>3905759</v>
      </c>
      <c r="K166" s="444">
        <v>3633839</v>
      </c>
      <c r="L166" s="444">
        <v>3338478</v>
      </c>
      <c r="M166" s="444">
        <v>3413852</v>
      </c>
      <c r="N166" s="444">
        <v>3442891</v>
      </c>
      <c r="O166" s="444">
        <v>3516159</v>
      </c>
      <c r="P166" s="444">
        <v>3353729</v>
      </c>
      <c r="Q166" s="444">
        <v>3880165</v>
      </c>
      <c r="R166" s="444">
        <v>4425311</v>
      </c>
      <c r="S166" s="444">
        <v>5020964</v>
      </c>
      <c r="T166" s="444">
        <v>46786342</v>
      </c>
    </row>
    <row r="167" spans="1:20">
      <c r="A167" s="382" t="s">
        <v>953</v>
      </c>
      <c r="B167" s="728"/>
      <c r="C167" s="728"/>
      <c r="D167" s="728"/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444"/>
    </row>
    <row r="168" spans="1:20">
      <c r="A168" s="382" t="s">
        <v>953</v>
      </c>
      <c r="B168" s="728" t="s">
        <v>959</v>
      </c>
      <c r="C168" s="728" t="s">
        <v>16</v>
      </c>
      <c r="D168" s="728" t="s">
        <v>955</v>
      </c>
      <c r="H168" s="444">
        <v>0</v>
      </c>
      <c r="I168" s="444">
        <v>0</v>
      </c>
      <c r="J168" s="444">
        <v>0</v>
      </c>
      <c r="K168" s="444">
        <v>0</v>
      </c>
      <c r="L168" s="444">
        <v>0</v>
      </c>
      <c r="M168" s="444">
        <v>0</v>
      </c>
      <c r="N168" s="444">
        <v>0</v>
      </c>
      <c r="O168" s="444">
        <v>0</v>
      </c>
      <c r="P168" s="444">
        <v>0</v>
      </c>
      <c r="Q168" s="444">
        <v>0</v>
      </c>
      <c r="R168" s="444">
        <v>0</v>
      </c>
      <c r="S168" s="444">
        <v>0</v>
      </c>
      <c r="T168" s="444">
        <v>0</v>
      </c>
    </row>
    <row r="169" spans="1:20">
      <c r="A169" s="382" t="s">
        <v>953</v>
      </c>
      <c r="B169" s="728"/>
      <c r="C169" s="728"/>
      <c r="D169" s="728" t="s">
        <v>955</v>
      </c>
      <c r="H169" s="444">
        <v>0</v>
      </c>
      <c r="I169" s="444">
        <v>0</v>
      </c>
      <c r="J169" s="444">
        <v>0</v>
      </c>
      <c r="K169" s="444">
        <v>0</v>
      </c>
      <c r="L169" s="444">
        <v>0</v>
      </c>
      <c r="M169" s="444">
        <v>0</v>
      </c>
      <c r="N169" s="444">
        <v>0</v>
      </c>
      <c r="O169" s="444">
        <v>0</v>
      </c>
      <c r="P169" s="444">
        <v>0</v>
      </c>
      <c r="Q169" s="444">
        <v>0</v>
      </c>
      <c r="R169" s="444">
        <v>0</v>
      </c>
      <c r="S169" s="444">
        <v>0</v>
      </c>
      <c r="T169" s="444"/>
    </row>
    <row r="170" spans="1:20">
      <c r="A170" s="382" t="s">
        <v>953</v>
      </c>
      <c r="B170" s="728"/>
      <c r="C170" s="728" t="s">
        <v>17</v>
      </c>
      <c r="D170" s="728" t="s">
        <v>955</v>
      </c>
      <c r="H170" s="444">
        <v>0</v>
      </c>
      <c r="I170" s="444">
        <v>0</v>
      </c>
      <c r="J170" s="444">
        <v>0</v>
      </c>
      <c r="K170" s="444">
        <v>0</v>
      </c>
      <c r="L170" s="444">
        <v>0</v>
      </c>
      <c r="M170" s="444">
        <v>0</v>
      </c>
      <c r="N170" s="444">
        <v>0</v>
      </c>
      <c r="O170" s="444">
        <v>0</v>
      </c>
      <c r="P170" s="444">
        <v>0</v>
      </c>
      <c r="Q170" s="444">
        <v>0</v>
      </c>
      <c r="R170" s="444">
        <v>0</v>
      </c>
      <c r="S170" s="444">
        <v>0</v>
      </c>
      <c r="T170" s="444">
        <v>0</v>
      </c>
    </row>
    <row r="171" spans="1:20">
      <c r="A171" s="382" t="s">
        <v>953</v>
      </c>
      <c r="B171" s="728"/>
      <c r="C171" s="728"/>
      <c r="D171" s="728" t="s">
        <v>955</v>
      </c>
      <c r="H171" s="444">
        <v>0</v>
      </c>
      <c r="I171" s="444">
        <v>0</v>
      </c>
      <c r="J171" s="444">
        <v>0</v>
      </c>
      <c r="K171" s="444">
        <v>0</v>
      </c>
      <c r="L171" s="444">
        <v>0</v>
      </c>
      <c r="M171" s="444">
        <v>0</v>
      </c>
      <c r="N171" s="444">
        <v>0</v>
      </c>
      <c r="O171" s="444">
        <v>0</v>
      </c>
      <c r="P171" s="444">
        <v>0</v>
      </c>
      <c r="Q171" s="444">
        <v>0</v>
      </c>
      <c r="R171" s="444">
        <v>0</v>
      </c>
      <c r="S171" s="444">
        <v>0</v>
      </c>
      <c r="T171" s="444"/>
    </row>
    <row r="172" spans="1:20">
      <c r="A172" s="382" t="s">
        <v>953</v>
      </c>
      <c r="B172" s="728"/>
      <c r="C172" s="728" t="s">
        <v>18</v>
      </c>
      <c r="D172" s="728" t="s">
        <v>955</v>
      </c>
      <c r="H172" s="445">
        <v>0</v>
      </c>
      <c r="I172" s="445">
        <v>0</v>
      </c>
      <c r="J172" s="445">
        <v>0</v>
      </c>
      <c r="K172" s="445">
        <v>0</v>
      </c>
      <c r="L172" s="445">
        <v>0</v>
      </c>
      <c r="M172" s="445">
        <v>0</v>
      </c>
      <c r="N172" s="445">
        <v>0</v>
      </c>
      <c r="O172" s="445">
        <v>0</v>
      </c>
      <c r="P172" s="445">
        <v>0</v>
      </c>
      <c r="Q172" s="445">
        <v>0</v>
      </c>
      <c r="R172" s="445">
        <v>0</v>
      </c>
      <c r="S172" s="445">
        <v>0</v>
      </c>
      <c r="T172" s="445">
        <v>0</v>
      </c>
    </row>
    <row r="173" spans="1:20">
      <c r="A173" s="382" t="s">
        <v>953</v>
      </c>
      <c r="B173" s="728"/>
      <c r="C173" s="728" t="s">
        <v>19</v>
      </c>
      <c r="D173" s="728" t="s">
        <v>955</v>
      </c>
      <c r="H173" s="444">
        <v>0</v>
      </c>
      <c r="I173" s="444">
        <v>0</v>
      </c>
      <c r="J173" s="444">
        <v>0</v>
      </c>
      <c r="K173" s="444">
        <v>0</v>
      </c>
      <c r="L173" s="444">
        <v>0</v>
      </c>
      <c r="M173" s="444">
        <v>0</v>
      </c>
      <c r="N173" s="444">
        <v>0</v>
      </c>
      <c r="O173" s="444">
        <v>0</v>
      </c>
      <c r="P173" s="444">
        <v>0</v>
      </c>
      <c r="Q173" s="444">
        <v>0</v>
      </c>
      <c r="R173" s="444">
        <v>0</v>
      </c>
      <c r="S173" s="444">
        <v>0</v>
      </c>
      <c r="T173" s="444">
        <v>0</v>
      </c>
    </row>
    <row r="174" spans="1:20">
      <c r="A174" s="382" t="s">
        <v>953</v>
      </c>
      <c r="B174" s="728"/>
      <c r="C174" s="728" t="s">
        <v>947</v>
      </c>
      <c r="D174" s="728" t="s">
        <v>955</v>
      </c>
      <c r="H174" s="444">
        <v>0</v>
      </c>
      <c r="I174" s="444">
        <v>0</v>
      </c>
      <c r="J174" s="444">
        <v>0</v>
      </c>
      <c r="K174" s="444">
        <v>0</v>
      </c>
      <c r="L174" s="444">
        <v>0</v>
      </c>
      <c r="M174" s="444">
        <v>0</v>
      </c>
      <c r="N174" s="444">
        <v>0</v>
      </c>
      <c r="O174" s="444">
        <v>0</v>
      </c>
      <c r="P174" s="444">
        <v>0</v>
      </c>
      <c r="Q174" s="444">
        <v>0</v>
      </c>
      <c r="R174" s="444">
        <v>0</v>
      </c>
      <c r="S174" s="444">
        <v>0</v>
      </c>
      <c r="T174" s="444">
        <v>0</v>
      </c>
    </row>
    <row r="175" spans="1:20">
      <c r="A175" s="382" t="s">
        <v>953</v>
      </c>
      <c r="B175" s="728"/>
      <c r="C175" s="728" t="s">
        <v>20</v>
      </c>
      <c r="D175" s="728" t="s">
        <v>955</v>
      </c>
      <c r="H175" s="444">
        <v>0</v>
      </c>
      <c r="I175" s="444">
        <v>0</v>
      </c>
      <c r="J175" s="444">
        <v>0</v>
      </c>
      <c r="K175" s="444">
        <v>0</v>
      </c>
      <c r="L175" s="444">
        <v>0</v>
      </c>
      <c r="M175" s="444">
        <v>0</v>
      </c>
      <c r="N175" s="444">
        <v>0</v>
      </c>
      <c r="O175" s="444">
        <v>0</v>
      </c>
      <c r="P175" s="444">
        <v>0</v>
      </c>
      <c r="Q175" s="444">
        <v>0</v>
      </c>
      <c r="R175" s="444">
        <v>0</v>
      </c>
      <c r="S175" s="444">
        <v>0</v>
      </c>
      <c r="T175" s="444">
        <v>0</v>
      </c>
    </row>
    <row r="176" spans="1:20">
      <c r="A176" s="382" t="s">
        <v>953</v>
      </c>
      <c r="B176" s="728"/>
      <c r="C176" s="728"/>
      <c r="D176" s="728"/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444"/>
    </row>
    <row r="177" spans="1:21">
      <c r="A177" s="382" t="s">
        <v>953</v>
      </c>
      <c r="B177" s="728" t="s">
        <v>127</v>
      </c>
      <c r="C177" s="728" t="s">
        <v>16</v>
      </c>
      <c r="D177" s="728" t="s">
        <v>955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444">
        <v>0</v>
      </c>
    </row>
    <row r="178" spans="1:21">
      <c r="A178" s="382" t="s">
        <v>953</v>
      </c>
      <c r="B178" s="728"/>
      <c r="C178" s="728"/>
      <c r="D178" s="728" t="s">
        <v>955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444"/>
    </row>
    <row r="179" spans="1:21">
      <c r="A179" s="382" t="s">
        <v>953</v>
      </c>
      <c r="B179" s="728"/>
      <c r="C179" s="728" t="s">
        <v>17</v>
      </c>
      <c r="D179" s="728" t="s">
        <v>955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444">
        <v>0</v>
      </c>
    </row>
    <row r="180" spans="1:21">
      <c r="A180" s="382" t="s">
        <v>953</v>
      </c>
      <c r="B180" s="728"/>
      <c r="C180" s="728"/>
      <c r="D180" s="728" t="s">
        <v>955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444"/>
    </row>
    <row r="181" spans="1:21">
      <c r="A181" s="382" t="s">
        <v>953</v>
      </c>
      <c r="B181" s="728"/>
      <c r="C181" s="728" t="s">
        <v>18</v>
      </c>
      <c r="D181" s="728" t="s">
        <v>955</v>
      </c>
      <c r="H181" s="445"/>
      <c r="I181" s="445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>
        <v>0</v>
      </c>
    </row>
    <row r="182" spans="1:21">
      <c r="A182" s="382" t="s">
        <v>953</v>
      </c>
      <c r="B182" s="728"/>
      <c r="C182" s="728" t="s">
        <v>19</v>
      </c>
      <c r="D182" s="728" t="s">
        <v>955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444">
        <v>0</v>
      </c>
    </row>
    <row r="183" spans="1:21">
      <c r="A183" s="382" t="s">
        <v>953</v>
      </c>
      <c r="B183" s="728"/>
      <c r="C183" s="728" t="s">
        <v>947</v>
      </c>
      <c r="D183" s="728" t="s">
        <v>955</v>
      </c>
      <c r="H183" s="444">
        <v>0</v>
      </c>
      <c r="I183" s="444">
        <v>0</v>
      </c>
      <c r="J183" s="444">
        <v>0</v>
      </c>
      <c r="K183" s="444">
        <v>0</v>
      </c>
      <c r="L183" s="444">
        <v>0</v>
      </c>
      <c r="M183" s="444">
        <v>0</v>
      </c>
      <c r="N183" s="444">
        <v>0</v>
      </c>
      <c r="O183" s="444">
        <v>0</v>
      </c>
      <c r="P183" s="444">
        <v>0</v>
      </c>
      <c r="Q183" s="444">
        <v>0</v>
      </c>
      <c r="R183" s="444">
        <v>0</v>
      </c>
      <c r="S183" s="444">
        <v>0</v>
      </c>
      <c r="T183" s="444">
        <v>0</v>
      </c>
    </row>
    <row r="184" spans="1:21">
      <c r="A184" s="382" t="s">
        <v>953</v>
      </c>
      <c r="B184" s="728"/>
      <c r="C184" s="728" t="s">
        <v>20</v>
      </c>
      <c r="D184" s="728" t="s">
        <v>955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444">
        <v>0</v>
      </c>
      <c r="U184" s="95"/>
    </row>
    <row r="185" spans="1:21">
      <c r="A185" s="382" t="s">
        <v>953</v>
      </c>
      <c r="B185" s="728"/>
      <c r="C185" s="728"/>
      <c r="D185" s="728"/>
      <c r="H185" s="444"/>
      <c r="I185" s="444"/>
      <c r="J185" s="444"/>
      <c r="K185" s="444"/>
      <c r="L185" s="444"/>
      <c r="M185" s="444"/>
      <c r="N185" s="444"/>
      <c r="O185" s="444"/>
      <c r="P185" s="444"/>
      <c r="Q185" s="444"/>
      <c r="R185" s="444"/>
      <c r="S185" s="444"/>
      <c r="T185" s="444"/>
    </row>
    <row r="186" spans="1:21">
      <c r="A186" s="382" t="s">
        <v>953</v>
      </c>
      <c r="B186" s="728" t="s">
        <v>84</v>
      </c>
      <c r="C186" s="728" t="s">
        <v>16</v>
      </c>
      <c r="D186" s="728" t="s">
        <v>955</v>
      </c>
      <c r="H186" s="444">
        <v>0</v>
      </c>
      <c r="I186" s="444">
        <v>0</v>
      </c>
      <c r="J186" s="444">
        <v>0</v>
      </c>
      <c r="K186" s="444">
        <v>0</v>
      </c>
      <c r="L186" s="444">
        <v>0</v>
      </c>
      <c r="M186" s="444">
        <v>0</v>
      </c>
      <c r="N186" s="444">
        <v>0</v>
      </c>
      <c r="O186" s="444">
        <v>0</v>
      </c>
      <c r="P186" s="444">
        <v>0</v>
      </c>
      <c r="Q186" s="444">
        <v>0</v>
      </c>
      <c r="R186" s="444">
        <v>0</v>
      </c>
      <c r="S186" s="444">
        <v>0</v>
      </c>
      <c r="T186" s="444">
        <v>0</v>
      </c>
    </row>
    <row r="187" spans="1:21">
      <c r="A187" s="382" t="s">
        <v>953</v>
      </c>
      <c r="B187" s="728"/>
      <c r="C187" s="728"/>
      <c r="D187" s="728" t="s">
        <v>955</v>
      </c>
      <c r="H187" s="444">
        <v>0</v>
      </c>
      <c r="I187" s="444">
        <v>0</v>
      </c>
      <c r="J187" s="444">
        <v>0</v>
      </c>
      <c r="K187" s="444">
        <v>0</v>
      </c>
      <c r="L187" s="444">
        <v>0</v>
      </c>
      <c r="M187" s="444">
        <v>0</v>
      </c>
      <c r="N187" s="444">
        <v>0</v>
      </c>
      <c r="O187" s="444">
        <v>0</v>
      </c>
      <c r="P187" s="444">
        <v>0</v>
      </c>
      <c r="Q187" s="444">
        <v>0</v>
      </c>
      <c r="R187" s="444">
        <v>0</v>
      </c>
      <c r="S187" s="444">
        <v>0</v>
      </c>
      <c r="T187" s="444"/>
    </row>
    <row r="188" spans="1:21">
      <c r="A188" s="382" t="s">
        <v>953</v>
      </c>
      <c r="B188" s="728"/>
      <c r="C188" s="728" t="s">
        <v>17</v>
      </c>
      <c r="D188" s="728" t="s">
        <v>955</v>
      </c>
      <c r="H188" s="444">
        <v>0</v>
      </c>
      <c r="I188" s="444">
        <v>0</v>
      </c>
      <c r="J188" s="444">
        <v>0</v>
      </c>
      <c r="K188" s="444">
        <v>0</v>
      </c>
      <c r="L188" s="444">
        <v>0</v>
      </c>
      <c r="M188" s="444">
        <v>0</v>
      </c>
      <c r="N188" s="444">
        <v>0</v>
      </c>
      <c r="O188" s="444">
        <v>0</v>
      </c>
      <c r="P188" s="444">
        <v>0</v>
      </c>
      <c r="Q188" s="444">
        <v>0</v>
      </c>
      <c r="R188" s="444">
        <v>0</v>
      </c>
      <c r="S188" s="444">
        <v>0</v>
      </c>
      <c r="T188" s="444">
        <v>0</v>
      </c>
    </row>
    <row r="189" spans="1:21">
      <c r="A189" s="382" t="s">
        <v>953</v>
      </c>
      <c r="B189" s="728"/>
      <c r="C189" s="728"/>
      <c r="D189" s="728" t="s">
        <v>955</v>
      </c>
      <c r="H189" s="444">
        <v>0</v>
      </c>
      <c r="I189" s="444">
        <v>0</v>
      </c>
      <c r="J189" s="444">
        <v>0</v>
      </c>
      <c r="K189" s="444">
        <v>0</v>
      </c>
      <c r="L189" s="444">
        <v>0</v>
      </c>
      <c r="M189" s="444">
        <v>0</v>
      </c>
      <c r="N189" s="444">
        <v>0</v>
      </c>
      <c r="O189" s="444">
        <v>0</v>
      </c>
      <c r="P189" s="444">
        <v>0</v>
      </c>
      <c r="Q189" s="444">
        <v>0</v>
      </c>
      <c r="R189" s="444">
        <v>0</v>
      </c>
      <c r="S189" s="444">
        <v>0</v>
      </c>
      <c r="T189" s="444"/>
    </row>
    <row r="190" spans="1:21">
      <c r="A190" s="382" t="s">
        <v>953</v>
      </c>
      <c r="B190" s="728"/>
      <c r="C190" s="728" t="s">
        <v>18</v>
      </c>
      <c r="D190" s="728" t="s">
        <v>955</v>
      </c>
      <c r="H190" s="445">
        <v>0</v>
      </c>
      <c r="I190" s="445">
        <v>0</v>
      </c>
      <c r="J190" s="445">
        <v>0</v>
      </c>
      <c r="K190" s="445">
        <v>0</v>
      </c>
      <c r="L190" s="445">
        <v>0</v>
      </c>
      <c r="M190" s="445">
        <v>0</v>
      </c>
      <c r="N190" s="445">
        <v>0</v>
      </c>
      <c r="O190" s="445">
        <v>0</v>
      </c>
      <c r="P190" s="445">
        <v>0</v>
      </c>
      <c r="Q190" s="445">
        <v>0</v>
      </c>
      <c r="R190" s="445">
        <v>0</v>
      </c>
      <c r="S190" s="445">
        <v>0</v>
      </c>
      <c r="T190" s="445">
        <v>0</v>
      </c>
    </row>
    <row r="191" spans="1:21">
      <c r="A191" s="382" t="s">
        <v>953</v>
      </c>
      <c r="B191" s="728"/>
      <c r="C191" s="728" t="s">
        <v>19</v>
      </c>
      <c r="D191" s="728" t="s">
        <v>955</v>
      </c>
      <c r="H191" s="444">
        <v>0</v>
      </c>
      <c r="I191" s="444">
        <v>0</v>
      </c>
      <c r="J191" s="444">
        <v>0</v>
      </c>
      <c r="K191" s="444">
        <v>0</v>
      </c>
      <c r="L191" s="444">
        <v>0</v>
      </c>
      <c r="M191" s="444">
        <v>0</v>
      </c>
      <c r="N191" s="444">
        <v>0</v>
      </c>
      <c r="O191" s="444">
        <v>0</v>
      </c>
      <c r="P191" s="444">
        <v>0</v>
      </c>
      <c r="Q191" s="444">
        <v>0</v>
      </c>
      <c r="R191" s="444">
        <v>0</v>
      </c>
      <c r="S191" s="444">
        <v>0</v>
      </c>
      <c r="T191" s="444">
        <v>0</v>
      </c>
    </row>
    <row r="192" spans="1:21">
      <c r="A192" s="382" t="s">
        <v>953</v>
      </c>
      <c r="B192" s="728"/>
      <c r="C192" s="728" t="s">
        <v>947</v>
      </c>
      <c r="D192" s="728" t="s">
        <v>955</v>
      </c>
      <c r="H192" s="444">
        <v>0</v>
      </c>
      <c r="I192" s="444">
        <v>0</v>
      </c>
      <c r="J192" s="444">
        <v>0</v>
      </c>
      <c r="K192" s="444">
        <v>0</v>
      </c>
      <c r="L192" s="444">
        <v>0</v>
      </c>
      <c r="M192" s="444">
        <v>0</v>
      </c>
      <c r="N192" s="444">
        <v>0</v>
      </c>
      <c r="O192" s="444">
        <v>0</v>
      </c>
      <c r="P192" s="444">
        <v>0</v>
      </c>
      <c r="Q192" s="444">
        <v>0</v>
      </c>
      <c r="R192" s="444">
        <v>0</v>
      </c>
      <c r="S192" s="444">
        <v>0</v>
      </c>
      <c r="T192" s="444">
        <v>0</v>
      </c>
    </row>
    <row r="193" spans="1:21">
      <c r="A193" s="382" t="s">
        <v>953</v>
      </c>
      <c r="B193" s="728"/>
      <c r="C193" s="728" t="s">
        <v>20</v>
      </c>
      <c r="D193" s="728" t="s">
        <v>955</v>
      </c>
      <c r="H193" s="444">
        <v>0</v>
      </c>
      <c r="I193" s="444">
        <v>0</v>
      </c>
      <c r="J193" s="444">
        <v>0</v>
      </c>
      <c r="K193" s="444">
        <v>0</v>
      </c>
      <c r="L193" s="444">
        <v>0</v>
      </c>
      <c r="M193" s="444">
        <v>0</v>
      </c>
      <c r="N193" s="444">
        <v>0</v>
      </c>
      <c r="O193" s="444">
        <v>0</v>
      </c>
      <c r="P193" s="444">
        <v>0</v>
      </c>
      <c r="Q193" s="444">
        <v>0</v>
      </c>
      <c r="R193" s="444">
        <v>0</v>
      </c>
      <c r="S193" s="444">
        <v>0</v>
      </c>
      <c r="T193" s="444">
        <v>0</v>
      </c>
    </row>
    <row r="194" spans="1:21">
      <c r="A194" s="382"/>
      <c r="B194" s="728"/>
      <c r="C194" s="728"/>
      <c r="D194" s="728"/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444"/>
    </row>
    <row r="195" spans="1:21">
      <c r="A195" s="382"/>
      <c r="B195" s="332" t="s">
        <v>690</v>
      </c>
      <c r="C195" s="728" t="s">
        <v>16</v>
      </c>
      <c r="D195" s="728"/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444">
        <v>0</v>
      </c>
    </row>
    <row r="196" spans="1:21">
      <c r="A196" s="382"/>
      <c r="B196" s="332" t="s">
        <v>114</v>
      </c>
      <c r="C196" s="728" t="s">
        <v>16</v>
      </c>
      <c r="D196" s="728"/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444"/>
    </row>
    <row r="197" spans="1:21"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444">
        <v>0</v>
      </c>
    </row>
    <row r="198" spans="1:21">
      <c r="A198" s="382"/>
      <c r="B198" s="332" t="s">
        <v>543</v>
      </c>
      <c r="C198" s="728"/>
      <c r="D198" s="728"/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444"/>
    </row>
    <row r="199" spans="1:21">
      <c r="A199" s="382"/>
      <c r="B199" s="332"/>
      <c r="C199" s="728" t="s">
        <v>16</v>
      </c>
      <c r="D199" s="728"/>
      <c r="H199" s="444">
        <v>57568052.093172878</v>
      </c>
      <c r="I199" s="444">
        <v>48230318.408329561</v>
      </c>
      <c r="J199" s="444">
        <v>39296081.192859873</v>
      </c>
      <c r="K199" s="444">
        <v>25183875.956540465</v>
      </c>
      <c r="L199" s="444">
        <v>17445103.677472934</v>
      </c>
      <c r="M199" s="444">
        <v>14673699.620431582</v>
      </c>
      <c r="N199" s="444">
        <v>14335561.943668026</v>
      </c>
      <c r="O199" s="444">
        <v>14092507.064189479</v>
      </c>
      <c r="P199" s="444">
        <v>15818807.279051451</v>
      </c>
      <c r="Q199" s="444">
        <v>20320580.398559194</v>
      </c>
      <c r="R199" s="444">
        <v>35448560.512169577</v>
      </c>
      <c r="S199" s="444">
        <v>48666967.15064133</v>
      </c>
      <c r="T199" s="444">
        <v>351080115.29708636</v>
      </c>
      <c r="U199" s="95"/>
    </row>
    <row r="200" spans="1:21">
      <c r="A200" s="382"/>
      <c r="B200" s="332"/>
      <c r="C200" s="728" t="s">
        <v>17</v>
      </c>
      <c r="D200" s="728"/>
      <c r="H200" s="444">
        <v>25506936.439999998</v>
      </c>
      <c r="I200" s="444">
        <v>21270054.59</v>
      </c>
      <c r="J200" s="444">
        <v>16667166.159999998</v>
      </c>
      <c r="K200" s="444">
        <v>5204820.5599999996</v>
      </c>
      <c r="L200" s="444">
        <v>3192568.01</v>
      </c>
      <c r="M200" s="444">
        <v>1968476.59</v>
      </c>
      <c r="N200" s="444">
        <v>1614293.62</v>
      </c>
      <c r="O200" s="444">
        <v>1493770.99</v>
      </c>
      <c r="P200" s="444">
        <v>1731127.28</v>
      </c>
      <c r="Q200" s="444">
        <v>4133570.3</v>
      </c>
      <c r="R200" s="444">
        <v>15264867.359999999</v>
      </c>
      <c r="S200" s="444">
        <v>24213790.57</v>
      </c>
      <c r="T200" s="444">
        <v>122261442.46999998</v>
      </c>
    </row>
    <row r="201" spans="1:21">
      <c r="A201" s="382"/>
      <c r="B201" s="728"/>
      <c r="C201" s="728" t="s">
        <v>18</v>
      </c>
      <c r="D201" s="728"/>
      <c r="H201" s="445">
        <v>68459276.700000003</v>
      </c>
      <c r="I201" s="445">
        <v>57100584.100000001</v>
      </c>
      <c r="J201" s="445">
        <v>44763667.940000005</v>
      </c>
      <c r="K201" s="445">
        <v>29712037.449999999</v>
      </c>
      <c r="L201" s="445">
        <v>18247719.199999999</v>
      </c>
      <c r="M201" s="445">
        <v>11321947.640000001</v>
      </c>
      <c r="N201" s="445">
        <v>9220723.0099999998</v>
      </c>
      <c r="O201" s="445">
        <v>8520564.4900000002</v>
      </c>
      <c r="P201" s="445">
        <v>9860359.0099999998</v>
      </c>
      <c r="Q201" s="445">
        <v>23578149.789999999</v>
      </c>
      <c r="R201" s="445">
        <v>40964167.960000001</v>
      </c>
      <c r="S201" s="445">
        <v>64919030.600000001</v>
      </c>
      <c r="T201" s="445">
        <v>386668227.89000005</v>
      </c>
    </row>
    <row r="202" spans="1:21">
      <c r="A202" s="382"/>
      <c r="B202" s="728"/>
      <c r="C202" s="728" t="s">
        <v>457</v>
      </c>
      <c r="D202" s="728"/>
      <c r="H202" s="444">
        <v>151534265.23317289</v>
      </c>
      <c r="I202" s="444">
        <v>126600957.09832957</v>
      </c>
      <c r="J202" s="444">
        <v>100726915.29285988</v>
      </c>
      <c r="K202" s="444">
        <v>60100733.966540463</v>
      </c>
      <c r="L202" s="444">
        <v>38885390.887472928</v>
      </c>
      <c r="M202" s="444">
        <v>27964123.850431584</v>
      </c>
      <c r="N202" s="444">
        <v>25170578.573668025</v>
      </c>
      <c r="O202" s="444">
        <v>24106842.544189479</v>
      </c>
      <c r="P202" s="444">
        <v>27410293.569051452</v>
      </c>
      <c r="Q202" s="444">
        <v>48032300.488559194</v>
      </c>
      <c r="R202" s="444">
        <v>91677595.832169577</v>
      </c>
      <c r="S202" s="444">
        <v>137799788.32064134</v>
      </c>
      <c r="T202" s="444">
        <v>860009785.65708637</v>
      </c>
    </row>
    <row r="203" spans="1:21">
      <c r="A203" s="382"/>
      <c r="B203" s="332"/>
      <c r="C203" s="728" t="s">
        <v>947</v>
      </c>
      <c r="D203" s="728"/>
      <c r="H203" s="444">
        <v>1008571</v>
      </c>
      <c r="I203" s="444">
        <v>1010238</v>
      </c>
      <c r="J203" s="444">
        <v>1012949</v>
      </c>
      <c r="K203" s="444">
        <v>1013235</v>
      </c>
      <c r="L203" s="444">
        <v>1013986</v>
      </c>
      <c r="M203" s="444">
        <v>1014296</v>
      </c>
      <c r="N203" s="444">
        <v>1012335</v>
      </c>
      <c r="O203" s="444">
        <v>1013943</v>
      </c>
      <c r="P203" s="444">
        <v>1014838</v>
      </c>
      <c r="Q203" s="444">
        <v>1018242</v>
      </c>
      <c r="R203" s="444">
        <v>1022435</v>
      </c>
      <c r="S203" s="444">
        <v>1027321</v>
      </c>
      <c r="T203" s="444">
        <v>1015199.0833333334</v>
      </c>
    </row>
    <row r="204" spans="1:21">
      <c r="A204" s="382"/>
      <c r="B204" s="728"/>
      <c r="C204" s="728" t="s">
        <v>59</v>
      </c>
      <c r="D204" s="728"/>
      <c r="H204" s="444">
        <v>22634818</v>
      </c>
      <c r="I204" s="444">
        <v>18663476</v>
      </c>
      <c r="J204" s="444">
        <v>14973202</v>
      </c>
      <c r="K204" s="444">
        <v>11143417</v>
      </c>
      <c r="L204" s="444">
        <v>8107598</v>
      </c>
      <c r="M204" s="444">
        <v>6345477</v>
      </c>
      <c r="N204" s="444">
        <v>5985358</v>
      </c>
      <c r="O204" s="444">
        <v>5907781</v>
      </c>
      <c r="P204" s="444">
        <v>5476356</v>
      </c>
      <c r="Q204" s="444">
        <v>8755505</v>
      </c>
      <c r="R204" s="444">
        <v>13994015</v>
      </c>
      <c r="S204" s="444">
        <v>21836388</v>
      </c>
      <c r="T204" s="444">
        <v>143823391</v>
      </c>
    </row>
    <row r="205" spans="1:21">
      <c r="A205" s="382"/>
      <c r="B205" s="332"/>
      <c r="C205" s="332" t="s">
        <v>60</v>
      </c>
      <c r="D205" s="332"/>
      <c r="H205" s="445">
        <v>5359906</v>
      </c>
      <c r="I205" s="445">
        <v>4433664</v>
      </c>
      <c r="J205" s="445">
        <v>4404636</v>
      </c>
      <c r="K205" s="445">
        <v>4082803</v>
      </c>
      <c r="L205" s="445">
        <v>3826175</v>
      </c>
      <c r="M205" s="445">
        <v>3885380</v>
      </c>
      <c r="N205" s="445">
        <v>4146841</v>
      </c>
      <c r="O205" s="445">
        <v>4257678</v>
      </c>
      <c r="P205" s="445">
        <v>3926205</v>
      </c>
      <c r="Q205" s="445">
        <v>4329546</v>
      </c>
      <c r="R205" s="445">
        <v>4806114</v>
      </c>
      <c r="S205" s="445">
        <v>5479410</v>
      </c>
      <c r="T205" s="445">
        <v>52938358</v>
      </c>
    </row>
    <row r="206" spans="1:21">
      <c r="A206" s="873"/>
      <c r="B206" s="728"/>
      <c r="C206" s="728" t="s">
        <v>458</v>
      </c>
      <c r="D206" s="728"/>
      <c r="H206" s="444">
        <v>27994724</v>
      </c>
      <c r="I206" s="444">
        <v>23097140</v>
      </c>
      <c r="J206" s="444">
        <v>19377838</v>
      </c>
      <c r="K206" s="444">
        <v>15226220</v>
      </c>
      <c r="L206" s="444">
        <v>11933773</v>
      </c>
      <c r="M206" s="444">
        <v>10230857</v>
      </c>
      <c r="N206" s="444">
        <v>10132199</v>
      </c>
      <c r="O206" s="444">
        <v>10165459</v>
      </c>
      <c r="P206" s="444">
        <v>9402561</v>
      </c>
      <c r="Q206" s="444">
        <v>13085051</v>
      </c>
      <c r="R206" s="444">
        <v>18800129</v>
      </c>
      <c r="S206" s="444">
        <v>27315798</v>
      </c>
      <c r="T206" s="444">
        <v>196761749</v>
      </c>
      <c r="U206" s="95">
        <f>+T206-Z36</f>
        <v>32331863</v>
      </c>
    </row>
    <row r="207" spans="1:21">
      <c r="A207" s="382"/>
      <c r="B207" s="728"/>
      <c r="C207" s="728"/>
      <c r="D207" s="728"/>
      <c r="H207" s="444"/>
      <c r="I207" s="444"/>
      <c r="J207" s="444"/>
      <c r="K207" s="444"/>
      <c r="L207" s="444"/>
      <c r="M207" s="444"/>
      <c r="N207" s="444"/>
      <c r="O207" s="444"/>
      <c r="P207" s="444"/>
      <c r="Q207" s="444"/>
      <c r="R207" s="444"/>
      <c r="S207" s="444"/>
      <c r="T207" s="444"/>
      <c r="U207" s="95"/>
    </row>
    <row r="208" spans="1:21">
      <c r="A208" s="382"/>
      <c r="B208" s="728"/>
      <c r="C208" s="728"/>
      <c r="D208" s="728"/>
      <c r="H208" s="444"/>
      <c r="I208" s="444"/>
      <c r="J208" s="444"/>
      <c r="K208" s="444"/>
      <c r="L208" s="444"/>
      <c r="M208" s="444"/>
      <c r="N208" s="444"/>
      <c r="O208" s="444"/>
      <c r="P208" s="444"/>
      <c r="Q208" s="444"/>
      <c r="R208" s="444"/>
      <c r="S208" s="444"/>
      <c r="T208" s="444"/>
    </row>
    <row r="209" spans="1:20">
      <c r="A209" s="382" t="s">
        <v>459</v>
      </c>
      <c r="B209" s="728" t="s">
        <v>15</v>
      </c>
      <c r="C209" s="728" t="s">
        <v>16</v>
      </c>
      <c r="D209" s="728"/>
      <c r="H209" s="444">
        <v>0</v>
      </c>
      <c r="I209" s="444">
        <v>0</v>
      </c>
      <c r="J209" s="444">
        <v>0</v>
      </c>
      <c r="K209" s="444">
        <v>0</v>
      </c>
      <c r="L209" s="444">
        <v>0</v>
      </c>
      <c r="M209" s="444">
        <v>0</v>
      </c>
      <c r="N209" s="444">
        <v>0</v>
      </c>
      <c r="O209" s="444">
        <v>0</v>
      </c>
      <c r="P209" s="444">
        <v>0</v>
      </c>
      <c r="Q209" s="444">
        <v>0</v>
      </c>
      <c r="R209" s="444">
        <v>0</v>
      </c>
      <c r="S209" s="444">
        <v>0</v>
      </c>
      <c r="T209" s="444">
        <v>0</v>
      </c>
    </row>
    <row r="210" spans="1:20">
      <c r="A210" s="382"/>
      <c r="B210" s="728"/>
      <c r="C210" s="728"/>
      <c r="D210" s="728"/>
      <c r="H210" s="444">
        <v>0</v>
      </c>
      <c r="I210" s="444">
        <v>0</v>
      </c>
      <c r="J210" s="444">
        <v>0</v>
      </c>
      <c r="K210" s="444">
        <v>0</v>
      </c>
      <c r="L210" s="444">
        <v>0</v>
      </c>
      <c r="M210" s="444">
        <v>0</v>
      </c>
      <c r="N210" s="444">
        <v>0</v>
      </c>
      <c r="O210" s="444">
        <v>0</v>
      </c>
      <c r="P210" s="444">
        <v>0</v>
      </c>
      <c r="Q210" s="444">
        <v>0</v>
      </c>
      <c r="R210" s="444">
        <v>0</v>
      </c>
      <c r="S210" s="444">
        <v>0</v>
      </c>
      <c r="T210" s="444"/>
    </row>
    <row r="211" spans="1:20">
      <c r="A211" s="382"/>
      <c r="B211" s="728"/>
      <c r="C211" s="728" t="s">
        <v>17</v>
      </c>
      <c r="D211" s="728"/>
      <c r="H211" s="444">
        <v>0</v>
      </c>
      <c r="I211" s="444">
        <v>0</v>
      </c>
      <c r="J211" s="444">
        <v>0</v>
      </c>
      <c r="K211" s="444">
        <v>0</v>
      </c>
      <c r="L211" s="444">
        <v>0</v>
      </c>
      <c r="M211" s="444">
        <v>0</v>
      </c>
      <c r="N211" s="444">
        <v>0</v>
      </c>
      <c r="O211" s="444">
        <v>0</v>
      </c>
      <c r="P211" s="444">
        <v>0</v>
      </c>
      <c r="Q211" s="444">
        <v>0</v>
      </c>
      <c r="R211" s="444">
        <v>0</v>
      </c>
      <c r="S211" s="444">
        <v>0</v>
      </c>
      <c r="T211" s="444">
        <v>0</v>
      </c>
    </row>
    <row r="212" spans="1:20">
      <c r="A212" s="382"/>
      <c r="B212" s="728"/>
      <c r="C212" s="728"/>
      <c r="D212" s="728"/>
      <c r="H212" s="444">
        <v>0</v>
      </c>
      <c r="I212" s="444">
        <v>0</v>
      </c>
      <c r="J212" s="444">
        <v>0</v>
      </c>
      <c r="K212" s="444">
        <v>0</v>
      </c>
      <c r="L212" s="444">
        <v>0</v>
      </c>
      <c r="M212" s="444">
        <v>0</v>
      </c>
      <c r="N212" s="444">
        <v>0</v>
      </c>
      <c r="O212" s="444">
        <v>0</v>
      </c>
      <c r="P212" s="444">
        <v>0</v>
      </c>
      <c r="Q212" s="444">
        <v>0</v>
      </c>
      <c r="R212" s="444">
        <v>0</v>
      </c>
      <c r="S212" s="444">
        <v>0</v>
      </c>
      <c r="T212" s="444"/>
    </row>
    <row r="213" spans="1:20">
      <c r="A213" s="382"/>
      <c r="B213" s="728"/>
      <c r="C213" s="728" t="s">
        <v>18</v>
      </c>
      <c r="D213" s="728"/>
      <c r="H213" s="445">
        <v>0</v>
      </c>
      <c r="I213" s="445">
        <v>0</v>
      </c>
      <c r="J213" s="445">
        <v>0</v>
      </c>
      <c r="K213" s="445">
        <v>0</v>
      </c>
      <c r="L213" s="445">
        <v>0</v>
      </c>
      <c r="M213" s="445">
        <v>0</v>
      </c>
      <c r="N213" s="445">
        <v>0</v>
      </c>
      <c r="O213" s="445">
        <v>0</v>
      </c>
      <c r="P213" s="445">
        <v>0</v>
      </c>
      <c r="Q213" s="445">
        <v>0</v>
      </c>
      <c r="R213" s="445">
        <v>0</v>
      </c>
      <c r="S213" s="445">
        <v>0</v>
      </c>
      <c r="T213" s="445">
        <v>0</v>
      </c>
    </row>
    <row r="214" spans="1:20">
      <c r="A214" s="382"/>
      <c r="B214" s="728"/>
      <c r="C214" s="728" t="s">
        <v>19</v>
      </c>
      <c r="D214" s="728"/>
      <c r="H214" s="444">
        <v>0</v>
      </c>
      <c r="I214" s="444">
        <v>0</v>
      </c>
      <c r="J214" s="444">
        <v>0</v>
      </c>
      <c r="K214" s="444">
        <v>0</v>
      </c>
      <c r="L214" s="444">
        <v>0</v>
      </c>
      <c r="M214" s="444">
        <v>0</v>
      </c>
      <c r="N214" s="444">
        <v>0</v>
      </c>
      <c r="O214" s="444">
        <v>0</v>
      </c>
      <c r="P214" s="444">
        <v>0</v>
      </c>
      <c r="Q214" s="444">
        <v>0</v>
      </c>
      <c r="R214" s="444">
        <v>0</v>
      </c>
      <c r="S214" s="444">
        <v>0</v>
      </c>
      <c r="T214" s="444">
        <v>0</v>
      </c>
    </row>
    <row r="215" spans="1:20">
      <c r="A215" s="382"/>
      <c r="B215" s="728"/>
      <c r="C215" s="728" t="s">
        <v>947</v>
      </c>
      <c r="D215" s="728"/>
      <c r="H215" s="444">
        <v>0</v>
      </c>
      <c r="I215" s="444">
        <v>0</v>
      </c>
      <c r="J215" s="444">
        <v>0</v>
      </c>
      <c r="K215" s="444">
        <v>0</v>
      </c>
      <c r="L215" s="444">
        <v>0</v>
      </c>
      <c r="M215" s="444">
        <v>0</v>
      </c>
      <c r="N215" s="444">
        <v>0</v>
      </c>
      <c r="O215" s="444">
        <v>0</v>
      </c>
      <c r="P215" s="444">
        <v>0</v>
      </c>
      <c r="Q215" s="444">
        <v>0</v>
      </c>
      <c r="R215" s="444">
        <v>0</v>
      </c>
      <c r="S215" s="444">
        <v>0</v>
      </c>
      <c r="T215" s="444">
        <v>0</v>
      </c>
    </row>
    <row r="216" spans="1:20">
      <c r="A216" s="382"/>
      <c r="B216" s="728"/>
      <c r="C216" s="728" t="s">
        <v>20</v>
      </c>
      <c r="D216" s="728"/>
      <c r="H216" s="444">
        <v>0</v>
      </c>
      <c r="I216" s="444">
        <v>0</v>
      </c>
      <c r="J216" s="444">
        <v>0</v>
      </c>
      <c r="K216" s="444">
        <v>0</v>
      </c>
      <c r="L216" s="444">
        <v>0</v>
      </c>
      <c r="M216" s="444">
        <v>0</v>
      </c>
      <c r="N216" s="444">
        <v>0</v>
      </c>
      <c r="O216" s="444">
        <v>0</v>
      </c>
      <c r="P216" s="444">
        <v>0</v>
      </c>
      <c r="Q216" s="444">
        <v>0</v>
      </c>
      <c r="R216" s="444">
        <v>0</v>
      </c>
      <c r="S216" s="444">
        <v>0</v>
      </c>
      <c r="T216" s="444">
        <v>0</v>
      </c>
    </row>
    <row r="217" spans="1:20">
      <c r="A217" s="382"/>
      <c r="B217" s="728"/>
      <c r="C217" s="728"/>
      <c r="D217" s="728"/>
      <c r="H217" s="444">
        <v>0</v>
      </c>
      <c r="I217" s="444">
        <v>0</v>
      </c>
      <c r="J217" s="444">
        <v>0</v>
      </c>
      <c r="K217" s="444">
        <v>0</v>
      </c>
      <c r="L217" s="444">
        <v>0</v>
      </c>
      <c r="M217" s="444">
        <v>0</v>
      </c>
      <c r="N217" s="444">
        <v>0</v>
      </c>
      <c r="O217" s="444">
        <v>0</v>
      </c>
      <c r="P217" s="444">
        <v>0</v>
      </c>
      <c r="Q217" s="444">
        <v>0</v>
      </c>
      <c r="R217" s="444">
        <v>0</v>
      </c>
      <c r="S217" s="444">
        <v>0</v>
      </c>
      <c r="T217" s="444"/>
    </row>
    <row r="218" spans="1:20">
      <c r="A218" s="382"/>
      <c r="B218" s="728" t="s">
        <v>88</v>
      </c>
      <c r="C218" s="728" t="s">
        <v>16</v>
      </c>
      <c r="D218" s="728"/>
      <c r="H218" s="444">
        <v>0</v>
      </c>
      <c r="I218" s="444">
        <v>0</v>
      </c>
      <c r="J218" s="444">
        <v>0</v>
      </c>
      <c r="K218" s="444">
        <v>0</v>
      </c>
      <c r="L218" s="444">
        <v>0</v>
      </c>
      <c r="M218" s="444">
        <v>0</v>
      </c>
      <c r="N218" s="444">
        <v>0</v>
      </c>
      <c r="O218" s="444">
        <v>0</v>
      </c>
      <c r="P218" s="444">
        <v>0</v>
      </c>
      <c r="Q218" s="444">
        <v>0</v>
      </c>
      <c r="R218" s="444">
        <v>0</v>
      </c>
      <c r="S218" s="444">
        <v>0</v>
      </c>
      <c r="T218" s="444">
        <v>0</v>
      </c>
    </row>
    <row r="219" spans="1:20">
      <c r="A219" s="382"/>
      <c r="B219" s="728"/>
      <c r="C219" s="728"/>
      <c r="D219" s="728"/>
      <c r="H219" s="444">
        <v>0</v>
      </c>
      <c r="I219" s="444">
        <v>0</v>
      </c>
      <c r="J219" s="444">
        <v>0</v>
      </c>
      <c r="K219" s="444">
        <v>0</v>
      </c>
      <c r="L219" s="444">
        <v>0</v>
      </c>
      <c r="M219" s="444">
        <v>0</v>
      </c>
      <c r="N219" s="444">
        <v>0</v>
      </c>
      <c r="O219" s="444">
        <v>0</v>
      </c>
      <c r="P219" s="444">
        <v>0</v>
      </c>
      <c r="Q219" s="444">
        <v>0</v>
      </c>
      <c r="R219" s="444">
        <v>0</v>
      </c>
      <c r="S219" s="444">
        <v>0</v>
      </c>
      <c r="T219" s="444"/>
    </row>
    <row r="220" spans="1:20">
      <c r="A220" s="382"/>
      <c r="B220" s="728"/>
      <c r="C220" s="728" t="s">
        <v>17</v>
      </c>
      <c r="D220" s="728"/>
      <c r="H220" s="444">
        <v>0</v>
      </c>
      <c r="I220" s="444">
        <v>0</v>
      </c>
      <c r="J220" s="444">
        <v>0</v>
      </c>
      <c r="K220" s="444">
        <v>0</v>
      </c>
      <c r="L220" s="444">
        <v>0</v>
      </c>
      <c r="M220" s="444">
        <v>0</v>
      </c>
      <c r="N220" s="444">
        <v>0</v>
      </c>
      <c r="O220" s="444">
        <v>0</v>
      </c>
      <c r="P220" s="444">
        <v>0</v>
      </c>
      <c r="Q220" s="444">
        <v>0</v>
      </c>
      <c r="R220" s="444">
        <v>0</v>
      </c>
      <c r="S220" s="444">
        <v>0</v>
      </c>
      <c r="T220" s="444">
        <v>0</v>
      </c>
    </row>
    <row r="221" spans="1:20">
      <c r="A221" s="382"/>
      <c r="B221" s="728"/>
      <c r="C221" s="728"/>
      <c r="D221" s="728"/>
      <c r="H221" s="444">
        <v>0</v>
      </c>
      <c r="I221" s="444">
        <v>0</v>
      </c>
      <c r="J221" s="444">
        <v>0</v>
      </c>
      <c r="K221" s="444">
        <v>0</v>
      </c>
      <c r="L221" s="444">
        <v>0</v>
      </c>
      <c r="M221" s="444">
        <v>0</v>
      </c>
      <c r="N221" s="444">
        <v>0</v>
      </c>
      <c r="O221" s="444">
        <v>0</v>
      </c>
      <c r="P221" s="444">
        <v>0</v>
      </c>
      <c r="Q221" s="444">
        <v>0</v>
      </c>
      <c r="R221" s="444">
        <v>0</v>
      </c>
      <c r="S221" s="444">
        <v>0</v>
      </c>
      <c r="T221" s="444"/>
    </row>
    <row r="222" spans="1:20">
      <c r="A222" s="382"/>
      <c r="B222" s="728"/>
      <c r="C222" s="728" t="s">
        <v>18</v>
      </c>
      <c r="D222" s="728"/>
      <c r="H222" s="445">
        <v>0</v>
      </c>
      <c r="I222" s="445">
        <v>0</v>
      </c>
      <c r="J222" s="445">
        <v>0</v>
      </c>
      <c r="K222" s="445">
        <v>0</v>
      </c>
      <c r="L222" s="445">
        <v>0</v>
      </c>
      <c r="M222" s="445">
        <v>0</v>
      </c>
      <c r="N222" s="445">
        <v>0</v>
      </c>
      <c r="O222" s="445">
        <v>0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</row>
    <row r="223" spans="1:20">
      <c r="A223" s="382"/>
      <c r="B223" s="728"/>
      <c r="C223" s="728" t="s">
        <v>19</v>
      </c>
      <c r="D223" s="728"/>
      <c r="H223" s="444">
        <v>0</v>
      </c>
      <c r="I223" s="444">
        <v>0</v>
      </c>
      <c r="J223" s="444">
        <v>0</v>
      </c>
      <c r="K223" s="444">
        <v>0</v>
      </c>
      <c r="L223" s="444">
        <v>0</v>
      </c>
      <c r="M223" s="444">
        <v>0</v>
      </c>
      <c r="N223" s="444">
        <v>0</v>
      </c>
      <c r="O223" s="444">
        <v>0</v>
      </c>
      <c r="P223" s="444">
        <v>0</v>
      </c>
      <c r="Q223" s="444">
        <v>0</v>
      </c>
      <c r="R223" s="444">
        <v>0</v>
      </c>
      <c r="S223" s="444">
        <v>0</v>
      </c>
      <c r="T223" s="444">
        <v>0</v>
      </c>
    </row>
    <row r="224" spans="1:20">
      <c r="A224" s="382"/>
      <c r="B224" s="728"/>
      <c r="C224" s="728" t="s">
        <v>947</v>
      </c>
      <c r="D224" s="728"/>
      <c r="H224" s="444">
        <v>0</v>
      </c>
      <c r="I224" s="444">
        <v>0</v>
      </c>
      <c r="J224" s="444">
        <v>0</v>
      </c>
      <c r="K224" s="444">
        <v>0</v>
      </c>
      <c r="L224" s="444">
        <v>0</v>
      </c>
      <c r="M224" s="444">
        <v>0</v>
      </c>
      <c r="N224" s="444">
        <v>0</v>
      </c>
      <c r="O224" s="444">
        <v>0</v>
      </c>
      <c r="P224" s="444">
        <v>0</v>
      </c>
      <c r="Q224" s="444">
        <v>0</v>
      </c>
      <c r="R224" s="444">
        <v>0</v>
      </c>
      <c r="S224" s="444">
        <v>0</v>
      </c>
      <c r="T224" s="444">
        <v>0</v>
      </c>
    </row>
    <row r="225" spans="1:20">
      <c r="A225" s="382"/>
      <c r="B225" s="332"/>
      <c r="C225" s="728" t="s">
        <v>20</v>
      </c>
      <c r="D225" s="728"/>
      <c r="H225" s="444">
        <v>0</v>
      </c>
      <c r="I225" s="444">
        <v>0</v>
      </c>
      <c r="J225" s="444">
        <v>0</v>
      </c>
      <c r="K225" s="444">
        <v>0</v>
      </c>
      <c r="L225" s="444">
        <v>0</v>
      </c>
      <c r="M225" s="444">
        <v>0</v>
      </c>
      <c r="N225" s="444">
        <v>0</v>
      </c>
      <c r="O225" s="444">
        <v>0</v>
      </c>
      <c r="P225" s="444">
        <v>0</v>
      </c>
      <c r="Q225" s="444">
        <v>0</v>
      </c>
      <c r="R225" s="444">
        <v>0</v>
      </c>
      <c r="S225" s="444">
        <v>0</v>
      </c>
      <c r="T225" s="444">
        <v>0</v>
      </c>
    </row>
    <row r="226" spans="1:20">
      <c r="A226" s="382"/>
      <c r="B226" s="332"/>
      <c r="C226" s="728"/>
      <c r="D226" s="728"/>
      <c r="H226" s="444"/>
      <c r="I226" s="444"/>
      <c r="J226" s="444"/>
      <c r="K226" s="444"/>
      <c r="L226" s="444"/>
      <c r="M226" s="444"/>
      <c r="N226" s="444"/>
      <c r="O226" s="444"/>
      <c r="P226" s="444"/>
      <c r="Q226" s="444"/>
      <c r="R226" s="444"/>
      <c r="S226" s="444"/>
      <c r="T226" s="444"/>
    </row>
    <row r="227" spans="1:20">
      <c r="A227" s="382"/>
      <c r="B227" s="332" t="s">
        <v>544</v>
      </c>
      <c r="C227" s="728"/>
      <c r="D227" s="728"/>
      <c r="H227" s="444"/>
      <c r="I227" s="444"/>
      <c r="J227" s="444"/>
      <c r="K227" s="444"/>
      <c r="L227" s="444"/>
      <c r="M227" s="444"/>
      <c r="N227" s="444"/>
      <c r="O227" s="444"/>
      <c r="P227" s="444"/>
      <c r="Q227" s="444"/>
      <c r="R227" s="444"/>
      <c r="S227" s="444"/>
      <c r="T227" s="444"/>
    </row>
    <row r="228" spans="1:20">
      <c r="A228" s="382"/>
      <c r="B228" s="332"/>
      <c r="C228" s="728" t="s">
        <v>16</v>
      </c>
      <c r="D228" s="728"/>
      <c r="H228" s="444">
        <v>0</v>
      </c>
      <c r="I228" s="444">
        <v>0</v>
      </c>
      <c r="J228" s="444">
        <v>0</v>
      </c>
      <c r="K228" s="444">
        <v>0</v>
      </c>
      <c r="L228" s="444">
        <v>0</v>
      </c>
      <c r="M228" s="444">
        <v>0</v>
      </c>
      <c r="N228" s="444">
        <v>0</v>
      </c>
      <c r="O228" s="444">
        <v>0</v>
      </c>
      <c r="P228" s="444">
        <v>0</v>
      </c>
      <c r="Q228" s="444">
        <v>0</v>
      </c>
      <c r="R228" s="444">
        <v>0</v>
      </c>
      <c r="S228" s="444">
        <v>0</v>
      </c>
      <c r="T228" s="444">
        <v>0</v>
      </c>
    </row>
    <row r="229" spans="1:20">
      <c r="A229" s="382"/>
      <c r="B229" s="332"/>
      <c r="C229" s="728" t="s">
        <v>17</v>
      </c>
      <c r="D229" s="728"/>
      <c r="H229" s="444">
        <v>0</v>
      </c>
      <c r="I229" s="444">
        <v>0</v>
      </c>
      <c r="J229" s="444">
        <v>0</v>
      </c>
      <c r="K229" s="444">
        <v>0</v>
      </c>
      <c r="L229" s="444">
        <v>0</v>
      </c>
      <c r="M229" s="444">
        <v>0</v>
      </c>
      <c r="N229" s="444">
        <v>0</v>
      </c>
      <c r="O229" s="444">
        <v>0</v>
      </c>
      <c r="P229" s="444">
        <v>0</v>
      </c>
      <c r="Q229" s="444">
        <v>0</v>
      </c>
      <c r="R229" s="444">
        <v>0</v>
      </c>
      <c r="S229" s="444">
        <v>0</v>
      </c>
      <c r="T229" s="444">
        <v>0</v>
      </c>
    </row>
    <row r="230" spans="1:20">
      <c r="A230" s="382"/>
      <c r="B230" s="332"/>
      <c r="C230" s="728" t="s">
        <v>18</v>
      </c>
      <c r="D230" s="728"/>
      <c r="H230" s="444">
        <v>0</v>
      </c>
      <c r="I230" s="444">
        <v>0</v>
      </c>
      <c r="J230" s="444">
        <v>0</v>
      </c>
      <c r="K230" s="444">
        <v>0</v>
      </c>
      <c r="L230" s="444">
        <v>0</v>
      </c>
      <c r="M230" s="444">
        <v>0</v>
      </c>
      <c r="N230" s="444">
        <v>0</v>
      </c>
      <c r="O230" s="444">
        <v>0</v>
      </c>
      <c r="P230" s="444">
        <v>0</v>
      </c>
      <c r="Q230" s="444">
        <v>0</v>
      </c>
      <c r="R230" s="444">
        <v>0</v>
      </c>
      <c r="S230" s="444">
        <v>0</v>
      </c>
      <c r="T230" s="444">
        <v>0</v>
      </c>
    </row>
    <row r="231" spans="1:20">
      <c r="A231" s="382"/>
      <c r="B231" s="728"/>
      <c r="C231" s="728" t="s">
        <v>461</v>
      </c>
      <c r="D231" s="728"/>
      <c r="H231" s="444">
        <v>0</v>
      </c>
      <c r="I231" s="444">
        <v>0</v>
      </c>
      <c r="J231" s="444">
        <v>0</v>
      </c>
      <c r="K231" s="444">
        <v>0</v>
      </c>
      <c r="L231" s="444">
        <v>0</v>
      </c>
      <c r="M231" s="444">
        <v>0</v>
      </c>
      <c r="N231" s="444">
        <v>0</v>
      </c>
      <c r="O231" s="444">
        <v>0</v>
      </c>
      <c r="P231" s="444">
        <v>0</v>
      </c>
      <c r="Q231" s="444">
        <v>0</v>
      </c>
      <c r="R231" s="444">
        <v>0</v>
      </c>
      <c r="S231" s="444">
        <v>0</v>
      </c>
      <c r="T231" s="444">
        <v>0</v>
      </c>
    </row>
    <row r="232" spans="1:20">
      <c r="A232" s="868"/>
      <c r="B232" s="332"/>
      <c r="C232" s="728" t="s">
        <v>947</v>
      </c>
      <c r="D232" s="728"/>
      <c r="H232" s="444">
        <v>0</v>
      </c>
      <c r="I232" s="444">
        <v>0</v>
      </c>
      <c r="J232" s="444">
        <v>0</v>
      </c>
      <c r="K232" s="444">
        <v>0</v>
      </c>
      <c r="L232" s="444">
        <v>0</v>
      </c>
      <c r="M232" s="444">
        <v>0</v>
      </c>
      <c r="N232" s="444">
        <v>0</v>
      </c>
      <c r="O232" s="444">
        <v>0</v>
      </c>
      <c r="P232" s="444">
        <v>0</v>
      </c>
      <c r="Q232" s="444">
        <v>0</v>
      </c>
      <c r="R232" s="444">
        <v>0</v>
      </c>
      <c r="S232" s="444">
        <v>0</v>
      </c>
      <c r="T232" s="444">
        <v>0</v>
      </c>
    </row>
    <row r="233" spans="1:20">
      <c r="A233" s="382"/>
      <c r="B233" s="728"/>
      <c r="C233" s="728" t="s">
        <v>59</v>
      </c>
      <c r="D233" s="728"/>
      <c r="H233" s="444">
        <v>0</v>
      </c>
      <c r="I233" s="444">
        <v>0</v>
      </c>
      <c r="J233" s="444">
        <v>0</v>
      </c>
      <c r="K233" s="444">
        <v>0</v>
      </c>
      <c r="L233" s="444">
        <v>0</v>
      </c>
      <c r="M233" s="444">
        <v>0</v>
      </c>
      <c r="N233" s="444">
        <v>0</v>
      </c>
      <c r="O233" s="444">
        <v>0</v>
      </c>
      <c r="P233" s="444">
        <v>0</v>
      </c>
      <c r="Q233" s="444">
        <v>0</v>
      </c>
      <c r="R233" s="444">
        <v>0</v>
      </c>
      <c r="S233" s="444">
        <v>0</v>
      </c>
      <c r="T233" s="444">
        <v>0</v>
      </c>
    </row>
    <row r="234" spans="1:20">
      <c r="A234" s="869"/>
      <c r="B234" s="728"/>
      <c r="C234" s="728" t="s">
        <v>60</v>
      </c>
      <c r="D234" s="728"/>
      <c r="H234" s="444">
        <v>0</v>
      </c>
      <c r="I234" s="444">
        <v>0</v>
      </c>
      <c r="J234" s="444">
        <v>0</v>
      </c>
      <c r="K234" s="444">
        <v>0</v>
      </c>
      <c r="L234" s="444">
        <v>0</v>
      </c>
      <c r="M234" s="444">
        <v>0</v>
      </c>
      <c r="N234" s="444">
        <v>0</v>
      </c>
      <c r="O234" s="444">
        <v>0</v>
      </c>
      <c r="P234" s="444">
        <v>0</v>
      </c>
      <c r="Q234" s="444">
        <v>0</v>
      </c>
      <c r="R234" s="444">
        <v>0</v>
      </c>
      <c r="S234" s="444">
        <v>0</v>
      </c>
      <c r="T234" s="444">
        <v>0</v>
      </c>
    </row>
    <row r="235" spans="1:20">
      <c r="A235" s="869"/>
      <c r="B235" s="728"/>
      <c r="C235" s="728" t="s">
        <v>462</v>
      </c>
      <c r="D235" s="728"/>
      <c r="H235" s="444">
        <v>0</v>
      </c>
      <c r="I235" s="444">
        <v>0</v>
      </c>
      <c r="J235" s="444">
        <v>0</v>
      </c>
      <c r="K235" s="444">
        <v>0</v>
      </c>
      <c r="L235" s="444">
        <v>0</v>
      </c>
      <c r="M235" s="444">
        <v>0</v>
      </c>
      <c r="N235" s="444">
        <v>0</v>
      </c>
      <c r="O235" s="444">
        <v>0</v>
      </c>
      <c r="P235" s="444">
        <v>0</v>
      </c>
      <c r="Q235" s="444">
        <v>0</v>
      </c>
      <c r="R235" s="444">
        <v>0</v>
      </c>
      <c r="S235" s="444">
        <v>0</v>
      </c>
      <c r="T235" s="444">
        <v>0</v>
      </c>
    </row>
    <row r="236" spans="1:20">
      <c r="A236" s="868" t="s">
        <v>24</v>
      </c>
      <c r="D236" s="728"/>
      <c r="H236" s="444"/>
      <c r="I236" s="444"/>
      <c r="J236" s="444"/>
      <c r="K236" s="444"/>
      <c r="L236" s="444"/>
      <c r="M236" s="444"/>
      <c r="N236" s="444"/>
      <c r="O236" s="444"/>
      <c r="P236" s="444"/>
      <c r="Q236" s="444"/>
      <c r="R236" s="444"/>
      <c r="S236" s="444"/>
      <c r="T236" s="444"/>
    </row>
    <row r="237" spans="1:20">
      <c r="A237" s="868"/>
      <c r="H237" s="444"/>
      <c r="I237" s="444"/>
      <c r="J237" s="444"/>
      <c r="K237" s="444"/>
      <c r="L237" s="444"/>
      <c r="M237" s="444"/>
      <c r="N237" s="444"/>
      <c r="O237" s="444"/>
      <c r="P237" s="444"/>
      <c r="Q237" s="444"/>
      <c r="R237" s="444"/>
      <c r="S237" s="444"/>
      <c r="T237" s="444"/>
    </row>
    <row r="238" spans="1:20">
      <c r="B238" s="728" t="s">
        <v>15</v>
      </c>
      <c r="C238" s="728" t="s">
        <v>16</v>
      </c>
      <c r="D238" s="332" t="s">
        <v>946</v>
      </c>
      <c r="H238" s="444">
        <v>2081971.35</v>
      </c>
      <c r="I238" s="444">
        <v>1968024.1</v>
      </c>
      <c r="J238" s="444">
        <v>1713833.45</v>
      </c>
      <c r="K238" s="444">
        <v>1452701.85</v>
      </c>
      <c r="L238" s="444">
        <v>1211868.53</v>
      </c>
      <c r="M238" s="444">
        <v>951669.79</v>
      </c>
      <c r="N238" s="444">
        <v>943746.1</v>
      </c>
      <c r="O238" s="444">
        <v>842901.73000000021</v>
      </c>
      <c r="P238" s="444">
        <v>973917.78</v>
      </c>
      <c r="Q238" s="444">
        <v>1181531.79</v>
      </c>
      <c r="R238" s="444">
        <v>1471188.0799999998</v>
      </c>
      <c r="S238" s="444">
        <v>1831177.75</v>
      </c>
      <c r="T238" s="444">
        <v>16624532.299999999</v>
      </c>
    </row>
    <row r="239" spans="1:20">
      <c r="B239" s="728"/>
      <c r="C239" s="728"/>
      <c r="D239" s="332" t="s">
        <v>946</v>
      </c>
      <c r="H239" s="444"/>
      <c r="I239" s="444"/>
      <c r="J239" s="444"/>
      <c r="K239" s="444"/>
      <c r="L239" s="444"/>
      <c r="M239" s="444"/>
      <c r="N239" s="444"/>
      <c r="O239" s="444"/>
      <c r="P239" s="444"/>
      <c r="Q239" s="444"/>
      <c r="R239" s="444"/>
      <c r="S239" s="444"/>
      <c r="T239" s="444"/>
    </row>
    <row r="240" spans="1:20">
      <c r="A240" s="868" t="s">
        <v>945</v>
      </c>
      <c r="B240" s="332"/>
      <c r="C240" s="728" t="s">
        <v>17</v>
      </c>
      <c r="D240" s="332" t="s">
        <v>946</v>
      </c>
      <c r="H240" s="444">
        <v>0</v>
      </c>
      <c r="I240" s="444">
        <v>0</v>
      </c>
      <c r="J240" s="444">
        <v>0</v>
      </c>
      <c r="K240" s="444">
        <v>0</v>
      </c>
      <c r="L240" s="444">
        <v>0</v>
      </c>
      <c r="M240" s="444">
        <v>0</v>
      </c>
      <c r="N240" s="444">
        <v>0</v>
      </c>
      <c r="O240" s="444">
        <v>0</v>
      </c>
      <c r="P240" s="444">
        <v>0</v>
      </c>
      <c r="Q240" s="444">
        <v>0</v>
      </c>
      <c r="R240" s="444">
        <v>0</v>
      </c>
      <c r="S240" s="444">
        <v>0</v>
      </c>
      <c r="T240" s="444">
        <v>0</v>
      </c>
    </row>
    <row r="241" spans="1:20">
      <c r="A241" s="868" t="s">
        <v>945</v>
      </c>
      <c r="B241" s="332"/>
      <c r="C241" s="728"/>
      <c r="D241" s="332" t="s">
        <v>946</v>
      </c>
      <c r="H241" s="444"/>
      <c r="I241" s="444"/>
      <c r="J241" s="444"/>
      <c r="K241" s="444"/>
      <c r="L241" s="444"/>
      <c r="M241" s="444"/>
      <c r="N241" s="444"/>
      <c r="O241" s="444"/>
      <c r="P241" s="444"/>
      <c r="Q241" s="444"/>
      <c r="R241" s="444"/>
      <c r="S241" s="444"/>
      <c r="T241" s="444"/>
    </row>
    <row r="242" spans="1:20">
      <c r="A242" s="868" t="s">
        <v>945</v>
      </c>
      <c r="B242" s="728"/>
      <c r="C242" s="728" t="s">
        <v>18</v>
      </c>
      <c r="D242" s="332" t="s">
        <v>946</v>
      </c>
      <c r="H242" s="445">
        <v>2649037.0300000003</v>
      </c>
      <c r="I242" s="445">
        <v>2401679.1399999997</v>
      </c>
      <c r="J242" s="445">
        <v>1994011.9100000001</v>
      </c>
      <c r="K242" s="445">
        <v>1428090.6099999999</v>
      </c>
      <c r="L242" s="445">
        <v>936588.52</v>
      </c>
      <c r="M242" s="445">
        <v>486115.93</v>
      </c>
      <c r="N242" s="445">
        <v>289987.45</v>
      </c>
      <c r="O242" s="445">
        <v>278737.36</v>
      </c>
      <c r="P242" s="445">
        <v>397314.07999999996</v>
      </c>
      <c r="Q242" s="445">
        <v>991964.59</v>
      </c>
      <c r="R242" s="445">
        <v>1737671.0699999998</v>
      </c>
      <c r="S242" s="445">
        <v>2543567.38</v>
      </c>
      <c r="T242" s="445">
        <v>16134765.069999997</v>
      </c>
    </row>
    <row r="243" spans="1:20">
      <c r="A243" s="868" t="s">
        <v>945</v>
      </c>
      <c r="B243" s="332"/>
      <c r="C243" s="728" t="s">
        <v>19</v>
      </c>
      <c r="D243" s="332" t="s">
        <v>946</v>
      </c>
      <c r="H243" s="444">
        <v>4731008.3800000008</v>
      </c>
      <c r="I243" s="444">
        <v>4369703.24</v>
      </c>
      <c r="J243" s="444">
        <v>3707845.3600000003</v>
      </c>
      <c r="K243" s="444">
        <v>2880792.46</v>
      </c>
      <c r="L243" s="444">
        <v>2148457.0499999998</v>
      </c>
      <c r="M243" s="444">
        <v>1437785.72</v>
      </c>
      <c r="N243" s="444">
        <v>1233733.55</v>
      </c>
      <c r="O243" s="444">
        <v>1121639.0900000003</v>
      </c>
      <c r="P243" s="444">
        <v>1371231.8599999999</v>
      </c>
      <c r="Q243" s="444">
        <v>2173496.38</v>
      </c>
      <c r="R243" s="444">
        <v>3208859.1499999994</v>
      </c>
      <c r="S243" s="444">
        <v>4374745.13</v>
      </c>
      <c r="T243" s="444">
        <v>32759297.369999997</v>
      </c>
    </row>
    <row r="244" spans="1:20">
      <c r="A244" s="868" t="s">
        <v>945</v>
      </c>
      <c r="B244" s="332"/>
      <c r="C244" s="728" t="s">
        <v>947</v>
      </c>
      <c r="D244" s="332" t="s">
        <v>946</v>
      </c>
      <c r="H244" s="444">
        <v>27726</v>
      </c>
      <c r="I244" s="444">
        <v>27730</v>
      </c>
      <c r="J244" s="444">
        <v>27736</v>
      </c>
      <c r="K244" s="444">
        <v>27744</v>
      </c>
      <c r="L244" s="444">
        <v>27750</v>
      </c>
      <c r="M244" s="444">
        <v>27760</v>
      </c>
      <c r="N244" s="444">
        <v>27753</v>
      </c>
      <c r="O244" s="444">
        <v>27751</v>
      </c>
      <c r="P244" s="444">
        <v>27761</v>
      </c>
      <c r="Q244" s="444">
        <v>27786</v>
      </c>
      <c r="R244" s="444">
        <v>27814</v>
      </c>
      <c r="S244" s="444">
        <v>27828</v>
      </c>
      <c r="T244" s="444">
        <v>27761.583333333332</v>
      </c>
    </row>
    <row r="245" spans="1:20">
      <c r="A245" s="868"/>
      <c r="B245" s="332"/>
      <c r="C245" s="728" t="s">
        <v>20</v>
      </c>
      <c r="D245" s="332" t="s">
        <v>946</v>
      </c>
      <c r="H245" s="444">
        <v>587728</v>
      </c>
      <c r="I245" s="444">
        <v>532848</v>
      </c>
      <c r="J245" s="444">
        <v>442401</v>
      </c>
      <c r="K245" s="444">
        <v>316843</v>
      </c>
      <c r="L245" s="444">
        <v>207796</v>
      </c>
      <c r="M245" s="444">
        <v>107852</v>
      </c>
      <c r="N245" s="444">
        <v>64338</v>
      </c>
      <c r="O245" s="444">
        <v>61842</v>
      </c>
      <c r="P245" s="444">
        <v>88150</v>
      </c>
      <c r="Q245" s="444">
        <v>220082</v>
      </c>
      <c r="R245" s="444">
        <v>385528</v>
      </c>
      <c r="S245" s="444">
        <v>564328</v>
      </c>
      <c r="T245" s="444">
        <v>3579736</v>
      </c>
    </row>
    <row r="246" spans="1:20">
      <c r="A246" s="868"/>
      <c r="B246" s="332"/>
      <c r="C246" s="332"/>
      <c r="D246" s="332"/>
      <c r="H246" s="444"/>
      <c r="I246" s="444"/>
      <c r="J246" s="444"/>
      <c r="K246" s="444"/>
      <c r="L246" s="444"/>
      <c r="M246" s="444"/>
      <c r="N246" s="444"/>
      <c r="O246" s="444"/>
      <c r="P246" s="444"/>
      <c r="Q246" s="444"/>
      <c r="R246" s="444"/>
      <c r="S246" s="444"/>
      <c r="T246" s="444"/>
    </row>
    <row r="247" spans="1:20">
      <c r="A247" s="868" t="s">
        <v>945</v>
      </c>
      <c r="B247" s="332" t="s">
        <v>960</v>
      </c>
      <c r="C247" s="728" t="s">
        <v>16</v>
      </c>
      <c r="D247" s="332" t="s">
        <v>946</v>
      </c>
      <c r="H247" s="444">
        <v>19111.289999999997</v>
      </c>
      <c r="I247" s="444">
        <v>16462.75</v>
      </c>
      <c r="J247" s="444">
        <v>15669.98</v>
      </c>
      <c r="K247" s="444">
        <v>14437.82</v>
      </c>
      <c r="L247" s="444">
        <v>12316.45</v>
      </c>
      <c r="M247" s="444">
        <v>12921.67</v>
      </c>
      <c r="N247" s="444">
        <v>8932.86</v>
      </c>
      <c r="O247" s="444">
        <v>9096.6400000000012</v>
      </c>
      <c r="P247" s="444">
        <v>10549.1</v>
      </c>
      <c r="Q247" s="444">
        <v>10264.470000000001</v>
      </c>
      <c r="R247" s="444">
        <v>13753.219999999998</v>
      </c>
      <c r="S247" s="444">
        <v>15826.48</v>
      </c>
      <c r="T247" s="444">
        <v>159342.73000000001</v>
      </c>
    </row>
    <row r="248" spans="1:20">
      <c r="A248" s="868" t="s">
        <v>945</v>
      </c>
      <c r="B248" s="728"/>
      <c r="C248" s="728"/>
      <c r="D248" s="332" t="s">
        <v>946</v>
      </c>
      <c r="H248" s="444"/>
      <c r="I248" s="444"/>
      <c r="J248" s="444"/>
      <c r="K248" s="444"/>
      <c r="L248" s="444"/>
      <c r="M248" s="444"/>
      <c r="N248" s="444"/>
      <c r="O248" s="444"/>
      <c r="P248" s="444"/>
      <c r="Q248" s="444"/>
      <c r="R248" s="444"/>
      <c r="S248" s="444"/>
      <c r="T248" s="444"/>
    </row>
    <row r="249" spans="1:20">
      <c r="A249" s="868" t="s">
        <v>945</v>
      </c>
      <c r="B249" s="332"/>
      <c r="C249" s="728" t="s">
        <v>17</v>
      </c>
      <c r="D249" s="332" t="s">
        <v>946</v>
      </c>
      <c r="H249" s="444">
        <v>0</v>
      </c>
      <c r="I249" s="444">
        <v>0</v>
      </c>
      <c r="J249" s="444">
        <v>0</v>
      </c>
      <c r="K249" s="444">
        <v>0</v>
      </c>
      <c r="L249" s="444">
        <v>0</v>
      </c>
      <c r="M249" s="444">
        <v>0</v>
      </c>
      <c r="N249" s="444">
        <v>0</v>
      </c>
      <c r="O249" s="444">
        <v>0</v>
      </c>
      <c r="P249" s="444">
        <v>0</v>
      </c>
      <c r="Q249" s="444">
        <v>0</v>
      </c>
      <c r="R249" s="444">
        <v>0</v>
      </c>
      <c r="S249" s="444">
        <v>0</v>
      </c>
      <c r="T249" s="444">
        <v>0</v>
      </c>
    </row>
    <row r="250" spans="1:20">
      <c r="A250" s="868" t="s">
        <v>945</v>
      </c>
      <c r="B250" s="332"/>
      <c r="C250" s="728"/>
      <c r="D250" s="332" t="s">
        <v>946</v>
      </c>
      <c r="H250" s="444"/>
      <c r="I250" s="444"/>
      <c r="J250" s="444"/>
      <c r="K250" s="444"/>
      <c r="L250" s="444"/>
      <c r="M250" s="444"/>
      <c r="N250" s="444"/>
      <c r="O250" s="444"/>
      <c r="P250" s="444"/>
      <c r="Q250" s="444"/>
      <c r="R250" s="444"/>
      <c r="S250" s="444"/>
      <c r="T250" s="444"/>
    </row>
    <row r="251" spans="1:20">
      <c r="A251" s="868" t="s">
        <v>945</v>
      </c>
      <c r="B251" s="332"/>
      <c r="C251" s="728" t="s">
        <v>18</v>
      </c>
      <c r="D251" s="332" t="s">
        <v>946</v>
      </c>
      <c r="H251" s="445">
        <v>97104.19</v>
      </c>
      <c r="I251" s="445">
        <v>81590.240000000005</v>
      </c>
      <c r="J251" s="445">
        <v>77015.39</v>
      </c>
      <c r="K251" s="445">
        <v>69961.53</v>
      </c>
      <c r="L251" s="445">
        <v>57985.759999999995</v>
      </c>
      <c r="M251" s="445">
        <v>59468.66</v>
      </c>
      <c r="N251" s="445">
        <v>39573.65</v>
      </c>
      <c r="O251" s="445">
        <v>41849.82</v>
      </c>
      <c r="P251" s="445">
        <v>50224.29</v>
      </c>
      <c r="Q251" s="445">
        <v>48574.630000000005</v>
      </c>
      <c r="R251" s="445">
        <v>69042.06</v>
      </c>
      <c r="S251" s="445">
        <v>84384.729999999981</v>
      </c>
      <c r="T251" s="445">
        <v>776774.95</v>
      </c>
    </row>
    <row r="252" spans="1:20">
      <c r="A252" s="868" t="s">
        <v>945</v>
      </c>
      <c r="B252" s="332"/>
      <c r="C252" s="728" t="s">
        <v>19</v>
      </c>
      <c r="D252" s="332" t="s">
        <v>946</v>
      </c>
      <c r="H252" s="444">
        <v>116215.48</v>
      </c>
      <c r="I252" s="444">
        <v>98052.99</v>
      </c>
      <c r="J252" s="444">
        <v>92685.37</v>
      </c>
      <c r="K252" s="444">
        <v>84399.35</v>
      </c>
      <c r="L252" s="444">
        <v>70302.209999999992</v>
      </c>
      <c r="M252" s="444">
        <v>72390.33</v>
      </c>
      <c r="N252" s="444">
        <v>48506.51</v>
      </c>
      <c r="O252" s="444">
        <v>50946.46</v>
      </c>
      <c r="P252" s="444">
        <v>60773.39</v>
      </c>
      <c r="Q252" s="444">
        <v>58839.100000000006</v>
      </c>
      <c r="R252" s="444">
        <v>82795.28</v>
      </c>
      <c r="S252" s="444">
        <v>100211.20999999998</v>
      </c>
      <c r="T252" s="444">
        <v>936117.67999999982</v>
      </c>
    </row>
    <row r="253" spans="1:20">
      <c r="A253" s="868" t="s">
        <v>945</v>
      </c>
      <c r="B253" s="728"/>
      <c r="C253" s="728" t="s">
        <v>947</v>
      </c>
      <c r="D253" s="332" t="s">
        <v>946</v>
      </c>
      <c r="H253" s="444">
        <v>24</v>
      </c>
      <c r="I253" s="444">
        <v>24</v>
      </c>
      <c r="J253" s="444">
        <v>24</v>
      </c>
      <c r="K253" s="444">
        <v>24</v>
      </c>
      <c r="L253" s="444">
        <v>24</v>
      </c>
      <c r="M253" s="444">
        <v>24</v>
      </c>
      <c r="N253" s="444">
        <v>24</v>
      </c>
      <c r="O253" s="444">
        <v>24</v>
      </c>
      <c r="P253" s="444">
        <v>24</v>
      </c>
      <c r="Q253" s="444">
        <v>24</v>
      </c>
      <c r="R253" s="444">
        <v>24</v>
      </c>
      <c r="S253" s="444">
        <v>24</v>
      </c>
      <c r="T253" s="444">
        <v>24</v>
      </c>
    </row>
    <row r="254" spans="1:20">
      <c r="A254" s="868" t="s">
        <v>945</v>
      </c>
      <c r="B254" s="332"/>
      <c r="C254" s="728" t="s">
        <v>20</v>
      </c>
      <c r="D254" s="332" t="s">
        <v>946</v>
      </c>
      <c r="H254" s="444">
        <v>21544</v>
      </c>
      <c r="I254" s="444">
        <v>18102</v>
      </c>
      <c r="J254" s="444">
        <v>17087</v>
      </c>
      <c r="K254" s="444">
        <v>15522</v>
      </c>
      <c r="L254" s="444">
        <v>12865</v>
      </c>
      <c r="M254" s="444">
        <v>13194</v>
      </c>
      <c r="N254" s="444">
        <v>8780</v>
      </c>
      <c r="O254" s="444">
        <v>9285</v>
      </c>
      <c r="P254" s="444">
        <v>11143</v>
      </c>
      <c r="Q254" s="444">
        <v>10777</v>
      </c>
      <c r="R254" s="444">
        <v>15318</v>
      </c>
      <c r="S254" s="444">
        <v>18722</v>
      </c>
      <c r="T254" s="444">
        <v>172339</v>
      </c>
    </row>
    <row r="255" spans="1:20">
      <c r="A255" s="868" t="s">
        <v>945</v>
      </c>
      <c r="B255" s="332"/>
      <c r="C255" s="884"/>
      <c r="D255" s="332"/>
      <c r="H255" s="444"/>
      <c r="I255" s="444"/>
      <c r="J255" s="444"/>
      <c r="K255" s="444"/>
      <c r="L255" s="444"/>
      <c r="M255" s="444"/>
      <c r="N255" s="444"/>
      <c r="O255" s="444"/>
      <c r="P255" s="444"/>
      <c r="Q255" s="444"/>
      <c r="R255" s="444"/>
      <c r="S255" s="444"/>
      <c r="T255" s="444"/>
    </row>
    <row r="256" spans="1:20">
      <c r="A256" s="868" t="s">
        <v>945</v>
      </c>
      <c r="B256" s="332" t="s">
        <v>810</v>
      </c>
      <c r="C256" s="728" t="s">
        <v>16</v>
      </c>
      <c r="D256" s="332" t="s">
        <v>946</v>
      </c>
      <c r="H256" s="444">
        <v>3742.74</v>
      </c>
      <c r="I256" s="444">
        <v>4480.75</v>
      </c>
      <c r="J256" s="444">
        <v>4744.32</v>
      </c>
      <c r="K256" s="444">
        <v>4471.96</v>
      </c>
      <c r="L256" s="444">
        <v>4340.18</v>
      </c>
      <c r="M256" s="444">
        <v>3786.67</v>
      </c>
      <c r="N256" s="444">
        <v>3069.66</v>
      </c>
      <c r="O256" s="444">
        <v>3351.12</v>
      </c>
      <c r="P256" s="444">
        <v>3283.65</v>
      </c>
      <c r="Q256" s="444">
        <v>2436.5</v>
      </c>
      <c r="R256" s="444">
        <v>3860.92</v>
      </c>
      <c r="S256" s="444">
        <v>2916.31</v>
      </c>
      <c r="T256" s="444">
        <v>44484.78</v>
      </c>
    </row>
    <row r="257" spans="1:20">
      <c r="A257" s="868" t="s">
        <v>945</v>
      </c>
      <c r="B257" s="728"/>
      <c r="C257" s="728"/>
      <c r="D257" s="332" t="s">
        <v>946</v>
      </c>
      <c r="H257" s="444"/>
      <c r="I257" s="444"/>
      <c r="J257" s="444"/>
      <c r="K257" s="444"/>
      <c r="L257" s="444"/>
      <c r="M257" s="444"/>
      <c r="N257" s="444"/>
      <c r="O257" s="444"/>
      <c r="P257" s="444"/>
      <c r="Q257" s="444"/>
      <c r="R257" s="444"/>
      <c r="S257" s="444"/>
      <c r="T257" s="444"/>
    </row>
    <row r="258" spans="1:20">
      <c r="A258" s="868" t="s">
        <v>945</v>
      </c>
      <c r="B258" s="332"/>
      <c r="C258" s="728" t="s">
        <v>17</v>
      </c>
      <c r="D258" s="332" t="s">
        <v>946</v>
      </c>
      <c r="H258" s="444">
        <v>0</v>
      </c>
      <c r="I258" s="444">
        <v>0</v>
      </c>
      <c r="J258" s="444">
        <v>0</v>
      </c>
      <c r="K258" s="444">
        <v>0</v>
      </c>
      <c r="L258" s="444">
        <v>0</v>
      </c>
      <c r="M258" s="444">
        <v>0</v>
      </c>
      <c r="N258" s="444">
        <v>0</v>
      </c>
      <c r="O258" s="444">
        <v>0</v>
      </c>
      <c r="P258" s="444">
        <v>0</v>
      </c>
      <c r="Q258" s="444">
        <v>0</v>
      </c>
      <c r="R258" s="444">
        <v>0</v>
      </c>
      <c r="S258" s="444">
        <v>0</v>
      </c>
      <c r="T258" s="444">
        <v>0</v>
      </c>
    </row>
    <row r="259" spans="1:20">
      <c r="A259" s="868" t="s">
        <v>945</v>
      </c>
      <c r="B259" s="332"/>
      <c r="C259" s="728"/>
      <c r="D259" s="332" t="s">
        <v>946</v>
      </c>
      <c r="H259" s="444"/>
      <c r="I259" s="444"/>
      <c r="J259" s="444"/>
      <c r="K259" s="444"/>
      <c r="L259" s="444"/>
      <c r="M259" s="444"/>
      <c r="N259" s="444"/>
      <c r="O259" s="444"/>
      <c r="P259" s="444"/>
      <c r="Q259" s="444"/>
      <c r="R259" s="444"/>
      <c r="S259" s="444"/>
      <c r="T259" s="444"/>
    </row>
    <row r="260" spans="1:20">
      <c r="A260" s="868" t="s">
        <v>945</v>
      </c>
      <c r="B260" s="332"/>
      <c r="C260" s="728" t="s">
        <v>18</v>
      </c>
      <c r="D260" s="332" t="s">
        <v>946</v>
      </c>
      <c r="H260" s="445">
        <v>1920.09</v>
      </c>
      <c r="I260" s="445">
        <v>2298.6999999999998</v>
      </c>
      <c r="J260" s="445">
        <v>2433.92</v>
      </c>
      <c r="K260" s="445">
        <v>2294.19</v>
      </c>
      <c r="L260" s="445">
        <v>2226.58</v>
      </c>
      <c r="M260" s="445">
        <v>1942.62</v>
      </c>
      <c r="N260" s="445">
        <v>1784.87</v>
      </c>
      <c r="O260" s="445">
        <v>2014.74</v>
      </c>
      <c r="P260" s="445">
        <v>1974.18</v>
      </c>
      <c r="Q260" s="445">
        <v>1464.86</v>
      </c>
      <c r="R260" s="445">
        <v>2321.23</v>
      </c>
      <c r="S260" s="445">
        <v>1753.32</v>
      </c>
      <c r="T260" s="445">
        <v>24429.3</v>
      </c>
    </row>
    <row r="261" spans="1:20">
      <c r="A261" s="868" t="s">
        <v>945</v>
      </c>
      <c r="B261" s="332"/>
      <c r="C261" s="728" t="s">
        <v>19</v>
      </c>
      <c r="D261" s="332" t="s">
        <v>946</v>
      </c>
      <c r="H261" s="444">
        <v>5662.83</v>
      </c>
      <c r="I261" s="444">
        <v>6779.45</v>
      </c>
      <c r="J261" s="444">
        <v>7178.24</v>
      </c>
      <c r="K261" s="444">
        <v>6766.15</v>
      </c>
      <c r="L261" s="444">
        <v>6566.76</v>
      </c>
      <c r="M261" s="444">
        <v>5729.29</v>
      </c>
      <c r="N261" s="444">
        <v>4854.53</v>
      </c>
      <c r="O261" s="444">
        <v>5365.86</v>
      </c>
      <c r="P261" s="444">
        <v>5257.83</v>
      </c>
      <c r="Q261" s="444">
        <v>3901.3599999999997</v>
      </c>
      <c r="R261" s="444">
        <v>6182.15</v>
      </c>
      <c r="S261" s="444">
        <v>4669.63</v>
      </c>
      <c r="T261" s="444">
        <v>68914.080000000002</v>
      </c>
    </row>
    <row r="262" spans="1:20">
      <c r="A262" s="868" t="s">
        <v>945</v>
      </c>
      <c r="B262" s="728"/>
      <c r="C262" s="728" t="s">
        <v>947</v>
      </c>
      <c r="D262" s="332" t="s">
        <v>946</v>
      </c>
      <c r="H262" s="444">
        <v>1</v>
      </c>
      <c r="I262" s="444">
        <v>1</v>
      </c>
      <c r="J262" s="444">
        <v>1</v>
      </c>
      <c r="K262" s="444">
        <v>1</v>
      </c>
      <c r="L262" s="444">
        <v>1</v>
      </c>
      <c r="M262" s="444">
        <v>1</v>
      </c>
      <c r="N262" s="444">
        <v>1</v>
      </c>
      <c r="O262" s="444">
        <v>1</v>
      </c>
      <c r="P262" s="444">
        <v>1</v>
      </c>
      <c r="Q262" s="444">
        <v>1</v>
      </c>
      <c r="R262" s="444">
        <v>1</v>
      </c>
      <c r="S262" s="444">
        <v>1</v>
      </c>
      <c r="T262" s="444">
        <v>1</v>
      </c>
    </row>
    <row r="263" spans="1:20">
      <c r="A263" s="868" t="s">
        <v>945</v>
      </c>
      <c r="B263" s="332"/>
      <c r="C263" s="728" t="s">
        <v>20</v>
      </c>
      <c r="D263" s="332" t="s">
        <v>946</v>
      </c>
      <c r="H263" s="444">
        <v>426</v>
      </c>
      <c r="I263" s="444">
        <v>510</v>
      </c>
      <c r="J263" s="444">
        <v>540</v>
      </c>
      <c r="K263" s="444">
        <v>509</v>
      </c>
      <c r="L263" s="444">
        <v>494</v>
      </c>
      <c r="M263" s="444">
        <v>431</v>
      </c>
      <c r="N263" s="444">
        <v>396</v>
      </c>
      <c r="O263" s="444">
        <v>447</v>
      </c>
      <c r="P263" s="444">
        <v>438</v>
      </c>
      <c r="Q263" s="444">
        <v>325</v>
      </c>
      <c r="R263" s="444">
        <v>515</v>
      </c>
      <c r="S263" s="444">
        <v>389</v>
      </c>
      <c r="T263" s="444">
        <v>5420</v>
      </c>
    </row>
    <row r="264" spans="1:20">
      <c r="A264" s="868" t="s">
        <v>945</v>
      </c>
      <c r="B264" s="332"/>
      <c r="C264" s="332"/>
      <c r="D264" s="332"/>
      <c r="H264" s="444"/>
      <c r="I264" s="444"/>
      <c r="J264" s="444"/>
      <c r="K264" s="444"/>
      <c r="L264" s="444"/>
      <c r="M264" s="444"/>
      <c r="N264" s="444"/>
      <c r="O264" s="444"/>
      <c r="P264" s="444"/>
      <c r="Q264" s="444"/>
      <c r="R264" s="444"/>
      <c r="S264" s="444"/>
      <c r="T264" s="444"/>
    </row>
    <row r="265" spans="1:20">
      <c r="A265" s="868" t="s">
        <v>945</v>
      </c>
      <c r="B265" s="332" t="s">
        <v>765</v>
      </c>
      <c r="C265" s="728" t="s">
        <v>16</v>
      </c>
      <c r="D265" s="332" t="s">
        <v>946</v>
      </c>
      <c r="H265" s="444">
        <v>0</v>
      </c>
      <c r="I265" s="444">
        <v>0</v>
      </c>
      <c r="J265" s="444">
        <v>0</v>
      </c>
      <c r="K265" s="444">
        <v>0</v>
      </c>
      <c r="L265" s="444">
        <v>0</v>
      </c>
      <c r="M265" s="444">
        <v>0</v>
      </c>
      <c r="N265" s="444">
        <v>0</v>
      </c>
      <c r="O265" s="444">
        <v>0</v>
      </c>
      <c r="P265" s="444">
        <v>0</v>
      </c>
      <c r="Q265" s="444">
        <v>0</v>
      </c>
      <c r="R265" s="444">
        <v>0</v>
      </c>
      <c r="S265" s="444">
        <v>0</v>
      </c>
      <c r="T265" s="444">
        <v>0</v>
      </c>
    </row>
    <row r="266" spans="1:20">
      <c r="A266" s="868" t="s">
        <v>945</v>
      </c>
      <c r="B266" s="728"/>
      <c r="C266" s="728"/>
      <c r="D266" s="332" t="s">
        <v>946</v>
      </c>
      <c r="H266" s="444"/>
      <c r="I266" s="444"/>
      <c r="J266" s="444"/>
      <c r="K266" s="444"/>
      <c r="L266" s="444"/>
      <c r="M266" s="444"/>
      <c r="N266" s="444"/>
      <c r="O266" s="444"/>
      <c r="P266" s="444"/>
      <c r="Q266" s="444"/>
      <c r="R266" s="444"/>
      <c r="S266" s="444"/>
      <c r="T266" s="444"/>
    </row>
    <row r="267" spans="1:20">
      <c r="A267" s="868" t="s">
        <v>945</v>
      </c>
      <c r="B267" s="332"/>
      <c r="C267" s="728" t="s">
        <v>17</v>
      </c>
      <c r="D267" s="332" t="s">
        <v>946</v>
      </c>
      <c r="H267" s="444"/>
      <c r="I267" s="444"/>
      <c r="J267" s="444"/>
      <c r="K267" s="444"/>
      <c r="L267" s="444"/>
      <c r="M267" s="444"/>
      <c r="N267" s="444"/>
      <c r="O267" s="444"/>
      <c r="P267" s="444"/>
      <c r="Q267" s="444"/>
      <c r="R267" s="444"/>
      <c r="S267" s="444"/>
      <c r="T267" s="444"/>
    </row>
    <row r="268" spans="1:20">
      <c r="A268" s="868" t="s">
        <v>945</v>
      </c>
      <c r="B268" s="332"/>
      <c r="C268" s="728"/>
      <c r="D268" s="332" t="s">
        <v>946</v>
      </c>
      <c r="H268" s="444"/>
      <c r="I268" s="444"/>
      <c r="J268" s="444"/>
      <c r="K268" s="444"/>
      <c r="L268" s="444"/>
      <c r="M268" s="444"/>
      <c r="N268" s="444"/>
      <c r="O268" s="444"/>
      <c r="P268" s="444"/>
      <c r="Q268" s="444"/>
      <c r="R268" s="444"/>
      <c r="S268" s="444"/>
      <c r="T268" s="444"/>
    </row>
    <row r="269" spans="1:20">
      <c r="A269" s="868" t="s">
        <v>945</v>
      </c>
      <c r="B269" s="332"/>
      <c r="C269" s="728" t="s">
        <v>18</v>
      </c>
      <c r="D269" s="332" t="s">
        <v>946</v>
      </c>
      <c r="H269" s="445">
        <v>0</v>
      </c>
      <c r="I269" s="445">
        <v>0</v>
      </c>
      <c r="J269" s="445">
        <v>0</v>
      </c>
      <c r="K269" s="445">
        <v>0</v>
      </c>
      <c r="L269" s="445">
        <v>0</v>
      </c>
      <c r="M269" s="445">
        <v>0</v>
      </c>
      <c r="N269" s="445">
        <v>0</v>
      </c>
      <c r="O269" s="445">
        <v>0</v>
      </c>
      <c r="P269" s="445">
        <v>0</v>
      </c>
      <c r="Q269" s="445">
        <v>0</v>
      </c>
      <c r="R269" s="445">
        <v>0</v>
      </c>
      <c r="S269" s="445">
        <v>0</v>
      </c>
      <c r="T269" s="445">
        <v>0</v>
      </c>
    </row>
    <row r="270" spans="1:20">
      <c r="A270" s="868" t="s">
        <v>945</v>
      </c>
      <c r="B270" s="332"/>
      <c r="C270" s="728" t="s">
        <v>19</v>
      </c>
      <c r="D270" s="332" t="s">
        <v>946</v>
      </c>
      <c r="H270" s="444">
        <v>0</v>
      </c>
      <c r="I270" s="444">
        <v>0</v>
      </c>
      <c r="J270" s="444">
        <v>0</v>
      </c>
      <c r="K270" s="444">
        <v>0</v>
      </c>
      <c r="L270" s="444">
        <v>0</v>
      </c>
      <c r="M270" s="444">
        <v>0</v>
      </c>
      <c r="N270" s="444">
        <v>0</v>
      </c>
      <c r="O270" s="444">
        <v>0</v>
      </c>
      <c r="P270" s="444">
        <v>0</v>
      </c>
      <c r="Q270" s="444">
        <v>0</v>
      </c>
      <c r="R270" s="444">
        <v>0</v>
      </c>
      <c r="S270" s="444">
        <v>0</v>
      </c>
      <c r="T270" s="444">
        <v>0</v>
      </c>
    </row>
    <row r="271" spans="1:20">
      <c r="A271" s="868" t="s">
        <v>945</v>
      </c>
      <c r="B271" s="728"/>
      <c r="C271" s="728" t="s">
        <v>947</v>
      </c>
      <c r="D271" s="332" t="s">
        <v>946</v>
      </c>
      <c r="H271" s="444">
        <v>0</v>
      </c>
      <c r="I271" s="444">
        <v>0</v>
      </c>
      <c r="J271" s="444">
        <v>0</v>
      </c>
      <c r="K271" s="444">
        <v>0</v>
      </c>
      <c r="L271" s="444">
        <v>0</v>
      </c>
      <c r="M271" s="444">
        <v>0</v>
      </c>
      <c r="N271" s="444">
        <v>0</v>
      </c>
      <c r="O271" s="444">
        <v>0</v>
      </c>
      <c r="P271" s="444">
        <v>0</v>
      </c>
      <c r="Q271" s="444">
        <v>0</v>
      </c>
      <c r="R271" s="444">
        <v>0</v>
      </c>
      <c r="S271" s="444">
        <v>0</v>
      </c>
      <c r="T271" s="444">
        <v>0</v>
      </c>
    </row>
    <row r="272" spans="1:20">
      <c r="A272" s="868" t="s">
        <v>945</v>
      </c>
      <c r="B272" s="332"/>
      <c r="C272" s="728" t="s">
        <v>20</v>
      </c>
      <c r="D272" s="332" t="s">
        <v>946</v>
      </c>
      <c r="H272" s="444">
        <v>0</v>
      </c>
      <c r="I272" s="444">
        <v>0</v>
      </c>
      <c r="J272" s="444">
        <v>0</v>
      </c>
      <c r="K272" s="444">
        <v>0</v>
      </c>
      <c r="L272" s="444">
        <v>0</v>
      </c>
      <c r="M272" s="444">
        <v>0</v>
      </c>
      <c r="N272" s="444">
        <v>0</v>
      </c>
      <c r="O272" s="444">
        <v>0</v>
      </c>
      <c r="P272" s="444">
        <v>0</v>
      </c>
      <c r="Q272" s="444">
        <v>0</v>
      </c>
      <c r="R272" s="444">
        <v>0</v>
      </c>
      <c r="S272" s="444">
        <v>0</v>
      </c>
      <c r="T272" s="444">
        <v>0</v>
      </c>
    </row>
    <row r="273" spans="1:20">
      <c r="A273" s="868" t="s">
        <v>945</v>
      </c>
      <c r="B273" s="728"/>
      <c r="C273" s="728"/>
      <c r="D273" s="728"/>
      <c r="H273" s="444"/>
      <c r="I273" s="444"/>
      <c r="J273" s="444"/>
      <c r="K273" s="444"/>
      <c r="L273" s="444"/>
      <c r="M273" s="444"/>
      <c r="N273" s="444"/>
      <c r="O273" s="444"/>
      <c r="P273" s="444"/>
      <c r="Q273" s="444"/>
      <c r="R273" s="444"/>
      <c r="S273" s="444"/>
      <c r="T273" s="444"/>
    </row>
    <row r="274" spans="1:20">
      <c r="A274" s="868"/>
      <c r="B274" s="728" t="s">
        <v>961</v>
      </c>
      <c r="C274" s="728" t="s">
        <v>16</v>
      </c>
      <c r="D274" s="332" t="s">
        <v>946</v>
      </c>
      <c r="H274" s="444">
        <v>6373.92</v>
      </c>
      <c r="I274" s="444">
        <v>6162.42</v>
      </c>
      <c r="J274" s="444">
        <v>5593.56</v>
      </c>
      <c r="K274" s="444">
        <v>4618.2700000000004</v>
      </c>
      <c r="L274" s="444">
        <v>4173.6499999999996</v>
      </c>
      <c r="M274" s="444">
        <v>3919.13</v>
      </c>
      <c r="N274" s="444">
        <v>4207.07</v>
      </c>
      <c r="O274" s="444">
        <v>3278.68</v>
      </c>
      <c r="P274" s="444">
        <v>3300.87</v>
      </c>
      <c r="Q274" s="444">
        <v>3727.7700000000004</v>
      </c>
      <c r="R274" s="444">
        <v>5388.49</v>
      </c>
      <c r="S274" s="444">
        <v>5715.84</v>
      </c>
      <c r="T274" s="444">
        <v>56459.670000000013</v>
      </c>
    </row>
    <row r="275" spans="1:20">
      <c r="A275" s="868" t="s">
        <v>949</v>
      </c>
      <c r="B275" s="728"/>
      <c r="C275" s="728"/>
      <c r="D275" s="332" t="s">
        <v>946</v>
      </c>
      <c r="H275" s="444"/>
      <c r="I275" s="444"/>
      <c r="J275" s="444"/>
      <c r="K275" s="444"/>
      <c r="L275" s="444"/>
      <c r="M275" s="444"/>
      <c r="N275" s="444"/>
      <c r="O275" s="444"/>
      <c r="P275" s="444"/>
      <c r="Q275" s="444"/>
      <c r="R275" s="444"/>
      <c r="S275" s="444"/>
      <c r="T275" s="444"/>
    </row>
    <row r="276" spans="1:20">
      <c r="A276" s="868" t="s">
        <v>949</v>
      </c>
      <c r="B276" s="332"/>
      <c r="C276" s="728" t="s">
        <v>17</v>
      </c>
      <c r="D276" s="332" t="s">
        <v>946</v>
      </c>
      <c r="H276" s="444">
        <v>3383.5</v>
      </c>
      <c r="I276" s="444">
        <v>3231.67</v>
      </c>
      <c r="J276" s="444">
        <v>2823.32</v>
      </c>
      <c r="K276" s="444">
        <v>2123.1999999999998</v>
      </c>
      <c r="L276" s="444">
        <v>1804.0300000000002</v>
      </c>
      <c r="M276" s="444">
        <v>1621.35</v>
      </c>
      <c r="N276" s="444">
        <v>1902.78</v>
      </c>
      <c r="O276" s="444">
        <v>1250.1699999999998</v>
      </c>
      <c r="P276" s="444">
        <v>1267.3200000000002</v>
      </c>
      <c r="Q276" s="444">
        <v>1597.1399999999999</v>
      </c>
      <c r="R276" s="444">
        <v>2880.17</v>
      </c>
      <c r="S276" s="444">
        <v>3133.0999999999995</v>
      </c>
      <c r="T276" s="444">
        <v>27017.749999999993</v>
      </c>
    </row>
    <row r="277" spans="1:20">
      <c r="A277" s="868" t="s">
        <v>949</v>
      </c>
      <c r="B277" s="332"/>
      <c r="C277" s="728"/>
      <c r="D277" s="332" t="s">
        <v>946</v>
      </c>
      <c r="H277" s="444"/>
      <c r="I277" s="444"/>
      <c r="J277" s="444"/>
      <c r="K277" s="444"/>
      <c r="L277" s="444"/>
      <c r="M277" s="444"/>
      <c r="N277" s="444"/>
      <c r="O277" s="444"/>
      <c r="P277" s="444"/>
      <c r="Q277" s="444"/>
      <c r="R277" s="444"/>
      <c r="S277" s="444"/>
      <c r="T277" s="444"/>
    </row>
    <row r="278" spans="1:20">
      <c r="A278" s="868" t="s">
        <v>949</v>
      </c>
      <c r="B278" s="332"/>
      <c r="C278" s="728" t="s">
        <v>18</v>
      </c>
      <c r="D278" s="332" t="s">
        <v>946</v>
      </c>
      <c r="H278" s="445">
        <v>84474.880000000005</v>
      </c>
      <c r="I278" s="445">
        <v>80684.28</v>
      </c>
      <c r="J278" s="445">
        <v>70488.88</v>
      </c>
      <c r="K278" s="445">
        <v>53009.770000000004</v>
      </c>
      <c r="L278" s="445">
        <v>45040.95</v>
      </c>
      <c r="M278" s="445">
        <v>40479.619999999995</v>
      </c>
      <c r="N278" s="445">
        <v>47506.41</v>
      </c>
      <c r="O278" s="445">
        <v>31212.719999999998</v>
      </c>
      <c r="P278" s="445">
        <v>31640.91</v>
      </c>
      <c r="Q278" s="445">
        <v>39875.64</v>
      </c>
      <c r="R278" s="445">
        <v>71908.66</v>
      </c>
      <c r="S278" s="445">
        <v>78223.320000000007</v>
      </c>
      <c r="T278" s="445">
        <v>674546.04</v>
      </c>
    </row>
    <row r="279" spans="1:20">
      <c r="A279" s="868" t="s">
        <v>949</v>
      </c>
      <c r="B279" s="332"/>
      <c r="C279" s="728" t="s">
        <v>19</v>
      </c>
      <c r="D279" s="332" t="s">
        <v>946</v>
      </c>
      <c r="H279" s="444">
        <v>94232.3</v>
      </c>
      <c r="I279" s="444">
        <v>90078.37</v>
      </c>
      <c r="J279" s="444">
        <v>78905.760000000009</v>
      </c>
      <c r="K279" s="444">
        <v>59751.240000000005</v>
      </c>
      <c r="L279" s="444">
        <v>51018.63</v>
      </c>
      <c r="M279" s="444">
        <v>46020.099999999991</v>
      </c>
      <c r="N279" s="444">
        <v>53616.26</v>
      </c>
      <c r="O279" s="444">
        <v>35741.57</v>
      </c>
      <c r="P279" s="444">
        <v>36209.1</v>
      </c>
      <c r="Q279" s="444">
        <v>45200.55</v>
      </c>
      <c r="R279" s="444">
        <v>80177.320000000007</v>
      </c>
      <c r="S279" s="444">
        <v>87072.260000000009</v>
      </c>
      <c r="T279" s="444">
        <v>758023.46</v>
      </c>
    </row>
    <row r="280" spans="1:20">
      <c r="A280" s="868" t="s">
        <v>949</v>
      </c>
      <c r="B280" s="728"/>
      <c r="C280" s="728" t="s">
        <v>947</v>
      </c>
      <c r="D280" s="332" t="s">
        <v>946</v>
      </c>
      <c r="H280" s="444">
        <v>5</v>
      </c>
      <c r="I280" s="444">
        <v>5</v>
      </c>
      <c r="J280" s="444">
        <v>5</v>
      </c>
      <c r="K280" s="444">
        <v>5</v>
      </c>
      <c r="L280" s="444">
        <v>5</v>
      </c>
      <c r="M280" s="444">
        <v>5</v>
      </c>
      <c r="N280" s="444">
        <v>5</v>
      </c>
      <c r="O280" s="444">
        <v>5</v>
      </c>
      <c r="P280" s="444">
        <v>5</v>
      </c>
      <c r="Q280" s="444">
        <v>5</v>
      </c>
      <c r="R280" s="444">
        <v>5</v>
      </c>
      <c r="S280" s="444">
        <v>5</v>
      </c>
      <c r="T280" s="444">
        <v>5</v>
      </c>
    </row>
    <row r="281" spans="1:20">
      <c r="A281" s="868" t="s">
        <v>949</v>
      </c>
      <c r="B281" s="332"/>
      <c r="C281" s="728" t="s">
        <v>20</v>
      </c>
      <c r="D281" s="332" t="s">
        <v>946</v>
      </c>
      <c r="H281" s="444">
        <v>18742</v>
      </c>
      <c r="I281" s="444">
        <v>17901</v>
      </c>
      <c r="J281" s="444">
        <v>15639</v>
      </c>
      <c r="K281" s="444">
        <v>11761</v>
      </c>
      <c r="L281" s="444">
        <v>9993</v>
      </c>
      <c r="M281" s="444">
        <v>8981</v>
      </c>
      <c r="N281" s="444">
        <v>10540</v>
      </c>
      <c r="O281" s="444">
        <v>6925</v>
      </c>
      <c r="P281" s="444">
        <v>7020</v>
      </c>
      <c r="Q281" s="444">
        <v>8847</v>
      </c>
      <c r="R281" s="444">
        <v>15954</v>
      </c>
      <c r="S281" s="444">
        <v>17355</v>
      </c>
      <c r="T281" s="444">
        <v>149658</v>
      </c>
    </row>
    <row r="282" spans="1:20">
      <c r="A282" s="868" t="s">
        <v>949</v>
      </c>
      <c r="B282" s="728"/>
      <c r="C282" s="728"/>
      <c r="D282" s="728"/>
      <c r="H282" s="444"/>
      <c r="I282" s="444"/>
      <c r="J282" s="444"/>
      <c r="K282" s="444"/>
      <c r="L282" s="444"/>
      <c r="M282" s="444"/>
      <c r="N282" s="444"/>
      <c r="O282" s="444"/>
      <c r="P282" s="444"/>
      <c r="Q282" s="444"/>
      <c r="R282" s="444"/>
      <c r="S282" s="444"/>
      <c r="T282" s="444"/>
    </row>
    <row r="283" spans="1:20">
      <c r="A283" s="868"/>
      <c r="B283" s="728" t="s">
        <v>89</v>
      </c>
      <c r="C283" s="728" t="s">
        <v>16</v>
      </c>
      <c r="D283" s="332" t="s">
        <v>946</v>
      </c>
      <c r="H283" s="444">
        <v>0</v>
      </c>
      <c r="I283" s="444">
        <v>0</v>
      </c>
      <c r="J283" s="444">
        <v>0</v>
      </c>
      <c r="K283" s="444">
        <v>0</v>
      </c>
      <c r="L283" s="444">
        <v>0</v>
      </c>
      <c r="M283" s="444">
        <v>0</v>
      </c>
      <c r="N283" s="444">
        <v>0</v>
      </c>
      <c r="O283" s="444">
        <v>0</v>
      </c>
      <c r="P283" s="444">
        <v>0</v>
      </c>
      <c r="Q283" s="444">
        <v>0</v>
      </c>
      <c r="R283" s="444">
        <v>0</v>
      </c>
      <c r="S283" s="444">
        <v>0</v>
      </c>
      <c r="T283" s="444">
        <v>0</v>
      </c>
    </row>
    <row r="284" spans="1:20">
      <c r="A284" s="868"/>
      <c r="B284" s="728"/>
      <c r="C284" s="728"/>
      <c r="D284" s="332" t="s">
        <v>946</v>
      </c>
      <c r="H284" s="444"/>
      <c r="I284" s="444"/>
      <c r="J284" s="444"/>
      <c r="K284" s="444"/>
      <c r="L284" s="444"/>
      <c r="M284" s="444"/>
      <c r="N284" s="444"/>
      <c r="O284" s="444"/>
      <c r="P284" s="444"/>
      <c r="Q284" s="444"/>
      <c r="R284" s="444"/>
      <c r="S284" s="444"/>
      <c r="T284" s="444"/>
    </row>
    <row r="285" spans="1:20">
      <c r="A285" s="868"/>
      <c r="B285" s="332"/>
      <c r="C285" s="728" t="s">
        <v>17</v>
      </c>
      <c r="D285" s="332" t="s">
        <v>946</v>
      </c>
      <c r="H285" s="444"/>
      <c r="I285" s="444"/>
      <c r="J285" s="444"/>
      <c r="K285" s="444"/>
      <c r="L285" s="444"/>
      <c r="M285" s="444"/>
      <c r="N285" s="444"/>
      <c r="O285" s="444"/>
      <c r="P285" s="444"/>
      <c r="Q285" s="444"/>
      <c r="R285" s="444"/>
      <c r="S285" s="444"/>
      <c r="T285" s="444"/>
    </row>
    <row r="286" spans="1:20">
      <c r="A286" s="868"/>
      <c r="B286" s="332"/>
      <c r="C286" s="728"/>
      <c r="D286" s="332" t="s">
        <v>946</v>
      </c>
      <c r="H286" s="444"/>
      <c r="I286" s="444"/>
      <c r="J286" s="444"/>
      <c r="K286" s="444"/>
      <c r="L286" s="444"/>
      <c r="M286" s="444"/>
      <c r="N286" s="444"/>
      <c r="O286" s="444"/>
      <c r="P286" s="444"/>
      <c r="Q286" s="444"/>
      <c r="R286" s="444"/>
      <c r="S286" s="444"/>
      <c r="T286" s="444"/>
    </row>
    <row r="287" spans="1:20">
      <c r="A287" s="868"/>
      <c r="B287" s="332"/>
      <c r="C287" s="728" t="s">
        <v>18</v>
      </c>
      <c r="D287" s="332" t="s">
        <v>946</v>
      </c>
      <c r="H287" s="445">
        <v>0</v>
      </c>
      <c r="I287" s="445">
        <v>0</v>
      </c>
      <c r="J287" s="445">
        <v>0</v>
      </c>
      <c r="K287" s="445">
        <v>0</v>
      </c>
      <c r="L287" s="445">
        <v>0</v>
      </c>
      <c r="M287" s="445">
        <v>0</v>
      </c>
      <c r="N287" s="445">
        <v>0</v>
      </c>
      <c r="O287" s="445">
        <v>0</v>
      </c>
      <c r="P287" s="445">
        <v>0</v>
      </c>
      <c r="Q287" s="445">
        <v>0</v>
      </c>
      <c r="R287" s="445">
        <v>0</v>
      </c>
      <c r="S287" s="445">
        <v>0</v>
      </c>
      <c r="T287" s="445">
        <v>0</v>
      </c>
    </row>
    <row r="288" spans="1:20">
      <c r="A288" s="868"/>
      <c r="B288" s="332"/>
      <c r="C288" s="728" t="s">
        <v>19</v>
      </c>
      <c r="D288" s="332" t="s">
        <v>946</v>
      </c>
      <c r="H288" s="444">
        <v>0</v>
      </c>
      <c r="I288" s="444">
        <v>0</v>
      </c>
      <c r="J288" s="444">
        <v>0</v>
      </c>
      <c r="K288" s="444">
        <v>0</v>
      </c>
      <c r="L288" s="444">
        <v>0</v>
      </c>
      <c r="M288" s="444">
        <v>0</v>
      </c>
      <c r="N288" s="444">
        <v>0</v>
      </c>
      <c r="O288" s="444">
        <v>0</v>
      </c>
      <c r="P288" s="444">
        <v>0</v>
      </c>
      <c r="Q288" s="444">
        <v>0</v>
      </c>
      <c r="R288" s="444">
        <v>0</v>
      </c>
      <c r="S288" s="444">
        <v>0</v>
      </c>
      <c r="T288" s="444">
        <v>0</v>
      </c>
    </row>
    <row r="289" spans="1:20">
      <c r="A289" s="868"/>
      <c r="B289" s="728"/>
      <c r="C289" s="728" t="s">
        <v>947</v>
      </c>
      <c r="D289" s="332" t="s">
        <v>946</v>
      </c>
      <c r="H289" s="444">
        <v>0</v>
      </c>
      <c r="I289" s="444">
        <v>0</v>
      </c>
      <c r="J289" s="444">
        <v>0</v>
      </c>
      <c r="K289" s="444">
        <v>0</v>
      </c>
      <c r="L289" s="444">
        <v>0</v>
      </c>
      <c r="M289" s="444">
        <v>0</v>
      </c>
      <c r="N289" s="444">
        <v>0</v>
      </c>
      <c r="O289" s="444">
        <v>0</v>
      </c>
      <c r="P289" s="444">
        <v>0</v>
      </c>
      <c r="Q289" s="444">
        <v>0</v>
      </c>
      <c r="R289" s="444">
        <v>0</v>
      </c>
      <c r="S289" s="444">
        <v>0</v>
      </c>
      <c r="T289" s="444">
        <v>0</v>
      </c>
    </row>
    <row r="290" spans="1:20">
      <c r="A290" s="868"/>
      <c r="B290" s="728"/>
      <c r="C290" s="728" t="s">
        <v>20</v>
      </c>
      <c r="D290" s="332" t="s">
        <v>946</v>
      </c>
      <c r="H290" s="444">
        <v>0</v>
      </c>
      <c r="I290" s="444">
        <v>0</v>
      </c>
      <c r="J290" s="444">
        <v>0</v>
      </c>
      <c r="K290" s="444">
        <v>0</v>
      </c>
      <c r="L290" s="444">
        <v>0</v>
      </c>
      <c r="M290" s="444">
        <v>0</v>
      </c>
      <c r="N290" s="444">
        <v>0</v>
      </c>
      <c r="O290" s="444">
        <v>0</v>
      </c>
      <c r="P290" s="444">
        <v>0</v>
      </c>
      <c r="Q290" s="444">
        <v>0</v>
      </c>
      <c r="R290" s="444">
        <v>0</v>
      </c>
      <c r="S290" s="444">
        <v>0</v>
      </c>
      <c r="T290" s="444">
        <v>0</v>
      </c>
    </row>
    <row r="291" spans="1:20">
      <c r="A291" s="868"/>
      <c r="B291" s="728"/>
      <c r="C291" s="728"/>
      <c r="D291" s="728"/>
      <c r="H291" s="444"/>
      <c r="I291" s="444"/>
      <c r="J291" s="444"/>
      <c r="K291" s="444"/>
      <c r="L291" s="444"/>
      <c r="M291" s="444"/>
      <c r="N291" s="444"/>
      <c r="O291" s="444"/>
      <c r="P291" s="444"/>
      <c r="Q291" s="444"/>
      <c r="R291" s="444"/>
      <c r="S291" s="444"/>
      <c r="T291" s="444"/>
    </row>
    <row r="292" spans="1:20">
      <c r="A292" s="868"/>
      <c r="B292" s="728" t="s">
        <v>25</v>
      </c>
      <c r="C292" s="728" t="s">
        <v>16</v>
      </c>
      <c r="D292" s="332" t="s">
        <v>946</v>
      </c>
      <c r="H292" s="444">
        <v>0</v>
      </c>
      <c r="I292" s="444">
        <v>0</v>
      </c>
      <c r="J292" s="444">
        <v>0</v>
      </c>
      <c r="K292" s="444">
        <v>0</v>
      </c>
      <c r="L292" s="444">
        <v>0</v>
      </c>
      <c r="M292" s="444">
        <v>0</v>
      </c>
      <c r="N292" s="444">
        <v>0</v>
      </c>
      <c r="O292" s="444">
        <v>0</v>
      </c>
      <c r="P292" s="444">
        <v>0</v>
      </c>
      <c r="Q292" s="444">
        <v>0</v>
      </c>
      <c r="R292" s="444">
        <v>0</v>
      </c>
      <c r="S292" s="444">
        <v>0</v>
      </c>
      <c r="T292" s="444">
        <v>0</v>
      </c>
    </row>
    <row r="293" spans="1:20">
      <c r="A293" s="868"/>
      <c r="B293" s="728" t="s">
        <v>693</v>
      </c>
      <c r="C293" s="728" t="s">
        <v>463</v>
      </c>
      <c r="D293" s="332" t="s">
        <v>946</v>
      </c>
      <c r="H293" s="444"/>
      <c r="I293" s="444"/>
      <c r="J293" s="444"/>
      <c r="K293" s="444"/>
      <c r="L293" s="444"/>
      <c r="M293" s="444"/>
      <c r="N293" s="444"/>
      <c r="O293" s="444"/>
      <c r="P293" s="444"/>
      <c r="Q293" s="444"/>
      <c r="R293" s="444"/>
      <c r="S293" s="444"/>
      <c r="T293" s="444"/>
    </row>
    <row r="294" spans="1:20">
      <c r="A294" s="868"/>
      <c r="B294" s="332"/>
      <c r="C294" s="332"/>
      <c r="D294" s="332" t="s">
        <v>946</v>
      </c>
      <c r="H294" s="444"/>
      <c r="I294" s="444"/>
      <c r="J294" s="444"/>
      <c r="K294" s="444"/>
      <c r="L294" s="444"/>
      <c r="M294" s="444"/>
      <c r="N294" s="444"/>
      <c r="O294" s="444"/>
      <c r="P294" s="444"/>
      <c r="Q294" s="444"/>
      <c r="R294" s="444"/>
      <c r="S294" s="444"/>
      <c r="T294" s="444"/>
    </row>
    <row r="295" spans="1:20">
      <c r="A295" s="868"/>
      <c r="B295" s="332"/>
      <c r="C295" s="332"/>
      <c r="D295" s="332" t="s">
        <v>946</v>
      </c>
      <c r="H295" s="444"/>
      <c r="I295" s="444"/>
      <c r="J295" s="444"/>
      <c r="K295" s="444"/>
      <c r="L295" s="444"/>
      <c r="M295" s="444"/>
      <c r="N295" s="444"/>
      <c r="O295" s="444"/>
      <c r="P295" s="444"/>
      <c r="Q295" s="444"/>
      <c r="R295" s="444"/>
      <c r="S295" s="444"/>
      <c r="T295" s="444"/>
    </row>
    <row r="296" spans="1:20">
      <c r="A296" s="868"/>
      <c r="B296" s="332"/>
      <c r="C296" s="332" t="s">
        <v>18</v>
      </c>
      <c r="D296" s="332" t="s">
        <v>946</v>
      </c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>
        <v>0</v>
      </c>
    </row>
    <row r="297" spans="1:20">
      <c r="A297" s="868"/>
      <c r="B297" s="332"/>
      <c r="C297" s="332" t="s">
        <v>19</v>
      </c>
      <c r="D297" s="332" t="s">
        <v>946</v>
      </c>
      <c r="H297" s="444">
        <v>0</v>
      </c>
      <c r="I297" s="444">
        <v>0</v>
      </c>
      <c r="J297" s="444">
        <v>0</v>
      </c>
      <c r="K297" s="444">
        <v>0</v>
      </c>
      <c r="L297" s="444">
        <v>0</v>
      </c>
      <c r="M297" s="444">
        <v>0</v>
      </c>
      <c r="N297" s="444">
        <v>0</v>
      </c>
      <c r="O297" s="444">
        <v>0</v>
      </c>
      <c r="P297" s="444">
        <v>0</v>
      </c>
      <c r="Q297" s="444">
        <v>0</v>
      </c>
      <c r="R297" s="444">
        <v>0</v>
      </c>
      <c r="S297" s="444">
        <v>0</v>
      </c>
      <c r="T297" s="444">
        <v>0</v>
      </c>
    </row>
    <row r="298" spans="1:20">
      <c r="A298" s="868"/>
      <c r="B298" s="728"/>
      <c r="C298" s="728" t="s">
        <v>947</v>
      </c>
      <c r="D298" s="332" t="s">
        <v>946</v>
      </c>
      <c r="H298" s="444">
        <v>0</v>
      </c>
      <c r="I298" s="444">
        <v>0</v>
      </c>
      <c r="J298" s="444">
        <v>0</v>
      </c>
      <c r="K298" s="444">
        <v>0</v>
      </c>
      <c r="L298" s="444">
        <v>0</v>
      </c>
      <c r="M298" s="444">
        <v>0</v>
      </c>
      <c r="N298" s="444">
        <v>0</v>
      </c>
      <c r="O298" s="444">
        <v>0</v>
      </c>
      <c r="P298" s="444">
        <v>0</v>
      </c>
      <c r="Q298" s="444">
        <v>0</v>
      </c>
      <c r="R298" s="444">
        <v>0</v>
      </c>
      <c r="S298" s="444">
        <v>0</v>
      </c>
      <c r="T298" s="444">
        <v>0</v>
      </c>
    </row>
    <row r="299" spans="1:20">
      <c r="A299" s="868"/>
      <c r="B299" s="728"/>
      <c r="C299" s="332" t="s">
        <v>20</v>
      </c>
      <c r="D299" s="332" t="s">
        <v>946</v>
      </c>
      <c r="H299" s="444">
        <v>0</v>
      </c>
      <c r="I299" s="444">
        <v>0</v>
      </c>
      <c r="J299" s="444">
        <v>0</v>
      </c>
      <c r="K299" s="444">
        <v>0</v>
      </c>
      <c r="L299" s="444">
        <v>0</v>
      </c>
      <c r="M299" s="444">
        <v>0</v>
      </c>
      <c r="N299" s="444">
        <v>0</v>
      </c>
      <c r="O299" s="444">
        <v>0</v>
      </c>
      <c r="P299" s="444">
        <v>0</v>
      </c>
      <c r="Q299" s="444">
        <v>0</v>
      </c>
      <c r="R299" s="444">
        <v>0</v>
      </c>
      <c r="S299" s="444">
        <v>0</v>
      </c>
      <c r="T299" s="444">
        <v>0</v>
      </c>
    </row>
    <row r="300" spans="1:20">
      <c r="A300" s="868"/>
      <c r="C300" s="332"/>
      <c r="D300" s="332"/>
      <c r="H300" s="444"/>
      <c r="I300" s="444"/>
      <c r="J300" s="444"/>
      <c r="K300" s="444"/>
      <c r="L300" s="444"/>
      <c r="M300" s="444"/>
      <c r="N300" s="444"/>
      <c r="O300" s="444"/>
      <c r="P300" s="444"/>
      <c r="Q300" s="444"/>
      <c r="R300" s="444"/>
      <c r="S300" s="444"/>
      <c r="T300" s="444"/>
    </row>
    <row r="301" spans="1:20">
      <c r="A301" s="868" t="s">
        <v>953</v>
      </c>
      <c r="B301" s="728" t="s">
        <v>962</v>
      </c>
      <c r="C301" s="728" t="s">
        <v>16</v>
      </c>
      <c r="D301" s="332" t="s">
        <v>955</v>
      </c>
      <c r="H301" s="444">
        <v>8253.57</v>
      </c>
      <c r="I301" s="444">
        <v>7330.69</v>
      </c>
      <c r="J301" s="444">
        <v>6918.0099999999993</v>
      </c>
      <c r="K301" s="444">
        <v>6456.15</v>
      </c>
      <c r="L301" s="444">
        <v>6081.61</v>
      </c>
      <c r="M301" s="444">
        <v>6162.07</v>
      </c>
      <c r="N301" s="444">
        <v>5975.6799999999994</v>
      </c>
      <c r="O301" s="444">
        <v>5945.6215399999992</v>
      </c>
      <c r="P301" s="444">
        <v>6093.4415399999989</v>
      </c>
      <c r="Q301" s="444">
        <v>6360.6215399999992</v>
      </c>
      <c r="R301" s="444">
        <v>6673.49154</v>
      </c>
      <c r="S301" s="444">
        <v>7095.6415399999996</v>
      </c>
      <c r="T301" s="444">
        <v>79346.597699999998</v>
      </c>
    </row>
    <row r="302" spans="1:20">
      <c r="A302" s="868" t="s">
        <v>953</v>
      </c>
      <c r="B302" s="332"/>
      <c r="C302" s="728"/>
      <c r="D302" s="332" t="s">
        <v>955</v>
      </c>
      <c r="H302" s="444"/>
      <c r="I302" s="444"/>
      <c r="J302" s="444"/>
      <c r="K302" s="444"/>
      <c r="L302" s="444"/>
      <c r="M302" s="444"/>
      <c r="N302" s="444"/>
      <c r="O302" s="444"/>
      <c r="P302" s="444"/>
      <c r="Q302" s="444"/>
      <c r="R302" s="444"/>
      <c r="S302" s="444"/>
      <c r="T302" s="444"/>
    </row>
    <row r="303" spans="1:20">
      <c r="A303" s="868" t="s">
        <v>953</v>
      </c>
      <c r="B303" s="332"/>
      <c r="C303" s="728" t="s">
        <v>17</v>
      </c>
      <c r="D303" s="332" t="s">
        <v>955</v>
      </c>
      <c r="H303" s="444">
        <v>0</v>
      </c>
      <c r="I303" s="444">
        <v>0</v>
      </c>
      <c r="J303" s="444">
        <v>0</v>
      </c>
      <c r="K303" s="444">
        <v>0</v>
      </c>
      <c r="L303" s="444">
        <v>0</v>
      </c>
      <c r="M303" s="444">
        <v>0</v>
      </c>
      <c r="N303" s="444">
        <v>0</v>
      </c>
      <c r="O303" s="444">
        <v>0</v>
      </c>
      <c r="P303" s="444">
        <v>0</v>
      </c>
      <c r="Q303" s="444">
        <v>0</v>
      </c>
      <c r="R303" s="444">
        <v>0</v>
      </c>
      <c r="S303" s="444">
        <v>0</v>
      </c>
      <c r="T303" s="444">
        <v>0</v>
      </c>
    </row>
    <row r="304" spans="1:20">
      <c r="A304" s="868" t="s">
        <v>953</v>
      </c>
      <c r="B304" s="332"/>
      <c r="C304" s="728"/>
      <c r="D304" s="332" t="s">
        <v>955</v>
      </c>
      <c r="H304" s="444"/>
      <c r="I304" s="444"/>
      <c r="J304" s="444"/>
      <c r="K304" s="444"/>
      <c r="L304" s="444"/>
      <c r="M304" s="444"/>
      <c r="N304" s="444"/>
      <c r="O304" s="444"/>
      <c r="P304" s="444"/>
      <c r="Q304" s="444"/>
      <c r="R304" s="444"/>
      <c r="S304" s="444"/>
      <c r="T304" s="444"/>
    </row>
    <row r="305" spans="1:20">
      <c r="A305" s="868" t="s">
        <v>953</v>
      </c>
      <c r="B305" s="332"/>
      <c r="C305" s="728" t="s">
        <v>18</v>
      </c>
      <c r="D305" s="332" t="s">
        <v>955</v>
      </c>
      <c r="H305" s="445">
        <v>0</v>
      </c>
      <c r="I305" s="445">
        <v>0</v>
      </c>
      <c r="J305" s="445">
        <v>0</v>
      </c>
      <c r="K305" s="445">
        <v>0</v>
      </c>
      <c r="L305" s="445">
        <v>0</v>
      </c>
      <c r="M305" s="445">
        <v>0</v>
      </c>
      <c r="N305" s="445">
        <v>0</v>
      </c>
      <c r="O305" s="445">
        <v>0</v>
      </c>
      <c r="P305" s="445">
        <v>0</v>
      </c>
      <c r="Q305" s="445">
        <v>0</v>
      </c>
      <c r="R305" s="445">
        <v>0</v>
      </c>
      <c r="S305" s="445">
        <v>0</v>
      </c>
      <c r="T305" s="445">
        <v>0</v>
      </c>
    </row>
    <row r="306" spans="1:20">
      <c r="A306" s="868" t="s">
        <v>953</v>
      </c>
      <c r="B306" s="728"/>
      <c r="C306" s="728" t="s">
        <v>19</v>
      </c>
      <c r="D306" s="332" t="s">
        <v>955</v>
      </c>
      <c r="H306" s="444">
        <v>8253.57</v>
      </c>
      <c r="I306" s="444">
        <v>7330.69</v>
      </c>
      <c r="J306" s="444">
        <v>6918.0099999999993</v>
      </c>
      <c r="K306" s="444">
        <v>6456.15</v>
      </c>
      <c r="L306" s="444">
        <v>6081.61</v>
      </c>
      <c r="M306" s="444">
        <v>6162.07</v>
      </c>
      <c r="N306" s="444">
        <v>5975.6799999999994</v>
      </c>
      <c r="O306" s="444">
        <v>5945.6215399999992</v>
      </c>
      <c r="P306" s="444">
        <v>6093.4415399999989</v>
      </c>
      <c r="Q306" s="444">
        <v>6360.6215399999992</v>
      </c>
      <c r="R306" s="444">
        <v>6673.49154</v>
      </c>
      <c r="S306" s="444">
        <v>7095.6415399999996</v>
      </c>
      <c r="T306" s="444">
        <v>79346.597699999998</v>
      </c>
    </row>
    <row r="307" spans="1:20">
      <c r="A307" s="868" t="s">
        <v>953</v>
      </c>
      <c r="B307" s="728"/>
      <c r="C307" s="728" t="s">
        <v>947</v>
      </c>
      <c r="D307" s="332" t="s">
        <v>955</v>
      </c>
      <c r="H307" s="444">
        <v>3</v>
      </c>
      <c r="I307" s="444">
        <v>3</v>
      </c>
      <c r="J307" s="444">
        <v>3</v>
      </c>
      <c r="K307" s="444">
        <v>3</v>
      </c>
      <c r="L307" s="444">
        <v>3</v>
      </c>
      <c r="M307" s="444">
        <v>3</v>
      </c>
      <c r="N307" s="444">
        <v>3</v>
      </c>
      <c r="O307" s="444">
        <v>3</v>
      </c>
      <c r="P307" s="444">
        <v>3</v>
      </c>
      <c r="Q307" s="444">
        <v>3</v>
      </c>
      <c r="R307" s="444">
        <v>3</v>
      </c>
      <c r="S307" s="444">
        <v>3</v>
      </c>
      <c r="T307" s="444">
        <v>3</v>
      </c>
    </row>
    <row r="308" spans="1:20">
      <c r="A308" s="868" t="s">
        <v>953</v>
      </c>
      <c r="B308" s="728"/>
      <c r="C308" s="728" t="s">
        <v>20</v>
      </c>
      <c r="D308" s="332" t="s">
        <v>955</v>
      </c>
      <c r="H308" s="444">
        <v>21370</v>
      </c>
      <c r="I308" s="444">
        <v>15853</v>
      </c>
      <c r="J308" s="444">
        <v>13386</v>
      </c>
      <c r="K308" s="444">
        <v>10625</v>
      </c>
      <c r="L308" s="444">
        <v>8386</v>
      </c>
      <c r="M308" s="444">
        <v>8867</v>
      </c>
      <c r="N308" s="444">
        <v>8426</v>
      </c>
      <c r="O308" s="444">
        <v>8815</v>
      </c>
      <c r="P308" s="444">
        <v>9766</v>
      </c>
      <c r="Q308" s="444">
        <v>11485</v>
      </c>
      <c r="R308" s="444">
        <v>13498</v>
      </c>
      <c r="S308" s="444">
        <v>16214</v>
      </c>
      <c r="T308" s="444">
        <v>146691</v>
      </c>
    </row>
    <row r="309" spans="1:20">
      <c r="A309" s="868" t="s">
        <v>953</v>
      </c>
      <c r="C309" s="332"/>
      <c r="D309" s="332"/>
      <c r="H309" s="444"/>
      <c r="I309" s="444"/>
      <c r="J309" s="444"/>
      <c r="K309" s="444"/>
      <c r="L309" s="444"/>
      <c r="M309" s="444"/>
      <c r="N309" s="444"/>
      <c r="O309" s="444"/>
      <c r="P309" s="444"/>
      <c r="Q309" s="444"/>
      <c r="R309" s="444"/>
      <c r="S309" s="444"/>
      <c r="T309" s="444"/>
    </row>
    <row r="310" spans="1:20">
      <c r="A310" s="868" t="s">
        <v>953</v>
      </c>
      <c r="B310" s="728" t="s">
        <v>963</v>
      </c>
      <c r="C310" s="728" t="s">
        <v>16</v>
      </c>
      <c r="D310" s="332" t="s">
        <v>955</v>
      </c>
      <c r="H310" s="444">
        <v>4745.3999999999996</v>
      </c>
      <c r="I310" s="444">
        <v>3565.2499999999995</v>
      </c>
      <c r="J310" s="444">
        <v>3531.09</v>
      </c>
      <c r="K310" s="444">
        <v>4726.0200000000004</v>
      </c>
      <c r="L310" s="444">
        <v>4512.51</v>
      </c>
      <c r="M310" s="444">
        <v>1180.3</v>
      </c>
      <c r="N310" s="444">
        <v>1521.71</v>
      </c>
      <c r="O310" s="444">
        <v>638.47</v>
      </c>
      <c r="P310" s="444">
        <v>2781.02</v>
      </c>
      <c r="Q310" s="444">
        <v>2877.91</v>
      </c>
      <c r="R310" s="444">
        <v>3407.0499999999997</v>
      </c>
      <c r="S310" s="444">
        <v>3222.91</v>
      </c>
      <c r="T310" s="444">
        <v>36709.64</v>
      </c>
    </row>
    <row r="311" spans="1:20">
      <c r="A311" s="868" t="s">
        <v>953</v>
      </c>
      <c r="B311" s="728" t="s">
        <v>694</v>
      </c>
      <c r="C311" s="728"/>
      <c r="D311" s="332" t="s">
        <v>955</v>
      </c>
      <c r="H311" s="444"/>
      <c r="I311" s="444"/>
      <c r="J311" s="444"/>
      <c r="K311" s="444"/>
      <c r="L311" s="444"/>
      <c r="M311" s="444"/>
      <c r="N311" s="444"/>
      <c r="O311" s="444"/>
      <c r="P311" s="444"/>
      <c r="Q311" s="444"/>
      <c r="R311" s="444"/>
      <c r="S311" s="444"/>
      <c r="T311" s="444"/>
    </row>
    <row r="312" spans="1:20">
      <c r="A312" s="868" t="s">
        <v>953</v>
      </c>
      <c r="B312" s="332"/>
      <c r="C312" s="728" t="s">
        <v>17</v>
      </c>
      <c r="D312" s="332" t="s">
        <v>955</v>
      </c>
      <c r="H312" s="444">
        <v>0</v>
      </c>
      <c r="I312" s="444">
        <v>0</v>
      </c>
      <c r="J312" s="444">
        <v>0</v>
      </c>
      <c r="K312" s="444">
        <v>0</v>
      </c>
      <c r="L312" s="444">
        <v>0</v>
      </c>
      <c r="M312" s="444">
        <v>0</v>
      </c>
      <c r="N312" s="444">
        <v>0</v>
      </c>
      <c r="O312" s="444">
        <v>0</v>
      </c>
      <c r="P312" s="444">
        <v>0</v>
      </c>
      <c r="Q312" s="444">
        <v>0</v>
      </c>
      <c r="R312" s="444">
        <v>0</v>
      </c>
      <c r="S312" s="444">
        <v>0</v>
      </c>
      <c r="T312" s="444">
        <v>0</v>
      </c>
    </row>
    <row r="313" spans="1:20">
      <c r="A313" s="868" t="s">
        <v>953</v>
      </c>
      <c r="B313" s="332"/>
      <c r="C313" s="728"/>
      <c r="D313" s="332" t="s">
        <v>955</v>
      </c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</row>
    <row r="314" spans="1:20">
      <c r="A314" s="868" t="s">
        <v>953</v>
      </c>
      <c r="B314" s="332"/>
      <c r="C314" s="728" t="s">
        <v>18</v>
      </c>
      <c r="D314" s="332" t="s">
        <v>955</v>
      </c>
      <c r="H314" s="445">
        <v>0</v>
      </c>
      <c r="I314" s="445">
        <v>0</v>
      </c>
      <c r="J314" s="445">
        <v>0</v>
      </c>
      <c r="K314" s="445">
        <v>0</v>
      </c>
      <c r="L314" s="445">
        <v>0</v>
      </c>
      <c r="M314" s="445">
        <v>0</v>
      </c>
      <c r="N314" s="445">
        <v>0</v>
      </c>
      <c r="O314" s="445">
        <v>0</v>
      </c>
      <c r="P314" s="445">
        <v>0</v>
      </c>
      <c r="Q314" s="445">
        <v>0</v>
      </c>
      <c r="R314" s="445">
        <v>0</v>
      </c>
      <c r="S314" s="445">
        <v>0</v>
      </c>
      <c r="T314" s="445">
        <v>0</v>
      </c>
    </row>
    <row r="315" spans="1:20">
      <c r="A315" s="868" t="s">
        <v>953</v>
      </c>
      <c r="B315" s="728"/>
      <c r="C315" s="728" t="s">
        <v>19</v>
      </c>
      <c r="D315" s="332" t="s">
        <v>955</v>
      </c>
      <c r="H315" s="444">
        <v>4745.3999999999996</v>
      </c>
      <c r="I315" s="444">
        <v>3565.2499999999995</v>
      </c>
      <c r="J315" s="444">
        <v>3531.09</v>
      </c>
      <c r="K315" s="444">
        <v>4726.0200000000004</v>
      </c>
      <c r="L315" s="444">
        <v>4512.51</v>
      </c>
      <c r="M315" s="444">
        <v>1180.3</v>
      </c>
      <c r="N315" s="444">
        <v>1521.71</v>
      </c>
      <c r="O315" s="444">
        <v>638.47</v>
      </c>
      <c r="P315" s="444">
        <v>2781.02</v>
      </c>
      <c r="Q315" s="444">
        <v>2877.91</v>
      </c>
      <c r="R315" s="444">
        <v>3407.0499999999997</v>
      </c>
      <c r="S315" s="444">
        <v>3222.91</v>
      </c>
      <c r="T315" s="444">
        <v>36709.64</v>
      </c>
    </row>
    <row r="316" spans="1:20">
      <c r="A316" s="868" t="s">
        <v>953</v>
      </c>
      <c r="B316" s="728"/>
      <c r="C316" s="728" t="s">
        <v>947</v>
      </c>
      <c r="D316" s="332" t="s">
        <v>955</v>
      </c>
      <c r="H316" s="444">
        <v>2</v>
      </c>
      <c r="I316" s="444">
        <v>2</v>
      </c>
      <c r="J316" s="444">
        <v>2</v>
      </c>
      <c r="K316" s="444">
        <v>2</v>
      </c>
      <c r="L316" s="444">
        <v>2</v>
      </c>
      <c r="M316" s="444">
        <v>2</v>
      </c>
      <c r="N316" s="444">
        <v>2</v>
      </c>
      <c r="O316" s="444">
        <v>2</v>
      </c>
      <c r="P316" s="444">
        <v>2</v>
      </c>
      <c r="Q316" s="444">
        <v>2</v>
      </c>
      <c r="R316" s="444">
        <v>2</v>
      </c>
      <c r="S316" s="444">
        <v>2</v>
      </c>
      <c r="T316" s="444">
        <v>2</v>
      </c>
    </row>
    <row r="317" spans="1:20">
      <c r="A317" s="868" t="s">
        <v>953</v>
      </c>
      <c r="B317" s="332"/>
      <c r="C317" s="728" t="s">
        <v>20</v>
      </c>
      <c r="D317" s="332" t="s">
        <v>955</v>
      </c>
      <c r="H317" s="444">
        <v>75240</v>
      </c>
      <c r="I317" s="444">
        <v>49575</v>
      </c>
      <c r="J317" s="444">
        <v>51851</v>
      </c>
      <c r="K317" s="444">
        <v>92988</v>
      </c>
      <c r="L317" s="444">
        <v>92566</v>
      </c>
      <c r="M317" s="444">
        <v>13560</v>
      </c>
      <c r="N317" s="444">
        <v>19138</v>
      </c>
      <c r="O317" s="444">
        <v>5105</v>
      </c>
      <c r="P317" s="444">
        <v>39984</v>
      </c>
      <c r="Q317" s="444">
        <v>37529</v>
      </c>
      <c r="R317" s="444">
        <v>48007</v>
      </c>
      <c r="S317" s="444">
        <v>39539</v>
      </c>
      <c r="T317" s="444">
        <v>565082</v>
      </c>
    </row>
    <row r="318" spans="1:20">
      <c r="A318" s="868" t="s">
        <v>953</v>
      </c>
      <c r="B318" s="332"/>
      <c r="C318" s="728"/>
      <c r="D318" s="728"/>
      <c r="H318" s="444"/>
      <c r="I318" s="444"/>
      <c r="J318" s="444"/>
      <c r="K318" s="444"/>
      <c r="L318" s="444"/>
      <c r="M318" s="444"/>
      <c r="N318" s="444"/>
      <c r="O318" s="444"/>
      <c r="P318" s="444"/>
      <c r="Q318" s="444"/>
      <c r="R318" s="444"/>
      <c r="S318" s="444"/>
      <c r="T318" s="444"/>
    </row>
    <row r="319" spans="1:20">
      <c r="A319" s="868"/>
      <c r="B319" s="332" t="s">
        <v>690</v>
      </c>
      <c r="C319" s="332" t="s">
        <v>16</v>
      </c>
      <c r="D319" s="332" t="s">
        <v>946</v>
      </c>
      <c r="H319" s="444">
        <v>-356582.37000000011</v>
      </c>
      <c r="I319" s="444">
        <v>-356633.80000000005</v>
      </c>
      <c r="J319" s="444">
        <v>-356710.97</v>
      </c>
      <c r="K319" s="444">
        <v>-356813.85000000009</v>
      </c>
      <c r="L319" s="444">
        <v>-356891.03</v>
      </c>
      <c r="M319" s="444">
        <v>-343725.79000000004</v>
      </c>
      <c r="N319" s="444">
        <v>-348999.30999999994</v>
      </c>
      <c r="O319" s="444">
        <v>-345048.79000000015</v>
      </c>
      <c r="P319" s="444">
        <v>-340134.15</v>
      </c>
      <c r="Q319" s="444">
        <v>-315164.31000000006</v>
      </c>
      <c r="R319" s="444">
        <v>-283808.41999999993</v>
      </c>
      <c r="S319" s="444">
        <v>-249712.51</v>
      </c>
      <c r="T319" s="444">
        <v>-4010225.3000000007</v>
      </c>
    </row>
    <row r="320" spans="1:20">
      <c r="A320" s="868"/>
      <c r="B320" s="332" t="s">
        <v>114</v>
      </c>
      <c r="C320" s="728" t="s">
        <v>16</v>
      </c>
      <c r="D320" s="728" t="s">
        <v>946</v>
      </c>
      <c r="H320" s="444"/>
      <c r="I320" s="444"/>
      <c r="J320" s="444"/>
      <c r="K320" s="444"/>
      <c r="L320" s="444"/>
      <c r="M320" s="444"/>
      <c r="N320" s="444"/>
      <c r="O320" s="444"/>
      <c r="P320" s="444"/>
      <c r="Q320" s="444"/>
      <c r="R320" s="444"/>
      <c r="S320" s="444"/>
      <c r="T320" s="444">
        <v>0</v>
      </c>
    </row>
    <row r="321" spans="1:21">
      <c r="A321" s="868"/>
      <c r="B321" s="332" t="s">
        <v>545</v>
      </c>
      <c r="C321" s="332"/>
      <c r="D321" s="332"/>
      <c r="H321" s="444"/>
      <c r="I321" s="444"/>
      <c r="J321" s="444"/>
      <c r="K321" s="444"/>
      <c r="L321" s="444"/>
      <c r="M321" s="444"/>
      <c r="N321" s="444"/>
      <c r="O321" s="444"/>
      <c r="P321" s="444"/>
      <c r="Q321" s="444"/>
      <c r="R321" s="444"/>
      <c r="S321" s="444"/>
      <c r="T321" s="444"/>
    </row>
    <row r="322" spans="1:21">
      <c r="A322" s="868"/>
      <c r="B322" s="332"/>
      <c r="C322" s="332" t="s">
        <v>16</v>
      </c>
      <c r="D322" s="332"/>
      <c r="H322" s="444">
        <v>1754616.9300000002</v>
      </c>
      <c r="I322" s="444">
        <v>1638496.22</v>
      </c>
      <c r="J322" s="444">
        <v>1383130.34</v>
      </c>
      <c r="K322" s="444">
        <v>1119416.05</v>
      </c>
      <c r="L322" s="444">
        <v>875807.7799999998</v>
      </c>
      <c r="M322" s="444">
        <v>628571.47000000009</v>
      </c>
      <c r="N322" s="444">
        <v>610956.38</v>
      </c>
      <c r="O322" s="444">
        <v>513579.38000000012</v>
      </c>
      <c r="P322" s="444">
        <v>650917.25</v>
      </c>
      <c r="Q322" s="444">
        <v>882796.22</v>
      </c>
      <c r="R322" s="444">
        <v>1210382.2899999998</v>
      </c>
      <c r="S322" s="444">
        <v>1605923.87</v>
      </c>
      <c r="T322" s="444">
        <v>12874594.18</v>
      </c>
      <c r="U322" s="95"/>
    </row>
    <row r="323" spans="1:21">
      <c r="A323" s="868"/>
      <c r="B323" s="332"/>
      <c r="C323" s="332" t="s">
        <v>17</v>
      </c>
      <c r="D323" s="332"/>
      <c r="H323" s="444">
        <v>3383.5</v>
      </c>
      <c r="I323" s="444">
        <v>3231.67</v>
      </c>
      <c r="J323" s="444">
        <v>2823.32</v>
      </c>
      <c r="K323" s="444">
        <v>2123.1999999999998</v>
      </c>
      <c r="L323" s="444">
        <v>1804.0300000000002</v>
      </c>
      <c r="M323" s="444">
        <v>1621.35</v>
      </c>
      <c r="N323" s="444">
        <v>1902.78</v>
      </c>
      <c r="O323" s="444">
        <v>1250.1699999999998</v>
      </c>
      <c r="P323" s="444">
        <v>1267.3200000000002</v>
      </c>
      <c r="Q323" s="444">
        <v>1597.1399999999999</v>
      </c>
      <c r="R323" s="444">
        <v>2880.17</v>
      </c>
      <c r="S323" s="444">
        <v>3133.0999999999995</v>
      </c>
      <c r="T323" s="444">
        <v>27017.749999999993</v>
      </c>
      <c r="U323" s="95"/>
    </row>
    <row r="324" spans="1:21">
      <c r="A324" s="868"/>
      <c r="B324" s="332"/>
      <c r="C324" s="728" t="s">
        <v>548</v>
      </c>
      <c r="D324" s="728"/>
      <c r="H324" s="444">
        <v>12998.97</v>
      </c>
      <c r="I324" s="444">
        <v>10895.939999999999</v>
      </c>
      <c r="J324" s="444">
        <v>10449.099999999999</v>
      </c>
      <c r="K324" s="444">
        <v>11182.17</v>
      </c>
      <c r="L324" s="444">
        <v>10594.119999999999</v>
      </c>
      <c r="M324" s="444">
        <v>7342.37</v>
      </c>
      <c r="N324" s="444">
        <v>7497.3899999999994</v>
      </c>
      <c r="O324" s="444">
        <v>6584.0915399999994</v>
      </c>
      <c r="P324" s="444">
        <v>8874.4615399999984</v>
      </c>
      <c r="Q324" s="444">
        <v>9238.5315399999999</v>
      </c>
      <c r="R324" s="444">
        <v>10080.54154</v>
      </c>
      <c r="S324" s="444">
        <v>10318.55154</v>
      </c>
      <c r="T324" s="444">
        <v>116056.2377</v>
      </c>
    </row>
    <row r="325" spans="1:21">
      <c r="A325" s="868"/>
      <c r="B325" s="332"/>
      <c r="C325" s="332" t="s">
        <v>18</v>
      </c>
      <c r="D325" s="332"/>
      <c r="H325" s="445">
        <v>2832536.19</v>
      </c>
      <c r="I325" s="445">
        <v>2566252.36</v>
      </c>
      <c r="J325" s="445">
        <v>2143950.1</v>
      </c>
      <c r="K325" s="445">
        <v>1553356.0999999999</v>
      </c>
      <c r="L325" s="445">
        <v>1041841.8099999999</v>
      </c>
      <c r="M325" s="445">
        <v>588006.82999999996</v>
      </c>
      <c r="N325" s="445">
        <v>378852.38</v>
      </c>
      <c r="O325" s="445">
        <v>353814.63999999996</v>
      </c>
      <c r="P325" s="445">
        <v>481153.4599999999</v>
      </c>
      <c r="Q325" s="445">
        <v>1081879.72</v>
      </c>
      <c r="R325" s="445">
        <v>1880943.0199999998</v>
      </c>
      <c r="S325" s="445">
        <v>2707928.7499999995</v>
      </c>
      <c r="T325" s="445">
        <v>17610515.359999999</v>
      </c>
    </row>
    <row r="326" spans="1:21">
      <c r="A326" s="868"/>
      <c r="B326" s="332"/>
      <c r="C326" s="332" t="s">
        <v>27</v>
      </c>
      <c r="D326" s="332"/>
      <c r="H326" s="444">
        <v>4603535.59</v>
      </c>
      <c r="I326" s="444">
        <v>4218876.1899999995</v>
      </c>
      <c r="J326" s="444">
        <v>3540352.8600000003</v>
      </c>
      <c r="K326" s="444">
        <v>2686077.5199999996</v>
      </c>
      <c r="L326" s="444">
        <v>1930047.7399999998</v>
      </c>
      <c r="M326" s="444">
        <v>1225542.02</v>
      </c>
      <c r="N326" s="444">
        <v>999208.93</v>
      </c>
      <c r="O326" s="444">
        <v>875228.28154000011</v>
      </c>
      <c r="P326" s="444">
        <v>1142212.4915399998</v>
      </c>
      <c r="Q326" s="444">
        <v>1975511.61154</v>
      </c>
      <c r="R326" s="444">
        <v>3104286.0215399992</v>
      </c>
      <c r="S326" s="444">
        <v>4327304.2715399992</v>
      </c>
      <c r="T326" s="444">
        <v>30628183.5277</v>
      </c>
    </row>
    <row r="327" spans="1:21">
      <c r="A327" s="868"/>
      <c r="B327" s="728"/>
      <c r="C327" s="728" t="s">
        <v>947</v>
      </c>
      <c r="D327" s="728"/>
      <c r="H327" s="1195">
        <v>27761</v>
      </c>
      <c r="I327" s="1195">
        <v>27765</v>
      </c>
      <c r="J327" s="1195">
        <v>27771</v>
      </c>
      <c r="K327" s="1195">
        <v>27779</v>
      </c>
      <c r="L327" s="1195">
        <v>27785</v>
      </c>
      <c r="M327" s="1195">
        <v>27795</v>
      </c>
      <c r="N327" s="1195">
        <v>27788</v>
      </c>
      <c r="O327" s="1195">
        <v>27786</v>
      </c>
      <c r="P327" s="1195">
        <v>27796</v>
      </c>
      <c r="Q327" s="1195">
        <v>27821</v>
      </c>
      <c r="R327" s="1195">
        <v>27849</v>
      </c>
      <c r="S327" s="1195">
        <v>27863</v>
      </c>
      <c r="T327" s="444">
        <v>27796.583333333332</v>
      </c>
    </row>
    <row r="328" spans="1:21">
      <c r="A328" s="868"/>
      <c r="B328" s="332"/>
      <c r="C328" s="332" t="s">
        <v>59</v>
      </c>
      <c r="D328" s="332"/>
      <c r="H328" s="1195">
        <v>628440</v>
      </c>
      <c r="I328" s="1195">
        <v>569361</v>
      </c>
      <c r="J328" s="1195">
        <v>475667</v>
      </c>
      <c r="K328" s="1195">
        <v>344635</v>
      </c>
      <c r="L328" s="1195">
        <v>231148</v>
      </c>
      <c r="M328" s="1195">
        <v>130458</v>
      </c>
      <c r="N328" s="1195">
        <v>84054</v>
      </c>
      <c r="O328" s="1195">
        <v>78499</v>
      </c>
      <c r="P328" s="1195">
        <v>106751</v>
      </c>
      <c r="Q328" s="1195">
        <v>240031</v>
      </c>
      <c r="R328" s="1195">
        <v>417315</v>
      </c>
      <c r="S328" s="1195">
        <v>600794</v>
      </c>
      <c r="T328" s="1195">
        <v>3907153</v>
      </c>
    </row>
    <row r="329" spans="1:21">
      <c r="A329" s="868"/>
      <c r="B329" s="728"/>
      <c r="C329" s="728" t="s">
        <v>60</v>
      </c>
      <c r="D329" s="728"/>
      <c r="H329" s="1196">
        <v>96610</v>
      </c>
      <c r="I329" s="1196">
        <v>65428</v>
      </c>
      <c r="J329" s="1196">
        <v>65237</v>
      </c>
      <c r="K329" s="1196">
        <v>103613</v>
      </c>
      <c r="L329" s="1196">
        <v>100952</v>
      </c>
      <c r="M329" s="1196">
        <v>22427</v>
      </c>
      <c r="N329" s="1196">
        <v>27564</v>
      </c>
      <c r="O329" s="1196">
        <v>13920</v>
      </c>
      <c r="P329" s="1196">
        <v>49750</v>
      </c>
      <c r="Q329" s="1196">
        <v>49014</v>
      </c>
      <c r="R329" s="1196">
        <v>61505</v>
      </c>
      <c r="S329" s="1196">
        <v>55753</v>
      </c>
      <c r="T329" s="1196">
        <v>711773</v>
      </c>
    </row>
    <row r="330" spans="1:21">
      <c r="A330" s="873"/>
      <c r="B330" s="728"/>
      <c r="C330" s="728" t="s">
        <v>28</v>
      </c>
      <c r="D330" s="728"/>
      <c r="H330" s="1195">
        <v>725050</v>
      </c>
      <c r="I330" s="1195">
        <v>634789</v>
      </c>
      <c r="J330" s="1195">
        <v>540904</v>
      </c>
      <c r="K330" s="1195">
        <v>448248</v>
      </c>
      <c r="L330" s="1195">
        <v>332100</v>
      </c>
      <c r="M330" s="1195">
        <v>152885</v>
      </c>
      <c r="N330" s="1195">
        <v>111618</v>
      </c>
      <c r="O330" s="1195">
        <v>92419</v>
      </c>
      <c r="P330" s="1195">
        <v>156501</v>
      </c>
      <c r="Q330" s="1195">
        <v>289045</v>
      </c>
      <c r="R330" s="1195">
        <v>478820</v>
      </c>
      <c r="S330" s="1195">
        <v>656547</v>
      </c>
      <c r="T330" s="1195">
        <v>4618926</v>
      </c>
      <c r="U330" s="95">
        <f>+T330-Z61</f>
        <v>0</v>
      </c>
    </row>
    <row r="331" spans="1:21">
      <c r="A331" s="382"/>
      <c r="B331" s="728"/>
      <c r="C331" s="728"/>
      <c r="D331" s="728"/>
      <c r="H331" s="1195"/>
      <c r="I331" s="1195"/>
      <c r="J331" s="1195"/>
      <c r="K331" s="1195"/>
      <c r="L331" s="1195"/>
      <c r="M331" s="1195"/>
      <c r="N331" s="1195"/>
      <c r="O331" s="1195"/>
      <c r="P331" s="1195"/>
      <c r="Q331" s="1195"/>
      <c r="R331" s="1195"/>
      <c r="S331" s="1195"/>
      <c r="T331" s="1195"/>
    </row>
    <row r="332" spans="1:21">
      <c r="A332" s="382"/>
      <c r="B332" s="728"/>
      <c r="D332" s="332"/>
      <c r="H332" s="1195"/>
      <c r="I332" s="1195"/>
      <c r="J332" s="1195"/>
      <c r="K332" s="1195"/>
      <c r="L332" s="1195"/>
      <c r="M332" s="1195"/>
      <c r="N332" s="1195"/>
      <c r="O332" s="1195"/>
      <c r="P332" s="1195"/>
      <c r="Q332" s="1195"/>
      <c r="R332" s="1195"/>
      <c r="S332" s="1195"/>
      <c r="T332" s="1195"/>
    </row>
    <row r="333" spans="1:21">
      <c r="A333" s="382" t="s">
        <v>29</v>
      </c>
      <c r="B333" s="728" t="s">
        <v>89</v>
      </c>
      <c r="C333" s="728" t="s">
        <v>16</v>
      </c>
      <c r="D333" s="332" t="s">
        <v>946</v>
      </c>
      <c r="H333" s="444"/>
      <c r="I333" s="444"/>
      <c r="J333" s="444"/>
      <c r="K333" s="444"/>
      <c r="L333" s="444"/>
      <c r="M333" s="444"/>
      <c r="N333" s="444"/>
      <c r="O333" s="444"/>
      <c r="P333" s="444"/>
      <c r="Q333" s="444"/>
      <c r="R333" s="444"/>
      <c r="S333" s="444"/>
      <c r="T333" s="444">
        <v>0</v>
      </c>
    </row>
    <row r="334" spans="1:21">
      <c r="A334" s="382"/>
      <c r="B334" s="728"/>
      <c r="C334" s="728"/>
      <c r="D334" s="332" t="s">
        <v>946</v>
      </c>
      <c r="H334" s="444"/>
      <c r="I334" s="444"/>
      <c r="J334" s="444"/>
      <c r="K334" s="444"/>
      <c r="L334" s="444"/>
      <c r="M334" s="444"/>
      <c r="N334" s="444"/>
      <c r="O334" s="444"/>
      <c r="P334" s="444"/>
      <c r="Q334" s="444"/>
      <c r="R334" s="444"/>
      <c r="S334" s="444"/>
      <c r="T334" s="444"/>
    </row>
    <row r="335" spans="1:21">
      <c r="A335" s="382"/>
      <c r="B335" s="728"/>
      <c r="C335" s="728" t="s">
        <v>17</v>
      </c>
      <c r="D335" s="332" t="s">
        <v>946</v>
      </c>
      <c r="H335" s="444"/>
      <c r="I335" s="444"/>
      <c r="J335" s="444"/>
      <c r="K335" s="444"/>
      <c r="L335" s="444"/>
      <c r="M335" s="444"/>
      <c r="N335" s="444"/>
      <c r="O335" s="444"/>
      <c r="P335" s="444"/>
      <c r="Q335" s="444"/>
      <c r="R335" s="444"/>
      <c r="S335" s="444"/>
      <c r="T335" s="444"/>
    </row>
    <row r="336" spans="1:21">
      <c r="B336" s="728"/>
      <c r="C336" s="728"/>
      <c r="D336" s="332" t="s">
        <v>946</v>
      </c>
      <c r="H336" s="444"/>
      <c r="I336" s="444"/>
      <c r="J336" s="444"/>
      <c r="K336" s="444"/>
      <c r="L336" s="444"/>
      <c r="M336" s="444"/>
      <c r="N336" s="444"/>
      <c r="O336" s="444"/>
      <c r="P336" s="444"/>
      <c r="Q336" s="444"/>
      <c r="R336" s="444"/>
      <c r="S336" s="444"/>
      <c r="T336" s="444"/>
    </row>
    <row r="337" spans="1:20">
      <c r="A337" s="382"/>
      <c r="B337" s="728"/>
      <c r="C337" s="728" t="s">
        <v>18</v>
      </c>
      <c r="D337" s="332" t="s">
        <v>946</v>
      </c>
      <c r="H337" s="445"/>
      <c r="I337" s="445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/>
      <c r="T337" s="445">
        <v>0</v>
      </c>
    </row>
    <row r="338" spans="1:20">
      <c r="A338" s="382"/>
      <c r="B338" s="332"/>
      <c r="C338" s="728" t="s">
        <v>19</v>
      </c>
      <c r="D338" s="332" t="s">
        <v>946</v>
      </c>
      <c r="H338" s="444"/>
      <c r="I338" s="444"/>
      <c r="J338" s="444"/>
      <c r="K338" s="444"/>
      <c r="L338" s="444"/>
      <c r="M338" s="444"/>
      <c r="N338" s="444"/>
      <c r="O338" s="444"/>
      <c r="P338" s="444"/>
      <c r="Q338" s="444"/>
      <c r="R338" s="444"/>
      <c r="S338" s="444"/>
      <c r="T338" s="444">
        <v>0</v>
      </c>
    </row>
    <row r="339" spans="1:20">
      <c r="A339" s="382"/>
      <c r="B339" s="728"/>
      <c r="C339" s="728" t="s">
        <v>947</v>
      </c>
      <c r="D339" s="332" t="s">
        <v>946</v>
      </c>
      <c r="H339" s="444">
        <v>0</v>
      </c>
      <c r="I339" s="444">
        <v>0</v>
      </c>
      <c r="J339" s="444">
        <v>0</v>
      </c>
      <c r="K339" s="444">
        <v>0</v>
      </c>
      <c r="L339" s="444">
        <v>0</v>
      </c>
      <c r="M339" s="444">
        <v>0</v>
      </c>
      <c r="N339" s="444">
        <v>0</v>
      </c>
      <c r="O339" s="444">
        <v>0</v>
      </c>
      <c r="P339" s="444">
        <v>0</v>
      </c>
      <c r="Q339" s="444">
        <v>0</v>
      </c>
      <c r="R339" s="444">
        <v>0</v>
      </c>
      <c r="S339" s="444">
        <v>0</v>
      </c>
      <c r="T339" s="444">
        <v>0</v>
      </c>
    </row>
    <row r="340" spans="1:20">
      <c r="A340" s="382"/>
      <c r="B340" s="728"/>
      <c r="C340" s="728" t="s">
        <v>20</v>
      </c>
      <c r="D340" s="332" t="s">
        <v>946</v>
      </c>
      <c r="H340" s="444"/>
      <c r="I340" s="444"/>
      <c r="J340" s="444"/>
      <c r="K340" s="444"/>
      <c r="L340" s="444"/>
      <c r="M340" s="444"/>
      <c r="N340" s="444"/>
      <c r="O340" s="444"/>
      <c r="P340" s="444"/>
      <c r="Q340" s="444"/>
      <c r="R340" s="444"/>
      <c r="S340" s="444"/>
      <c r="T340" s="444">
        <v>0</v>
      </c>
    </row>
    <row r="341" spans="1:20">
      <c r="A341" s="382"/>
      <c r="B341" s="728"/>
      <c r="C341" s="728"/>
      <c r="D341" s="728"/>
      <c r="H341" s="444"/>
      <c r="I341" s="444"/>
      <c r="J341" s="444"/>
      <c r="K341" s="444"/>
      <c r="L341" s="444"/>
      <c r="M341" s="444"/>
      <c r="N341" s="444"/>
      <c r="O341" s="444"/>
      <c r="P341" s="444"/>
      <c r="Q341" s="444"/>
      <c r="R341" s="444"/>
      <c r="S341" s="444"/>
      <c r="T341" s="444"/>
    </row>
    <row r="342" spans="1:20">
      <c r="A342" s="382"/>
      <c r="B342" s="728"/>
      <c r="C342" s="728" t="s">
        <v>16</v>
      </c>
      <c r="D342" s="728" t="s">
        <v>955</v>
      </c>
      <c r="H342" s="444"/>
      <c r="I342" s="444"/>
      <c r="J342" s="444"/>
      <c r="K342" s="444"/>
      <c r="L342" s="444"/>
      <c r="M342" s="444"/>
      <c r="N342" s="444"/>
      <c r="O342" s="444"/>
      <c r="P342" s="444"/>
      <c r="Q342" s="444"/>
      <c r="R342" s="444"/>
      <c r="S342" s="444"/>
      <c r="T342" s="444">
        <v>0</v>
      </c>
    </row>
    <row r="343" spans="1:20">
      <c r="A343" s="382"/>
      <c r="B343" s="728" t="s">
        <v>25</v>
      </c>
      <c r="C343" s="728"/>
      <c r="D343" s="728" t="s">
        <v>955</v>
      </c>
      <c r="H343" s="444"/>
      <c r="I343" s="444"/>
      <c r="J343" s="444"/>
      <c r="K343" s="444"/>
      <c r="L343" s="444"/>
      <c r="M343" s="444"/>
      <c r="N343" s="444"/>
      <c r="O343" s="444"/>
      <c r="P343" s="444"/>
      <c r="Q343" s="444"/>
      <c r="R343" s="444"/>
      <c r="S343" s="444"/>
      <c r="T343" s="444"/>
    </row>
    <row r="344" spans="1:20">
      <c r="A344" s="382"/>
      <c r="B344" s="728"/>
      <c r="C344" s="728" t="s">
        <v>17</v>
      </c>
      <c r="D344" s="728" t="s">
        <v>955</v>
      </c>
      <c r="H344" s="444"/>
      <c r="I344" s="444"/>
      <c r="J344" s="444"/>
      <c r="K344" s="444"/>
      <c r="L344" s="444"/>
      <c r="M344" s="444"/>
      <c r="N344" s="444"/>
      <c r="O344" s="444"/>
      <c r="P344" s="444"/>
      <c r="Q344" s="444"/>
      <c r="R344" s="444"/>
      <c r="S344" s="444"/>
      <c r="T344" s="444"/>
    </row>
    <row r="345" spans="1:20">
      <c r="A345" s="382"/>
      <c r="B345" s="728"/>
      <c r="C345" s="728"/>
      <c r="D345" s="728" t="s">
        <v>955</v>
      </c>
      <c r="H345" s="444"/>
      <c r="I345" s="444"/>
      <c r="J345" s="444"/>
      <c r="K345" s="444"/>
      <c r="L345" s="444"/>
      <c r="M345" s="444"/>
      <c r="N345" s="444"/>
      <c r="O345" s="444"/>
      <c r="P345" s="444"/>
      <c r="Q345" s="444"/>
      <c r="R345" s="444"/>
      <c r="S345" s="444"/>
      <c r="T345" s="444"/>
    </row>
    <row r="346" spans="1:20">
      <c r="A346" s="382"/>
      <c r="B346" s="728"/>
      <c r="C346" s="728" t="s">
        <v>18</v>
      </c>
      <c r="D346" s="728" t="s">
        <v>955</v>
      </c>
      <c r="H346" s="445"/>
      <c r="I346" s="445"/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>
        <v>0</v>
      </c>
    </row>
    <row r="347" spans="1:20">
      <c r="A347" s="382"/>
      <c r="B347" s="332"/>
      <c r="C347" s="728" t="s">
        <v>19</v>
      </c>
      <c r="D347" s="728" t="s">
        <v>955</v>
      </c>
      <c r="H347" s="444"/>
      <c r="I347" s="444"/>
      <c r="J347" s="444"/>
      <c r="K347" s="444"/>
      <c r="L347" s="444"/>
      <c r="M347" s="444"/>
      <c r="N347" s="444"/>
      <c r="O347" s="444"/>
      <c r="P347" s="444"/>
      <c r="Q347" s="444"/>
      <c r="R347" s="444"/>
      <c r="S347" s="444"/>
      <c r="T347" s="444">
        <v>0</v>
      </c>
    </row>
    <row r="348" spans="1:20">
      <c r="A348" s="382"/>
      <c r="B348" s="332"/>
      <c r="C348" s="728" t="s">
        <v>947</v>
      </c>
      <c r="D348" s="728" t="s">
        <v>955</v>
      </c>
      <c r="H348" s="444">
        <v>0</v>
      </c>
      <c r="I348" s="444">
        <v>0</v>
      </c>
      <c r="J348" s="444">
        <v>0</v>
      </c>
      <c r="K348" s="444">
        <v>0</v>
      </c>
      <c r="L348" s="444">
        <v>0</v>
      </c>
      <c r="M348" s="444">
        <v>0</v>
      </c>
      <c r="N348" s="444">
        <v>0</v>
      </c>
      <c r="O348" s="444">
        <v>0</v>
      </c>
      <c r="P348" s="444">
        <v>0</v>
      </c>
      <c r="Q348" s="444">
        <v>0</v>
      </c>
      <c r="R348" s="444">
        <v>0</v>
      </c>
      <c r="S348" s="444">
        <v>0</v>
      </c>
      <c r="T348" s="444">
        <v>0</v>
      </c>
    </row>
    <row r="349" spans="1:20">
      <c r="A349" s="382"/>
      <c r="B349" s="332"/>
      <c r="C349" s="728" t="s">
        <v>20</v>
      </c>
      <c r="D349" s="728" t="s">
        <v>955</v>
      </c>
      <c r="H349" s="444"/>
      <c r="I349" s="444"/>
      <c r="J349" s="444"/>
      <c r="K349" s="444"/>
      <c r="L349" s="444"/>
      <c r="M349" s="444"/>
      <c r="N349" s="444"/>
      <c r="O349" s="444"/>
      <c r="P349" s="444"/>
      <c r="Q349" s="444"/>
      <c r="R349" s="444"/>
      <c r="S349" s="444"/>
      <c r="T349" s="444">
        <v>0</v>
      </c>
    </row>
    <row r="350" spans="1:20">
      <c r="A350" s="382"/>
      <c r="B350" s="332"/>
      <c r="C350" s="332"/>
      <c r="D350" s="332"/>
      <c r="H350" s="1195"/>
      <c r="I350" s="1195"/>
      <c r="J350" s="1195"/>
      <c r="K350" s="1195"/>
      <c r="L350" s="1195"/>
      <c r="M350" s="1195"/>
      <c r="N350" s="1195"/>
      <c r="O350" s="1195"/>
      <c r="P350" s="1195"/>
      <c r="Q350" s="1195"/>
      <c r="R350" s="1195"/>
      <c r="S350" s="1195"/>
      <c r="T350" s="1195"/>
    </row>
    <row r="351" spans="1:20">
      <c r="A351" s="382"/>
      <c r="B351" s="332" t="s">
        <v>547</v>
      </c>
      <c r="C351" s="332"/>
      <c r="D351" s="332"/>
      <c r="H351" s="1195"/>
      <c r="I351" s="1195"/>
      <c r="J351" s="1195"/>
      <c r="K351" s="1195"/>
      <c r="L351" s="1195"/>
      <c r="M351" s="1195"/>
      <c r="N351" s="1195"/>
      <c r="O351" s="1195"/>
      <c r="P351" s="1195"/>
      <c r="Q351" s="1195"/>
      <c r="R351" s="1195"/>
      <c r="S351" s="1195"/>
      <c r="T351" s="1195"/>
    </row>
    <row r="352" spans="1:20">
      <c r="A352" s="382"/>
      <c r="C352" s="332" t="s">
        <v>16</v>
      </c>
      <c r="D352" s="332"/>
      <c r="H352" s="1195"/>
      <c r="I352" s="1195"/>
      <c r="J352" s="1195"/>
      <c r="K352" s="1195"/>
      <c r="L352" s="1195"/>
      <c r="M352" s="1195"/>
      <c r="N352" s="1195"/>
      <c r="O352" s="1195"/>
      <c r="P352" s="1195"/>
      <c r="Q352" s="1195"/>
      <c r="R352" s="1195"/>
      <c r="S352" s="1195"/>
      <c r="T352" s="1195">
        <v>0</v>
      </c>
    </row>
    <row r="353" spans="1:21">
      <c r="A353" s="382"/>
      <c r="B353" s="728"/>
      <c r="C353" s="728" t="s">
        <v>18</v>
      </c>
      <c r="D353" s="728"/>
      <c r="H353" s="1195"/>
      <c r="I353" s="1195"/>
      <c r="J353" s="1195"/>
      <c r="K353" s="1195"/>
      <c r="L353" s="1195"/>
      <c r="M353" s="1195"/>
      <c r="N353" s="1195"/>
      <c r="O353" s="1195"/>
      <c r="P353" s="1195"/>
      <c r="Q353" s="1195"/>
      <c r="R353" s="1195"/>
      <c r="S353" s="1195"/>
      <c r="T353" s="1195">
        <v>0</v>
      </c>
    </row>
    <row r="354" spans="1:21">
      <c r="A354" s="382"/>
      <c r="B354" s="728"/>
      <c r="C354" s="332" t="s">
        <v>30</v>
      </c>
      <c r="D354" s="332"/>
      <c r="H354" s="1195"/>
      <c r="I354" s="1195"/>
      <c r="J354" s="1195"/>
      <c r="K354" s="1195"/>
      <c r="L354" s="1195"/>
      <c r="M354" s="1195"/>
      <c r="N354" s="1195"/>
      <c r="O354" s="1195"/>
      <c r="P354" s="1195"/>
      <c r="Q354" s="1195"/>
      <c r="R354" s="1195"/>
      <c r="S354" s="1195"/>
      <c r="T354" s="1195">
        <v>0</v>
      </c>
    </row>
    <row r="355" spans="1:21">
      <c r="A355" s="382"/>
      <c r="B355" s="728"/>
      <c r="C355" s="728" t="s">
        <v>947</v>
      </c>
      <c r="D355" s="332"/>
      <c r="H355" s="1195">
        <v>0</v>
      </c>
      <c r="I355" s="1195">
        <v>0</v>
      </c>
      <c r="J355" s="1195">
        <v>0</v>
      </c>
      <c r="K355" s="1195">
        <v>0</v>
      </c>
      <c r="L355" s="1195">
        <v>0</v>
      </c>
      <c r="M355" s="1195">
        <v>0</v>
      </c>
      <c r="N355" s="1195">
        <v>0</v>
      </c>
      <c r="O355" s="1195">
        <v>0</v>
      </c>
      <c r="P355" s="1195">
        <v>0</v>
      </c>
      <c r="Q355" s="1195">
        <v>0</v>
      </c>
      <c r="R355" s="1195">
        <v>0</v>
      </c>
      <c r="S355" s="1195">
        <v>0</v>
      </c>
      <c r="T355" s="444">
        <v>0</v>
      </c>
    </row>
    <row r="356" spans="1:21">
      <c r="A356" s="382"/>
      <c r="B356" s="332"/>
      <c r="C356" s="332" t="s">
        <v>59</v>
      </c>
      <c r="D356" s="332"/>
      <c r="H356" s="1195"/>
      <c r="I356" s="1195"/>
      <c r="J356" s="1195"/>
      <c r="K356" s="1195"/>
      <c r="L356" s="1195"/>
      <c r="M356" s="1195"/>
      <c r="N356" s="1195"/>
      <c r="O356" s="1195"/>
      <c r="P356" s="1195"/>
      <c r="Q356" s="1195"/>
      <c r="R356" s="1195"/>
      <c r="S356" s="1195"/>
      <c r="T356" s="1195">
        <v>0</v>
      </c>
    </row>
    <row r="357" spans="1:21">
      <c r="A357" s="868"/>
      <c r="B357" s="332"/>
      <c r="C357" s="728" t="s">
        <v>60</v>
      </c>
      <c r="D357" s="728"/>
      <c r="H357" s="1195"/>
      <c r="I357" s="1195"/>
      <c r="J357" s="1195"/>
      <c r="K357" s="1195"/>
      <c r="L357" s="1195"/>
      <c r="M357" s="1195"/>
      <c r="N357" s="1195"/>
      <c r="O357" s="1195"/>
      <c r="P357" s="1195"/>
      <c r="Q357" s="1195"/>
      <c r="R357" s="1195"/>
      <c r="S357" s="1195"/>
      <c r="T357" s="1195">
        <v>0</v>
      </c>
    </row>
    <row r="358" spans="1:21">
      <c r="A358" s="382"/>
      <c r="B358" s="332"/>
      <c r="C358" s="728" t="s">
        <v>31</v>
      </c>
      <c r="D358" s="728"/>
      <c r="H358" s="1195"/>
      <c r="I358" s="1195"/>
      <c r="J358" s="1195"/>
      <c r="K358" s="1195"/>
      <c r="L358" s="1195"/>
      <c r="M358" s="1195"/>
      <c r="N358" s="1195"/>
      <c r="O358" s="1195"/>
      <c r="P358" s="1195"/>
      <c r="Q358" s="1195"/>
      <c r="R358" s="1195"/>
      <c r="S358" s="1195"/>
      <c r="T358" s="1195">
        <v>0</v>
      </c>
    </row>
    <row r="359" spans="1:21">
      <c r="A359" s="382"/>
      <c r="B359" s="332"/>
      <c r="C359" s="728"/>
      <c r="D359" s="728"/>
      <c r="H359" s="1195"/>
      <c r="I359" s="1195"/>
      <c r="J359" s="1195"/>
      <c r="K359" s="1195"/>
      <c r="L359" s="1195"/>
      <c r="M359" s="1195"/>
      <c r="N359" s="1195"/>
      <c r="O359" s="1195"/>
      <c r="P359" s="1195"/>
      <c r="Q359" s="1195"/>
      <c r="R359" s="1195"/>
      <c r="S359" s="1195"/>
      <c r="T359" s="1195"/>
    </row>
    <row r="360" spans="1:21">
      <c r="A360" s="873"/>
      <c r="B360" s="332"/>
      <c r="C360" s="728"/>
      <c r="D360" s="728"/>
      <c r="H360" s="1195"/>
      <c r="I360" s="1195"/>
      <c r="J360" s="1195"/>
      <c r="K360" s="1195"/>
      <c r="L360" s="1195"/>
      <c r="M360" s="1195"/>
      <c r="N360" s="1195"/>
      <c r="O360" s="1195"/>
      <c r="P360" s="1195"/>
      <c r="Q360" s="1195"/>
      <c r="R360" s="1195"/>
      <c r="S360" s="1195"/>
      <c r="T360" s="1195"/>
    </row>
    <row r="361" spans="1:21">
      <c r="A361" s="382"/>
      <c r="B361" s="332"/>
      <c r="C361" s="728"/>
      <c r="D361" s="728"/>
      <c r="H361" s="1195"/>
      <c r="I361" s="1195"/>
      <c r="J361" s="1195"/>
      <c r="K361" s="1195"/>
      <c r="L361" s="1195"/>
      <c r="M361" s="1195"/>
      <c r="N361" s="1195"/>
      <c r="O361" s="1195"/>
      <c r="P361" s="1195"/>
      <c r="Q361" s="1195"/>
      <c r="R361" s="1195"/>
      <c r="S361" s="1195"/>
      <c r="T361" s="1195"/>
    </row>
    <row r="362" spans="1:21">
      <c r="A362" s="382"/>
      <c r="B362" s="332" t="s">
        <v>659</v>
      </c>
      <c r="C362" s="728" t="s">
        <v>16</v>
      </c>
      <c r="D362" s="728"/>
      <c r="H362" s="1195">
        <v>59322669.023172878</v>
      </c>
      <c r="I362" s="1195">
        <v>49868814.62832956</v>
      </c>
      <c r="J362" s="1195">
        <v>40679211.532859877</v>
      </c>
      <c r="K362" s="1195">
        <v>26303292.006540466</v>
      </c>
      <c r="L362" s="1195">
        <v>18320911.457472935</v>
      </c>
      <c r="M362" s="1195">
        <v>15302271.090431582</v>
      </c>
      <c r="N362" s="1195">
        <v>14946518.323668027</v>
      </c>
      <c r="O362" s="1195">
        <v>14606086.44418948</v>
      </c>
      <c r="P362" s="1195">
        <v>16469724.529051451</v>
      </c>
      <c r="Q362" s="1195">
        <v>21203376.618559193</v>
      </c>
      <c r="R362" s="1195">
        <v>36658942.802169576</v>
      </c>
      <c r="S362" s="1195">
        <v>50272891.020641327</v>
      </c>
      <c r="T362" s="1195">
        <v>363954709.47708631</v>
      </c>
    </row>
    <row r="363" spans="1:21">
      <c r="A363" s="382"/>
      <c r="B363" s="332"/>
      <c r="C363" s="332" t="s">
        <v>17</v>
      </c>
      <c r="D363" s="332"/>
      <c r="H363" s="1195">
        <v>25510319.939999998</v>
      </c>
      <c r="I363" s="1195">
        <v>21273286.260000002</v>
      </c>
      <c r="J363" s="1195">
        <v>16669989.479999999</v>
      </c>
      <c r="K363" s="1195">
        <v>5206943.76</v>
      </c>
      <c r="L363" s="1195">
        <v>3194372.0399999996</v>
      </c>
      <c r="M363" s="1195">
        <v>1970097.9400000002</v>
      </c>
      <c r="N363" s="1195">
        <v>1616196.4000000001</v>
      </c>
      <c r="O363" s="1195">
        <v>1495021.16</v>
      </c>
      <c r="P363" s="1195">
        <v>1732394.6</v>
      </c>
      <c r="Q363" s="1195">
        <v>4135167.44</v>
      </c>
      <c r="R363" s="1195">
        <v>15267747.529999999</v>
      </c>
      <c r="S363" s="1195">
        <v>24216923.670000002</v>
      </c>
      <c r="T363" s="1195">
        <v>122288460.22</v>
      </c>
    </row>
    <row r="364" spans="1:21">
      <c r="A364" s="382"/>
      <c r="B364" s="332"/>
      <c r="C364" s="332" t="s">
        <v>548</v>
      </c>
      <c r="D364" s="332"/>
      <c r="H364" s="1195">
        <v>12998.97</v>
      </c>
      <c r="I364" s="1195">
        <v>10895.939999999999</v>
      </c>
      <c r="J364" s="1195">
        <v>10449.099999999999</v>
      </c>
      <c r="K364" s="1195">
        <v>11182.17</v>
      </c>
      <c r="L364" s="1195">
        <v>10594.119999999999</v>
      </c>
      <c r="M364" s="1195">
        <v>7342.37</v>
      </c>
      <c r="N364" s="1195">
        <v>7497.3899999999994</v>
      </c>
      <c r="O364" s="1195">
        <v>6584.0915399999994</v>
      </c>
      <c r="P364" s="1195">
        <v>8874.4615399999984</v>
      </c>
      <c r="Q364" s="1195">
        <v>9238.5315399999999</v>
      </c>
      <c r="R364" s="1195">
        <v>10080.54154</v>
      </c>
      <c r="S364" s="1195">
        <v>10318.55154</v>
      </c>
      <c r="T364" s="1195">
        <v>116056.2377</v>
      </c>
    </row>
    <row r="365" spans="1:21">
      <c r="A365" s="382"/>
      <c r="B365" s="332"/>
      <c r="C365" s="332" t="s">
        <v>18</v>
      </c>
      <c r="D365" s="332"/>
      <c r="H365" s="1195">
        <v>71291812.890000001</v>
      </c>
      <c r="I365" s="1195">
        <v>59666836.460000001</v>
      </c>
      <c r="J365" s="1195">
        <v>46907618.040000007</v>
      </c>
      <c r="K365" s="1195">
        <v>31265393.550000001</v>
      </c>
      <c r="L365" s="1195">
        <v>19289561.009999998</v>
      </c>
      <c r="M365" s="1195">
        <v>11909954.470000001</v>
      </c>
      <c r="N365" s="1195">
        <v>9599575.3900000006</v>
      </c>
      <c r="O365" s="1195">
        <v>8874379.1300000008</v>
      </c>
      <c r="P365" s="1195">
        <v>10341512.469999999</v>
      </c>
      <c r="Q365" s="1195">
        <v>24660029.509999998</v>
      </c>
      <c r="R365" s="1195">
        <v>42845110.980000004</v>
      </c>
      <c r="S365" s="1195">
        <v>67626959.349999994</v>
      </c>
      <c r="T365" s="1195">
        <v>404278743.25</v>
      </c>
    </row>
    <row r="366" spans="1:21">
      <c r="A366" s="382"/>
      <c r="B366" s="728"/>
      <c r="C366" s="728"/>
      <c r="D366" s="728"/>
      <c r="H366" s="1196"/>
      <c r="I366" s="1196"/>
      <c r="J366" s="1196"/>
      <c r="K366" s="1196"/>
      <c r="L366" s="1196"/>
      <c r="M366" s="1196"/>
      <c r="N366" s="1196"/>
      <c r="O366" s="1196"/>
      <c r="P366" s="1196"/>
      <c r="Q366" s="1196"/>
      <c r="R366" s="1196"/>
      <c r="S366" s="1196"/>
      <c r="T366" s="1196"/>
    </row>
    <row r="367" spans="1:21">
      <c r="A367" s="382"/>
      <c r="B367" s="728"/>
      <c r="C367" s="332" t="s">
        <v>659</v>
      </c>
      <c r="D367" s="332"/>
      <c r="H367" s="1195">
        <v>156137800.82317287</v>
      </c>
      <c r="I367" s="1195">
        <v>130819833.28832957</v>
      </c>
      <c r="J367" s="1195">
        <v>104267268.15285988</v>
      </c>
      <c r="K367" s="1195">
        <v>62786811.486540467</v>
      </c>
      <c r="L367" s="1195">
        <v>40815438.627472937</v>
      </c>
      <c r="M367" s="1195">
        <v>29189665.870431587</v>
      </c>
      <c r="N367" s="1195">
        <v>26169787.503668029</v>
      </c>
      <c r="O367" s="1195">
        <v>24982070.825729482</v>
      </c>
      <c r="P367" s="1195">
        <v>28552506.060591448</v>
      </c>
      <c r="Q367" s="1195">
        <v>50007812.100099191</v>
      </c>
      <c r="R367" s="1195">
        <v>94781881.853709579</v>
      </c>
      <c r="S367" s="1195">
        <v>142127092.59218132</v>
      </c>
      <c r="T367" s="1195">
        <v>890637969.18478644</v>
      </c>
      <c r="U367" s="95">
        <f>+T367</f>
        <v>890637969.18478644</v>
      </c>
    </row>
    <row r="368" spans="1:21">
      <c r="A368" s="382"/>
      <c r="C368" s="728" t="s">
        <v>947</v>
      </c>
      <c r="H368" s="1195">
        <v>1036332</v>
      </c>
      <c r="I368" s="1195">
        <v>1038003</v>
      </c>
      <c r="J368" s="1195">
        <v>1040720</v>
      </c>
      <c r="K368" s="1195">
        <v>1041014</v>
      </c>
      <c r="L368" s="1195">
        <v>1041771</v>
      </c>
      <c r="M368" s="1195">
        <v>1042091</v>
      </c>
      <c r="N368" s="1195">
        <v>1040123</v>
      </c>
      <c r="O368" s="1195">
        <v>1041729</v>
      </c>
      <c r="P368" s="1195">
        <v>1042634</v>
      </c>
      <c r="Q368" s="1195">
        <v>1046063</v>
      </c>
      <c r="R368" s="1195">
        <v>1050284</v>
      </c>
      <c r="S368" s="1195">
        <v>1055184</v>
      </c>
      <c r="T368" s="444">
        <v>1042995.6666666666</v>
      </c>
    </row>
    <row r="369" spans="1:21">
      <c r="A369" s="382"/>
      <c r="C369" s="15" t="s">
        <v>59</v>
      </c>
      <c r="H369" s="1195">
        <v>23263258</v>
      </c>
      <c r="I369" s="1195">
        <v>19232837</v>
      </c>
      <c r="J369" s="1195">
        <v>15448869</v>
      </c>
      <c r="K369" s="1195">
        <v>11488052</v>
      </c>
      <c r="L369" s="1195">
        <v>8338746</v>
      </c>
      <c r="M369" s="1195">
        <v>6475935</v>
      </c>
      <c r="N369" s="1195">
        <v>6069412</v>
      </c>
      <c r="O369" s="1195">
        <v>5986280</v>
      </c>
      <c r="P369" s="1195">
        <v>5583107</v>
      </c>
      <c r="Q369" s="1195">
        <v>8995536</v>
      </c>
      <c r="R369" s="1195">
        <v>14411330</v>
      </c>
      <c r="S369" s="1195">
        <v>22437182</v>
      </c>
      <c r="T369" s="1195">
        <v>147730544</v>
      </c>
    </row>
    <row r="370" spans="1:21">
      <c r="A370" s="868"/>
      <c r="C370" s="15" t="s">
        <v>60</v>
      </c>
      <c r="H370" s="1196">
        <v>5456516</v>
      </c>
      <c r="I370" s="1196">
        <v>4499092</v>
      </c>
      <c r="J370" s="1196">
        <v>4469873</v>
      </c>
      <c r="K370" s="1196">
        <v>4186416</v>
      </c>
      <c r="L370" s="1196">
        <v>3927127</v>
      </c>
      <c r="M370" s="1196">
        <v>3907807</v>
      </c>
      <c r="N370" s="1196">
        <v>4174405</v>
      </c>
      <c r="O370" s="1196">
        <v>4271598</v>
      </c>
      <c r="P370" s="1196">
        <v>3975955</v>
      </c>
      <c r="Q370" s="1196">
        <v>4378560</v>
      </c>
      <c r="R370" s="1196">
        <v>4867619</v>
      </c>
      <c r="S370" s="1196">
        <v>5535163</v>
      </c>
      <c r="T370" s="1196">
        <v>53650131</v>
      </c>
    </row>
    <row r="371" spans="1:21">
      <c r="A371" s="382"/>
      <c r="C371" s="15" t="s">
        <v>33</v>
      </c>
      <c r="H371" s="1195">
        <v>28719774</v>
      </c>
      <c r="I371" s="1195">
        <v>23731929</v>
      </c>
      <c r="J371" s="1195">
        <v>19918742</v>
      </c>
      <c r="K371" s="1195">
        <v>15674468</v>
      </c>
      <c r="L371" s="1195">
        <v>12265873</v>
      </c>
      <c r="M371" s="1195">
        <v>10383742</v>
      </c>
      <c r="N371" s="1195">
        <v>10243817</v>
      </c>
      <c r="O371" s="1195">
        <v>10257878</v>
      </c>
      <c r="P371" s="1195">
        <v>9559062</v>
      </c>
      <c r="Q371" s="1195">
        <v>13374096</v>
      </c>
      <c r="R371" s="1195">
        <v>19278949</v>
      </c>
      <c r="S371" s="1195">
        <v>27972345</v>
      </c>
      <c r="T371" s="1195">
        <v>201380675</v>
      </c>
      <c r="U371" s="95"/>
    </row>
    <row r="372" spans="1:21">
      <c r="A372" s="214"/>
      <c r="B372" s="214"/>
      <c r="C372" s="214" t="s">
        <v>964</v>
      </c>
      <c r="D372" s="214"/>
      <c r="E372" s="214"/>
      <c r="F372" s="214"/>
      <c r="G372" s="214"/>
      <c r="H372" s="363"/>
      <c r="I372" s="363"/>
      <c r="J372" s="363"/>
      <c r="K372" s="363"/>
      <c r="L372" s="363"/>
      <c r="M372" s="363"/>
      <c r="N372" s="363"/>
      <c r="O372" s="363"/>
      <c r="P372" s="363"/>
      <c r="Q372" s="363"/>
      <c r="R372" s="363"/>
      <c r="S372" s="363">
        <v>0</v>
      </c>
      <c r="T372" s="363">
        <f>+T368-Y77</f>
        <v>0.99999999988358468</v>
      </c>
    </row>
    <row r="373" spans="1:21" ht="13.5" thickBot="1"/>
    <row r="374" spans="1:21" ht="16.5" thickBot="1">
      <c r="A374" s="299"/>
      <c r="B374" s="334" t="s">
        <v>151</v>
      </c>
      <c r="C374" s="335" t="s">
        <v>965</v>
      </c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482" t="s">
        <v>965</v>
      </c>
    </row>
    <row r="375" spans="1:21" ht="15.75">
      <c r="A375" s="299"/>
      <c r="B375" s="336" t="s">
        <v>945</v>
      </c>
      <c r="C375" s="337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483"/>
    </row>
    <row r="376" spans="1:21" ht="15.75">
      <c r="A376" s="299"/>
      <c r="B376" s="338"/>
      <c r="C376" s="339" t="s">
        <v>322</v>
      </c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484">
        <f>+$S$21</f>
        <v>1025861</v>
      </c>
    </row>
    <row r="377" spans="1:21" ht="15.75">
      <c r="A377" s="299"/>
      <c r="B377" s="338"/>
      <c r="C377" s="339" t="s">
        <v>509</v>
      </c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484">
        <f>+$S$48</f>
        <v>469</v>
      </c>
    </row>
    <row r="378" spans="1:21" ht="16.5" thickBot="1">
      <c r="A378" s="299"/>
      <c r="B378" s="340"/>
      <c r="C378" s="341" t="s">
        <v>810</v>
      </c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485">
        <f>+$S$66</f>
        <v>1</v>
      </c>
    </row>
    <row r="379" spans="1:21" ht="15.75">
      <c r="A379" s="299"/>
      <c r="B379" s="338"/>
      <c r="C379" s="339" t="s">
        <v>103</v>
      </c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484">
        <f t="shared" ref="T379" si="18">SUM(T376:T378)</f>
        <v>1026331</v>
      </c>
    </row>
    <row r="380" spans="1:21" ht="15.75">
      <c r="A380" s="299"/>
      <c r="B380" s="338"/>
      <c r="C380" s="33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484"/>
    </row>
    <row r="381" spans="1:21" ht="15.75">
      <c r="A381" s="299"/>
      <c r="B381" s="336" t="s">
        <v>949</v>
      </c>
      <c r="C381" s="337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483"/>
    </row>
    <row r="382" spans="1:21" ht="16.5" thickBot="1">
      <c r="A382" s="299"/>
      <c r="B382" s="340"/>
      <c r="C382" s="341" t="s">
        <v>680</v>
      </c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485">
        <f>+$S$102</f>
        <v>24</v>
      </c>
    </row>
    <row r="383" spans="1:21" ht="15.75">
      <c r="A383" s="299"/>
      <c r="B383" s="338"/>
      <c r="C383" s="339" t="s">
        <v>104</v>
      </c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484">
        <f t="shared" ref="T383" si="19">SUM(T382:T382)</f>
        <v>24</v>
      </c>
    </row>
    <row r="384" spans="1:21" ht="15.75">
      <c r="A384" s="299"/>
      <c r="B384" s="338"/>
      <c r="C384" s="33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484"/>
    </row>
    <row r="385" spans="1:20" ht="15.75">
      <c r="A385" s="299"/>
      <c r="B385" s="336"/>
      <c r="C385" s="339" t="s">
        <v>690</v>
      </c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484"/>
    </row>
    <row r="386" spans="1:20" ht="16.5" thickBot="1">
      <c r="A386" s="299"/>
      <c r="B386" s="336"/>
      <c r="C386" s="341" t="s">
        <v>114</v>
      </c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485"/>
    </row>
    <row r="387" spans="1:20" ht="15.75">
      <c r="A387" s="299"/>
      <c r="B387" s="877"/>
      <c r="C387" s="339" t="s">
        <v>966</v>
      </c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484"/>
    </row>
    <row r="388" spans="1:20" ht="15.75">
      <c r="A388" s="299"/>
      <c r="B388" s="336"/>
      <c r="C388" s="337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483"/>
    </row>
    <row r="389" spans="1:20" ht="15.75">
      <c r="A389" s="299"/>
      <c r="B389" s="336" t="s">
        <v>953</v>
      </c>
      <c r="C389" s="337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483"/>
    </row>
    <row r="390" spans="1:20" ht="15.75">
      <c r="A390" s="299"/>
      <c r="B390" s="336"/>
      <c r="C390" s="337" t="s">
        <v>890</v>
      </c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483">
        <f>+$S$129</f>
        <v>7</v>
      </c>
    </row>
    <row r="391" spans="1:20" ht="15.75">
      <c r="A391" s="299"/>
      <c r="B391" s="336"/>
      <c r="C391" s="337" t="s">
        <v>956</v>
      </c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483">
        <f>+$S$138</f>
        <v>0</v>
      </c>
    </row>
    <row r="392" spans="1:20" ht="15.75">
      <c r="A392" s="299"/>
      <c r="B392" s="336"/>
      <c r="C392" s="337" t="s">
        <v>567</v>
      </c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483">
        <f>+$S$156</f>
        <v>0</v>
      </c>
    </row>
    <row r="393" spans="1:20" ht="15.75">
      <c r="A393" s="299"/>
      <c r="B393" s="336"/>
      <c r="C393" s="337" t="s">
        <v>566</v>
      </c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483">
        <f>+$S$183</f>
        <v>0</v>
      </c>
    </row>
    <row r="394" spans="1:20" ht="15.75">
      <c r="A394" s="299"/>
      <c r="B394" s="336"/>
      <c r="C394" s="337" t="s">
        <v>692</v>
      </c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483">
        <f>+$S$147</f>
        <v>1</v>
      </c>
    </row>
    <row r="395" spans="1:20" ht="15.75">
      <c r="A395" s="299"/>
      <c r="B395" s="336"/>
      <c r="C395" s="337" t="s">
        <v>681</v>
      </c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483">
        <f>+$S$165</f>
        <v>957</v>
      </c>
    </row>
    <row r="396" spans="1:20" ht="16.5" thickBot="1">
      <c r="A396" s="299"/>
      <c r="B396" s="342"/>
      <c r="C396" s="343" t="s">
        <v>895</v>
      </c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486">
        <f>+$S$174</f>
        <v>0</v>
      </c>
    </row>
    <row r="397" spans="1:20" ht="15.75">
      <c r="A397" s="299"/>
      <c r="B397" s="338"/>
      <c r="C397" s="339" t="s">
        <v>105</v>
      </c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484">
        <f t="shared" ref="T397" si="20">SUM(T390:T396)</f>
        <v>965</v>
      </c>
    </row>
    <row r="398" spans="1:20" ht="15.75">
      <c r="A398" s="299"/>
      <c r="B398" s="336"/>
      <c r="C398" s="337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483"/>
    </row>
    <row r="399" spans="1:20" ht="15.75">
      <c r="A399" s="299"/>
      <c r="B399" s="338"/>
      <c r="C399" s="339" t="s">
        <v>967</v>
      </c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484">
        <f t="shared" ref="T399" si="21">+T397+T387+T379+T383</f>
        <v>1027320</v>
      </c>
    </row>
    <row r="400" spans="1:20" ht="16.5" thickBot="1">
      <c r="A400" s="299"/>
      <c r="B400" s="342"/>
      <c r="C400" s="343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486"/>
    </row>
    <row r="401" spans="1:20" ht="16.5" thickBot="1">
      <c r="A401" s="299"/>
      <c r="B401" s="338"/>
      <c r="C401" s="33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484"/>
    </row>
    <row r="402" spans="1:20" ht="15.75">
      <c r="A402" s="299"/>
      <c r="B402" s="344" t="s">
        <v>968</v>
      </c>
      <c r="C402" s="345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487"/>
    </row>
    <row r="403" spans="1:20" ht="16.5" thickBot="1">
      <c r="A403" s="299"/>
      <c r="B403" s="346" t="s">
        <v>945</v>
      </c>
      <c r="C403" s="347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488"/>
    </row>
    <row r="404" spans="1:20" ht="15.75">
      <c r="A404" s="299"/>
      <c r="B404" s="338"/>
      <c r="C404" s="339" t="s">
        <v>969</v>
      </c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484">
        <f>+$S$244</f>
        <v>27828</v>
      </c>
    </row>
    <row r="405" spans="1:20" ht="15.75">
      <c r="A405" s="299"/>
      <c r="B405" s="338"/>
      <c r="C405" s="339" t="s">
        <v>509</v>
      </c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484">
        <f>+$S$253</f>
        <v>24</v>
      </c>
    </row>
    <row r="406" spans="1:20" ht="16.5" thickBot="1">
      <c r="A406" s="299"/>
      <c r="B406" s="340"/>
      <c r="C406" s="341" t="s">
        <v>810</v>
      </c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485">
        <f>+$S$262</f>
        <v>1</v>
      </c>
    </row>
    <row r="407" spans="1:20" ht="15.75">
      <c r="A407" s="299"/>
      <c r="B407" s="338"/>
      <c r="C407" s="339" t="s">
        <v>106</v>
      </c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484">
        <f t="shared" ref="T407" si="22">SUM(T404:T406)</f>
        <v>27853</v>
      </c>
    </row>
    <row r="408" spans="1:20" ht="15.75">
      <c r="A408" s="299"/>
      <c r="B408" s="338"/>
      <c r="C408" s="33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484"/>
    </row>
    <row r="409" spans="1:20" ht="15.75">
      <c r="A409" s="299"/>
      <c r="B409" s="336"/>
      <c r="C409" s="339" t="s">
        <v>690</v>
      </c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484"/>
    </row>
    <row r="410" spans="1:20" ht="16.5" thickBot="1">
      <c r="A410" s="299"/>
      <c r="B410" s="336"/>
      <c r="C410" s="341" t="s">
        <v>114</v>
      </c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485"/>
    </row>
    <row r="411" spans="1:20" ht="15.75">
      <c r="A411" s="299"/>
      <c r="B411" s="877"/>
      <c r="C411" s="339" t="s">
        <v>966</v>
      </c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484"/>
    </row>
    <row r="412" spans="1:20" ht="15.75">
      <c r="A412" s="299"/>
      <c r="B412" s="336"/>
      <c r="C412" s="337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483"/>
    </row>
    <row r="413" spans="1:20" ht="15.75">
      <c r="A413" s="299"/>
      <c r="B413" s="336"/>
      <c r="C413" s="337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483"/>
    </row>
    <row r="414" spans="1:20" ht="15.75">
      <c r="A414" s="299"/>
      <c r="B414" s="336" t="s">
        <v>949</v>
      </c>
      <c r="C414" s="337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483"/>
    </row>
    <row r="415" spans="1:20" ht="15.75">
      <c r="A415" s="299"/>
      <c r="B415" s="336"/>
      <c r="C415" s="339" t="s">
        <v>970</v>
      </c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484">
        <f>+$S$289</f>
        <v>0</v>
      </c>
    </row>
    <row r="416" spans="1:20" ht="16.5" thickBot="1">
      <c r="A416" s="299"/>
      <c r="B416" s="340"/>
      <c r="C416" s="341" t="s">
        <v>680</v>
      </c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485">
        <f>+$S$280</f>
        <v>5</v>
      </c>
    </row>
    <row r="417" spans="1:20" ht="15.75">
      <c r="A417" s="299"/>
      <c r="B417" s="338"/>
      <c r="C417" s="339" t="s">
        <v>107</v>
      </c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484">
        <f t="shared" ref="T417" si="23">SUM(T415:T416)</f>
        <v>5</v>
      </c>
    </row>
    <row r="418" spans="1:20" ht="15.75">
      <c r="A418" s="299"/>
      <c r="B418" s="338"/>
      <c r="C418" s="33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484"/>
    </row>
    <row r="419" spans="1:20" ht="15.75">
      <c r="A419" s="299"/>
      <c r="B419" s="336" t="s">
        <v>953</v>
      </c>
      <c r="C419" s="337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483"/>
    </row>
    <row r="420" spans="1:20" ht="15.75">
      <c r="A420" s="299"/>
      <c r="B420" s="336"/>
      <c r="C420" s="337" t="s">
        <v>971</v>
      </c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483">
        <f>+$S$316</f>
        <v>2</v>
      </c>
    </row>
    <row r="421" spans="1:20" ht="16.5" thickBot="1">
      <c r="A421" s="299"/>
      <c r="B421" s="342"/>
      <c r="C421" s="343" t="s">
        <v>90</v>
      </c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486">
        <f>+$S$307</f>
        <v>3</v>
      </c>
    </row>
    <row r="422" spans="1:20" ht="15.75">
      <c r="A422" s="299"/>
      <c r="B422" s="336"/>
      <c r="C422" s="337" t="s">
        <v>108</v>
      </c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483">
        <f t="shared" ref="T422" si="24">SUM(T420:T421)</f>
        <v>5</v>
      </c>
    </row>
    <row r="423" spans="1:20" ht="15.75">
      <c r="A423" s="299"/>
      <c r="B423" s="336"/>
      <c r="C423" s="337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483"/>
    </row>
    <row r="424" spans="1:20" ht="15.75">
      <c r="A424" s="299"/>
      <c r="B424" s="338"/>
      <c r="C424" s="339" t="s">
        <v>972</v>
      </c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484">
        <f t="shared" ref="T424" si="25">+T422+T417+T407+T411</f>
        <v>27863</v>
      </c>
    </row>
    <row r="425" spans="1:20" ht="16.5" thickBot="1">
      <c r="A425" s="299"/>
      <c r="B425" s="340"/>
      <c r="C425" s="341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485"/>
    </row>
    <row r="426" spans="1:20" ht="15.75">
      <c r="A426" s="299"/>
      <c r="B426" s="338"/>
      <c r="C426" s="33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484"/>
    </row>
    <row r="427" spans="1:20" ht="15.75">
      <c r="A427" s="299"/>
      <c r="B427" s="336" t="s">
        <v>973</v>
      </c>
      <c r="C427" s="337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483">
        <f t="shared" ref="T427" si="26">+T422+T417+T407+T397+T379</f>
        <v>1055159</v>
      </c>
    </row>
    <row r="428" spans="1:20" ht="15.75">
      <c r="A428" s="299"/>
      <c r="B428" s="336" t="s">
        <v>974</v>
      </c>
      <c r="C428" s="337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483">
        <f t="shared" ref="T428" si="27">+T404+T376</f>
        <v>1053689</v>
      </c>
    </row>
    <row r="429" spans="1:20" ht="15.75">
      <c r="A429" s="299"/>
      <c r="B429" s="336" t="s">
        <v>882</v>
      </c>
      <c r="C429" s="337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483">
        <f t="shared" ref="T429" si="28">+T440-T428</f>
        <v>1494</v>
      </c>
    </row>
    <row r="430" spans="1:20" ht="15.75">
      <c r="A430" s="299"/>
      <c r="B430" s="336" t="s">
        <v>883</v>
      </c>
      <c r="C430" s="337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483">
        <f t="shared" ref="T430" si="29">+T379+T407</f>
        <v>1054184</v>
      </c>
    </row>
    <row r="431" spans="1:20" ht="15.75">
      <c r="A431" s="299"/>
      <c r="B431" s="336" t="s">
        <v>975</v>
      </c>
      <c r="C431" s="337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483">
        <f t="shared" ref="T431" si="30">+T417+T383</f>
        <v>29</v>
      </c>
    </row>
    <row r="432" spans="1:20" ht="15.75">
      <c r="A432" s="299"/>
      <c r="B432" s="336" t="s">
        <v>884</v>
      </c>
      <c r="C432" s="337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483">
        <f t="shared" ref="T432" si="31">+T422+T397</f>
        <v>970</v>
      </c>
    </row>
    <row r="433" spans="1:21" ht="15.75">
      <c r="A433" s="299"/>
      <c r="B433" s="336" t="s">
        <v>976</v>
      </c>
      <c r="C433" s="337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483"/>
    </row>
    <row r="434" spans="1:21" ht="15.75">
      <c r="A434" s="299"/>
      <c r="B434" s="336" t="s">
        <v>977</v>
      </c>
      <c r="C434" s="337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483"/>
    </row>
    <row r="435" spans="1:21" ht="15.75">
      <c r="A435" s="299"/>
      <c r="B435" s="336"/>
      <c r="C435" s="337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483"/>
    </row>
    <row r="436" spans="1:21" ht="15.75">
      <c r="A436" s="299"/>
      <c r="B436" s="336"/>
      <c r="C436" s="337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483"/>
    </row>
    <row r="437" spans="1:21" ht="15.75">
      <c r="A437" s="299"/>
      <c r="B437" s="336" t="s">
        <v>978</v>
      </c>
      <c r="C437" s="337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483">
        <f>+T399</f>
        <v>1027320</v>
      </c>
    </row>
    <row r="438" spans="1:21" ht="15.75">
      <c r="A438" s="299"/>
      <c r="B438" s="336" t="s">
        <v>979</v>
      </c>
      <c r="C438" s="337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483">
        <f t="shared" ref="T438" si="32">+T424</f>
        <v>27863</v>
      </c>
    </row>
    <row r="439" spans="1:21" ht="16.5" thickBot="1">
      <c r="A439" s="299"/>
      <c r="B439" s="342"/>
      <c r="C439" s="343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486"/>
    </row>
    <row r="440" spans="1:21" ht="16.5" thickBot="1">
      <c r="A440" s="299"/>
      <c r="B440" s="340" t="s">
        <v>980</v>
      </c>
      <c r="C440" s="341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485">
        <f t="shared" ref="T440" si="33">SUM(T437:T439)</f>
        <v>1055183</v>
      </c>
    </row>
    <row r="441" spans="1:21" ht="16.5" thickBot="1">
      <c r="A441" s="299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352"/>
      <c r="T441" s="489"/>
      <c r="U441" s="194"/>
    </row>
    <row r="442" spans="1:21" ht="16.5" thickBot="1">
      <c r="A442" s="299"/>
      <c r="B442" s="334" t="s">
        <v>151</v>
      </c>
      <c r="C442" s="335" t="s">
        <v>981</v>
      </c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482" t="s">
        <v>981</v>
      </c>
    </row>
    <row r="443" spans="1:21" ht="15.75">
      <c r="A443" s="299"/>
      <c r="B443" s="336" t="s">
        <v>945</v>
      </c>
      <c r="C443" s="337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483"/>
    </row>
    <row r="444" spans="1:21" ht="15.75">
      <c r="A444" s="299"/>
      <c r="B444" s="338"/>
      <c r="C444" s="339" t="s">
        <v>322</v>
      </c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484">
        <f>+$T$21</f>
        <v>1013847.5833333334</v>
      </c>
    </row>
    <row r="445" spans="1:21" ht="15.75">
      <c r="A445" s="299"/>
      <c r="B445" s="338"/>
      <c r="C445" s="339" t="s">
        <v>509</v>
      </c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484">
        <f>+$T$48</f>
        <v>482.5</v>
      </c>
    </row>
    <row r="446" spans="1:21" ht="16.5" thickBot="1">
      <c r="A446" s="299"/>
      <c r="B446" s="340"/>
      <c r="C446" s="341" t="s">
        <v>810</v>
      </c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485">
        <f>+$T$66</f>
        <v>1</v>
      </c>
    </row>
    <row r="447" spans="1:21" ht="15.75">
      <c r="A447" s="299"/>
      <c r="B447" s="338"/>
      <c r="C447" s="339" t="s">
        <v>103</v>
      </c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484">
        <f t="shared" ref="T447" si="34">SUM(T444:T446)</f>
        <v>1014331.0833333334</v>
      </c>
    </row>
    <row r="448" spans="1:21" ht="15.75">
      <c r="A448" s="299"/>
      <c r="B448" s="338"/>
      <c r="C448" s="33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484"/>
    </row>
    <row r="449" spans="1:20" ht="15.75">
      <c r="A449" s="299"/>
      <c r="B449" s="336" t="s">
        <v>949</v>
      </c>
      <c r="C449" s="337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483"/>
    </row>
    <row r="450" spans="1:20" ht="16.5" thickBot="1">
      <c r="A450" s="299"/>
      <c r="B450" s="340"/>
      <c r="C450" s="341" t="s">
        <v>680</v>
      </c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485">
        <f>+$T$102</f>
        <v>30</v>
      </c>
    </row>
    <row r="451" spans="1:20" ht="15.75">
      <c r="A451" s="299"/>
      <c r="B451" s="338"/>
      <c r="C451" s="339" t="s">
        <v>104</v>
      </c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484">
        <f t="shared" ref="T451" si="35">SUM(T450:T450)</f>
        <v>30</v>
      </c>
    </row>
    <row r="452" spans="1:20" ht="15.75">
      <c r="A452" s="299"/>
      <c r="B452" s="338"/>
      <c r="C452" s="33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484"/>
    </row>
    <row r="453" spans="1:20" ht="15.75">
      <c r="A453" s="299"/>
      <c r="B453" s="336"/>
      <c r="C453" s="339" t="s">
        <v>690</v>
      </c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484"/>
    </row>
    <row r="454" spans="1:20" ht="16.5" thickBot="1">
      <c r="A454" s="299"/>
      <c r="B454" s="336"/>
      <c r="C454" s="341" t="s">
        <v>114</v>
      </c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485"/>
    </row>
    <row r="455" spans="1:20" ht="15.75">
      <c r="A455" s="299"/>
      <c r="B455" s="877"/>
      <c r="C455" s="339" t="s">
        <v>966</v>
      </c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484"/>
    </row>
    <row r="456" spans="1:20" ht="15.75">
      <c r="A456" s="299"/>
      <c r="B456" s="336"/>
      <c r="C456" s="337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483"/>
    </row>
    <row r="457" spans="1:20" ht="15.75">
      <c r="A457" s="299"/>
      <c r="B457" s="336" t="s">
        <v>953</v>
      </c>
      <c r="C457" s="337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483"/>
    </row>
    <row r="458" spans="1:20" ht="15.75">
      <c r="A458" s="299"/>
      <c r="B458" s="336"/>
      <c r="C458" s="337" t="s">
        <v>890</v>
      </c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483">
        <f>+$T$129</f>
        <v>7</v>
      </c>
    </row>
    <row r="459" spans="1:20" ht="15.75">
      <c r="A459" s="299"/>
      <c r="B459" s="336"/>
      <c r="C459" s="337" t="s">
        <v>956</v>
      </c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483">
        <f>+$T$138</f>
        <v>0</v>
      </c>
    </row>
    <row r="460" spans="1:20" ht="15.75">
      <c r="A460" s="299"/>
      <c r="B460" s="336"/>
      <c r="C460" s="337" t="s">
        <v>567</v>
      </c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483">
        <f>+$T$156</f>
        <v>0</v>
      </c>
    </row>
    <row r="461" spans="1:20" ht="15.75">
      <c r="A461" s="299"/>
      <c r="B461" s="336"/>
      <c r="C461" s="337" t="s">
        <v>566</v>
      </c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483">
        <f>+$T$183</f>
        <v>0</v>
      </c>
    </row>
    <row r="462" spans="1:20" ht="15.75">
      <c r="A462" s="299"/>
      <c r="B462" s="336"/>
      <c r="C462" s="337" t="s">
        <v>692</v>
      </c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483">
        <f>+$T$147</f>
        <v>1</v>
      </c>
    </row>
    <row r="463" spans="1:20" ht="15.75">
      <c r="A463" s="299"/>
      <c r="B463" s="336"/>
      <c r="C463" s="337" t="s">
        <v>681</v>
      </c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483">
        <f>+$T$165</f>
        <v>829</v>
      </c>
    </row>
    <row r="464" spans="1:20" ht="16.5" thickBot="1">
      <c r="A464" s="299"/>
      <c r="B464" s="342"/>
      <c r="C464" s="343" t="s">
        <v>895</v>
      </c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486">
        <f>+$T$174</f>
        <v>0</v>
      </c>
    </row>
    <row r="465" spans="1:20" ht="15.75">
      <c r="A465" s="299"/>
      <c r="B465" s="338"/>
      <c r="C465" s="339" t="s">
        <v>105</v>
      </c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484">
        <f t="shared" ref="T465" si="36">SUM(T458:T464)</f>
        <v>837</v>
      </c>
    </row>
    <row r="466" spans="1:20" ht="15.75">
      <c r="A466" s="299"/>
      <c r="B466" s="336"/>
      <c r="C466" s="337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483"/>
    </row>
    <row r="467" spans="1:20" ht="15.75">
      <c r="A467" s="299"/>
      <c r="B467" s="338"/>
      <c r="C467" s="339" t="s">
        <v>967</v>
      </c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484">
        <f t="shared" ref="T467" si="37">+T465+T455+T447+T451</f>
        <v>1015198.0833333334</v>
      </c>
    </row>
    <row r="468" spans="1:20" ht="16.5" thickBot="1">
      <c r="A468" s="299"/>
      <c r="B468" s="342"/>
      <c r="C468" s="343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486"/>
    </row>
    <row r="469" spans="1:20" ht="16.5" thickBot="1">
      <c r="A469" s="299"/>
      <c r="B469" s="338"/>
      <c r="C469" s="33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484"/>
    </row>
    <row r="470" spans="1:20" ht="15.75">
      <c r="A470" s="299"/>
      <c r="B470" s="344" t="s">
        <v>968</v>
      </c>
      <c r="C470" s="345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487"/>
    </row>
    <row r="471" spans="1:20" ht="16.5" thickBot="1">
      <c r="A471" s="299"/>
      <c r="B471" s="346" t="s">
        <v>945</v>
      </c>
      <c r="C471" s="347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488"/>
    </row>
    <row r="472" spans="1:20" ht="15.75">
      <c r="A472" s="299"/>
      <c r="B472" s="338"/>
      <c r="C472" s="339" t="s">
        <v>969</v>
      </c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484">
        <f>+$T$244</f>
        <v>27761.583333333332</v>
      </c>
    </row>
    <row r="473" spans="1:20" ht="15.75">
      <c r="A473" s="299"/>
      <c r="B473" s="338"/>
      <c r="C473" s="339" t="s">
        <v>509</v>
      </c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484">
        <f>+$T$253</f>
        <v>24</v>
      </c>
    </row>
    <row r="474" spans="1:20" ht="16.5" thickBot="1">
      <c r="A474" s="299"/>
      <c r="B474" s="340"/>
      <c r="C474" s="341" t="s">
        <v>810</v>
      </c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485">
        <f>+$T$262</f>
        <v>1</v>
      </c>
    </row>
    <row r="475" spans="1:20" ht="15.75">
      <c r="A475" s="299"/>
      <c r="B475" s="338"/>
      <c r="C475" s="339" t="s">
        <v>106</v>
      </c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484">
        <f t="shared" ref="T475" si="38">SUM(T472:T474)</f>
        <v>27786.583333333332</v>
      </c>
    </row>
    <row r="476" spans="1:20" ht="15.75">
      <c r="A476" s="299"/>
      <c r="B476" s="338"/>
      <c r="C476" s="33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484"/>
    </row>
    <row r="477" spans="1:20" ht="15.75">
      <c r="A477" s="299"/>
      <c r="B477" s="336"/>
      <c r="C477" s="339" t="s">
        <v>690</v>
      </c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484"/>
    </row>
    <row r="478" spans="1:20" ht="16.5" thickBot="1">
      <c r="A478" s="299"/>
      <c r="B478" s="336"/>
      <c r="C478" s="341" t="s">
        <v>114</v>
      </c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485"/>
    </row>
    <row r="479" spans="1:20" ht="15.75">
      <c r="A479" s="299"/>
      <c r="B479" s="877"/>
      <c r="C479" s="339" t="s">
        <v>966</v>
      </c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484"/>
    </row>
    <row r="480" spans="1:20" ht="15.75">
      <c r="A480" s="299"/>
      <c r="B480" s="336"/>
      <c r="C480" s="337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483"/>
    </row>
    <row r="481" spans="1:20" ht="15.75">
      <c r="A481" s="299"/>
      <c r="B481" s="336"/>
      <c r="C481" s="337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483"/>
    </row>
    <row r="482" spans="1:20" ht="15.75">
      <c r="A482" s="299"/>
      <c r="B482" s="336" t="s">
        <v>949</v>
      </c>
      <c r="C482" s="337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483"/>
    </row>
    <row r="483" spans="1:20" ht="15.75">
      <c r="A483" s="299"/>
      <c r="B483" s="336"/>
      <c r="C483" s="339" t="s">
        <v>970</v>
      </c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484">
        <f>+$T$289</f>
        <v>0</v>
      </c>
    </row>
    <row r="484" spans="1:20" ht="16.5" thickBot="1">
      <c r="A484" s="299"/>
      <c r="B484" s="340"/>
      <c r="C484" s="341" t="s">
        <v>680</v>
      </c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485">
        <f>+$T$280</f>
        <v>5</v>
      </c>
    </row>
    <row r="485" spans="1:20" ht="15.75">
      <c r="A485" s="299"/>
      <c r="B485" s="338"/>
      <c r="C485" s="339" t="s">
        <v>107</v>
      </c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484">
        <f t="shared" ref="T485" si="39">SUM(T483:T484)</f>
        <v>5</v>
      </c>
    </row>
    <row r="486" spans="1:20" ht="15.75">
      <c r="A486" s="299"/>
      <c r="B486" s="338"/>
      <c r="C486" s="33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484"/>
    </row>
    <row r="487" spans="1:20" ht="15.75">
      <c r="A487" s="299"/>
      <c r="B487" s="336" t="s">
        <v>953</v>
      </c>
      <c r="C487" s="337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483"/>
    </row>
    <row r="488" spans="1:20" ht="15.75">
      <c r="A488" s="299"/>
      <c r="B488" s="336"/>
      <c r="C488" s="337" t="s">
        <v>971</v>
      </c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483">
        <f>+$T$316</f>
        <v>2</v>
      </c>
    </row>
    <row r="489" spans="1:20" ht="16.5" thickBot="1">
      <c r="A489" s="299"/>
      <c r="B489" s="342"/>
      <c r="C489" s="343" t="s">
        <v>90</v>
      </c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486">
        <f>+$T$307</f>
        <v>3</v>
      </c>
    </row>
    <row r="490" spans="1:20" ht="15.75">
      <c r="A490" s="299"/>
      <c r="B490" s="336"/>
      <c r="C490" s="337" t="s">
        <v>108</v>
      </c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483">
        <f t="shared" ref="T490" si="40">SUM(T488:T489)</f>
        <v>5</v>
      </c>
    </row>
    <row r="491" spans="1:20" ht="15.75">
      <c r="A491" s="299"/>
      <c r="B491" s="336"/>
      <c r="C491" s="337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483"/>
    </row>
    <row r="492" spans="1:20" ht="15.75">
      <c r="A492" s="299"/>
      <c r="B492" s="338"/>
      <c r="C492" s="339" t="s">
        <v>972</v>
      </c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484">
        <f t="shared" ref="T492" si="41">+T490+T485+T475+T479</f>
        <v>27796.583333333332</v>
      </c>
    </row>
    <row r="493" spans="1:20" ht="16.5" thickBot="1">
      <c r="A493" s="299"/>
      <c r="B493" s="340"/>
      <c r="C493" s="341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485"/>
    </row>
    <row r="494" spans="1:20" ht="15.75">
      <c r="A494" s="299"/>
      <c r="B494" s="338"/>
      <c r="C494" s="33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484"/>
    </row>
    <row r="495" spans="1:20" ht="15.75">
      <c r="A495" s="299"/>
      <c r="B495" s="336" t="s">
        <v>973</v>
      </c>
      <c r="C495" s="337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483">
        <f t="shared" ref="T495" si="42">+T490+T485+T475+T465+T447</f>
        <v>1042964.6666666667</v>
      </c>
    </row>
    <row r="496" spans="1:20" ht="15.75">
      <c r="A496" s="299"/>
      <c r="B496" s="336" t="s">
        <v>974</v>
      </c>
      <c r="C496" s="337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483">
        <f t="shared" ref="T496" si="43">+T472+T444</f>
        <v>1041609.1666666667</v>
      </c>
    </row>
    <row r="497" spans="1:20" ht="15.75">
      <c r="A497" s="299"/>
      <c r="B497" s="336" t="s">
        <v>882</v>
      </c>
      <c r="C497" s="337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483">
        <f t="shared" ref="T497" si="44">+T508-T496</f>
        <v>1385.5</v>
      </c>
    </row>
    <row r="498" spans="1:20" ht="15.75">
      <c r="A498" s="299"/>
      <c r="B498" s="336" t="s">
        <v>883</v>
      </c>
      <c r="C498" s="337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483">
        <f t="shared" ref="T498" si="45">+T447+T475</f>
        <v>1042117.6666666667</v>
      </c>
    </row>
    <row r="499" spans="1:20" ht="15.75">
      <c r="A499" s="299"/>
      <c r="B499" s="336" t="s">
        <v>975</v>
      </c>
      <c r="C499" s="337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483">
        <f t="shared" ref="T499" si="46">+T485+T451</f>
        <v>35</v>
      </c>
    </row>
    <row r="500" spans="1:20" ht="15.75">
      <c r="A500" s="299"/>
      <c r="B500" s="336" t="s">
        <v>884</v>
      </c>
      <c r="C500" s="337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483">
        <f t="shared" ref="T500" si="47">+T490+T465</f>
        <v>842</v>
      </c>
    </row>
    <row r="501" spans="1:20" ht="15.75">
      <c r="A501" s="299"/>
      <c r="B501" s="336" t="s">
        <v>976</v>
      </c>
      <c r="C501" s="337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483"/>
    </row>
    <row r="502" spans="1:20" ht="15.75">
      <c r="A502" s="299"/>
      <c r="B502" s="336" t="s">
        <v>977</v>
      </c>
      <c r="C502" s="337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483"/>
    </row>
    <row r="503" spans="1:20" ht="15.75">
      <c r="A503" s="299"/>
      <c r="B503" s="336"/>
      <c r="C503" s="337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483"/>
    </row>
    <row r="504" spans="1:20" ht="15.75">
      <c r="A504" s="299"/>
      <c r="B504" s="336"/>
      <c r="C504" s="337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483"/>
    </row>
    <row r="505" spans="1:20" ht="15.75">
      <c r="A505" s="299"/>
      <c r="B505" s="336" t="s">
        <v>978</v>
      </c>
      <c r="C505" s="337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483">
        <f t="shared" ref="T505" si="48">+T467</f>
        <v>1015198.0833333334</v>
      </c>
    </row>
    <row r="506" spans="1:20" ht="15.75">
      <c r="A506" s="299"/>
      <c r="B506" s="336" t="s">
        <v>979</v>
      </c>
      <c r="C506" s="337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483">
        <f t="shared" ref="T506" si="49">+T492</f>
        <v>27796.583333333332</v>
      </c>
    </row>
    <row r="507" spans="1:20" ht="16.5" thickBot="1">
      <c r="A507" s="299"/>
      <c r="B507" s="342"/>
      <c r="C507" s="343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486"/>
    </row>
    <row r="508" spans="1:20" ht="16.5" thickBot="1">
      <c r="A508" s="299"/>
      <c r="B508" s="340" t="s">
        <v>980</v>
      </c>
      <c r="C508" s="341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485">
        <f t="shared" ref="T508" si="50">SUM(T505:T507)</f>
        <v>1042994.6666666667</v>
      </c>
    </row>
    <row r="509" spans="1:20" ht="15.75">
      <c r="A509" s="299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T509" s="630"/>
    </row>
    <row r="510" spans="1:20" ht="15.75">
      <c r="A510" s="299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T510" s="630"/>
    </row>
    <row r="511" spans="1:20" ht="15.75">
      <c r="A511" s="299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T511" s="630"/>
    </row>
    <row r="512" spans="1:20" ht="15.75">
      <c r="A512" s="299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T512" s="630"/>
    </row>
    <row r="513" spans="1:20" ht="15.75">
      <c r="A513" s="299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T513" s="630"/>
    </row>
    <row r="514" spans="1:20" ht="15.75">
      <c r="A514" s="299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T514" s="630"/>
    </row>
    <row r="515" spans="1:20" ht="15.75">
      <c r="A515" s="299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T515" s="630"/>
    </row>
    <row r="516" spans="1:20" ht="15.75">
      <c r="A516" s="299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T516" s="630"/>
    </row>
    <row r="517" spans="1:20" ht="15.75">
      <c r="A517" s="299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T517" s="630"/>
    </row>
    <row r="518" spans="1:20" ht="15.75">
      <c r="A518" s="299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T518" s="630"/>
    </row>
    <row r="519" spans="1:20">
      <c r="T519" s="630"/>
    </row>
    <row r="520" spans="1:20">
      <c r="T520" s="630"/>
    </row>
    <row r="521" spans="1:20">
      <c r="T521" s="630"/>
    </row>
    <row r="522" spans="1:20">
      <c r="T522" s="630"/>
    </row>
    <row r="523" spans="1:20">
      <c r="T523" s="630"/>
    </row>
  </sheetData>
  <pageMargins left="0.7" right="0.7" top="0.75" bottom="0.75" header="0.3" footer="0.3"/>
  <pageSetup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523"/>
  <sheetViews>
    <sheetView topLeftCell="I7" workbookViewId="0">
      <pane ySplit="1020" activePane="bottomLeft"/>
      <selection activeCell="H9" sqref="H9:T371"/>
      <selection pane="bottomLeft" activeCell="T15" sqref="T15"/>
    </sheetView>
  </sheetViews>
  <sheetFormatPr defaultColWidth="16.42578125" defaultRowHeight="12.75"/>
  <cols>
    <col min="1" max="1" width="29.7109375" style="15" customWidth="1"/>
    <col min="2" max="2" width="23" style="15" customWidth="1"/>
    <col min="3" max="3" width="42.7109375" style="15" bestFit="1" customWidth="1"/>
    <col min="4" max="4" width="12.140625" style="15" customWidth="1"/>
    <col min="5" max="7" width="3.5703125" style="15" customWidth="1"/>
    <col min="8" max="20" width="19.85546875" style="15" bestFit="1" customWidth="1"/>
    <col min="21" max="21" width="18.28515625" style="15" customWidth="1"/>
    <col min="22" max="22" width="13.7109375" style="15" customWidth="1"/>
    <col min="23" max="23" width="47" style="15" bestFit="1" customWidth="1"/>
    <col min="24" max="24" width="17.5703125" style="15" bestFit="1" customWidth="1"/>
    <col min="25" max="25" width="15.85546875" style="15" bestFit="1" customWidth="1"/>
    <col min="26" max="28" width="21" style="15" bestFit="1" customWidth="1"/>
    <col min="29" max="29" width="21.5703125" style="15" bestFit="1" customWidth="1"/>
    <col min="30" max="30" width="22.140625" style="15" bestFit="1" customWidth="1"/>
    <col min="31" max="31" width="13.85546875" style="15" customWidth="1"/>
    <col min="32" max="32" width="16.42578125" style="15"/>
    <col min="33" max="33" width="12.7109375" bestFit="1" customWidth="1"/>
    <col min="43" max="74" width="16.42578125" customWidth="1"/>
    <col min="75" max="16384" width="16.42578125" style="15"/>
  </cols>
  <sheetData>
    <row r="1" spans="1:30">
      <c r="B1" s="34"/>
      <c r="C1" s="14"/>
      <c r="H1" s="15">
        <v>3</v>
      </c>
      <c r="I1" s="15">
        <v>4</v>
      </c>
      <c r="J1" s="15">
        <v>5</v>
      </c>
      <c r="K1" s="15">
        <v>6</v>
      </c>
      <c r="L1" s="15">
        <v>7</v>
      </c>
      <c r="M1" s="15">
        <v>8</v>
      </c>
      <c r="N1" s="15">
        <v>9</v>
      </c>
      <c r="O1" s="15">
        <v>10</v>
      </c>
      <c r="P1" s="15">
        <v>11</v>
      </c>
      <c r="Q1" s="15">
        <v>12</v>
      </c>
      <c r="R1" s="15">
        <v>13</v>
      </c>
      <c r="S1" s="15">
        <v>14</v>
      </c>
    </row>
    <row r="2" spans="1:30">
      <c r="B2" s="34"/>
      <c r="C2" s="1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</row>
    <row r="3" spans="1:30">
      <c r="B3" s="745"/>
      <c r="C3" s="113"/>
      <c r="D3" s="175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</row>
    <row r="4" spans="1:30">
      <c r="A4" s="653"/>
      <c r="B4" s="745"/>
      <c r="C4" s="114"/>
      <c r="D4" s="175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V4" s="653"/>
    </row>
    <row r="5" spans="1:30">
      <c r="A5" s="653"/>
      <c r="B5" s="114"/>
      <c r="C5" s="114"/>
      <c r="D5" s="728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V5" s="653"/>
    </row>
    <row r="6" spans="1:30">
      <c r="A6" s="196"/>
      <c r="B6" s="102"/>
      <c r="C6" s="102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V6" s="196"/>
    </row>
    <row r="7" spans="1:30">
      <c r="A7" s="446"/>
      <c r="B7" s="118"/>
      <c r="C7" s="118"/>
      <c r="D7" s="863"/>
      <c r="E7" s="194"/>
      <c r="F7" s="194"/>
      <c r="G7" s="194"/>
      <c r="H7" s="878"/>
      <c r="I7" s="878"/>
      <c r="J7" s="878"/>
      <c r="K7" s="878"/>
      <c r="L7" s="878"/>
      <c r="M7" s="878"/>
      <c r="N7" s="878"/>
      <c r="O7" s="878"/>
      <c r="P7" s="878"/>
      <c r="Q7" s="878"/>
      <c r="R7" s="878"/>
      <c r="S7" s="878"/>
      <c r="T7" s="878"/>
    </row>
    <row r="8" spans="1:30">
      <c r="A8" s="157"/>
      <c r="B8" s="158"/>
      <c r="C8" s="158"/>
      <c r="H8" s="878"/>
      <c r="I8" s="878"/>
      <c r="J8" s="878"/>
      <c r="K8" s="878"/>
      <c r="L8" s="878"/>
      <c r="M8" s="878"/>
      <c r="N8" s="878"/>
      <c r="O8" s="878"/>
      <c r="P8" s="878"/>
      <c r="Q8" s="878"/>
      <c r="R8" s="878"/>
      <c r="S8" s="878"/>
      <c r="T8" s="878" t="s">
        <v>78</v>
      </c>
    </row>
    <row r="9" spans="1:30" ht="13.5" thickBot="1">
      <c r="A9" s="867" t="s">
        <v>836</v>
      </c>
      <c r="B9" s="48"/>
      <c r="C9" s="867" t="s">
        <v>842</v>
      </c>
      <c r="D9" s="867"/>
      <c r="E9" s="867"/>
      <c r="F9" s="867"/>
      <c r="G9" s="879"/>
      <c r="H9" s="880">
        <v>43496</v>
      </c>
      <c r="I9" s="880">
        <v>43524</v>
      </c>
      <c r="J9" s="880">
        <v>43555</v>
      </c>
      <c r="K9" s="880">
        <v>43585</v>
      </c>
      <c r="L9" s="880">
        <v>43616</v>
      </c>
      <c r="M9" s="880">
        <v>43646</v>
      </c>
      <c r="N9" s="880">
        <v>43677</v>
      </c>
      <c r="O9" s="880">
        <v>43708</v>
      </c>
      <c r="P9" s="880">
        <v>43738</v>
      </c>
      <c r="Q9" s="880">
        <v>43769</v>
      </c>
      <c r="R9" s="880">
        <v>43799</v>
      </c>
      <c r="S9" s="880">
        <v>43830</v>
      </c>
      <c r="T9" s="880">
        <v>43830</v>
      </c>
      <c r="Z9" s="95"/>
      <c r="AA9" s="95"/>
    </row>
    <row r="10" spans="1:30" ht="15.75" thickBot="1">
      <c r="A10" s="868" t="s">
        <v>843</v>
      </c>
      <c r="B10" s="102"/>
      <c r="C10" s="102"/>
      <c r="D10" s="728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1"/>
      <c r="V10" s="662"/>
      <c r="W10" s="663"/>
      <c r="X10" s="348" t="s">
        <v>965</v>
      </c>
      <c r="Y10" s="348" t="s">
        <v>981</v>
      </c>
      <c r="Z10" s="348" t="s">
        <v>109</v>
      </c>
      <c r="AA10" s="348" t="s">
        <v>101</v>
      </c>
      <c r="AB10" s="348" t="s">
        <v>102</v>
      </c>
      <c r="AC10" s="348" t="s">
        <v>881</v>
      </c>
      <c r="AD10" s="349" t="s">
        <v>984</v>
      </c>
    </row>
    <row r="11" spans="1:30" ht="16.5" thickBot="1">
      <c r="A11" s="869" t="s">
        <v>13</v>
      </c>
      <c r="B11" s="728"/>
      <c r="C11" s="728"/>
      <c r="D11" s="870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V11" s="334" t="s">
        <v>151</v>
      </c>
      <c r="W11" s="350"/>
      <c r="X11" s="663"/>
      <c r="Y11" s="663"/>
      <c r="Z11" s="663"/>
      <c r="AA11" s="663"/>
      <c r="AB11" s="663"/>
      <c r="AC11" s="663"/>
      <c r="AD11" s="667"/>
    </row>
    <row r="12" spans="1:30">
      <c r="A12" s="869"/>
      <c r="B12" s="870"/>
      <c r="C12" s="870"/>
      <c r="D12" s="870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V12" s="336" t="s">
        <v>945</v>
      </c>
      <c r="W12" s="351"/>
      <c r="X12" s="194"/>
      <c r="Y12" s="194"/>
      <c r="Z12" s="194"/>
      <c r="AA12" s="194"/>
      <c r="AB12" s="194"/>
      <c r="AC12" s="194"/>
      <c r="AD12" s="668"/>
    </row>
    <row r="13" spans="1:30" ht="15.75">
      <c r="A13" s="227"/>
      <c r="B13" s="102"/>
      <c r="C13" s="102"/>
      <c r="D13" s="872"/>
      <c r="E13" s="872"/>
      <c r="F13" s="872"/>
      <c r="G13" s="872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4"/>
      <c r="V13" s="338"/>
      <c r="W13" s="352" t="s">
        <v>322</v>
      </c>
      <c r="X13" s="670">
        <f>+$S$21</f>
        <v>1049856</v>
      </c>
      <c r="Y13" s="670">
        <f>+$T$21</f>
        <v>1037699.5833333334</v>
      </c>
      <c r="Z13" s="670">
        <f>+$T$22</f>
        <v>107742491</v>
      </c>
      <c r="AA13" s="670">
        <f>+$T$15</f>
        <v>323644028.15133202</v>
      </c>
      <c r="AB13" s="670">
        <f>+$T$17</f>
        <v>119026168.13</v>
      </c>
      <c r="AC13" s="670">
        <f>+$T$19</f>
        <v>373666042.73999995</v>
      </c>
      <c r="AD13" s="671">
        <f>SUM(AA13:AC13)</f>
        <v>816336239.02133203</v>
      </c>
    </row>
    <row r="14" spans="1:30" ht="15.75">
      <c r="A14" s="869" t="s">
        <v>14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15" t="s">
        <v>1585</v>
      </c>
      <c r="V14" s="338"/>
      <c r="W14" s="352" t="s">
        <v>509</v>
      </c>
      <c r="X14" s="670">
        <f>+$S$48</f>
        <v>448</v>
      </c>
      <c r="Y14" s="670">
        <f>+$T$48</f>
        <v>458.5</v>
      </c>
      <c r="Z14" s="670">
        <f>+$T$49</f>
        <v>2949438</v>
      </c>
      <c r="AA14" s="670">
        <f>+$T$42</f>
        <v>2568999.8856584844</v>
      </c>
      <c r="AB14" s="670">
        <f>+$T$44</f>
        <v>2758443.02</v>
      </c>
      <c r="AC14" s="670">
        <f>+$T$46</f>
        <v>10229063.9</v>
      </c>
      <c r="AD14" s="671">
        <f>SUM(AA14:AC14)</f>
        <v>15556506.805658486</v>
      </c>
    </row>
    <row r="15" spans="1:30" ht="16.5" thickBot="1">
      <c r="A15" s="868" t="s">
        <v>945</v>
      </c>
      <c r="B15" s="728" t="s">
        <v>15</v>
      </c>
      <c r="C15" s="728" t="s">
        <v>16</v>
      </c>
      <c r="D15" s="728" t="s">
        <v>946</v>
      </c>
      <c r="H15" s="444">
        <v>51776972.661752015</v>
      </c>
      <c r="I15" s="444">
        <v>43071350.837066941</v>
      </c>
      <c r="J15" s="444">
        <v>34627190.912419751</v>
      </c>
      <c r="K15" s="444">
        <v>21713486.4604256</v>
      </c>
      <c r="L15" s="444">
        <v>14318519.305710064</v>
      </c>
      <c r="M15" s="444">
        <v>12169454.822628919</v>
      </c>
      <c r="N15" s="444">
        <v>11571112.277625179</v>
      </c>
      <c r="O15" s="444">
        <v>11714996.101251045</v>
      </c>
      <c r="P15" s="444">
        <v>13564628.435340526</v>
      </c>
      <c r="Q15" s="444">
        <v>18544164.754155565</v>
      </c>
      <c r="R15" s="444">
        <v>34824237.339897409</v>
      </c>
      <c r="S15" s="444">
        <v>49245388.383059464</v>
      </c>
      <c r="T15" s="444">
        <f>317141502.291332-U16</f>
        <v>323644028.15133202</v>
      </c>
      <c r="U15" s="15" t="s">
        <v>1587</v>
      </c>
      <c r="V15" s="340"/>
      <c r="W15" s="353" t="s">
        <v>810</v>
      </c>
      <c r="X15" s="673">
        <f>+$S$66</f>
        <v>1</v>
      </c>
      <c r="Y15" s="673">
        <f>+$T$66</f>
        <v>1</v>
      </c>
      <c r="Z15" s="673">
        <f>+$T$67</f>
        <v>193683</v>
      </c>
      <c r="AA15" s="673">
        <f>+$T$60</f>
        <v>1245779.1623274353</v>
      </c>
      <c r="AB15" s="673">
        <f>+$T$62</f>
        <v>181037.43000000002</v>
      </c>
      <c r="AC15" s="673">
        <f>+$T$64</f>
        <v>671719.76</v>
      </c>
      <c r="AD15" s="674">
        <f>SUM(AA15:AC15)</f>
        <v>2098536.3523274353</v>
      </c>
    </row>
    <row r="16" spans="1:30" ht="15.75">
      <c r="A16" s="868" t="s">
        <v>945</v>
      </c>
      <c r="B16" s="728"/>
      <c r="C16" s="728"/>
      <c r="D16" s="728" t="s">
        <v>946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1543">
        <v>-6502525.8600000003</v>
      </c>
      <c r="V16" s="338"/>
      <c r="W16" s="352" t="s">
        <v>103</v>
      </c>
      <c r="X16" s="670">
        <f t="shared" ref="X16:AD16" si="0">SUM(X13:X15)</f>
        <v>1050305</v>
      </c>
      <c r="Y16" s="670">
        <f t="shared" si="0"/>
        <v>1038159.0833333334</v>
      </c>
      <c r="Z16" s="670">
        <f>SUM(Z13:Z15)</f>
        <v>110885612</v>
      </c>
      <c r="AA16" s="670">
        <f>SUM(AA13:AA15)</f>
        <v>327458807.19931793</v>
      </c>
      <c r="AB16" s="670">
        <f t="shared" si="0"/>
        <v>121965648.58</v>
      </c>
      <c r="AC16" s="670">
        <f t="shared" si="0"/>
        <v>384566826.39999992</v>
      </c>
      <c r="AD16" s="671">
        <f t="shared" si="0"/>
        <v>833991282.17931795</v>
      </c>
    </row>
    <row r="17" spans="1:30" ht="15.75">
      <c r="A17" s="868" t="s">
        <v>945</v>
      </c>
      <c r="B17" s="728"/>
      <c r="C17" s="728" t="s">
        <v>17</v>
      </c>
      <c r="D17" s="728" t="s">
        <v>946</v>
      </c>
      <c r="H17" s="444">
        <v>25015776.579999998</v>
      </c>
      <c r="I17" s="444">
        <v>20823251.870000001</v>
      </c>
      <c r="J17" s="444">
        <v>16223605.300000001</v>
      </c>
      <c r="K17" s="444">
        <v>4988990.6899999995</v>
      </c>
      <c r="L17" s="444">
        <v>2997964.86</v>
      </c>
      <c r="M17" s="444">
        <v>1771523.86</v>
      </c>
      <c r="N17" s="444">
        <v>1470073.54</v>
      </c>
      <c r="O17" s="444">
        <v>1372971.0699999998</v>
      </c>
      <c r="P17" s="444">
        <v>1582266.9</v>
      </c>
      <c r="Q17" s="444">
        <v>3988859.4000000004</v>
      </c>
      <c r="R17" s="444">
        <v>14944289.300000001</v>
      </c>
      <c r="S17" s="444">
        <v>23846594.759999998</v>
      </c>
      <c r="T17" s="444">
        <v>119026168.13</v>
      </c>
      <c r="U17" s="1543"/>
      <c r="V17" s="338"/>
      <c r="W17" s="352"/>
      <c r="X17" s="670"/>
      <c r="Y17" s="670"/>
      <c r="Z17" s="670"/>
      <c r="AA17" s="670"/>
      <c r="AB17" s="670"/>
      <c r="AC17" s="670"/>
      <c r="AD17" s="671"/>
    </row>
    <row r="18" spans="1:30">
      <c r="A18" s="868" t="s">
        <v>945</v>
      </c>
      <c r="B18" s="728"/>
      <c r="C18" s="728"/>
      <c r="D18" s="728" t="s">
        <v>946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V18" s="336" t="s">
        <v>949</v>
      </c>
      <c r="W18" s="351"/>
      <c r="X18" s="194"/>
      <c r="Y18" s="194"/>
      <c r="Z18" s="194"/>
      <c r="AA18" s="194"/>
      <c r="AB18" s="194"/>
      <c r="AC18" s="194"/>
      <c r="AD18" s="668"/>
    </row>
    <row r="19" spans="1:30" ht="16.5" thickBot="1">
      <c r="A19" s="868" t="s">
        <v>945</v>
      </c>
      <c r="B19" s="728"/>
      <c r="C19" s="728" t="s">
        <v>18</v>
      </c>
      <c r="D19" s="728" t="s">
        <v>946</v>
      </c>
      <c r="H19" s="445">
        <v>66979244.490000002</v>
      </c>
      <c r="I19" s="445">
        <v>55753842.909999996</v>
      </c>
      <c r="J19" s="445">
        <v>43438380.670000002</v>
      </c>
      <c r="K19" s="445">
        <v>28450602.100000001</v>
      </c>
      <c r="L19" s="445">
        <v>17096425.030000001</v>
      </c>
      <c r="M19" s="445">
        <v>10102428.24</v>
      </c>
      <c r="N19" s="445">
        <v>8383354.4800000004</v>
      </c>
      <c r="O19" s="445">
        <v>7829610.4400000004</v>
      </c>
      <c r="P19" s="445">
        <v>9023156.9499999993</v>
      </c>
      <c r="Q19" s="445">
        <v>22747176.509999998</v>
      </c>
      <c r="R19" s="445">
        <v>40013037.519999996</v>
      </c>
      <c r="S19" s="445">
        <v>63848783.399999999</v>
      </c>
      <c r="T19" s="445">
        <v>373666042.73999995</v>
      </c>
      <c r="V19" s="340"/>
      <c r="W19" s="353" t="s">
        <v>680</v>
      </c>
      <c r="X19" s="673">
        <f>+$S$102</f>
        <v>24</v>
      </c>
      <c r="Y19" s="673">
        <f>+$T$102</f>
        <v>24</v>
      </c>
      <c r="Z19" s="673">
        <f>+$T$103</f>
        <v>193822</v>
      </c>
      <c r="AA19" s="673">
        <f>+$T$96</f>
        <v>148888.3059026284</v>
      </c>
      <c r="AB19" s="673">
        <f>+$T$98</f>
        <v>34711.58</v>
      </c>
      <c r="AC19" s="673">
        <f>+$T$100</f>
        <v>672201.83000000007</v>
      </c>
      <c r="AD19" s="674">
        <f>SUM(AA19:AC19)</f>
        <v>855801.71590262849</v>
      </c>
    </row>
    <row r="20" spans="1:30" ht="15.75">
      <c r="A20" s="868" t="s">
        <v>945</v>
      </c>
      <c r="B20" s="728"/>
      <c r="C20" s="728" t="s">
        <v>19</v>
      </c>
      <c r="D20" s="728" t="s">
        <v>946</v>
      </c>
      <c r="H20" s="444">
        <v>143771993.73175201</v>
      </c>
      <c r="I20" s="444">
        <v>119648445.61706693</v>
      </c>
      <c r="J20" s="444">
        <v>94289176.88241975</v>
      </c>
      <c r="K20" s="444">
        <v>55153079.2504256</v>
      </c>
      <c r="L20" s="444">
        <v>34412909.195710063</v>
      </c>
      <c r="M20" s="444">
        <v>24043406.922628917</v>
      </c>
      <c r="N20" s="444">
        <v>21424540.29762518</v>
      </c>
      <c r="O20" s="444">
        <v>20917577.611251045</v>
      </c>
      <c r="P20" s="444">
        <v>24170052.285340525</v>
      </c>
      <c r="Q20" s="444">
        <v>45280200.664155565</v>
      </c>
      <c r="R20" s="444">
        <v>89781564.159897402</v>
      </c>
      <c r="S20" s="444">
        <v>136940766.54305947</v>
      </c>
      <c r="T20" s="444">
        <f>SUM(T15:T19)</f>
        <v>816336239.02133203</v>
      </c>
      <c r="V20" s="338"/>
      <c r="W20" s="352" t="s">
        <v>104</v>
      </c>
      <c r="X20" s="670">
        <f t="shared" ref="X20:AD20" si="1">SUM(X19:X19)</f>
        <v>24</v>
      </c>
      <c r="Y20" s="670">
        <f t="shared" si="1"/>
        <v>24</v>
      </c>
      <c r="Z20" s="670">
        <f>SUM(Z19:Z19)</f>
        <v>193822</v>
      </c>
      <c r="AA20" s="670">
        <f t="shared" si="1"/>
        <v>148888.3059026284</v>
      </c>
      <c r="AB20" s="670">
        <f t="shared" si="1"/>
        <v>34711.58</v>
      </c>
      <c r="AC20" s="670">
        <f t="shared" si="1"/>
        <v>672201.83000000007</v>
      </c>
      <c r="AD20" s="671">
        <f t="shared" si="1"/>
        <v>855801.71590262849</v>
      </c>
    </row>
    <row r="21" spans="1:30" ht="15.75">
      <c r="A21" s="868" t="s">
        <v>945</v>
      </c>
      <c r="B21" s="728"/>
      <c r="C21" s="728" t="s">
        <v>947</v>
      </c>
      <c r="D21" s="728" t="s">
        <v>946</v>
      </c>
      <c r="H21" s="444">
        <v>1031091</v>
      </c>
      <c r="I21" s="444">
        <v>1032774</v>
      </c>
      <c r="J21" s="444">
        <v>1035510</v>
      </c>
      <c r="K21" s="444">
        <v>1035798</v>
      </c>
      <c r="L21" s="444">
        <v>1036555</v>
      </c>
      <c r="M21" s="444">
        <v>1036869</v>
      </c>
      <c r="N21" s="444">
        <v>1034726</v>
      </c>
      <c r="O21" s="444">
        <v>1036350</v>
      </c>
      <c r="P21" s="444">
        <v>1037253</v>
      </c>
      <c r="Q21" s="444">
        <v>1040690</v>
      </c>
      <c r="R21" s="444">
        <v>1044923</v>
      </c>
      <c r="S21" s="444">
        <v>1049856</v>
      </c>
      <c r="T21" s="444">
        <v>1037699.5833333334</v>
      </c>
      <c r="V21" s="338"/>
      <c r="W21" s="352"/>
      <c r="X21" s="670"/>
      <c r="Y21" s="670"/>
      <c r="Z21" s="670"/>
      <c r="AA21" s="670"/>
      <c r="AB21" s="670"/>
      <c r="AC21" s="670"/>
      <c r="AD21" s="671"/>
    </row>
    <row r="22" spans="1:30" ht="15.75">
      <c r="A22" s="868" t="s">
        <v>945</v>
      </c>
      <c r="B22" s="728"/>
      <c r="C22" s="728" t="s">
        <v>20</v>
      </c>
      <c r="D22" s="728" t="s">
        <v>946</v>
      </c>
      <c r="H22" s="444">
        <v>19312728</v>
      </c>
      <c r="I22" s="444">
        <v>16076007</v>
      </c>
      <c r="J22" s="444">
        <v>12524979</v>
      </c>
      <c r="K22" s="444">
        <v>8203418</v>
      </c>
      <c r="L22" s="444">
        <v>4929566</v>
      </c>
      <c r="M22" s="444">
        <v>2912924</v>
      </c>
      <c r="N22" s="444">
        <v>2417248</v>
      </c>
      <c r="O22" s="444">
        <v>2257582</v>
      </c>
      <c r="P22" s="444">
        <v>2601728</v>
      </c>
      <c r="Q22" s="444">
        <v>6558898</v>
      </c>
      <c r="R22" s="444">
        <v>11537319</v>
      </c>
      <c r="S22" s="444">
        <v>18410094</v>
      </c>
      <c r="T22" s="444">
        <v>107742491</v>
      </c>
      <c r="V22" s="336"/>
      <c r="W22" s="352" t="s">
        <v>690</v>
      </c>
      <c r="X22" s="670"/>
      <c r="Y22" s="670"/>
      <c r="Z22" s="670"/>
      <c r="AA22" s="670">
        <f>+$T$195</f>
        <v>0</v>
      </c>
      <c r="AB22" s="670"/>
      <c r="AC22" s="670"/>
      <c r="AD22" s="671">
        <f>SUM(AA22:AC22)</f>
        <v>0</v>
      </c>
    </row>
    <row r="23" spans="1:30" ht="16.5" thickBot="1">
      <c r="A23" s="868" t="s">
        <v>945</v>
      </c>
      <c r="B23" s="332"/>
      <c r="C23" s="728"/>
      <c r="D23" s="728"/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444"/>
      <c r="V23" s="336"/>
      <c r="W23" s="353" t="s">
        <v>114</v>
      </c>
      <c r="X23" s="673"/>
      <c r="Y23" s="673"/>
      <c r="Z23" s="673"/>
      <c r="AA23" s="673">
        <f>+$T$196</f>
        <v>0</v>
      </c>
      <c r="AB23" s="673"/>
      <c r="AC23" s="673"/>
      <c r="AD23" s="674">
        <f>SUM(AA23:AC23)</f>
        <v>0</v>
      </c>
    </row>
    <row r="24" spans="1:30" ht="15.75">
      <c r="A24" s="868" t="s">
        <v>945</v>
      </c>
      <c r="B24" s="728" t="s">
        <v>247</v>
      </c>
      <c r="C24" s="728" t="s">
        <v>16</v>
      </c>
      <c r="D24" s="728" t="s">
        <v>946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444">
        <v>0</v>
      </c>
      <c r="V24" s="877"/>
      <c r="W24" s="352" t="s">
        <v>966</v>
      </c>
      <c r="X24" s="670"/>
      <c r="Y24" s="670"/>
      <c r="Z24" s="670"/>
      <c r="AA24" s="670">
        <f>SUM(AA22:AA23)</f>
        <v>0</v>
      </c>
      <c r="AB24" s="670"/>
      <c r="AC24" s="670"/>
      <c r="AD24" s="671">
        <f>SUM(AD22:AD23)</f>
        <v>0</v>
      </c>
    </row>
    <row r="25" spans="1:30">
      <c r="A25" s="868" t="s">
        <v>945</v>
      </c>
      <c r="B25" s="728"/>
      <c r="C25" s="728"/>
      <c r="D25" s="728" t="s">
        <v>946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444"/>
      <c r="V25" s="336"/>
      <c r="W25" s="351"/>
      <c r="X25" s="194"/>
      <c r="Y25" s="194"/>
      <c r="Z25" s="194"/>
      <c r="AA25" s="194"/>
      <c r="AB25" s="194"/>
      <c r="AC25" s="194"/>
      <c r="AD25" s="668"/>
    </row>
    <row r="26" spans="1:30">
      <c r="A26" s="868" t="s">
        <v>945</v>
      </c>
      <c r="B26" s="728"/>
      <c r="C26" s="728" t="s">
        <v>17</v>
      </c>
      <c r="D26" s="728" t="s">
        <v>946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444">
        <v>0</v>
      </c>
      <c r="V26" s="336" t="s">
        <v>953</v>
      </c>
      <c r="W26" s="351"/>
      <c r="X26" s="194"/>
      <c r="Y26" s="194"/>
      <c r="Z26" s="194"/>
      <c r="AA26" s="194"/>
      <c r="AB26" s="194"/>
      <c r="AC26" s="194"/>
      <c r="AD26" s="668"/>
    </row>
    <row r="27" spans="1:30">
      <c r="A27" s="868" t="s">
        <v>945</v>
      </c>
      <c r="B27" s="728"/>
      <c r="C27" s="728"/>
      <c r="D27" s="728" t="s">
        <v>946</v>
      </c>
      <c r="H27" s="444"/>
      <c r="I27" s="444"/>
      <c r="J27" s="444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V27" s="336"/>
      <c r="W27" s="351" t="s">
        <v>890</v>
      </c>
      <c r="X27" s="670">
        <f>+$S$129</f>
        <v>7</v>
      </c>
      <c r="Y27" s="670">
        <f>+$T$129</f>
        <v>7</v>
      </c>
      <c r="Z27" s="670">
        <f>+$T$130</f>
        <v>6130851</v>
      </c>
      <c r="AA27" s="670">
        <f>+$T$123</f>
        <v>2459413.425803564</v>
      </c>
      <c r="AB27" s="670">
        <f>+$T$125</f>
        <v>0</v>
      </c>
      <c r="AC27" s="670">
        <f>+$T$127</f>
        <v>0</v>
      </c>
      <c r="AD27" s="671">
        <f t="shared" ref="AD27:AD33" si="2">SUM(AA27:AC27)</f>
        <v>2459413.425803564</v>
      </c>
    </row>
    <row r="28" spans="1:30">
      <c r="A28" s="868" t="s">
        <v>945</v>
      </c>
      <c r="B28" s="728"/>
      <c r="C28" s="728" t="s">
        <v>18</v>
      </c>
      <c r="D28" s="728" t="s">
        <v>946</v>
      </c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>
        <v>0</v>
      </c>
      <c r="V28" s="336"/>
      <c r="W28" s="351" t="s">
        <v>956</v>
      </c>
      <c r="X28" s="670">
        <f>+$S$138</f>
        <v>0</v>
      </c>
      <c r="Y28" s="670">
        <f>+$T$138</f>
        <v>0</v>
      </c>
      <c r="Z28" s="670">
        <f>+$T$139</f>
        <v>0</v>
      </c>
      <c r="AA28" s="670">
        <f>+$T$132</f>
        <v>0</v>
      </c>
      <c r="AB28" s="670">
        <f>+$T$134</f>
        <v>0</v>
      </c>
      <c r="AC28" s="670">
        <f>+$T$136</f>
        <v>0</v>
      </c>
      <c r="AD28" s="671">
        <f t="shared" si="2"/>
        <v>0</v>
      </c>
    </row>
    <row r="29" spans="1:30">
      <c r="A29" s="868" t="s">
        <v>945</v>
      </c>
      <c r="B29" s="728"/>
      <c r="C29" s="728" t="s">
        <v>19</v>
      </c>
      <c r="D29" s="728" t="s">
        <v>946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444">
        <v>0</v>
      </c>
      <c r="V29" s="336"/>
      <c r="W29" s="351" t="s">
        <v>567</v>
      </c>
      <c r="X29" s="670">
        <f>+$S$156</f>
        <v>0</v>
      </c>
      <c r="Y29" s="670">
        <f>+$T$156</f>
        <v>0</v>
      </c>
      <c r="Z29" s="670">
        <f>+$T$157</f>
        <v>0</v>
      </c>
      <c r="AA29" s="670">
        <f>+$T$150</f>
        <v>0</v>
      </c>
      <c r="AB29" s="670">
        <f>+$T$152</f>
        <v>0</v>
      </c>
      <c r="AC29" s="670">
        <f>+$T$154</f>
        <v>0</v>
      </c>
      <c r="AD29" s="671">
        <f t="shared" si="2"/>
        <v>0</v>
      </c>
    </row>
    <row r="30" spans="1:30">
      <c r="A30" s="868" t="s">
        <v>945</v>
      </c>
      <c r="B30" s="728"/>
      <c r="C30" s="728" t="s">
        <v>947</v>
      </c>
      <c r="D30" s="728" t="s">
        <v>946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444"/>
      <c r="V30" s="336"/>
      <c r="W30" s="351" t="s">
        <v>566</v>
      </c>
      <c r="X30" s="670">
        <f>+$S$183</f>
        <v>0</v>
      </c>
      <c r="Y30" s="670">
        <f>+$T$183</f>
        <v>0</v>
      </c>
      <c r="Z30" s="670">
        <f>+$T$184</f>
        <v>0</v>
      </c>
      <c r="AA30" s="670">
        <f>+$T$177</f>
        <v>0</v>
      </c>
      <c r="AB30" s="670">
        <f>+$T$179</f>
        <v>0</v>
      </c>
      <c r="AC30" s="670">
        <f>+$T$181</f>
        <v>0</v>
      </c>
      <c r="AD30" s="671">
        <f t="shared" si="2"/>
        <v>0</v>
      </c>
    </row>
    <row r="31" spans="1:30">
      <c r="A31" s="868" t="s">
        <v>945</v>
      </c>
      <c r="B31" s="728"/>
      <c r="C31" s="728" t="s">
        <v>20</v>
      </c>
      <c r="D31" s="728" t="s">
        <v>946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>
        <v>0</v>
      </c>
      <c r="V31" s="336"/>
      <c r="W31" s="351" t="s">
        <v>692</v>
      </c>
      <c r="X31" s="670">
        <f>+$S$147</f>
        <v>1</v>
      </c>
      <c r="Y31" s="670">
        <f>+$T$147</f>
        <v>1</v>
      </c>
      <c r="Z31" s="670">
        <f>+$T$148</f>
        <v>21165</v>
      </c>
      <c r="AA31" s="670">
        <f>+$T$141</f>
        <v>25693.423474979696</v>
      </c>
      <c r="AB31" s="670">
        <f>+$T$143</f>
        <v>0</v>
      </c>
      <c r="AC31" s="670">
        <f>+$T$145</f>
        <v>0</v>
      </c>
      <c r="AD31" s="671">
        <f t="shared" si="2"/>
        <v>25693.423474979696</v>
      </c>
    </row>
    <row r="32" spans="1:30">
      <c r="A32" s="868" t="s">
        <v>945</v>
      </c>
      <c r="B32" s="332"/>
      <c r="C32" s="332"/>
      <c r="D32" s="332"/>
      <c r="H32" s="444"/>
      <c r="I32" s="444"/>
      <c r="J32" s="444"/>
      <c r="K32" s="444"/>
      <c r="L32" s="444"/>
      <c r="M32" s="444"/>
      <c r="N32" s="444"/>
      <c r="O32" s="444"/>
      <c r="P32" s="444"/>
      <c r="Q32" s="444"/>
      <c r="R32" s="444"/>
      <c r="S32" s="444"/>
      <c r="T32" s="444"/>
      <c r="V32" s="336"/>
      <c r="W32" s="351" t="s">
        <v>681</v>
      </c>
      <c r="X32" s="670">
        <f>+$S$165</f>
        <v>1141</v>
      </c>
      <c r="Y32" s="670">
        <f>+$T$165</f>
        <v>1049</v>
      </c>
      <c r="Z32" s="670">
        <f>+$T$166</f>
        <v>48749445</v>
      </c>
      <c r="AA32" s="670">
        <f>+$T$159</f>
        <v>25212953.372898743</v>
      </c>
      <c r="AB32" s="670">
        <f>+$T$161</f>
        <v>0</v>
      </c>
      <c r="AC32" s="670">
        <f>+$T$172</f>
        <v>0</v>
      </c>
      <c r="AD32" s="671">
        <f t="shared" si="2"/>
        <v>25212953.372898743</v>
      </c>
    </row>
    <row r="33" spans="1:30" ht="13.5" thickBot="1">
      <c r="A33" s="868" t="s">
        <v>945</v>
      </c>
      <c r="B33" s="728" t="s">
        <v>808</v>
      </c>
      <c r="C33" s="728" t="s">
        <v>16</v>
      </c>
      <c r="D33" s="728" t="s">
        <v>946</v>
      </c>
      <c r="H33" s="444">
        <v>0</v>
      </c>
      <c r="I33" s="444">
        <v>0</v>
      </c>
      <c r="J33" s="444">
        <v>0</v>
      </c>
      <c r="K33" s="444">
        <v>0</v>
      </c>
      <c r="L33" s="444">
        <v>0</v>
      </c>
      <c r="M33" s="444">
        <v>0</v>
      </c>
      <c r="N33" s="444">
        <v>0</v>
      </c>
      <c r="O33" s="444">
        <v>0</v>
      </c>
      <c r="P33" s="444">
        <v>0</v>
      </c>
      <c r="Q33" s="444">
        <v>0</v>
      </c>
      <c r="R33" s="444">
        <v>0</v>
      </c>
      <c r="S33" s="444">
        <v>0</v>
      </c>
      <c r="T33" s="444">
        <v>0</v>
      </c>
      <c r="V33" s="342"/>
      <c r="W33" s="354" t="s">
        <v>895</v>
      </c>
      <c r="X33" s="673">
        <f>+$S$174</f>
        <v>0</v>
      </c>
      <c r="Y33" s="673">
        <f>+$T$174</f>
        <v>0</v>
      </c>
      <c r="Z33" s="673">
        <f>+$T$175</f>
        <v>0</v>
      </c>
      <c r="AA33" s="673">
        <f>+$T$168</f>
        <v>0</v>
      </c>
      <c r="AB33" s="673">
        <f>+$T$170</f>
        <v>0</v>
      </c>
      <c r="AC33" s="673">
        <f>+$T$172</f>
        <v>0</v>
      </c>
      <c r="AD33" s="674">
        <f t="shared" si="2"/>
        <v>0</v>
      </c>
    </row>
    <row r="34" spans="1:30" ht="15.75">
      <c r="A34" s="868" t="s">
        <v>945</v>
      </c>
      <c r="B34" s="728"/>
      <c r="C34" s="728"/>
      <c r="D34" s="728" t="s">
        <v>946</v>
      </c>
      <c r="H34" s="444">
        <v>0</v>
      </c>
      <c r="I34" s="444">
        <v>0</v>
      </c>
      <c r="J34" s="444">
        <v>0</v>
      </c>
      <c r="K34" s="444">
        <v>0</v>
      </c>
      <c r="L34" s="444">
        <v>0</v>
      </c>
      <c r="M34" s="444">
        <v>0</v>
      </c>
      <c r="N34" s="444">
        <v>0</v>
      </c>
      <c r="O34" s="444">
        <v>0</v>
      </c>
      <c r="P34" s="444">
        <v>0</v>
      </c>
      <c r="Q34" s="444">
        <v>0</v>
      </c>
      <c r="R34" s="444">
        <v>0</v>
      </c>
      <c r="S34" s="444">
        <v>0</v>
      </c>
      <c r="T34" s="444"/>
      <c r="V34" s="338"/>
      <c r="W34" s="352" t="s">
        <v>105</v>
      </c>
      <c r="X34" s="670">
        <f t="shared" ref="X34:AD34" si="3">SUM(X27:X33)</f>
        <v>1149</v>
      </c>
      <c r="Y34" s="670">
        <f t="shared" si="3"/>
        <v>1057</v>
      </c>
      <c r="Z34" s="670">
        <f t="shared" si="3"/>
        <v>54901461</v>
      </c>
      <c r="AA34" s="670">
        <f t="shared" si="3"/>
        <v>27698060.222177286</v>
      </c>
      <c r="AB34" s="670">
        <f t="shared" si="3"/>
        <v>0</v>
      </c>
      <c r="AC34" s="670">
        <f t="shared" si="3"/>
        <v>0</v>
      </c>
      <c r="AD34" s="671">
        <f t="shared" si="3"/>
        <v>27698060.222177286</v>
      </c>
    </row>
    <row r="35" spans="1:30">
      <c r="A35" s="868" t="s">
        <v>945</v>
      </c>
      <c r="B35" s="728"/>
      <c r="C35" s="728" t="s">
        <v>17</v>
      </c>
      <c r="D35" s="728" t="s">
        <v>946</v>
      </c>
      <c r="H35" s="444">
        <v>0</v>
      </c>
      <c r="I35" s="444">
        <v>0</v>
      </c>
      <c r="J35" s="444">
        <v>0</v>
      </c>
      <c r="K35" s="444">
        <v>0</v>
      </c>
      <c r="L35" s="444">
        <v>0</v>
      </c>
      <c r="M35" s="444">
        <v>0</v>
      </c>
      <c r="N35" s="444">
        <v>0</v>
      </c>
      <c r="O35" s="444">
        <v>0</v>
      </c>
      <c r="P35" s="444">
        <v>0</v>
      </c>
      <c r="Q35" s="444">
        <v>0</v>
      </c>
      <c r="R35" s="444">
        <v>0</v>
      </c>
      <c r="S35" s="444">
        <v>0</v>
      </c>
      <c r="T35" s="444">
        <v>0</v>
      </c>
      <c r="V35" s="336"/>
      <c r="W35" s="351"/>
      <c r="X35" s="194"/>
      <c r="Y35" s="194"/>
      <c r="Z35" s="194"/>
      <c r="AA35" s="194"/>
      <c r="AB35" s="194"/>
      <c r="AC35" s="194"/>
      <c r="AD35" s="668"/>
    </row>
    <row r="36" spans="1:30" ht="15.75">
      <c r="A36" s="868" t="s">
        <v>945</v>
      </c>
      <c r="B36" s="728"/>
      <c r="C36" s="728"/>
      <c r="D36" s="728" t="s">
        <v>946</v>
      </c>
      <c r="H36" s="444">
        <v>0</v>
      </c>
      <c r="I36" s="444">
        <v>0</v>
      </c>
      <c r="J36" s="444">
        <v>0</v>
      </c>
      <c r="K36" s="444">
        <v>0</v>
      </c>
      <c r="L36" s="444">
        <v>0</v>
      </c>
      <c r="M36" s="444">
        <v>0</v>
      </c>
      <c r="N36" s="444">
        <v>0</v>
      </c>
      <c r="O36" s="444">
        <v>0</v>
      </c>
      <c r="P36" s="444">
        <v>0</v>
      </c>
      <c r="Q36" s="444">
        <v>0</v>
      </c>
      <c r="R36" s="444">
        <v>0</v>
      </c>
      <c r="S36" s="444">
        <v>0</v>
      </c>
      <c r="T36" s="444"/>
      <c r="V36" s="338"/>
      <c r="W36" s="352" t="s">
        <v>967</v>
      </c>
      <c r="X36" s="355">
        <f t="shared" ref="X36:AD36" si="4">+X34+X24+X16+X20</f>
        <v>1051478</v>
      </c>
      <c r="Y36" s="355">
        <f t="shared" si="4"/>
        <v>1039240.0833333334</v>
      </c>
      <c r="Z36" s="355">
        <f t="shared" si="4"/>
        <v>165980895</v>
      </c>
      <c r="AA36" s="355">
        <f t="shared" si="4"/>
        <v>355305755.7273978</v>
      </c>
      <c r="AB36" s="355">
        <f>+AB34+AB24+AB16+AB20</f>
        <v>122000360.16</v>
      </c>
      <c r="AC36" s="355">
        <f t="shared" si="4"/>
        <v>385239028.2299999</v>
      </c>
      <c r="AD36" s="356">
        <f t="shared" si="4"/>
        <v>862545144.1173979</v>
      </c>
    </row>
    <row r="37" spans="1:30" ht="13.5" thickBot="1">
      <c r="A37" s="868" t="s">
        <v>945</v>
      </c>
      <c r="B37" s="728"/>
      <c r="C37" s="728" t="s">
        <v>18</v>
      </c>
      <c r="D37" s="728" t="s">
        <v>946</v>
      </c>
      <c r="H37" s="445">
        <v>0</v>
      </c>
      <c r="I37" s="445">
        <v>0</v>
      </c>
      <c r="J37" s="445">
        <v>0</v>
      </c>
      <c r="K37" s="445">
        <v>0</v>
      </c>
      <c r="L37" s="445">
        <v>0</v>
      </c>
      <c r="M37" s="445">
        <v>0</v>
      </c>
      <c r="N37" s="445">
        <v>0</v>
      </c>
      <c r="O37" s="445">
        <v>0</v>
      </c>
      <c r="P37" s="445">
        <v>0</v>
      </c>
      <c r="Q37" s="445">
        <v>0</v>
      </c>
      <c r="R37" s="445">
        <v>0</v>
      </c>
      <c r="S37" s="445">
        <v>0</v>
      </c>
      <c r="T37" s="445">
        <v>0</v>
      </c>
      <c r="V37" s="342"/>
      <c r="W37" s="354"/>
      <c r="X37" s="661"/>
      <c r="Y37" s="661"/>
      <c r="Z37" s="661"/>
      <c r="AA37" s="661"/>
      <c r="AB37" s="661"/>
      <c r="AC37" s="661"/>
      <c r="AD37" s="678"/>
    </row>
    <row r="38" spans="1:30" ht="16.5" thickBot="1">
      <c r="A38" s="868" t="s">
        <v>945</v>
      </c>
      <c r="B38" s="728"/>
      <c r="C38" s="728" t="s">
        <v>19</v>
      </c>
      <c r="D38" s="728" t="s">
        <v>946</v>
      </c>
      <c r="H38" s="444">
        <v>0</v>
      </c>
      <c r="I38" s="444">
        <v>0</v>
      </c>
      <c r="J38" s="444">
        <v>0</v>
      </c>
      <c r="K38" s="444">
        <v>0</v>
      </c>
      <c r="L38" s="444">
        <v>0</v>
      </c>
      <c r="M38" s="444">
        <v>0</v>
      </c>
      <c r="N38" s="444">
        <v>0</v>
      </c>
      <c r="O38" s="444">
        <v>0</v>
      </c>
      <c r="P38" s="444">
        <v>0</v>
      </c>
      <c r="Q38" s="444">
        <v>0</v>
      </c>
      <c r="R38" s="444">
        <v>0</v>
      </c>
      <c r="S38" s="444">
        <v>0</v>
      </c>
      <c r="T38" s="444">
        <v>0</v>
      </c>
      <c r="V38" s="338"/>
      <c r="W38" s="352"/>
      <c r="X38" s="355"/>
      <c r="Y38" s="355"/>
      <c r="Z38" s="355"/>
      <c r="AA38" s="355"/>
      <c r="AB38" s="355"/>
      <c r="AC38" s="355"/>
      <c r="AD38" s="356"/>
    </row>
    <row r="39" spans="1:30">
      <c r="A39" s="868" t="s">
        <v>945</v>
      </c>
      <c r="B39" s="728"/>
      <c r="C39" s="728" t="s">
        <v>947</v>
      </c>
      <c r="D39" s="728" t="s">
        <v>946</v>
      </c>
      <c r="H39" s="444">
        <v>0</v>
      </c>
      <c r="I39" s="444">
        <v>0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44">
        <v>0</v>
      </c>
      <c r="R39" s="444">
        <v>0</v>
      </c>
      <c r="S39" s="444">
        <v>0</v>
      </c>
      <c r="T39" s="444">
        <v>0</v>
      </c>
      <c r="V39" s="344" t="s">
        <v>968</v>
      </c>
      <c r="W39" s="357"/>
      <c r="X39" s="663"/>
      <c r="Y39" s="663"/>
      <c r="Z39" s="663"/>
      <c r="AA39" s="663"/>
      <c r="AB39" s="663"/>
      <c r="AC39" s="663"/>
      <c r="AD39" s="667"/>
    </row>
    <row r="40" spans="1:30" ht="16.5" thickBot="1">
      <c r="A40" s="868" t="s">
        <v>945</v>
      </c>
      <c r="B40" s="728"/>
      <c r="C40" s="728" t="s">
        <v>20</v>
      </c>
      <c r="D40" s="728" t="s">
        <v>946</v>
      </c>
      <c r="H40" s="444">
        <v>0</v>
      </c>
      <c r="I40" s="444">
        <v>0</v>
      </c>
      <c r="J40" s="444">
        <v>0</v>
      </c>
      <c r="K40" s="444">
        <v>0</v>
      </c>
      <c r="L40" s="444">
        <v>0</v>
      </c>
      <c r="M40" s="444">
        <v>0</v>
      </c>
      <c r="N40" s="444">
        <v>0</v>
      </c>
      <c r="O40" s="444">
        <v>0</v>
      </c>
      <c r="P40" s="444">
        <v>0</v>
      </c>
      <c r="Q40" s="444">
        <v>0</v>
      </c>
      <c r="R40" s="444">
        <v>0</v>
      </c>
      <c r="S40" s="444">
        <v>0</v>
      </c>
      <c r="T40" s="444">
        <v>0</v>
      </c>
      <c r="V40" s="346" t="s">
        <v>945</v>
      </c>
      <c r="W40" s="358"/>
      <c r="X40" s="194"/>
      <c r="Y40" s="194"/>
      <c r="Z40" s="194"/>
      <c r="AA40" s="194"/>
      <c r="AB40" s="194"/>
      <c r="AC40" s="194"/>
      <c r="AD40" s="668"/>
    </row>
    <row r="41" spans="1:30" ht="15.75">
      <c r="A41" s="868" t="s">
        <v>945</v>
      </c>
      <c r="B41" s="332"/>
      <c r="C41" s="332"/>
      <c r="D41" s="728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V41" s="338"/>
      <c r="W41" s="352" t="s">
        <v>969</v>
      </c>
      <c r="X41" s="670">
        <f>+$S$244</f>
        <v>27981</v>
      </c>
      <c r="Y41" s="670">
        <f>+$T$244</f>
        <v>27899.75</v>
      </c>
      <c r="Z41" s="670">
        <f>+$T$245</f>
        <v>3552855</v>
      </c>
      <c r="AA41" s="670">
        <f>+$T$238</f>
        <v>16387268.370000001</v>
      </c>
      <c r="AB41" s="670">
        <v>0</v>
      </c>
      <c r="AC41" s="670">
        <f>+$T$242</f>
        <v>16013605.689999999</v>
      </c>
      <c r="AD41" s="671">
        <f>SUM(AA41:AC41)</f>
        <v>32400874.060000002</v>
      </c>
    </row>
    <row r="42" spans="1:30" ht="15.75">
      <c r="A42" s="868" t="s">
        <v>945</v>
      </c>
      <c r="B42" s="728" t="s">
        <v>948</v>
      </c>
      <c r="C42" s="728" t="s">
        <v>16</v>
      </c>
      <c r="D42" s="728" t="s">
        <v>946</v>
      </c>
      <c r="H42" s="444">
        <v>343889.42911763309</v>
      </c>
      <c r="I42" s="444">
        <v>318068.51993026672</v>
      </c>
      <c r="J42" s="444">
        <v>316367.83329301991</v>
      </c>
      <c r="K42" s="444">
        <v>168753.30283706775</v>
      </c>
      <c r="L42" s="444">
        <v>157398.58502260284</v>
      </c>
      <c r="M42" s="444">
        <v>160598.32018683109</v>
      </c>
      <c r="N42" s="444">
        <v>139023.82793762116</v>
      </c>
      <c r="O42" s="444">
        <v>125207.13416955029</v>
      </c>
      <c r="P42" s="444">
        <v>143939.21082841331</v>
      </c>
      <c r="Q42" s="444">
        <v>143589.85342090184</v>
      </c>
      <c r="R42" s="444">
        <v>260812.38240572938</v>
      </c>
      <c r="S42" s="444">
        <v>291351.48650884716</v>
      </c>
      <c r="T42" s="444">
        <v>2568999.8856584844</v>
      </c>
      <c r="V42" s="338"/>
      <c r="W42" s="352" t="s">
        <v>509</v>
      </c>
      <c r="X42" s="670">
        <f>+$S$253</f>
        <v>24</v>
      </c>
      <c r="Y42" s="670">
        <f>+$T$253</f>
        <v>24</v>
      </c>
      <c r="Z42" s="670">
        <f>+$T$254</f>
        <v>172339</v>
      </c>
      <c r="AA42" s="670">
        <f>+$T$247</f>
        <v>154975.35999999999</v>
      </c>
      <c r="AB42" s="670">
        <v>0</v>
      </c>
      <c r="AC42" s="670">
        <f>+$T$251</f>
        <v>776774.95</v>
      </c>
      <c r="AD42" s="671">
        <f>SUM(AA42:AC42)</f>
        <v>931750.30999999994</v>
      </c>
    </row>
    <row r="43" spans="1:30" ht="16.5" thickBot="1">
      <c r="A43" s="868" t="s">
        <v>945</v>
      </c>
      <c r="B43" s="728"/>
      <c r="C43" s="728"/>
      <c r="D43" s="728" t="s">
        <v>946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444"/>
      <c r="V43" s="340"/>
      <c r="W43" s="353" t="s">
        <v>810</v>
      </c>
      <c r="X43" s="673">
        <f>+$S$262</f>
        <v>1</v>
      </c>
      <c r="Y43" s="673">
        <f>+$T$262</f>
        <v>1</v>
      </c>
      <c r="Z43" s="673">
        <f>+$T$263</f>
        <v>4336</v>
      </c>
      <c r="AA43" s="673">
        <f>+$T$256</f>
        <v>32937.399999999994</v>
      </c>
      <c r="AB43" s="673">
        <v>0</v>
      </c>
      <c r="AC43" s="673">
        <f>+$T$260</f>
        <v>19543.440000000002</v>
      </c>
      <c r="AD43" s="674">
        <f>SUM(AA43:AC43)</f>
        <v>52480.84</v>
      </c>
    </row>
    <row r="44" spans="1:30" ht="15.75">
      <c r="A44" s="868" t="s">
        <v>945</v>
      </c>
      <c r="B44" s="332"/>
      <c r="C44" s="728" t="s">
        <v>17</v>
      </c>
      <c r="D44" s="728" t="s">
        <v>946</v>
      </c>
      <c r="H44" s="444">
        <v>445759.36000000004</v>
      </c>
      <c r="I44" s="444">
        <v>399106.5</v>
      </c>
      <c r="J44" s="444">
        <v>396049.72</v>
      </c>
      <c r="K44" s="444">
        <v>177492.71</v>
      </c>
      <c r="L44" s="444">
        <v>150895.44</v>
      </c>
      <c r="M44" s="444">
        <v>146804.36000000002</v>
      </c>
      <c r="N44" s="444">
        <v>109338.65</v>
      </c>
      <c r="O44" s="444">
        <v>86299.73000000001</v>
      </c>
      <c r="P44" s="444">
        <v>112842.26000000001</v>
      </c>
      <c r="Q44" s="444">
        <v>112152.61</v>
      </c>
      <c r="R44" s="444">
        <v>277907.45999999996</v>
      </c>
      <c r="S44" s="444">
        <v>343794.22000000003</v>
      </c>
      <c r="T44" s="444">
        <v>2758443.02</v>
      </c>
      <c r="V44" s="338"/>
      <c r="W44" s="352" t="s">
        <v>106</v>
      </c>
      <c r="X44" s="670">
        <f t="shared" ref="X44:AD44" si="5">SUM(X41:X43)</f>
        <v>28006</v>
      </c>
      <c r="Y44" s="670">
        <f t="shared" si="5"/>
        <v>27924.75</v>
      </c>
      <c r="Z44" s="670">
        <f t="shared" si="5"/>
        <v>3729530</v>
      </c>
      <c r="AA44" s="670">
        <f t="shared" si="5"/>
        <v>16575181.130000001</v>
      </c>
      <c r="AB44" s="670">
        <f t="shared" si="5"/>
        <v>0</v>
      </c>
      <c r="AC44" s="670">
        <f t="shared" si="5"/>
        <v>16809924.080000002</v>
      </c>
      <c r="AD44" s="671">
        <f t="shared" si="5"/>
        <v>33385105.210000001</v>
      </c>
    </row>
    <row r="45" spans="1:30" ht="15.75">
      <c r="A45" s="868" t="s">
        <v>945</v>
      </c>
      <c r="B45" s="728"/>
      <c r="C45" s="728"/>
      <c r="D45" s="728" t="s">
        <v>946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4"/>
      <c r="V45" s="338"/>
      <c r="W45" s="352"/>
      <c r="X45" s="670"/>
      <c r="Y45" s="670"/>
      <c r="Z45" s="670"/>
      <c r="AA45" s="670"/>
      <c r="AB45" s="670"/>
      <c r="AC45" s="670"/>
      <c r="AD45" s="671"/>
    </row>
    <row r="46" spans="1:30" ht="15.75">
      <c r="A46" s="868" t="s">
        <v>945</v>
      </c>
      <c r="B46" s="332"/>
      <c r="C46" s="332" t="s">
        <v>18</v>
      </c>
      <c r="D46" s="728" t="s">
        <v>946</v>
      </c>
      <c r="H46" s="445">
        <v>1225422.1800000002</v>
      </c>
      <c r="I46" s="445">
        <v>1097170.3600000001</v>
      </c>
      <c r="J46" s="445">
        <v>1088767.06</v>
      </c>
      <c r="K46" s="445">
        <v>1012183.5900000001</v>
      </c>
      <c r="L46" s="445">
        <v>860507.97</v>
      </c>
      <c r="M46" s="445">
        <v>837177.77999999991</v>
      </c>
      <c r="N46" s="445">
        <v>623523.02</v>
      </c>
      <c r="O46" s="445">
        <v>492139.47</v>
      </c>
      <c r="P46" s="445">
        <v>643502.97</v>
      </c>
      <c r="Q46" s="445">
        <v>639570.10000000009</v>
      </c>
      <c r="R46" s="445">
        <v>763986.16</v>
      </c>
      <c r="S46" s="445">
        <v>945113.24</v>
      </c>
      <c r="T46" s="445">
        <v>10229063.9</v>
      </c>
      <c r="V46" s="336"/>
      <c r="W46" s="352" t="s">
        <v>690</v>
      </c>
      <c r="X46" s="670"/>
      <c r="Y46" s="670"/>
      <c r="Z46" s="670"/>
      <c r="AA46" s="670">
        <f>+$T$319</f>
        <v>-3710178.25</v>
      </c>
      <c r="AB46" s="670"/>
      <c r="AC46" s="670"/>
      <c r="AD46" s="671">
        <f>SUM(AA46:AC46)</f>
        <v>-3710178.25</v>
      </c>
    </row>
    <row r="47" spans="1:30" ht="16.5" thickBot="1">
      <c r="A47" s="868" t="s">
        <v>945</v>
      </c>
      <c r="B47" s="332"/>
      <c r="C47" s="728" t="s">
        <v>19</v>
      </c>
      <c r="D47" s="728" t="s">
        <v>946</v>
      </c>
      <c r="H47" s="444">
        <v>2015070.9691176333</v>
      </c>
      <c r="I47" s="444">
        <v>1814345.3799302669</v>
      </c>
      <c r="J47" s="444">
        <v>1801184.6132930201</v>
      </c>
      <c r="K47" s="444">
        <v>1358429.6028370678</v>
      </c>
      <c r="L47" s="444">
        <v>1168801.9950226028</v>
      </c>
      <c r="M47" s="444">
        <v>1144580.460186831</v>
      </c>
      <c r="N47" s="444">
        <v>871885.4979376212</v>
      </c>
      <c r="O47" s="444">
        <v>703646.33416955033</v>
      </c>
      <c r="P47" s="444">
        <v>900284.44082841324</v>
      </c>
      <c r="Q47" s="444">
        <v>895312.56342090201</v>
      </c>
      <c r="R47" s="444">
        <v>1302706.0024057294</v>
      </c>
      <c r="S47" s="444">
        <v>1580258.9465088472</v>
      </c>
      <c r="T47" s="444">
        <v>15556506.805658486</v>
      </c>
      <c r="V47" s="336"/>
      <c r="W47" s="353" t="s">
        <v>114</v>
      </c>
      <c r="X47" s="673"/>
      <c r="Y47" s="673"/>
      <c r="Z47" s="673"/>
      <c r="AA47" s="673">
        <f>+$T$320</f>
        <v>0</v>
      </c>
      <c r="AB47" s="673"/>
      <c r="AC47" s="673"/>
      <c r="AD47" s="674">
        <f>SUM(AA47:AC47)</f>
        <v>0</v>
      </c>
    </row>
    <row r="48" spans="1:30" ht="15.75">
      <c r="A48" s="868" t="s">
        <v>945</v>
      </c>
      <c r="B48" s="332"/>
      <c r="C48" s="728" t="s">
        <v>947</v>
      </c>
      <c r="D48" s="728" t="s">
        <v>946</v>
      </c>
      <c r="H48" s="444">
        <v>469</v>
      </c>
      <c r="I48" s="444">
        <v>469</v>
      </c>
      <c r="J48" s="444">
        <v>469</v>
      </c>
      <c r="K48" s="444">
        <v>469</v>
      </c>
      <c r="L48" s="444">
        <v>469</v>
      </c>
      <c r="M48" s="444">
        <v>469</v>
      </c>
      <c r="N48" s="444">
        <v>448</v>
      </c>
      <c r="O48" s="444">
        <v>448</v>
      </c>
      <c r="P48" s="444">
        <v>448</v>
      </c>
      <c r="Q48" s="444">
        <v>448</v>
      </c>
      <c r="R48" s="444">
        <v>448</v>
      </c>
      <c r="S48" s="444">
        <v>448</v>
      </c>
      <c r="T48" s="444">
        <v>458.5</v>
      </c>
      <c r="V48" s="877"/>
      <c r="W48" s="352" t="s">
        <v>966</v>
      </c>
      <c r="X48" s="670"/>
      <c r="Y48" s="670"/>
      <c r="Z48" s="670"/>
      <c r="AA48" s="670">
        <f>SUM(AA46:AA47)</f>
        <v>-3710178.25</v>
      </c>
      <c r="AB48" s="670"/>
      <c r="AC48" s="670"/>
      <c r="AD48" s="671">
        <f>SUM(AD46:AD47)</f>
        <v>-3710178.25</v>
      </c>
    </row>
    <row r="49" spans="1:30">
      <c r="A49" s="868" t="s">
        <v>945</v>
      </c>
      <c r="B49" s="332"/>
      <c r="C49" s="332" t="s">
        <v>20</v>
      </c>
      <c r="D49" s="728" t="s">
        <v>946</v>
      </c>
      <c r="H49" s="444">
        <v>353337</v>
      </c>
      <c r="I49" s="444">
        <v>316357</v>
      </c>
      <c r="J49" s="444">
        <v>313934</v>
      </c>
      <c r="K49" s="444">
        <v>291852</v>
      </c>
      <c r="L49" s="444">
        <v>248118</v>
      </c>
      <c r="M49" s="444">
        <v>241391</v>
      </c>
      <c r="N49" s="444">
        <v>179786</v>
      </c>
      <c r="O49" s="444">
        <v>141903</v>
      </c>
      <c r="P49" s="444">
        <v>185547</v>
      </c>
      <c r="Q49" s="444">
        <v>184413</v>
      </c>
      <c r="R49" s="444">
        <v>220287</v>
      </c>
      <c r="S49" s="444">
        <v>272513</v>
      </c>
      <c r="T49" s="444">
        <v>2949438</v>
      </c>
      <c r="V49" s="336"/>
      <c r="W49" s="351"/>
      <c r="X49" s="194"/>
      <c r="Y49" s="194"/>
      <c r="Z49" s="194"/>
      <c r="AA49" s="194"/>
      <c r="AB49" s="194"/>
      <c r="AC49" s="194"/>
      <c r="AD49" s="668"/>
    </row>
    <row r="50" spans="1:30">
      <c r="A50" s="868" t="s">
        <v>945</v>
      </c>
      <c r="B50" s="332"/>
      <c r="C50" s="332"/>
      <c r="D50" s="332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V50" s="336"/>
      <c r="W50" s="351"/>
      <c r="X50" s="194"/>
      <c r="Y50" s="194"/>
      <c r="Z50" s="194"/>
      <c r="AA50" s="194"/>
      <c r="AB50" s="194"/>
      <c r="AC50" s="194"/>
      <c r="AD50" s="668"/>
    </row>
    <row r="51" spans="1:30">
      <c r="A51" s="868" t="s">
        <v>945</v>
      </c>
      <c r="B51" s="728" t="s">
        <v>811</v>
      </c>
      <c r="C51" s="728" t="s">
        <v>16</v>
      </c>
      <c r="D51" s="728" t="s">
        <v>946</v>
      </c>
      <c r="H51" s="444">
        <v>0</v>
      </c>
      <c r="I51" s="444">
        <v>0</v>
      </c>
      <c r="J51" s="444">
        <v>0</v>
      </c>
      <c r="K51" s="444">
        <v>0</v>
      </c>
      <c r="L51" s="444">
        <v>0</v>
      </c>
      <c r="M51" s="444">
        <v>0</v>
      </c>
      <c r="N51" s="444">
        <v>0</v>
      </c>
      <c r="O51" s="444">
        <v>0</v>
      </c>
      <c r="P51" s="444">
        <v>0</v>
      </c>
      <c r="Q51" s="444">
        <v>0</v>
      </c>
      <c r="R51" s="444">
        <v>0</v>
      </c>
      <c r="S51" s="444">
        <v>0</v>
      </c>
      <c r="T51" s="444">
        <v>0</v>
      </c>
      <c r="V51" s="336" t="s">
        <v>949</v>
      </c>
      <c r="W51" s="351"/>
      <c r="X51" s="194"/>
      <c r="Y51" s="194"/>
      <c r="Z51" s="194"/>
      <c r="AA51" s="194"/>
      <c r="AB51" s="194"/>
      <c r="AC51" s="194"/>
      <c r="AD51" s="668"/>
    </row>
    <row r="52" spans="1:30" ht="15.75">
      <c r="A52" s="868" t="s">
        <v>945</v>
      </c>
      <c r="B52" s="728"/>
      <c r="C52" s="728" t="s">
        <v>17</v>
      </c>
      <c r="D52" s="728" t="s">
        <v>946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444"/>
      <c r="V52" s="336"/>
      <c r="W52" s="352" t="s">
        <v>970</v>
      </c>
      <c r="X52" s="670">
        <f>+$S$289</f>
        <v>0</v>
      </c>
      <c r="Y52" s="670">
        <f>+$T$289</f>
        <v>0</v>
      </c>
      <c r="Z52" s="670">
        <f>+$T$290</f>
        <v>0</v>
      </c>
      <c r="AA52" s="670">
        <f>+$T$283</f>
        <v>0</v>
      </c>
      <c r="AB52" s="670">
        <f>+$T$285</f>
        <v>0</v>
      </c>
      <c r="AC52" s="670">
        <f>+$T$287</f>
        <v>0</v>
      </c>
      <c r="AD52" s="671">
        <f>SUM(AA52:AC52)</f>
        <v>0</v>
      </c>
    </row>
    <row r="53" spans="1:30" ht="16.5" thickBot="1">
      <c r="A53" s="868" t="s">
        <v>945</v>
      </c>
      <c r="B53" s="728"/>
      <c r="C53" s="728" t="s">
        <v>812</v>
      </c>
      <c r="D53" s="728" t="s">
        <v>946</v>
      </c>
      <c r="H53" s="444">
        <v>0</v>
      </c>
      <c r="I53" s="444">
        <v>0</v>
      </c>
      <c r="J53" s="444">
        <v>0</v>
      </c>
      <c r="K53" s="444">
        <v>0</v>
      </c>
      <c r="L53" s="444">
        <v>0</v>
      </c>
      <c r="M53" s="444">
        <v>0</v>
      </c>
      <c r="N53" s="444">
        <v>0</v>
      </c>
      <c r="O53" s="444">
        <v>0</v>
      </c>
      <c r="P53" s="444">
        <v>0</v>
      </c>
      <c r="Q53" s="444">
        <v>0</v>
      </c>
      <c r="R53" s="444">
        <v>0</v>
      </c>
      <c r="S53" s="444">
        <v>0</v>
      </c>
      <c r="T53" s="444">
        <v>0</v>
      </c>
      <c r="V53" s="340"/>
      <c r="W53" s="353" t="s">
        <v>680</v>
      </c>
      <c r="X53" s="673">
        <f>+$S$280</f>
        <v>5</v>
      </c>
      <c r="Y53" s="673">
        <f>+$T$280</f>
        <v>5</v>
      </c>
      <c r="Z53" s="673">
        <f>+$T$281</f>
        <v>149658</v>
      </c>
      <c r="AA53" s="673">
        <f>+$T$274</f>
        <v>55342.07</v>
      </c>
      <c r="AB53" s="673">
        <f>+$T$276</f>
        <v>27017.749999999993</v>
      </c>
      <c r="AC53" s="673">
        <f>+$T$278</f>
        <v>674546.04</v>
      </c>
      <c r="AD53" s="674">
        <f>SUM(AA53:AC53)</f>
        <v>756905.86</v>
      </c>
    </row>
    <row r="54" spans="1:30" ht="15.75">
      <c r="A54" s="868" t="s">
        <v>945</v>
      </c>
      <c r="B54" s="728"/>
      <c r="C54" s="728" t="s">
        <v>813</v>
      </c>
      <c r="D54" s="728" t="s">
        <v>946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444"/>
      <c r="V54" s="338"/>
      <c r="W54" s="352" t="s">
        <v>107</v>
      </c>
      <c r="X54" s="670">
        <f t="shared" ref="X54:AD54" si="6">SUM(X52:X53)</f>
        <v>5</v>
      </c>
      <c r="Y54" s="670">
        <f t="shared" si="6"/>
        <v>5</v>
      </c>
      <c r="Z54" s="670">
        <f t="shared" si="6"/>
        <v>149658</v>
      </c>
      <c r="AA54" s="670">
        <f t="shared" si="6"/>
        <v>55342.07</v>
      </c>
      <c r="AB54" s="670">
        <f t="shared" si="6"/>
        <v>27017.749999999993</v>
      </c>
      <c r="AC54" s="670">
        <f t="shared" si="6"/>
        <v>674546.04</v>
      </c>
      <c r="AD54" s="671">
        <f t="shared" si="6"/>
        <v>756905.86</v>
      </c>
    </row>
    <row r="55" spans="1:30" ht="15.75">
      <c r="A55" s="868" t="s">
        <v>945</v>
      </c>
      <c r="B55" s="728"/>
      <c r="C55" s="728" t="s">
        <v>814</v>
      </c>
      <c r="D55" s="728" t="s">
        <v>946</v>
      </c>
      <c r="H55" s="445">
        <v>0</v>
      </c>
      <c r="I55" s="445">
        <v>0</v>
      </c>
      <c r="J55" s="445">
        <v>0</v>
      </c>
      <c r="K55" s="445">
        <v>0</v>
      </c>
      <c r="L55" s="445">
        <v>0</v>
      </c>
      <c r="M55" s="445">
        <v>0</v>
      </c>
      <c r="N55" s="445">
        <v>0</v>
      </c>
      <c r="O55" s="445">
        <v>0</v>
      </c>
      <c r="P55" s="445">
        <v>0</v>
      </c>
      <c r="Q55" s="445">
        <v>0</v>
      </c>
      <c r="R55" s="445">
        <v>0</v>
      </c>
      <c r="S55" s="445">
        <v>0</v>
      </c>
      <c r="T55" s="445">
        <v>0</v>
      </c>
      <c r="V55" s="338"/>
      <c r="W55" s="352"/>
      <c r="X55" s="670"/>
      <c r="Y55" s="670"/>
      <c r="Z55" s="670"/>
      <c r="AA55" s="670"/>
      <c r="AB55" s="670"/>
      <c r="AC55" s="670"/>
      <c r="AD55" s="671"/>
    </row>
    <row r="56" spans="1:30">
      <c r="A56" s="868" t="s">
        <v>945</v>
      </c>
      <c r="B56" s="728"/>
      <c r="C56" s="728" t="s">
        <v>19</v>
      </c>
      <c r="D56" s="728" t="s">
        <v>946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444">
        <v>0</v>
      </c>
      <c r="O56" s="444">
        <v>0</v>
      </c>
      <c r="P56" s="444">
        <v>0</v>
      </c>
      <c r="Q56" s="444">
        <v>0</v>
      </c>
      <c r="R56" s="444">
        <v>0</v>
      </c>
      <c r="S56" s="444">
        <v>0</v>
      </c>
      <c r="T56" s="444">
        <v>0</v>
      </c>
      <c r="V56" s="336" t="s">
        <v>953</v>
      </c>
      <c r="W56" s="351"/>
      <c r="X56" s="194"/>
      <c r="Y56" s="194"/>
      <c r="Z56" s="194"/>
      <c r="AA56" s="194"/>
      <c r="AB56" s="194"/>
      <c r="AC56" s="194"/>
      <c r="AD56" s="668"/>
    </row>
    <row r="57" spans="1:30">
      <c r="A57" s="868" t="s">
        <v>945</v>
      </c>
      <c r="B57" s="728"/>
      <c r="C57" s="728" t="s">
        <v>947</v>
      </c>
      <c r="D57" s="728" t="s">
        <v>946</v>
      </c>
      <c r="H57" s="444">
        <v>0</v>
      </c>
      <c r="I57" s="444">
        <v>0</v>
      </c>
      <c r="J57" s="444">
        <v>0</v>
      </c>
      <c r="K57" s="444">
        <v>0</v>
      </c>
      <c r="L57" s="444">
        <v>0</v>
      </c>
      <c r="M57" s="444">
        <v>0</v>
      </c>
      <c r="N57" s="444">
        <v>0</v>
      </c>
      <c r="O57" s="444">
        <v>0</v>
      </c>
      <c r="P57" s="444">
        <v>0</v>
      </c>
      <c r="Q57" s="444">
        <v>0</v>
      </c>
      <c r="R57" s="444">
        <v>0</v>
      </c>
      <c r="S57" s="444">
        <v>0</v>
      </c>
      <c r="T57" s="444">
        <v>0</v>
      </c>
      <c r="V57" s="336"/>
      <c r="W57" s="351" t="s">
        <v>971</v>
      </c>
      <c r="X57" s="670">
        <f>+$S$316</f>
        <v>2</v>
      </c>
      <c r="Y57" s="670">
        <f>+$T$316</f>
        <v>2</v>
      </c>
      <c r="Z57" s="670">
        <f>+$T$317</f>
        <v>565082</v>
      </c>
      <c r="AA57" s="670">
        <f>+$T$310</f>
        <v>36709.64</v>
      </c>
      <c r="AB57" s="670">
        <v>0</v>
      </c>
      <c r="AC57" s="670">
        <f>+$T$314</f>
        <v>0</v>
      </c>
      <c r="AD57" s="671">
        <f>SUM(AA57:AC57)</f>
        <v>36709.64</v>
      </c>
    </row>
    <row r="58" spans="1:30" ht="13.5" thickBot="1">
      <c r="A58" s="868" t="s">
        <v>945</v>
      </c>
      <c r="B58" s="728"/>
      <c r="C58" s="728" t="s">
        <v>83</v>
      </c>
      <c r="D58" s="728" t="s">
        <v>946</v>
      </c>
      <c r="H58" s="444">
        <v>0</v>
      </c>
      <c r="I58" s="444">
        <v>0</v>
      </c>
      <c r="J58" s="444">
        <v>0</v>
      </c>
      <c r="K58" s="444">
        <v>0</v>
      </c>
      <c r="L58" s="444">
        <v>0</v>
      </c>
      <c r="M58" s="444">
        <v>0</v>
      </c>
      <c r="N58" s="444">
        <v>0</v>
      </c>
      <c r="O58" s="444">
        <v>0</v>
      </c>
      <c r="P58" s="444">
        <v>0</v>
      </c>
      <c r="Q58" s="444">
        <v>0</v>
      </c>
      <c r="R58" s="444">
        <v>0</v>
      </c>
      <c r="S58" s="444">
        <v>0</v>
      </c>
      <c r="T58" s="444">
        <v>0</v>
      </c>
      <c r="V58" s="342"/>
      <c r="W58" s="354" t="s">
        <v>90</v>
      </c>
      <c r="X58" s="673">
        <f>+$S$307</f>
        <v>3</v>
      </c>
      <c r="Y58" s="673">
        <f>+$T$307</f>
        <v>3</v>
      </c>
      <c r="Z58" s="673">
        <f>+$T$308</f>
        <v>146691</v>
      </c>
      <c r="AA58" s="673">
        <f>+$T$301</f>
        <v>78206.012319999994</v>
      </c>
      <c r="AB58" s="673">
        <v>0</v>
      </c>
      <c r="AC58" s="673">
        <f>+$T$305</f>
        <v>0</v>
      </c>
      <c r="AD58" s="674">
        <f>SUM(AA58:AC58)</f>
        <v>78206.012319999994</v>
      </c>
    </row>
    <row r="59" spans="1:30">
      <c r="A59" s="868" t="s">
        <v>945</v>
      </c>
      <c r="B59" s="332"/>
      <c r="C59" s="332"/>
      <c r="D59" s="728"/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444"/>
      <c r="V59" s="336"/>
      <c r="W59" s="351" t="s">
        <v>108</v>
      </c>
      <c r="X59" s="670">
        <f t="shared" ref="X59:AD59" si="7">SUM(X57:X58)</f>
        <v>5</v>
      </c>
      <c r="Y59" s="670">
        <f t="shared" si="7"/>
        <v>5</v>
      </c>
      <c r="Z59" s="670">
        <f t="shared" si="7"/>
        <v>711773</v>
      </c>
      <c r="AA59" s="670">
        <f t="shared" si="7"/>
        <v>114915.65231999999</v>
      </c>
      <c r="AB59" s="670">
        <f t="shared" si="7"/>
        <v>0</v>
      </c>
      <c r="AC59" s="670">
        <f t="shared" si="7"/>
        <v>0</v>
      </c>
      <c r="AD59" s="671">
        <f t="shared" si="7"/>
        <v>114915.65231999999</v>
      </c>
    </row>
    <row r="60" spans="1:30">
      <c r="A60" s="868" t="s">
        <v>945</v>
      </c>
      <c r="B60" s="728" t="s">
        <v>810</v>
      </c>
      <c r="C60" s="728" t="s">
        <v>16</v>
      </c>
      <c r="D60" s="728" t="s">
        <v>946</v>
      </c>
      <c r="H60" s="444">
        <v>94614.873230733967</v>
      </c>
      <c r="I60" s="444">
        <v>97184.053684449769</v>
      </c>
      <c r="J60" s="444">
        <v>108560.98216522987</v>
      </c>
      <c r="K60" s="444">
        <v>100669.00876363751</v>
      </c>
      <c r="L60" s="444">
        <v>108503.75635957453</v>
      </c>
      <c r="M60" s="444">
        <v>109572.1264667941</v>
      </c>
      <c r="N60" s="444">
        <v>102455.98248540776</v>
      </c>
      <c r="O60" s="444">
        <v>107504.65194680479</v>
      </c>
      <c r="P60" s="444">
        <v>111105.35896121099</v>
      </c>
      <c r="Q60" s="444">
        <v>104962.61551617851</v>
      </c>
      <c r="R60" s="444">
        <v>108230.03093787655</v>
      </c>
      <c r="S60" s="444">
        <v>92415.721809537019</v>
      </c>
      <c r="T60" s="444">
        <v>1245779.1623274353</v>
      </c>
      <c r="V60" s="336"/>
      <c r="W60" s="351"/>
      <c r="X60" s="194"/>
      <c r="Y60" s="194"/>
      <c r="Z60" s="194"/>
      <c r="AA60" s="194"/>
      <c r="AB60" s="194"/>
      <c r="AC60" s="194"/>
      <c r="AD60" s="668"/>
    </row>
    <row r="61" spans="1:30" ht="15.75">
      <c r="A61" s="868" t="s">
        <v>945</v>
      </c>
      <c r="B61" s="728"/>
      <c r="C61" s="728"/>
      <c r="D61" s="728" t="s">
        <v>946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444"/>
      <c r="V61" s="338"/>
      <c r="W61" s="352" t="s">
        <v>972</v>
      </c>
      <c r="X61" s="355">
        <f t="shared" ref="X61:AD61" si="8">+X59+X54+X44+X48</f>
        <v>28016</v>
      </c>
      <c r="Y61" s="355">
        <f t="shared" si="8"/>
        <v>27934.75</v>
      </c>
      <c r="Z61" s="355">
        <f t="shared" si="8"/>
        <v>4590961</v>
      </c>
      <c r="AA61" s="355">
        <f t="shared" si="8"/>
        <v>13035260.602320001</v>
      </c>
      <c r="AB61" s="355">
        <f t="shared" si="8"/>
        <v>27017.749999999993</v>
      </c>
      <c r="AC61" s="355">
        <f t="shared" si="8"/>
        <v>17484470.120000001</v>
      </c>
      <c r="AD61" s="356">
        <f t="shared" si="8"/>
        <v>30546748.472319998</v>
      </c>
    </row>
    <row r="62" spans="1:30" ht="16.5" thickBot="1">
      <c r="A62" s="868" t="s">
        <v>945</v>
      </c>
      <c r="B62" s="728"/>
      <c r="C62" s="728" t="s">
        <v>17</v>
      </c>
      <c r="D62" s="728" t="s">
        <v>946</v>
      </c>
      <c r="H62" s="444">
        <v>13906.62</v>
      </c>
      <c r="I62" s="444">
        <v>14284.24</v>
      </c>
      <c r="J62" s="444">
        <v>15956.43</v>
      </c>
      <c r="K62" s="444">
        <v>14796.46</v>
      </c>
      <c r="L62" s="444">
        <v>15948.02</v>
      </c>
      <c r="M62" s="444">
        <v>16105.05</v>
      </c>
      <c r="N62" s="444">
        <v>15059.11</v>
      </c>
      <c r="O62" s="444">
        <v>15376.91</v>
      </c>
      <c r="P62" s="444">
        <v>15891.94</v>
      </c>
      <c r="Q62" s="444">
        <v>15013.31</v>
      </c>
      <c r="R62" s="444">
        <v>15480.67</v>
      </c>
      <c r="S62" s="444">
        <v>13218.67</v>
      </c>
      <c r="T62" s="444">
        <v>181037.43000000002</v>
      </c>
      <c r="V62" s="340"/>
      <c r="W62" s="353"/>
      <c r="X62" s="359"/>
      <c r="Y62" s="359"/>
      <c r="Z62" s="359"/>
      <c r="AA62" s="359"/>
      <c r="AB62" s="359"/>
      <c r="AC62" s="359"/>
      <c r="AD62" s="360"/>
    </row>
    <row r="63" spans="1:30" ht="15.75">
      <c r="A63" s="868" t="s">
        <v>945</v>
      </c>
      <c r="B63" s="728"/>
      <c r="C63" s="728"/>
      <c r="D63" s="728" t="s">
        <v>946</v>
      </c>
      <c r="H63" s="444"/>
      <c r="I63" s="444"/>
      <c r="J63" s="444"/>
      <c r="K63" s="444"/>
      <c r="L63" s="444"/>
      <c r="M63" s="444"/>
      <c r="N63" s="444"/>
      <c r="O63" s="444"/>
      <c r="P63" s="444"/>
      <c r="Q63" s="444"/>
      <c r="R63" s="444"/>
      <c r="S63" s="444"/>
      <c r="T63" s="444"/>
      <c r="V63" s="338"/>
      <c r="W63" s="352"/>
      <c r="X63" s="355"/>
      <c r="Y63" s="355"/>
      <c r="Z63" s="355"/>
      <c r="AA63" s="355"/>
      <c r="AB63" s="355"/>
      <c r="AC63" s="355"/>
      <c r="AD63" s="356"/>
    </row>
    <row r="64" spans="1:30">
      <c r="A64" s="868" t="s">
        <v>945</v>
      </c>
      <c r="B64" s="728"/>
      <c r="C64" s="728" t="s">
        <v>18</v>
      </c>
      <c r="D64" s="728" t="s">
        <v>946</v>
      </c>
      <c r="H64" s="445">
        <v>51598.99</v>
      </c>
      <c r="I64" s="445">
        <v>53000.12</v>
      </c>
      <c r="J64" s="445">
        <v>59204.62</v>
      </c>
      <c r="K64" s="445">
        <v>54900.66</v>
      </c>
      <c r="L64" s="445">
        <v>59173.4</v>
      </c>
      <c r="M64" s="445">
        <v>59756.05</v>
      </c>
      <c r="N64" s="445">
        <v>55875.199999999997</v>
      </c>
      <c r="O64" s="445">
        <v>57054.37</v>
      </c>
      <c r="P64" s="445">
        <v>58965.32</v>
      </c>
      <c r="Q64" s="445">
        <v>55705.26</v>
      </c>
      <c r="R64" s="445">
        <v>57439.33</v>
      </c>
      <c r="S64" s="445">
        <v>49046.44</v>
      </c>
      <c r="T64" s="445">
        <v>671719.76</v>
      </c>
      <c r="V64" s="336" t="s">
        <v>973</v>
      </c>
      <c r="W64" s="351"/>
      <c r="X64" s="670">
        <f t="shared" ref="X64:AD64" si="9">+X59+X54+X44+X34+X16</f>
        <v>1079470</v>
      </c>
      <c r="Y64" s="670">
        <f t="shared" si="9"/>
        <v>1067150.8333333335</v>
      </c>
      <c r="Z64" s="670">
        <f t="shared" si="9"/>
        <v>170378034</v>
      </c>
      <c r="AA64" s="670">
        <f t="shared" si="9"/>
        <v>371902306.27381521</v>
      </c>
      <c r="AB64" s="670">
        <f t="shared" si="9"/>
        <v>121992666.33</v>
      </c>
      <c r="AC64" s="670">
        <f t="shared" si="9"/>
        <v>402051296.51999992</v>
      </c>
      <c r="AD64" s="671">
        <f t="shared" si="9"/>
        <v>895946269.1238153</v>
      </c>
    </row>
    <row r="65" spans="1:30">
      <c r="A65" s="868" t="s">
        <v>945</v>
      </c>
      <c r="B65" s="728"/>
      <c r="C65" s="728" t="s">
        <v>19</v>
      </c>
      <c r="D65" s="728" t="s">
        <v>946</v>
      </c>
      <c r="H65" s="444">
        <v>160120.48323073395</v>
      </c>
      <c r="I65" s="444">
        <v>164468.41368444977</v>
      </c>
      <c r="J65" s="444">
        <v>183722.03216522987</v>
      </c>
      <c r="K65" s="444">
        <v>170366.12876363751</v>
      </c>
      <c r="L65" s="444">
        <v>183625.17635957454</v>
      </c>
      <c r="M65" s="444">
        <v>185433.22646679409</v>
      </c>
      <c r="N65" s="444">
        <v>173390.29248540776</v>
      </c>
      <c r="O65" s="444">
        <v>179935.93194680481</v>
      </c>
      <c r="P65" s="444">
        <v>185962.618961211</v>
      </c>
      <c r="Q65" s="444">
        <v>175681.18551617852</v>
      </c>
      <c r="R65" s="444">
        <v>181150.03093787655</v>
      </c>
      <c r="S65" s="444">
        <v>154680.83180953702</v>
      </c>
      <c r="T65" s="444">
        <v>2098536.3523274353</v>
      </c>
      <c r="V65" s="336" t="s">
        <v>974</v>
      </c>
      <c r="W65" s="351"/>
      <c r="X65" s="670">
        <f t="shared" ref="X65:AD65" si="10">+X41+X13</f>
        <v>1077837</v>
      </c>
      <c r="Y65" s="670">
        <f t="shared" si="10"/>
        <v>1065599.3333333335</v>
      </c>
      <c r="Z65" s="670">
        <f t="shared" si="10"/>
        <v>111295346</v>
      </c>
      <c r="AA65" s="670">
        <f t="shared" si="10"/>
        <v>340031296.52133203</v>
      </c>
      <c r="AB65" s="670">
        <f t="shared" si="10"/>
        <v>119026168.13</v>
      </c>
      <c r="AC65" s="670">
        <f t="shared" si="10"/>
        <v>389679648.42999995</v>
      </c>
      <c r="AD65" s="671">
        <f t="shared" si="10"/>
        <v>848737113.08133197</v>
      </c>
    </row>
    <row r="66" spans="1:30">
      <c r="A66" s="868" t="s">
        <v>945</v>
      </c>
      <c r="B66" s="728"/>
      <c r="C66" s="728" t="s">
        <v>947</v>
      </c>
      <c r="D66" s="728" t="s">
        <v>946</v>
      </c>
      <c r="H66" s="444">
        <v>1</v>
      </c>
      <c r="I66" s="444">
        <v>1</v>
      </c>
      <c r="J66" s="444">
        <v>1</v>
      </c>
      <c r="K66" s="444">
        <v>1</v>
      </c>
      <c r="L66" s="444">
        <v>1</v>
      </c>
      <c r="M66" s="444">
        <v>1</v>
      </c>
      <c r="N66" s="444">
        <v>1</v>
      </c>
      <c r="O66" s="444">
        <v>1</v>
      </c>
      <c r="P66" s="444">
        <v>1</v>
      </c>
      <c r="Q66" s="444">
        <v>1</v>
      </c>
      <c r="R66" s="444">
        <v>1</v>
      </c>
      <c r="S66" s="444">
        <v>1</v>
      </c>
      <c r="T66" s="444">
        <v>1</v>
      </c>
      <c r="V66" s="336" t="s">
        <v>882</v>
      </c>
      <c r="W66" s="351"/>
      <c r="X66" s="670">
        <f t="shared" ref="X66:AD66" si="11">+X77-X65</f>
        <v>1657</v>
      </c>
      <c r="Y66" s="670">
        <f t="shared" si="11"/>
        <v>1575.5</v>
      </c>
      <c r="Z66" s="670">
        <f t="shared" si="11"/>
        <v>59276510</v>
      </c>
      <c r="AA66" s="670">
        <f t="shared" si="11"/>
        <v>28309719.808385789</v>
      </c>
      <c r="AB66" s="670">
        <f t="shared" si="11"/>
        <v>3001209.7800000012</v>
      </c>
      <c r="AC66" s="670">
        <f t="shared" si="11"/>
        <v>13043849.919999957</v>
      </c>
      <c r="AD66" s="671">
        <f t="shared" si="11"/>
        <v>44354779.508385897</v>
      </c>
    </row>
    <row r="67" spans="1:30">
      <c r="A67" s="868" t="s">
        <v>945</v>
      </c>
      <c r="B67" s="728"/>
      <c r="C67" s="728" t="s">
        <v>20</v>
      </c>
      <c r="D67" s="728" t="s">
        <v>946</v>
      </c>
      <c r="H67" s="444">
        <v>14878</v>
      </c>
      <c r="I67" s="444">
        <v>15282</v>
      </c>
      <c r="J67" s="444">
        <v>17071</v>
      </c>
      <c r="K67" s="444">
        <v>15830</v>
      </c>
      <c r="L67" s="444">
        <v>17062</v>
      </c>
      <c r="M67" s="444">
        <v>17230</v>
      </c>
      <c r="N67" s="444">
        <v>16111</v>
      </c>
      <c r="O67" s="444">
        <v>16451</v>
      </c>
      <c r="P67" s="444">
        <v>17002</v>
      </c>
      <c r="Q67" s="444">
        <v>16062</v>
      </c>
      <c r="R67" s="444">
        <v>16562</v>
      </c>
      <c r="S67" s="444">
        <v>14142</v>
      </c>
      <c r="T67" s="444">
        <v>193683</v>
      </c>
      <c r="V67" s="336" t="s">
        <v>883</v>
      </c>
      <c r="W67" s="351"/>
      <c r="X67" s="670">
        <f t="shared" ref="X67:AD67" si="12">+X16+X44</f>
        <v>1078311</v>
      </c>
      <c r="Y67" s="670">
        <f t="shared" si="12"/>
        <v>1066083.8333333335</v>
      </c>
      <c r="Z67" s="670">
        <f t="shared" si="12"/>
        <v>114615142</v>
      </c>
      <c r="AA67" s="670">
        <f t="shared" si="12"/>
        <v>344033988.32931793</v>
      </c>
      <c r="AB67" s="670">
        <f t="shared" si="12"/>
        <v>121965648.58</v>
      </c>
      <c r="AC67" s="670">
        <f t="shared" si="12"/>
        <v>401376750.4799999</v>
      </c>
      <c r="AD67" s="671">
        <f t="shared" si="12"/>
        <v>867376387.38931799</v>
      </c>
    </row>
    <row r="68" spans="1:30" ht="21.75" customHeight="1">
      <c r="A68" s="868" t="s">
        <v>945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444"/>
      <c r="V68" s="336" t="s">
        <v>975</v>
      </c>
      <c r="W68" s="351"/>
      <c r="X68" s="670">
        <f t="shared" ref="X68:AD68" si="13">+X54+X20</f>
        <v>29</v>
      </c>
      <c r="Y68" s="670">
        <f t="shared" si="13"/>
        <v>29</v>
      </c>
      <c r="Z68" s="670">
        <f t="shared" si="13"/>
        <v>343480</v>
      </c>
      <c r="AA68" s="670">
        <f t="shared" si="13"/>
        <v>204230.37590262841</v>
      </c>
      <c r="AB68" s="670">
        <f t="shared" si="13"/>
        <v>61729.329999999994</v>
      </c>
      <c r="AC68" s="670">
        <f t="shared" si="13"/>
        <v>1346747.87</v>
      </c>
      <c r="AD68" s="671">
        <f t="shared" si="13"/>
        <v>1612707.5759026285</v>
      </c>
    </row>
    <row r="69" spans="1:30">
      <c r="A69" s="868" t="s">
        <v>945</v>
      </c>
      <c r="B69" s="728" t="s">
        <v>4</v>
      </c>
      <c r="C69" s="728" t="s">
        <v>16</v>
      </c>
      <c r="D69" s="728" t="s">
        <v>946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  <c r="P69" s="444">
        <v>0</v>
      </c>
      <c r="Q69" s="444">
        <v>0</v>
      </c>
      <c r="R69" s="444">
        <v>0</v>
      </c>
      <c r="S69" s="444">
        <v>0</v>
      </c>
      <c r="T69" s="444">
        <v>0</v>
      </c>
      <c r="V69" s="336" t="s">
        <v>884</v>
      </c>
      <c r="W69" s="351"/>
      <c r="X69" s="670">
        <f t="shared" ref="X69:AD69" si="14">+X59+X34</f>
        <v>1154</v>
      </c>
      <c r="Y69" s="670">
        <f t="shared" si="14"/>
        <v>1062</v>
      </c>
      <c r="Z69" s="670">
        <f t="shared" si="14"/>
        <v>55613234</v>
      </c>
      <c r="AA69" s="670">
        <f t="shared" si="14"/>
        <v>27812975.874497287</v>
      </c>
      <c r="AB69" s="670">
        <f t="shared" si="14"/>
        <v>0</v>
      </c>
      <c r="AC69" s="670">
        <f t="shared" si="14"/>
        <v>0</v>
      </c>
      <c r="AD69" s="671">
        <f t="shared" si="14"/>
        <v>27812975.874497287</v>
      </c>
    </row>
    <row r="70" spans="1:30">
      <c r="A70" s="868" t="s">
        <v>945</v>
      </c>
      <c r="B70" s="728"/>
      <c r="C70" s="728"/>
      <c r="D70" s="728" t="s">
        <v>946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444"/>
      <c r="V70" s="336" t="s">
        <v>976</v>
      </c>
      <c r="W70" s="351"/>
      <c r="X70" s="670"/>
      <c r="Y70" s="670"/>
      <c r="Z70" s="670"/>
      <c r="AA70" s="670"/>
      <c r="AB70" s="670"/>
      <c r="AC70" s="670"/>
      <c r="AD70" s="671"/>
    </row>
    <row r="71" spans="1:30">
      <c r="A71" s="868" t="s">
        <v>945</v>
      </c>
      <c r="B71" s="728"/>
      <c r="C71" s="728" t="s">
        <v>17</v>
      </c>
      <c r="D71" s="728" t="s">
        <v>946</v>
      </c>
      <c r="H71" s="444">
        <v>0</v>
      </c>
      <c r="I71" s="444">
        <v>0</v>
      </c>
      <c r="J71" s="444">
        <v>0</v>
      </c>
      <c r="K71" s="444">
        <v>0</v>
      </c>
      <c r="L71" s="444">
        <v>0</v>
      </c>
      <c r="M71" s="444">
        <v>0</v>
      </c>
      <c r="N71" s="444">
        <v>0</v>
      </c>
      <c r="O71" s="444">
        <v>0</v>
      </c>
      <c r="P71" s="444">
        <v>0</v>
      </c>
      <c r="Q71" s="444">
        <v>0</v>
      </c>
      <c r="R71" s="444">
        <v>0</v>
      </c>
      <c r="S71" s="444">
        <v>0</v>
      </c>
      <c r="T71" s="444">
        <v>0</v>
      </c>
      <c r="V71" s="336" t="s">
        <v>977</v>
      </c>
      <c r="W71" s="351"/>
      <c r="X71" s="670"/>
      <c r="Y71" s="670"/>
      <c r="Z71" s="670"/>
      <c r="AA71" s="670"/>
      <c r="AB71" s="670"/>
      <c r="AC71" s="670"/>
      <c r="AD71" s="671"/>
    </row>
    <row r="72" spans="1:30">
      <c r="A72" s="868" t="s">
        <v>945</v>
      </c>
      <c r="B72" s="728"/>
      <c r="C72" s="728"/>
      <c r="D72" s="728" t="s">
        <v>946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444"/>
      <c r="V72" s="336"/>
      <c r="W72" s="351"/>
      <c r="X72" s="670"/>
      <c r="Y72" s="670"/>
      <c r="Z72" s="670"/>
      <c r="AA72" s="670"/>
      <c r="AB72" s="670"/>
      <c r="AC72" s="670"/>
      <c r="AD72" s="671"/>
    </row>
    <row r="73" spans="1:30">
      <c r="A73" s="868" t="s">
        <v>945</v>
      </c>
      <c r="B73" s="728"/>
      <c r="C73" s="728" t="s">
        <v>18</v>
      </c>
      <c r="D73" s="728" t="s">
        <v>946</v>
      </c>
      <c r="H73" s="445">
        <v>0</v>
      </c>
      <c r="I73" s="445">
        <v>0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0</v>
      </c>
      <c r="P73" s="445">
        <v>0</v>
      </c>
      <c r="Q73" s="445">
        <v>0</v>
      </c>
      <c r="R73" s="445">
        <v>0</v>
      </c>
      <c r="S73" s="445">
        <v>0</v>
      </c>
      <c r="T73" s="445">
        <v>0</v>
      </c>
      <c r="V73" s="336"/>
      <c r="W73" s="351"/>
      <c r="X73" s="194"/>
      <c r="Y73" s="194"/>
      <c r="Z73" s="194"/>
      <c r="AA73" s="194"/>
      <c r="AB73" s="194"/>
      <c r="AC73" s="194"/>
      <c r="AD73" s="668"/>
    </row>
    <row r="74" spans="1:30">
      <c r="A74" s="868" t="s">
        <v>945</v>
      </c>
      <c r="B74" s="728"/>
      <c r="C74" s="728" t="s">
        <v>19</v>
      </c>
      <c r="D74" s="728" t="s">
        <v>946</v>
      </c>
      <c r="H74" s="444">
        <v>0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0</v>
      </c>
      <c r="P74" s="444">
        <v>0</v>
      </c>
      <c r="Q74" s="444">
        <v>0</v>
      </c>
      <c r="R74" s="444">
        <v>0</v>
      </c>
      <c r="S74" s="444">
        <v>0</v>
      </c>
      <c r="T74" s="444">
        <v>0</v>
      </c>
      <c r="V74" s="336" t="s">
        <v>978</v>
      </c>
      <c r="W74" s="351"/>
      <c r="X74" s="670">
        <f>+X36</f>
        <v>1051478</v>
      </c>
      <c r="Y74" s="670">
        <f t="shared" ref="Y74:AD74" si="15">+Y36</f>
        <v>1039240.0833333334</v>
      </c>
      <c r="Z74" s="670">
        <f t="shared" si="15"/>
        <v>165980895</v>
      </c>
      <c r="AA74" s="670">
        <f t="shared" si="15"/>
        <v>355305755.7273978</v>
      </c>
      <c r="AB74" s="670">
        <f t="shared" si="15"/>
        <v>122000360.16</v>
      </c>
      <c r="AC74" s="670">
        <f t="shared" si="15"/>
        <v>385239028.2299999</v>
      </c>
      <c r="AD74" s="671">
        <f t="shared" si="15"/>
        <v>862545144.1173979</v>
      </c>
    </row>
    <row r="75" spans="1:30">
      <c r="A75" s="868" t="s">
        <v>945</v>
      </c>
      <c r="B75" s="728"/>
      <c r="C75" s="728" t="s">
        <v>947</v>
      </c>
      <c r="D75" s="728" t="s">
        <v>946</v>
      </c>
      <c r="H75" s="444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0</v>
      </c>
      <c r="O75" s="444">
        <v>0</v>
      </c>
      <c r="P75" s="444">
        <v>0</v>
      </c>
      <c r="Q75" s="444">
        <v>0</v>
      </c>
      <c r="R75" s="444">
        <v>0</v>
      </c>
      <c r="S75" s="444">
        <v>0</v>
      </c>
      <c r="T75" s="444">
        <v>0</v>
      </c>
      <c r="V75" s="336" t="s">
        <v>979</v>
      </c>
      <c r="W75" s="351"/>
      <c r="X75" s="670">
        <f t="shared" ref="X75:AD75" si="16">+X61</f>
        <v>28016</v>
      </c>
      <c r="Y75" s="670">
        <f t="shared" si="16"/>
        <v>27934.75</v>
      </c>
      <c r="Z75" s="670">
        <f t="shared" si="16"/>
        <v>4590961</v>
      </c>
      <c r="AA75" s="670">
        <f t="shared" si="16"/>
        <v>13035260.602320001</v>
      </c>
      <c r="AB75" s="670">
        <f t="shared" si="16"/>
        <v>27017.749999999993</v>
      </c>
      <c r="AC75" s="670">
        <f t="shared" si="16"/>
        <v>17484470.120000001</v>
      </c>
      <c r="AD75" s="671">
        <f t="shared" si="16"/>
        <v>30546748.472319998</v>
      </c>
    </row>
    <row r="76" spans="1:30">
      <c r="A76" s="868" t="s">
        <v>945</v>
      </c>
      <c r="B76" s="728"/>
      <c r="C76" s="728" t="s">
        <v>20</v>
      </c>
      <c r="D76" s="728" t="s">
        <v>946</v>
      </c>
      <c r="H76" s="444">
        <v>0</v>
      </c>
      <c r="I76" s="444">
        <v>0</v>
      </c>
      <c r="J76" s="444">
        <v>0</v>
      </c>
      <c r="K76" s="444">
        <v>0</v>
      </c>
      <c r="L76" s="444">
        <v>0</v>
      </c>
      <c r="M76" s="444">
        <v>0</v>
      </c>
      <c r="N76" s="444">
        <v>0</v>
      </c>
      <c r="O76" s="444">
        <v>0</v>
      </c>
      <c r="P76" s="444">
        <v>0</v>
      </c>
      <c r="Q76" s="444">
        <v>0</v>
      </c>
      <c r="R76" s="444">
        <v>0</v>
      </c>
      <c r="S76" s="444">
        <v>0</v>
      </c>
      <c r="T76" s="444">
        <v>0</v>
      </c>
      <c r="V76" s="336"/>
      <c r="W76" s="351"/>
      <c r="X76" s="194"/>
      <c r="Y76" s="194"/>
      <c r="Z76" s="194"/>
      <c r="AA76" s="194"/>
      <c r="AB76" s="194"/>
      <c r="AC76" s="194"/>
      <c r="AD76" s="668"/>
    </row>
    <row r="77" spans="1:30" ht="15.75">
      <c r="A77" s="382"/>
      <c r="B77" s="728"/>
      <c r="C77" s="728"/>
      <c r="D77" s="728"/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444"/>
      <c r="V77" s="338" t="s">
        <v>980</v>
      </c>
      <c r="W77" s="352"/>
      <c r="X77" s="355">
        <f t="shared" ref="X77:AD77" si="17">SUM(X74:X76)</f>
        <v>1079494</v>
      </c>
      <c r="Y77" s="355">
        <f t="shared" si="17"/>
        <v>1067174.8333333335</v>
      </c>
      <c r="Z77" s="355">
        <f t="shared" si="17"/>
        <v>170571856</v>
      </c>
      <c r="AA77" s="355">
        <f t="shared" si="17"/>
        <v>368341016.32971781</v>
      </c>
      <c r="AB77" s="355">
        <f t="shared" si="17"/>
        <v>122027377.91</v>
      </c>
      <c r="AC77" s="355">
        <f t="shared" si="17"/>
        <v>402723498.3499999</v>
      </c>
      <c r="AD77" s="356">
        <f t="shared" si="17"/>
        <v>893091892.58971786</v>
      </c>
    </row>
    <row r="78" spans="1:30" ht="13.5" thickBot="1">
      <c r="A78" s="382" t="s">
        <v>949</v>
      </c>
      <c r="B78" s="728" t="s">
        <v>88</v>
      </c>
      <c r="C78" s="728" t="s">
        <v>16</v>
      </c>
      <c r="D78" s="728" t="s">
        <v>946</v>
      </c>
      <c r="H78" s="444">
        <v>0</v>
      </c>
      <c r="I78" s="444">
        <v>0</v>
      </c>
      <c r="J78" s="444">
        <v>0</v>
      </c>
      <c r="K78" s="444">
        <v>0</v>
      </c>
      <c r="L78" s="444">
        <v>0</v>
      </c>
      <c r="M78" s="444">
        <v>0</v>
      </c>
      <c r="N78" s="444">
        <v>0</v>
      </c>
      <c r="O78" s="444">
        <v>0</v>
      </c>
      <c r="P78" s="444">
        <v>0</v>
      </c>
      <c r="Q78" s="444">
        <v>0</v>
      </c>
      <c r="R78" s="444">
        <v>0</v>
      </c>
      <c r="S78" s="444">
        <v>0</v>
      </c>
      <c r="T78" s="444">
        <v>0</v>
      </c>
      <c r="V78" s="342"/>
      <c r="W78" s="354"/>
      <c r="X78" s="661"/>
      <c r="Y78" s="661"/>
      <c r="Z78" s="661"/>
      <c r="AA78" s="661"/>
      <c r="AB78" s="661"/>
      <c r="AC78" s="661"/>
      <c r="AD78" s="678"/>
    </row>
    <row r="79" spans="1:30">
      <c r="A79" s="382" t="s">
        <v>949</v>
      </c>
      <c r="B79" s="728"/>
      <c r="C79" s="728"/>
      <c r="D79" s="728" t="s">
        <v>946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444"/>
      <c r="V79" s="344"/>
      <c r="W79" s="357"/>
      <c r="X79" s="357"/>
      <c r="Y79" s="357"/>
      <c r="Z79" s="357"/>
      <c r="AA79" s="357"/>
      <c r="AB79" s="357"/>
      <c r="AC79" s="357"/>
      <c r="AD79" s="345"/>
    </row>
    <row r="80" spans="1:30">
      <c r="A80" s="382" t="s">
        <v>949</v>
      </c>
      <c r="B80" s="728"/>
      <c r="C80" s="728" t="s">
        <v>17</v>
      </c>
      <c r="D80" s="728" t="s">
        <v>946</v>
      </c>
      <c r="H80" s="444">
        <v>0</v>
      </c>
      <c r="I80" s="444">
        <v>0</v>
      </c>
      <c r="J80" s="444">
        <v>0</v>
      </c>
      <c r="K80" s="444">
        <v>0</v>
      </c>
      <c r="L80" s="444">
        <v>0</v>
      </c>
      <c r="M80" s="444">
        <v>0</v>
      </c>
      <c r="N80" s="444">
        <v>0</v>
      </c>
      <c r="O80" s="444">
        <v>0</v>
      </c>
      <c r="P80" s="444">
        <v>0</v>
      </c>
      <c r="Q80" s="444">
        <v>0</v>
      </c>
      <c r="R80" s="444">
        <v>0</v>
      </c>
      <c r="S80" s="444">
        <v>0</v>
      </c>
      <c r="T80" s="444">
        <v>0</v>
      </c>
      <c r="V80" s="336" t="s">
        <v>888</v>
      </c>
      <c r="W80" s="351"/>
      <c r="X80" s="361">
        <f>X77-T440</f>
        <v>0</v>
      </c>
      <c r="Y80" s="361">
        <f>Y77-T508</f>
        <v>0</v>
      </c>
      <c r="Z80" s="361">
        <f>+Z77-$T$371</f>
        <v>-32925927</v>
      </c>
      <c r="AA80" s="361">
        <f>+AA77-$T$362-$T$364</f>
        <v>1253581.8599995051</v>
      </c>
      <c r="AB80" s="361">
        <f>+AB77-$T$363</f>
        <v>0</v>
      </c>
      <c r="AC80" s="361">
        <f>+AC77-$T$365</f>
        <v>0</v>
      </c>
      <c r="AD80" s="362">
        <f>+AD77-$T$367</f>
        <v>1253581.8599995375</v>
      </c>
    </row>
    <row r="81" spans="1:32" ht="13.5" thickBot="1">
      <c r="A81" s="382" t="s">
        <v>949</v>
      </c>
      <c r="B81" s="728"/>
      <c r="C81" s="728"/>
      <c r="D81" s="728" t="s">
        <v>946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444"/>
      <c r="V81" s="342"/>
      <c r="W81" s="354"/>
      <c r="X81" s="354"/>
      <c r="Y81" s="354"/>
      <c r="Z81" s="354"/>
      <c r="AA81" s="354"/>
      <c r="AB81" s="354"/>
      <c r="AC81" s="354"/>
      <c r="AD81" s="343"/>
    </row>
    <row r="82" spans="1:32">
      <c r="A82" s="382" t="s">
        <v>949</v>
      </c>
      <c r="B82" s="728"/>
      <c r="C82" s="728" t="s">
        <v>18</v>
      </c>
      <c r="D82" s="728" t="s">
        <v>946</v>
      </c>
      <c r="H82" s="445">
        <v>0</v>
      </c>
      <c r="I82" s="445">
        <v>0</v>
      </c>
      <c r="J82" s="445">
        <v>0</v>
      </c>
      <c r="K82" s="445">
        <v>0</v>
      </c>
      <c r="L82" s="445">
        <v>0</v>
      </c>
      <c r="M82" s="445">
        <v>0</v>
      </c>
      <c r="N82" s="445">
        <v>0</v>
      </c>
      <c r="O82" s="445">
        <v>0</v>
      </c>
      <c r="P82" s="445">
        <v>0</v>
      </c>
      <c r="Q82" s="445">
        <v>0</v>
      </c>
      <c r="R82" s="445">
        <v>0</v>
      </c>
      <c r="S82" s="445">
        <v>0</v>
      </c>
      <c r="T82" s="445">
        <v>0</v>
      </c>
    </row>
    <row r="83" spans="1:32">
      <c r="A83" s="382" t="s">
        <v>949</v>
      </c>
      <c r="B83" s="728"/>
      <c r="C83" s="728" t="s">
        <v>19</v>
      </c>
      <c r="D83" s="728" t="s">
        <v>946</v>
      </c>
      <c r="H83" s="444">
        <v>0</v>
      </c>
      <c r="I83" s="444">
        <v>0</v>
      </c>
      <c r="J83" s="444">
        <v>0</v>
      </c>
      <c r="K83" s="444">
        <v>0</v>
      </c>
      <c r="L83" s="444">
        <v>0</v>
      </c>
      <c r="M83" s="444">
        <v>0</v>
      </c>
      <c r="N83" s="444">
        <v>0</v>
      </c>
      <c r="O83" s="444">
        <v>0</v>
      </c>
      <c r="P83" s="444">
        <v>0</v>
      </c>
      <c r="Q83" s="444">
        <v>0</v>
      </c>
      <c r="R83" s="444">
        <v>0</v>
      </c>
      <c r="S83" s="444">
        <v>0</v>
      </c>
      <c r="T83" s="444">
        <v>0</v>
      </c>
      <c r="AD83" s="15">
        <v>853068579.39399993</v>
      </c>
      <c r="AF83" s="95"/>
    </row>
    <row r="84" spans="1:32">
      <c r="A84" s="382" t="s">
        <v>949</v>
      </c>
      <c r="B84" s="728"/>
      <c r="C84" s="728" t="s">
        <v>947</v>
      </c>
      <c r="D84" s="728" t="s">
        <v>946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444"/>
    </row>
    <row r="85" spans="1:32">
      <c r="A85" s="382" t="s">
        <v>949</v>
      </c>
      <c r="B85" s="728"/>
      <c r="C85" s="728" t="s">
        <v>20</v>
      </c>
      <c r="D85" s="728" t="s">
        <v>946</v>
      </c>
      <c r="H85" s="444">
        <v>0</v>
      </c>
      <c r="I85" s="444">
        <v>0</v>
      </c>
      <c r="J85" s="444">
        <v>0</v>
      </c>
      <c r="K85" s="444">
        <v>0</v>
      </c>
      <c r="L85" s="444">
        <v>0</v>
      </c>
      <c r="M85" s="444">
        <v>0</v>
      </c>
      <c r="N85" s="444">
        <v>0</v>
      </c>
      <c r="O85" s="444">
        <v>0</v>
      </c>
      <c r="P85" s="444">
        <v>0</v>
      </c>
      <c r="Q85" s="444">
        <v>0</v>
      </c>
      <c r="R85" s="444">
        <v>0</v>
      </c>
      <c r="S85" s="444">
        <v>0</v>
      </c>
      <c r="T85" s="444">
        <v>0</v>
      </c>
    </row>
    <row r="86" spans="1:32">
      <c r="A86" s="382" t="s">
        <v>949</v>
      </c>
      <c r="B86" s="728"/>
      <c r="C86" s="728"/>
      <c r="D86" s="728"/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444"/>
    </row>
    <row r="87" spans="1:32">
      <c r="A87" s="382" t="s">
        <v>949</v>
      </c>
      <c r="B87" s="728" t="s">
        <v>950</v>
      </c>
      <c r="C87" s="728" t="s">
        <v>16</v>
      </c>
      <c r="D87" s="728" t="s">
        <v>946</v>
      </c>
      <c r="H87" s="444">
        <v>0</v>
      </c>
      <c r="I87" s="444">
        <v>0</v>
      </c>
      <c r="J87" s="444">
        <v>0</v>
      </c>
      <c r="K87" s="444">
        <v>0</v>
      </c>
      <c r="L87" s="444">
        <v>0</v>
      </c>
      <c r="M87" s="444">
        <v>0</v>
      </c>
      <c r="N87" s="444">
        <v>0</v>
      </c>
      <c r="O87" s="444">
        <v>0</v>
      </c>
      <c r="P87" s="444">
        <v>0</v>
      </c>
      <c r="Q87" s="444">
        <v>0</v>
      </c>
      <c r="R87" s="444">
        <v>0</v>
      </c>
      <c r="S87" s="444">
        <v>0</v>
      </c>
      <c r="T87" s="444">
        <v>0</v>
      </c>
    </row>
    <row r="88" spans="1:32">
      <c r="A88" s="382" t="s">
        <v>949</v>
      </c>
      <c r="B88" s="728"/>
      <c r="C88" s="728"/>
      <c r="D88" s="728" t="s">
        <v>946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444"/>
    </row>
    <row r="89" spans="1:32">
      <c r="A89" s="382" t="s">
        <v>949</v>
      </c>
      <c r="B89" s="728"/>
      <c r="C89" s="728" t="s">
        <v>17</v>
      </c>
      <c r="D89" s="728" t="s">
        <v>946</v>
      </c>
      <c r="H89" s="444">
        <v>0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  <c r="O89" s="444">
        <v>0</v>
      </c>
      <c r="P89" s="444">
        <v>0</v>
      </c>
      <c r="Q89" s="444">
        <v>0</v>
      </c>
      <c r="R89" s="444">
        <v>0</v>
      </c>
      <c r="S89" s="444">
        <v>0</v>
      </c>
      <c r="T89" s="444">
        <v>0</v>
      </c>
    </row>
    <row r="90" spans="1:32">
      <c r="A90" s="382" t="s">
        <v>949</v>
      </c>
      <c r="B90" s="728"/>
      <c r="C90" s="728"/>
      <c r="D90" s="728" t="s">
        <v>946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444"/>
    </row>
    <row r="91" spans="1:32">
      <c r="A91" s="382" t="s">
        <v>949</v>
      </c>
      <c r="B91" s="728"/>
      <c r="C91" s="728" t="s">
        <v>18</v>
      </c>
      <c r="D91" s="728" t="s">
        <v>946</v>
      </c>
      <c r="H91" s="445">
        <v>0</v>
      </c>
      <c r="I91" s="445">
        <v>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O91" s="445">
        <v>0</v>
      </c>
      <c r="P91" s="445">
        <v>0</v>
      </c>
      <c r="Q91" s="445">
        <v>0</v>
      </c>
      <c r="R91" s="445">
        <v>0</v>
      </c>
      <c r="S91" s="445">
        <v>0</v>
      </c>
      <c r="T91" s="445">
        <v>0</v>
      </c>
    </row>
    <row r="92" spans="1:32">
      <c r="A92" s="382" t="s">
        <v>949</v>
      </c>
      <c r="B92" s="728"/>
      <c r="C92" s="728" t="s">
        <v>19</v>
      </c>
      <c r="D92" s="728" t="s">
        <v>946</v>
      </c>
      <c r="H92" s="444">
        <v>0</v>
      </c>
      <c r="I92" s="444">
        <v>0</v>
      </c>
      <c r="J92" s="444">
        <v>0</v>
      </c>
      <c r="K92" s="444">
        <v>0</v>
      </c>
      <c r="L92" s="444">
        <v>0</v>
      </c>
      <c r="M92" s="444">
        <v>0</v>
      </c>
      <c r="N92" s="444">
        <v>0</v>
      </c>
      <c r="O92" s="444">
        <v>0</v>
      </c>
      <c r="P92" s="444">
        <v>0</v>
      </c>
      <c r="Q92" s="444">
        <v>0</v>
      </c>
      <c r="R92" s="444">
        <v>0</v>
      </c>
      <c r="S92" s="444">
        <v>0</v>
      </c>
      <c r="T92" s="444">
        <v>0</v>
      </c>
    </row>
    <row r="93" spans="1:32">
      <c r="A93" s="382" t="s">
        <v>949</v>
      </c>
      <c r="B93" s="728"/>
      <c r="C93" s="728" t="s">
        <v>947</v>
      </c>
      <c r="D93" s="728" t="s">
        <v>946</v>
      </c>
      <c r="H93" s="444">
        <v>0</v>
      </c>
      <c r="I93" s="444">
        <v>0</v>
      </c>
      <c r="J93" s="444">
        <v>0</v>
      </c>
      <c r="K93" s="444">
        <v>0</v>
      </c>
      <c r="L93" s="444">
        <v>0</v>
      </c>
      <c r="M93" s="444">
        <v>0</v>
      </c>
      <c r="N93" s="444">
        <v>0</v>
      </c>
      <c r="O93" s="444">
        <v>0</v>
      </c>
      <c r="P93" s="444">
        <v>0</v>
      </c>
      <c r="Q93" s="444">
        <v>0</v>
      </c>
      <c r="R93" s="444">
        <v>0</v>
      </c>
      <c r="S93" s="444">
        <v>0</v>
      </c>
      <c r="T93" s="444">
        <v>0</v>
      </c>
    </row>
    <row r="94" spans="1:32">
      <c r="A94" s="382" t="s">
        <v>949</v>
      </c>
      <c r="B94" s="728"/>
      <c r="C94" s="728" t="s">
        <v>20</v>
      </c>
      <c r="D94" s="728" t="s">
        <v>946</v>
      </c>
      <c r="H94" s="444">
        <v>0</v>
      </c>
      <c r="I94" s="444">
        <v>0</v>
      </c>
      <c r="J94" s="444">
        <v>0</v>
      </c>
      <c r="K94" s="444">
        <v>0</v>
      </c>
      <c r="L94" s="444">
        <v>0</v>
      </c>
      <c r="M94" s="444">
        <v>0</v>
      </c>
      <c r="N94" s="444">
        <v>0</v>
      </c>
      <c r="O94" s="444">
        <v>0</v>
      </c>
      <c r="P94" s="444">
        <v>0</v>
      </c>
      <c r="Q94" s="444">
        <v>0</v>
      </c>
      <c r="R94" s="444">
        <v>0</v>
      </c>
      <c r="S94" s="444">
        <v>0</v>
      </c>
      <c r="T94" s="444">
        <v>0</v>
      </c>
    </row>
    <row r="95" spans="1:32">
      <c r="A95" s="382" t="s">
        <v>949</v>
      </c>
      <c r="B95" s="728"/>
      <c r="C95" s="728"/>
      <c r="D95" s="728"/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444"/>
    </row>
    <row r="96" spans="1:32">
      <c r="A96" s="382" t="s">
        <v>949</v>
      </c>
      <c r="B96" s="728" t="s">
        <v>951</v>
      </c>
      <c r="C96" s="728" t="s">
        <v>16</v>
      </c>
      <c r="D96" s="728" t="s">
        <v>946</v>
      </c>
      <c r="H96" s="444">
        <v>14700.163675159398</v>
      </c>
      <c r="I96" s="444">
        <v>13567.199428482831</v>
      </c>
      <c r="J96" s="444">
        <v>12431.170034034218</v>
      </c>
      <c r="K96" s="444">
        <v>8475.1851754701693</v>
      </c>
      <c r="L96" s="444">
        <v>10319.002828237328</v>
      </c>
      <c r="M96" s="444">
        <v>13689.032746416291</v>
      </c>
      <c r="N96" s="444">
        <v>14094.663091226152</v>
      </c>
      <c r="O96" s="444">
        <v>12780.556469055893</v>
      </c>
      <c r="P96" s="444">
        <v>11059.364403262874</v>
      </c>
      <c r="Q96" s="444">
        <v>13156.783829907832</v>
      </c>
      <c r="R96" s="444">
        <v>12746.665477503668</v>
      </c>
      <c r="S96" s="444">
        <v>11868.518743871753</v>
      </c>
      <c r="T96" s="444">
        <v>148888.3059026284</v>
      </c>
    </row>
    <row r="97" spans="1:20">
      <c r="A97" s="382" t="s">
        <v>949</v>
      </c>
      <c r="B97" s="728"/>
      <c r="C97" s="728"/>
      <c r="D97" s="728" t="s">
        <v>946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444"/>
    </row>
    <row r="98" spans="1:20">
      <c r="A98" s="382" t="s">
        <v>949</v>
      </c>
      <c r="B98" s="728"/>
      <c r="C98" s="728" t="s">
        <v>17</v>
      </c>
      <c r="D98" s="728" t="s">
        <v>946</v>
      </c>
      <c r="H98" s="444">
        <v>4179.78</v>
      </c>
      <c r="I98" s="444">
        <v>3541.3199999999997</v>
      </c>
      <c r="J98" s="444">
        <v>2910.21</v>
      </c>
      <c r="K98" s="444">
        <v>1278.7</v>
      </c>
      <c r="L98" s="444">
        <v>1798.6</v>
      </c>
      <c r="M98" s="444">
        <v>3609.74</v>
      </c>
      <c r="N98" s="444">
        <v>3837.54</v>
      </c>
      <c r="O98" s="444">
        <v>2954.45</v>
      </c>
      <c r="P98" s="444">
        <v>2040.3799999999999</v>
      </c>
      <c r="Q98" s="444">
        <v>3156.2799999999997</v>
      </c>
      <c r="R98" s="444">
        <v>2936.36</v>
      </c>
      <c r="S98" s="444">
        <v>2468.2200000000003</v>
      </c>
      <c r="T98" s="444">
        <v>34711.58</v>
      </c>
    </row>
    <row r="99" spans="1:20">
      <c r="A99" s="382" t="s">
        <v>949</v>
      </c>
      <c r="B99" s="728"/>
      <c r="C99" s="728"/>
      <c r="D99" s="728" t="s">
        <v>946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444"/>
    </row>
    <row r="100" spans="1:20">
      <c r="A100" s="382" t="s">
        <v>949</v>
      </c>
      <c r="B100" s="728"/>
      <c r="C100" s="728" t="s">
        <v>18</v>
      </c>
      <c r="D100" s="728" t="s">
        <v>946</v>
      </c>
      <c r="H100" s="445">
        <v>80942.92</v>
      </c>
      <c r="I100" s="445">
        <v>68579.010000000009</v>
      </c>
      <c r="J100" s="445">
        <v>56357.280000000006</v>
      </c>
      <c r="K100" s="445">
        <v>24762.52</v>
      </c>
      <c r="L100" s="445">
        <v>34830.53</v>
      </c>
      <c r="M100" s="445">
        <v>69903.83</v>
      </c>
      <c r="N100" s="445">
        <v>74315.3</v>
      </c>
      <c r="O100" s="445">
        <v>57213.899999999994</v>
      </c>
      <c r="P100" s="445">
        <v>39512.519999999997</v>
      </c>
      <c r="Q100" s="445">
        <v>61122.5</v>
      </c>
      <c r="R100" s="445">
        <v>56863.62</v>
      </c>
      <c r="S100" s="445">
        <v>47797.899999999994</v>
      </c>
      <c r="T100" s="445">
        <v>672201.83000000007</v>
      </c>
    </row>
    <row r="101" spans="1:20">
      <c r="A101" s="382" t="s">
        <v>949</v>
      </c>
      <c r="B101" s="728"/>
      <c r="C101" s="728" t="s">
        <v>19</v>
      </c>
      <c r="D101" s="728" t="s">
        <v>946</v>
      </c>
      <c r="H101" s="444">
        <v>99822.863675159402</v>
      </c>
      <c r="I101" s="444">
        <v>85687.529428482841</v>
      </c>
      <c r="J101" s="444">
        <v>71698.660034034227</v>
      </c>
      <c r="K101" s="444">
        <v>34516.405175470172</v>
      </c>
      <c r="L101" s="444">
        <v>46948.132828237329</v>
      </c>
      <c r="M101" s="444">
        <v>87202.602746416291</v>
      </c>
      <c r="N101" s="444">
        <v>92247.503091226157</v>
      </c>
      <c r="O101" s="444">
        <v>72948.906469055888</v>
      </c>
      <c r="P101" s="444">
        <v>52612.264403262874</v>
      </c>
      <c r="Q101" s="444">
        <v>77435.563829907827</v>
      </c>
      <c r="R101" s="444">
        <v>72546.645477503669</v>
      </c>
      <c r="S101" s="444">
        <v>62134.63874387175</v>
      </c>
      <c r="T101" s="444">
        <v>855801.71590262838</v>
      </c>
    </row>
    <row r="102" spans="1:20">
      <c r="A102" s="382" t="s">
        <v>949</v>
      </c>
      <c r="B102" s="728"/>
      <c r="C102" s="728" t="s">
        <v>947</v>
      </c>
      <c r="D102" s="728" t="s">
        <v>946</v>
      </c>
      <c r="H102" s="444">
        <v>24</v>
      </c>
      <c r="I102" s="444">
        <v>24</v>
      </c>
      <c r="J102" s="444">
        <v>24</v>
      </c>
      <c r="K102" s="444">
        <v>24</v>
      </c>
      <c r="L102" s="444">
        <v>24</v>
      </c>
      <c r="M102" s="444">
        <v>24</v>
      </c>
      <c r="N102" s="444">
        <v>24</v>
      </c>
      <c r="O102" s="444">
        <v>24</v>
      </c>
      <c r="P102" s="444">
        <v>24</v>
      </c>
      <c r="Q102" s="444">
        <v>24</v>
      </c>
      <c r="R102" s="444">
        <v>24</v>
      </c>
      <c r="S102" s="444">
        <v>24</v>
      </c>
      <c r="T102" s="444">
        <v>24</v>
      </c>
    </row>
    <row r="103" spans="1:20">
      <c r="A103" s="382" t="s">
        <v>949</v>
      </c>
      <c r="B103" s="728"/>
      <c r="C103" s="728" t="s">
        <v>20</v>
      </c>
      <c r="D103" s="728" t="s">
        <v>946</v>
      </c>
      <c r="H103" s="444">
        <v>23339</v>
      </c>
      <c r="I103" s="444">
        <v>19774</v>
      </c>
      <c r="J103" s="444">
        <v>16250</v>
      </c>
      <c r="K103" s="444">
        <v>7140</v>
      </c>
      <c r="L103" s="444">
        <v>10043</v>
      </c>
      <c r="M103" s="444">
        <v>20156</v>
      </c>
      <c r="N103" s="444">
        <v>21428</v>
      </c>
      <c r="O103" s="444">
        <v>16497</v>
      </c>
      <c r="P103" s="444">
        <v>11393</v>
      </c>
      <c r="Q103" s="444">
        <v>17624</v>
      </c>
      <c r="R103" s="444">
        <v>16396</v>
      </c>
      <c r="S103" s="444">
        <v>13782</v>
      </c>
      <c r="T103" s="444">
        <v>193822</v>
      </c>
    </row>
    <row r="104" spans="1:20">
      <c r="A104" s="382" t="s">
        <v>949</v>
      </c>
      <c r="B104" s="728"/>
      <c r="C104" s="728"/>
      <c r="D104" s="728"/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444"/>
    </row>
    <row r="105" spans="1:20">
      <c r="A105" s="382" t="s">
        <v>949</v>
      </c>
      <c r="B105" s="728" t="s">
        <v>87</v>
      </c>
      <c r="C105" s="728" t="s">
        <v>16</v>
      </c>
      <c r="D105" s="728" t="s">
        <v>946</v>
      </c>
      <c r="H105" s="444">
        <v>0</v>
      </c>
      <c r="I105" s="444">
        <v>0</v>
      </c>
      <c r="J105" s="444">
        <v>0</v>
      </c>
      <c r="K105" s="444">
        <v>0</v>
      </c>
      <c r="L105" s="444">
        <v>0</v>
      </c>
      <c r="M105" s="444">
        <v>0</v>
      </c>
      <c r="N105" s="444">
        <v>0</v>
      </c>
      <c r="O105" s="444">
        <v>0</v>
      </c>
      <c r="P105" s="444">
        <v>0</v>
      </c>
      <c r="Q105" s="444">
        <v>0</v>
      </c>
      <c r="R105" s="444">
        <v>0</v>
      </c>
      <c r="S105" s="444">
        <v>0</v>
      </c>
      <c r="T105" s="444">
        <v>0</v>
      </c>
    </row>
    <row r="106" spans="1:20">
      <c r="A106" s="382" t="s">
        <v>949</v>
      </c>
      <c r="B106" s="728"/>
      <c r="C106" s="728"/>
      <c r="D106" s="728" t="s">
        <v>946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</row>
    <row r="107" spans="1:20">
      <c r="A107" s="382" t="s">
        <v>949</v>
      </c>
      <c r="B107" s="728"/>
      <c r="C107" s="728" t="s">
        <v>17</v>
      </c>
      <c r="D107" s="728" t="s">
        <v>946</v>
      </c>
      <c r="H107" s="444">
        <v>0</v>
      </c>
      <c r="I107" s="444">
        <v>0</v>
      </c>
      <c r="J107" s="444">
        <v>0</v>
      </c>
      <c r="K107" s="444">
        <v>0</v>
      </c>
      <c r="L107" s="444">
        <v>0</v>
      </c>
      <c r="M107" s="444">
        <v>0</v>
      </c>
      <c r="N107" s="444">
        <v>0</v>
      </c>
      <c r="O107" s="444">
        <v>0</v>
      </c>
      <c r="P107" s="444">
        <v>0</v>
      </c>
      <c r="Q107" s="444">
        <v>0</v>
      </c>
      <c r="R107" s="444">
        <v>0</v>
      </c>
      <c r="S107" s="444">
        <v>0</v>
      </c>
      <c r="T107" s="444">
        <v>0</v>
      </c>
    </row>
    <row r="108" spans="1:20">
      <c r="A108" s="382" t="s">
        <v>949</v>
      </c>
      <c r="B108" s="728"/>
      <c r="C108" s="728"/>
      <c r="D108" s="728" t="s">
        <v>946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444"/>
    </row>
    <row r="109" spans="1:20">
      <c r="A109" s="382" t="s">
        <v>949</v>
      </c>
      <c r="B109" s="728"/>
      <c r="C109" s="728" t="s">
        <v>18</v>
      </c>
      <c r="D109" s="728" t="s">
        <v>946</v>
      </c>
      <c r="H109" s="445">
        <v>0</v>
      </c>
      <c r="I109" s="445">
        <v>0</v>
      </c>
      <c r="J109" s="445">
        <v>0</v>
      </c>
      <c r="K109" s="445">
        <v>0</v>
      </c>
      <c r="L109" s="445">
        <v>0</v>
      </c>
      <c r="M109" s="445">
        <v>0</v>
      </c>
      <c r="N109" s="445">
        <v>0</v>
      </c>
      <c r="O109" s="445">
        <v>0</v>
      </c>
      <c r="P109" s="445">
        <v>0</v>
      </c>
      <c r="Q109" s="445">
        <v>0</v>
      </c>
      <c r="R109" s="445">
        <v>0</v>
      </c>
      <c r="S109" s="445">
        <v>0</v>
      </c>
      <c r="T109" s="445">
        <v>0</v>
      </c>
    </row>
    <row r="110" spans="1:20">
      <c r="A110" s="382" t="s">
        <v>949</v>
      </c>
      <c r="B110" s="728"/>
      <c r="C110" s="728" t="s">
        <v>19</v>
      </c>
      <c r="D110" s="728" t="s">
        <v>946</v>
      </c>
      <c r="H110" s="444">
        <v>0</v>
      </c>
      <c r="I110" s="444">
        <v>0</v>
      </c>
      <c r="J110" s="444">
        <v>0</v>
      </c>
      <c r="K110" s="444">
        <v>0</v>
      </c>
      <c r="L110" s="444">
        <v>0</v>
      </c>
      <c r="M110" s="444">
        <v>0</v>
      </c>
      <c r="N110" s="444">
        <v>0</v>
      </c>
      <c r="O110" s="444">
        <v>0</v>
      </c>
      <c r="P110" s="444">
        <v>0</v>
      </c>
      <c r="Q110" s="444">
        <v>0</v>
      </c>
      <c r="R110" s="444">
        <v>0</v>
      </c>
      <c r="S110" s="444">
        <v>0</v>
      </c>
      <c r="T110" s="444">
        <v>0</v>
      </c>
    </row>
    <row r="111" spans="1:20">
      <c r="A111" s="382" t="s">
        <v>949</v>
      </c>
      <c r="B111" s="728"/>
      <c r="C111" s="728" t="s">
        <v>947</v>
      </c>
      <c r="D111" s="728" t="s">
        <v>946</v>
      </c>
      <c r="H111" s="444">
        <v>0</v>
      </c>
      <c r="I111" s="444">
        <v>0</v>
      </c>
      <c r="J111" s="444">
        <v>0</v>
      </c>
      <c r="K111" s="444">
        <v>0</v>
      </c>
      <c r="L111" s="444">
        <v>0</v>
      </c>
      <c r="M111" s="444">
        <v>0</v>
      </c>
      <c r="N111" s="444">
        <v>0</v>
      </c>
      <c r="O111" s="444">
        <v>0</v>
      </c>
      <c r="P111" s="444">
        <v>0</v>
      </c>
      <c r="Q111" s="444">
        <v>0</v>
      </c>
      <c r="R111" s="444">
        <v>0</v>
      </c>
      <c r="S111" s="444">
        <v>0</v>
      </c>
      <c r="T111" s="444">
        <v>0</v>
      </c>
    </row>
    <row r="112" spans="1:20">
      <c r="A112" s="382" t="s">
        <v>949</v>
      </c>
      <c r="B112" s="728"/>
      <c r="C112" s="728" t="s">
        <v>20</v>
      </c>
      <c r="D112" s="728" t="s">
        <v>946</v>
      </c>
      <c r="H112" s="444">
        <v>0</v>
      </c>
      <c r="I112" s="444">
        <v>0</v>
      </c>
      <c r="J112" s="444">
        <v>0</v>
      </c>
      <c r="K112" s="444">
        <v>0</v>
      </c>
      <c r="L112" s="444">
        <v>0</v>
      </c>
      <c r="M112" s="444">
        <v>0</v>
      </c>
      <c r="N112" s="444">
        <v>0</v>
      </c>
      <c r="O112" s="444">
        <v>0</v>
      </c>
      <c r="P112" s="444">
        <v>0</v>
      </c>
      <c r="Q112" s="444">
        <v>0</v>
      </c>
      <c r="R112" s="444">
        <v>0</v>
      </c>
      <c r="S112" s="444">
        <v>0</v>
      </c>
      <c r="T112" s="444">
        <v>0</v>
      </c>
    </row>
    <row r="113" spans="1:20">
      <c r="A113" s="382"/>
      <c r="B113" s="728"/>
      <c r="C113" s="728"/>
      <c r="D113" s="728"/>
      <c r="H113" s="444">
        <v>0</v>
      </c>
      <c r="I113" s="444">
        <v>0</v>
      </c>
      <c r="J113" s="444">
        <v>0</v>
      </c>
      <c r="K113" s="444">
        <v>0</v>
      </c>
      <c r="L113" s="444">
        <v>0</v>
      </c>
      <c r="M113" s="444">
        <v>0</v>
      </c>
      <c r="N113" s="444">
        <v>0</v>
      </c>
      <c r="O113" s="444">
        <v>0</v>
      </c>
      <c r="P113" s="444">
        <v>0</v>
      </c>
      <c r="Q113" s="444">
        <v>0</v>
      </c>
      <c r="R113" s="444">
        <v>0</v>
      </c>
      <c r="S113" s="444">
        <v>0</v>
      </c>
      <c r="T113" s="444"/>
    </row>
    <row r="114" spans="1:20">
      <c r="A114" s="382"/>
      <c r="B114" s="728" t="s">
        <v>952</v>
      </c>
      <c r="C114" s="728" t="s">
        <v>16</v>
      </c>
      <c r="D114" s="728" t="s">
        <v>946</v>
      </c>
      <c r="H114" s="444">
        <v>437412</v>
      </c>
      <c r="I114" s="444">
        <v>437412</v>
      </c>
      <c r="J114" s="444">
        <v>437412</v>
      </c>
      <c r="K114" s="444">
        <v>437412</v>
      </c>
      <c r="L114" s="444">
        <v>437412</v>
      </c>
      <c r="M114" s="444">
        <v>437412</v>
      </c>
      <c r="N114" s="444">
        <v>437412</v>
      </c>
      <c r="O114" s="444">
        <v>437412</v>
      </c>
      <c r="P114" s="444">
        <v>437412</v>
      </c>
      <c r="Q114" s="444">
        <v>437412</v>
      </c>
      <c r="R114" s="444">
        <v>437412</v>
      </c>
      <c r="S114" s="444">
        <v>437412</v>
      </c>
      <c r="T114" s="444">
        <v>5248944</v>
      </c>
    </row>
    <row r="115" spans="1:20">
      <c r="A115" s="382"/>
      <c r="B115" s="728"/>
      <c r="C115" s="728"/>
      <c r="D115" s="728" t="s">
        <v>946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444"/>
    </row>
    <row r="116" spans="1:20">
      <c r="A116" s="382"/>
      <c r="B116" s="728"/>
      <c r="C116" s="728" t="s">
        <v>17</v>
      </c>
      <c r="D116" s="728" t="s">
        <v>946</v>
      </c>
      <c r="H116" s="444">
        <v>0</v>
      </c>
      <c r="I116" s="444">
        <v>0</v>
      </c>
      <c r="J116" s="444">
        <v>0</v>
      </c>
      <c r="K116" s="444">
        <v>0</v>
      </c>
      <c r="L116" s="444">
        <v>0</v>
      </c>
      <c r="M116" s="444">
        <v>0</v>
      </c>
      <c r="N116" s="444">
        <v>0</v>
      </c>
      <c r="O116" s="444">
        <v>0</v>
      </c>
      <c r="P116" s="444">
        <v>0</v>
      </c>
      <c r="Q116" s="444">
        <v>0</v>
      </c>
      <c r="R116" s="444">
        <v>0</v>
      </c>
      <c r="S116" s="444">
        <v>0</v>
      </c>
      <c r="T116" s="444">
        <v>0</v>
      </c>
    </row>
    <row r="117" spans="1:20">
      <c r="A117" s="382"/>
      <c r="B117" s="728"/>
      <c r="C117" s="728"/>
      <c r="D117" s="728" t="s">
        <v>946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444"/>
    </row>
    <row r="118" spans="1:20">
      <c r="A118" s="382"/>
      <c r="B118" s="728"/>
      <c r="C118" s="728" t="s">
        <v>18</v>
      </c>
      <c r="D118" s="728" t="s">
        <v>946</v>
      </c>
      <c r="H118" s="445">
        <v>0</v>
      </c>
      <c r="I118" s="445">
        <v>0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O118" s="445">
        <v>0</v>
      </c>
      <c r="P118" s="445">
        <v>0</v>
      </c>
      <c r="Q118" s="445">
        <v>0</v>
      </c>
      <c r="R118" s="445">
        <v>0</v>
      </c>
      <c r="S118" s="445">
        <v>0</v>
      </c>
      <c r="T118" s="445">
        <v>0</v>
      </c>
    </row>
    <row r="119" spans="1:20">
      <c r="A119" s="382"/>
      <c r="B119" s="728"/>
      <c r="C119" s="728" t="s">
        <v>19</v>
      </c>
      <c r="D119" s="728" t="s">
        <v>946</v>
      </c>
      <c r="H119" s="444">
        <v>437412</v>
      </c>
      <c r="I119" s="444">
        <v>437412</v>
      </c>
      <c r="J119" s="444">
        <v>437412</v>
      </c>
      <c r="K119" s="444">
        <v>437412</v>
      </c>
      <c r="L119" s="444">
        <v>437412</v>
      </c>
      <c r="M119" s="444">
        <v>437412</v>
      </c>
      <c r="N119" s="444">
        <v>437412</v>
      </c>
      <c r="O119" s="444">
        <v>437412</v>
      </c>
      <c r="P119" s="444">
        <v>437412</v>
      </c>
      <c r="Q119" s="444">
        <v>437412</v>
      </c>
      <c r="R119" s="444">
        <v>437412</v>
      </c>
      <c r="S119" s="444">
        <v>437412</v>
      </c>
      <c r="T119" s="444">
        <v>5248944</v>
      </c>
    </row>
    <row r="120" spans="1:20">
      <c r="A120" s="382"/>
      <c r="B120" s="728"/>
      <c r="C120" s="728" t="s">
        <v>947</v>
      </c>
      <c r="D120" s="728" t="s">
        <v>946</v>
      </c>
      <c r="H120" s="444">
        <v>1</v>
      </c>
      <c r="I120" s="444">
        <v>1</v>
      </c>
      <c r="J120" s="444">
        <v>1</v>
      </c>
      <c r="K120" s="444">
        <v>1</v>
      </c>
      <c r="L120" s="444">
        <v>1</v>
      </c>
      <c r="M120" s="444">
        <v>1</v>
      </c>
      <c r="N120" s="444">
        <v>1</v>
      </c>
      <c r="O120" s="444">
        <v>1</v>
      </c>
      <c r="P120" s="444">
        <v>1</v>
      </c>
      <c r="Q120" s="444">
        <v>1</v>
      </c>
      <c r="R120" s="444">
        <v>1</v>
      </c>
      <c r="S120" s="444">
        <v>1</v>
      </c>
      <c r="T120" s="444">
        <v>1</v>
      </c>
    </row>
    <row r="121" spans="1:20">
      <c r="A121" s="382"/>
      <c r="B121" s="728"/>
      <c r="C121" s="728" t="s">
        <v>20</v>
      </c>
      <c r="D121" s="728" t="s">
        <v>946</v>
      </c>
      <c r="H121" s="444">
        <v>3091389</v>
      </c>
      <c r="I121" s="444">
        <v>2597165</v>
      </c>
      <c r="J121" s="444">
        <v>2066091</v>
      </c>
      <c r="K121" s="444">
        <v>2576278</v>
      </c>
      <c r="L121" s="444">
        <v>2846069</v>
      </c>
      <c r="M121" s="444">
        <v>3080918</v>
      </c>
      <c r="N121" s="444">
        <v>3326664</v>
      </c>
      <c r="O121" s="444">
        <v>3450970</v>
      </c>
      <c r="P121" s="444">
        <v>2633230</v>
      </c>
      <c r="Q121" s="444">
        <v>1957005</v>
      </c>
      <c r="R121" s="444">
        <v>2182448</v>
      </c>
      <c r="S121" s="444">
        <v>3117700</v>
      </c>
      <c r="T121" s="444">
        <v>32925927</v>
      </c>
    </row>
    <row r="122" spans="1:20">
      <c r="A122" s="382"/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444"/>
    </row>
    <row r="123" spans="1:20">
      <c r="A123" s="382" t="s">
        <v>953</v>
      </c>
      <c r="B123" s="728" t="s">
        <v>954</v>
      </c>
      <c r="C123" s="728" t="s">
        <v>16</v>
      </c>
      <c r="D123" s="728" t="s">
        <v>955</v>
      </c>
      <c r="H123" s="444">
        <v>193123.36785787778</v>
      </c>
      <c r="I123" s="444">
        <v>188274.34289883971</v>
      </c>
      <c r="J123" s="444">
        <v>198442.16391430786</v>
      </c>
      <c r="K123" s="444">
        <v>186735.33962541947</v>
      </c>
      <c r="L123" s="444">
        <v>197838.92548580733</v>
      </c>
      <c r="M123" s="444">
        <v>195029.59360118394</v>
      </c>
      <c r="N123" s="444">
        <v>248589.63392804778</v>
      </c>
      <c r="O123" s="444">
        <v>263078.33200100512</v>
      </c>
      <c r="P123" s="444">
        <v>226981.8533288379</v>
      </c>
      <c r="Q123" s="444">
        <v>192260.55106593497</v>
      </c>
      <c r="R123" s="444">
        <v>176480.1264919797</v>
      </c>
      <c r="S123" s="444">
        <v>192579.19560432297</v>
      </c>
      <c r="T123" s="444">
        <v>2459413.425803564</v>
      </c>
    </row>
    <row r="124" spans="1:20">
      <c r="A124" s="382" t="s">
        <v>953</v>
      </c>
      <c r="B124" s="728"/>
      <c r="C124" s="728"/>
      <c r="D124" s="728" t="s">
        <v>955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444"/>
    </row>
    <row r="125" spans="1:20">
      <c r="A125" s="382" t="s">
        <v>953</v>
      </c>
      <c r="B125" s="728"/>
      <c r="C125" s="728" t="s">
        <v>17</v>
      </c>
      <c r="D125" s="728" t="s">
        <v>955</v>
      </c>
      <c r="H125" s="444">
        <v>0</v>
      </c>
      <c r="I125" s="444">
        <v>0</v>
      </c>
      <c r="J125" s="444">
        <v>0</v>
      </c>
      <c r="K125" s="444">
        <v>0</v>
      </c>
      <c r="L125" s="444">
        <v>0</v>
      </c>
      <c r="M125" s="444">
        <v>0</v>
      </c>
      <c r="N125" s="444">
        <v>0</v>
      </c>
      <c r="O125" s="444">
        <v>0</v>
      </c>
      <c r="P125" s="444">
        <v>0</v>
      </c>
      <c r="Q125" s="444">
        <v>0</v>
      </c>
      <c r="R125" s="444">
        <v>0</v>
      </c>
      <c r="S125" s="444">
        <v>0</v>
      </c>
      <c r="T125" s="444">
        <v>0</v>
      </c>
    </row>
    <row r="126" spans="1:20">
      <c r="A126" s="382" t="s">
        <v>953</v>
      </c>
      <c r="B126" s="728"/>
      <c r="C126" s="728"/>
      <c r="D126" s="728" t="s">
        <v>955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444"/>
    </row>
    <row r="127" spans="1:20">
      <c r="A127" s="382" t="s">
        <v>953</v>
      </c>
      <c r="B127" s="728"/>
      <c r="C127" s="728" t="s">
        <v>18</v>
      </c>
      <c r="D127" s="728" t="s">
        <v>955</v>
      </c>
      <c r="H127" s="445">
        <v>0</v>
      </c>
      <c r="I127" s="445">
        <v>0</v>
      </c>
      <c r="J127" s="445">
        <v>0</v>
      </c>
      <c r="K127" s="445">
        <v>0</v>
      </c>
      <c r="L127" s="445">
        <v>0</v>
      </c>
      <c r="M127" s="445">
        <v>0</v>
      </c>
      <c r="N127" s="445">
        <v>0</v>
      </c>
      <c r="O127" s="445">
        <v>0</v>
      </c>
      <c r="P127" s="445">
        <v>0</v>
      </c>
      <c r="Q127" s="445">
        <v>0</v>
      </c>
      <c r="R127" s="445">
        <v>0</v>
      </c>
      <c r="S127" s="445">
        <v>0</v>
      </c>
      <c r="T127" s="445">
        <v>0</v>
      </c>
    </row>
    <row r="128" spans="1:20">
      <c r="A128" s="382" t="s">
        <v>953</v>
      </c>
      <c r="B128" s="728"/>
      <c r="C128" s="728" t="s">
        <v>19</v>
      </c>
      <c r="D128" s="728" t="s">
        <v>955</v>
      </c>
      <c r="H128" s="444">
        <v>193123.36785787778</v>
      </c>
      <c r="I128" s="444">
        <v>188274.34289883971</v>
      </c>
      <c r="J128" s="444">
        <v>198442.16391430786</v>
      </c>
      <c r="K128" s="444">
        <v>186735.33962541947</v>
      </c>
      <c r="L128" s="444">
        <v>197838.92548580733</v>
      </c>
      <c r="M128" s="444">
        <v>195029.59360118394</v>
      </c>
      <c r="N128" s="444">
        <v>248589.63392804778</v>
      </c>
      <c r="O128" s="444">
        <v>263078.33200100512</v>
      </c>
      <c r="P128" s="444">
        <v>226981.8533288379</v>
      </c>
      <c r="Q128" s="444">
        <v>192260.55106593497</v>
      </c>
      <c r="R128" s="444">
        <v>176480.1264919797</v>
      </c>
      <c r="S128" s="444">
        <v>192579.19560432297</v>
      </c>
      <c r="T128" s="444">
        <v>2459413.425803564</v>
      </c>
    </row>
    <row r="129" spans="1:20">
      <c r="A129" s="382" t="s">
        <v>953</v>
      </c>
      <c r="B129" s="728"/>
      <c r="C129" s="728" t="s">
        <v>947</v>
      </c>
      <c r="D129" s="728" t="s">
        <v>955</v>
      </c>
      <c r="H129" s="444">
        <v>7</v>
      </c>
      <c r="I129" s="444">
        <v>7</v>
      </c>
      <c r="J129" s="444">
        <v>7</v>
      </c>
      <c r="K129" s="444">
        <v>7</v>
      </c>
      <c r="L129" s="444">
        <v>7</v>
      </c>
      <c r="M129" s="444">
        <v>7</v>
      </c>
      <c r="N129" s="444">
        <v>7</v>
      </c>
      <c r="O129" s="444">
        <v>7</v>
      </c>
      <c r="P129" s="444">
        <v>7</v>
      </c>
      <c r="Q129" s="444">
        <v>7</v>
      </c>
      <c r="R129" s="444">
        <v>7</v>
      </c>
      <c r="S129" s="444">
        <v>7</v>
      </c>
      <c r="T129" s="444">
        <v>7</v>
      </c>
    </row>
    <row r="130" spans="1:20">
      <c r="A130" s="382" t="s">
        <v>953</v>
      </c>
      <c r="B130" s="728"/>
      <c r="C130" s="728" t="s">
        <v>20</v>
      </c>
      <c r="D130" s="728" t="s">
        <v>955</v>
      </c>
      <c r="H130" s="444">
        <v>480239</v>
      </c>
      <c r="I130" s="444">
        <v>448979</v>
      </c>
      <c r="J130" s="444">
        <v>496667</v>
      </c>
      <c r="K130" s="444">
        <v>447582</v>
      </c>
      <c r="L130" s="444">
        <v>486886</v>
      </c>
      <c r="M130" s="444">
        <v>471041</v>
      </c>
      <c r="N130" s="444">
        <v>703590</v>
      </c>
      <c r="O130" s="444">
        <v>741131</v>
      </c>
      <c r="P130" s="444">
        <v>572035</v>
      </c>
      <c r="Q130" s="444">
        <v>448553</v>
      </c>
      <c r="R130" s="444">
        <v>379279</v>
      </c>
      <c r="S130" s="444">
        <v>454869</v>
      </c>
      <c r="T130" s="444">
        <v>6130851</v>
      </c>
    </row>
    <row r="131" spans="1:20">
      <c r="A131" s="382" t="s">
        <v>953</v>
      </c>
      <c r="B131" s="728"/>
      <c r="C131" s="728"/>
      <c r="D131" s="728"/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444"/>
    </row>
    <row r="132" spans="1:20">
      <c r="A132" s="382" t="s">
        <v>953</v>
      </c>
      <c r="B132" s="728" t="s">
        <v>956</v>
      </c>
      <c r="C132" s="728" t="s">
        <v>16</v>
      </c>
      <c r="D132" s="728" t="s">
        <v>955</v>
      </c>
      <c r="H132" s="444">
        <v>0</v>
      </c>
      <c r="I132" s="444">
        <v>0</v>
      </c>
      <c r="J132" s="444">
        <v>0</v>
      </c>
      <c r="K132" s="444">
        <v>0</v>
      </c>
      <c r="L132" s="444">
        <v>0</v>
      </c>
      <c r="M132" s="444">
        <v>0</v>
      </c>
      <c r="N132" s="444">
        <v>0</v>
      </c>
      <c r="O132" s="444">
        <v>0</v>
      </c>
      <c r="P132" s="444">
        <v>0</v>
      </c>
      <c r="Q132" s="444">
        <v>0</v>
      </c>
      <c r="R132" s="444">
        <v>0</v>
      </c>
      <c r="S132" s="444">
        <v>0</v>
      </c>
      <c r="T132" s="444">
        <v>0</v>
      </c>
    </row>
    <row r="133" spans="1:20">
      <c r="A133" s="382" t="s">
        <v>953</v>
      </c>
      <c r="B133" s="728"/>
      <c r="C133" s="728"/>
      <c r="D133" s="728" t="s">
        <v>955</v>
      </c>
      <c r="H133" s="444">
        <v>0</v>
      </c>
      <c r="I133" s="444">
        <v>0</v>
      </c>
      <c r="J133" s="444">
        <v>0</v>
      </c>
      <c r="K133" s="444">
        <v>0</v>
      </c>
      <c r="L133" s="444">
        <v>0</v>
      </c>
      <c r="M133" s="444">
        <v>0</v>
      </c>
      <c r="N133" s="444">
        <v>0</v>
      </c>
      <c r="O133" s="444">
        <v>0</v>
      </c>
      <c r="P133" s="444">
        <v>0</v>
      </c>
      <c r="Q133" s="444">
        <v>0</v>
      </c>
      <c r="R133" s="444">
        <v>0</v>
      </c>
      <c r="S133" s="444">
        <v>0</v>
      </c>
      <c r="T133" s="444"/>
    </row>
    <row r="134" spans="1:20">
      <c r="A134" s="382" t="s">
        <v>953</v>
      </c>
      <c r="B134" s="728"/>
      <c r="C134" s="728" t="s">
        <v>17</v>
      </c>
      <c r="D134" s="728" t="s">
        <v>955</v>
      </c>
      <c r="H134" s="444">
        <v>0</v>
      </c>
      <c r="I134" s="444">
        <v>0</v>
      </c>
      <c r="J134" s="444">
        <v>0</v>
      </c>
      <c r="K134" s="444">
        <v>0</v>
      </c>
      <c r="L134" s="444">
        <v>0</v>
      </c>
      <c r="M134" s="444">
        <v>0</v>
      </c>
      <c r="N134" s="444">
        <v>0</v>
      </c>
      <c r="O134" s="444">
        <v>0</v>
      </c>
      <c r="P134" s="444">
        <v>0</v>
      </c>
      <c r="Q134" s="444">
        <v>0</v>
      </c>
      <c r="R134" s="444">
        <v>0</v>
      </c>
      <c r="S134" s="444">
        <v>0</v>
      </c>
      <c r="T134" s="444">
        <v>0</v>
      </c>
    </row>
    <row r="135" spans="1:20">
      <c r="A135" s="382" t="s">
        <v>953</v>
      </c>
      <c r="B135" s="728"/>
      <c r="C135" s="728"/>
      <c r="D135" s="728" t="s">
        <v>955</v>
      </c>
      <c r="H135" s="444">
        <v>0</v>
      </c>
      <c r="I135" s="444">
        <v>0</v>
      </c>
      <c r="J135" s="444">
        <v>0</v>
      </c>
      <c r="K135" s="444">
        <v>0</v>
      </c>
      <c r="L135" s="444">
        <v>0</v>
      </c>
      <c r="M135" s="444">
        <v>0</v>
      </c>
      <c r="N135" s="444">
        <v>0</v>
      </c>
      <c r="O135" s="444">
        <v>0</v>
      </c>
      <c r="P135" s="444">
        <v>0</v>
      </c>
      <c r="Q135" s="444">
        <v>0</v>
      </c>
      <c r="R135" s="444">
        <v>0</v>
      </c>
      <c r="S135" s="444">
        <v>0</v>
      </c>
      <c r="T135" s="444"/>
    </row>
    <row r="136" spans="1:20">
      <c r="A136" s="382" t="s">
        <v>953</v>
      </c>
      <c r="B136" s="728"/>
      <c r="C136" s="728" t="s">
        <v>18</v>
      </c>
      <c r="D136" s="728" t="s">
        <v>955</v>
      </c>
      <c r="H136" s="445">
        <v>0</v>
      </c>
      <c r="I136" s="445">
        <v>0</v>
      </c>
      <c r="J136" s="445">
        <v>0</v>
      </c>
      <c r="K136" s="445">
        <v>0</v>
      </c>
      <c r="L136" s="445">
        <v>0</v>
      </c>
      <c r="M136" s="445">
        <v>0</v>
      </c>
      <c r="N136" s="445">
        <v>0</v>
      </c>
      <c r="O136" s="445">
        <v>0</v>
      </c>
      <c r="P136" s="445">
        <v>0</v>
      </c>
      <c r="Q136" s="445">
        <v>0</v>
      </c>
      <c r="R136" s="445">
        <v>0</v>
      </c>
      <c r="S136" s="445">
        <v>0</v>
      </c>
      <c r="T136" s="445">
        <v>0</v>
      </c>
    </row>
    <row r="137" spans="1:20">
      <c r="A137" s="382" t="s">
        <v>953</v>
      </c>
      <c r="B137" s="728"/>
      <c r="C137" s="728" t="s">
        <v>19</v>
      </c>
      <c r="D137" s="728" t="s">
        <v>955</v>
      </c>
      <c r="H137" s="444">
        <v>0</v>
      </c>
      <c r="I137" s="444">
        <v>0</v>
      </c>
      <c r="J137" s="444">
        <v>0</v>
      </c>
      <c r="K137" s="444">
        <v>0</v>
      </c>
      <c r="L137" s="444">
        <v>0</v>
      </c>
      <c r="M137" s="444">
        <v>0</v>
      </c>
      <c r="N137" s="444">
        <v>0</v>
      </c>
      <c r="O137" s="444">
        <v>0</v>
      </c>
      <c r="P137" s="444">
        <v>0</v>
      </c>
      <c r="Q137" s="444">
        <v>0</v>
      </c>
      <c r="R137" s="444">
        <v>0</v>
      </c>
      <c r="S137" s="444">
        <v>0</v>
      </c>
      <c r="T137" s="444">
        <v>0</v>
      </c>
    </row>
    <row r="138" spans="1:20">
      <c r="A138" s="382" t="s">
        <v>953</v>
      </c>
      <c r="B138" s="728"/>
      <c r="C138" s="728" t="s">
        <v>947</v>
      </c>
      <c r="D138" s="728" t="s">
        <v>955</v>
      </c>
      <c r="H138" s="444">
        <v>0</v>
      </c>
      <c r="I138" s="444">
        <v>0</v>
      </c>
      <c r="J138" s="444">
        <v>0</v>
      </c>
      <c r="K138" s="444">
        <v>0</v>
      </c>
      <c r="L138" s="444">
        <v>0</v>
      </c>
      <c r="M138" s="444">
        <v>0</v>
      </c>
      <c r="N138" s="444">
        <v>0</v>
      </c>
      <c r="O138" s="444">
        <v>0</v>
      </c>
      <c r="P138" s="444">
        <v>0</v>
      </c>
      <c r="Q138" s="444">
        <v>0</v>
      </c>
      <c r="R138" s="444">
        <v>0</v>
      </c>
      <c r="S138" s="444">
        <v>0</v>
      </c>
      <c r="T138" s="444">
        <v>0</v>
      </c>
    </row>
    <row r="139" spans="1:20">
      <c r="A139" s="382" t="s">
        <v>953</v>
      </c>
      <c r="B139" s="728"/>
      <c r="C139" s="728" t="s">
        <v>20</v>
      </c>
      <c r="D139" s="728" t="s">
        <v>955</v>
      </c>
      <c r="H139" s="444">
        <v>0</v>
      </c>
      <c r="I139" s="444">
        <v>0</v>
      </c>
      <c r="J139" s="444">
        <v>0</v>
      </c>
      <c r="K139" s="444">
        <v>0</v>
      </c>
      <c r="L139" s="444">
        <v>0</v>
      </c>
      <c r="M139" s="444">
        <v>0</v>
      </c>
      <c r="N139" s="444">
        <v>0</v>
      </c>
      <c r="O139" s="444">
        <v>0</v>
      </c>
      <c r="P139" s="444">
        <v>0</v>
      </c>
      <c r="Q139" s="444">
        <v>0</v>
      </c>
      <c r="R139" s="444">
        <v>0</v>
      </c>
      <c r="S139" s="444">
        <v>0</v>
      </c>
      <c r="T139" s="444">
        <v>0</v>
      </c>
    </row>
    <row r="140" spans="1:20">
      <c r="A140" s="382" t="s">
        <v>953</v>
      </c>
      <c r="B140" s="728"/>
      <c r="C140" s="728"/>
      <c r="D140" s="728"/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444"/>
    </row>
    <row r="141" spans="1:20">
      <c r="A141" s="382" t="s">
        <v>953</v>
      </c>
      <c r="B141" s="728" t="s">
        <v>692</v>
      </c>
      <c r="C141" s="728" t="s">
        <v>16</v>
      </c>
      <c r="D141" s="728" t="s">
        <v>955</v>
      </c>
      <c r="H141" s="444">
        <v>5120.3434382869382</v>
      </c>
      <c r="I141" s="444">
        <v>3457.6127113089224</v>
      </c>
      <c r="J141" s="444">
        <v>2481.6383533240087</v>
      </c>
      <c r="K141" s="444">
        <v>1849.8163028112233</v>
      </c>
      <c r="L141" s="444">
        <v>1414.0982468709967</v>
      </c>
      <c r="M141" s="444">
        <v>1166.8651197149998</v>
      </c>
      <c r="N141" s="444">
        <v>1069.9602863961554</v>
      </c>
      <c r="O141" s="444">
        <v>1091.3279318045643</v>
      </c>
      <c r="P141" s="444">
        <v>1131.7588946865117</v>
      </c>
      <c r="Q141" s="444">
        <v>1427.0720505127856</v>
      </c>
      <c r="R141" s="444">
        <v>1958.1697348125622</v>
      </c>
      <c r="S141" s="444">
        <v>3524.760404450024</v>
      </c>
      <c r="T141" s="444">
        <v>25693.423474979696</v>
      </c>
    </row>
    <row r="142" spans="1:20">
      <c r="A142" s="382" t="s">
        <v>953</v>
      </c>
      <c r="B142" s="728"/>
      <c r="C142" s="728"/>
      <c r="D142" s="728" t="s">
        <v>955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444"/>
    </row>
    <row r="143" spans="1:20">
      <c r="A143" s="382" t="s">
        <v>953</v>
      </c>
      <c r="B143" s="728"/>
      <c r="C143" s="728" t="s">
        <v>17</v>
      </c>
      <c r="D143" s="728" t="s">
        <v>955</v>
      </c>
      <c r="H143" s="444">
        <v>0</v>
      </c>
      <c r="I143" s="444">
        <v>0</v>
      </c>
      <c r="J143" s="444">
        <v>0</v>
      </c>
      <c r="K143" s="444">
        <v>0</v>
      </c>
      <c r="L143" s="444">
        <v>0</v>
      </c>
      <c r="M143" s="444">
        <v>0</v>
      </c>
      <c r="N143" s="444">
        <v>0</v>
      </c>
      <c r="O143" s="444">
        <v>0</v>
      </c>
      <c r="P143" s="444">
        <v>0</v>
      </c>
      <c r="Q143" s="444">
        <v>0</v>
      </c>
      <c r="R143" s="444">
        <v>0</v>
      </c>
      <c r="S143" s="444">
        <v>0</v>
      </c>
      <c r="T143" s="444">
        <v>0</v>
      </c>
    </row>
    <row r="144" spans="1:20">
      <c r="A144" s="382" t="s">
        <v>953</v>
      </c>
      <c r="B144" s="728"/>
      <c r="C144" s="728"/>
      <c r="D144" s="728" t="s">
        <v>955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444"/>
    </row>
    <row r="145" spans="1:20">
      <c r="A145" s="382" t="s">
        <v>953</v>
      </c>
      <c r="B145" s="728"/>
      <c r="C145" s="728" t="s">
        <v>18</v>
      </c>
      <c r="D145" s="728" t="s">
        <v>955</v>
      </c>
      <c r="H145" s="445">
        <v>0</v>
      </c>
      <c r="I145" s="445">
        <v>0</v>
      </c>
      <c r="J145" s="445">
        <v>0</v>
      </c>
      <c r="K145" s="445">
        <v>0</v>
      </c>
      <c r="L145" s="445">
        <v>0</v>
      </c>
      <c r="M145" s="445">
        <v>0</v>
      </c>
      <c r="N145" s="445">
        <v>0</v>
      </c>
      <c r="O145" s="445">
        <v>0</v>
      </c>
      <c r="P145" s="445">
        <v>0</v>
      </c>
      <c r="Q145" s="445">
        <v>0</v>
      </c>
      <c r="R145" s="445">
        <v>0</v>
      </c>
      <c r="S145" s="445">
        <v>0</v>
      </c>
      <c r="T145" s="445">
        <v>0</v>
      </c>
    </row>
    <row r="146" spans="1:20">
      <c r="A146" s="382" t="s">
        <v>953</v>
      </c>
      <c r="B146" s="728"/>
      <c r="C146" s="728" t="s">
        <v>19</v>
      </c>
      <c r="D146" s="728" t="s">
        <v>955</v>
      </c>
      <c r="H146" s="444">
        <v>5120.3434382869382</v>
      </c>
      <c r="I146" s="444">
        <v>3457.6127113089224</v>
      </c>
      <c r="J146" s="444">
        <v>2481.6383533240087</v>
      </c>
      <c r="K146" s="444">
        <v>1849.8163028112233</v>
      </c>
      <c r="L146" s="444">
        <v>1414.0982468709967</v>
      </c>
      <c r="M146" s="444">
        <v>1166.8651197149998</v>
      </c>
      <c r="N146" s="444">
        <v>1069.9602863961554</v>
      </c>
      <c r="O146" s="444">
        <v>1091.3279318045643</v>
      </c>
      <c r="P146" s="444">
        <v>1131.7588946865117</v>
      </c>
      <c r="Q146" s="444">
        <v>1427.0720505127856</v>
      </c>
      <c r="R146" s="444">
        <v>1958.1697348125622</v>
      </c>
      <c r="S146" s="444">
        <v>3524.760404450024</v>
      </c>
      <c r="T146" s="444">
        <v>25693.423474979696</v>
      </c>
    </row>
    <row r="147" spans="1:20">
      <c r="A147" s="382" t="s">
        <v>953</v>
      </c>
      <c r="B147" s="728"/>
      <c r="C147" s="728" t="s">
        <v>947</v>
      </c>
      <c r="D147" s="728" t="s">
        <v>955</v>
      </c>
      <c r="H147" s="444">
        <v>1</v>
      </c>
      <c r="I147" s="444">
        <v>1</v>
      </c>
      <c r="J147" s="444">
        <v>1</v>
      </c>
      <c r="K147" s="444">
        <v>1</v>
      </c>
      <c r="L147" s="444">
        <v>1</v>
      </c>
      <c r="M147" s="444">
        <v>1</v>
      </c>
      <c r="N147" s="444">
        <v>1</v>
      </c>
      <c r="O147" s="444">
        <v>1</v>
      </c>
      <c r="P147" s="444">
        <v>1</v>
      </c>
      <c r="Q147" s="444">
        <v>1</v>
      </c>
      <c r="R147" s="444">
        <v>1</v>
      </c>
      <c r="S147" s="444">
        <v>1</v>
      </c>
      <c r="T147" s="444">
        <v>1</v>
      </c>
    </row>
    <row r="148" spans="1:20">
      <c r="A148" s="382" t="s">
        <v>953</v>
      </c>
      <c r="B148" s="728"/>
      <c r="C148" s="728" t="s">
        <v>20</v>
      </c>
      <c r="D148" s="728" t="s">
        <v>955</v>
      </c>
      <c r="H148" s="444">
        <v>5668</v>
      </c>
      <c r="I148" s="444">
        <v>3489</v>
      </c>
      <c r="J148" s="444">
        <v>2210</v>
      </c>
      <c r="K148" s="444">
        <v>1382</v>
      </c>
      <c r="L148" s="444">
        <v>811</v>
      </c>
      <c r="M148" s="444">
        <v>487</v>
      </c>
      <c r="N148" s="444">
        <v>360</v>
      </c>
      <c r="O148" s="444">
        <v>388</v>
      </c>
      <c r="P148" s="444">
        <v>441</v>
      </c>
      <c r="Q148" s="444">
        <v>828</v>
      </c>
      <c r="R148" s="444">
        <v>1524</v>
      </c>
      <c r="S148" s="444">
        <v>3577</v>
      </c>
      <c r="T148" s="444">
        <v>21165</v>
      </c>
    </row>
    <row r="149" spans="1:20">
      <c r="A149" s="382" t="s">
        <v>953</v>
      </c>
      <c r="B149" s="728"/>
      <c r="C149" s="728"/>
      <c r="D149" s="728"/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444"/>
    </row>
    <row r="150" spans="1:20">
      <c r="A150" s="382" t="s">
        <v>953</v>
      </c>
      <c r="B150" s="729" t="s">
        <v>957</v>
      </c>
      <c r="C150" s="728" t="s">
        <v>16</v>
      </c>
      <c r="D150" s="728" t="s">
        <v>955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444"/>
    </row>
    <row r="151" spans="1:20">
      <c r="A151" s="382" t="s">
        <v>953</v>
      </c>
      <c r="B151" s="728"/>
      <c r="C151" s="728"/>
      <c r="D151" s="728" t="s">
        <v>955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444"/>
    </row>
    <row r="152" spans="1:20">
      <c r="A152" s="382" t="s">
        <v>953</v>
      </c>
      <c r="B152" s="728"/>
      <c r="C152" s="728" t="s">
        <v>17</v>
      </c>
      <c r="D152" s="728" t="s">
        <v>955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</row>
    <row r="153" spans="1:20">
      <c r="A153" s="382" t="s">
        <v>953</v>
      </c>
      <c r="B153" s="728"/>
      <c r="C153" s="728"/>
      <c r="D153" s="728" t="s">
        <v>955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444"/>
    </row>
    <row r="154" spans="1:20">
      <c r="A154" s="382" t="s">
        <v>953</v>
      </c>
      <c r="B154" s="728"/>
      <c r="C154" s="728" t="s">
        <v>18</v>
      </c>
      <c r="D154" s="728" t="s">
        <v>955</v>
      </c>
      <c r="H154" s="445"/>
      <c r="I154" s="445"/>
      <c r="J154" s="445"/>
      <c r="K154" s="445"/>
      <c r="L154" s="445"/>
      <c r="M154" s="445"/>
      <c r="N154" s="445"/>
      <c r="O154" s="445"/>
      <c r="P154" s="445"/>
      <c r="Q154" s="445"/>
      <c r="R154" s="445"/>
      <c r="S154" s="445"/>
      <c r="T154" s="445"/>
    </row>
    <row r="155" spans="1:20">
      <c r="A155" s="382" t="s">
        <v>953</v>
      </c>
      <c r="B155" s="728"/>
      <c r="C155" s="728" t="s">
        <v>19</v>
      </c>
      <c r="D155" s="728" t="s">
        <v>955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444"/>
    </row>
    <row r="156" spans="1:20">
      <c r="A156" s="382" t="s">
        <v>953</v>
      </c>
      <c r="B156" s="728"/>
      <c r="C156" s="728" t="s">
        <v>947</v>
      </c>
      <c r="D156" s="728" t="s">
        <v>955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444"/>
    </row>
    <row r="157" spans="1:20">
      <c r="A157" s="382" t="s">
        <v>953</v>
      </c>
      <c r="B157" s="728"/>
      <c r="C157" s="728" t="s">
        <v>20</v>
      </c>
      <c r="D157" s="728" t="s">
        <v>955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444"/>
    </row>
    <row r="158" spans="1:20">
      <c r="A158" s="382" t="s">
        <v>953</v>
      </c>
      <c r="B158" s="332"/>
      <c r="C158" s="332"/>
      <c r="D158" s="332"/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444"/>
    </row>
    <row r="159" spans="1:20">
      <c r="A159" s="382" t="s">
        <v>953</v>
      </c>
      <c r="B159" s="728" t="s">
        <v>958</v>
      </c>
      <c r="C159" s="728" t="s">
        <v>16</v>
      </c>
      <c r="D159" s="728" t="s">
        <v>955</v>
      </c>
      <c r="H159" s="444">
        <v>2245196.7475068164</v>
      </c>
      <c r="I159" s="444">
        <v>2079944.4245209773</v>
      </c>
      <c r="J159" s="444">
        <v>2062997.4161543152</v>
      </c>
      <c r="K159" s="444">
        <v>2011590.3444951726</v>
      </c>
      <c r="L159" s="444">
        <v>1957010.1283621378</v>
      </c>
      <c r="M159" s="444">
        <v>1972550.6794062257</v>
      </c>
      <c r="N159" s="444">
        <v>2003149.4321077699</v>
      </c>
      <c r="O159" s="444">
        <v>2074733.7087844182</v>
      </c>
      <c r="P159" s="444">
        <v>2042913.6649235911</v>
      </c>
      <c r="Q159" s="444">
        <v>2146367.7657506284</v>
      </c>
      <c r="R159" s="444">
        <v>2249405.4965296267</v>
      </c>
      <c r="S159" s="444">
        <v>2367093.5643570665</v>
      </c>
      <c r="T159" s="444">
        <v>25212953.372898743</v>
      </c>
    </row>
    <row r="160" spans="1:20">
      <c r="A160" s="382" t="s">
        <v>953</v>
      </c>
      <c r="B160" s="728"/>
      <c r="C160" s="728"/>
      <c r="D160" s="728" t="s">
        <v>955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444"/>
    </row>
    <row r="161" spans="1:20">
      <c r="A161" s="382" t="s">
        <v>953</v>
      </c>
      <c r="B161" s="728"/>
      <c r="C161" s="728" t="s">
        <v>17</v>
      </c>
      <c r="D161" s="728" t="s">
        <v>955</v>
      </c>
      <c r="H161" s="444">
        <v>0</v>
      </c>
      <c r="I161" s="444">
        <v>0</v>
      </c>
      <c r="J161" s="444">
        <v>0</v>
      </c>
      <c r="K161" s="444">
        <v>0</v>
      </c>
      <c r="L161" s="444">
        <v>0</v>
      </c>
      <c r="M161" s="444">
        <v>0</v>
      </c>
      <c r="N161" s="444">
        <v>0</v>
      </c>
      <c r="O161" s="444">
        <v>0</v>
      </c>
      <c r="P161" s="444">
        <v>0</v>
      </c>
      <c r="Q161" s="444">
        <v>0</v>
      </c>
      <c r="R161" s="444">
        <v>0</v>
      </c>
      <c r="S161" s="444">
        <v>0</v>
      </c>
      <c r="T161" s="444">
        <v>0</v>
      </c>
    </row>
    <row r="162" spans="1:20">
      <c r="A162" s="382" t="s">
        <v>953</v>
      </c>
      <c r="B162" s="728"/>
      <c r="C162" s="728"/>
      <c r="D162" s="728" t="s">
        <v>955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444"/>
    </row>
    <row r="163" spans="1:20">
      <c r="A163" s="382" t="s">
        <v>953</v>
      </c>
      <c r="B163" s="728"/>
      <c r="C163" s="728" t="s">
        <v>18</v>
      </c>
      <c r="D163" s="728" t="s">
        <v>955</v>
      </c>
      <c r="H163" s="445">
        <v>0</v>
      </c>
      <c r="I163" s="445">
        <v>0</v>
      </c>
      <c r="J163" s="445">
        <v>0</v>
      </c>
      <c r="K163" s="445">
        <v>0</v>
      </c>
      <c r="L163" s="445">
        <v>0</v>
      </c>
      <c r="M163" s="445">
        <v>0</v>
      </c>
      <c r="N163" s="445">
        <v>0</v>
      </c>
      <c r="O163" s="445">
        <v>0</v>
      </c>
      <c r="P163" s="445">
        <v>0</v>
      </c>
      <c r="Q163" s="445">
        <v>0</v>
      </c>
      <c r="R163" s="445">
        <v>0</v>
      </c>
      <c r="S163" s="445">
        <v>0</v>
      </c>
      <c r="T163" s="445">
        <v>0</v>
      </c>
    </row>
    <row r="164" spans="1:20">
      <c r="A164" s="382" t="s">
        <v>953</v>
      </c>
      <c r="B164" s="728"/>
      <c r="C164" s="728" t="s">
        <v>19</v>
      </c>
      <c r="D164" s="728" t="s">
        <v>955</v>
      </c>
      <c r="H164" s="444">
        <v>2245196.7475068164</v>
      </c>
      <c r="I164" s="444">
        <v>2079944.4245209773</v>
      </c>
      <c r="J164" s="444">
        <v>2062997.4161543152</v>
      </c>
      <c r="K164" s="444">
        <v>2011590.3444951726</v>
      </c>
      <c r="L164" s="444">
        <v>1957010.1283621378</v>
      </c>
      <c r="M164" s="444">
        <v>1972550.6794062257</v>
      </c>
      <c r="N164" s="444">
        <v>2003149.4321077699</v>
      </c>
      <c r="O164" s="444">
        <v>2074733.7087844182</v>
      </c>
      <c r="P164" s="444">
        <v>2042913.6649235911</v>
      </c>
      <c r="Q164" s="444">
        <v>2146367.7657506284</v>
      </c>
      <c r="R164" s="444">
        <v>2249405.4965296267</v>
      </c>
      <c r="S164" s="444">
        <v>2367093.5643570665</v>
      </c>
      <c r="T164" s="444">
        <v>25212953.372898743</v>
      </c>
    </row>
    <row r="165" spans="1:20">
      <c r="A165" s="382" t="s">
        <v>953</v>
      </c>
      <c r="B165" s="728"/>
      <c r="C165" s="728" t="s">
        <v>947</v>
      </c>
      <c r="D165" s="728" t="s">
        <v>955</v>
      </c>
      <c r="H165" s="444">
        <v>957</v>
      </c>
      <c r="I165" s="444">
        <v>957</v>
      </c>
      <c r="J165" s="444">
        <v>957</v>
      </c>
      <c r="K165" s="444">
        <v>957</v>
      </c>
      <c r="L165" s="444">
        <v>957</v>
      </c>
      <c r="M165" s="444">
        <v>957</v>
      </c>
      <c r="N165" s="444">
        <v>1141</v>
      </c>
      <c r="O165" s="444">
        <v>1141</v>
      </c>
      <c r="P165" s="444">
        <v>1141</v>
      </c>
      <c r="Q165" s="444">
        <v>1141</v>
      </c>
      <c r="R165" s="444">
        <v>1141</v>
      </c>
      <c r="S165" s="444">
        <v>1141</v>
      </c>
      <c r="T165" s="444">
        <v>1049</v>
      </c>
    </row>
    <row r="166" spans="1:20">
      <c r="A166" s="382" t="s">
        <v>953</v>
      </c>
      <c r="B166" s="728"/>
      <c r="C166" s="728" t="s">
        <v>20</v>
      </c>
      <c r="D166" s="728" t="s">
        <v>955</v>
      </c>
      <c r="H166" s="444">
        <v>5116752</v>
      </c>
      <c r="I166" s="444">
        <v>4189989</v>
      </c>
      <c r="J166" s="444">
        <v>4093073</v>
      </c>
      <c r="K166" s="444">
        <v>3805780</v>
      </c>
      <c r="L166" s="444">
        <v>3498815</v>
      </c>
      <c r="M166" s="444">
        <v>3574384</v>
      </c>
      <c r="N166" s="444">
        <v>3565416</v>
      </c>
      <c r="O166" s="444">
        <v>3642586</v>
      </c>
      <c r="P166" s="444">
        <v>3474575</v>
      </c>
      <c r="Q166" s="444">
        <v>4023311</v>
      </c>
      <c r="R166" s="444">
        <v>4569036</v>
      </c>
      <c r="S166" s="444">
        <v>5195728</v>
      </c>
      <c r="T166" s="444">
        <v>48749445</v>
      </c>
    </row>
    <row r="167" spans="1:20">
      <c r="A167" s="382" t="s">
        <v>953</v>
      </c>
      <c r="B167" s="728"/>
      <c r="C167" s="728"/>
      <c r="D167" s="728"/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444"/>
    </row>
    <row r="168" spans="1:20">
      <c r="A168" s="382" t="s">
        <v>953</v>
      </c>
      <c r="B168" s="728" t="s">
        <v>959</v>
      </c>
      <c r="C168" s="728" t="s">
        <v>16</v>
      </c>
      <c r="D168" s="728" t="s">
        <v>955</v>
      </c>
      <c r="H168" s="444">
        <v>0</v>
      </c>
      <c r="I168" s="444">
        <v>0</v>
      </c>
      <c r="J168" s="444">
        <v>0</v>
      </c>
      <c r="K168" s="444">
        <v>0</v>
      </c>
      <c r="L168" s="444">
        <v>0</v>
      </c>
      <c r="M168" s="444">
        <v>0</v>
      </c>
      <c r="N168" s="444">
        <v>0</v>
      </c>
      <c r="O168" s="444">
        <v>0</v>
      </c>
      <c r="P168" s="444">
        <v>0</v>
      </c>
      <c r="Q168" s="444">
        <v>0</v>
      </c>
      <c r="R168" s="444">
        <v>0</v>
      </c>
      <c r="S168" s="444">
        <v>0</v>
      </c>
      <c r="T168" s="444">
        <v>0</v>
      </c>
    </row>
    <row r="169" spans="1:20">
      <c r="A169" s="382" t="s">
        <v>953</v>
      </c>
      <c r="B169" s="728"/>
      <c r="C169" s="728"/>
      <c r="D169" s="728" t="s">
        <v>955</v>
      </c>
      <c r="H169" s="444">
        <v>0</v>
      </c>
      <c r="I169" s="444">
        <v>0</v>
      </c>
      <c r="J169" s="444">
        <v>0</v>
      </c>
      <c r="K169" s="444">
        <v>0</v>
      </c>
      <c r="L169" s="444">
        <v>0</v>
      </c>
      <c r="M169" s="444">
        <v>0</v>
      </c>
      <c r="N169" s="444">
        <v>0</v>
      </c>
      <c r="O169" s="444">
        <v>0</v>
      </c>
      <c r="P169" s="444">
        <v>0</v>
      </c>
      <c r="Q169" s="444">
        <v>0</v>
      </c>
      <c r="R169" s="444">
        <v>0</v>
      </c>
      <c r="S169" s="444">
        <v>0</v>
      </c>
      <c r="T169" s="444"/>
    </row>
    <row r="170" spans="1:20">
      <c r="A170" s="382" t="s">
        <v>953</v>
      </c>
      <c r="B170" s="728"/>
      <c r="C170" s="728" t="s">
        <v>17</v>
      </c>
      <c r="D170" s="728" t="s">
        <v>955</v>
      </c>
      <c r="H170" s="444">
        <v>0</v>
      </c>
      <c r="I170" s="444">
        <v>0</v>
      </c>
      <c r="J170" s="444">
        <v>0</v>
      </c>
      <c r="K170" s="444">
        <v>0</v>
      </c>
      <c r="L170" s="444">
        <v>0</v>
      </c>
      <c r="M170" s="444">
        <v>0</v>
      </c>
      <c r="N170" s="444">
        <v>0</v>
      </c>
      <c r="O170" s="444">
        <v>0</v>
      </c>
      <c r="P170" s="444">
        <v>0</v>
      </c>
      <c r="Q170" s="444">
        <v>0</v>
      </c>
      <c r="R170" s="444">
        <v>0</v>
      </c>
      <c r="S170" s="444">
        <v>0</v>
      </c>
      <c r="T170" s="444">
        <v>0</v>
      </c>
    </row>
    <row r="171" spans="1:20">
      <c r="A171" s="382" t="s">
        <v>953</v>
      </c>
      <c r="B171" s="728"/>
      <c r="C171" s="728"/>
      <c r="D171" s="728" t="s">
        <v>955</v>
      </c>
      <c r="H171" s="444">
        <v>0</v>
      </c>
      <c r="I171" s="444">
        <v>0</v>
      </c>
      <c r="J171" s="444">
        <v>0</v>
      </c>
      <c r="K171" s="444">
        <v>0</v>
      </c>
      <c r="L171" s="444">
        <v>0</v>
      </c>
      <c r="M171" s="444">
        <v>0</v>
      </c>
      <c r="N171" s="444">
        <v>0</v>
      </c>
      <c r="O171" s="444">
        <v>0</v>
      </c>
      <c r="P171" s="444">
        <v>0</v>
      </c>
      <c r="Q171" s="444">
        <v>0</v>
      </c>
      <c r="R171" s="444">
        <v>0</v>
      </c>
      <c r="S171" s="444">
        <v>0</v>
      </c>
      <c r="T171" s="444"/>
    </row>
    <row r="172" spans="1:20">
      <c r="A172" s="382" t="s">
        <v>953</v>
      </c>
      <c r="B172" s="728"/>
      <c r="C172" s="728" t="s">
        <v>18</v>
      </c>
      <c r="D172" s="728" t="s">
        <v>955</v>
      </c>
      <c r="H172" s="445">
        <v>0</v>
      </c>
      <c r="I172" s="445">
        <v>0</v>
      </c>
      <c r="J172" s="445">
        <v>0</v>
      </c>
      <c r="K172" s="445">
        <v>0</v>
      </c>
      <c r="L172" s="445">
        <v>0</v>
      </c>
      <c r="M172" s="445">
        <v>0</v>
      </c>
      <c r="N172" s="445">
        <v>0</v>
      </c>
      <c r="O172" s="445">
        <v>0</v>
      </c>
      <c r="P172" s="445">
        <v>0</v>
      </c>
      <c r="Q172" s="445">
        <v>0</v>
      </c>
      <c r="R172" s="445">
        <v>0</v>
      </c>
      <c r="S172" s="445">
        <v>0</v>
      </c>
      <c r="T172" s="445">
        <v>0</v>
      </c>
    </row>
    <row r="173" spans="1:20">
      <c r="A173" s="382" t="s">
        <v>953</v>
      </c>
      <c r="B173" s="728"/>
      <c r="C173" s="728" t="s">
        <v>19</v>
      </c>
      <c r="D173" s="728" t="s">
        <v>955</v>
      </c>
      <c r="H173" s="444">
        <v>0</v>
      </c>
      <c r="I173" s="444">
        <v>0</v>
      </c>
      <c r="J173" s="444">
        <v>0</v>
      </c>
      <c r="K173" s="444">
        <v>0</v>
      </c>
      <c r="L173" s="444">
        <v>0</v>
      </c>
      <c r="M173" s="444">
        <v>0</v>
      </c>
      <c r="N173" s="444">
        <v>0</v>
      </c>
      <c r="O173" s="444">
        <v>0</v>
      </c>
      <c r="P173" s="444">
        <v>0</v>
      </c>
      <c r="Q173" s="444">
        <v>0</v>
      </c>
      <c r="R173" s="444">
        <v>0</v>
      </c>
      <c r="S173" s="444">
        <v>0</v>
      </c>
      <c r="T173" s="444">
        <v>0</v>
      </c>
    </row>
    <row r="174" spans="1:20">
      <c r="A174" s="382" t="s">
        <v>953</v>
      </c>
      <c r="B174" s="728"/>
      <c r="C174" s="728" t="s">
        <v>947</v>
      </c>
      <c r="D174" s="728" t="s">
        <v>955</v>
      </c>
      <c r="H174" s="444">
        <v>0</v>
      </c>
      <c r="I174" s="444">
        <v>0</v>
      </c>
      <c r="J174" s="444">
        <v>0</v>
      </c>
      <c r="K174" s="444">
        <v>0</v>
      </c>
      <c r="L174" s="444">
        <v>0</v>
      </c>
      <c r="M174" s="444">
        <v>0</v>
      </c>
      <c r="N174" s="444">
        <v>0</v>
      </c>
      <c r="O174" s="444">
        <v>0</v>
      </c>
      <c r="P174" s="444">
        <v>0</v>
      </c>
      <c r="Q174" s="444">
        <v>0</v>
      </c>
      <c r="R174" s="444">
        <v>0</v>
      </c>
      <c r="S174" s="444">
        <v>0</v>
      </c>
      <c r="T174" s="444">
        <v>0</v>
      </c>
    </row>
    <row r="175" spans="1:20">
      <c r="A175" s="382" t="s">
        <v>953</v>
      </c>
      <c r="B175" s="728"/>
      <c r="C175" s="728" t="s">
        <v>20</v>
      </c>
      <c r="D175" s="728" t="s">
        <v>955</v>
      </c>
      <c r="H175" s="444">
        <v>0</v>
      </c>
      <c r="I175" s="444">
        <v>0</v>
      </c>
      <c r="J175" s="444">
        <v>0</v>
      </c>
      <c r="K175" s="444">
        <v>0</v>
      </c>
      <c r="L175" s="444">
        <v>0</v>
      </c>
      <c r="M175" s="444">
        <v>0</v>
      </c>
      <c r="N175" s="444">
        <v>0</v>
      </c>
      <c r="O175" s="444">
        <v>0</v>
      </c>
      <c r="P175" s="444">
        <v>0</v>
      </c>
      <c r="Q175" s="444">
        <v>0</v>
      </c>
      <c r="R175" s="444">
        <v>0</v>
      </c>
      <c r="S175" s="444">
        <v>0</v>
      </c>
      <c r="T175" s="444">
        <v>0</v>
      </c>
    </row>
    <row r="176" spans="1:20">
      <c r="A176" s="382" t="s">
        <v>953</v>
      </c>
      <c r="B176" s="728"/>
      <c r="C176" s="728"/>
      <c r="D176" s="728"/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444"/>
    </row>
    <row r="177" spans="1:21">
      <c r="A177" s="382" t="s">
        <v>953</v>
      </c>
      <c r="B177" s="728" t="s">
        <v>127</v>
      </c>
      <c r="C177" s="728" t="s">
        <v>16</v>
      </c>
      <c r="D177" s="728" t="s">
        <v>955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444">
        <v>0</v>
      </c>
    </row>
    <row r="178" spans="1:21">
      <c r="A178" s="382" t="s">
        <v>953</v>
      </c>
      <c r="B178" s="728"/>
      <c r="C178" s="728"/>
      <c r="D178" s="728" t="s">
        <v>955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444"/>
    </row>
    <row r="179" spans="1:21">
      <c r="A179" s="382" t="s">
        <v>953</v>
      </c>
      <c r="B179" s="728"/>
      <c r="C179" s="728" t="s">
        <v>17</v>
      </c>
      <c r="D179" s="728" t="s">
        <v>955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444">
        <v>0</v>
      </c>
    </row>
    <row r="180" spans="1:21">
      <c r="A180" s="382" t="s">
        <v>953</v>
      </c>
      <c r="B180" s="728"/>
      <c r="C180" s="728"/>
      <c r="D180" s="728" t="s">
        <v>955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444"/>
    </row>
    <row r="181" spans="1:21">
      <c r="A181" s="382" t="s">
        <v>953</v>
      </c>
      <c r="B181" s="728"/>
      <c r="C181" s="728" t="s">
        <v>18</v>
      </c>
      <c r="D181" s="728" t="s">
        <v>955</v>
      </c>
      <c r="H181" s="445"/>
      <c r="I181" s="445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>
        <v>0</v>
      </c>
    </row>
    <row r="182" spans="1:21">
      <c r="A182" s="382" t="s">
        <v>953</v>
      </c>
      <c r="B182" s="728"/>
      <c r="C182" s="728" t="s">
        <v>19</v>
      </c>
      <c r="D182" s="728" t="s">
        <v>955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444">
        <v>0</v>
      </c>
    </row>
    <row r="183" spans="1:21">
      <c r="A183" s="382" t="s">
        <v>953</v>
      </c>
      <c r="B183" s="728"/>
      <c r="C183" s="728" t="s">
        <v>947</v>
      </c>
      <c r="D183" s="728" t="s">
        <v>955</v>
      </c>
      <c r="H183" s="444">
        <v>0</v>
      </c>
      <c r="I183" s="444">
        <v>0</v>
      </c>
      <c r="J183" s="444">
        <v>0</v>
      </c>
      <c r="K183" s="444">
        <v>0</v>
      </c>
      <c r="L183" s="444">
        <v>0</v>
      </c>
      <c r="M183" s="444">
        <v>0</v>
      </c>
      <c r="N183" s="444">
        <v>0</v>
      </c>
      <c r="O183" s="444">
        <v>0</v>
      </c>
      <c r="P183" s="444">
        <v>0</v>
      </c>
      <c r="Q183" s="444">
        <v>0</v>
      </c>
      <c r="R183" s="444">
        <v>0</v>
      </c>
      <c r="S183" s="444">
        <v>0</v>
      </c>
      <c r="T183" s="444">
        <v>0</v>
      </c>
    </row>
    <row r="184" spans="1:21">
      <c r="A184" s="382" t="s">
        <v>953</v>
      </c>
      <c r="B184" s="728"/>
      <c r="C184" s="728" t="s">
        <v>20</v>
      </c>
      <c r="D184" s="728" t="s">
        <v>955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444">
        <v>0</v>
      </c>
      <c r="U184" s="95"/>
    </row>
    <row r="185" spans="1:21">
      <c r="A185" s="382" t="s">
        <v>953</v>
      </c>
      <c r="B185" s="728"/>
      <c r="C185" s="728"/>
      <c r="D185" s="728"/>
      <c r="H185" s="444"/>
      <c r="I185" s="444"/>
      <c r="J185" s="444"/>
      <c r="K185" s="444"/>
      <c r="L185" s="444"/>
      <c r="M185" s="444"/>
      <c r="N185" s="444"/>
      <c r="O185" s="444"/>
      <c r="P185" s="444"/>
      <c r="Q185" s="444"/>
      <c r="R185" s="444"/>
      <c r="S185" s="444"/>
      <c r="T185" s="444"/>
    </row>
    <row r="186" spans="1:21">
      <c r="A186" s="382" t="s">
        <v>953</v>
      </c>
      <c r="B186" s="728" t="s">
        <v>84</v>
      </c>
      <c r="C186" s="728" t="s">
        <v>16</v>
      </c>
      <c r="D186" s="728" t="s">
        <v>955</v>
      </c>
      <c r="H186" s="444">
        <v>0</v>
      </c>
      <c r="I186" s="444">
        <v>0</v>
      </c>
      <c r="J186" s="444">
        <v>0</v>
      </c>
      <c r="K186" s="444">
        <v>0</v>
      </c>
      <c r="L186" s="444">
        <v>0</v>
      </c>
      <c r="M186" s="444">
        <v>0</v>
      </c>
      <c r="N186" s="444">
        <v>0</v>
      </c>
      <c r="O186" s="444">
        <v>0</v>
      </c>
      <c r="P186" s="444">
        <v>0</v>
      </c>
      <c r="Q186" s="444">
        <v>0</v>
      </c>
      <c r="R186" s="444">
        <v>0</v>
      </c>
      <c r="S186" s="444">
        <v>0</v>
      </c>
      <c r="T186" s="444">
        <v>0</v>
      </c>
    </row>
    <row r="187" spans="1:21">
      <c r="A187" s="382" t="s">
        <v>953</v>
      </c>
      <c r="B187" s="728"/>
      <c r="C187" s="728"/>
      <c r="D187" s="728" t="s">
        <v>955</v>
      </c>
      <c r="H187" s="444">
        <v>0</v>
      </c>
      <c r="I187" s="444">
        <v>0</v>
      </c>
      <c r="J187" s="444">
        <v>0</v>
      </c>
      <c r="K187" s="444">
        <v>0</v>
      </c>
      <c r="L187" s="444">
        <v>0</v>
      </c>
      <c r="M187" s="444">
        <v>0</v>
      </c>
      <c r="N187" s="444">
        <v>0</v>
      </c>
      <c r="O187" s="444">
        <v>0</v>
      </c>
      <c r="P187" s="444">
        <v>0</v>
      </c>
      <c r="Q187" s="444">
        <v>0</v>
      </c>
      <c r="R187" s="444">
        <v>0</v>
      </c>
      <c r="S187" s="444">
        <v>0</v>
      </c>
      <c r="T187" s="444"/>
    </row>
    <row r="188" spans="1:21">
      <c r="A188" s="382" t="s">
        <v>953</v>
      </c>
      <c r="B188" s="728"/>
      <c r="C188" s="728" t="s">
        <v>17</v>
      </c>
      <c r="D188" s="728" t="s">
        <v>955</v>
      </c>
      <c r="H188" s="444">
        <v>0</v>
      </c>
      <c r="I188" s="444">
        <v>0</v>
      </c>
      <c r="J188" s="444">
        <v>0</v>
      </c>
      <c r="K188" s="444">
        <v>0</v>
      </c>
      <c r="L188" s="444">
        <v>0</v>
      </c>
      <c r="M188" s="444">
        <v>0</v>
      </c>
      <c r="N188" s="444">
        <v>0</v>
      </c>
      <c r="O188" s="444">
        <v>0</v>
      </c>
      <c r="P188" s="444">
        <v>0</v>
      </c>
      <c r="Q188" s="444">
        <v>0</v>
      </c>
      <c r="R188" s="444">
        <v>0</v>
      </c>
      <c r="S188" s="444">
        <v>0</v>
      </c>
      <c r="T188" s="444">
        <v>0</v>
      </c>
    </row>
    <row r="189" spans="1:21">
      <c r="A189" s="382" t="s">
        <v>953</v>
      </c>
      <c r="B189" s="728"/>
      <c r="C189" s="728"/>
      <c r="D189" s="728" t="s">
        <v>955</v>
      </c>
      <c r="H189" s="444">
        <v>0</v>
      </c>
      <c r="I189" s="444">
        <v>0</v>
      </c>
      <c r="J189" s="444">
        <v>0</v>
      </c>
      <c r="K189" s="444">
        <v>0</v>
      </c>
      <c r="L189" s="444">
        <v>0</v>
      </c>
      <c r="M189" s="444">
        <v>0</v>
      </c>
      <c r="N189" s="444">
        <v>0</v>
      </c>
      <c r="O189" s="444">
        <v>0</v>
      </c>
      <c r="P189" s="444">
        <v>0</v>
      </c>
      <c r="Q189" s="444">
        <v>0</v>
      </c>
      <c r="R189" s="444">
        <v>0</v>
      </c>
      <c r="S189" s="444">
        <v>0</v>
      </c>
      <c r="T189" s="444"/>
    </row>
    <row r="190" spans="1:21">
      <c r="A190" s="382" t="s">
        <v>953</v>
      </c>
      <c r="B190" s="728"/>
      <c r="C190" s="728" t="s">
        <v>18</v>
      </c>
      <c r="D190" s="728" t="s">
        <v>955</v>
      </c>
      <c r="H190" s="445">
        <v>0</v>
      </c>
      <c r="I190" s="445">
        <v>0</v>
      </c>
      <c r="J190" s="445">
        <v>0</v>
      </c>
      <c r="K190" s="445">
        <v>0</v>
      </c>
      <c r="L190" s="445">
        <v>0</v>
      </c>
      <c r="M190" s="445">
        <v>0</v>
      </c>
      <c r="N190" s="445">
        <v>0</v>
      </c>
      <c r="O190" s="445">
        <v>0</v>
      </c>
      <c r="P190" s="445">
        <v>0</v>
      </c>
      <c r="Q190" s="445">
        <v>0</v>
      </c>
      <c r="R190" s="445">
        <v>0</v>
      </c>
      <c r="S190" s="445">
        <v>0</v>
      </c>
      <c r="T190" s="445">
        <v>0</v>
      </c>
    </row>
    <row r="191" spans="1:21">
      <c r="A191" s="382" t="s">
        <v>953</v>
      </c>
      <c r="B191" s="728"/>
      <c r="C191" s="728" t="s">
        <v>19</v>
      </c>
      <c r="D191" s="728" t="s">
        <v>955</v>
      </c>
      <c r="H191" s="444">
        <v>0</v>
      </c>
      <c r="I191" s="444">
        <v>0</v>
      </c>
      <c r="J191" s="444">
        <v>0</v>
      </c>
      <c r="K191" s="444">
        <v>0</v>
      </c>
      <c r="L191" s="444">
        <v>0</v>
      </c>
      <c r="M191" s="444">
        <v>0</v>
      </c>
      <c r="N191" s="444">
        <v>0</v>
      </c>
      <c r="O191" s="444">
        <v>0</v>
      </c>
      <c r="P191" s="444">
        <v>0</v>
      </c>
      <c r="Q191" s="444">
        <v>0</v>
      </c>
      <c r="R191" s="444">
        <v>0</v>
      </c>
      <c r="S191" s="444">
        <v>0</v>
      </c>
      <c r="T191" s="444">
        <v>0</v>
      </c>
    </row>
    <row r="192" spans="1:21">
      <c r="A192" s="382" t="s">
        <v>953</v>
      </c>
      <c r="B192" s="728"/>
      <c r="C192" s="728" t="s">
        <v>947</v>
      </c>
      <c r="D192" s="728" t="s">
        <v>955</v>
      </c>
      <c r="H192" s="444">
        <v>0</v>
      </c>
      <c r="I192" s="444">
        <v>0</v>
      </c>
      <c r="J192" s="444">
        <v>0</v>
      </c>
      <c r="K192" s="444">
        <v>0</v>
      </c>
      <c r="L192" s="444">
        <v>0</v>
      </c>
      <c r="M192" s="444">
        <v>0</v>
      </c>
      <c r="N192" s="444">
        <v>0</v>
      </c>
      <c r="O192" s="444">
        <v>0</v>
      </c>
      <c r="P192" s="444">
        <v>0</v>
      </c>
      <c r="Q192" s="444">
        <v>0</v>
      </c>
      <c r="R192" s="444">
        <v>0</v>
      </c>
      <c r="S192" s="444">
        <v>0</v>
      </c>
      <c r="T192" s="444">
        <v>0</v>
      </c>
    </row>
    <row r="193" spans="1:21">
      <c r="A193" s="382" t="s">
        <v>953</v>
      </c>
      <c r="B193" s="728"/>
      <c r="C193" s="728" t="s">
        <v>20</v>
      </c>
      <c r="D193" s="728" t="s">
        <v>955</v>
      </c>
      <c r="H193" s="444">
        <v>0</v>
      </c>
      <c r="I193" s="444">
        <v>0</v>
      </c>
      <c r="J193" s="444">
        <v>0</v>
      </c>
      <c r="K193" s="444">
        <v>0</v>
      </c>
      <c r="L193" s="444">
        <v>0</v>
      </c>
      <c r="M193" s="444">
        <v>0</v>
      </c>
      <c r="N193" s="444">
        <v>0</v>
      </c>
      <c r="O193" s="444">
        <v>0</v>
      </c>
      <c r="P193" s="444">
        <v>0</v>
      </c>
      <c r="Q193" s="444">
        <v>0</v>
      </c>
      <c r="R193" s="444">
        <v>0</v>
      </c>
      <c r="S193" s="444">
        <v>0</v>
      </c>
      <c r="T193" s="444">
        <v>0</v>
      </c>
    </row>
    <row r="194" spans="1:21">
      <c r="A194" s="382"/>
      <c r="B194" s="728"/>
      <c r="C194" s="728"/>
      <c r="D194" s="728"/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444"/>
    </row>
    <row r="195" spans="1:21">
      <c r="A195" s="382"/>
      <c r="B195" s="332" t="s">
        <v>690</v>
      </c>
      <c r="C195" s="728" t="s">
        <v>16</v>
      </c>
      <c r="D195" s="728"/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444">
        <v>0</v>
      </c>
    </row>
    <row r="196" spans="1:21">
      <c r="A196" s="382"/>
      <c r="B196" s="332" t="s">
        <v>114</v>
      </c>
      <c r="C196" s="728" t="s">
        <v>16</v>
      </c>
      <c r="D196" s="728"/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444"/>
    </row>
    <row r="197" spans="1:21"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444">
        <v>0</v>
      </c>
    </row>
    <row r="198" spans="1:21">
      <c r="A198" s="382"/>
      <c r="B198" s="332" t="s">
        <v>543</v>
      </c>
      <c r="C198" s="728"/>
      <c r="D198" s="728"/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444"/>
    </row>
    <row r="199" spans="1:21">
      <c r="A199" s="382"/>
      <c r="B199" s="332"/>
      <c r="C199" s="728" t="s">
        <v>16</v>
      </c>
      <c r="D199" s="728"/>
      <c r="H199" s="444">
        <v>55111029.586578533</v>
      </c>
      <c r="I199" s="444">
        <v>46209258.990241267</v>
      </c>
      <c r="J199" s="444">
        <v>37765884.116333991</v>
      </c>
      <c r="K199" s="444">
        <v>24628971.457625177</v>
      </c>
      <c r="L199" s="444">
        <v>17188415.802015293</v>
      </c>
      <c r="M199" s="444">
        <v>15059473.440156084</v>
      </c>
      <c r="N199" s="444">
        <v>14516907.777461648</v>
      </c>
      <c r="O199" s="444">
        <v>14736803.812553685</v>
      </c>
      <c r="P199" s="444">
        <v>16539171.646680528</v>
      </c>
      <c r="Q199" s="444">
        <v>21583341.395789631</v>
      </c>
      <c r="R199" s="444">
        <v>38071282.21147494</v>
      </c>
      <c r="S199" s="444">
        <v>52641633.630487561</v>
      </c>
      <c r="T199" s="444">
        <v>354052173.86739832</v>
      </c>
      <c r="U199" s="95"/>
    </row>
    <row r="200" spans="1:21">
      <c r="A200" s="382"/>
      <c r="B200" s="332"/>
      <c r="C200" s="728" t="s">
        <v>17</v>
      </c>
      <c r="D200" s="728"/>
      <c r="H200" s="444">
        <v>25479622.34</v>
      </c>
      <c r="I200" s="444">
        <v>21240183.93</v>
      </c>
      <c r="J200" s="444">
        <v>16638521.66</v>
      </c>
      <c r="K200" s="444">
        <v>5182558.5599999996</v>
      </c>
      <c r="L200" s="444">
        <v>3166606.92</v>
      </c>
      <c r="M200" s="444">
        <v>1938043.0100000002</v>
      </c>
      <c r="N200" s="444">
        <v>1598308.84</v>
      </c>
      <c r="O200" s="444">
        <v>1477602.16</v>
      </c>
      <c r="P200" s="444">
        <v>1713041.48</v>
      </c>
      <c r="Q200" s="444">
        <v>4119181.6000000006</v>
      </c>
      <c r="R200" s="444">
        <v>15240613.790000001</v>
      </c>
      <c r="S200" s="444">
        <v>24206075.869999997</v>
      </c>
      <c r="T200" s="444">
        <v>122000360.16</v>
      </c>
    </row>
    <row r="201" spans="1:21">
      <c r="A201" s="382"/>
      <c r="B201" s="728"/>
      <c r="C201" s="728" t="s">
        <v>18</v>
      </c>
      <c r="D201" s="728"/>
      <c r="H201" s="445">
        <v>68337208.579999998</v>
      </c>
      <c r="I201" s="445">
        <v>56972592.399999999</v>
      </c>
      <c r="J201" s="445">
        <v>44642709.630000003</v>
      </c>
      <c r="K201" s="445">
        <v>29542448.870000001</v>
      </c>
      <c r="L201" s="445">
        <v>18050936.93</v>
      </c>
      <c r="M201" s="445">
        <v>11069265.9</v>
      </c>
      <c r="N201" s="445">
        <v>9137068</v>
      </c>
      <c r="O201" s="445">
        <v>8436018.1799999997</v>
      </c>
      <c r="P201" s="445">
        <v>9765137.7599999998</v>
      </c>
      <c r="Q201" s="445">
        <v>23503574.369999997</v>
      </c>
      <c r="R201" s="445">
        <v>40891326.629999995</v>
      </c>
      <c r="S201" s="445">
        <v>64890740.979999997</v>
      </c>
      <c r="T201" s="445">
        <v>385239028.22999996</v>
      </c>
    </row>
    <row r="202" spans="1:21">
      <c r="A202" s="382"/>
      <c r="B202" s="728"/>
      <c r="C202" s="728" t="s">
        <v>457</v>
      </c>
      <c r="D202" s="728"/>
      <c r="H202" s="444">
        <v>148927860.50657853</v>
      </c>
      <c r="I202" s="444">
        <v>124422035.32024127</v>
      </c>
      <c r="J202" s="444">
        <v>99047115.406333983</v>
      </c>
      <c r="K202" s="444">
        <v>59353978.887625173</v>
      </c>
      <c r="L202" s="444">
        <v>38405959.652015291</v>
      </c>
      <c r="M202" s="444">
        <v>28066782.350156084</v>
      </c>
      <c r="N202" s="444">
        <v>25252284.617461648</v>
      </c>
      <c r="O202" s="444">
        <v>24650424.152553685</v>
      </c>
      <c r="P202" s="444">
        <v>28017350.886680529</v>
      </c>
      <c r="Q202" s="444">
        <v>49206097.36578963</v>
      </c>
      <c r="R202" s="444">
        <v>94203222.631474942</v>
      </c>
      <c r="S202" s="444">
        <v>141738450.48048756</v>
      </c>
      <c r="T202" s="444">
        <v>861291562.25739837</v>
      </c>
    </row>
    <row r="203" spans="1:21">
      <c r="A203" s="382"/>
      <c r="B203" s="332"/>
      <c r="C203" s="728" t="s">
        <v>947</v>
      </c>
      <c r="D203" s="728"/>
      <c r="H203" s="444">
        <v>1032551</v>
      </c>
      <c r="I203" s="444">
        <v>1034234</v>
      </c>
      <c r="J203" s="444">
        <v>1036970</v>
      </c>
      <c r="K203" s="444">
        <v>1037258</v>
      </c>
      <c r="L203" s="444">
        <v>1038015</v>
      </c>
      <c r="M203" s="444">
        <v>1038329</v>
      </c>
      <c r="N203" s="444">
        <v>1036349</v>
      </c>
      <c r="O203" s="444">
        <v>1037973</v>
      </c>
      <c r="P203" s="444">
        <v>1038876</v>
      </c>
      <c r="Q203" s="444">
        <v>1042313</v>
      </c>
      <c r="R203" s="444">
        <v>1046546</v>
      </c>
      <c r="S203" s="444">
        <v>1051479</v>
      </c>
      <c r="T203" s="444">
        <v>1039241.0833333334</v>
      </c>
    </row>
    <row r="204" spans="1:21">
      <c r="A204" s="382"/>
      <c r="B204" s="728"/>
      <c r="C204" s="728" t="s">
        <v>59</v>
      </c>
      <c r="D204" s="728"/>
      <c r="H204" s="444">
        <v>22795671</v>
      </c>
      <c r="I204" s="444">
        <v>19024585</v>
      </c>
      <c r="J204" s="444">
        <v>14938325</v>
      </c>
      <c r="K204" s="444">
        <v>11094518</v>
      </c>
      <c r="L204" s="444">
        <v>8050858</v>
      </c>
      <c r="M204" s="444">
        <v>6272619</v>
      </c>
      <c r="N204" s="444">
        <v>5961237</v>
      </c>
      <c r="O204" s="444">
        <v>5883403</v>
      </c>
      <c r="P204" s="444">
        <v>5448900</v>
      </c>
      <c r="Q204" s="444">
        <v>8734002</v>
      </c>
      <c r="R204" s="444">
        <v>13973012</v>
      </c>
      <c r="S204" s="444">
        <v>21828231</v>
      </c>
      <c r="T204" s="444">
        <v>144005361</v>
      </c>
    </row>
    <row r="205" spans="1:21">
      <c r="A205" s="382"/>
      <c r="B205" s="332"/>
      <c r="C205" s="332" t="s">
        <v>60</v>
      </c>
      <c r="D205" s="332"/>
      <c r="H205" s="445">
        <v>5602659</v>
      </c>
      <c r="I205" s="445">
        <v>4642457</v>
      </c>
      <c r="J205" s="445">
        <v>4591950</v>
      </c>
      <c r="K205" s="445">
        <v>4254744</v>
      </c>
      <c r="L205" s="445">
        <v>3986512</v>
      </c>
      <c r="M205" s="445">
        <v>4045912</v>
      </c>
      <c r="N205" s="445">
        <v>4269366</v>
      </c>
      <c r="O205" s="445">
        <v>4384105</v>
      </c>
      <c r="P205" s="445">
        <v>4047051</v>
      </c>
      <c r="Q205" s="445">
        <v>4472692</v>
      </c>
      <c r="R205" s="445">
        <v>4949839</v>
      </c>
      <c r="S205" s="445">
        <v>5654174</v>
      </c>
      <c r="T205" s="445">
        <v>54901461</v>
      </c>
    </row>
    <row r="206" spans="1:21">
      <c r="A206" s="873"/>
      <c r="B206" s="728"/>
      <c r="C206" s="728" t="s">
        <v>458</v>
      </c>
      <c r="D206" s="728"/>
      <c r="H206" s="444">
        <v>28398330</v>
      </c>
      <c r="I206" s="444">
        <v>23667042</v>
      </c>
      <c r="J206" s="444">
        <v>19530275</v>
      </c>
      <c r="K206" s="444">
        <v>15349262</v>
      </c>
      <c r="L206" s="444">
        <v>12037370</v>
      </c>
      <c r="M206" s="444">
        <v>10318531</v>
      </c>
      <c r="N206" s="444">
        <v>10230603</v>
      </c>
      <c r="O206" s="444">
        <v>10267508</v>
      </c>
      <c r="P206" s="444">
        <v>9495951</v>
      </c>
      <c r="Q206" s="444">
        <v>13206694</v>
      </c>
      <c r="R206" s="444">
        <v>18922851</v>
      </c>
      <c r="S206" s="444">
        <v>27482405</v>
      </c>
      <c r="T206" s="444">
        <v>198906822</v>
      </c>
      <c r="U206" s="95">
        <f>+T206-Z36</f>
        <v>32925927</v>
      </c>
    </row>
    <row r="207" spans="1:21">
      <c r="A207" s="382"/>
      <c r="B207" s="728"/>
      <c r="C207" s="728"/>
      <c r="D207" s="728"/>
      <c r="H207" s="444"/>
      <c r="I207" s="444"/>
      <c r="J207" s="444"/>
      <c r="K207" s="444"/>
      <c r="L207" s="444"/>
      <c r="M207" s="444"/>
      <c r="N207" s="444"/>
      <c r="O207" s="444"/>
      <c r="P207" s="444"/>
      <c r="Q207" s="444"/>
      <c r="R207" s="444"/>
      <c r="S207" s="444"/>
      <c r="T207" s="444"/>
      <c r="U207" s="95"/>
    </row>
    <row r="208" spans="1:21">
      <c r="A208" s="382"/>
      <c r="B208" s="728"/>
      <c r="C208" s="728"/>
      <c r="D208" s="728"/>
      <c r="H208" s="444"/>
      <c r="I208" s="444"/>
      <c r="J208" s="444"/>
      <c r="K208" s="444"/>
      <c r="L208" s="444"/>
      <c r="M208" s="444"/>
      <c r="N208" s="444"/>
      <c r="O208" s="444"/>
      <c r="P208" s="444"/>
      <c r="Q208" s="444"/>
      <c r="R208" s="444"/>
      <c r="S208" s="444"/>
      <c r="T208" s="444"/>
    </row>
    <row r="209" spans="1:20">
      <c r="A209" s="382" t="s">
        <v>459</v>
      </c>
      <c r="B209" s="728" t="s">
        <v>15</v>
      </c>
      <c r="C209" s="728" t="s">
        <v>16</v>
      </c>
      <c r="D209" s="728"/>
      <c r="H209" s="444">
        <v>0</v>
      </c>
      <c r="I209" s="444">
        <v>0</v>
      </c>
      <c r="J209" s="444">
        <v>0</v>
      </c>
      <c r="K209" s="444">
        <v>0</v>
      </c>
      <c r="L209" s="444">
        <v>0</v>
      </c>
      <c r="M209" s="444">
        <v>0</v>
      </c>
      <c r="N209" s="444">
        <v>0</v>
      </c>
      <c r="O209" s="444">
        <v>0</v>
      </c>
      <c r="P209" s="444">
        <v>0</v>
      </c>
      <c r="Q209" s="444">
        <v>0</v>
      </c>
      <c r="R209" s="444">
        <v>0</v>
      </c>
      <c r="S209" s="444">
        <v>0</v>
      </c>
      <c r="T209" s="444">
        <v>0</v>
      </c>
    </row>
    <row r="210" spans="1:20">
      <c r="A210" s="382"/>
      <c r="B210" s="728"/>
      <c r="C210" s="728"/>
      <c r="D210" s="728"/>
      <c r="H210" s="444">
        <v>0</v>
      </c>
      <c r="I210" s="444">
        <v>0</v>
      </c>
      <c r="J210" s="444">
        <v>0</v>
      </c>
      <c r="K210" s="444">
        <v>0</v>
      </c>
      <c r="L210" s="444">
        <v>0</v>
      </c>
      <c r="M210" s="444">
        <v>0</v>
      </c>
      <c r="N210" s="444">
        <v>0</v>
      </c>
      <c r="O210" s="444">
        <v>0</v>
      </c>
      <c r="P210" s="444">
        <v>0</v>
      </c>
      <c r="Q210" s="444">
        <v>0</v>
      </c>
      <c r="R210" s="444">
        <v>0</v>
      </c>
      <c r="S210" s="444">
        <v>0</v>
      </c>
      <c r="T210" s="444"/>
    </row>
    <row r="211" spans="1:20">
      <c r="A211" s="382"/>
      <c r="B211" s="728"/>
      <c r="C211" s="728" t="s">
        <v>17</v>
      </c>
      <c r="D211" s="728"/>
      <c r="H211" s="444">
        <v>0</v>
      </c>
      <c r="I211" s="444">
        <v>0</v>
      </c>
      <c r="J211" s="444">
        <v>0</v>
      </c>
      <c r="K211" s="444">
        <v>0</v>
      </c>
      <c r="L211" s="444">
        <v>0</v>
      </c>
      <c r="M211" s="444">
        <v>0</v>
      </c>
      <c r="N211" s="444">
        <v>0</v>
      </c>
      <c r="O211" s="444">
        <v>0</v>
      </c>
      <c r="P211" s="444">
        <v>0</v>
      </c>
      <c r="Q211" s="444">
        <v>0</v>
      </c>
      <c r="R211" s="444">
        <v>0</v>
      </c>
      <c r="S211" s="444">
        <v>0</v>
      </c>
      <c r="T211" s="444">
        <v>0</v>
      </c>
    </row>
    <row r="212" spans="1:20">
      <c r="A212" s="382"/>
      <c r="B212" s="728"/>
      <c r="C212" s="728"/>
      <c r="D212" s="728"/>
      <c r="H212" s="444">
        <v>0</v>
      </c>
      <c r="I212" s="444">
        <v>0</v>
      </c>
      <c r="J212" s="444">
        <v>0</v>
      </c>
      <c r="K212" s="444">
        <v>0</v>
      </c>
      <c r="L212" s="444">
        <v>0</v>
      </c>
      <c r="M212" s="444">
        <v>0</v>
      </c>
      <c r="N212" s="444">
        <v>0</v>
      </c>
      <c r="O212" s="444">
        <v>0</v>
      </c>
      <c r="P212" s="444">
        <v>0</v>
      </c>
      <c r="Q212" s="444">
        <v>0</v>
      </c>
      <c r="R212" s="444">
        <v>0</v>
      </c>
      <c r="S212" s="444">
        <v>0</v>
      </c>
      <c r="T212" s="444"/>
    </row>
    <row r="213" spans="1:20">
      <c r="A213" s="382"/>
      <c r="B213" s="728"/>
      <c r="C213" s="728" t="s">
        <v>18</v>
      </c>
      <c r="D213" s="728"/>
      <c r="H213" s="445">
        <v>0</v>
      </c>
      <c r="I213" s="445">
        <v>0</v>
      </c>
      <c r="J213" s="445">
        <v>0</v>
      </c>
      <c r="K213" s="445">
        <v>0</v>
      </c>
      <c r="L213" s="445">
        <v>0</v>
      </c>
      <c r="M213" s="445">
        <v>0</v>
      </c>
      <c r="N213" s="445">
        <v>0</v>
      </c>
      <c r="O213" s="445">
        <v>0</v>
      </c>
      <c r="P213" s="445">
        <v>0</v>
      </c>
      <c r="Q213" s="445">
        <v>0</v>
      </c>
      <c r="R213" s="445">
        <v>0</v>
      </c>
      <c r="S213" s="445">
        <v>0</v>
      </c>
      <c r="T213" s="445">
        <v>0</v>
      </c>
    </row>
    <row r="214" spans="1:20">
      <c r="A214" s="382"/>
      <c r="B214" s="728"/>
      <c r="C214" s="728" t="s">
        <v>19</v>
      </c>
      <c r="D214" s="728"/>
      <c r="H214" s="444">
        <v>0</v>
      </c>
      <c r="I214" s="444">
        <v>0</v>
      </c>
      <c r="J214" s="444">
        <v>0</v>
      </c>
      <c r="K214" s="444">
        <v>0</v>
      </c>
      <c r="L214" s="444">
        <v>0</v>
      </c>
      <c r="M214" s="444">
        <v>0</v>
      </c>
      <c r="N214" s="444">
        <v>0</v>
      </c>
      <c r="O214" s="444">
        <v>0</v>
      </c>
      <c r="P214" s="444">
        <v>0</v>
      </c>
      <c r="Q214" s="444">
        <v>0</v>
      </c>
      <c r="R214" s="444">
        <v>0</v>
      </c>
      <c r="S214" s="444">
        <v>0</v>
      </c>
      <c r="T214" s="444">
        <v>0</v>
      </c>
    </row>
    <row r="215" spans="1:20">
      <c r="A215" s="382"/>
      <c r="B215" s="728"/>
      <c r="C215" s="728" t="s">
        <v>947</v>
      </c>
      <c r="D215" s="728"/>
      <c r="H215" s="444">
        <v>0</v>
      </c>
      <c r="I215" s="444">
        <v>0</v>
      </c>
      <c r="J215" s="444">
        <v>0</v>
      </c>
      <c r="K215" s="444">
        <v>0</v>
      </c>
      <c r="L215" s="444">
        <v>0</v>
      </c>
      <c r="M215" s="444">
        <v>0</v>
      </c>
      <c r="N215" s="444">
        <v>0</v>
      </c>
      <c r="O215" s="444">
        <v>0</v>
      </c>
      <c r="P215" s="444">
        <v>0</v>
      </c>
      <c r="Q215" s="444">
        <v>0</v>
      </c>
      <c r="R215" s="444">
        <v>0</v>
      </c>
      <c r="S215" s="444">
        <v>0</v>
      </c>
      <c r="T215" s="444">
        <v>0</v>
      </c>
    </row>
    <row r="216" spans="1:20">
      <c r="A216" s="382"/>
      <c r="B216" s="728"/>
      <c r="C216" s="728" t="s">
        <v>20</v>
      </c>
      <c r="D216" s="728"/>
      <c r="H216" s="444">
        <v>0</v>
      </c>
      <c r="I216" s="444">
        <v>0</v>
      </c>
      <c r="J216" s="444">
        <v>0</v>
      </c>
      <c r="K216" s="444">
        <v>0</v>
      </c>
      <c r="L216" s="444">
        <v>0</v>
      </c>
      <c r="M216" s="444">
        <v>0</v>
      </c>
      <c r="N216" s="444">
        <v>0</v>
      </c>
      <c r="O216" s="444">
        <v>0</v>
      </c>
      <c r="P216" s="444">
        <v>0</v>
      </c>
      <c r="Q216" s="444">
        <v>0</v>
      </c>
      <c r="R216" s="444">
        <v>0</v>
      </c>
      <c r="S216" s="444">
        <v>0</v>
      </c>
      <c r="T216" s="444">
        <v>0</v>
      </c>
    </row>
    <row r="217" spans="1:20">
      <c r="A217" s="382"/>
      <c r="B217" s="728"/>
      <c r="C217" s="728"/>
      <c r="D217" s="728"/>
      <c r="H217" s="444">
        <v>0</v>
      </c>
      <c r="I217" s="444">
        <v>0</v>
      </c>
      <c r="J217" s="444">
        <v>0</v>
      </c>
      <c r="K217" s="444">
        <v>0</v>
      </c>
      <c r="L217" s="444">
        <v>0</v>
      </c>
      <c r="M217" s="444">
        <v>0</v>
      </c>
      <c r="N217" s="444">
        <v>0</v>
      </c>
      <c r="O217" s="444">
        <v>0</v>
      </c>
      <c r="P217" s="444">
        <v>0</v>
      </c>
      <c r="Q217" s="444">
        <v>0</v>
      </c>
      <c r="R217" s="444">
        <v>0</v>
      </c>
      <c r="S217" s="444">
        <v>0</v>
      </c>
      <c r="T217" s="444"/>
    </row>
    <row r="218" spans="1:20">
      <c r="A218" s="382"/>
      <c r="B218" s="728" t="s">
        <v>88</v>
      </c>
      <c r="C218" s="728" t="s">
        <v>16</v>
      </c>
      <c r="D218" s="728"/>
      <c r="H218" s="444">
        <v>0</v>
      </c>
      <c r="I218" s="444">
        <v>0</v>
      </c>
      <c r="J218" s="444">
        <v>0</v>
      </c>
      <c r="K218" s="444">
        <v>0</v>
      </c>
      <c r="L218" s="444">
        <v>0</v>
      </c>
      <c r="M218" s="444">
        <v>0</v>
      </c>
      <c r="N218" s="444">
        <v>0</v>
      </c>
      <c r="O218" s="444">
        <v>0</v>
      </c>
      <c r="P218" s="444">
        <v>0</v>
      </c>
      <c r="Q218" s="444">
        <v>0</v>
      </c>
      <c r="R218" s="444">
        <v>0</v>
      </c>
      <c r="S218" s="444">
        <v>0</v>
      </c>
      <c r="T218" s="444">
        <v>0</v>
      </c>
    </row>
    <row r="219" spans="1:20">
      <c r="A219" s="382"/>
      <c r="B219" s="728"/>
      <c r="C219" s="728"/>
      <c r="D219" s="728"/>
      <c r="H219" s="444">
        <v>0</v>
      </c>
      <c r="I219" s="444">
        <v>0</v>
      </c>
      <c r="J219" s="444">
        <v>0</v>
      </c>
      <c r="K219" s="444">
        <v>0</v>
      </c>
      <c r="L219" s="444">
        <v>0</v>
      </c>
      <c r="M219" s="444">
        <v>0</v>
      </c>
      <c r="N219" s="444">
        <v>0</v>
      </c>
      <c r="O219" s="444">
        <v>0</v>
      </c>
      <c r="P219" s="444">
        <v>0</v>
      </c>
      <c r="Q219" s="444">
        <v>0</v>
      </c>
      <c r="R219" s="444">
        <v>0</v>
      </c>
      <c r="S219" s="444">
        <v>0</v>
      </c>
      <c r="T219" s="444"/>
    </row>
    <row r="220" spans="1:20">
      <c r="A220" s="382"/>
      <c r="B220" s="728"/>
      <c r="C220" s="728" t="s">
        <v>17</v>
      </c>
      <c r="D220" s="728"/>
      <c r="H220" s="444">
        <v>0</v>
      </c>
      <c r="I220" s="444">
        <v>0</v>
      </c>
      <c r="J220" s="444">
        <v>0</v>
      </c>
      <c r="K220" s="444">
        <v>0</v>
      </c>
      <c r="L220" s="444">
        <v>0</v>
      </c>
      <c r="M220" s="444">
        <v>0</v>
      </c>
      <c r="N220" s="444">
        <v>0</v>
      </c>
      <c r="O220" s="444">
        <v>0</v>
      </c>
      <c r="P220" s="444">
        <v>0</v>
      </c>
      <c r="Q220" s="444">
        <v>0</v>
      </c>
      <c r="R220" s="444">
        <v>0</v>
      </c>
      <c r="S220" s="444">
        <v>0</v>
      </c>
      <c r="T220" s="444">
        <v>0</v>
      </c>
    </row>
    <row r="221" spans="1:20">
      <c r="A221" s="382"/>
      <c r="B221" s="728"/>
      <c r="C221" s="728"/>
      <c r="D221" s="728"/>
      <c r="H221" s="444">
        <v>0</v>
      </c>
      <c r="I221" s="444">
        <v>0</v>
      </c>
      <c r="J221" s="444">
        <v>0</v>
      </c>
      <c r="K221" s="444">
        <v>0</v>
      </c>
      <c r="L221" s="444">
        <v>0</v>
      </c>
      <c r="M221" s="444">
        <v>0</v>
      </c>
      <c r="N221" s="444">
        <v>0</v>
      </c>
      <c r="O221" s="444">
        <v>0</v>
      </c>
      <c r="P221" s="444">
        <v>0</v>
      </c>
      <c r="Q221" s="444">
        <v>0</v>
      </c>
      <c r="R221" s="444">
        <v>0</v>
      </c>
      <c r="S221" s="444">
        <v>0</v>
      </c>
      <c r="T221" s="444"/>
    </row>
    <row r="222" spans="1:20">
      <c r="A222" s="382"/>
      <c r="B222" s="728"/>
      <c r="C222" s="728" t="s">
        <v>18</v>
      </c>
      <c r="D222" s="728"/>
      <c r="H222" s="445">
        <v>0</v>
      </c>
      <c r="I222" s="445">
        <v>0</v>
      </c>
      <c r="J222" s="445">
        <v>0</v>
      </c>
      <c r="K222" s="445">
        <v>0</v>
      </c>
      <c r="L222" s="445">
        <v>0</v>
      </c>
      <c r="M222" s="445">
        <v>0</v>
      </c>
      <c r="N222" s="445">
        <v>0</v>
      </c>
      <c r="O222" s="445">
        <v>0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</row>
    <row r="223" spans="1:20">
      <c r="A223" s="382"/>
      <c r="B223" s="728"/>
      <c r="C223" s="728" t="s">
        <v>19</v>
      </c>
      <c r="D223" s="728"/>
      <c r="H223" s="444">
        <v>0</v>
      </c>
      <c r="I223" s="444">
        <v>0</v>
      </c>
      <c r="J223" s="444">
        <v>0</v>
      </c>
      <c r="K223" s="444">
        <v>0</v>
      </c>
      <c r="L223" s="444">
        <v>0</v>
      </c>
      <c r="M223" s="444">
        <v>0</v>
      </c>
      <c r="N223" s="444">
        <v>0</v>
      </c>
      <c r="O223" s="444">
        <v>0</v>
      </c>
      <c r="P223" s="444">
        <v>0</v>
      </c>
      <c r="Q223" s="444">
        <v>0</v>
      </c>
      <c r="R223" s="444">
        <v>0</v>
      </c>
      <c r="S223" s="444">
        <v>0</v>
      </c>
      <c r="T223" s="444">
        <v>0</v>
      </c>
    </row>
    <row r="224" spans="1:20">
      <c r="A224" s="382"/>
      <c r="B224" s="728"/>
      <c r="C224" s="728" t="s">
        <v>947</v>
      </c>
      <c r="D224" s="728"/>
      <c r="H224" s="444">
        <v>0</v>
      </c>
      <c r="I224" s="444">
        <v>0</v>
      </c>
      <c r="J224" s="444">
        <v>0</v>
      </c>
      <c r="K224" s="444">
        <v>0</v>
      </c>
      <c r="L224" s="444">
        <v>0</v>
      </c>
      <c r="M224" s="444">
        <v>0</v>
      </c>
      <c r="N224" s="444">
        <v>0</v>
      </c>
      <c r="O224" s="444">
        <v>0</v>
      </c>
      <c r="P224" s="444">
        <v>0</v>
      </c>
      <c r="Q224" s="444">
        <v>0</v>
      </c>
      <c r="R224" s="444">
        <v>0</v>
      </c>
      <c r="S224" s="444">
        <v>0</v>
      </c>
      <c r="T224" s="444">
        <v>0</v>
      </c>
    </row>
    <row r="225" spans="1:20">
      <c r="A225" s="382"/>
      <c r="B225" s="332"/>
      <c r="C225" s="728" t="s">
        <v>20</v>
      </c>
      <c r="D225" s="728"/>
      <c r="H225" s="444">
        <v>0</v>
      </c>
      <c r="I225" s="444">
        <v>0</v>
      </c>
      <c r="J225" s="444">
        <v>0</v>
      </c>
      <c r="K225" s="444">
        <v>0</v>
      </c>
      <c r="L225" s="444">
        <v>0</v>
      </c>
      <c r="M225" s="444">
        <v>0</v>
      </c>
      <c r="N225" s="444">
        <v>0</v>
      </c>
      <c r="O225" s="444">
        <v>0</v>
      </c>
      <c r="P225" s="444">
        <v>0</v>
      </c>
      <c r="Q225" s="444">
        <v>0</v>
      </c>
      <c r="R225" s="444">
        <v>0</v>
      </c>
      <c r="S225" s="444">
        <v>0</v>
      </c>
      <c r="T225" s="444">
        <v>0</v>
      </c>
    </row>
    <row r="226" spans="1:20">
      <c r="A226" s="382"/>
      <c r="B226" s="332"/>
      <c r="C226" s="728"/>
      <c r="D226" s="728"/>
      <c r="H226" s="444"/>
      <c r="I226" s="444"/>
      <c r="J226" s="444"/>
      <c r="K226" s="444"/>
      <c r="L226" s="444"/>
      <c r="M226" s="444"/>
      <c r="N226" s="444"/>
      <c r="O226" s="444"/>
      <c r="P226" s="444"/>
      <c r="Q226" s="444"/>
      <c r="R226" s="444"/>
      <c r="S226" s="444"/>
      <c r="T226" s="444"/>
    </row>
    <row r="227" spans="1:20">
      <c r="A227" s="382"/>
      <c r="B227" s="332" t="s">
        <v>544</v>
      </c>
      <c r="C227" s="728"/>
      <c r="D227" s="728"/>
      <c r="H227" s="444"/>
      <c r="I227" s="444"/>
      <c r="J227" s="444"/>
      <c r="K227" s="444"/>
      <c r="L227" s="444"/>
      <c r="M227" s="444"/>
      <c r="N227" s="444"/>
      <c r="O227" s="444"/>
      <c r="P227" s="444"/>
      <c r="Q227" s="444"/>
      <c r="R227" s="444"/>
      <c r="S227" s="444"/>
      <c r="T227" s="444"/>
    </row>
    <row r="228" spans="1:20">
      <c r="A228" s="382"/>
      <c r="B228" s="332"/>
      <c r="C228" s="728" t="s">
        <v>16</v>
      </c>
      <c r="D228" s="728"/>
      <c r="H228" s="444">
        <v>0</v>
      </c>
      <c r="I228" s="444">
        <v>0</v>
      </c>
      <c r="J228" s="444">
        <v>0</v>
      </c>
      <c r="K228" s="444">
        <v>0</v>
      </c>
      <c r="L228" s="444">
        <v>0</v>
      </c>
      <c r="M228" s="444">
        <v>0</v>
      </c>
      <c r="N228" s="444">
        <v>0</v>
      </c>
      <c r="O228" s="444">
        <v>0</v>
      </c>
      <c r="P228" s="444">
        <v>0</v>
      </c>
      <c r="Q228" s="444">
        <v>0</v>
      </c>
      <c r="R228" s="444">
        <v>0</v>
      </c>
      <c r="S228" s="444">
        <v>0</v>
      </c>
      <c r="T228" s="444">
        <v>0</v>
      </c>
    </row>
    <row r="229" spans="1:20">
      <c r="A229" s="382"/>
      <c r="B229" s="332"/>
      <c r="C229" s="728" t="s">
        <v>17</v>
      </c>
      <c r="D229" s="728"/>
      <c r="H229" s="444">
        <v>0</v>
      </c>
      <c r="I229" s="444">
        <v>0</v>
      </c>
      <c r="J229" s="444">
        <v>0</v>
      </c>
      <c r="K229" s="444">
        <v>0</v>
      </c>
      <c r="L229" s="444">
        <v>0</v>
      </c>
      <c r="M229" s="444">
        <v>0</v>
      </c>
      <c r="N229" s="444">
        <v>0</v>
      </c>
      <c r="O229" s="444">
        <v>0</v>
      </c>
      <c r="P229" s="444">
        <v>0</v>
      </c>
      <c r="Q229" s="444">
        <v>0</v>
      </c>
      <c r="R229" s="444">
        <v>0</v>
      </c>
      <c r="S229" s="444">
        <v>0</v>
      </c>
      <c r="T229" s="444">
        <v>0</v>
      </c>
    </row>
    <row r="230" spans="1:20">
      <c r="A230" s="382"/>
      <c r="B230" s="332"/>
      <c r="C230" s="728" t="s">
        <v>18</v>
      </c>
      <c r="D230" s="728"/>
      <c r="H230" s="444">
        <v>0</v>
      </c>
      <c r="I230" s="444">
        <v>0</v>
      </c>
      <c r="J230" s="444">
        <v>0</v>
      </c>
      <c r="K230" s="444">
        <v>0</v>
      </c>
      <c r="L230" s="444">
        <v>0</v>
      </c>
      <c r="M230" s="444">
        <v>0</v>
      </c>
      <c r="N230" s="444">
        <v>0</v>
      </c>
      <c r="O230" s="444">
        <v>0</v>
      </c>
      <c r="P230" s="444">
        <v>0</v>
      </c>
      <c r="Q230" s="444">
        <v>0</v>
      </c>
      <c r="R230" s="444">
        <v>0</v>
      </c>
      <c r="S230" s="444">
        <v>0</v>
      </c>
      <c r="T230" s="444">
        <v>0</v>
      </c>
    </row>
    <row r="231" spans="1:20">
      <c r="A231" s="382"/>
      <c r="B231" s="728"/>
      <c r="C231" s="728" t="s">
        <v>461</v>
      </c>
      <c r="D231" s="728"/>
      <c r="H231" s="444">
        <v>0</v>
      </c>
      <c r="I231" s="444">
        <v>0</v>
      </c>
      <c r="J231" s="444">
        <v>0</v>
      </c>
      <c r="K231" s="444">
        <v>0</v>
      </c>
      <c r="L231" s="444">
        <v>0</v>
      </c>
      <c r="M231" s="444">
        <v>0</v>
      </c>
      <c r="N231" s="444">
        <v>0</v>
      </c>
      <c r="O231" s="444">
        <v>0</v>
      </c>
      <c r="P231" s="444">
        <v>0</v>
      </c>
      <c r="Q231" s="444">
        <v>0</v>
      </c>
      <c r="R231" s="444">
        <v>0</v>
      </c>
      <c r="S231" s="444">
        <v>0</v>
      </c>
      <c r="T231" s="444">
        <v>0</v>
      </c>
    </row>
    <row r="232" spans="1:20">
      <c r="A232" s="868"/>
      <c r="B232" s="332"/>
      <c r="C232" s="728" t="s">
        <v>947</v>
      </c>
      <c r="D232" s="728"/>
      <c r="H232" s="444">
        <v>0</v>
      </c>
      <c r="I232" s="444">
        <v>0</v>
      </c>
      <c r="J232" s="444">
        <v>0</v>
      </c>
      <c r="K232" s="444">
        <v>0</v>
      </c>
      <c r="L232" s="444">
        <v>0</v>
      </c>
      <c r="M232" s="444">
        <v>0</v>
      </c>
      <c r="N232" s="444">
        <v>0</v>
      </c>
      <c r="O232" s="444">
        <v>0</v>
      </c>
      <c r="P232" s="444">
        <v>0</v>
      </c>
      <c r="Q232" s="444">
        <v>0</v>
      </c>
      <c r="R232" s="444">
        <v>0</v>
      </c>
      <c r="S232" s="444">
        <v>0</v>
      </c>
      <c r="T232" s="444">
        <v>0</v>
      </c>
    </row>
    <row r="233" spans="1:20">
      <c r="A233" s="382"/>
      <c r="B233" s="728"/>
      <c r="C233" s="728" t="s">
        <v>59</v>
      </c>
      <c r="D233" s="728"/>
      <c r="H233" s="444">
        <v>0</v>
      </c>
      <c r="I233" s="444">
        <v>0</v>
      </c>
      <c r="J233" s="444">
        <v>0</v>
      </c>
      <c r="K233" s="444">
        <v>0</v>
      </c>
      <c r="L233" s="444">
        <v>0</v>
      </c>
      <c r="M233" s="444">
        <v>0</v>
      </c>
      <c r="N233" s="444">
        <v>0</v>
      </c>
      <c r="O233" s="444">
        <v>0</v>
      </c>
      <c r="P233" s="444">
        <v>0</v>
      </c>
      <c r="Q233" s="444">
        <v>0</v>
      </c>
      <c r="R233" s="444">
        <v>0</v>
      </c>
      <c r="S233" s="444">
        <v>0</v>
      </c>
      <c r="T233" s="444">
        <v>0</v>
      </c>
    </row>
    <row r="234" spans="1:20">
      <c r="A234" s="869"/>
      <c r="B234" s="728"/>
      <c r="C234" s="728" t="s">
        <v>60</v>
      </c>
      <c r="D234" s="728"/>
      <c r="H234" s="444">
        <v>0</v>
      </c>
      <c r="I234" s="444">
        <v>0</v>
      </c>
      <c r="J234" s="444">
        <v>0</v>
      </c>
      <c r="K234" s="444">
        <v>0</v>
      </c>
      <c r="L234" s="444">
        <v>0</v>
      </c>
      <c r="M234" s="444">
        <v>0</v>
      </c>
      <c r="N234" s="444">
        <v>0</v>
      </c>
      <c r="O234" s="444">
        <v>0</v>
      </c>
      <c r="P234" s="444">
        <v>0</v>
      </c>
      <c r="Q234" s="444">
        <v>0</v>
      </c>
      <c r="R234" s="444">
        <v>0</v>
      </c>
      <c r="S234" s="444">
        <v>0</v>
      </c>
      <c r="T234" s="444">
        <v>0</v>
      </c>
    </row>
    <row r="235" spans="1:20">
      <c r="A235" s="869"/>
      <c r="B235" s="728"/>
      <c r="C235" s="728" t="s">
        <v>462</v>
      </c>
      <c r="D235" s="728"/>
      <c r="H235" s="444">
        <v>0</v>
      </c>
      <c r="I235" s="444">
        <v>0</v>
      </c>
      <c r="J235" s="444">
        <v>0</v>
      </c>
      <c r="K235" s="444">
        <v>0</v>
      </c>
      <c r="L235" s="444">
        <v>0</v>
      </c>
      <c r="M235" s="444">
        <v>0</v>
      </c>
      <c r="N235" s="444">
        <v>0</v>
      </c>
      <c r="O235" s="444">
        <v>0</v>
      </c>
      <c r="P235" s="444">
        <v>0</v>
      </c>
      <c r="Q235" s="444">
        <v>0</v>
      </c>
      <c r="R235" s="444">
        <v>0</v>
      </c>
      <c r="S235" s="444">
        <v>0</v>
      </c>
      <c r="T235" s="444">
        <v>0</v>
      </c>
    </row>
    <row r="236" spans="1:20">
      <c r="A236" s="868" t="s">
        <v>24</v>
      </c>
      <c r="D236" s="728"/>
      <c r="H236" s="444"/>
      <c r="I236" s="444"/>
      <c r="J236" s="444"/>
      <c r="K236" s="444"/>
      <c r="L236" s="444"/>
      <c r="M236" s="444"/>
      <c r="N236" s="444"/>
      <c r="O236" s="444"/>
      <c r="P236" s="444"/>
      <c r="Q236" s="444"/>
      <c r="R236" s="444"/>
      <c r="S236" s="444"/>
      <c r="T236" s="444"/>
    </row>
    <row r="237" spans="1:20">
      <c r="A237" s="868"/>
      <c r="H237" s="444"/>
      <c r="I237" s="444"/>
      <c r="J237" s="444"/>
      <c r="K237" s="444"/>
      <c r="L237" s="444"/>
      <c r="M237" s="444"/>
      <c r="N237" s="444"/>
      <c r="O237" s="444"/>
      <c r="P237" s="444"/>
      <c r="Q237" s="444"/>
      <c r="R237" s="444"/>
      <c r="S237" s="444"/>
      <c r="T237" s="444"/>
    </row>
    <row r="238" spans="1:20">
      <c r="B238" s="728" t="s">
        <v>15</v>
      </c>
      <c r="C238" s="728" t="s">
        <v>16</v>
      </c>
      <c r="D238" s="332" t="s">
        <v>946</v>
      </c>
      <c r="H238" s="444">
        <v>1979911.68</v>
      </c>
      <c r="I238" s="444">
        <v>1876012.51</v>
      </c>
      <c r="J238" s="444">
        <v>1637880.22</v>
      </c>
      <c r="K238" s="444">
        <v>1399435.68</v>
      </c>
      <c r="L238" s="444">
        <v>1178272.3500000001</v>
      </c>
      <c r="M238" s="444">
        <v>949240.69</v>
      </c>
      <c r="N238" s="444">
        <v>944133.25</v>
      </c>
      <c r="O238" s="444">
        <v>847179.8</v>
      </c>
      <c r="P238" s="444">
        <v>984957.71</v>
      </c>
      <c r="Q238" s="444">
        <v>1203051.6300000001</v>
      </c>
      <c r="R238" s="444">
        <v>1506207.5299999998</v>
      </c>
      <c r="S238" s="444">
        <v>1880985.3199999998</v>
      </c>
      <c r="T238" s="444">
        <v>16387268.370000001</v>
      </c>
    </row>
    <row r="239" spans="1:20">
      <c r="B239" s="728"/>
      <c r="C239" s="728"/>
      <c r="D239" s="332" t="s">
        <v>946</v>
      </c>
      <c r="H239" s="444"/>
      <c r="I239" s="444"/>
      <c r="J239" s="444"/>
      <c r="K239" s="444"/>
      <c r="L239" s="444"/>
      <c r="M239" s="444"/>
      <c r="N239" s="444"/>
      <c r="O239" s="444"/>
      <c r="P239" s="444"/>
      <c r="Q239" s="444"/>
      <c r="R239" s="444"/>
      <c r="S239" s="444"/>
      <c r="T239" s="444"/>
    </row>
    <row r="240" spans="1:20">
      <c r="A240" s="868" t="s">
        <v>945</v>
      </c>
      <c r="B240" s="332"/>
      <c r="C240" s="728" t="s">
        <v>17</v>
      </c>
      <c r="D240" s="332" t="s">
        <v>946</v>
      </c>
      <c r="H240" s="444">
        <v>0</v>
      </c>
      <c r="I240" s="444">
        <v>0</v>
      </c>
      <c r="J240" s="444">
        <v>0</v>
      </c>
      <c r="K240" s="444">
        <v>0</v>
      </c>
      <c r="L240" s="444">
        <v>0</v>
      </c>
      <c r="M240" s="444">
        <v>0</v>
      </c>
      <c r="N240" s="444">
        <v>0</v>
      </c>
      <c r="O240" s="444">
        <v>0</v>
      </c>
      <c r="P240" s="444">
        <v>0</v>
      </c>
      <c r="Q240" s="444">
        <v>0</v>
      </c>
      <c r="R240" s="444">
        <v>0</v>
      </c>
      <c r="S240" s="444">
        <v>0</v>
      </c>
      <c r="T240" s="444">
        <v>0</v>
      </c>
    </row>
    <row r="241" spans="1:20">
      <c r="A241" s="868" t="s">
        <v>945</v>
      </c>
      <c r="B241" s="332"/>
      <c r="C241" s="728"/>
      <c r="D241" s="332" t="s">
        <v>946</v>
      </c>
      <c r="H241" s="444"/>
      <c r="I241" s="444"/>
      <c r="J241" s="444"/>
      <c r="K241" s="444"/>
      <c r="L241" s="444"/>
      <c r="M241" s="444"/>
      <c r="N241" s="444"/>
      <c r="O241" s="444"/>
      <c r="P241" s="444"/>
      <c r="Q241" s="444"/>
      <c r="R241" s="444"/>
      <c r="S241" s="444"/>
      <c r="T241" s="444"/>
    </row>
    <row r="242" spans="1:20">
      <c r="A242" s="868" t="s">
        <v>945</v>
      </c>
      <c r="B242" s="728"/>
      <c r="C242" s="728" t="s">
        <v>18</v>
      </c>
      <c r="D242" s="332" t="s">
        <v>946</v>
      </c>
      <c r="H242" s="445">
        <v>2629146.5299999998</v>
      </c>
      <c r="I242" s="445">
        <v>2383641.13</v>
      </c>
      <c r="J242" s="445">
        <v>1979038.83</v>
      </c>
      <c r="K242" s="445">
        <v>1417363.35</v>
      </c>
      <c r="L242" s="445">
        <v>929557.22</v>
      </c>
      <c r="M242" s="445">
        <v>482465.06</v>
      </c>
      <c r="N242" s="445">
        <v>287810.45</v>
      </c>
      <c r="O242" s="445">
        <v>276641.48</v>
      </c>
      <c r="P242" s="445">
        <v>394330.27999999997</v>
      </c>
      <c r="Q242" s="445">
        <v>984518.61</v>
      </c>
      <c r="R242" s="445">
        <v>1724622.5899999999</v>
      </c>
      <c r="S242" s="445">
        <v>2524470.16</v>
      </c>
      <c r="T242" s="445">
        <v>16013605.689999999</v>
      </c>
    </row>
    <row r="243" spans="1:20">
      <c r="A243" s="868" t="s">
        <v>945</v>
      </c>
      <c r="B243" s="332"/>
      <c r="C243" s="728" t="s">
        <v>19</v>
      </c>
      <c r="D243" s="332" t="s">
        <v>946</v>
      </c>
      <c r="H243" s="444">
        <v>4609058.21</v>
      </c>
      <c r="I243" s="444">
        <v>4259653.6399999997</v>
      </c>
      <c r="J243" s="444">
        <v>3616919.05</v>
      </c>
      <c r="K243" s="444">
        <v>2816799.0300000003</v>
      </c>
      <c r="L243" s="444">
        <v>2107829.5700000003</v>
      </c>
      <c r="M243" s="444">
        <v>1431705.75</v>
      </c>
      <c r="N243" s="444">
        <v>1231943.7</v>
      </c>
      <c r="O243" s="444">
        <v>1123821.28</v>
      </c>
      <c r="P243" s="444">
        <v>1379287.99</v>
      </c>
      <c r="Q243" s="444">
        <v>2187570.2400000002</v>
      </c>
      <c r="R243" s="444">
        <v>3230830.1199999996</v>
      </c>
      <c r="S243" s="444">
        <v>4405455.4800000004</v>
      </c>
      <c r="T243" s="444">
        <v>32400874.060000002</v>
      </c>
    </row>
    <row r="244" spans="1:20">
      <c r="A244" s="868" t="s">
        <v>945</v>
      </c>
      <c r="B244" s="332"/>
      <c r="C244" s="728" t="s">
        <v>947</v>
      </c>
      <c r="D244" s="332" t="s">
        <v>946</v>
      </c>
      <c r="H244" s="444">
        <v>27856</v>
      </c>
      <c r="I244" s="444">
        <v>27862</v>
      </c>
      <c r="J244" s="444">
        <v>27869</v>
      </c>
      <c r="K244" s="444">
        <v>27878</v>
      </c>
      <c r="L244" s="444">
        <v>27886</v>
      </c>
      <c r="M244" s="444">
        <v>27898</v>
      </c>
      <c r="N244" s="444">
        <v>27890</v>
      </c>
      <c r="O244" s="444">
        <v>27887</v>
      </c>
      <c r="P244" s="444">
        <v>27899</v>
      </c>
      <c r="Q244" s="444">
        <v>27928</v>
      </c>
      <c r="R244" s="444">
        <v>27963</v>
      </c>
      <c r="S244" s="444">
        <v>27981</v>
      </c>
      <c r="T244" s="444">
        <v>27899.75</v>
      </c>
    </row>
    <row r="245" spans="1:20">
      <c r="A245" s="868"/>
      <c r="B245" s="332"/>
      <c r="C245" s="728" t="s">
        <v>20</v>
      </c>
      <c r="D245" s="332" t="s">
        <v>946</v>
      </c>
      <c r="H245" s="444">
        <v>583315</v>
      </c>
      <c r="I245" s="444">
        <v>528846</v>
      </c>
      <c r="J245" s="444">
        <v>439079</v>
      </c>
      <c r="K245" s="444">
        <v>314463</v>
      </c>
      <c r="L245" s="444">
        <v>206236</v>
      </c>
      <c r="M245" s="444">
        <v>107042</v>
      </c>
      <c r="N245" s="444">
        <v>63855</v>
      </c>
      <c r="O245" s="444">
        <v>61377</v>
      </c>
      <c r="P245" s="444">
        <v>87488</v>
      </c>
      <c r="Q245" s="444">
        <v>218430</v>
      </c>
      <c r="R245" s="444">
        <v>382633</v>
      </c>
      <c r="S245" s="444">
        <v>560091</v>
      </c>
      <c r="T245" s="444">
        <v>3552855</v>
      </c>
    </row>
    <row r="246" spans="1:20">
      <c r="A246" s="868"/>
      <c r="B246" s="332"/>
      <c r="C246" s="332"/>
      <c r="D246" s="332"/>
      <c r="H246" s="444"/>
      <c r="I246" s="444"/>
      <c r="J246" s="444"/>
      <c r="K246" s="444"/>
      <c r="L246" s="444"/>
      <c r="M246" s="444"/>
      <c r="N246" s="444"/>
      <c r="O246" s="444"/>
      <c r="P246" s="444"/>
      <c r="Q246" s="444"/>
      <c r="R246" s="444"/>
      <c r="S246" s="444"/>
      <c r="T246" s="444"/>
    </row>
    <row r="247" spans="1:20">
      <c r="A247" s="868" t="s">
        <v>945</v>
      </c>
      <c r="B247" s="332" t="s">
        <v>960</v>
      </c>
      <c r="C247" s="728" t="s">
        <v>16</v>
      </c>
      <c r="D247" s="332" t="s">
        <v>946</v>
      </c>
      <c r="H247" s="444">
        <v>17825.119999999995</v>
      </c>
      <c r="I247" s="444">
        <v>15382.06</v>
      </c>
      <c r="J247" s="444">
        <v>14649.89</v>
      </c>
      <c r="K247" s="444">
        <v>13511.17</v>
      </c>
      <c r="L247" s="444">
        <v>11548.400000000001</v>
      </c>
      <c r="M247" s="444">
        <v>12133.990000000002</v>
      </c>
      <c r="N247" s="444">
        <v>8699.31</v>
      </c>
      <c r="O247" s="444">
        <v>9343.6200000000008</v>
      </c>
      <c r="P247" s="444">
        <v>10845.51</v>
      </c>
      <c r="Q247" s="444">
        <v>10551.140000000001</v>
      </c>
      <c r="R247" s="444">
        <v>14160.669999999998</v>
      </c>
      <c r="S247" s="444">
        <v>16324.48</v>
      </c>
      <c r="T247" s="444">
        <v>154975.35999999999</v>
      </c>
    </row>
    <row r="248" spans="1:20">
      <c r="A248" s="868" t="s">
        <v>945</v>
      </c>
      <c r="B248" s="728"/>
      <c r="C248" s="728"/>
      <c r="D248" s="332" t="s">
        <v>946</v>
      </c>
      <c r="H248" s="444"/>
      <c r="I248" s="444"/>
      <c r="J248" s="444"/>
      <c r="K248" s="444"/>
      <c r="L248" s="444"/>
      <c r="M248" s="444"/>
      <c r="N248" s="444"/>
      <c r="O248" s="444"/>
      <c r="P248" s="444"/>
      <c r="Q248" s="444"/>
      <c r="R248" s="444"/>
      <c r="S248" s="444"/>
      <c r="T248" s="444"/>
    </row>
    <row r="249" spans="1:20">
      <c r="A249" s="868" t="s">
        <v>945</v>
      </c>
      <c r="B249" s="332"/>
      <c r="C249" s="728" t="s">
        <v>17</v>
      </c>
      <c r="D249" s="332" t="s">
        <v>946</v>
      </c>
      <c r="H249" s="444">
        <v>0</v>
      </c>
      <c r="I249" s="444">
        <v>0</v>
      </c>
      <c r="J249" s="444">
        <v>0</v>
      </c>
      <c r="K249" s="444">
        <v>0</v>
      </c>
      <c r="L249" s="444">
        <v>0</v>
      </c>
      <c r="M249" s="444">
        <v>0</v>
      </c>
      <c r="N249" s="444">
        <v>0</v>
      </c>
      <c r="O249" s="444">
        <v>0</v>
      </c>
      <c r="P249" s="444">
        <v>0</v>
      </c>
      <c r="Q249" s="444">
        <v>0</v>
      </c>
      <c r="R249" s="444">
        <v>0</v>
      </c>
      <c r="S249" s="444">
        <v>0</v>
      </c>
      <c r="T249" s="444">
        <v>0</v>
      </c>
    </row>
    <row r="250" spans="1:20">
      <c r="A250" s="868" t="s">
        <v>945</v>
      </c>
      <c r="B250" s="332"/>
      <c r="C250" s="728"/>
      <c r="D250" s="332" t="s">
        <v>946</v>
      </c>
      <c r="H250" s="444"/>
      <c r="I250" s="444"/>
      <c r="J250" s="444"/>
      <c r="K250" s="444"/>
      <c r="L250" s="444"/>
      <c r="M250" s="444"/>
      <c r="N250" s="444"/>
      <c r="O250" s="444"/>
      <c r="P250" s="444"/>
      <c r="Q250" s="444"/>
      <c r="R250" s="444"/>
      <c r="S250" s="444"/>
      <c r="T250" s="444"/>
    </row>
    <row r="251" spans="1:20">
      <c r="A251" s="868" t="s">
        <v>945</v>
      </c>
      <c r="B251" s="332"/>
      <c r="C251" s="728" t="s">
        <v>18</v>
      </c>
      <c r="D251" s="332" t="s">
        <v>946</v>
      </c>
      <c r="H251" s="445">
        <v>97104.19</v>
      </c>
      <c r="I251" s="445">
        <v>81590.240000000005</v>
      </c>
      <c r="J251" s="445">
        <v>77015.39</v>
      </c>
      <c r="K251" s="445">
        <v>69961.53</v>
      </c>
      <c r="L251" s="445">
        <v>57985.760000000002</v>
      </c>
      <c r="M251" s="445">
        <v>59468.66</v>
      </c>
      <c r="N251" s="445">
        <v>39573.65</v>
      </c>
      <c r="O251" s="445">
        <v>41849.82</v>
      </c>
      <c r="P251" s="445">
        <v>50224.29</v>
      </c>
      <c r="Q251" s="445">
        <v>48574.630000000005</v>
      </c>
      <c r="R251" s="445">
        <v>69042.06</v>
      </c>
      <c r="S251" s="445">
        <v>84384.729999999981</v>
      </c>
      <c r="T251" s="445">
        <v>776774.95</v>
      </c>
    </row>
    <row r="252" spans="1:20">
      <c r="A252" s="868" t="s">
        <v>945</v>
      </c>
      <c r="B252" s="332"/>
      <c r="C252" s="728" t="s">
        <v>19</v>
      </c>
      <c r="D252" s="332" t="s">
        <v>946</v>
      </c>
      <c r="H252" s="444">
        <v>114929.31</v>
      </c>
      <c r="I252" s="444">
        <v>96972.3</v>
      </c>
      <c r="J252" s="444">
        <v>91665.279999999999</v>
      </c>
      <c r="K252" s="444">
        <v>83472.7</v>
      </c>
      <c r="L252" s="444">
        <v>69534.16</v>
      </c>
      <c r="M252" s="444">
        <v>71602.650000000009</v>
      </c>
      <c r="N252" s="444">
        <v>48272.959999999999</v>
      </c>
      <c r="O252" s="444">
        <v>51193.440000000002</v>
      </c>
      <c r="P252" s="444">
        <v>61069.8</v>
      </c>
      <c r="Q252" s="444">
        <v>59125.770000000004</v>
      </c>
      <c r="R252" s="444">
        <v>83202.73</v>
      </c>
      <c r="S252" s="444">
        <v>100709.20999999998</v>
      </c>
      <c r="T252" s="444">
        <v>931750.31</v>
      </c>
    </row>
    <row r="253" spans="1:20">
      <c r="A253" s="868" t="s">
        <v>945</v>
      </c>
      <c r="B253" s="728"/>
      <c r="C253" s="728" t="s">
        <v>947</v>
      </c>
      <c r="D253" s="332" t="s">
        <v>946</v>
      </c>
      <c r="H253" s="444">
        <v>24</v>
      </c>
      <c r="I253" s="444">
        <v>24</v>
      </c>
      <c r="J253" s="444">
        <v>24</v>
      </c>
      <c r="K253" s="444">
        <v>24</v>
      </c>
      <c r="L253" s="444">
        <v>24</v>
      </c>
      <c r="M253" s="444">
        <v>24</v>
      </c>
      <c r="N253" s="444">
        <v>24</v>
      </c>
      <c r="O253" s="444">
        <v>24</v>
      </c>
      <c r="P253" s="444">
        <v>24</v>
      </c>
      <c r="Q253" s="444">
        <v>24</v>
      </c>
      <c r="R253" s="444">
        <v>24</v>
      </c>
      <c r="S253" s="444">
        <v>24</v>
      </c>
      <c r="T253" s="444">
        <v>24</v>
      </c>
    </row>
    <row r="254" spans="1:20">
      <c r="A254" s="868" t="s">
        <v>945</v>
      </c>
      <c r="B254" s="332"/>
      <c r="C254" s="728" t="s">
        <v>20</v>
      </c>
      <c r="D254" s="332" t="s">
        <v>946</v>
      </c>
      <c r="H254" s="444">
        <v>21544</v>
      </c>
      <c r="I254" s="444">
        <v>18102</v>
      </c>
      <c r="J254" s="444">
        <v>17087</v>
      </c>
      <c r="K254" s="444">
        <v>15522</v>
      </c>
      <c r="L254" s="444">
        <v>12865</v>
      </c>
      <c r="M254" s="444">
        <v>13194</v>
      </c>
      <c r="N254" s="444">
        <v>8780</v>
      </c>
      <c r="O254" s="444">
        <v>9285</v>
      </c>
      <c r="P254" s="444">
        <v>11143</v>
      </c>
      <c r="Q254" s="444">
        <v>10777</v>
      </c>
      <c r="R254" s="444">
        <v>15318</v>
      </c>
      <c r="S254" s="444">
        <v>18722</v>
      </c>
      <c r="T254" s="444">
        <v>172339</v>
      </c>
    </row>
    <row r="255" spans="1:20">
      <c r="A255" s="868" t="s">
        <v>945</v>
      </c>
      <c r="B255" s="332"/>
      <c r="C255" s="114"/>
      <c r="D255" s="332"/>
      <c r="H255" s="444"/>
      <c r="I255" s="444"/>
      <c r="J255" s="444"/>
      <c r="K255" s="444"/>
      <c r="L255" s="444"/>
      <c r="M255" s="444"/>
      <c r="N255" s="444"/>
      <c r="O255" s="444"/>
      <c r="P255" s="444"/>
      <c r="Q255" s="444"/>
      <c r="R255" s="444"/>
      <c r="S255" s="444"/>
      <c r="T255" s="444"/>
    </row>
    <row r="256" spans="1:20">
      <c r="A256" s="868" t="s">
        <v>945</v>
      </c>
      <c r="B256" s="332" t="s">
        <v>810</v>
      </c>
      <c r="C256" s="728" t="s">
        <v>16</v>
      </c>
      <c r="D256" s="332" t="s">
        <v>946</v>
      </c>
      <c r="H256" s="444">
        <v>2556.4499999999998</v>
      </c>
      <c r="I256" s="444">
        <v>3058.75</v>
      </c>
      <c r="J256" s="444">
        <v>3238.67</v>
      </c>
      <c r="K256" s="444">
        <v>3051.2400000000002</v>
      </c>
      <c r="L256" s="444">
        <v>2961.28</v>
      </c>
      <c r="M256" s="444">
        <v>2586.4300000000003</v>
      </c>
      <c r="N256" s="444">
        <v>2376.52</v>
      </c>
      <c r="O256" s="444">
        <v>2775.1</v>
      </c>
      <c r="P256" s="444">
        <v>2713.08</v>
      </c>
      <c r="Q256" s="444">
        <v>2015.4300000000003</v>
      </c>
      <c r="R256" s="444">
        <v>3193.68</v>
      </c>
      <c r="S256" s="444">
        <v>2410.77</v>
      </c>
      <c r="T256" s="444">
        <v>32937.399999999994</v>
      </c>
    </row>
    <row r="257" spans="1:20">
      <c r="A257" s="868" t="s">
        <v>945</v>
      </c>
      <c r="B257" s="728"/>
      <c r="C257" s="728"/>
      <c r="D257" s="332" t="s">
        <v>946</v>
      </c>
      <c r="H257" s="444"/>
      <c r="I257" s="444"/>
      <c r="J257" s="444"/>
      <c r="K257" s="444"/>
      <c r="L257" s="444"/>
      <c r="M257" s="444"/>
      <c r="N257" s="444"/>
      <c r="O257" s="444"/>
      <c r="P257" s="444"/>
      <c r="Q257" s="444"/>
      <c r="R257" s="444"/>
      <c r="S257" s="444"/>
      <c r="T257" s="444"/>
    </row>
    <row r="258" spans="1:20">
      <c r="A258" s="868" t="s">
        <v>945</v>
      </c>
      <c r="B258" s="332"/>
      <c r="C258" s="728" t="s">
        <v>17</v>
      </c>
      <c r="D258" s="332" t="s">
        <v>946</v>
      </c>
      <c r="H258" s="444">
        <v>0</v>
      </c>
      <c r="I258" s="444">
        <v>0</v>
      </c>
      <c r="J258" s="444">
        <v>0</v>
      </c>
      <c r="K258" s="444">
        <v>0</v>
      </c>
      <c r="L258" s="444">
        <v>0</v>
      </c>
      <c r="M258" s="444">
        <v>0</v>
      </c>
      <c r="N258" s="444">
        <v>0</v>
      </c>
      <c r="O258" s="444">
        <v>0</v>
      </c>
      <c r="P258" s="444">
        <v>0</v>
      </c>
      <c r="Q258" s="444">
        <v>0</v>
      </c>
      <c r="R258" s="444">
        <v>0</v>
      </c>
      <c r="S258" s="444">
        <v>0</v>
      </c>
      <c r="T258" s="444">
        <v>0</v>
      </c>
    </row>
    <row r="259" spans="1:20">
      <c r="A259" s="868" t="s">
        <v>945</v>
      </c>
      <c r="B259" s="332"/>
      <c r="C259" s="728"/>
      <c r="D259" s="332" t="s">
        <v>946</v>
      </c>
      <c r="H259" s="444"/>
      <c r="I259" s="444"/>
      <c r="J259" s="444"/>
      <c r="K259" s="444"/>
      <c r="L259" s="444"/>
      <c r="M259" s="444"/>
      <c r="N259" s="444"/>
      <c r="O259" s="444"/>
      <c r="P259" s="444"/>
      <c r="Q259" s="444"/>
      <c r="R259" s="444"/>
      <c r="S259" s="444"/>
      <c r="T259" s="444"/>
    </row>
    <row r="260" spans="1:20">
      <c r="A260" s="868" t="s">
        <v>945</v>
      </c>
      <c r="B260" s="332"/>
      <c r="C260" s="728" t="s">
        <v>18</v>
      </c>
      <c r="D260" s="332" t="s">
        <v>946</v>
      </c>
      <c r="H260" s="445">
        <v>1536.97</v>
      </c>
      <c r="I260" s="445">
        <v>1838.96</v>
      </c>
      <c r="J260" s="445">
        <v>1947.13</v>
      </c>
      <c r="K260" s="445">
        <v>1834.45</v>
      </c>
      <c r="L260" s="445">
        <v>1780.36</v>
      </c>
      <c r="M260" s="445">
        <v>1555</v>
      </c>
      <c r="N260" s="445">
        <v>1428.8</v>
      </c>
      <c r="O260" s="445">
        <v>1613.6</v>
      </c>
      <c r="P260" s="445">
        <v>1577.54</v>
      </c>
      <c r="Q260" s="445">
        <v>1171.8900000000001</v>
      </c>
      <c r="R260" s="445">
        <v>1856.99</v>
      </c>
      <c r="S260" s="445">
        <v>1401.75</v>
      </c>
      <c r="T260" s="445">
        <v>19543.440000000002</v>
      </c>
    </row>
    <row r="261" spans="1:20">
      <c r="A261" s="868" t="s">
        <v>945</v>
      </c>
      <c r="B261" s="332"/>
      <c r="C261" s="728" t="s">
        <v>19</v>
      </c>
      <c r="D261" s="332" t="s">
        <v>946</v>
      </c>
      <c r="H261" s="444">
        <v>4093.42</v>
      </c>
      <c r="I261" s="444">
        <v>4897.71</v>
      </c>
      <c r="J261" s="444">
        <v>5185.8</v>
      </c>
      <c r="K261" s="444">
        <v>4885.6900000000005</v>
      </c>
      <c r="L261" s="444">
        <v>4741.6400000000003</v>
      </c>
      <c r="M261" s="444">
        <v>4141.43</v>
      </c>
      <c r="N261" s="444">
        <v>3805.3199999999997</v>
      </c>
      <c r="O261" s="444">
        <v>4388.7</v>
      </c>
      <c r="P261" s="444">
        <v>4290.62</v>
      </c>
      <c r="Q261" s="444">
        <v>3187.3200000000006</v>
      </c>
      <c r="R261" s="444">
        <v>5050.67</v>
      </c>
      <c r="S261" s="444">
        <v>3812.52</v>
      </c>
      <c r="T261" s="444">
        <v>52480.84</v>
      </c>
    </row>
    <row r="262" spans="1:20">
      <c r="A262" s="868" t="s">
        <v>945</v>
      </c>
      <c r="B262" s="728"/>
      <c r="C262" s="728" t="s">
        <v>947</v>
      </c>
      <c r="D262" s="332" t="s">
        <v>946</v>
      </c>
      <c r="H262" s="444">
        <v>1</v>
      </c>
      <c r="I262" s="444">
        <v>1</v>
      </c>
      <c r="J262" s="444">
        <v>1</v>
      </c>
      <c r="K262" s="444">
        <v>1</v>
      </c>
      <c r="L262" s="444">
        <v>1</v>
      </c>
      <c r="M262" s="444">
        <v>1</v>
      </c>
      <c r="N262" s="444">
        <v>1</v>
      </c>
      <c r="O262" s="444">
        <v>1</v>
      </c>
      <c r="P262" s="444">
        <v>1</v>
      </c>
      <c r="Q262" s="444">
        <v>1</v>
      </c>
      <c r="R262" s="444">
        <v>1</v>
      </c>
      <c r="S262" s="444">
        <v>1</v>
      </c>
      <c r="T262" s="444">
        <v>1</v>
      </c>
    </row>
    <row r="263" spans="1:20">
      <c r="A263" s="868" t="s">
        <v>945</v>
      </c>
      <c r="B263" s="332"/>
      <c r="C263" s="728" t="s">
        <v>20</v>
      </c>
      <c r="D263" s="332" t="s">
        <v>946</v>
      </c>
      <c r="H263" s="444">
        <v>341</v>
      </c>
      <c r="I263" s="444">
        <v>408</v>
      </c>
      <c r="J263" s="444">
        <v>432</v>
      </c>
      <c r="K263" s="444">
        <v>407</v>
      </c>
      <c r="L263" s="444">
        <v>395</v>
      </c>
      <c r="M263" s="444">
        <v>345</v>
      </c>
      <c r="N263" s="444">
        <v>317</v>
      </c>
      <c r="O263" s="444">
        <v>358</v>
      </c>
      <c r="P263" s="444">
        <v>350</v>
      </c>
      <c r="Q263" s="444">
        <v>260</v>
      </c>
      <c r="R263" s="444">
        <v>412</v>
      </c>
      <c r="S263" s="444">
        <v>311</v>
      </c>
      <c r="T263" s="444">
        <v>4336</v>
      </c>
    </row>
    <row r="264" spans="1:20">
      <c r="A264" s="868" t="s">
        <v>945</v>
      </c>
      <c r="B264" s="332"/>
      <c r="C264" s="332"/>
      <c r="D264" s="332"/>
      <c r="H264" s="444"/>
      <c r="I264" s="444"/>
      <c r="J264" s="444"/>
      <c r="K264" s="444"/>
      <c r="L264" s="444"/>
      <c r="M264" s="444"/>
      <c r="N264" s="444"/>
      <c r="O264" s="444"/>
      <c r="P264" s="444"/>
      <c r="Q264" s="444"/>
      <c r="R264" s="444"/>
      <c r="S264" s="444"/>
      <c r="T264" s="444"/>
    </row>
    <row r="265" spans="1:20">
      <c r="A265" s="868" t="s">
        <v>945</v>
      </c>
      <c r="B265" s="332" t="s">
        <v>765</v>
      </c>
      <c r="C265" s="728" t="s">
        <v>16</v>
      </c>
      <c r="D265" s="332" t="s">
        <v>946</v>
      </c>
      <c r="H265" s="444">
        <v>0</v>
      </c>
      <c r="I265" s="444">
        <v>0</v>
      </c>
      <c r="J265" s="444">
        <v>0</v>
      </c>
      <c r="K265" s="444">
        <v>0</v>
      </c>
      <c r="L265" s="444">
        <v>0</v>
      </c>
      <c r="M265" s="444">
        <v>0</v>
      </c>
      <c r="N265" s="444">
        <v>0</v>
      </c>
      <c r="O265" s="444">
        <v>0</v>
      </c>
      <c r="P265" s="444">
        <v>0</v>
      </c>
      <c r="Q265" s="444">
        <v>0</v>
      </c>
      <c r="R265" s="444">
        <v>0</v>
      </c>
      <c r="S265" s="444">
        <v>0</v>
      </c>
      <c r="T265" s="444">
        <v>0</v>
      </c>
    </row>
    <row r="266" spans="1:20">
      <c r="A266" s="868" t="s">
        <v>945</v>
      </c>
      <c r="B266" s="728"/>
      <c r="C266" s="728"/>
      <c r="D266" s="332" t="s">
        <v>946</v>
      </c>
      <c r="H266" s="444"/>
      <c r="I266" s="444"/>
      <c r="J266" s="444"/>
      <c r="K266" s="444"/>
      <c r="L266" s="444"/>
      <c r="M266" s="444"/>
      <c r="N266" s="444"/>
      <c r="O266" s="444"/>
      <c r="P266" s="444"/>
      <c r="Q266" s="444"/>
      <c r="R266" s="444"/>
      <c r="S266" s="444"/>
      <c r="T266" s="444"/>
    </row>
    <row r="267" spans="1:20">
      <c r="A267" s="868" t="s">
        <v>945</v>
      </c>
      <c r="B267" s="332"/>
      <c r="C267" s="728" t="s">
        <v>17</v>
      </c>
      <c r="D267" s="332" t="s">
        <v>946</v>
      </c>
      <c r="H267" s="444"/>
      <c r="I267" s="444"/>
      <c r="J267" s="444"/>
      <c r="K267" s="444"/>
      <c r="L267" s="444"/>
      <c r="M267" s="444"/>
      <c r="N267" s="444"/>
      <c r="O267" s="444"/>
      <c r="P267" s="444"/>
      <c r="Q267" s="444"/>
      <c r="R267" s="444"/>
      <c r="S267" s="444"/>
      <c r="T267" s="444"/>
    </row>
    <row r="268" spans="1:20">
      <c r="A268" s="868" t="s">
        <v>945</v>
      </c>
      <c r="B268" s="332"/>
      <c r="C268" s="728"/>
      <c r="D268" s="332" t="s">
        <v>946</v>
      </c>
      <c r="H268" s="444"/>
      <c r="I268" s="444"/>
      <c r="J268" s="444"/>
      <c r="K268" s="444"/>
      <c r="L268" s="444"/>
      <c r="M268" s="444"/>
      <c r="N268" s="444"/>
      <c r="O268" s="444"/>
      <c r="P268" s="444"/>
      <c r="Q268" s="444"/>
      <c r="R268" s="444"/>
      <c r="S268" s="444"/>
      <c r="T268" s="444"/>
    </row>
    <row r="269" spans="1:20">
      <c r="A269" s="868" t="s">
        <v>945</v>
      </c>
      <c r="B269" s="332"/>
      <c r="C269" s="728" t="s">
        <v>18</v>
      </c>
      <c r="D269" s="332" t="s">
        <v>946</v>
      </c>
      <c r="H269" s="445">
        <v>0</v>
      </c>
      <c r="I269" s="445">
        <v>0</v>
      </c>
      <c r="J269" s="445">
        <v>0</v>
      </c>
      <c r="K269" s="445">
        <v>0</v>
      </c>
      <c r="L269" s="445">
        <v>0</v>
      </c>
      <c r="M269" s="445">
        <v>0</v>
      </c>
      <c r="N269" s="445">
        <v>0</v>
      </c>
      <c r="O269" s="445">
        <v>0</v>
      </c>
      <c r="P269" s="445">
        <v>0</v>
      </c>
      <c r="Q269" s="445">
        <v>0</v>
      </c>
      <c r="R269" s="445">
        <v>0</v>
      </c>
      <c r="S269" s="445">
        <v>0</v>
      </c>
      <c r="T269" s="445">
        <v>0</v>
      </c>
    </row>
    <row r="270" spans="1:20">
      <c r="A270" s="868" t="s">
        <v>945</v>
      </c>
      <c r="B270" s="332"/>
      <c r="C270" s="728" t="s">
        <v>19</v>
      </c>
      <c r="D270" s="332" t="s">
        <v>946</v>
      </c>
      <c r="H270" s="444">
        <v>0</v>
      </c>
      <c r="I270" s="444">
        <v>0</v>
      </c>
      <c r="J270" s="444">
        <v>0</v>
      </c>
      <c r="K270" s="444">
        <v>0</v>
      </c>
      <c r="L270" s="444">
        <v>0</v>
      </c>
      <c r="M270" s="444">
        <v>0</v>
      </c>
      <c r="N270" s="444">
        <v>0</v>
      </c>
      <c r="O270" s="444">
        <v>0</v>
      </c>
      <c r="P270" s="444">
        <v>0</v>
      </c>
      <c r="Q270" s="444">
        <v>0</v>
      </c>
      <c r="R270" s="444">
        <v>0</v>
      </c>
      <c r="S270" s="444">
        <v>0</v>
      </c>
      <c r="T270" s="444">
        <v>0</v>
      </c>
    </row>
    <row r="271" spans="1:20">
      <c r="A271" s="868" t="s">
        <v>945</v>
      </c>
      <c r="B271" s="728"/>
      <c r="C271" s="728" t="s">
        <v>947</v>
      </c>
      <c r="D271" s="332" t="s">
        <v>946</v>
      </c>
      <c r="H271" s="444">
        <v>0</v>
      </c>
      <c r="I271" s="444">
        <v>0</v>
      </c>
      <c r="J271" s="444">
        <v>0</v>
      </c>
      <c r="K271" s="444">
        <v>0</v>
      </c>
      <c r="L271" s="444">
        <v>0</v>
      </c>
      <c r="M271" s="444">
        <v>0</v>
      </c>
      <c r="N271" s="444">
        <v>0</v>
      </c>
      <c r="O271" s="444">
        <v>0</v>
      </c>
      <c r="P271" s="444">
        <v>0</v>
      </c>
      <c r="Q271" s="444">
        <v>0</v>
      </c>
      <c r="R271" s="444">
        <v>0</v>
      </c>
      <c r="S271" s="444">
        <v>0</v>
      </c>
      <c r="T271" s="444">
        <v>0</v>
      </c>
    </row>
    <row r="272" spans="1:20">
      <c r="A272" s="868" t="s">
        <v>945</v>
      </c>
      <c r="B272" s="332"/>
      <c r="C272" s="728" t="s">
        <v>20</v>
      </c>
      <c r="D272" s="332" t="s">
        <v>946</v>
      </c>
      <c r="H272" s="444">
        <v>0</v>
      </c>
      <c r="I272" s="444">
        <v>0</v>
      </c>
      <c r="J272" s="444">
        <v>0</v>
      </c>
      <c r="K272" s="444">
        <v>0</v>
      </c>
      <c r="L272" s="444">
        <v>0</v>
      </c>
      <c r="M272" s="444">
        <v>0</v>
      </c>
      <c r="N272" s="444">
        <v>0</v>
      </c>
      <c r="O272" s="444">
        <v>0</v>
      </c>
      <c r="P272" s="444">
        <v>0</v>
      </c>
      <c r="Q272" s="444">
        <v>0</v>
      </c>
      <c r="R272" s="444">
        <v>0</v>
      </c>
      <c r="S272" s="444">
        <v>0</v>
      </c>
      <c r="T272" s="444">
        <v>0</v>
      </c>
    </row>
    <row r="273" spans="1:20">
      <c r="A273" s="868" t="s">
        <v>945</v>
      </c>
      <c r="B273" s="728"/>
      <c r="C273" s="728"/>
      <c r="D273" s="728"/>
      <c r="H273" s="444"/>
      <c r="I273" s="444"/>
      <c r="J273" s="444"/>
      <c r="K273" s="444"/>
      <c r="L273" s="444"/>
      <c r="M273" s="444"/>
      <c r="N273" s="444"/>
      <c r="O273" s="444"/>
      <c r="P273" s="444"/>
      <c r="Q273" s="444"/>
      <c r="R273" s="444"/>
      <c r="S273" s="444"/>
      <c r="T273" s="444"/>
    </row>
    <row r="274" spans="1:20">
      <c r="A274" s="868"/>
      <c r="B274" s="728" t="s">
        <v>961</v>
      </c>
      <c r="C274" s="728" t="s">
        <v>16</v>
      </c>
      <c r="D274" s="332" t="s">
        <v>946</v>
      </c>
      <c r="H274" s="444">
        <v>6039.96</v>
      </c>
      <c r="I274" s="444">
        <v>5843.42</v>
      </c>
      <c r="J274" s="444">
        <v>5314.8700000000008</v>
      </c>
      <c r="K274" s="444">
        <v>4408.7</v>
      </c>
      <c r="L274" s="444">
        <v>3995.58</v>
      </c>
      <c r="M274" s="444">
        <v>3759.0800000000004</v>
      </c>
      <c r="N274" s="444">
        <v>4123.3799999999992</v>
      </c>
      <c r="O274" s="444">
        <v>3333.66</v>
      </c>
      <c r="P274" s="444">
        <v>3356.61</v>
      </c>
      <c r="Q274" s="444">
        <v>3798.0200000000004</v>
      </c>
      <c r="R274" s="444">
        <v>5515.16</v>
      </c>
      <c r="S274" s="444">
        <v>5853.63</v>
      </c>
      <c r="T274" s="444">
        <v>55342.07</v>
      </c>
    </row>
    <row r="275" spans="1:20">
      <c r="A275" s="868" t="s">
        <v>949</v>
      </c>
      <c r="B275" s="728"/>
      <c r="C275" s="728"/>
      <c r="D275" s="332" t="s">
        <v>946</v>
      </c>
      <c r="H275" s="444"/>
      <c r="I275" s="444"/>
      <c r="J275" s="444"/>
      <c r="K275" s="444"/>
      <c r="L275" s="444"/>
      <c r="M275" s="444"/>
      <c r="N275" s="444"/>
      <c r="O275" s="444"/>
      <c r="P275" s="444"/>
      <c r="Q275" s="444"/>
      <c r="R275" s="444"/>
      <c r="S275" s="444"/>
      <c r="T275" s="444"/>
    </row>
    <row r="276" spans="1:20">
      <c r="A276" s="868" t="s">
        <v>949</v>
      </c>
      <c r="B276" s="332"/>
      <c r="C276" s="728" t="s">
        <v>17</v>
      </c>
      <c r="D276" s="332" t="s">
        <v>946</v>
      </c>
      <c r="H276" s="444">
        <v>3383.5</v>
      </c>
      <c r="I276" s="444">
        <v>3231.67</v>
      </c>
      <c r="J276" s="444">
        <v>2823.32</v>
      </c>
      <c r="K276" s="444">
        <v>2123.1999999999998</v>
      </c>
      <c r="L276" s="444">
        <v>1804.0300000000002</v>
      </c>
      <c r="M276" s="444">
        <v>1621.3499999999997</v>
      </c>
      <c r="N276" s="444">
        <v>1902.7800000000002</v>
      </c>
      <c r="O276" s="444">
        <v>1250.1699999999998</v>
      </c>
      <c r="P276" s="444">
        <v>1267.3200000000002</v>
      </c>
      <c r="Q276" s="444">
        <v>1597.1399999999999</v>
      </c>
      <c r="R276" s="444">
        <v>2880.17</v>
      </c>
      <c r="S276" s="444">
        <v>3133.0999999999995</v>
      </c>
      <c r="T276" s="444">
        <v>27017.749999999993</v>
      </c>
    </row>
    <row r="277" spans="1:20">
      <c r="A277" s="868" t="s">
        <v>949</v>
      </c>
      <c r="B277" s="332"/>
      <c r="C277" s="728"/>
      <c r="D277" s="332" t="s">
        <v>946</v>
      </c>
      <c r="H277" s="444"/>
      <c r="I277" s="444"/>
      <c r="J277" s="444"/>
      <c r="K277" s="444"/>
      <c r="L277" s="444"/>
      <c r="M277" s="444"/>
      <c r="N277" s="444"/>
      <c r="O277" s="444"/>
      <c r="P277" s="444"/>
      <c r="Q277" s="444"/>
      <c r="R277" s="444"/>
      <c r="S277" s="444"/>
      <c r="T277" s="444"/>
    </row>
    <row r="278" spans="1:20">
      <c r="A278" s="868" t="s">
        <v>949</v>
      </c>
      <c r="B278" s="332"/>
      <c r="C278" s="728" t="s">
        <v>18</v>
      </c>
      <c r="D278" s="332" t="s">
        <v>946</v>
      </c>
      <c r="H278" s="445">
        <v>84474.880000000005</v>
      </c>
      <c r="I278" s="445">
        <v>80684.28</v>
      </c>
      <c r="J278" s="445">
        <v>70488.88</v>
      </c>
      <c r="K278" s="445">
        <v>53009.77</v>
      </c>
      <c r="L278" s="445">
        <v>45040.95</v>
      </c>
      <c r="M278" s="445">
        <v>40479.620000000003</v>
      </c>
      <c r="N278" s="445">
        <v>47506.41</v>
      </c>
      <c r="O278" s="445">
        <v>31212.720000000001</v>
      </c>
      <c r="P278" s="445">
        <v>31640.91</v>
      </c>
      <c r="Q278" s="445">
        <v>39875.64</v>
      </c>
      <c r="R278" s="445">
        <v>71908.66</v>
      </c>
      <c r="S278" s="445">
        <v>78223.320000000007</v>
      </c>
      <c r="T278" s="445">
        <v>674546.04</v>
      </c>
    </row>
    <row r="279" spans="1:20">
      <c r="A279" s="868" t="s">
        <v>949</v>
      </c>
      <c r="B279" s="332"/>
      <c r="C279" s="728" t="s">
        <v>19</v>
      </c>
      <c r="D279" s="332" t="s">
        <v>946</v>
      </c>
      <c r="H279" s="444">
        <v>93898.34</v>
      </c>
      <c r="I279" s="444">
        <v>89759.37</v>
      </c>
      <c r="J279" s="444">
        <v>78627.070000000007</v>
      </c>
      <c r="K279" s="444">
        <v>59541.67</v>
      </c>
      <c r="L279" s="444">
        <v>50840.56</v>
      </c>
      <c r="M279" s="444">
        <v>45860.05</v>
      </c>
      <c r="N279" s="444">
        <v>53532.570000000007</v>
      </c>
      <c r="O279" s="444">
        <v>35796.550000000003</v>
      </c>
      <c r="P279" s="444">
        <v>36264.839999999997</v>
      </c>
      <c r="Q279" s="444">
        <v>45270.8</v>
      </c>
      <c r="R279" s="444">
        <v>80303.990000000005</v>
      </c>
      <c r="S279" s="444">
        <v>87210.05</v>
      </c>
      <c r="T279" s="444">
        <v>756905.8600000001</v>
      </c>
    </row>
    <row r="280" spans="1:20">
      <c r="A280" s="868" t="s">
        <v>949</v>
      </c>
      <c r="B280" s="728"/>
      <c r="C280" s="728" t="s">
        <v>947</v>
      </c>
      <c r="D280" s="332" t="s">
        <v>946</v>
      </c>
      <c r="H280" s="444">
        <v>5</v>
      </c>
      <c r="I280" s="444">
        <v>5</v>
      </c>
      <c r="J280" s="444">
        <v>5</v>
      </c>
      <c r="K280" s="444">
        <v>5</v>
      </c>
      <c r="L280" s="444">
        <v>5</v>
      </c>
      <c r="M280" s="444">
        <v>5</v>
      </c>
      <c r="N280" s="444">
        <v>5</v>
      </c>
      <c r="O280" s="444">
        <v>5</v>
      </c>
      <c r="P280" s="444">
        <v>5</v>
      </c>
      <c r="Q280" s="444">
        <v>5</v>
      </c>
      <c r="R280" s="444">
        <v>5</v>
      </c>
      <c r="S280" s="444">
        <v>5</v>
      </c>
      <c r="T280" s="444">
        <v>5</v>
      </c>
    </row>
    <row r="281" spans="1:20">
      <c r="A281" s="868" t="s">
        <v>949</v>
      </c>
      <c r="B281" s="332"/>
      <c r="C281" s="728" t="s">
        <v>20</v>
      </c>
      <c r="D281" s="332" t="s">
        <v>946</v>
      </c>
      <c r="H281" s="444">
        <v>18742</v>
      </c>
      <c r="I281" s="444">
        <v>17901</v>
      </c>
      <c r="J281" s="444">
        <v>15639</v>
      </c>
      <c r="K281" s="444">
        <v>11761</v>
      </c>
      <c r="L281" s="444">
        <v>9993</v>
      </c>
      <c r="M281" s="444">
        <v>8981</v>
      </c>
      <c r="N281" s="444">
        <v>10540</v>
      </c>
      <c r="O281" s="444">
        <v>6925</v>
      </c>
      <c r="P281" s="444">
        <v>7020</v>
      </c>
      <c r="Q281" s="444">
        <v>8847</v>
      </c>
      <c r="R281" s="444">
        <v>15954</v>
      </c>
      <c r="S281" s="444">
        <v>17355</v>
      </c>
      <c r="T281" s="444">
        <v>149658</v>
      </c>
    </row>
    <row r="282" spans="1:20">
      <c r="A282" s="868" t="s">
        <v>949</v>
      </c>
      <c r="B282" s="728"/>
      <c r="C282" s="728"/>
      <c r="D282" s="728"/>
      <c r="H282" s="444"/>
      <c r="I282" s="444"/>
      <c r="J282" s="444"/>
      <c r="K282" s="444"/>
      <c r="L282" s="444"/>
      <c r="M282" s="444"/>
      <c r="N282" s="444"/>
      <c r="O282" s="444"/>
      <c r="P282" s="444"/>
      <c r="Q282" s="444"/>
      <c r="R282" s="444"/>
      <c r="S282" s="444"/>
      <c r="T282" s="444"/>
    </row>
    <row r="283" spans="1:20">
      <c r="A283" s="868"/>
      <c r="B283" s="728" t="s">
        <v>89</v>
      </c>
      <c r="C283" s="728" t="s">
        <v>16</v>
      </c>
      <c r="D283" s="332" t="s">
        <v>946</v>
      </c>
      <c r="H283" s="444">
        <v>0</v>
      </c>
      <c r="I283" s="444">
        <v>0</v>
      </c>
      <c r="J283" s="444">
        <v>0</v>
      </c>
      <c r="K283" s="444">
        <v>0</v>
      </c>
      <c r="L283" s="444">
        <v>0</v>
      </c>
      <c r="M283" s="444">
        <v>0</v>
      </c>
      <c r="N283" s="444">
        <v>0</v>
      </c>
      <c r="O283" s="444">
        <v>0</v>
      </c>
      <c r="P283" s="444">
        <v>0</v>
      </c>
      <c r="Q283" s="444">
        <v>0</v>
      </c>
      <c r="R283" s="444">
        <v>0</v>
      </c>
      <c r="S283" s="444">
        <v>0</v>
      </c>
      <c r="T283" s="444">
        <v>0</v>
      </c>
    </row>
    <row r="284" spans="1:20">
      <c r="A284" s="868"/>
      <c r="B284" s="728"/>
      <c r="C284" s="728"/>
      <c r="D284" s="332" t="s">
        <v>946</v>
      </c>
      <c r="H284" s="444"/>
      <c r="I284" s="444"/>
      <c r="J284" s="444"/>
      <c r="K284" s="444"/>
      <c r="L284" s="444"/>
      <c r="M284" s="444"/>
      <c r="N284" s="444"/>
      <c r="O284" s="444"/>
      <c r="P284" s="444"/>
      <c r="Q284" s="444"/>
      <c r="R284" s="444"/>
      <c r="S284" s="444"/>
      <c r="T284" s="444"/>
    </row>
    <row r="285" spans="1:20">
      <c r="A285" s="868"/>
      <c r="B285" s="332"/>
      <c r="C285" s="728" t="s">
        <v>17</v>
      </c>
      <c r="D285" s="332" t="s">
        <v>946</v>
      </c>
      <c r="H285" s="444"/>
      <c r="I285" s="444"/>
      <c r="J285" s="444"/>
      <c r="K285" s="444"/>
      <c r="L285" s="444"/>
      <c r="M285" s="444"/>
      <c r="N285" s="444"/>
      <c r="O285" s="444"/>
      <c r="P285" s="444"/>
      <c r="Q285" s="444"/>
      <c r="R285" s="444"/>
      <c r="S285" s="444"/>
      <c r="T285" s="444"/>
    </row>
    <row r="286" spans="1:20">
      <c r="A286" s="868"/>
      <c r="B286" s="332"/>
      <c r="C286" s="728"/>
      <c r="D286" s="332" t="s">
        <v>946</v>
      </c>
      <c r="H286" s="444"/>
      <c r="I286" s="444"/>
      <c r="J286" s="444"/>
      <c r="K286" s="444"/>
      <c r="L286" s="444"/>
      <c r="M286" s="444"/>
      <c r="N286" s="444"/>
      <c r="O286" s="444"/>
      <c r="P286" s="444"/>
      <c r="Q286" s="444"/>
      <c r="R286" s="444"/>
      <c r="S286" s="444"/>
      <c r="T286" s="444"/>
    </row>
    <row r="287" spans="1:20">
      <c r="A287" s="868"/>
      <c r="B287" s="332"/>
      <c r="C287" s="728" t="s">
        <v>18</v>
      </c>
      <c r="D287" s="332" t="s">
        <v>946</v>
      </c>
      <c r="H287" s="445">
        <v>0</v>
      </c>
      <c r="I287" s="445">
        <v>0</v>
      </c>
      <c r="J287" s="445">
        <v>0</v>
      </c>
      <c r="K287" s="445">
        <v>0</v>
      </c>
      <c r="L287" s="445">
        <v>0</v>
      </c>
      <c r="M287" s="445">
        <v>0</v>
      </c>
      <c r="N287" s="445">
        <v>0</v>
      </c>
      <c r="O287" s="445">
        <v>0</v>
      </c>
      <c r="P287" s="445">
        <v>0</v>
      </c>
      <c r="Q287" s="445">
        <v>0</v>
      </c>
      <c r="R287" s="445">
        <v>0</v>
      </c>
      <c r="S287" s="445">
        <v>0</v>
      </c>
      <c r="T287" s="445">
        <v>0</v>
      </c>
    </row>
    <row r="288" spans="1:20">
      <c r="A288" s="868"/>
      <c r="B288" s="332"/>
      <c r="C288" s="728" t="s">
        <v>19</v>
      </c>
      <c r="D288" s="332" t="s">
        <v>946</v>
      </c>
      <c r="H288" s="444">
        <v>0</v>
      </c>
      <c r="I288" s="444">
        <v>0</v>
      </c>
      <c r="J288" s="444">
        <v>0</v>
      </c>
      <c r="K288" s="444">
        <v>0</v>
      </c>
      <c r="L288" s="444">
        <v>0</v>
      </c>
      <c r="M288" s="444">
        <v>0</v>
      </c>
      <c r="N288" s="444">
        <v>0</v>
      </c>
      <c r="O288" s="444">
        <v>0</v>
      </c>
      <c r="P288" s="444">
        <v>0</v>
      </c>
      <c r="Q288" s="444">
        <v>0</v>
      </c>
      <c r="R288" s="444">
        <v>0</v>
      </c>
      <c r="S288" s="444">
        <v>0</v>
      </c>
      <c r="T288" s="444">
        <v>0</v>
      </c>
    </row>
    <row r="289" spans="1:20">
      <c r="A289" s="868"/>
      <c r="B289" s="728"/>
      <c r="C289" s="728" t="s">
        <v>947</v>
      </c>
      <c r="D289" s="332" t="s">
        <v>946</v>
      </c>
      <c r="H289" s="444">
        <v>0</v>
      </c>
      <c r="I289" s="444">
        <v>0</v>
      </c>
      <c r="J289" s="444">
        <v>0</v>
      </c>
      <c r="K289" s="444">
        <v>0</v>
      </c>
      <c r="L289" s="444">
        <v>0</v>
      </c>
      <c r="M289" s="444">
        <v>0</v>
      </c>
      <c r="N289" s="444">
        <v>0</v>
      </c>
      <c r="O289" s="444">
        <v>0</v>
      </c>
      <c r="P289" s="444">
        <v>0</v>
      </c>
      <c r="Q289" s="444">
        <v>0</v>
      </c>
      <c r="R289" s="444">
        <v>0</v>
      </c>
      <c r="S289" s="444">
        <v>0</v>
      </c>
      <c r="T289" s="444">
        <v>0</v>
      </c>
    </row>
    <row r="290" spans="1:20">
      <c r="A290" s="868"/>
      <c r="B290" s="728"/>
      <c r="C290" s="728" t="s">
        <v>20</v>
      </c>
      <c r="D290" s="332" t="s">
        <v>946</v>
      </c>
      <c r="H290" s="444">
        <v>0</v>
      </c>
      <c r="I290" s="444">
        <v>0</v>
      </c>
      <c r="J290" s="444">
        <v>0</v>
      </c>
      <c r="K290" s="444">
        <v>0</v>
      </c>
      <c r="L290" s="444">
        <v>0</v>
      </c>
      <c r="M290" s="444">
        <v>0</v>
      </c>
      <c r="N290" s="444">
        <v>0</v>
      </c>
      <c r="O290" s="444">
        <v>0</v>
      </c>
      <c r="P290" s="444">
        <v>0</v>
      </c>
      <c r="Q290" s="444">
        <v>0</v>
      </c>
      <c r="R290" s="444">
        <v>0</v>
      </c>
      <c r="S290" s="444">
        <v>0</v>
      </c>
      <c r="T290" s="444">
        <v>0</v>
      </c>
    </row>
    <row r="291" spans="1:20">
      <c r="A291" s="868"/>
      <c r="B291" s="728"/>
      <c r="C291" s="728"/>
      <c r="D291" s="728"/>
      <c r="H291" s="444"/>
      <c r="I291" s="444"/>
      <c r="J291" s="444"/>
      <c r="K291" s="444"/>
      <c r="L291" s="444"/>
      <c r="M291" s="444"/>
      <c r="N291" s="444"/>
      <c r="O291" s="444"/>
      <c r="P291" s="444"/>
      <c r="Q291" s="444"/>
      <c r="R291" s="444"/>
      <c r="S291" s="444"/>
      <c r="T291" s="444"/>
    </row>
    <row r="292" spans="1:20">
      <c r="A292" s="868"/>
      <c r="B292" s="728" t="s">
        <v>25</v>
      </c>
      <c r="C292" s="728" t="s">
        <v>16</v>
      </c>
      <c r="D292" s="332" t="s">
        <v>946</v>
      </c>
      <c r="H292" s="444">
        <v>0</v>
      </c>
      <c r="I292" s="444">
        <v>0</v>
      </c>
      <c r="J292" s="444">
        <v>0</v>
      </c>
      <c r="K292" s="444">
        <v>0</v>
      </c>
      <c r="L292" s="444">
        <v>0</v>
      </c>
      <c r="M292" s="444">
        <v>0</v>
      </c>
      <c r="N292" s="444">
        <v>0</v>
      </c>
      <c r="O292" s="444">
        <v>0</v>
      </c>
      <c r="P292" s="444">
        <v>0</v>
      </c>
      <c r="Q292" s="444">
        <v>0</v>
      </c>
      <c r="R292" s="444">
        <v>0</v>
      </c>
      <c r="S292" s="444">
        <v>0</v>
      </c>
      <c r="T292" s="444">
        <v>0</v>
      </c>
    </row>
    <row r="293" spans="1:20">
      <c r="A293" s="868"/>
      <c r="B293" s="728" t="s">
        <v>693</v>
      </c>
      <c r="C293" s="728" t="s">
        <v>463</v>
      </c>
      <c r="D293" s="332" t="s">
        <v>946</v>
      </c>
      <c r="H293" s="444"/>
      <c r="I293" s="444"/>
      <c r="J293" s="444"/>
      <c r="K293" s="444"/>
      <c r="L293" s="444"/>
      <c r="M293" s="444"/>
      <c r="N293" s="444"/>
      <c r="O293" s="444"/>
      <c r="P293" s="444"/>
      <c r="Q293" s="444"/>
      <c r="R293" s="444"/>
      <c r="S293" s="444"/>
      <c r="T293" s="444"/>
    </row>
    <row r="294" spans="1:20">
      <c r="A294" s="868"/>
      <c r="B294" s="332"/>
      <c r="C294" s="332"/>
      <c r="D294" s="332" t="s">
        <v>946</v>
      </c>
      <c r="H294" s="444"/>
      <c r="I294" s="444"/>
      <c r="J294" s="444"/>
      <c r="K294" s="444"/>
      <c r="L294" s="444"/>
      <c r="M294" s="444"/>
      <c r="N294" s="444"/>
      <c r="O294" s="444"/>
      <c r="P294" s="444"/>
      <c r="Q294" s="444"/>
      <c r="R294" s="444"/>
      <c r="S294" s="444"/>
      <c r="T294" s="444"/>
    </row>
    <row r="295" spans="1:20">
      <c r="A295" s="868"/>
      <c r="B295" s="332"/>
      <c r="C295" s="332"/>
      <c r="D295" s="332" t="s">
        <v>946</v>
      </c>
      <c r="H295" s="444"/>
      <c r="I295" s="444"/>
      <c r="J295" s="444"/>
      <c r="K295" s="444"/>
      <c r="L295" s="444"/>
      <c r="M295" s="444"/>
      <c r="N295" s="444"/>
      <c r="O295" s="444"/>
      <c r="P295" s="444"/>
      <c r="Q295" s="444"/>
      <c r="R295" s="444"/>
      <c r="S295" s="444"/>
      <c r="T295" s="444"/>
    </row>
    <row r="296" spans="1:20">
      <c r="A296" s="868"/>
      <c r="B296" s="332"/>
      <c r="C296" s="332" t="s">
        <v>18</v>
      </c>
      <c r="D296" s="332" t="s">
        <v>946</v>
      </c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>
        <v>0</v>
      </c>
    </row>
    <row r="297" spans="1:20">
      <c r="A297" s="868"/>
      <c r="B297" s="332"/>
      <c r="C297" s="332" t="s">
        <v>19</v>
      </c>
      <c r="D297" s="332" t="s">
        <v>946</v>
      </c>
      <c r="H297" s="444">
        <v>0</v>
      </c>
      <c r="I297" s="444">
        <v>0</v>
      </c>
      <c r="J297" s="444">
        <v>0</v>
      </c>
      <c r="K297" s="444">
        <v>0</v>
      </c>
      <c r="L297" s="444">
        <v>0</v>
      </c>
      <c r="M297" s="444">
        <v>0</v>
      </c>
      <c r="N297" s="444">
        <v>0</v>
      </c>
      <c r="O297" s="444">
        <v>0</v>
      </c>
      <c r="P297" s="444">
        <v>0</v>
      </c>
      <c r="Q297" s="444">
        <v>0</v>
      </c>
      <c r="R297" s="444">
        <v>0</v>
      </c>
      <c r="S297" s="444">
        <v>0</v>
      </c>
      <c r="T297" s="444">
        <v>0</v>
      </c>
    </row>
    <row r="298" spans="1:20">
      <c r="A298" s="868"/>
      <c r="B298" s="728"/>
      <c r="C298" s="728" t="s">
        <v>947</v>
      </c>
      <c r="D298" s="332" t="s">
        <v>946</v>
      </c>
      <c r="H298" s="444">
        <v>0</v>
      </c>
      <c r="I298" s="444">
        <v>0</v>
      </c>
      <c r="J298" s="444">
        <v>0</v>
      </c>
      <c r="K298" s="444">
        <v>0</v>
      </c>
      <c r="L298" s="444">
        <v>0</v>
      </c>
      <c r="M298" s="444">
        <v>0</v>
      </c>
      <c r="N298" s="444">
        <v>0</v>
      </c>
      <c r="O298" s="444">
        <v>0</v>
      </c>
      <c r="P298" s="444">
        <v>0</v>
      </c>
      <c r="Q298" s="444">
        <v>0</v>
      </c>
      <c r="R298" s="444">
        <v>0</v>
      </c>
      <c r="S298" s="444">
        <v>0</v>
      </c>
      <c r="T298" s="444">
        <v>0</v>
      </c>
    </row>
    <row r="299" spans="1:20">
      <c r="A299" s="868"/>
      <c r="B299" s="728"/>
      <c r="C299" s="332" t="s">
        <v>20</v>
      </c>
      <c r="D299" s="332" t="s">
        <v>946</v>
      </c>
      <c r="H299" s="444">
        <v>0</v>
      </c>
      <c r="I299" s="444">
        <v>0</v>
      </c>
      <c r="J299" s="444">
        <v>0</v>
      </c>
      <c r="K299" s="444">
        <v>0</v>
      </c>
      <c r="L299" s="444">
        <v>0</v>
      </c>
      <c r="M299" s="444">
        <v>0</v>
      </c>
      <c r="N299" s="444">
        <v>0</v>
      </c>
      <c r="O299" s="444">
        <v>0</v>
      </c>
      <c r="P299" s="444">
        <v>0</v>
      </c>
      <c r="Q299" s="444">
        <v>0</v>
      </c>
      <c r="R299" s="444">
        <v>0</v>
      </c>
      <c r="S299" s="444">
        <v>0</v>
      </c>
      <c r="T299" s="444">
        <v>0</v>
      </c>
    </row>
    <row r="300" spans="1:20">
      <c r="A300" s="868"/>
      <c r="C300" s="332"/>
      <c r="D300" s="332"/>
      <c r="H300" s="444"/>
      <c r="I300" s="444"/>
      <c r="J300" s="444"/>
      <c r="K300" s="444"/>
      <c r="L300" s="444"/>
      <c r="M300" s="444"/>
      <c r="N300" s="444"/>
      <c r="O300" s="444"/>
      <c r="P300" s="444"/>
      <c r="Q300" s="444"/>
      <c r="R300" s="444"/>
      <c r="S300" s="444"/>
      <c r="T300" s="444"/>
    </row>
    <row r="301" spans="1:20">
      <c r="A301" s="868" t="s">
        <v>953</v>
      </c>
      <c r="B301" s="728" t="s">
        <v>962</v>
      </c>
      <c r="C301" s="728" t="s">
        <v>16</v>
      </c>
      <c r="D301" s="332" t="s">
        <v>955</v>
      </c>
      <c r="H301" s="444">
        <v>7897.0415399999993</v>
      </c>
      <c r="I301" s="444">
        <v>7039.5415399999993</v>
      </c>
      <c r="J301" s="444">
        <v>6656.0815400000001</v>
      </c>
      <c r="K301" s="444">
        <v>6226.9415399999998</v>
      </c>
      <c r="L301" s="444">
        <v>5878.9415399999998</v>
      </c>
      <c r="M301" s="444">
        <v>5953.7015399999991</v>
      </c>
      <c r="N301" s="444">
        <v>5885.1615400000001</v>
      </c>
      <c r="O301" s="444">
        <v>5992.1715400000003</v>
      </c>
      <c r="P301" s="444">
        <v>6191.04</v>
      </c>
      <c r="Q301" s="444">
        <v>6467.3</v>
      </c>
      <c r="R301" s="444">
        <v>6790.8</v>
      </c>
      <c r="S301" s="444">
        <v>7227.2899999999991</v>
      </c>
      <c r="T301" s="444">
        <v>78206.012319999994</v>
      </c>
    </row>
    <row r="302" spans="1:20">
      <c r="A302" s="868" t="s">
        <v>953</v>
      </c>
      <c r="B302" s="332"/>
      <c r="C302" s="728"/>
      <c r="D302" s="332" t="s">
        <v>955</v>
      </c>
      <c r="H302" s="444"/>
      <c r="I302" s="444"/>
      <c r="J302" s="444"/>
      <c r="K302" s="444"/>
      <c r="L302" s="444"/>
      <c r="M302" s="444"/>
      <c r="N302" s="444"/>
      <c r="O302" s="444"/>
      <c r="P302" s="444"/>
      <c r="Q302" s="444"/>
      <c r="R302" s="444"/>
      <c r="S302" s="444"/>
      <c r="T302" s="444"/>
    </row>
    <row r="303" spans="1:20">
      <c r="A303" s="868" t="s">
        <v>953</v>
      </c>
      <c r="B303" s="332"/>
      <c r="C303" s="728" t="s">
        <v>17</v>
      </c>
      <c r="D303" s="332" t="s">
        <v>955</v>
      </c>
      <c r="H303" s="444">
        <v>0</v>
      </c>
      <c r="I303" s="444">
        <v>0</v>
      </c>
      <c r="J303" s="444">
        <v>0</v>
      </c>
      <c r="K303" s="444">
        <v>0</v>
      </c>
      <c r="L303" s="444">
        <v>0</v>
      </c>
      <c r="M303" s="444">
        <v>0</v>
      </c>
      <c r="N303" s="444">
        <v>0</v>
      </c>
      <c r="O303" s="444">
        <v>0</v>
      </c>
      <c r="P303" s="444">
        <v>0</v>
      </c>
      <c r="Q303" s="444">
        <v>0</v>
      </c>
      <c r="R303" s="444">
        <v>0</v>
      </c>
      <c r="S303" s="444">
        <v>0</v>
      </c>
      <c r="T303" s="444">
        <v>0</v>
      </c>
    </row>
    <row r="304" spans="1:20">
      <c r="A304" s="868" t="s">
        <v>953</v>
      </c>
      <c r="B304" s="332"/>
      <c r="C304" s="728"/>
      <c r="D304" s="332" t="s">
        <v>955</v>
      </c>
      <c r="H304" s="444"/>
      <c r="I304" s="444"/>
      <c r="J304" s="444"/>
      <c r="K304" s="444"/>
      <c r="L304" s="444"/>
      <c r="M304" s="444"/>
      <c r="N304" s="444"/>
      <c r="O304" s="444"/>
      <c r="P304" s="444"/>
      <c r="Q304" s="444"/>
      <c r="R304" s="444"/>
      <c r="S304" s="444"/>
      <c r="T304" s="444"/>
    </row>
    <row r="305" spans="1:20">
      <c r="A305" s="868" t="s">
        <v>953</v>
      </c>
      <c r="B305" s="332"/>
      <c r="C305" s="728" t="s">
        <v>18</v>
      </c>
      <c r="D305" s="332" t="s">
        <v>955</v>
      </c>
      <c r="H305" s="445">
        <v>0</v>
      </c>
      <c r="I305" s="445">
        <v>0</v>
      </c>
      <c r="J305" s="445">
        <v>0</v>
      </c>
      <c r="K305" s="445">
        <v>0</v>
      </c>
      <c r="L305" s="445">
        <v>0</v>
      </c>
      <c r="M305" s="445">
        <v>0</v>
      </c>
      <c r="N305" s="445">
        <v>0</v>
      </c>
      <c r="O305" s="445">
        <v>0</v>
      </c>
      <c r="P305" s="445">
        <v>0</v>
      </c>
      <c r="Q305" s="445">
        <v>0</v>
      </c>
      <c r="R305" s="445">
        <v>0</v>
      </c>
      <c r="S305" s="445">
        <v>0</v>
      </c>
      <c r="T305" s="445">
        <v>0</v>
      </c>
    </row>
    <row r="306" spans="1:20">
      <c r="A306" s="868" t="s">
        <v>953</v>
      </c>
      <c r="B306" s="728"/>
      <c r="C306" s="728" t="s">
        <v>19</v>
      </c>
      <c r="D306" s="332" t="s">
        <v>955</v>
      </c>
      <c r="H306" s="444">
        <v>7897.0415399999993</v>
      </c>
      <c r="I306" s="444">
        <v>7039.5415399999993</v>
      </c>
      <c r="J306" s="444">
        <v>6656.0815400000001</v>
      </c>
      <c r="K306" s="444">
        <v>6226.9415399999998</v>
      </c>
      <c r="L306" s="444">
        <v>5878.9415399999998</v>
      </c>
      <c r="M306" s="444">
        <v>5953.7015399999991</v>
      </c>
      <c r="N306" s="444">
        <v>5885.1615400000001</v>
      </c>
      <c r="O306" s="444">
        <v>5992.1715400000003</v>
      </c>
      <c r="P306" s="444">
        <v>6191.04</v>
      </c>
      <c r="Q306" s="444">
        <v>6467.3</v>
      </c>
      <c r="R306" s="444">
        <v>6790.8</v>
      </c>
      <c r="S306" s="444">
        <v>7227.2899999999991</v>
      </c>
      <c r="T306" s="444">
        <v>78206.012319999994</v>
      </c>
    </row>
    <row r="307" spans="1:20">
      <c r="A307" s="868" t="s">
        <v>953</v>
      </c>
      <c r="B307" s="728"/>
      <c r="C307" s="728" t="s">
        <v>947</v>
      </c>
      <c r="D307" s="332" t="s">
        <v>955</v>
      </c>
      <c r="H307" s="444">
        <v>3</v>
      </c>
      <c r="I307" s="444">
        <v>3</v>
      </c>
      <c r="J307" s="444">
        <v>3</v>
      </c>
      <c r="K307" s="444">
        <v>3</v>
      </c>
      <c r="L307" s="444">
        <v>3</v>
      </c>
      <c r="M307" s="444">
        <v>3</v>
      </c>
      <c r="N307" s="444">
        <v>3</v>
      </c>
      <c r="O307" s="444">
        <v>3</v>
      </c>
      <c r="P307" s="444">
        <v>3</v>
      </c>
      <c r="Q307" s="444">
        <v>3</v>
      </c>
      <c r="R307" s="444">
        <v>3</v>
      </c>
      <c r="S307" s="444">
        <v>3</v>
      </c>
      <c r="T307" s="444">
        <v>3</v>
      </c>
    </row>
    <row r="308" spans="1:20">
      <c r="A308" s="868" t="s">
        <v>953</v>
      </c>
      <c r="B308" s="728"/>
      <c r="C308" s="728" t="s">
        <v>20</v>
      </c>
      <c r="D308" s="332" t="s">
        <v>955</v>
      </c>
      <c r="H308" s="444">
        <v>21370</v>
      </c>
      <c r="I308" s="444">
        <v>15853</v>
      </c>
      <c r="J308" s="444">
        <v>13386</v>
      </c>
      <c r="K308" s="444">
        <v>10625</v>
      </c>
      <c r="L308" s="444">
        <v>8386</v>
      </c>
      <c r="M308" s="444">
        <v>8867</v>
      </c>
      <c r="N308" s="444">
        <v>8426</v>
      </c>
      <c r="O308" s="444">
        <v>8815</v>
      </c>
      <c r="P308" s="444">
        <v>9766</v>
      </c>
      <c r="Q308" s="444">
        <v>11485</v>
      </c>
      <c r="R308" s="444">
        <v>13498</v>
      </c>
      <c r="S308" s="444">
        <v>16214</v>
      </c>
      <c r="T308" s="444">
        <v>146691</v>
      </c>
    </row>
    <row r="309" spans="1:20">
      <c r="A309" s="868" t="s">
        <v>953</v>
      </c>
      <c r="C309" s="332"/>
      <c r="D309" s="332"/>
      <c r="H309" s="444"/>
      <c r="I309" s="444"/>
      <c r="J309" s="444"/>
      <c r="K309" s="444"/>
      <c r="L309" s="444"/>
      <c r="M309" s="444"/>
      <c r="N309" s="444"/>
      <c r="O309" s="444"/>
      <c r="P309" s="444"/>
      <c r="Q309" s="444"/>
      <c r="R309" s="444"/>
      <c r="S309" s="444"/>
      <c r="T309" s="444"/>
    </row>
    <row r="310" spans="1:20">
      <c r="A310" s="868" t="s">
        <v>953</v>
      </c>
      <c r="B310" s="728" t="s">
        <v>963</v>
      </c>
      <c r="C310" s="728" t="s">
        <v>16</v>
      </c>
      <c r="D310" s="332" t="s">
        <v>955</v>
      </c>
      <c r="H310" s="444">
        <v>4745.3999999999996</v>
      </c>
      <c r="I310" s="444">
        <v>3565.2499999999995</v>
      </c>
      <c r="J310" s="444">
        <v>3531.09</v>
      </c>
      <c r="K310" s="444">
        <v>4726.0200000000004</v>
      </c>
      <c r="L310" s="444">
        <v>4512.5099999999993</v>
      </c>
      <c r="M310" s="444">
        <v>1180.3</v>
      </c>
      <c r="N310" s="444">
        <v>1521.71</v>
      </c>
      <c r="O310" s="444">
        <v>638.47</v>
      </c>
      <c r="P310" s="444">
        <v>2781.02</v>
      </c>
      <c r="Q310" s="444">
        <v>2877.91</v>
      </c>
      <c r="R310" s="444">
        <v>3407.0499999999997</v>
      </c>
      <c r="S310" s="444">
        <v>3222.91</v>
      </c>
      <c r="T310" s="444">
        <v>36709.64</v>
      </c>
    </row>
    <row r="311" spans="1:20">
      <c r="A311" s="868" t="s">
        <v>953</v>
      </c>
      <c r="B311" s="728" t="s">
        <v>694</v>
      </c>
      <c r="C311" s="728"/>
      <c r="D311" s="332" t="s">
        <v>955</v>
      </c>
      <c r="H311" s="444"/>
      <c r="I311" s="444"/>
      <c r="J311" s="444"/>
      <c r="K311" s="444"/>
      <c r="L311" s="444"/>
      <c r="M311" s="444"/>
      <c r="N311" s="444"/>
      <c r="O311" s="444"/>
      <c r="P311" s="444"/>
      <c r="Q311" s="444"/>
      <c r="R311" s="444"/>
      <c r="S311" s="444"/>
      <c r="T311" s="444"/>
    </row>
    <row r="312" spans="1:20">
      <c r="A312" s="868" t="s">
        <v>953</v>
      </c>
      <c r="B312" s="332"/>
      <c r="C312" s="728" t="s">
        <v>17</v>
      </c>
      <c r="D312" s="332" t="s">
        <v>955</v>
      </c>
      <c r="H312" s="444">
        <v>0</v>
      </c>
      <c r="I312" s="444">
        <v>0</v>
      </c>
      <c r="J312" s="444">
        <v>0</v>
      </c>
      <c r="K312" s="444">
        <v>0</v>
      </c>
      <c r="L312" s="444">
        <v>0</v>
      </c>
      <c r="M312" s="444">
        <v>0</v>
      </c>
      <c r="N312" s="444">
        <v>0</v>
      </c>
      <c r="O312" s="444">
        <v>0</v>
      </c>
      <c r="P312" s="444">
        <v>0</v>
      </c>
      <c r="Q312" s="444">
        <v>0</v>
      </c>
      <c r="R312" s="444">
        <v>0</v>
      </c>
      <c r="S312" s="444">
        <v>0</v>
      </c>
      <c r="T312" s="444">
        <v>0</v>
      </c>
    </row>
    <row r="313" spans="1:20">
      <c r="A313" s="868" t="s">
        <v>953</v>
      </c>
      <c r="B313" s="332"/>
      <c r="C313" s="728"/>
      <c r="D313" s="332" t="s">
        <v>955</v>
      </c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</row>
    <row r="314" spans="1:20">
      <c r="A314" s="868" t="s">
        <v>953</v>
      </c>
      <c r="B314" s="332"/>
      <c r="C314" s="728" t="s">
        <v>18</v>
      </c>
      <c r="D314" s="332" t="s">
        <v>955</v>
      </c>
      <c r="H314" s="445">
        <v>0</v>
      </c>
      <c r="I314" s="445">
        <v>0</v>
      </c>
      <c r="J314" s="445">
        <v>0</v>
      </c>
      <c r="K314" s="445">
        <v>0</v>
      </c>
      <c r="L314" s="445">
        <v>0</v>
      </c>
      <c r="M314" s="445">
        <v>0</v>
      </c>
      <c r="N314" s="445">
        <v>0</v>
      </c>
      <c r="O314" s="445">
        <v>0</v>
      </c>
      <c r="P314" s="445">
        <v>0</v>
      </c>
      <c r="Q314" s="445">
        <v>0</v>
      </c>
      <c r="R314" s="445">
        <v>0</v>
      </c>
      <c r="S314" s="445">
        <v>0</v>
      </c>
      <c r="T314" s="445">
        <v>0</v>
      </c>
    </row>
    <row r="315" spans="1:20">
      <c r="A315" s="868" t="s">
        <v>953</v>
      </c>
      <c r="B315" s="728"/>
      <c r="C315" s="728" t="s">
        <v>19</v>
      </c>
      <c r="D315" s="332" t="s">
        <v>955</v>
      </c>
      <c r="H315" s="444">
        <v>4745.3999999999996</v>
      </c>
      <c r="I315" s="444">
        <v>3565.2499999999995</v>
      </c>
      <c r="J315" s="444">
        <v>3531.09</v>
      </c>
      <c r="K315" s="444">
        <v>4726.0200000000004</v>
      </c>
      <c r="L315" s="444">
        <v>4512.5099999999993</v>
      </c>
      <c r="M315" s="444">
        <v>1180.3</v>
      </c>
      <c r="N315" s="444">
        <v>1521.71</v>
      </c>
      <c r="O315" s="444">
        <v>638.47</v>
      </c>
      <c r="P315" s="444">
        <v>2781.02</v>
      </c>
      <c r="Q315" s="444">
        <v>2877.91</v>
      </c>
      <c r="R315" s="444">
        <v>3407.0499999999997</v>
      </c>
      <c r="S315" s="444">
        <v>3222.91</v>
      </c>
      <c r="T315" s="444">
        <v>36709.64</v>
      </c>
    </row>
    <row r="316" spans="1:20">
      <c r="A316" s="868" t="s">
        <v>953</v>
      </c>
      <c r="B316" s="728"/>
      <c r="C316" s="728" t="s">
        <v>947</v>
      </c>
      <c r="D316" s="332" t="s">
        <v>955</v>
      </c>
      <c r="H316" s="444">
        <v>2</v>
      </c>
      <c r="I316" s="444">
        <v>2</v>
      </c>
      <c r="J316" s="444">
        <v>2</v>
      </c>
      <c r="K316" s="444">
        <v>2</v>
      </c>
      <c r="L316" s="444">
        <v>2</v>
      </c>
      <c r="M316" s="444">
        <v>2</v>
      </c>
      <c r="N316" s="444">
        <v>2</v>
      </c>
      <c r="O316" s="444">
        <v>2</v>
      </c>
      <c r="P316" s="444">
        <v>2</v>
      </c>
      <c r="Q316" s="444">
        <v>2</v>
      </c>
      <c r="R316" s="444">
        <v>2</v>
      </c>
      <c r="S316" s="444">
        <v>2</v>
      </c>
      <c r="T316" s="444">
        <v>2</v>
      </c>
    </row>
    <row r="317" spans="1:20">
      <c r="A317" s="868" t="s">
        <v>953</v>
      </c>
      <c r="B317" s="332"/>
      <c r="C317" s="728" t="s">
        <v>20</v>
      </c>
      <c r="D317" s="332" t="s">
        <v>955</v>
      </c>
      <c r="H317" s="444">
        <v>75240</v>
      </c>
      <c r="I317" s="444">
        <v>49575</v>
      </c>
      <c r="J317" s="444">
        <v>51851</v>
      </c>
      <c r="K317" s="444">
        <v>92988</v>
      </c>
      <c r="L317" s="444">
        <v>92566</v>
      </c>
      <c r="M317" s="444">
        <v>13560</v>
      </c>
      <c r="N317" s="444">
        <v>19138</v>
      </c>
      <c r="O317" s="444">
        <v>5105</v>
      </c>
      <c r="P317" s="444">
        <v>39984</v>
      </c>
      <c r="Q317" s="444">
        <v>37529</v>
      </c>
      <c r="R317" s="444">
        <v>48007</v>
      </c>
      <c r="S317" s="444">
        <v>39539</v>
      </c>
      <c r="T317" s="444">
        <v>565082</v>
      </c>
    </row>
    <row r="318" spans="1:20">
      <c r="A318" s="868" t="s">
        <v>953</v>
      </c>
      <c r="B318" s="332"/>
      <c r="C318" s="728"/>
      <c r="D318" s="728"/>
      <c r="H318" s="444"/>
      <c r="I318" s="444"/>
      <c r="J318" s="444"/>
      <c r="K318" s="444"/>
      <c r="L318" s="444"/>
      <c r="M318" s="444"/>
      <c r="N318" s="444"/>
      <c r="O318" s="444"/>
      <c r="P318" s="444"/>
      <c r="Q318" s="444"/>
      <c r="R318" s="444"/>
      <c r="S318" s="444"/>
      <c r="T318" s="444"/>
    </row>
    <row r="319" spans="1:20">
      <c r="A319" s="868"/>
      <c r="B319" s="332" t="s">
        <v>690</v>
      </c>
      <c r="C319" s="332" t="s">
        <v>16</v>
      </c>
      <c r="D319" s="332" t="s">
        <v>946</v>
      </c>
      <c r="H319" s="444">
        <v>-246432.80000000005</v>
      </c>
      <c r="I319" s="444">
        <v>-256951.68999999994</v>
      </c>
      <c r="J319" s="444">
        <v>-274250.05000000005</v>
      </c>
      <c r="K319" s="444">
        <v>-298254.67999999993</v>
      </c>
      <c r="L319" s="444">
        <v>-319104.69000000018</v>
      </c>
      <c r="M319" s="444">
        <v>-338274.49</v>
      </c>
      <c r="N319" s="444">
        <v>-346450.55000000005</v>
      </c>
      <c r="O319" s="444">
        <v>-346887.02</v>
      </c>
      <c r="P319" s="444">
        <v>-348023.54000000004</v>
      </c>
      <c r="Q319" s="444">
        <v>-332256.59000000008</v>
      </c>
      <c r="R319" s="444">
        <v>-312467.05999999982</v>
      </c>
      <c r="S319" s="444">
        <v>-290825.08999999985</v>
      </c>
      <c r="T319" s="444">
        <v>-3710178.25</v>
      </c>
    </row>
    <row r="320" spans="1:20">
      <c r="A320" s="868"/>
      <c r="B320" s="332" t="s">
        <v>114</v>
      </c>
      <c r="C320" s="728" t="s">
        <v>16</v>
      </c>
      <c r="D320" s="728" t="s">
        <v>946</v>
      </c>
      <c r="H320" s="444"/>
      <c r="I320" s="444"/>
      <c r="J320" s="444"/>
      <c r="K320" s="444"/>
      <c r="L320" s="444"/>
      <c r="M320" s="444"/>
      <c r="N320" s="444"/>
      <c r="O320" s="444"/>
      <c r="P320" s="444"/>
      <c r="Q320" s="444"/>
      <c r="R320" s="444"/>
      <c r="S320" s="444"/>
      <c r="T320" s="444">
        <v>0</v>
      </c>
    </row>
    <row r="321" spans="1:21">
      <c r="A321" s="868"/>
      <c r="B321" s="332" t="s">
        <v>545</v>
      </c>
      <c r="C321" s="332"/>
      <c r="D321" s="332"/>
      <c r="H321" s="444"/>
      <c r="I321" s="444"/>
      <c r="J321" s="444"/>
      <c r="K321" s="444"/>
      <c r="L321" s="444"/>
      <c r="M321" s="444"/>
      <c r="N321" s="444"/>
      <c r="O321" s="444"/>
      <c r="P321" s="444"/>
      <c r="Q321" s="444"/>
      <c r="R321" s="444"/>
      <c r="S321" s="444"/>
      <c r="T321" s="444"/>
    </row>
    <row r="322" spans="1:21">
      <c r="A322" s="868"/>
      <c r="B322" s="332"/>
      <c r="C322" s="332" t="s">
        <v>16</v>
      </c>
      <c r="D322" s="332"/>
      <c r="H322" s="444">
        <v>1759900.4099999997</v>
      </c>
      <c r="I322" s="444">
        <v>1643345.05</v>
      </c>
      <c r="J322" s="444">
        <v>1386833.5999999999</v>
      </c>
      <c r="K322" s="444">
        <v>1122152.1099999999</v>
      </c>
      <c r="L322" s="444">
        <v>877672.91999999993</v>
      </c>
      <c r="M322" s="444">
        <v>629445.69999999995</v>
      </c>
      <c r="N322" s="444">
        <v>612881.91</v>
      </c>
      <c r="O322" s="444">
        <v>515745.16000000003</v>
      </c>
      <c r="P322" s="444">
        <v>653849.36999999988</v>
      </c>
      <c r="Q322" s="444">
        <v>887159.62999999989</v>
      </c>
      <c r="R322" s="444">
        <v>1216609.9799999997</v>
      </c>
      <c r="S322" s="444">
        <v>1614749.1099999999</v>
      </c>
      <c r="T322" s="444">
        <v>12920344.949999999</v>
      </c>
      <c r="U322" s="95"/>
    </row>
    <row r="323" spans="1:21">
      <c r="A323" s="868"/>
      <c r="B323" s="332"/>
      <c r="C323" s="332" t="s">
        <v>17</v>
      </c>
      <c r="D323" s="332"/>
      <c r="H323" s="444">
        <v>3383.5</v>
      </c>
      <c r="I323" s="444">
        <v>3231.67</v>
      </c>
      <c r="J323" s="444">
        <v>2823.32</v>
      </c>
      <c r="K323" s="444">
        <v>2123.1999999999998</v>
      </c>
      <c r="L323" s="444">
        <v>1804.0300000000002</v>
      </c>
      <c r="M323" s="444">
        <v>1621.3499999999997</v>
      </c>
      <c r="N323" s="444">
        <v>1902.7800000000002</v>
      </c>
      <c r="O323" s="444">
        <v>1250.1699999999998</v>
      </c>
      <c r="P323" s="444">
        <v>1267.3200000000002</v>
      </c>
      <c r="Q323" s="444">
        <v>1597.1399999999999</v>
      </c>
      <c r="R323" s="444">
        <v>2880.17</v>
      </c>
      <c r="S323" s="444">
        <v>3133.0999999999995</v>
      </c>
      <c r="T323" s="444">
        <v>27017.749999999993</v>
      </c>
      <c r="U323" s="95"/>
    </row>
    <row r="324" spans="1:21">
      <c r="A324" s="868"/>
      <c r="B324" s="332"/>
      <c r="C324" s="728" t="s">
        <v>548</v>
      </c>
      <c r="D324" s="728"/>
      <c r="H324" s="444">
        <v>12642.44154</v>
      </c>
      <c r="I324" s="444">
        <v>10604.791539999998</v>
      </c>
      <c r="J324" s="444">
        <v>10187.171539999999</v>
      </c>
      <c r="K324" s="444">
        <v>10952.96154</v>
      </c>
      <c r="L324" s="444">
        <v>10391.451539999998</v>
      </c>
      <c r="M324" s="444">
        <v>7134.0015399999993</v>
      </c>
      <c r="N324" s="444">
        <v>7406.8715400000001</v>
      </c>
      <c r="O324" s="444">
        <v>6630.6415400000005</v>
      </c>
      <c r="P324" s="444">
        <v>8972.06</v>
      </c>
      <c r="Q324" s="444">
        <v>9345.2099999999991</v>
      </c>
      <c r="R324" s="444">
        <v>10197.85</v>
      </c>
      <c r="S324" s="444">
        <v>10450.199999999999</v>
      </c>
      <c r="T324" s="444">
        <v>114915.65232000001</v>
      </c>
    </row>
    <row r="325" spans="1:21">
      <c r="A325" s="868"/>
      <c r="B325" s="332"/>
      <c r="C325" s="332" t="s">
        <v>18</v>
      </c>
      <c r="D325" s="332"/>
      <c r="H325" s="445">
        <v>2812262.57</v>
      </c>
      <c r="I325" s="445">
        <v>2547754.61</v>
      </c>
      <c r="J325" s="445">
        <v>2128490.23</v>
      </c>
      <c r="K325" s="445">
        <v>1542169.1</v>
      </c>
      <c r="L325" s="445">
        <v>1034364.2899999999</v>
      </c>
      <c r="M325" s="445">
        <v>583968.34</v>
      </c>
      <c r="N325" s="445">
        <v>376319.31000000006</v>
      </c>
      <c r="O325" s="445">
        <v>351317.62</v>
      </c>
      <c r="P325" s="445">
        <v>477773.0199999999</v>
      </c>
      <c r="Q325" s="445">
        <v>1074140.77</v>
      </c>
      <c r="R325" s="445">
        <v>1867430.2999999998</v>
      </c>
      <c r="S325" s="445">
        <v>2688479.96</v>
      </c>
      <c r="T325" s="445">
        <v>17484470.119999997</v>
      </c>
    </row>
    <row r="326" spans="1:21">
      <c r="A326" s="868"/>
      <c r="B326" s="332"/>
      <c r="C326" s="332" t="s">
        <v>27</v>
      </c>
      <c r="D326" s="332"/>
      <c r="H326" s="444">
        <v>4588188.9215399995</v>
      </c>
      <c r="I326" s="444">
        <v>4204936.1215399997</v>
      </c>
      <c r="J326" s="444">
        <v>3528334.3215399999</v>
      </c>
      <c r="K326" s="444">
        <v>2677397.3715399997</v>
      </c>
      <c r="L326" s="444">
        <v>1924232.69154</v>
      </c>
      <c r="M326" s="444">
        <v>1222169.3915399997</v>
      </c>
      <c r="N326" s="444">
        <v>998510.87154000008</v>
      </c>
      <c r="O326" s="444">
        <v>874943.59153999994</v>
      </c>
      <c r="P326" s="444">
        <v>1141861.7699999998</v>
      </c>
      <c r="Q326" s="444">
        <v>1972242.75</v>
      </c>
      <c r="R326" s="444">
        <v>3097118.3</v>
      </c>
      <c r="S326" s="444">
        <v>4316812.37</v>
      </c>
      <c r="T326" s="444">
        <v>30546748.472319998</v>
      </c>
    </row>
    <row r="327" spans="1:21">
      <c r="A327" s="868"/>
      <c r="B327" s="728"/>
      <c r="C327" s="728" t="s">
        <v>947</v>
      </c>
      <c r="D327" s="728"/>
      <c r="H327" s="1195">
        <v>27891</v>
      </c>
      <c r="I327" s="1195">
        <v>27897</v>
      </c>
      <c r="J327" s="1195">
        <v>27904</v>
      </c>
      <c r="K327" s="1195">
        <v>27913</v>
      </c>
      <c r="L327" s="1195">
        <v>27921</v>
      </c>
      <c r="M327" s="1195">
        <v>27933</v>
      </c>
      <c r="N327" s="1195">
        <v>27925</v>
      </c>
      <c r="O327" s="1195">
        <v>27922</v>
      </c>
      <c r="P327" s="1195">
        <v>27934</v>
      </c>
      <c r="Q327" s="1195">
        <v>27963</v>
      </c>
      <c r="R327" s="1195">
        <v>27998</v>
      </c>
      <c r="S327" s="1195">
        <v>28016</v>
      </c>
      <c r="T327" s="444">
        <v>27934.75</v>
      </c>
    </row>
    <row r="328" spans="1:21">
      <c r="A328" s="868"/>
      <c r="B328" s="332"/>
      <c r="C328" s="332" t="s">
        <v>59</v>
      </c>
      <c r="D328" s="332"/>
      <c r="H328" s="1195">
        <v>623942</v>
      </c>
      <c r="I328" s="1195">
        <v>565257</v>
      </c>
      <c r="J328" s="1195">
        <v>472237</v>
      </c>
      <c r="K328" s="1195">
        <v>342153</v>
      </c>
      <c r="L328" s="1195">
        <v>229489</v>
      </c>
      <c r="M328" s="1195">
        <v>129562</v>
      </c>
      <c r="N328" s="1195">
        <v>83492</v>
      </c>
      <c r="O328" s="1195">
        <v>77945</v>
      </c>
      <c r="P328" s="1195">
        <v>106001</v>
      </c>
      <c r="Q328" s="1195">
        <v>238314</v>
      </c>
      <c r="R328" s="1195">
        <v>414317</v>
      </c>
      <c r="S328" s="1195">
        <v>596479</v>
      </c>
      <c r="T328" s="1195">
        <v>3879188</v>
      </c>
    </row>
    <row r="329" spans="1:21">
      <c r="A329" s="868"/>
      <c r="B329" s="728"/>
      <c r="C329" s="728" t="s">
        <v>60</v>
      </c>
      <c r="D329" s="728"/>
      <c r="H329" s="1196">
        <v>96610</v>
      </c>
      <c r="I329" s="1196">
        <v>65428</v>
      </c>
      <c r="J329" s="1196">
        <v>65237</v>
      </c>
      <c r="K329" s="1196">
        <v>103613</v>
      </c>
      <c r="L329" s="1196">
        <v>100952</v>
      </c>
      <c r="M329" s="1196">
        <v>22427</v>
      </c>
      <c r="N329" s="1196">
        <v>27564</v>
      </c>
      <c r="O329" s="1196">
        <v>13920</v>
      </c>
      <c r="P329" s="1196">
        <v>49750</v>
      </c>
      <c r="Q329" s="1196">
        <v>49014</v>
      </c>
      <c r="R329" s="1196">
        <v>61505</v>
      </c>
      <c r="S329" s="1196">
        <v>55753</v>
      </c>
      <c r="T329" s="1196">
        <v>711773</v>
      </c>
    </row>
    <row r="330" spans="1:21">
      <c r="A330" s="873"/>
      <c r="B330" s="728"/>
      <c r="C330" s="728" t="s">
        <v>28</v>
      </c>
      <c r="D330" s="728"/>
      <c r="H330" s="1195">
        <v>720552</v>
      </c>
      <c r="I330" s="1195">
        <v>630685</v>
      </c>
      <c r="J330" s="1195">
        <v>537474</v>
      </c>
      <c r="K330" s="1195">
        <v>445766</v>
      </c>
      <c r="L330" s="1195">
        <v>330441</v>
      </c>
      <c r="M330" s="1195">
        <v>151989</v>
      </c>
      <c r="N330" s="1195">
        <v>111056</v>
      </c>
      <c r="O330" s="1195">
        <v>91865</v>
      </c>
      <c r="P330" s="1195">
        <v>155751</v>
      </c>
      <c r="Q330" s="1195">
        <v>287328</v>
      </c>
      <c r="R330" s="1195">
        <v>475822</v>
      </c>
      <c r="S330" s="1195">
        <v>652232</v>
      </c>
      <c r="T330" s="1195">
        <v>4590961</v>
      </c>
      <c r="U330" s="95">
        <f>+T330-Z61</f>
        <v>0</v>
      </c>
    </row>
    <row r="331" spans="1:21">
      <c r="A331" s="382"/>
      <c r="B331" s="728"/>
      <c r="C331" s="728"/>
      <c r="D331" s="728"/>
      <c r="H331" s="1195"/>
      <c r="I331" s="1195"/>
      <c r="J331" s="1195"/>
      <c r="K331" s="1195"/>
      <c r="L331" s="1195"/>
      <c r="M331" s="1195"/>
      <c r="N331" s="1195"/>
      <c r="O331" s="1195"/>
      <c r="P331" s="1195"/>
      <c r="Q331" s="1195"/>
      <c r="R331" s="1195"/>
      <c r="S331" s="1195"/>
      <c r="T331" s="1195"/>
    </row>
    <row r="332" spans="1:21">
      <c r="A332" s="382"/>
      <c r="B332" s="728"/>
      <c r="D332" s="332"/>
      <c r="H332" s="1195"/>
      <c r="I332" s="1195"/>
      <c r="J332" s="1195"/>
      <c r="K332" s="1195"/>
      <c r="L332" s="1195"/>
      <c r="M332" s="1195"/>
      <c r="N332" s="1195"/>
      <c r="O332" s="1195"/>
      <c r="P332" s="1195"/>
      <c r="Q332" s="1195"/>
      <c r="R332" s="1195"/>
      <c r="S332" s="1195"/>
      <c r="T332" s="1195"/>
    </row>
    <row r="333" spans="1:21">
      <c r="A333" s="382" t="s">
        <v>29</v>
      </c>
      <c r="B333" s="728" t="s">
        <v>89</v>
      </c>
      <c r="C333" s="728" t="s">
        <v>16</v>
      </c>
      <c r="D333" s="332" t="s">
        <v>946</v>
      </c>
      <c r="H333" s="444"/>
      <c r="I333" s="444"/>
      <c r="J333" s="444"/>
      <c r="K333" s="444"/>
      <c r="L333" s="444"/>
      <c r="M333" s="444"/>
      <c r="N333" s="444"/>
      <c r="O333" s="444"/>
      <c r="P333" s="444"/>
      <c r="Q333" s="444"/>
      <c r="R333" s="444"/>
      <c r="S333" s="444"/>
      <c r="T333" s="444">
        <v>0</v>
      </c>
    </row>
    <row r="334" spans="1:21">
      <c r="A334" s="382"/>
      <c r="B334" s="728"/>
      <c r="C334" s="728"/>
      <c r="D334" s="332" t="s">
        <v>946</v>
      </c>
      <c r="H334" s="444"/>
      <c r="I334" s="444"/>
      <c r="J334" s="444"/>
      <c r="K334" s="444"/>
      <c r="L334" s="444"/>
      <c r="M334" s="444"/>
      <c r="N334" s="444"/>
      <c r="O334" s="444"/>
      <c r="P334" s="444"/>
      <c r="Q334" s="444"/>
      <c r="R334" s="444"/>
      <c r="S334" s="444"/>
      <c r="T334" s="444"/>
    </row>
    <row r="335" spans="1:21">
      <c r="A335" s="382"/>
      <c r="B335" s="728"/>
      <c r="C335" s="728" t="s">
        <v>17</v>
      </c>
      <c r="D335" s="332" t="s">
        <v>946</v>
      </c>
      <c r="H335" s="444"/>
      <c r="I335" s="444"/>
      <c r="J335" s="444"/>
      <c r="K335" s="444"/>
      <c r="L335" s="444"/>
      <c r="M335" s="444"/>
      <c r="N335" s="444"/>
      <c r="O335" s="444"/>
      <c r="P335" s="444"/>
      <c r="Q335" s="444"/>
      <c r="R335" s="444"/>
      <c r="S335" s="444"/>
      <c r="T335" s="444"/>
    </row>
    <row r="336" spans="1:21">
      <c r="B336" s="728"/>
      <c r="C336" s="728"/>
      <c r="D336" s="332" t="s">
        <v>946</v>
      </c>
      <c r="H336" s="444"/>
      <c r="I336" s="444"/>
      <c r="J336" s="444"/>
      <c r="K336" s="444"/>
      <c r="L336" s="444"/>
      <c r="M336" s="444"/>
      <c r="N336" s="444"/>
      <c r="O336" s="444"/>
      <c r="P336" s="444"/>
      <c r="Q336" s="444"/>
      <c r="R336" s="444"/>
      <c r="S336" s="444"/>
      <c r="T336" s="444"/>
    </row>
    <row r="337" spans="1:20">
      <c r="A337" s="382"/>
      <c r="B337" s="728"/>
      <c r="C337" s="728" t="s">
        <v>18</v>
      </c>
      <c r="D337" s="332" t="s">
        <v>946</v>
      </c>
      <c r="H337" s="445"/>
      <c r="I337" s="445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/>
      <c r="T337" s="445">
        <v>0</v>
      </c>
    </row>
    <row r="338" spans="1:20">
      <c r="A338" s="382"/>
      <c r="B338" s="332"/>
      <c r="C338" s="728" t="s">
        <v>19</v>
      </c>
      <c r="D338" s="332" t="s">
        <v>946</v>
      </c>
      <c r="H338" s="444"/>
      <c r="I338" s="444"/>
      <c r="J338" s="444"/>
      <c r="K338" s="444"/>
      <c r="L338" s="444"/>
      <c r="M338" s="444"/>
      <c r="N338" s="444"/>
      <c r="O338" s="444"/>
      <c r="P338" s="444"/>
      <c r="Q338" s="444"/>
      <c r="R338" s="444"/>
      <c r="S338" s="444"/>
      <c r="T338" s="444">
        <v>0</v>
      </c>
    </row>
    <row r="339" spans="1:20">
      <c r="A339" s="382"/>
      <c r="B339" s="728"/>
      <c r="C339" s="728" t="s">
        <v>947</v>
      </c>
      <c r="D339" s="332" t="s">
        <v>946</v>
      </c>
      <c r="H339" s="444">
        <v>0</v>
      </c>
      <c r="I339" s="444">
        <v>0</v>
      </c>
      <c r="J339" s="444">
        <v>0</v>
      </c>
      <c r="K339" s="444">
        <v>0</v>
      </c>
      <c r="L339" s="444">
        <v>0</v>
      </c>
      <c r="M339" s="444">
        <v>0</v>
      </c>
      <c r="N339" s="444">
        <v>0</v>
      </c>
      <c r="O339" s="444">
        <v>0</v>
      </c>
      <c r="P339" s="444">
        <v>0</v>
      </c>
      <c r="Q339" s="444">
        <v>0</v>
      </c>
      <c r="R339" s="444">
        <v>0</v>
      </c>
      <c r="S339" s="444">
        <v>0</v>
      </c>
      <c r="T339" s="444">
        <v>0</v>
      </c>
    </row>
    <row r="340" spans="1:20">
      <c r="A340" s="382"/>
      <c r="B340" s="728"/>
      <c r="C340" s="728" t="s">
        <v>20</v>
      </c>
      <c r="D340" s="332" t="s">
        <v>946</v>
      </c>
      <c r="H340" s="444"/>
      <c r="I340" s="444"/>
      <c r="J340" s="444"/>
      <c r="K340" s="444"/>
      <c r="L340" s="444"/>
      <c r="M340" s="444"/>
      <c r="N340" s="444"/>
      <c r="O340" s="444"/>
      <c r="P340" s="444"/>
      <c r="Q340" s="444"/>
      <c r="R340" s="444"/>
      <c r="S340" s="444"/>
      <c r="T340" s="444">
        <v>0</v>
      </c>
    </row>
    <row r="341" spans="1:20">
      <c r="A341" s="382"/>
      <c r="B341" s="728"/>
      <c r="C341" s="728"/>
      <c r="D341" s="728"/>
      <c r="H341" s="444"/>
      <c r="I341" s="444"/>
      <c r="J341" s="444"/>
      <c r="K341" s="444"/>
      <c r="L341" s="444"/>
      <c r="M341" s="444"/>
      <c r="N341" s="444"/>
      <c r="O341" s="444"/>
      <c r="P341" s="444"/>
      <c r="Q341" s="444"/>
      <c r="R341" s="444"/>
      <c r="S341" s="444"/>
      <c r="T341" s="444"/>
    </row>
    <row r="342" spans="1:20">
      <c r="A342" s="382"/>
      <c r="B342" s="728"/>
      <c r="C342" s="728" t="s">
        <v>16</v>
      </c>
      <c r="D342" s="728" t="s">
        <v>955</v>
      </c>
      <c r="H342" s="444"/>
      <c r="I342" s="444"/>
      <c r="J342" s="444"/>
      <c r="K342" s="444"/>
      <c r="L342" s="444"/>
      <c r="M342" s="444"/>
      <c r="N342" s="444"/>
      <c r="O342" s="444"/>
      <c r="P342" s="444"/>
      <c r="Q342" s="444"/>
      <c r="R342" s="444"/>
      <c r="S342" s="444"/>
      <c r="T342" s="444">
        <v>0</v>
      </c>
    </row>
    <row r="343" spans="1:20">
      <c r="A343" s="382"/>
      <c r="B343" s="728" t="s">
        <v>25</v>
      </c>
      <c r="C343" s="728"/>
      <c r="D343" s="728" t="s">
        <v>955</v>
      </c>
      <c r="H343" s="444"/>
      <c r="I343" s="444"/>
      <c r="J343" s="444"/>
      <c r="K343" s="444"/>
      <c r="L343" s="444"/>
      <c r="M343" s="444"/>
      <c r="N343" s="444"/>
      <c r="O343" s="444"/>
      <c r="P343" s="444"/>
      <c r="Q343" s="444"/>
      <c r="R343" s="444"/>
      <c r="S343" s="444"/>
      <c r="T343" s="444"/>
    </row>
    <row r="344" spans="1:20">
      <c r="A344" s="382"/>
      <c r="B344" s="728"/>
      <c r="C344" s="728" t="s">
        <v>17</v>
      </c>
      <c r="D344" s="728" t="s">
        <v>955</v>
      </c>
      <c r="H344" s="444"/>
      <c r="I344" s="444"/>
      <c r="J344" s="444"/>
      <c r="K344" s="444"/>
      <c r="L344" s="444"/>
      <c r="M344" s="444"/>
      <c r="N344" s="444"/>
      <c r="O344" s="444"/>
      <c r="P344" s="444"/>
      <c r="Q344" s="444"/>
      <c r="R344" s="444"/>
      <c r="S344" s="444"/>
      <c r="T344" s="444"/>
    </row>
    <row r="345" spans="1:20">
      <c r="A345" s="382"/>
      <c r="B345" s="728"/>
      <c r="C345" s="728"/>
      <c r="D345" s="728" t="s">
        <v>955</v>
      </c>
      <c r="H345" s="444"/>
      <c r="I345" s="444"/>
      <c r="J345" s="444"/>
      <c r="K345" s="444"/>
      <c r="L345" s="444"/>
      <c r="M345" s="444"/>
      <c r="N345" s="444"/>
      <c r="O345" s="444"/>
      <c r="P345" s="444"/>
      <c r="Q345" s="444"/>
      <c r="R345" s="444"/>
      <c r="S345" s="444"/>
      <c r="T345" s="444"/>
    </row>
    <row r="346" spans="1:20">
      <c r="A346" s="382"/>
      <c r="B346" s="728"/>
      <c r="C346" s="728" t="s">
        <v>18</v>
      </c>
      <c r="D346" s="728" t="s">
        <v>955</v>
      </c>
      <c r="H346" s="445"/>
      <c r="I346" s="445"/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>
        <v>0</v>
      </c>
    </row>
    <row r="347" spans="1:20">
      <c r="A347" s="382"/>
      <c r="B347" s="332"/>
      <c r="C347" s="728" t="s">
        <v>19</v>
      </c>
      <c r="D347" s="728" t="s">
        <v>955</v>
      </c>
      <c r="H347" s="444"/>
      <c r="I347" s="444"/>
      <c r="J347" s="444"/>
      <c r="K347" s="444"/>
      <c r="L347" s="444"/>
      <c r="M347" s="444"/>
      <c r="N347" s="444"/>
      <c r="O347" s="444"/>
      <c r="P347" s="444"/>
      <c r="Q347" s="444"/>
      <c r="R347" s="444"/>
      <c r="S347" s="444"/>
      <c r="T347" s="444">
        <v>0</v>
      </c>
    </row>
    <row r="348" spans="1:20">
      <c r="A348" s="382"/>
      <c r="B348" s="332"/>
      <c r="C348" s="728" t="s">
        <v>947</v>
      </c>
      <c r="D348" s="728" t="s">
        <v>955</v>
      </c>
      <c r="H348" s="444">
        <v>0</v>
      </c>
      <c r="I348" s="444">
        <v>0</v>
      </c>
      <c r="J348" s="444">
        <v>0</v>
      </c>
      <c r="K348" s="444">
        <v>0</v>
      </c>
      <c r="L348" s="444">
        <v>0</v>
      </c>
      <c r="M348" s="444">
        <v>0</v>
      </c>
      <c r="N348" s="444">
        <v>0</v>
      </c>
      <c r="O348" s="444">
        <v>0</v>
      </c>
      <c r="P348" s="444">
        <v>0</v>
      </c>
      <c r="Q348" s="444">
        <v>0</v>
      </c>
      <c r="R348" s="444">
        <v>0</v>
      </c>
      <c r="S348" s="444">
        <v>0</v>
      </c>
      <c r="T348" s="444">
        <v>0</v>
      </c>
    </row>
    <row r="349" spans="1:20">
      <c r="A349" s="382"/>
      <c r="B349" s="332"/>
      <c r="C349" s="728" t="s">
        <v>20</v>
      </c>
      <c r="D349" s="728" t="s">
        <v>955</v>
      </c>
      <c r="H349" s="444"/>
      <c r="I349" s="444"/>
      <c r="J349" s="444"/>
      <c r="K349" s="444"/>
      <c r="L349" s="444"/>
      <c r="M349" s="444"/>
      <c r="N349" s="444"/>
      <c r="O349" s="444"/>
      <c r="P349" s="444"/>
      <c r="Q349" s="444"/>
      <c r="R349" s="444"/>
      <c r="S349" s="444"/>
      <c r="T349" s="444">
        <v>0</v>
      </c>
    </row>
    <row r="350" spans="1:20">
      <c r="A350" s="382"/>
      <c r="B350" s="332"/>
      <c r="C350" s="332"/>
      <c r="D350" s="332"/>
      <c r="H350" s="1195"/>
      <c r="I350" s="1195"/>
      <c r="J350" s="1195"/>
      <c r="K350" s="1195"/>
      <c r="L350" s="1195"/>
      <c r="M350" s="1195"/>
      <c r="N350" s="1195"/>
      <c r="O350" s="1195"/>
      <c r="P350" s="1195"/>
      <c r="Q350" s="1195"/>
      <c r="R350" s="1195"/>
      <c r="S350" s="1195"/>
      <c r="T350" s="1195"/>
    </row>
    <row r="351" spans="1:20">
      <c r="A351" s="382"/>
      <c r="B351" s="332" t="s">
        <v>547</v>
      </c>
      <c r="C351" s="332"/>
      <c r="D351" s="332"/>
      <c r="H351" s="1195"/>
      <c r="I351" s="1195"/>
      <c r="J351" s="1195"/>
      <c r="K351" s="1195"/>
      <c r="L351" s="1195"/>
      <c r="M351" s="1195"/>
      <c r="N351" s="1195"/>
      <c r="O351" s="1195"/>
      <c r="P351" s="1195"/>
      <c r="Q351" s="1195"/>
      <c r="R351" s="1195"/>
      <c r="S351" s="1195"/>
      <c r="T351" s="1195"/>
    </row>
    <row r="352" spans="1:20">
      <c r="A352" s="382"/>
      <c r="C352" s="332" t="s">
        <v>16</v>
      </c>
      <c r="D352" s="332"/>
      <c r="H352" s="1195"/>
      <c r="I352" s="1195"/>
      <c r="J352" s="1195"/>
      <c r="K352" s="1195"/>
      <c r="L352" s="1195"/>
      <c r="M352" s="1195"/>
      <c r="N352" s="1195"/>
      <c r="O352" s="1195"/>
      <c r="P352" s="1195"/>
      <c r="Q352" s="1195"/>
      <c r="R352" s="1195"/>
      <c r="S352" s="1195"/>
      <c r="T352" s="1195">
        <v>0</v>
      </c>
    </row>
    <row r="353" spans="1:21">
      <c r="A353" s="382"/>
      <c r="B353" s="728"/>
      <c r="C353" s="728" t="s">
        <v>18</v>
      </c>
      <c r="D353" s="728"/>
      <c r="H353" s="1195"/>
      <c r="I353" s="1195"/>
      <c r="J353" s="1195"/>
      <c r="K353" s="1195"/>
      <c r="L353" s="1195"/>
      <c r="M353" s="1195"/>
      <c r="N353" s="1195"/>
      <c r="O353" s="1195"/>
      <c r="P353" s="1195"/>
      <c r="Q353" s="1195"/>
      <c r="R353" s="1195"/>
      <c r="S353" s="1195"/>
      <c r="T353" s="1195">
        <v>0</v>
      </c>
    </row>
    <row r="354" spans="1:21">
      <c r="A354" s="382"/>
      <c r="B354" s="728"/>
      <c r="C354" s="332" t="s">
        <v>30</v>
      </c>
      <c r="D354" s="332"/>
      <c r="H354" s="1195"/>
      <c r="I354" s="1195"/>
      <c r="J354" s="1195"/>
      <c r="K354" s="1195"/>
      <c r="L354" s="1195"/>
      <c r="M354" s="1195"/>
      <c r="N354" s="1195"/>
      <c r="O354" s="1195"/>
      <c r="P354" s="1195"/>
      <c r="Q354" s="1195"/>
      <c r="R354" s="1195"/>
      <c r="S354" s="1195"/>
      <c r="T354" s="1195">
        <v>0</v>
      </c>
    </row>
    <row r="355" spans="1:21">
      <c r="A355" s="382"/>
      <c r="B355" s="728"/>
      <c r="C355" s="728" t="s">
        <v>947</v>
      </c>
      <c r="D355" s="332"/>
      <c r="H355" s="1195">
        <v>0</v>
      </c>
      <c r="I355" s="1195">
        <v>0</v>
      </c>
      <c r="J355" s="1195">
        <v>0</v>
      </c>
      <c r="K355" s="1195">
        <v>0</v>
      </c>
      <c r="L355" s="1195">
        <v>0</v>
      </c>
      <c r="M355" s="1195">
        <v>0</v>
      </c>
      <c r="N355" s="1195">
        <v>0</v>
      </c>
      <c r="O355" s="1195">
        <v>0</v>
      </c>
      <c r="P355" s="1195">
        <v>0</v>
      </c>
      <c r="Q355" s="1195">
        <v>0</v>
      </c>
      <c r="R355" s="1195">
        <v>0</v>
      </c>
      <c r="S355" s="1195">
        <v>0</v>
      </c>
      <c r="T355" s="444">
        <v>0</v>
      </c>
    </row>
    <row r="356" spans="1:21">
      <c r="A356" s="382"/>
      <c r="B356" s="332"/>
      <c r="C356" s="332" t="s">
        <v>59</v>
      </c>
      <c r="D356" s="332"/>
      <c r="H356" s="1195"/>
      <c r="I356" s="1195"/>
      <c r="J356" s="1195"/>
      <c r="K356" s="1195"/>
      <c r="L356" s="1195"/>
      <c r="M356" s="1195"/>
      <c r="N356" s="1195"/>
      <c r="O356" s="1195"/>
      <c r="P356" s="1195"/>
      <c r="Q356" s="1195"/>
      <c r="R356" s="1195"/>
      <c r="S356" s="1195"/>
      <c r="T356" s="1195">
        <v>0</v>
      </c>
    </row>
    <row r="357" spans="1:21">
      <c r="A357" s="868"/>
      <c r="B357" s="332"/>
      <c r="C357" s="728" t="s">
        <v>60</v>
      </c>
      <c r="D357" s="728"/>
      <c r="H357" s="1195"/>
      <c r="I357" s="1195"/>
      <c r="J357" s="1195"/>
      <c r="K357" s="1195"/>
      <c r="L357" s="1195"/>
      <c r="M357" s="1195"/>
      <c r="N357" s="1195"/>
      <c r="O357" s="1195"/>
      <c r="P357" s="1195"/>
      <c r="Q357" s="1195"/>
      <c r="R357" s="1195"/>
      <c r="S357" s="1195"/>
      <c r="T357" s="1195">
        <v>0</v>
      </c>
    </row>
    <row r="358" spans="1:21">
      <c r="A358" s="382"/>
      <c r="B358" s="332"/>
      <c r="C358" s="728" t="s">
        <v>31</v>
      </c>
      <c r="D358" s="728"/>
      <c r="H358" s="1195"/>
      <c r="I358" s="1195"/>
      <c r="J358" s="1195"/>
      <c r="K358" s="1195"/>
      <c r="L358" s="1195"/>
      <c r="M358" s="1195"/>
      <c r="N358" s="1195"/>
      <c r="O358" s="1195"/>
      <c r="P358" s="1195"/>
      <c r="Q358" s="1195"/>
      <c r="R358" s="1195"/>
      <c r="S358" s="1195"/>
      <c r="T358" s="1195">
        <v>0</v>
      </c>
    </row>
    <row r="359" spans="1:21">
      <c r="A359" s="382"/>
      <c r="B359" s="332"/>
      <c r="C359" s="728"/>
      <c r="D359" s="728"/>
      <c r="H359" s="1195"/>
      <c r="I359" s="1195"/>
      <c r="J359" s="1195"/>
      <c r="K359" s="1195"/>
      <c r="L359" s="1195"/>
      <c r="M359" s="1195"/>
      <c r="N359" s="1195"/>
      <c r="O359" s="1195"/>
      <c r="P359" s="1195"/>
      <c r="Q359" s="1195"/>
      <c r="R359" s="1195"/>
      <c r="S359" s="1195"/>
      <c r="T359" s="1195"/>
    </row>
    <row r="360" spans="1:21">
      <c r="A360" s="873"/>
      <c r="B360" s="332"/>
      <c r="C360" s="728"/>
      <c r="D360" s="728"/>
      <c r="H360" s="1195"/>
      <c r="I360" s="1195"/>
      <c r="J360" s="1195"/>
      <c r="K360" s="1195"/>
      <c r="L360" s="1195"/>
      <c r="M360" s="1195"/>
      <c r="N360" s="1195"/>
      <c r="O360" s="1195"/>
      <c r="P360" s="1195"/>
      <c r="Q360" s="1195"/>
      <c r="R360" s="1195"/>
      <c r="S360" s="1195"/>
      <c r="T360" s="1195"/>
    </row>
    <row r="361" spans="1:21">
      <c r="A361" s="382"/>
      <c r="B361" s="332"/>
      <c r="C361" s="728"/>
      <c r="D361" s="728"/>
      <c r="H361" s="1195"/>
      <c r="I361" s="1195"/>
      <c r="J361" s="1195"/>
      <c r="K361" s="1195"/>
      <c r="L361" s="1195"/>
      <c r="M361" s="1195"/>
      <c r="N361" s="1195"/>
      <c r="O361" s="1195"/>
      <c r="P361" s="1195"/>
      <c r="Q361" s="1195"/>
      <c r="R361" s="1195"/>
      <c r="S361" s="1195"/>
      <c r="T361" s="1195"/>
    </row>
    <row r="362" spans="1:21">
      <c r="A362" s="382"/>
      <c r="B362" s="332" t="s">
        <v>659</v>
      </c>
      <c r="C362" s="728" t="s">
        <v>16</v>
      </c>
      <c r="D362" s="728"/>
      <c r="H362" s="1195">
        <v>56870929.996578529</v>
      </c>
      <c r="I362" s="1195">
        <v>47852604.040241264</v>
      </c>
      <c r="J362" s="1195">
        <v>39152717.716333993</v>
      </c>
      <c r="K362" s="1195">
        <v>25751123.567625176</v>
      </c>
      <c r="L362" s="1195">
        <v>18066088.722015291</v>
      </c>
      <c r="M362" s="1195">
        <v>15688919.140156083</v>
      </c>
      <c r="N362" s="1195">
        <v>15129789.687461648</v>
      </c>
      <c r="O362" s="1195">
        <v>15252548.972553685</v>
      </c>
      <c r="P362" s="1195">
        <v>17193021.016680527</v>
      </c>
      <c r="Q362" s="1195">
        <v>22470501.02578963</v>
      </c>
      <c r="R362" s="1195">
        <v>39287892.191474937</v>
      </c>
      <c r="S362" s="1195">
        <v>54256382.740487561</v>
      </c>
      <c r="T362" s="1195">
        <v>366972518.81739831</v>
      </c>
    </row>
    <row r="363" spans="1:21">
      <c r="A363" s="382"/>
      <c r="B363" s="332"/>
      <c r="C363" s="332" t="s">
        <v>17</v>
      </c>
      <c r="D363" s="332"/>
      <c r="H363" s="1195">
        <v>25483005.84</v>
      </c>
      <c r="I363" s="1195">
        <v>21243415.600000001</v>
      </c>
      <c r="J363" s="1195">
        <v>16641344.98</v>
      </c>
      <c r="K363" s="1195">
        <v>5184681.76</v>
      </c>
      <c r="L363" s="1195">
        <v>3168410.9499999997</v>
      </c>
      <c r="M363" s="1195">
        <v>1939664.3600000003</v>
      </c>
      <c r="N363" s="1195">
        <v>1600211.62</v>
      </c>
      <c r="O363" s="1195">
        <v>1478852.3299999998</v>
      </c>
      <c r="P363" s="1195">
        <v>1714308.8</v>
      </c>
      <c r="Q363" s="1195">
        <v>4120778.7400000007</v>
      </c>
      <c r="R363" s="1195">
        <v>15243493.960000001</v>
      </c>
      <c r="S363" s="1195">
        <v>24209208.969999999</v>
      </c>
      <c r="T363" s="1195">
        <v>122027377.91</v>
      </c>
    </row>
    <row r="364" spans="1:21">
      <c r="A364" s="382"/>
      <c r="B364" s="332"/>
      <c r="C364" s="332" t="s">
        <v>548</v>
      </c>
      <c r="D364" s="332"/>
      <c r="H364" s="1195">
        <v>12642.44154</v>
      </c>
      <c r="I364" s="1195">
        <v>10604.791539999998</v>
      </c>
      <c r="J364" s="1195">
        <v>10187.171539999999</v>
      </c>
      <c r="K364" s="1195">
        <v>10952.96154</v>
      </c>
      <c r="L364" s="1195">
        <v>10391.451539999998</v>
      </c>
      <c r="M364" s="1195">
        <v>7134.0015399999993</v>
      </c>
      <c r="N364" s="1195">
        <v>7406.8715400000001</v>
      </c>
      <c r="O364" s="1195">
        <v>6630.6415400000005</v>
      </c>
      <c r="P364" s="1195">
        <v>8972.06</v>
      </c>
      <c r="Q364" s="1195">
        <v>9345.2099999999991</v>
      </c>
      <c r="R364" s="1195">
        <v>10197.85</v>
      </c>
      <c r="S364" s="1195">
        <v>10450.199999999999</v>
      </c>
      <c r="T364" s="1195">
        <v>114915.65232000001</v>
      </c>
    </row>
    <row r="365" spans="1:21">
      <c r="A365" s="382"/>
      <c r="B365" s="332"/>
      <c r="C365" s="332" t="s">
        <v>18</v>
      </c>
      <c r="D365" s="332"/>
      <c r="H365" s="1195">
        <v>71149471.149999991</v>
      </c>
      <c r="I365" s="1195">
        <v>59520347.009999998</v>
      </c>
      <c r="J365" s="1195">
        <v>46771199.859999999</v>
      </c>
      <c r="K365" s="1195">
        <v>31084617.970000003</v>
      </c>
      <c r="L365" s="1195">
        <v>19085301.219999999</v>
      </c>
      <c r="M365" s="1195">
        <v>11653234.24</v>
      </c>
      <c r="N365" s="1195">
        <v>9513387.3100000005</v>
      </c>
      <c r="O365" s="1195">
        <v>8787335.7999999989</v>
      </c>
      <c r="P365" s="1195">
        <v>10242910.779999999</v>
      </c>
      <c r="Q365" s="1195">
        <v>24577715.139999997</v>
      </c>
      <c r="R365" s="1195">
        <v>42758756.929999992</v>
      </c>
      <c r="S365" s="1195">
        <v>67579220.939999998</v>
      </c>
      <c r="T365" s="1195">
        <v>402723498.35000002</v>
      </c>
    </row>
    <row r="366" spans="1:21">
      <c r="A366" s="382"/>
      <c r="B366" s="728"/>
      <c r="C366" s="728"/>
      <c r="D366" s="728"/>
      <c r="H366" s="1196"/>
      <c r="I366" s="1196"/>
      <c r="J366" s="1196"/>
      <c r="K366" s="1196"/>
      <c r="L366" s="1196"/>
      <c r="M366" s="1196"/>
      <c r="N366" s="1196"/>
      <c r="O366" s="1196"/>
      <c r="P366" s="1196"/>
      <c r="Q366" s="1196"/>
      <c r="R366" s="1196"/>
      <c r="S366" s="1196"/>
      <c r="T366" s="1196"/>
    </row>
    <row r="367" spans="1:21">
      <c r="A367" s="382"/>
      <c r="B367" s="728"/>
      <c r="C367" s="332" t="s">
        <v>659</v>
      </c>
      <c r="D367" s="332"/>
      <c r="H367" s="1195">
        <v>153516049.42811853</v>
      </c>
      <c r="I367" s="1195">
        <v>128626971.44178125</v>
      </c>
      <c r="J367" s="1195">
        <v>102575449.72787398</v>
      </c>
      <c r="K367" s="1195">
        <v>62031376.259165183</v>
      </c>
      <c r="L367" s="1195">
        <v>40330192.343555287</v>
      </c>
      <c r="M367" s="1195">
        <v>29288951.741696082</v>
      </c>
      <c r="N367" s="1195">
        <v>26250795.48900165</v>
      </c>
      <c r="O367" s="1195">
        <v>25525367.744093686</v>
      </c>
      <c r="P367" s="1195">
        <v>29159212.656680524</v>
      </c>
      <c r="Q367" s="1195">
        <v>51178340.11578963</v>
      </c>
      <c r="R367" s="1195">
        <v>97300340.931474924</v>
      </c>
      <c r="S367" s="1195">
        <v>146055262.85048756</v>
      </c>
      <c r="T367" s="1195">
        <v>891838310.72971833</v>
      </c>
      <c r="U367" s="95">
        <f>+T367</f>
        <v>891838310.72971833</v>
      </c>
    </row>
    <row r="368" spans="1:21">
      <c r="A368" s="382"/>
      <c r="C368" s="728" t="s">
        <v>947</v>
      </c>
      <c r="H368" s="1195">
        <v>1060442</v>
      </c>
      <c r="I368" s="1195">
        <v>1062131</v>
      </c>
      <c r="J368" s="1195">
        <v>1064874</v>
      </c>
      <c r="K368" s="1195">
        <v>1065171</v>
      </c>
      <c r="L368" s="1195">
        <v>1065936</v>
      </c>
      <c r="M368" s="1195">
        <v>1066262</v>
      </c>
      <c r="N368" s="1195">
        <v>1064274</v>
      </c>
      <c r="O368" s="1195">
        <v>1065895</v>
      </c>
      <c r="P368" s="1195">
        <v>1066810</v>
      </c>
      <c r="Q368" s="1195">
        <v>1070276</v>
      </c>
      <c r="R368" s="1195">
        <v>1074544</v>
      </c>
      <c r="S368" s="1195">
        <v>1079495</v>
      </c>
      <c r="T368" s="444">
        <v>1067175.8333333333</v>
      </c>
    </row>
    <row r="369" spans="1:21">
      <c r="A369" s="382"/>
      <c r="C369" s="15" t="s">
        <v>59</v>
      </c>
      <c r="H369" s="1195">
        <v>23419613</v>
      </c>
      <c r="I369" s="1195">
        <v>19589842</v>
      </c>
      <c r="J369" s="1195">
        <v>15410562</v>
      </c>
      <c r="K369" s="1195">
        <v>11436671</v>
      </c>
      <c r="L369" s="1195">
        <v>8280347</v>
      </c>
      <c r="M369" s="1195">
        <v>6402181</v>
      </c>
      <c r="N369" s="1195">
        <v>6044729</v>
      </c>
      <c r="O369" s="1195">
        <v>5961348</v>
      </c>
      <c r="P369" s="1195">
        <v>5554901</v>
      </c>
      <c r="Q369" s="1195">
        <v>8972316</v>
      </c>
      <c r="R369" s="1195">
        <v>14387329</v>
      </c>
      <c r="S369" s="1195">
        <v>22424710</v>
      </c>
      <c r="T369" s="1195">
        <v>147884549</v>
      </c>
    </row>
    <row r="370" spans="1:21">
      <c r="A370" s="868"/>
      <c r="C370" s="15" t="s">
        <v>60</v>
      </c>
      <c r="H370" s="1196">
        <v>5699269</v>
      </c>
      <c r="I370" s="1196">
        <v>4707885</v>
      </c>
      <c r="J370" s="1196">
        <v>4657187</v>
      </c>
      <c r="K370" s="1196">
        <v>4358357</v>
      </c>
      <c r="L370" s="1196">
        <v>4087464</v>
      </c>
      <c r="M370" s="1196">
        <v>4068339</v>
      </c>
      <c r="N370" s="1196">
        <v>4296930</v>
      </c>
      <c r="O370" s="1196">
        <v>4398025</v>
      </c>
      <c r="P370" s="1196">
        <v>4096801</v>
      </c>
      <c r="Q370" s="1196">
        <v>4521706</v>
      </c>
      <c r="R370" s="1196">
        <v>5011344</v>
      </c>
      <c r="S370" s="1196">
        <v>5709927</v>
      </c>
      <c r="T370" s="1196">
        <v>55613234</v>
      </c>
    </row>
    <row r="371" spans="1:21">
      <c r="A371" s="382"/>
      <c r="C371" s="15" t="s">
        <v>33</v>
      </c>
      <c r="H371" s="1195">
        <v>29118882</v>
      </c>
      <c r="I371" s="1195">
        <v>24297727</v>
      </c>
      <c r="J371" s="1195">
        <v>20067749</v>
      </c>
      <c r="K371" s="1195">
        <v>15795028</v>
      </c>
      <c r="L371" s="1195">
        <v>12367811</v>
      </c>
      <c r="M371" s="1195">
        <v>10470520</v>
      </c>
      <c r="N371" s="1195">
        <v>10341659</v>
      </c>
      <c r="O371" s="1195">
        <v>10359373</v>
      </c>
      <c r="P371" s="1195">
        <v>9651702</v>
      </c>
      <c r="Q371" s="1195">
        <v>13494022</v>
      </c>
      <c r="R371" s="1195">
        <v>19398673</v>
      </c>
      <c r="S371" s="1195">
        <v>28134637</v>
      </c>
      <c r="T371" s="1195">
        <v>203497783</v>
      </c>
      <c r="U371" s="95"/>
    </row>
    <row r="372" spans="1:21">
      <c r="A372" s="214"/>
      <c r="B372" s="214"/>
      <c r="C372" s="214" t="s">
        <v>964</v>
      </c>
      <c r="D372" s="214"/>
      <c r="E372" s="214"/>
      <c r="F372" s="214"/>
      <c r="G372" s="214"/>
      <c r="H372" s="363">
        <v>0</v>
      </c>
      <c r="I372" s="363">
        <v>0</v>
      </c>
      <c r="J372" s="363">
        <v>0</v>
      </c>
      <c r="K372" s="363">
        <v>0</v>
      </c>
      <c r="L372" s="363">
        <v>0</v>
      </c>
      <c r="M372" s="363">
        <v>0</v>
      </c>
      <c r="N372" s="363">
        <v>0</v>
      </c>
      <c r="O372" s="363">
        <v>0</v>
      </c>
      <c r="P372" s="363">
        <v>0</v>
      </c>
      <c r="Q372" s="363">
        <v>0</v>
      </c>
      <c r="R372" s="363">
        <v>0</v>
      </c>
      <c r="S372" s="363">
        <v>0</v>
      </c>
      <c r="T372" s="363">
        <f>+T368-Y77</f>
        <v>0.99999999976716936</v>
      </c>
    </row>
    <row r="373" spans="1:21" ht="13.5" thickBot="1"/>
    <row r="374" spans="1:21" ht="16.5" thickBot="1">
      <c r="A374" s="299"/>
      <c r="B374" s="334" t="s">
        <v>151</v>
      </c>
      <c r="C374" s="335" t="s">
        <v>965</v>
      </c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447" t="s">
        <v>965</v>
      </c>
    </row>
    <row r="375" spans="1:21" ht="15.75">
      <c r="A375" s="299"/>
      <c r="B375" s="336" t="s">
        <v>945</v>
      </c>
      <c r="C375" s="337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448"/>
    </row>
    <row r="376" spans="1:21" ht="15.75">
      <c r="A376" s="299"/>
      <c r="B376" s="338"/>
      <c r="C376" s="339" t="s">
        <v>322</v>
      </c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449">
        <f>+$S$21</f>
        <v>1049856</v>
      </c>
    </row>
    <row r="377" spans="1:21" ht="15.75">
      <c r="A377" s="299"/>
      <c r="B377" s="338"/>
      <c r="C377" s="339" t="s">
        <v>509</v>
      </c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449">
        <f>+$S$48</f>
        <v>448</v>
      </c>
    </row>
    <row r="378" spans="1:21" ht="16.5" thickBot="1">
      <c r="A378" s="299"/>
      <c r="B378" s="340"/>
      <c r="C378" s="341" t="s">
        <v>810</v>
      </c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450">
        <f>+$S$66</f>
        <v>1</v>
      </c>
    </row>
    <row r="379" spans="1:21" ht="15.75">
      <c r="A379" s="299"/>
      <c r="B379" s="338"/>
      <c r="C379" s="339" t="s">
        <v>103</v>
      </c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449">
        <f t="shared" ref="T379" si="18">SUM(T376:T378)</f>
        <v>1050305</v>
      </c>
    </row>
    <row r="380" spans="1:21" ht="15.75">
      <c r="A380" s="299"/>
      <c r="B380" s="338"/>
      <c r="C380" s="33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449"/>
    </row>
    <row r="381" spans="1:21" ht="15.75">
      <c r="A381" s="299"/>
      <c r="B381" s="336" t="s">
        <v>949</v>
      </c>
      <c r="C381" s="337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448"/>
    </row>
    <row r="382" spans="1:21" ht="16.5" thickBot="1">
      <c r="A382" s="299"/>
      <c r="B382" s="340"/>
      <c r="C382" s="341" t="s">
        <v>680</v>
      </c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450">
        <f>+$S$102</f>
        <v>24</v>
      </c>
    </row>
    <row r="383" spans="1:21" ht="15.75">
      <c r="A383" s="299"/>
      <c r="B383" s="338"/>
      <c r="C383" s="339" t="s">
        <v>104</v>
      </c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449">
        <f t="shared" ref="T383" si="19">SUM(T382:T382)</f>
        <v>24</v>
      </c>
    </row>
    <row r="384" spans="1:21" ht="15.75">
      <c r="A384" s="299"/>
      <c r="B384" s="338"/>
      <c r="C384" s="33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449"/>
    </row>
    <row r="385" spans="1:20" ht="15.75">
      <c r="A385" s="299"/>
      <c r="B385" s="336"/>
      <c r="C385" s="339" t="s">
        <v>690</v>
      </c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449"/>
    </row>
    <row r="386" spans="1:20" ht="16.5" thickBot="1">
      <c r="A386" s="299"/>
      <c r="B386" s="336"/>
      <c r="C386" s="341" t="s">
        <v>114</v>
      </c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450"/>
    </row>
    <row r="387" spans="1:20" ht="15.75">
      <c r="A387" s="299"/>
      <c r="B387" s="877"/>
      <c r="C387" s="339" t="s">
        <v>966</v>
      </c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449"/>
    </row>
    <row r="388" spans="1:20" ht="15.75">
      <c r="A388" s="299"/>
      <c r="B388" s="336"/>
      <c r="C388" s="337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448"/>
    </row>
    <row r="389" spans="1:20" ht="15.75">
      <c r="A389" s="299"/>
      <c r="B389" s="336" t="s">
        <v>953</v>
      </c>
      <c r="C389" s="337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448"/>
    </row>
    <row r="390" spans="1:20" ht="15.75">
      <c r="A390" s="299"/>
      <c r="B390" s="336"/>
      <c r="C390" s="337" t="s">
        <v>890</v>
      </c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448">
        <f>+$S$129</f>
        <v>7</v>
      </c>
    </row>
    <row r="391" spans="1:20" ht="15.75">
      <c r="A391" s="299"/>
      <c r="B391" s="336"/>
      <c r="C391" s="337" t="s">
        <v>956</v>
      </c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448">
        <f>+$S$138</f>
        <v>0</v>
      </c>
    </row>
    <row r="392" spans="1:20" ht="15.75">
      <c r="A392" s="299"/>
      <c r="B392" s="336"/>
      <c r="C392" s="337" t="s">
        <v>567</v>
      </c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448">
        <f>+$S$156</f>
        <v>0</v>
      </c>
    </row>
    <row r="393" spans="1:20" ht="15.75">
      <c r="A393" s="299"/>
      <c r="B393" s="336"/>
      <c r="C393" s="337" t="s">
        <v>566</v>
      </c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448">
        <f>+$S$183</f>
        <v>0</v>
      </c>
    </row>
    <row r="394" spans="1:20" ht="15.75">
      <c r="A394" s="299"/>
      <c r="B394" s="336"/>
      <c r="C394" s="337" t="s">
        <v>692</v>
      </c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448">
        <f>+$S$147</f>
        <v>1</v>
      </c>
    </row>
    <row r="395" spans="1:20" ht="15.75">
      <c r="A395" s="299"/>
      <c r="B395" s="336"/>
      <c r="C395" s="337" t="s">
        <v>681</v>
      </c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448">
        <f>+$S$165</f>
        <v>1141</v>
      </c>
    </row>
    <row r="396" spans="1:20" ht="16.5" thickBot="1">
      <c r="A396" s="299"/>
      <c r="B396" s="342"/>
      <c r="C396" s="343" t="s">
        <v>895</v>
      </c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451">
        <f>+$S$174</f>
        <v>0</v>
      </c>
    </row>
    <row r="397" spans="1:20" ht="15.75">
      <c r="A397" s="299"/>
      <c r="B397" s="338"/>
      <c r="C397" s="339" t="s">
        <v>105</v>
      </c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449">
        <f t="shared" ref="T397" si="20">SUM(T390:T396)</f>
        <v>1149</v>
      </c>
    </row>
    <row r="398" spans="1:20" ht="15.75">
      <c r="A398" s="299"/>
      <c r="B398" s="336"/>
      <c r="C398" s="337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448"/>
    </row>
    <row r="399" spans="1:20" ht="15.75">
      <c r="A399" s="299"/>
      <c r="B399" s="338"/>
      <c r="C399" s="339" t="s">
        <v>967</v>
      </c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449">
        <f t="shared" ref="T399" si="21">+T397+T387+T379+T383</f>
        <v>1051478</v>
      </c>
    </row>
    <row r="400" spans="1:20" ht="16.5" thickBot="1">
      <c r="A400" s="299"/>
      <c r="B400" s="342"/>
      <c r="C400" s="343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451"/>
    </row>
    <row r="401" spans="1:20" ht="16.5" thickBot="1">
      <c r="A401" s="299"/>
      <c r="B401" s="338"/>
      <c r="C401" s="33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449"/>
    </row>
    <row r="402" spans="1:20" ht="15.75">
      <c r="A402" s="299"/>
      <c r="B402" s="344" t="s">
        <v>968</v>
      </c>
      <c r="C402" s="345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452"/>
    </row>
    <row r="403" spans="1:20" ht="16.5" thickBot="1">
      <c r="A403" s="299"/>
      <c r="B403" s="346" t="s">
        <v>945</v>
      </c>
      <c r="C403" s="347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453"/>
    </row>
    <row r="404" spans="1:20" ht="15.75">
      <c r="A404" s="299"/>
      <c r="B404" s="338"/>
      <c r="C404" s="339" t="s">
        <v>969</v>
      </c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449">
        <f>+$S$244</f>
        <v>27981</v>
      </c>
    </row>
    <row r="405" spans="1:20" ht="15.75">
      <c r="A405" s="299"/>
      <c r="B405" s="338"/>
      <c r="C405" s="339" t="s">
        <v>509</v>
      </c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449">
        <f>+$S$253</f>
        <v>24</v>
      </c>
    </row>
    <row r="406" spans="1:20" ht="16.5" thickBot="1">
      <c r="A406" s="299"/>
      <c r="B406" s="340"/>
      <c r="C406" s="341" t="s">
        <v>810</v>
      </c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450">
        <f>+$S$262</f>
        <v>1</v>
      </c>
    </row>
    <row r="407" spans="1:20" ht="15.75">
      <c r="A407" s="299"/>
      <c r="B407" s="338"/>
      <c r="C407" s="339" t="s">
        <v>106</v>
      </c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449">
        <f t="shared" ref="T407" si="22">SUM(T404:T406)</f>
        <v>28006</v>
      </c>
    </row>
    <row r="408" spans="1:20" ht="15.75">
      <c r="A408" s="299"/>
      <c r="B408" s="338"/>
      <c r="C408" s="33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449"/>
    </row>
    <row r="409" spans="1:20" ht="15.75">
      <c r="A409" s="299"/>
      <c r="B409" s="336"/>
      <c r="C409" s="339" t="s">
        <v>690</v>
      </c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449"/>
    </row>
    <row r="410" spans="1:20" ht="16.5" thickBot="1">
      <c r="A410" s="299"/>
      <c r="B410" s="336"/>
      <c r="C410" s="341" t="s">
        <v>114</v>
      </c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450"/>
    </row>
    <row r="411" spans="1:20" ht="15.75">
      <c r="A411" s="299"/>
      <c r="B411" s="877"/>
      <c r="C411" s="339" t="s">
        <v>966</v>
      </c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449"/>
    </row>
    <row r="412" spans="1:20" ht="15.75">
      <c r="A412" s="299"/>
      <c r="B412" s="336"/>
      <c r="C412" s="337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448"/>
    </row>
    <row r="413" spans="1:20" ht="15.75">
      <c r="A413" s="299"/>
      <c r="B413" s="336"/>
      <c r="C413" s="337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448"/>
    </row>
    <row r="414" spans="1:20" ht="15.75">
      <c r="A414" s="299"/>
      <c r="B414" s="336" t="s">
        <v>949</v>
      </c>
      <c r="C414" s="337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448"/>
    </row>
    <row r="415" spans="1:20" ht="15.75">
      <c r="A415" s="299"/>
      <c r="B415" s="336"/>
      <c r="C415" s="339" t="s">
        <v>970</v>
      </c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449">
        <f>+$S$289</f>
        <v>0</v>
      </c>
    </row>
    <row r="416" spans="1:20" ht="16.5" thickBot="1">
      <c r="A416" s="299"/>
      <c r="B416" s="340"/>
      <c r="C416" s="341" t="s">
        <v>680</v>
      </c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450">
        <f>+$S$280</f>
        <v>5</v>
      </c>
    </row>
    <row r="417" spans="1:20" ht="15.75">
      <c r="A417" s="299"/>
      <c r="B417" s="338"/>
      <c r="C417" s="339" t="s">
        <v>107</v>
      </c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449">
        <f t="shared" ref="T417" si="23">SUM(T415:T416)</f>
        <v>5</v>
      </c>
    </row>
    <row r="418" spans="1:20" ht="15.75">
      <c r="A418" s="299"/>
      <c r="B418" s="338"/>
      <c r="C418" s="33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449"/>
    </row>
    <row r="419" spans="1:20" ht="15.75">
      <c r="A419" s="299"/>
      <c r="B419" s="336" t="s">
        <v>953</v>
      </c>
      <c r="C419" s="337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448"/>
    </row>
    <row r="420" spans="1:20" ht="15.75">
      <c r="A420" s="299"/>
      <c r="B420" s="336"/>
      <c r="C420" s="337" t="s">
        <v>971</v>
      </c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448">
        <f>+$S$316</f>
        <v>2</v>
      </c>
    </row>
    <row r="421" spans="1:20" ht="16.5" thickBot="1">
      <c r="A421" s="299"/>
      <c r="B421" s="342"/>
      <c r="C421" s="343" t="s">
        <v>90</v>
      </c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451">
        <f>+$S$307</f>
        <v>3</v>
      </c>
    </row>
    <row r="422" spans="1:20" ht="15.75">
      <c r="A422" s="299"/>
      <c r="B422" s="336"/>
      <c r="C422" s="337" t="s">
        <v>108</v>
      </c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448">
        <f t="shared" ref="T422" si="24">SUM(T420:T421)</f>
        <v>5</v>
      </c>
    </row>
    <row r="423" spans="1:20" ht="15.75">
      <c r="A423" s="299"/>
      <c r="B423" s="336"/>
      <c r="C423" s="337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448"/>
    </row>
    <row r="424" spans="1:20" ht="15.75">
      <c r="A424" s="299"/>
      <c r="B424" s="338"/>
      <c r="C424" s="339" t="s">
        <v>972</v>
      </c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449">
        <f t="shared" ref="T424" si="25">+T422+T417+T407+T411</f>
        <v>28016</v>
      </c>
    </row>
    <row r="425" spans="1:20" ht="16.5" thickBot="1">
      <c r="A425" s="299"/>
      <c r="B425" s="340"/>
      <c r="C425" s="341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450"/>
    </row>
    <row r="426" spans="1:20" ht="15.75">
      <c r="A426" s="299"/>
      <c r="B426" s="338"/>
      <c r="C426" s="33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449"/>
    </row>
    <row r="427" spans="1:20" ht="15.75">
      <c r="A427" s="299"/>
      <c r="B427" s="336" t="s">
        <v>973</v>
      </c>
      <c r="C427" s="337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448">
        <f t="shared" ref="T427" si="26">+T422+T417+T407+T397+T379</f>
        <v>1079470</v>
      </c>
    </row>
    <row r="428" spans="1:20" ht="15.75">
      <c r="A428" s="299"/>
      <c r="B428" s="336" t="s">
        <v>974</v>
      </c>
      <c r="C428" s="337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448">
        <f t="shared" ref="T428" si="27">+T404+T376</f>
        <v>1077837</v>
      </c>
    </row>
    <row r="429" spans="1:20" ht="15.75">
      <c r="A429" s="299"/>
      <c r="B429" s="336" t="s">
        <v>882</v>
      </c>
      <c r="C429" s="337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448">
        <f t="shared" ref="T429" si="28">+T440-T428</f>
        <v>1657</v>
      </c>
    </row>
    <row r="430" spans="1:20" ht="15.75">
      <c r="A430" s="299"/>
      <c r="B430" s="336" t="s">
        <v>883</v>
      </c>
      <c r="C430" s="337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448">
        <f t="shared" ref="T430" si="29">+T379+T407</f>
        <v>1078311</v>
      </c>
    </row>
    <row r="431" spans="1:20" ht="15.75">
      <c r="A431" s="299"/>
      <c r="B431" s="336" t="s">
        <v>975</v>
      </c>
      <c r="C431" s="337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448">
        <f t="shared" ref="T431" si="30">+T417+T383</f>
        <v>29</v>
      </c>
    </row>
    <row r="432" spans="1:20" ht="15.75">
      <c r="A432" s="299"/>
      <c r="B432" s="336" t="s">
        <v>884</v>
      </c>
      <c r="C432" s="337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448">
        <f t="shared" ref="T432" si="31">+T422+T397</f>
        <v>1154</v>
      </c>
    </row>
    <row r="433" spans="1:21" ht="15.75">
      <c r="A433" s="299"/>
      <c r="B433" s="336" t="s">
        <v>976</v>
      </c>
      <c r="C433" s="337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448"/>
    </row>
    <row r="434" spans="1:21" ht="15.75">
      <c r="A434" s="299"/>
      <c r="B434" s="336" t="s">
        <v>977</v>
      </c>
      <c r="C434" s="337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448"/>
    </row>
    <row r="435" spans="1:21" ht="15.75">
      <c r="A435" s="299"/>
      <c r="B435" s="336"/>
      <c r="C435" s="337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448"/>
    </row>
    <row r="436" spans="1:21" ht="15.75">
      <c r="A436" s="299"/>
      <c r="B436" s="336"/>
      <c r="C436" s="337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448"/>
    </row>
    <row r="437" spans="1:21" ht="15.75">
      <c r="A437" s="299"/>
      <c r="B437" s="336" t="s">
        <v>978</v>
      </c>
      <c r="C437" s="337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448">
        <f>+T399</f>
        <v>1051478</v>
      </c>
    </row>
    <row r="438" spans="1:21" ht="15.75">
      <c r="A438" s="299"/>
      <c r="B438" s="336" t="s">
        <v>979</v>
      </c>
      <c r="C438" s="337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448">
        <f t="shared" ref="T438" si="32">+T424</f>
        <v>28016</v>
      </c>
    </row>
    <row r="439" spans="1:21" ht="16.5" thickBot="1">
      <c r="A439" s="299"/>
      <c r="B439" s="342"/>
      <c r="C439" s="343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451"/>
    </row>
    <row r="440" spans="1:21" ht="16.5" thickBot="1">
      <c r="A440" s="299"/>
      <c r="B440" s="340" t="s">
        <v>980</v>
      </c>
      <c r="C440" s="341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450">
        <f t="shared" ref="T440" si="33">SUM(T437:T439)</f>
        <v>1079494</v>
      </c>
    </row>
    <row r="441" spans="1:21" ht="16.5" thickBot="1">
      <c r="A441" s="299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352"/>
      <c r="T441" s="454"/>
      <c r="U441" s="194"/>
    </row>
    <row r="442" spans="1:21" ht="16.5" thickBot="1">
      <c r="A442" s="299"/>
      <c r="B442" s="334" t="s">
        <v>151</v>
      </c>
      <c r="C442" s="335" t="s">
        <v>981</v>
      </c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447" t="s">
        <v>981</v>
      </c>
    </row>
    <row r="443" spans="1:21" ht="15.75">
      <c r="A443" s="299"/>
      <c r="B443" s="336" t="s">
        <v>945</v>
      </c>
      <c r="C443" s="337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448"/>
    </row>
    <row r="444" spans="1:21" ht="15.75">
      <c r="A444" s="299"/>
      <c r="B444" s="338"/>
      <c r="C444" s="339" t="s">
        <v>322</v>
      </c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449">
        <f>+$T$21</f>
        <v>1037699.5833333334</v>
      </c>
    </row>
    <row r="445" spans="1:21" ht="15.75">
      <c r="A445" s="299"/>
      <c r="B445" s="338"/>
      <c r="C445" s="339" t="s">
        <v>509</v>
      </c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449">
        <f>+$T$48</f>
        <v>458.5</v>
      </c>
    </row>
    <row r="446" spans="1:21" ht="16.5" thickBot="1">
      <c r="A446" s="299"/>
      <c r="B446" s="340"/>
      <c r="C446" s="341" t="s">
        <v>810</v>
      </c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450">
        <f>+$T$66</f>
        <v>1</v>
      </c>
    </row>
    <row r="447" spans="1:21" ht="15.75">
      <c r="A447" s="299"/>
      <c r="B447" s="338"/>
      <c r="C447" s="339" t="s">
        <v>103</v>
      </c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449">
        <f t="shared" ref="T447" si="34">SUM(T444:T446)</f>
        <v>1038159.0833333334</v>
      </c>
    </row>
    <row r="448" spans="1:21" ht="15.75">
      <c r="A448" s="299"/>
      <c r="B448" s="338"/>
      <c r="C448" s="33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449"/>
    </row>
    <row r="449" spans="1:20" ht="15.75">
      <c r="A449" s="299"/>
      <c r="B449" s="336" t="s">
        <v>949</v>
      </c>
      <c r="C449" s="337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448"/>
    </row>
    <row r="450" spans="1:20" ht="16.5" thickBot="1">
      <c r="A450" s="299"/>
      <c r="B450" s="340"/>
      <c r="C450" s="341" t="s">
        <v>680</v>
      </c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450">
        <f>+$T$102</f>
        <v>24</v>
      </c>
    </row>
    <row r="451" spans="1:20" ht="15.75">
      <c r="A451" s="299"/>
      <c r="B451" s="338"/>
      <c r="C451" s="339" t="s">
        <v>104</v>
      </c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449">
        <f t="shared" ref="T451" si="35">SUM(T450:T450)</f>
        <v>24</v>
      </c>
    </row>
    <row r="452" spans="1:20" ht="15.75">
      <c r="A452" s="299"/>
      <c r="B452" s="338"/>
      <c r="C452" s="33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449"/>
    </row>
    <row r="453" spans="1:20" ht="15.75">
      <c r="A453" s="299"/>
      <c r="B453" s="336"/>
      <c r="C453" s="339" t="s">
        <v>690</v>
      </c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449"/>
    </row>
    <row r="454" spans="1:20" ht="16.5" thickBot="1">
      <c r="A454" s="299"/>
      <c r="B454" s="336"/>
      <c r="C454" s="341" t="s">
        <v>114</v>
      </c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450"/>
    </row>
    <row r="455" spans="1:20" ht="15.75">
      <c r="A455" s="299"/>
      <c r="B455" s="877"/>
      <c r="C455" s="339" t="s">
        <v>966</v>
      </c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449"/>
    </row>
    <row r="456" spans="1:20" ht="15.75">
      <c r="A456" s="299"/>
      <c r="B456" s="336"/>
      <c r="C456" s="337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448"/>
    </row>
    <row r="457" spans="1:20" ht="15.75">
      <c r="A457" s="299"/>
      <c r="B457" s="336" t="s">
        <v>953</v>
      </c>
      <c r="C457" s="337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448"/>
    </row>
    <row r="458" spans="1:20" ht="15.75">
      <c r="A458" s="299"/>
      <c r="B458" s="336"/>
      <c r="C458" s="337" t="s">
        <v>890</v>
      </c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448">
        <f>+$T$129</f>
        <v>7</v>
      </c>
    </row>
    <row r="459" spans="1:20" ht="15.75">
      <c r="A459" s="299"/>
      <c r="B459" s="336"/>
      <c r="C459" s="337" t="s">
        <v>956</v>
      </c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448">
        <f>+$T$138</f>
        <v>0</v>
      </c>
    </row>
    <row r="460" spans="1:20" ht="15.75">
      <c r="A460" s="299"/>
      <c r="B460" s="336"/>
      <c r="C460" s="337" t="s">
        <v>567</v>
      </c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448">
        <f>+$T$156</f>
        <v>0</v>
      </c>
    </row>
    <row r="461" spans="1:20" ht="15.75">
      <c r="A461" s="299"/>
      <c r="B461" s="336"/>
      <c r="C461" s="337" t="s">
        <v>566</v>
      </c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448">
        <f>+$T$183</f>
        <v>0</v>
      </c>
    </row>
    <row r="462" spans="1:20" ht="15.75">
      <c r="A462" s="299"/>
      <c r="B462" s="336"/>
      <c r="C462" s="337" t="s">
        <v>692</v>
      </c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448">
        <f>+$T$147</f>
        <v>1</v>
      </c>
    </row>
    <row r="463" spans="1:20" ht="15.75">
      <c r="A463" s="299"/>
      <c r="B463" s="336"/>
      <c r="C463" s="337" t="s">
        <v>681</v>
      </c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448">
        <f>+$T$165</f>
        <v>1049</v>
      </c>
    </row>
    <row r="464" spans="1:20" ht="16.5" thickBot="1">
      <c r="A464" s="299"/>
      <c r="B464" s="342"/>
      <c r="C464" s="343" t="s">
        <v>895</v>
      </c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451">
        <f>+$T$174</f>
        <v>0</v>
      </c>
    </row>
    <row r="465" spans="1:20" ht="15.75">
      <c r="A465" s="299"/>
      <c r="B465" s="338"/>
      <c r="C465" s="339" t="s">
        <v>105</v>
      </c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449">
        <f t="shared" ref="T465" si="36">SUM(T458:T464)</f>
        <v>1057</v>
      </c>
    </row>
    <row r="466" spans="1:20" ht="15.75">
      <c r="A466" s="299"/>
      <c r="B466" s="336"/>
      <c r="C466" s="337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448"/>
    </row>
    <row r="467" spans="1:20" ht="15.75">
      <c r="A467" s="299"/>
      <c r="B467" s="338"/>
      <c r="C467" s="339" t="s">
        <v>967</v>
      </c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449">
        <f t="shared" ref="T467" si="37">+T465+T455+T447+T451</f>
        <v>1039240.0833333334</v>
      </c>
    </row>
    <row r="468" spans="1:20" ht="16.5" thickBot="1">
      <c r="A468" s="299"/>
      <c r="B468" s="342"/>
      <c r="C468" s="343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451"/>
    </row>
    <row r="469" spans="1:20" ht="16.5" thickBot="1">
      <c r="A469" s="299"/>
      <c r="B469" s="338"/>
      <c r="C469" s="33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449"/>
    </row>
    <row r="470" spans="1:20" ht="15.75">
      <c r="A470" s="299"/>
      <c r="B470" s="344" t="s">
        <v>968</v>
      </c>
      <c r="C470" s="345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452"/>
    </row>
    <row r="471" spans="1:20" ht="16.5" thickBot="1">
      <c r="A471" s="299"/>
      <c r="B471" s="346" t="s">
        <v>945</v>
      </c>
      <c r="C471" s="347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453"/>
    </row>
    <row r="472" spans="1:20" ht="15.75">
      <c r="A472" s="299"/>
      <c r="B472" s="338"/>
      <c r="C472" s="339" t="s">
        <v>969</v>
      </c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449">
        <f>+$T$244</f>
        <v>27899.75</v>
      </c>
    </row>
    <row r="473" spans="1:20" ht="15.75">
      <c r="A473" s="299"/>
      <c r="B473" s="338"/>
      <c r="C473" s="339" t="s">
        <v>509</v>
      </c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449">
        <f>+$T$253</f>
        <v>24</v>
      </c>
    </row>
    <row r="474" spans="1:20" ht="16.5" thickBot="1">
      <c r="A474" s="299"/>
      <c r="B474" s="340"/>
      <c r="C474" s="341" t="s">
        <v>810</v>
      </c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450">
        <f>+$T$262</f>
        <v>1</v>
      </c>
    </row>
    <row r="475" spans="1:20" ht="15.75">
      <c r="A475" s="299"/>
      <c r="B475" s="338"/>
      <c r="C475" s="339" t="s">
        <v>106</v>
      </c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449">
        <f t="shared" ref="T475" si="38">SUM(T472:T474)</f>
        <v>27924.75</v>
      </c>
    </row>
    <row r="476" spans="1:20" ht="15.75">
      <c r="A476" s="299"/>
      <c r="B476" s="338"/>
      <c r="C476" s="33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449"/>
    </row>
    <row r="477" spans="1:20" ht="15.75">
      <c r="A477" s="299"/>
      <c r="B477" s="336"/>
      <c r="C477" s="339" t="s">
        <v>690</v>
      </c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449"/>
    </row>
    <row r="478" spans="1:20" ht="16.5" thickBot="1">
      <c r="A478" s="299"/>
      <c r="B478" s="336"/>
      <c r="C478" s="341" t="s">
        <v>114</v>
      </c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450"/>
    </row>
    <row r="479" spans="1:20" ht="15.75">
      <c r="A479" s="299"/>
      <c r="B479" s="877"/>
      <c r="C479" s="339" t="s">
        <v>966</v>
      </c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449"/>
    </row>
    <row r="480" spans="1:20" ht="15.75">
      <c r="A480" s="299"/>
      <c r="B480" s="336"/>
      <c r="C480" s="337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448"/>
    </row>
    <row r="481" spans="1:20" ht="15.75">
      <c r="A481" s="299"/>
      <c r="B481" s="336"/>
      <c r="C481" s="337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448"/>
    </row>
    <row r="482" spans="1:20" ht="15.75">
      <c r="A482" s="299"/>
      <c r="B482" s="336" t="s">
        <v>949</v>
      </c>
      <c r="C482" s="337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448"/>
    </row>
    <row r="483" spans="1:20" ht="15.75">
      <c r="A483" s="299"/>
      <c r="B483" s="336"/>
      <c r="C483" s="339" t="s">
        <v>970</v>
      </c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449">
        <f>+$T$289</f>
        <v>0</v>
      </c>
    </row>
    <row r="484" spans="1:20" ht="16.5" thickBot="1">
      <c r="A484" s="299"/>
      <c r="B484" s="340"/>
      <c r="C484" s="341" t="s">
        <v>680</v>
      </c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450">
        <f>+$T$280</f>
        <v>5</v>
      </c>
    </row>
    <row r="485" spans="1:20" ht="15.75">
      <c r="A485" s="299"/>
      <c r="B485" s="338"/>
      <c r="C485" s="339" t="s">
        <v>107</v>
      </c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449">
        <f t="shared" ref="T485" si="39">SUM(T483:T484)</f>
        <v>5</v>
      </c>
    </row>
    <row r="486" spans="1:20" ht="15.75">
      <c r="A486" s="299"/>
      <c r="B486" s="338"/>
      <c r="C486" s="33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449"/>
    </row>
    <row r="487" spans="1:20" ht="15.75">
      <c r="A487" s="299"/>
      <c r="B487" s="336" t="s">
        <v>953</v>
      </c>
      <c r="C487" s="337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448"/>
    </row>
    <row r="488" spans="1:20" ht="15.75">
      <c r="A488" s="299"/>
      <c r="B488" s="336"/>
      <c r="C488" s="337" t="s">
        <v>971</v>
      </c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448">
        <f>+$T$316</f>
        <v>2</v>
      </c>
    </row>
    <row r="489" spans="1:20" ht="16.5" thickBot="1">
      <c r="A489" s="299"/>
      <c r="B489" s="342"/>
      <c r="C489" s="343" t="s">
        <v>90</v>
      </c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451">
        <f>+$T$307</f>
        <v>3</v>
      </c>
    </row>
    <row r="490" spans="1:20" ht="15.75">
      <c r="A490" s="299"/>
      <c r="B490" s="336"/>
      <c r="C490" s="337" t="s">
        <v>108</v>
      </c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448">
        <f t="shared" ref="T490" si="40">SUM(T488:T489)</f>
        <v>5</v>
      </c>
    </row>
    <row r="491" spans="1:20" ht="15.75">
      <c r="A491" s="299"/>
      <c r="B491" s="336"/>
      <c r="C491" s="337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448"/>
    </row>
    <row r="492" spans="1:20" ht="15.75">
      <c r="A492" s="299"/>
      <c r="B492" s="338"/>
      <c r="C492" s="339" t="s">
        <v>972</v>
      </c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449">
        <f t="shared" ref="T492" si="41">+T490+T485+T475+T479</f>
        <v>27934.75</v>
      </c>
    </row>
    <row r="493" spans="1:20" ht="16.5" thickBot="1">
      <c r="A493" s="299"/>
      <c r="B493" s="340"/>
      <c r="C493" s="341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450"/>
    </row>
    <row r="494" spans="1:20" ht="15.75">
      <c r="A494" s="299"/>
      <c r="B494" s="338"/>
      <c r="C494" s="33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449"/>
    </row>
    <row r="495" spans="1:20" ht="15.75">
      <c r="A495" s="299"/>
      <c r="B495" s="336" t="s">
        <v>973</v>
      </c>
      <c r="C495" s="337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448">
        <f t="shared" ref="T495" si="42">+T490+T485+T475+T465+T447</f>
        <v>1067150.8333333335</v>
      </c>
    </row>
    <row r="496" spans="1:20" ht="15.75">
      <c r="A496" s="299"/>
      <c r="B496" s="336" t="s">
        <v>974</v>
      </c>
      <c r="C496" s="337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448">
        <f t="shared" ref="T496" si="43">+T472+T444</f>
        <v>1065599.3333333335</v>
      </c>
    </row>
    <row r="497" spans="1:20" ht="15.75">
      <c r="A497" s="299"/>
      <c r="B497" s="336" t="s">
        <v>882</v>
      </c>
      <c r="C497" s="337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448">
        <f t="shared" ref="T497" si="44">+T508-T496</f>
        <v>1575.5</v>
      </c>
    </row>
    <row r="498" spans="1:20" ht="15.75">
      <c r="A498" s="299"/>
      <c r="B498" s="336" t="s">
        <v>883</v>
      </c>
      <c r="C498" s="337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448">
        <f t="shared" ref="T498" si="45">+T447+T475</f>
        <v>1066083.8333333335</v>
      </c>
    </row>
    <row r="499" spans="1:20" ht="15.75">
      <c r="A499" s="299"/>
      <c r="B499" s="336" t="s">
        <v>975</v>
      </c>
      <c r="C499" s="337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448">
        <f t="shared" ref="T499" si="46">+T485+T451</f>
        <v>29</v>
      </c>
    </row>
    <row r="500" spans="1:20" ht="15.75">
      <c r="A500" s="299"/>
      <c r="B500" s="336" t="s">
        <v>884</v>
      </c>
      <c r="C500" s="337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448">
        <f t="shared" ref="T500" si="47">+T490+T465</f>
        <v>1062</v>
      </c>
    </row>
    <row r="501" spans="1:20" ht="15.75">
      <c r="A501" s="299"/>
      <c r="B501" s="336" t="s">
        <v>976</v>
      </c>
      <c r="C501" s="337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448"/>
    </row>
    <row r="502" spans="1:20" ht="15.75">
      <c r="A502" s="299"/>
      <c r="B502" s="336" t="s">
        <v>977</v>
      </c>
      <c r="C502" s="337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448"/>
    </row>
    <row r="503" spans="1:20" ht="15.75">
      <c r="A503" s="299"/>
      <c r="B503" s="336"/>
      <c r="C503" s="337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448"/>
    </row>
    <row r="504" spans="1:20" ht="15.75">
      <c r="A504" s="299"/>
      <c r="B504" s="336"/>
      <c r="C504" s="337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448"/>
    </row>
    <row r="505" spans="1:20" ht="15.75">
      <c r="A505" s="299"/>
      <c r="B505" s="336" t="s">
        <v>978</v>
      </c>
      <c r="C505" s="337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448">
        <f t="shared" ref="T505" si="48">+T467</f>
        <v>1039240.0833333334</v>
      </c>
    </row>
    <row r="506" spans="1:20" ht="15.75">
      <c r="A506" s="299"/>
      <c r="B506" s="336" t="s">
        <v>979</v>
      </c>
      <c r="C506" s="337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448">
        <f t="shared" ref="T506" si="49">+T492</f>
        <v>27934.75</v>
      </c>
    </row>
    <row r="507" spans="1:20" ht="16.5" thickBot="1">
      <c r="A507" s="299"/>
      <c r="B507" s="342"/>
      <c r="C507" s="343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451"/>
    </row>
    <row r="508" spans="1:20" ht="16.5" thickBot="1">
      <c r="A508" s="299"/>
      <c r="B508" s="340" t="s">
        <v>980</v>
      </c>
      <c r="C508" s="341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450">
        <f t="shared" ref="T508" si="50">SUM(T505:T507)</f>
        <v>1067174.8333333335</v>
      </c>
    </row>
    <row r="509" spans="1:20" ht="15.75">
      <c r="A509" s="299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T509" s="102"/>
    </row>
    <row r="510" spans="1:20" ht="15.75">
      <c r="A510" s="299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T510" s="102"/>
    </row>
    <row r="511" spans="1:20" ht="15.75">
      <c r="A511" s="299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T511" s="102"/>
    </row>
    <row r="512" spans="1:20" ht="15.75">
      <c r="A512" s="299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T512" s="102"/>
    </row>
    <row r="513" spans="1:20" ht="15.75">
      <c r="A513" s="299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T513" s="102"/>
    </row>
    <row r="514" spans="1:20" ht="15.75">
      <c r="A514" s="299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T514" s="102"/>
    </row>
    <row r="515" spans="1:20" ht="15.75">
      <c r="A515" s="299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T515" s="102"/>
    </row>
    <row r="516" spans="1:20" ht="15.75">
      <c r="A516" s="299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T516" s="102"/>
    </row>
    <row r="517" spans="1:20" ht="15.75">
      <c r="A517" s="299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T517" s="102"/>
    </row>
    <row r="518" spans="1:20" ht="15.75">
      <c r="A518" s="299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T518" s="102"/>
    </row>
    <row r="519" spans="1:20">
      <c r="T519" s="102"/>
    </row>
    <row r="520" spans="1:20">
      <c r="T520" s="102"/>
    </row>
    <row r="521" spans="1:20">
      <c r="T521" s="102"/>
    </row>
    <row r="522" spans="1:20">
      <c r="T522" s="102"/>
    </row>
    <row r="523" spans="1:20">
      <c r="T523" s="102"/>
    </row>
  </sheetData>
  <pageMargins left="0.7" right="0.7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AB1263"/>
  <sheetViews>
    <sheetView workbookViewId="0">
      <pane xSplit="5" ySplit="9" topLeftCell="F836" activePane="bottomRight" state="frozen"/>
      <selection pane="topRight" activeCell="F1" sqref="F1"/>
      <selection pane="bottomLeft" activeCell="A10" sqref="A10"/>
      <selection pane="bottomRight" activeCell="G846" sqref="G846"/>
    </sheetView>
  </sheetViews>
  <sheetFormatPr defaultRowHeight="12.75"/>
  <cols>
    <col min="1" max="1" width="7.28515625" style="15" customWidth="1"/>
    <col min="2" max="2" width="11.28515625" style="15" customWidth="1"/>
    <col min="3" max="3" width="10.28515625" style="15" customWidth="1"/>
    <col min="4" max="4" width="25.7109375" style="15" customWidth="1"/>
    <col min="5" max="5" width="15" style="15" hidden="1" customWidth="1"/>
    <col min="6" max="6" width="31.28515625" style="15" bestFit="1" customWidth="1"/>
    <col min="7" max="8" width="13.7109375" style="15" customWidth="1"/>
    <col min="9" max="9" width="17" style="15" bestFit="1" customWidth="1"/>
    <col min="10" max="10" width="17.5703125" style="15" customWidth="1"/>
    <col min="11" max="11" width="4.5703125" style="15" bestFit="1" customWidth="1"/>
    <col min="12" max="14" width="13.7109375" style="15" customWidth="1"/>
    <col min="15" max="15" width="23.7109375" style="15" customWidth="1"/>
    <col min="16" max="16" width="4.7109375" style="15" customWidth="1"/>
    <col min="17" max="18" width="13.7109375" style="15" customWidth="1"/>
    <col min="19" max="19" width="4.7109375" style="15" customWidth="1"/>
    <col min="20" max="21" width="13.7109375" style="15" customWidth="1"/>
    <col min="22" max="22" width="1.7109375" style="15" customWidth="1"/>
    <col min="23" max="23" width="13.7109375" style="15" customWidth="1"/>
    <col min="24" max="24" width="6.42578125" style="15" customWidth="1"/>
    <col min="25" max="25" width="5.140625" style="15" bestFit="1" customWidth="1"/>
    <col min="26" max="26" width="16.5703125" bestFit="1" customWidth="1"/>
    <col min="27" max="27" width="15.5703125" bestFit="1" customWidth="1"/>
    <col min="28" max="28" width="23.5703125" style="15" bestFit="1" customWidth="1"/>
    <col min="29" max="30" width="9.140625" style="15"/>
    <col min="31" max="31" width="2.5703125" style="15" bestFit="1" customWidth="1"/>
    <col min="32" max="32" width="11.7109375" style="15" bestFit="1" customWidth="1"/>
    <col min="33" max="33" width="2.5703125" style="15" bestFit="1" customWidth="1"/>
    <col min="34" max="34" width="11.7109375" style="15" bestFit="1" customWidth="1"/>
    <col min="35" max="36" width="9.140625" style="15"/>
    <col min="37" max="37" width="4.85546875" style="15" bestFit="1" customWidth="1"/>
    <col min="38" max="38" width="11.7109375" style="15" bestFit="1" customWidth="1"/>
    <col min="39" max="39" width="2.5703125" style="15" bestFit="1" customWidth="1"/>
    <col min="40" max="40" width="9.140625" style="15"/>
    <col min="41" max="41" width="3.28515625" style="15" bestFit="1" customWidth="1"/>
    <col min="42" max="42" width="10.7109375" style="15" bestFit="1" customWidth="1"/>
    <col min="43" max="43" width="11.7109375" style="15" bestFit="1" customWidth="1"/>
    <col min="44" max="44" width="3.28515625" style="15" bestFit="1" customWidth="1"/>
    <col min="45" max="46" width="2.5703125" style="15" bestFit="1" customWidth="1"/>
    <col min="47" max="47" width="9.140625" style="15"/>
    <col min="48" max="48" width="2.5703125" style="15" bestFit="1" customWidth="1"/>
    <col min="49" max="16384" width="9.140625" style="15"/>
  </cols>
  <sheetData>
    <row r="1" spans="1:28">
      <c r="A1" s="578" t="str">
        <f>'Control Panel'!$B$1</f>
        <v>Dominion Energy</v>
      </c>
      <c r="E1" s="33"/>
      <c r="F1" s="33"/>
      <c r="G1" s="721"/>
      <c r="H1" s="721"/>
      <c r="I1" s="33" t="s">
        <v>838</v>
      </c>
      <c r="J1" s="33"/>
      <c r="K1" s="70"/>
      <c r="L1" s="70" t="s">
        <v>745</v>
      </c>
      <c r="M1" s="70"/>
      <c r="N1" s="70"/>
      <c r="O1" s="40"/>
      <c r="P1" s="33"/>
      <c r="Q1" s="33"/>
      <c r="R1" s="33"/>
      <c r="S1" s="194"/>
      <c r="T1" s="33"/>
      <c r="U1" s="33"/>
      <c r="V1" s="14"/>
      <c r="W1" s="33"/>
      <c r="X1" s="572"/>
    </row>
    <row r="2" spans="1:28">
      <c r="A2" s="578" t="str">
        <f>'Control Panel'!$B$2</f>
        <v>Utah - DEC 2019 Adjusted Avg  Results</v>
      </c>
      <c r="E2" s="116"/>
      <c r="F2" s="116"/>
      <c r="K2" s="207" t="s">
        <v>746</v>
      </c>
      <c r="L2" s="166" t="s">
        <v>473</v>
      </c>
      <c r="M2" s="722">
        <f ca="1">'Utah Allocation'!D18</f>
        <v>0.96752428132231583</v>
      </c>
      <c r="N2" s="722">
        <f ca="1">'Utah Allocation'!E18</f>
        <v>3.2475718677684125E-2</v>
      </c>
      <c r="O2" s="272"/>
      <c r="P2" s="1553"/>
      <c r="Q2" s="1553"/>
      <c r="R2" s="1553"/>
      <c r="S2" s="1553"/>
      <c r="T2" s="1553"/>
      <c r="U2" s="1553"/>
      <c r="V2" s="273"/>
      <c r="W2" s="33"/>
      <c r="X2" s="118"/>
    </row>
    <row r="3" spans="1:28">
      <c r="A3" s="578" t="str">
        <f>'Control Panel'!$B$3</f>
        <v>12 Months Ended : Dec-2019</v>
      </c>
      <c r="E3" s="116"/>
      <c r="F3" s="116"/>
      <c r="K3" s="207" t="s">
        <v>747</v>
      </c>
      <c r="L3" s="166" t="s">
        <v>744</v>
      </c>
      <c r="M3" s="722">
        <f ca="1">'Utah Allocation'!D35</f>
        <v>0.97012059360717728</v>
      </c>
      <c r="N3" s="722">
        <f ca="1">'Utah Allocation'!E35</f>
        <v>2.9879406392822765E-2</v>
      </c>
      <c r="O3" s="723"/>
      <c r="P3" s="1554"/>
      <c r="Q3" s="1553"/>
      <c r="R3" s="1553"/>
      <c r="S3" s="1553"/>
      <c r="T3" s="1553"/>
      <c r="U3" s="1553"/>
      <c r="V3" s="273"/>
      <c r="W3" s="33"/>
      <c r="X3" s="522"/>
    </row>
    <row r="4" spans="1:28">
      <c r="A4" s="82"/>
      <c r="B4" s="65"/>
      <c r="C4" s="65"/>
      <c r="D4" s="65"/>
      <c r="E4" s="229"/>
      <c r="F4" s="229"/>
      <c r="K4" s="207" t="s">
        <v>748</v>
      </c>
      <c r="L4" s="166" t="s">
        <v>693</v>
      </c>
      <c r="M4" s="722">
        <f>'Utah Allocation'!D46</f>
        <v>0.96479957693357843</v>
      </c>
      <c r="N4" s="722">
        <f>'Utah Allocation'!E46</f>
        <v>3.5200423066421481E-2</v>
      </c>
      <c r="O4" s="723"/>
      <c r="P4" s="1554"/>
      <c r="Q4" s="1553"/>
      <c r="R4" s="1553"/>
      <c r="S4" s="1553"/>
      <c r="T4" s="1553"/>
      <c r="U4" s="1553"/>
      <c r="V4" s="724"/>
      <c r="W4" s="1256"/>
      <c r="X4" s="118"/>
    </row>
    <row r="5" spans="1:28" ht="12.75" customHeight="1">
      <c r="A5" s="105"/>
      <c r="B5" s="114"/>
      <c r="C5" s="114"/>
      <c r="D5" s="114"/>
      <c r="E5" s="229"/>
      <c r="F5" s="229"/>
      <c r="K5" s="207" t="s">
        <v>749</v>
      </c>
      <c r="L5" s="166" t="s">
        <v>14</v>
      </c>
      <c r="M5" s="721">
        <v>1</v>
      </c>
      <c r="N5" s="721">
        <v>0</v>
      </c>
      <c r="O5" s="723"/>
      <c r="P5" s="1555" t="s">
        <v>751</v>
      </c>
      <c r="Q5" s="1555"/>
      <c r="R5" s="1555"/>
      <c r="S5" s="1555"/>
      <c r="T5" s="1555"/>
      <c r="U5" s="1555"/>
      <c r="V5" s="273"/>
      <c r="W5" s="116"/>
      <c r="X5" s="118"/>
    </row>
    <row r="6" spans="1:28" ht="13.5" customHeight="1" thickBot="1">
      <c r="A6" s="114"/>
      <c r="B6" s="114"/>
      <c r="C6" s="114"/>
      <c r="D6" s="114"/>
      <c r="E6" s="194"/>
      <c r="F6" s="194"/>
      <c r="K6" s="725" t="s">
        <v>750</v>
      </c>
      <c r="L6" s="726" t="s">
        <v>24</v>
      </c>
      <c r="M6" s="727">
        <v>0</v>
      </c>
      <c r="N6" s="727">
        <v>1</v>
      </c>
      <c r="O6" s="272"/>
      <c r="P6" s="1553"/>
      <c r="Q6" s="1553"/>
      <c r="R6" s="1553"/>
      <c r="S6" s="106"/>
      <c r="T6" s="106"/>
      <c r="U6" s="106"/>
      <c r="V6" s="273"/>
      <c r="W6" s="106"/>
      <c r="X6" s="118"/>
    </row>
    <row r="7" spans="1:28" ht="11.25" customHeight="1">
      <c r="A7" s="36"/>
      <c r="B7" s="14"/>
      <c r="C7" s="14"/>
      <c r="D7" s="14"/>
      <c r="E7" s="4"/>
      <c r="F7" s="4" t="s">
        <v>839</v>
      </c>
      <c r="G7" s="582" t="s">
        <v>97</v>
      </c>
      <c r="H7" s="4" t="s">
        <v>40</v>
      </c>
      <c r="I7" s="4" t="s">
        <v>43</v>
      </c>
      <c r="M7" s="120"/>
      <c r="N7" s="120"/>
      <c r="O7" s="41"/>
      <c r="P7" s="106"/>
      <c r="Q7" s="1553" t="s">
        <v>14</v>
      </c>
      <c r="R7" s="1553"/>
      <c r="S7" s="106"/>
      <c r="T7" s="1553" t="s">
        <v>24</v>
      </c>
      <c r="U7" s="1553"/>
      <c r="V7" s="273"/>
      <c r="W7" s="1255" t="s">
        <v>768</v>
      </c>
      <c r="X7" s="118"/>
    </row>
    <row r="8" spans="1:28">
      <c r="A8" s="1550" t="s">
        <v>716</v>
      </c>
      <c r="B8" s="1550"/>
      <c r="C8" s="14"/>
      <c r="D8" s="14"/>
      <c r="E8" s="579"/>
      <c r="F8" s="579" t="s">
        <v>840</v>
      </c>
      <c r="G8" s="579" t="s">
        <v>39</v>
      </c>
      <c r="H8" s="579" t="s">
        <v>41</v>
      </c>
      <c r="I8" s="579" t="s">
        <v>44</v>
      </c>
      <c r="M8" s="120"/>
      <c r="N8" s="120"/>
      <c r="O8" s="42"/>
      <c r="P8" s="1554" t="s">
        <v>755</v>
      </c>
      <c r="Q8" s="1553"/>
      <c r="R8" s="1553"/>
      <c r="S8" s="1553" t="s">
        <v>752</v>
      </c>
      <c r="T8" s="1553"/>
      <c r="U8" s="1553"/>
      <c r="V8" s="273"/>
      <c r="W8" s="1256" t="s">
        <v>279</v>
      </c>
      <c r="X8" s="118"/>
    </row>
    <row r="9" spans="1:28" ht="13.5" thickBot="1">
      <c r="A9" s="1551" t="s">
        <v>7</v>
      </c>
      <c r="B9" s="1551"/>
      <c r="C9" s="1552" t="s">
        <v>842</v>
      </c>
      <c r="D9" s="1552"/>
      <c r="E9" s="71"/>
      <c r="F9" s="71">
        <v>42339</v>
      </c>
      <c r="G9" s="561" t="s">
        <v>170</v>
      </c>
      <c r="H9" s="561" t="s">
        <v>42</v>
      </c>
      <c r="I9" s="561" t="s">
        <v>170</v>
      </c>
      <c r="J9" s="561"/>
      <c r="K9" s="567"/>
      <c r="L9" s="567" t="s">
        <v>762</v>
      </c>
      <c r="M9" s="567" t="s">
        <v>14</v>
      </c>
      <c r="N9" s="567" t="s">
        <v>24</v>
      </c>
      <c r="O9" s="42"/>
      <c r="P9" s="567"/>
      <c r="Q9" s="567" t="s">
        <v>595</v>
      </c>
      <c r="R9" s="567" t="s">
        <v>559</v>
      </c>
      <c r="S9" s="567"/>
      <c r="T9" s="567" t="s">
        <v>595</v>
      </c>
      <c r="U9" s="567" t="s">
        <v>559</v>
      </c>
      <c r="V9" s="230"/>
      <c r="W9" s="1254" t="str">
        <f>+'Control Panel'!F11</f>
        <v>Utah</v>
      </c>
      <c r="X9" s="118"/>
      <c r="Y9" s="551"/>
    </row>
    <row r="10" spans="1:28">
      <c r="A10" s="227"/>
      <c r="B10" s="102"/>
      <c r="C10" s="102"/>
      <c r="D10" s="102"/>
      <c r="E10" s="116"/>
      <c r="F10" s="116"/>
      <c r="G10" s="116"/>
      <c r="H10" s="116"/>
      <c r="I10" s="116"/>
      <c r="J10" s="116"/>
      <c r="K10" s="116"/>
      <c r="L10" s="102"/>
      <c r="M10" s="102"/>
      <c r="N10" s="102"/>
      <c r="O10" s="272"/>
      <c r="P10" s="106"/>
      <c r="Q10" s="207" t="s">
        <v>14</v>
      </c>
      <c r="R10" s="106"/>
      <c r="S10" s="207"/>
      <c r="T10" s="207" t="s">
        <v>24</v>
      </c>
      <c r="U10" s="106"/>
      <c r="V10" s="273"/>
      <c r="W10" s="106"/>
      <c r="X10" s="118"/>
      <c r="Y10" s="577">
        <v>1</v>
      </c>
    </row>
    <row r="11" spans="1:28">
      <c r="A11" s="1550" t="s">
        <v>843</v>
      </c>
      <c r="B11" s="1550"/>
      <c r="C11" s="1550"/>
      <c r="D11" s="1550"/>
      <c r="E11" s="194"/>
      <c r="F11" s="194"/>
      <c r="G11" s="194"/>
      <c r="H11" s="194"/>
      <c r="I11" s="194"/>
      <c r="J11" s="194"/>
      <c r="K11" s="116"/>
      <c r="L11" s="116"/>
      <c r="M11" s="116"/>
      <c r="N11" s="116"/>
      <c r="O11" s="272"/>
      <c r="P11" s="240"/>
      <c r="Q11" s="116"/>
      <c r="R11" s="116"/>
      <c r="S11" s="240"/>
      <c r="T11" s="116"/>
      <c r="U11" s="116"/>
      <c r="V11" s="273"/>
      <c r="W11" s="116"/>
      <c r="X11" s="118"/>
      <c r="Y11" s="577">
        <f>Y10+1</f>
        <v>2</v>
      </c>
    </row>
    <row r="12" spans="1:28">
      <c r="E12" s="194"/>
      <c r="F12" s="194"/>
      <c r="G12" s="194"/>
      <c r="H12" s="194"/>
      <c r="I12" s="194"/>
      <c r="J12" s="194"/>
      <c r="K12" s="116"/>
      <c r="L12" s="116"/>
      <c r="M12" s="116"/>
      <c r="N12" s="116"/>
      <c r="O12" s="272"/>
      <c r="P12" s="240"/>
      <c r="Q12" s="116"/>
      <c r="R12" s="116"/>
      <c r="S12" s="240"/>
      <c r="T12" s="116"/>
      <c r="U12" s="116"/>
      <c r="V12" s="273"/>
      <c r="W12" s="116"/>
      <c r="X12" s="118"/>
      <c r="Y12" s="577">
        <f t="shared" ref="Y12:Y75" si="0">Y11+1</f>
        <v>3</v>
      </c>
    </row>
    <row r="13" spans="1:28">
      <c r="A13" s="72" t="s">
        <v>13</v>
      </c>
      <c r="B13" s="72"/>
      <c r="C13" s="72"/>
      <c r="D13" s="72"/>
      <c r="E13" s="194"/>
      <c r="F13" s="194"/>
      <c r="G13" s="116"/>
      <c r="H13" s="116"/>
      <c r="I13" s="116"/>
      <c r="J13" s="116"/>
      <c r="K13" s="116"/>
      <c r="L13" s="116"/>
      <c r="M13" s="116"/>
      <c r="N13" s="116"/>
      <c r="O13" s="272"/>
      <c r="P13" s="240"/>
      <c r="Q13" s="116"/>
      <c r="R13" s="116"/>
      <c r="S13" s="240"/>
      <c r="T13" s="116"/>
      <c r="U13" s="116"/>
      <c r="V13" s="273"/>
      <c r="W13" s="116"/>
      <c r="X13" s="118"/>
      <c r="Y13" s="577">
        <f t="shared" si="0"/>
        <v>4</v>
      </c>
    </row>
    <row r="14" spans="1:28">
      <c r="A14" s="72"/>
      <c r="B14" s="72"/>
      <c r="C14" s="72"/>
      <c r="D14" s="72"/>
      <c r="E14" s="194"/>
      <c r="F14" s="194"/>
      <c r="G14" s="116"/>
      <c r="H14" s="116"/>
      <c r="I14" s="116"/>
      <c r="J14" s="116"/>
      <c r="K14" s="116"/>
      <c r="L14" s="116"/>
      <c r="M14" s="116"/>
      <c r="N14" s="116"/>
      <c r="O14" s="272"/>
      <c r="P14" s="240"/>
      <c r="Q14" s="116"/>
      <c r="R14" s="116"/>
      <c r="S14" s="240"/>
      <c r="T14" s="116"/>
      <c r="U14" s="116"/>
      <c r="V14" s="273"/>
      <c r="W14" s="116"/>
      <c r="X14" s="118"/>
      <c r="Y14" s="577">
        <f t="shared" si="0"/>
        <v>5</v>
      </c>
    </row>
    <row r="15" spans="1:28">
      <c r="A15" s="36" t="s">
        <v>14</v>
      </c>
      <c r="B15" s="113"/>
      <c r="C15" s="114"/>
      <c r="D15" s="102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272"/>
      <c r="P15" s="240"/>
      <c r="Q15" s="116"/>
      <c r="R15" s="116"/>
      <c r="S15" s="240"/>
      <c r="T15" s="116"/>
      <c r="U15" s="116"/>
      <c r="V15" s="273"/>
      <c r="W15" s="116"/>
      <c r="X15" s="118"/>
      <c r="Y15" s="577">
        <f t="shared" si="0"/>
        <v>6</v>
      </c>
    </row>
    <row r="16" spans="1:28">
      <c r="A16" s="227"/>
      <c r="B16" s="728" t="s">
        <v>94</v>
      </c>
      <c r="C16" s="728" t="s">
        <v>16</v>
      </c>
      <c r="D16" s="102"/>
      <c r="E16" s="116">
        <f>+G16-Adjustments!H16</f>
        <v>0</v>
      </c>
      <c r="F16" s="116">
        <f>Revenue!$F$15</f>
        <v>316199223</v>
      </c>
      <c r="G16" s="116">
        <f>+Adjustments!AW16</f>
        <v>7444805.1513320208</v>
      </c>
      <c r="H16" s="116"/>
      <c r="I16" s="116">
        <f>SUM($F$16:$H$16)</f>
        <v>323644028.15133202</v>
      </c>
      <c r="J16" s="116"/>
      <c r="K16" s="116"/>
      <c r="L16" s="116" t="s">
        <v>14</v>
      </c>
      <c r="M16" s="116">
        <f>VLOOKUP($L16,$L$2:$N$7,2,FALSE)*I16</f>
        <v>323644028.15133202</v>
      </c>
      <c r="N16" s="116">
        <f>VLOOKUP($L16,$L$2:$N$7,3,FALSE)*I16</f>
        <v>0</v>
      </c>
      <c r="O16" s="272"/>
      <c r="P16" s="240" t="s">
        <v>560</v>
      </c>
      <c r="Q16" s="116">
        <f>IF(P16="G",M16,IF(P16="PT",0,ERR))</f>
        <v>323644028.15133202</v>
      </c>
      <c r="R16" s="116">
        <f>IF(P16="PT",M16,IF(P16="G",0,ERR))</f>
        <v>0</v>
      </c>
      <c r="S16" s="240" t="s">
        <v>560</v>
      </c>
      <c r="T16" s="116">
        <f>IF(S16="G",N16,IF(S16="PT",0,ERR))</f>
        <v>0</v>
      </c>
      <c r="U16" s="116">
        <f>IF(S16="PT",N16,IF(S16="G",0,ERR))</f>
        <v>0</v>
      </c>
      <c r="V16" s="273"/>
      <c r="W16" s="116">
        <f>HLOOKUP($W$9,'ROR-Model'!$Q$10:$U$1263,Y16)</f>
        <v>323644028.15133202</v>
      </c>
      <c r="X16" s="118"/>
      <c r="Y16" s="577">
        <f t="shared" si="0"/>
        <v>7</v>
      </c>
      <c r="AA16" s="116">
        <v>316199223</v>
      </c>
      <c r="AB16" s="116">
        <f>W16-AA16</f>
        <v>7444805.1513320208</v>
      </c>
    </row>
    <row r="17" spans="1:28">
      <c r="A17" s="227"/>
      <c r="B17" s="728"/>
      <c r="C17" s="728"/>
      <c r="D17" s="102"/>
      <c r="E17" s="116">
        <f>+G17-Adjustments!H17</f>
        <v>0</v>
      </c>
      <c r="F17" s="116"/>
      <c r="G17" s="116"/>
      <c r="H17" s="116"/>
      <c r="I17" s="116"/>
      <c r="J17" s="116"/>
      <c r="K17" s="116"/>
      <c r="L17" s="116"/>
      <c r="M17" s="116"/>
      <c r="N17" s="116"/>
      <c r="O17" s="272"/>
      <c r="P17" s="240"/>
      <c r="Q17" s="116"/>
      <c r="R17" s="116"/>
      <c r="S17" s="240"/>
      <c r="T17" s="116"/>
      <c r="U17" s="116"/>
      <c r="V17" s="273"/>
      <c r="W17" s="116"/>
      <c r="X17" s="118"/>
      <c r="Y17" s="577">
        <f t="shared" si="0"/>
        <v>8</v>
      </c>
      <c r="AA17" s="116"/>
      <c r="AB17" s="116">
        <f t="shared" ref="AB17:AB80" si="1">W17-AA17</f>
        <v>0</v>
      </c>
    </row>
    <row r="18" spans="1:28">
      <c r="A18" s="227"/>
      <c r="B18" s="728"/>
      <c r="C18" s="728" t="s">
        <v>17</v>
      </c>
      <c r="D18" s="102"/>
      <c r="E18" s="116">
        <f>+G18-Adjustments!H18</f>
        <v>0</v>
      </c>
      <c r="F18" s="116">
        <f>Revenue!$F$17</f>
        <v>100235379</v>
      </c>
      <c r="G18" s="116">
        <f>+Adjustments!AW18</f>
        <v>18790789.129999995</v>
      </c>
      <c r="H18" s="116"/>
      <c r="I18" s="116">
        <f>SUM($F$18:$H$18)</f>
        <v>119026168.13</v>
      </c>
      <c r="J18" s="116"/>
      <c r="K18" s="116"/>
      <c r="L18" s="116" t="s">
        <v>14</v>
      </c>
      <c r="M18" s="116">
        <f>VLOOKUP($L18,$L$2:$N$7,2,FALSE)*I18</f>
        <v>119026168.13</v>
      </c>
      <c r="N18" s="116">
        <f>VLOOKUP($L18,$L$2:$N$7,3,FALSE)*I18</f>
        <v>0</v>
      </c>
      <c r="O18" s="272"/>
      <c r="P18" s="240" t="s">
        <v>559</v>
      </c>
      <c r="Q18" s="116">
        <f>IF(P18="G",M18,IF(P18="PT",0,ERR))</f>
        <v>0</v>
      </c>
      <c r="R18" s="116">
        <f>IF(P18="PT",M18,IF(P18="G",0,ERR))</f>
        <v>119026168.13</v>
      </c>
      <c r="S18" s="240" t="s">
        <v>559</v>
      </c>
      <c r="T18" s="116">
        <f>IF(S18="G",N18,IF(S18="PT",0,ERR))</f>
        <v>0</v>
      </c>
      <c r="U18" s="116">
        <f>IF(S18="PT",N18,IF(S18="G",0,ERR))</f>
        <v>0</v>
      </c>
      <c r="V18" s="273"/>
      <c r="W18" s="116">
        <f>HLOOKUP($W$9,'ROR-Model'!$Q$10:$U$1263,Y18)</f>
        <v>0</v>
      </c>
      <c r="X18" s="118"/>
      <c r="Y18" s="577">
        <f t="shared" si="0"/>
        <v>9</v>
      </c>
      <c r="AA18" s="116">
        <v>0</v>
      </c>
      <c r="AB18" s="116">
        <f t="shared" si="1"/>
        <v>0</v>
      </c>
    </row>
    <row r="19" spans="1:28">
      <c r="A19" s="227"/>
      <c r="B19" s="728"/>
      <c r="C19" s="728"/>
      <c r="D19" s="102"/>
      <c r="E19" s="116">
        <f>+G19-Adjustments!H19</f>
        <v>0</v>
      </c>
      <c r="F19" s="116"/>
      <c r="G19" s="116"/>
      <c r="H19" s="116"/>
      <c r="I19" s="116"/>
      <c r="J19" s="116"/>
      <c r="K19" s="116"/>
      <c r="L19" s="116"/>
      <c r="M19" s="116"/>
      <c r="N19" s="116"/>
      <c r="O19" s="272"/>
      <c r="P19" s="240"/>
      <c r="Q19" s="116"/>
      <c r="R19" s="116"/>
      <c r="S19" s="240"/>
      <c r="T19" s="116"/>
      <c r="U19" s="116"/>
      <c r="V19" s="273"/>
      <c r="W19" s="116"/>
      <c r="X19" s="118"/>
      <c r="Y19" s="577">
        <f t="shared" si="0"/>
        <v>10</v>
      </c>
      <c r="AA19" s="116"/>
      <c r="AB19" s="116">
        <f t="shared" si="1"/>
        <v>0</v>
      </c>
    </row>
    <row r="20" spans="1:28">
      <c r="A20" s="227"/>
      <c r="B20" s="728"/>
      <c r="C20" s="728" t="s">
        <v>18</v>
      </c>
      <c r="D20" s="102"/>
      <c r="E20" s="116">
        <f>+G20-Adjustments!H20</f>
        <v>0</v>
      </c>
      <c r="F20" s="116">
        <f>Revenue!$F$19</f>
        <v>393060780</v>
      </c>
      <c r="G20" s="116">
        <f>+Adjustments!AW20</f>
        <v>-19394737.26000005</v>
      </c>
      <c r="H20" s="116"/>
      <c r="I20" s="116">
        <f>SUM($F$20:$H$20)</f>
        <v>373666042.73999995</v>
      </c>
      <c r="J20" s="116"/>
      <c r="K20" s="116"/>
      <c r="L20" s="116" t="s">
        <v>14</v>
      </c>
      <c r="M20" s="116">
        <f>VLOOKUP($L20,$L$2:$N$7,2,FALSE)*I20</f>
        <v>373666042.73999995</v>
      </c>
      <c r="N20" s="116">
        <f>VLOOKUP($L20,$L$2:$N$7,3,FALSE)*I20</f>
        <v>0</v>
      </c>
      <c r="O20" s="272"/>
      <c r="P20" s="240" t="s">
        <v>559</v>
      </c>
      <c r="Q20" s="116">
        <f>IF(P20="G",M20,IF(P20="PT",0,ERR))</f>
        <v>0</v>
      </c>
      <c r="R20" s="116">
        <f>IF(P20="PT",M20,IF(P20="G",0,ERR))</f>
        <v>373666042.73999995</v>
      </c>
      <c r="S20" s="240" t="s">
        <v>559</v>
      </c>
      <c r="T20" s="116">
        <f>IF(S20="G",N20,IF(S20="PT",0,ERR))</f>
        <v>0</v>
      </c>
      <c r="U20" s="116">
        <f>IF(S20="PT",N20,IF(S20="G",0,ERR))</f>
        <v>0</v>
      </c>
      <c r="V20" s="273"/>
      <c r="W20" s="116">
        <f>HLOOKUP($W$9,'ROR-Model'!$Q$10:$U$1263,Y20)</f>
        <v>0</v>
      </c>
      <c r="X20" s="118"/>
      <c r="Y20" s="577">
        <f t="shared" si="0"/>
        <v>11</v>
      </c>
      <c r="AA20" s="116">
        <v>0</v>
      </c>
      <c r="AB20" s="116">
        <f t="shared" si="1"/>
        <v>0</v>
      </c>
    </row>
    <row r="21" spans="1:28">
      <c r="A21" s="227"/>
      <c r="B21" s="728"/>
      <c r="C21" s="728" t="s">
        <v>19</v>
      </c>
      <c r="D21" s="102"/>
      <c r="E21" s="131">
        <f>+G21-Adjustments!H21</f>
        <v>0</v>
      </c>
      <c r="F21" s="131">
        <f>SUM(F16:F20)</f>
        <v>809495382</v>
      </c>
      <c r="G21" s="131">
        <f>SUM(G16:G20)</f>
        <v>6840857.0213319659</v>
      </c>
      <c r="H21" s="131">
        <f>SUM(H16:H20)</f>
        <v>0</v>
      </c>
      <c r="I21" s="131">
        <f>SUM(I16:I20)</f>
        <v>816336239.02133203</v>
      </c>
      <c r="J21" s="116"/>
      <c r="K21" s="116"/>
      <c r="L21" s="131"/>
      <c r="M21" s="131">
        <f>SUM(M16:M20)</f>
        <v>816336239.02133203</v>
      </c>
      <c r="N21" s="131">
        <f>SUM(N16:N20)</f>
        <v>0</v>
      </c>
      <c r="O21" s="272"/>
      <c r="P21" s="257"/>
      <c r="Q21" s="131">
        <f>SUM(Q16:Q20)</f>
        <v>323644028.15133202</v>
      </c>
      <c r="R21" s="131">
        <f>SUM(R16:R20)</f>
        <v>492692210.86999995</v>
      </c>
      <c r="S21" s="257"/>
      <c r="T21" s="131">
        <f>SUM(T16:T20)</f>
        <v>0</v>
      </c>
      <c r="U21" s="131">
        <f>SUM(U16:U20)</f>
        <v>0</v>
      </c>
      <c r="V21" s="273"/>
      <c r="W21" s="131">
        <f>HLOOKUP($W$9,'ROR-Model'!$Q$10:$U$1263,Y21)</f>
        <v>323644028.15133202</v>
      </c>
      <c r="X21" s="118"/>
      <c r="Y21" s="577">
        <f t="shared" si="0"/>
        <v>12</v>
      </c>
      <c r="AA21" s="131">
        <v>316199223</v>
      </c>
      <c r="AB21" s="116">
        <f t="shared" si="1"/>
        <v>7444805.1513320208</v>
      </c>
    </row>
    <row r="22" spans="1:28">
      <c r="A22" s="227"/>
      <c r="B22" s="728"/>
      <c r="C22" s="728"/>
      <c r="D22" s="102"/>
      <c r="E22" s="116">
        <f>+G22-Adjustments!H22</f>
        <v>0</v>
      </c>
      <c r="F22" s="116"/>
      <c r="G22" s="116"/>
      <c r="H22" s="116"/>
      <c r="I22" s="116"/>
      <c r="J22" s="116"/>
      <c r="K22" s="116"/>
      <c r="L22" s="116"/>
      <c r="M22" s="116"/>
      <c r="N22" s="116"/>
      <c r="O22" s="272"/>
      <c r="P22" s="240"/>
      <c r="Q22" s="116"/>
      <c r="R22" s="116"/>
      <c r="S22" s="240"/>
      <c r="T22" s="116"/>
      <c r="U22" s="116"/>
      <c r="V22" s="273"/>
      <c r="W22" s="116"/>
      <c r="X22" s="118"/>
      <c r="Y22" s="577">
        <f t="shared" si="0"/>
        <v>13</v>
      </c>
      <c r="AA22" s="116"/>
      <c r="AB22" s="116">
        <f t="shared" si="1"/>
        <v>0</v>
      </c>
    </row>
    <row r="23" spans="1:28">
      <c r="A23" s="227"/>
      <c r="B23" s="728"/>
      <c r="C23" s="728" t="s">
        <v>20</v>
      </c>
      <c r="D23" s="102"/>
      <c r="E23" s="116">
        <f>+G23-Adjustments!H23</f>
        <v>0</v>
      </c>
      <c r="F23" s="116">
        <f>Revenue!$F$22</f>
        <v>97193727</v>
      </c>
      <c r="G23" s="116">
        <f>+Adjustments!AW23</f>
        <v>10548764</v>
      </c>
      <c r="H23" s="116"/>
      <c r="I23" s="116">
        <f>SUM($F$23:$H$23)</f>
        <v>107742491</v>
      </c>
      <c r="J23" s="116"/>
      <c r="K23" s="116"/>
      <c r="L23" s="116" t="s">
        <v>14</v>
      </c>
      <c r="M23" s="116">
        <f>VLOOKUP($L23,$L$2:$N$7,2,FALSE)*I23</f>
        <v>107742491</v>
      </c>
      <c r="N23" s="116">
        <f>VLOOKUP($L23,$L$2:$N$7,3,FALSE)*I23</f>
        <v>0</v>
      </c>
      <c r="O23" s="272"/>
      <c r="P23" s="240" t="s">
        <v>560</v>
      </c>
      <c r="Q23" s="116">
        <f>IF(P23="G",M23,IF(P23="PT",0,ERR))</f>
        <v>107742491</v>
      </c>
      <c r="R23" s="116">
        <f>IF(P23="PT",M23,IF(P23="G",0,ERR))</f>
        <v>0</v>
      </c>
      <c r="S23" s="240" t="s">
        <v>560</v>
      </c>
      <c r="T23" s="116">
        <f>IF(S23="G",N23,IF(S23="PT",0,ERR))</f>
        <v>0</v>
      </c>
      <c r="U23" s="116">
        <f>IF(S23="PT",N23,IF(S23="G",0,ERR))</f>
        <v>0</v>
      </c>
      <c r="V23" s="273"/>
      <c r="W23" s="116">
        <f>HLOOKUP($W$9,'ROR-Model'!$Q$10:$U$1263,Y23)</f>
        <v>107742491</v>
      </c>
      <c r="X23" s="118"/>
      <c r="Y23" s="577">
        <f t="shared" si="0"/>
        <v>14</v>
      </c>
      <c r="AA23" s="116">
        <v>97193727</v>
      </c>
      <c r="AB23" s="116">
        <f t="shared" si="1"/>
        <v>10548764</v>
      </c>
    </row>
    <row r="24" spans="1:28">
      <c r="A24" s="227"/>
      <c r="B24" s="728"/>
      <c r="C24" s="728"/>
      <c r="D24" s="102"/>
      <c r="E24" s="116">
        <f>+G24-Adjustments!H24</f>
        <v>0</v>
      </c>
      <c r="F24" s="116"/>
      <c r="G24" s="116"/>
      <c r="H24" s="116"/>
      <c r="I24" s="116"/>
      <c r="J24" s="116"/>
      <c r="K24" s="116"/>
      <c r="L24" s="116"/>
      <c r="M24" s="116"/>
      <c r="N24" s="116"/>
      <c r="O24" s="272"/>
      <c r="P24" s="240"/>
      <c r="Q24" s="116"/>
      <c r="R24" s="116"/>
      <c r="S24" s="240"/>
      <c r="T24" s="116"/>
      <c r="U24" s="116"/>
      <c r="V24" s="273"/>
      <c r="W24" s="116"/>
      <c r="X24" s="118"/>
      <c r="Y24" s="577">
        <f t="shared" si="0"/>
        <v>15</v>
      </c>
      <c r="AA24" s="116"/>
      <c r="AB24" s="116">
        <f t="shared" si="1"/>
        <v>0</v>
      </c>
    </row>
    <row r="25" spans="1:28">
      <c r="A25" s="227"/>
      <c r="B25" s="728" t="s">
        <v>95</v>
      </c>
      <c r="C25" s="728" t="s">
        <v>16</v>
      </c>
      <c r="D25" s="102"/>
      <c r="E25" s="116">
        <f>+G25-Adjustments!H25</f>
        <v>0</v>
      </c>
      <c r="F25" s="116">
        <f>Revenue!$F$24</f>
        <v>0</v>
      </c>
      <c r="G25" s="116">
        <f>+Adjustments!AW25</f>
        <v>0</v>
      </c>
      <c r="H25" s="116"/>
      <c r="I25" s="116">
        <f>SUM($F$25:$H$25)</f>
        <v>0</v>
      </c>
      <c r="J25" s="116"/>
      <c r="K25" s="116"/>
      <c r="L25" s="116" t="s">
        <v>14</v>
      </c>
      <c r="M25" s="116">
        <f>VLOOKUP($L25,$L$2:$N$7,2,FALSE)*I25</f>
        <v>0</v>
      </c>
      <c r="N25" s="116">
        <f>VLOOKUP($L25,$L$2:$N$7,3,FALSE)*I25</f>
        <v>0</v>
      </c>
      <c r="O25" s="272"/>
      <c r="P25" s="240" t="s">
        <v>560</v>
      </c>
      <c r="Q25" s="116">
        <f>IF(P25="G",M25,IF(P25="PT",0,ERR))</f>
        <v>0</v>
      </c>
      <c r="R25" s="116">
        <f>IF(P25="PT",M25,IF(P25="G",0,ERR))</f>
        <v>0</v>
      </c>
      <c r="S25" s="240" t="s">
        <v>560</v>
      </c>
      <c r="T25" s="116">
        <f>IF(S25="G",N25,IF(S25="PT",0,ERR))</f>
        <v>0</v>
      </c>
      <c r="U25" s="116">
        <f>IF(S25="PT",N25,IF(S25="G",0,ERR))</f>
        <v>0</v>
      </c>
      <c r="V25" s="273"/>
      <c r="W25" s="116">
        <f>HLOOKUP($W$9,'ROR-Model'!$Q$10:$U$1263,Y25)</f>
        <v>0</v>
      </c>
      <c r="X25" s="118"/>
      <c r="Y25" s="577">
        <f t="shared" si="0"/>
        <v>16</v>
      </c>
      <c r="AA25" s="116">
        <v>0</v>
      </c>
      <c r="AB25" s="116">
        <f t="shared" si="1"/>
        <v>0</v>
      </c>
    </row>
    <row r="26" spans="1:28">
      <c r="A26" s="227"/>
      <c r="B26" s="728"/>
      <c r="C26" s="728"/>
      <c r="D26" s="102"/>
      <c r="E26" s="116">
        <f>+G26-Adjustments!H26</f>
        <v>0</v>
      </c>
      <c r="F26" s="116"/>
      <c r="G26" s="116"/>
      <c r="H26" s="116"/>
      <c r="I26" s="116"/>
      <c r="J26" s="116"/>
      <c r="K26" s="116"/>
      <c r="L26" s="116"/>
      <c r="M26" s="116"/>
      <c r="N26" s="116"/>
      <c r="O26" s="272"/>
      <c r="P26" s="240"/>
      <c r="Q26" s="116"/>
      <c r="R26" s="116"/>
      <c r="S26" s="240"/>
      <c r="T26" s="116"/>
      <c r="U26" s="116"/>
      <c r="V26" s="273"/>
      <c r="W26" s="116"/>
      <c r="X26" s="118"/>
      <c r="Y26" s="577">
        <f t="shared" si="0"/>
        <v>17</v>
      </c>
      <c r="AA26" s="116"/>
      <c r="AB26" s="116">
        <f t="shared" si="1"/>
        <v>0</v>
      </c>
    </row>
    <row r="27" spans="1:28">
      <c r="A27" s="227"/>
      <c r="B27" s="728"/>
      <c r="C27" s="728" t="s">
        <v>17</v>
      </c>
      <c r="D27" s="102"/>
      <c r="E27" s="116">
        <f>+G27-Adjustments!H27</f>
        <v>0</v>
      </c>
      <c r="F27" s="116">
        <f>Revenue!$F$26</f>
        <v>0</v>
      </c>
      <c r="G27" s="116">
        <f>+Adjustments!AW27</f>
        <v>0</v>
      </c>
      <c r="H27" s="116"/>
      <c r="I27" s="116">
        <f>SUM($F$27:$H$27)</f>
        <v>0</v>
      </c>
      <c r="J27" s="116"/>
      <c r="K27" s="116"/>
      <c r="L27" s="116" t="s">
        <v>14</v>
      </c>
      <c r="M27" s="116">
        <f>VLOOKUP($L27,$L$2:$N$7,2,FALSE)*I27</f>
        <v>0</v>
      </c>
      <c r="N27" s="116">
        <f>VLOOKUP($L27,$L$2:$N$7,3,FALSE)*I27</f>
        <v>0</v>
      </c>
      <c r="O27" s="272"/>
      <c r="P27" s="240" t="s">
        <v>559</v>
      </c>
      <c r="Q27" s="116">
        <f>IF(P27="G",M27,IF(P27="PT",0,ERR))</f>
        <v>0</v>
      </c>
      <c r="R27" s="116">
        <f>IF(P27="PT",M27,IF(P27="G",0,ERR))</f>
        <v>0</v>
      </c>
      <c r="S27" s="240" t="s">
        <v>559</v>
      </c>
      <c r="T27" s="116">
        <f>IF(S27="G",N27,IF(S27="PT",0,ERR))</f>
        <v>0</v>
      </c>
      <c r="U27" s="116">
        <f>IF(S27="PT",N27,IF(S27="G",0,ERR))</f>
        <v>0</v>
      </c>
      <c r="V27" s="273"/>
      <c r="W27" s="116">
        <f>HLOOKUP($W$9,'ROR-Model'!$Q$10:$U$1263,Y27)</f>
        <v>0</v>
      </c>
      <c r="X27" s="118"/>
      <c r="Y27" s="577">
        <f t="shared" si="0"/>
        <v>18</v>
      </c>
      <c r="AA27" s="116">
        <v>0</v>
      </c>
      <c r="AB27" s="116">
        <f t="shared" si="1"/>
        <v>0</v>
      </c>
    </row>
    <row r="28" spans="1:28">
      <c r="A28" s="227"/>
      <c r="B28" s="728"/>
      <c r="C28" s="728"/>
      <c r="D28" s="102"/>
      <c r="E28" s="116">
        <f>+G28-Adjustments!H28</f>
        <v>0</v>
      </c>
      <c r="F28" s="116"/>
      <c r="G28" s="116"/>
      <c r="H28" s="116"/>
      <c r="I28" s="116"/>
      <c r="J28" s="116"/>
      <c r="K28" s="116"/>
      <c r="L28" s="116"/>
      <c r="M28" s="116"/>
      <c r="N28" s="116"/>
      <c r="O28" s="272"/>
      <c r="P28" s="240"/>
      <c r="Q28" s="116"/>
      <c r="R28" s="116"/>
      <c r="S28" s="240"/>
      <c r="T28" s="116"/>
      <c r="U28" s="116"/>
      <c r="V28" s="273"/>
      <c r="W28" s="116"/>
      <c r="X28" s="118"/>
      <c r="Y28" s="577">
        <f t="shared" si="0"/>
        <v>19</v>
      </c>
      <c r="AA28" s="116"/>
      <c r="AB28" s="116">
        <f t="shared" si="1"/>
        <v>0</v>
      </c>
    </row>
    <row r="29" spans="1:28">
      <c r="A29" s="227"/>
      <c r="B29" s="728"/>
      <c r="C29" s="728" t="s">
        <v>18</v>
      </c>
      <c r="D29" s="102"/>
      <c r="E29" s="116">
        <f>+G29-Adjustments!H29</f>
        <v>0</v>
      </c>
      <c r="F29" s="116">
        <f>Revenue!$F$28</f>
        <v>0</v>
      </c>
      <c r="G29" s="116">
        <f>+Adjustments!AW29</f>
        <v>0</v>
      </c>
      <c r="H29" s="116"/>
      <c r="I29" s="116">
        <f>SUM($F$29:$H$29)</f>
        <v>0</v>
      </c>
      <c r="J29" s="116"/>
      <c r="K29" s="116"/>
      <c r="L29" s="116" t="s">
        <v>14</v>
      </c>
      <c r="M29" s="116">
        <f>VLOOKUP($L29,$L$2:$N$7,2,FALSE)*I29</f>
        <v>0</v>
      </c>
      <c r="N29" s="116">
        <f>VLOOKUP($L29,$L$2:$N$7,3,FALSE)*I29</f>
        <v>0</v>
      </c>
      <c r="O29" s="272"/>
      <c r="P29" s="240" t="s">
        <v>559</v>
      </c>
      <c r="Q29" s="116">
        <f>IF(P29="G",M29,IF(P29="PT",0,ERR))</f>
        <v>0</v>
      </c>
      <c r="R29" s="116">
        <f>IF(P29="PT",M29,IF(P29="G",0,ERR))</f>
        <v>0</v>
      </c>
      <c r="S29" s="240" t="s">
        <v>559</v>
      </c>
      <c r="T29" s="116">
        <f>IF(S29="G",N29,IF(S29="PT",0,ERR))</f>
        <v>0</v>
      </c>
      <c r="U29" s="116">
        <f>IF(S29="PT",N29,IF(S29="G",0,ERR))</f>
        <v>0</v>
      </c>
      <c r="V29" s="273"/>
      <c r="W29" s="116">
        <f>HLOOKUP($W$9,'ROR-Model'!$Q$10:$U$1263,Y29)</f>
        <v>0</v>
      </c>
      <c r="X29" s="118"/>
      <c r="Y29" s="577">
        <f t="shared" si="0"/>
        <v>20</v>
      </c>
      <c r="AA29" s="116">
        <v>0</v>
      </c>
      <c r="AB29" s="116">
        <f t="shared" si="1"/>
        <v>0</v>
      </c>
    </row>
    <row r="30" spans="1:28">
      <c r="A30" s="227"/>
      <c r="B30" s="728"/>
      <c r="C30" s="728" t="s">
        <v>19</v>
      </c>
      <c r="D30" s="102"/>
      <c r="E30" s="131">
        <f>+G30-Adjustments!H30</f>
        <v>0</v>
      </c>
      <c r="F30" s="131">
        <f>SUM(F25:F29)</f>
        <v>0</v>
      </c>
      <c r="G30" s="131">
        <f>SUM(G25:G29)</f>
        <v>0</v>
      </c>
      <c r="H30" s="131">
        <f>SUM(H25:H29)</f>
        <v>0</v>
      </c>
      <c r="I30" s="131">
        <f>SUM(I25:I29)</f>
        <v>0</v>
      </c>
      <c r="J30" s="116"/>
      <c r="K30" s="116"/>
      <c r="L30" s="131"/>
      <c r="M30" s="131">
        <f>SUM(M25:M29)</f>
        <v>0</v>
      </c>
      <c r="N30" s="131">
        <f>SUM(N25:N29)</f>
        <v>0</v>
      </c>
      <c r="O30" s="272"/>
      <c r="P30" s="257"/>
      <c r="Q30" s="131">
        <f>SUM(Q25:Q29)</f>
        <v>0</v>
      </c>
      <c r="R30" s="131">
        <f>SUM(R25:R29)</f>
        <v>0</v>
      </c>
      <c r="S30" s="257"/>
      <c r="T30" s="131">
        <f>SUM(T25:T29)</f>
        <v>0</v>
      </c>
      <c r="U30" s="131">
        <f>SUM(U25:U29)</f>
        <v>0</v>
      </c>
      <c r="V30" s="273"/>
      <c r="W30" s="131">
        <f>HLOOKUP($W$9,'ROR-Model'!$Q$10:$U$1263,Y30)</f>
        <v>0</v>
      </c>
      <c r="X30" s="118"/>
      <c r="Y30" s="577">
        <f t="shared" si="0"/>
        <v>21</v>
      </c>
      <c r="AA30" s="131">
        <v>0</v>
      </c>
      <c r="AB30" s="116">
        <f t="shared" si="1"/>
        <v>0</v>
      </c>
    </row>
    <row r="31" spans="1:28">
      <c r="A31" s="227"/>
      <c r="B31" s="728"/>
      <c r="C31" s="728"/>
      <c r="D31" s="102"/>
      <c r="E31" s="116">
        <f>+G31-Adjustments!H31</f>
        <v>0</v>
      </c>
      <c r="F31" s="116"/>
      <c r="G31" s="116"/>
      <c r="H31" s="116"/>
      <c r="I31" s="116"/>
      <c r="J31" s="116"/>
      <c r="K31" s="116"/>
      <c r="L31" s="116"/>
      <c r="M31" s="116"/>
      <c r="N31" s="116"/>
      <c r="O31" s="272"/>
      <c r="P31" s="240"/>
      <c r="Q31" s="116"/>
      <c r="R31" s="116"/>
      <c r="S31" s="240"/>
      <c r="T31" s="116"/>
      <c r="U31" s="116"/>
      <c r="V31" s="273"/>
      <c r="W31" s="116"/>
      <c r="X31" s="118"/>
      <c r="Y31" s="577">
        <f t="shared" si="0"/>
        <v>22</v>
      </c>
      <c r="AA31" s="116"/>
      <c r="AB31" s="116">
        <f t="shared" si="1"/>
        <v>0</v>
      </c>
    </row>
    <row r="32" spans="1:28">
      <c r="A32" s="227"/>
      <c r="B32" s="728"/>
      <c r="C32" s="728" t="s">
        <v>20</v>
      </c>
      <c r="D32" s="102"/>
      <c r="E32" s="116">
        <f>+G32-Adjustments!H32</f>
        <v>0</v>
      </c>
      <c r="F32" s="116">
        <f>Revenue!$F$31</f>
        <v>0</v>
      </c>
      <c r="G32" s="116">
        <f>+Adjustments!AW32</f>
        <v>0</v>
      </c>
      <c r="H32" s="116"/>
      <c r="I32" s="116">
        <f>SUM(F32:H32)</f>
        <v>0</v>
      </c>
      <c r="J32" s="116"/>
      <c r="K32" s="116"/>
      <c r="L32" s="116" t="s">
        <v>14</v>
      </c>
      <c r="M32" s="116">
        <f>VLOOKUP($L32,$L$2:$N$7,2,FALSE)*I32</f>
        <v>0</v>
      </c>
      <c r="N32" s="116">
        <f>VLOOKUP($L32,$L$2:$N$7,3,FALSE)*I32</f>
        <v>0</v>
      </c>
      <c r="O32" s="272"/>
      <c r="P32" s="240" t="s">
        <v>560</v>
      </c>
      <c r="Q32" s="116">
        <f>IF(P32="G",M32,IF(P32="PT",0,ERR))</f>
        <v>0</v>
      </c>
      <c r="R32" s="116">
        <f>IF(P32="PT",M32,IF(P32="G",0,ERR))</f>
        <v>0</v>
      </c>
      <c r="S32" s="240" t="s">
        <v>560</v>
      </c>
      <c r="T32" s="116">
        <f>IF(S32="G",N32,IF(S32="PT",0,ERR))</f>
        <v>0</v>
      </c>
      <c r="U32" s="116">
        <f>IF(S32="PT",N32,IF(S32="G",0,ERR))</f>
        <v>0</v>
      </c>
      <c r="V32" s="273"/>
      <c r="W32" s="116">
        <f>HLOOKUP($W$9,'ROR-Model'!$Q$10:$U$1263,Y32)</f>
        <v>0</v>
      </c>
      <c r="X32" s="118"/>
      <c r="Y32" s="577">
        <f t="shared" si="0"/>
        <v>23</v>
      </c>
      <c r="AA32" s="116">
        <v>0</v>
      </c>
      <c r="AB32" s="116">
        <f t="shared" si="1"/>
        <v>0</v>
      </c>
    </row>
    <row r="33" spans="1:28">
      <c r="A33" s="227"/>
      <c r="B33" s="332"/>
      <c r="C33" s="728"/>
      <c r="E33" s="194">
        <f>+G33-Adjustments!H33</f>
        <v>0</v>
      </c>
      <c r="F33" s="194"/>
      <c r="G33" s="194"/>
      <c r="H33" s="194"/>
      <c r="I33" s="194"/>
      <c r="J33" s="116"/>
      <c r="K33" s="116"/>
      <c r="N33" s="116"/>
      <c r="O33" s="272"/>
      <c r="P33" s="240"/>
      <c r="Q33" s="194"/>
      <c r="R33" s="194"/>
      <c r="S33" s="194"/>
      <c r="T33" s="194"/>
      <c r="U33" s="116"/>
      <c r="V33" s="273"/>
      <c r="W33" s="116"/>
      <c r="X33" s="118"/>
      <c r="Y33" s="577">
        <f t="shared" si="0"/>
        <v>24</v>
      </c>
      <c r="AA33" s="116"/>
      <c r="AB33" s="116">
        <f t="shared" si="1"/>
        <v>0</v>
      </c>
    </row>
    <row r="34" spans="1:28">
      <c r="A34" s="227"/>
      <c r="B34" s="728" t="s">
        <v>808</v>
      </c>
      <c r="C34" s="728" t="s">
        <v>16</v>
      </c>
      <c r="D34" s="102"/>
      <c r="E34" s="116">
        <f>+G34-Adjustments!H34</f>
        <v>0</v>
      </c>
      <c r="F34" s="116">
        <f>Revenue!$F$33</f>
        <v>0</v>
      </c>
      <c r="G34" s="116">
        <f>+Adjustments!AW34</f>
        <v>0</v>
      </c>
      <c r="H34" s="116"/>
      <c r="I34" s="116">
        <f>SUM(F34:H34)</f>
        <v>0</v>
      </c>
      <c r="J34" s="116"/>
      <c r="K34" s="116"/>
      <c r="L34" s="116" t="s">
        <v>14</v>
      </c>
      <c r="M34" s="116">
        <f>VLOOKUP($L34,$L$2:$N$7,2,FALSE)*I34</f>
        <v>0</v>
      </c>
      <c r="N34" s="116">
        <f>VLOOKUP($L34,$L$2:$N$7,3,FALSE)*I34</f>
        <v>0</v>
      </c>
      <c r="O34" s="272"/>
      <c r="P34" s="240" t="s">
        <v>560</v>
      </c>
      <c r="Q34" s="116">
        <f>IF(P34="G",M34,IF(P34="PT",0,ERR))</f>
        <v>0</v>
      </c>
      <c r="R34" s="116">
        <f>IF(P34="PT",M34,IF(P34="G",0,ERR))</f>
        <v>0</v>
      </c>
      <c r="S34" s="240" t="s">
        <v>560</v>
      </c>
      <c r="T34" s="116">
        <f>IF(S34="G",N34,IF(S34="PT",0,ERR))</f>
        <v>0</v>
      </c>
      <c r="U34" s="116">
        <f>IF(S34="PT",N34,IF(S34="G",0,ERR))</f>
        <v>0</v>
      </c>
      <c r="V34" s="273"/>
      <c r="W34" s="116">
        <f>HLOOKUP($W$9,'ROR-Model'!$Q$10:$U$1263,Y34)</f>
        <v>0</v>
      </c>
      <c r="X34" s="118"/>
      <c r="Y34" s="577">
        <f t="shared" si="0"/>
        <v>25</v>
      </c>
      <c r="AA34" s="116">
        <v>0</v>
      </c>
      <c r="AB34" s="116">
        <f t="shared" si="1"/>
        <v>0</v>
      </c>
    </row>
    <row r="35" spans="1:28">
      <c r="A35" s="227"/>
      <c r="B35" s="728"/>
      <c r="C35" s="728"/>
      <c r="D35" s="102"/>
      <c r="E35" s="116">
        <f>+G35-Adjustments!H35</f>
        <v>0</v>
      </c>
      <c r="F35" s="116"/>
      <c r="G35" s="116"/>
      <c r="H35" s="116"/>
      <c r="I35" s="116"/>
      <c r="J35" s="116"/>
      <c r="K35" s="116"/>
      <c r="L35" s="116"/>
      <c r="M35" s="116"/>
      <c r="N35" s="116"/>
      <c r="O35" s="272"/>
      <c r="P35" s="240"/>
      <c r="Q35" s="116"/>
      <c r="R35" s="116"/>
      <c r="S35" s="240"/>
      <c r="T35" s="116"/>
      <c r="U35" s="116"/>
      <c r="V35" s="273"/>
      <c r="W35" s="116"/>
      <c r="X35" s="118"/>
      <c r="Y35" s="577">
        <f t="shared" si="0"/>
        <v>26</v>
      </c>
      <c r="AA35" s="116"/>
      <c r="AB35" s="116">
        <f t="shared" si="1"/>
        <v>0</v>
      </c>
    </row>
    <row r="36" spans="1:28">
      <c r="A36" s="227"/>
      <c r="B36" s="728"/>
      <c r="C36" s="728" t="s">
        <v>17</v>
      </c>
      <c r="D36" s="102"/>
      <c r="E36" s="116">
        <f>+G36-Adjustments!H36</f>
        <v>0</v>
      </c>
      <c r="F36" s="116">
        <f>Revenue!$F$35</f>
        <v>0</v>
      </c>
      <c r="G36" s="116">
        <f>+Adjustments!AW36</f>
        <v>0</v>
      </c>
      <c r="H36" s="116"/>
      <c r="I36" s="116">
        <f>SUM($F$36:$H$36)</f>
        <v>0</v>
      </c>
      <c r="J36" s="116"/>
      <c r="K36" s="116"/>
      <c r="L36" s="116" t="s">
        <v>14</v>
      </c>
      <c r="M36" s="116">
        <f>VLOOKUP($L36,$L$2:$N$7,2,FALSE)*I36</f>
        <v>0</v>
      </c>
      <c r="N36" s="116">
        <f>VLOOKUP($L36,$L$2:$N$7,3,FALSE)*I36</f>
        <v>0</v>
      </c>
      <c r="O36" s="272"/>
      <c r="P36" s="240" t="s">
        <v>559</v>
      </c>
      <c r="Q36" s="116">
        <f>IF(P36="G",M36,IF(P36="PT",0,ERR))</f>
        <v>0</v>
      </c>
      <c r="R36" s="116">
        <f>IF(P36="PT",M36,IF(P36="G",0,ERR))</f>
        <v>0</v>
      </c>
      <c r="S36" s="240" t="s">
        <v>559</v>
      </c>
      <c r="T36" s="116">
        <f>IF(S36="G",N36,IF(S36="PT",0,ERR))</f>
        <v>0</v>
      </c>
      <c r="U36" s="116">
        <f>IF(S36="PT",N36,IF(S36="G",0,ERR))</f>
        <v>0</v>
      </c>
      <c r="V36" s="273"/>
      <c r="W36" s="116">
        <f>HLOOKUP($W$9,'ROR-Model'!$Q$10:$U$1263,Y36)</f>
        <v>0</v>
      </c>
      <c r="X36" s="118"/>
      <c r="Y36" s="577">
        <f t="shared" si="0"/>
        <v>27</v>
      </c>
      <c r="AA36" s="116">
        <v>0</v>
      </c>
      <c r="AB36" s="116">
        <f t="shared" si="1"/>
        <v>0</v>
      </c>
    </row>
    <row r="37" spans="1:28">
      <c r="A37" s="227"/>
      <c r="B37" s="728"/>
      <c r="C37" s="728"/>
      <c r="D37" s="102"/>
      <c r="E37" s="116">
        <f>+G37-Adjustments!H37</f>
        <v>0</v>
      </c>
      <c r="F37" s="116"/>
      <c r="G37" s="116"/>
      <c r="H37" s="116"/>
      <c r="I37" s="116"/>
      <c r="J37" s="116"/>
      <c r="K37" s="116"/>
      <c r="L37" s="116"/>
      <c r="M37" s="116"/>
      <c r="N37" s="116"/>
      <c r="O37" s="272"/>
      <c r="P37" s="240"/>
      <c r="Q37" s="116"/>
      <c r="R37" s="116"/>
      <c r="S37" s="240"/>
      <c r="T37" s="116"/>
      <c r="U37" s="116"/>
      <c r="V37" s="273"/>
      <c r="W37" s="116"/>
      <c r="X37" s="118"/>
      <c r="Y37" s="577">
        <f t="shared" si="0"/>
        <v>28</v>
      </c>
      <c r="AA37" s="116"/>
      <c r="AB37" s="116">
        <f t="shared" si="1"/>
        <v>0</v>
      </c>
    </row>
    <row r="38" spans="1:28">
      <c r="A38" s="227"/>
      <c r="B38" s="728"/>
      <c r="C38" s="728" t="s">
        <v>18</v>
      </c>
      <c r="D38" s="102"/>
      <c r="E38" s="116">
        <f>+G38-Adjustments!H38</f>
        <v>0</v>
      </c>
      <c r="F38" s="116">
        <f>Revenue!$F$37</f>
        <v>0</v>
      </c>
      <c r="G38" s="116">
        <f>+Adjustments!AW38</f>
        <v>0</v>
      </c>
      <c r="H38" s="116"/>
      <c r="I38" s="116">
        <f>SUM($F$38:$H$38)</f>
        <v>0</v>
      </c>
      <c r="J38" s="116"/>
      <c r="K38" s="116"/>
      <c r="L38" s="116" t="s">
        <v>14</v>
      </c>
      <c r="M38" s="116">
        <f>VLOOKUP($L38,$L$2:$N$7,2,FALSE)*I38</f>
        <v>0</v>
      </c>
      <c r="N38" s="116">
        <f>VLOOKUP($L38,$L$2:$N$7,3,FALSE)*I38</f>
        <v>0</v>
      </c>
      <c r="O38" s="272"/>
      <c r="P38" s="240" t="s">
        <v>559</v>
      </c>
      <c r="Q38" s="116">
        <f>IF(P38="G",M38,IF(P38="PT",0,ERR))</f>
        <v>0</v>
      </c>
      <c r="R38" s="116">
        <f>IF(P38="PT",M38,IF(P38="G",0,ERR))</f>
        <v>0</v>
      </c>
      <c r="S38" s="240" t="s">
        <v>559</v>
      </c>
      <c r="T38" s="116">
        <f>IF(S38="G",N38,IF(S38="PT",0,ERR))</f>
        <v>0</v>
      </c>
      <c r="U38" s="116">
        <f>IF(S38="PT",N38,IF(S38="G",0,ERR))</f>
        <v>0</v>
      </c>
      <c r="V38" s="273"/>
      <c r="W38" s="116">
        <f>HLOOKUP($W$9,'ROR-Model'!$Q$10:$U$1263,Y38)</f>
        <v>0</v>
      </c>
      <c r="X38" s="118"/>
      <c r="Y38" s="577">
        <f t="shared" si="0"/>
        <v>29</v>
      </c>
      <c r="AA38" s="116">
        <v>0</v>
      </c>
      <c r="AB38" s="116">
        <f t="shared" si="1"/>
        <v>0</v>
      </c>
    </row>
    <row r="39" spans="1:28">
      <c r="A39" s="227"/>
      <c r="B39" s="728"/>
      <c r="C39" s="728" t="s">
        <v>19</v>
      </c>
      <c r="D39" s="102"/>
      <c r="E39" s="131">
        <f>+G39-Adjustments!H39</f>
        <v>0</v>
      </c>
      <c r="F39" s="131">
        <f>SUM(F34:F38)</f>
        <v>0</v>
      </c>
      <c r="G39" s="131">
        <f>SUM(G34:G38)</f>
        <v>0</v>
      </c>
      <c r="H39" s="131">
        <f>SUM(H34:H38)</f>
        <v>0</v>
      </c>
      <c r="I39" s="131">
        <f>SUM(I34:I38)</f>
        <v>0</v>
      </c>
      <c r="J39" s="116"/>
      <c r="K39" s="116"/>
      <c r="L39" s="131"/>
      <c r="M39" s="131">
        <f>SUM(M34:M38)</f>
        <v>0</v>
      </c>
      <c r="N39" s="131">
        <f>SUM(N34:N38)</f>
        <v>0</v>
      </c>
      <c r="O39" s="272"/>
      <c r="P39" s="257"/>
      <c r="Q39" s="131">
        <f>SUM(Q34:Q38)</f>
        <v>0</v>
      </c>
      <c r="R39" s="131">
        <f>SUM(R34:R38)</f>
        <v>0</v>
      </c>
      <c r="S39" s="257"/>
      <c r="T39" s="131">
        <f>SUM(T34:T38)</f>
        <v>0</v>
      </c>
      <c r="U39" s="131">
        <f>SUM(U34:U38)</f>
        <v>0</v>
      </c>
      <c r="V39" s="273"/>
      <c r="W39" s="131">
        <f>HLOOKUP($W$9,'ROR-Model'!$Q$10:$U$1263,Y39)</f>
        <v>0</v>
      </c>
      <c r="X39" s="118"/>
      <c r="Y39" s="577">
        <f t="shared" si="0"/>
        <v>30</v>
      </c>
      <c r="AA39" s="131">
        <v>0</v>
      </c>
      <c r="AB39" s="116">
        <f t="shared" si="1"/>
        <v>0</v>
      </c>
    </row>
    <row r="40" spans="1:28">
      <c r="A40" s="227"/>
      <c r="B40" s="728"/>
      <c r="C40" s="728"/>
      <c r="D40" s="102"/>
      <c r="E40" s="116">
        <f>+G40-Adjustments!H40</f>
        <v>0</v>
      </c>
      <c r="F40" s="116"/>
      <c r="G40" s="116"/>
      <c r="H40" s="116"/>
      <c r="I40" s="116"/>
      <c r="J40" s="116"/>
      <c r="K40" s="116"/>
      <c r="L40" s="116"/>
      <c r="M40" s="116"/>
      <c r="N40" s="116"/>
      <c r="O40" s="272"/>
      <c r="P40" s="240"/>
      <c r="Q40" s="116"/>
      <c r="R40" s="116"/>
      <c r="S40" s="240"/>
      <c r="T40" s="116"/>
      <c r="U40" s="116"/>
      <c r="V40" s="273"/>
      <c r="W40" s="116"/>
      <c r="X40" s="118"/>
      <c r="Y40" s="577">
        <f t="shared" si="0"/>
        <v>31</v>
      </c>
      <c r="AA40" s="116"/>
      <c r="AB40" s="116">
        <f t="shared" si="1"/>
        <v>0</v>
      </c>
    </row>
    <row r="41" spans="1:28">
      <c r="A41" s="227"/>
      <c r="B41" s="728"/>
      <c r="C41" s="728" t="s">
        <v>20</v>
      </c>
      <c r="D41" s="102"/>
      <c r="E41" s="116">
        <f>+G41-Adjustments!H41</f>
        <v>0</v>
      </c>
      <c r="F41" s="116">
        <f>Revenue!$F$40</f>
        <v>0</v>
      </c>
      <c r="G41" s="116">
        <f>+Adjustments!AW41</f>
        <v>0</v>
      </c>
      <c r="H41" s="116"/>
      <c r="I41" s="116">
        <f>SUM($F$41:$H$41)</f>
        <v>0</v>
      </c>
      <c r="J41" s="116"/>
      <c r="K41" s="116"/>
      <c r="L41" s="116" t="s">
        <v>14</v>
      </c>
      <c r="M41" s="116">
        <f>VLOOKUP($L41,$L$2:$N$7,2,FALSE)*I41</f>
        <v>0</v>
      </c>
      <c r="N41" s="116">
        <f>VLOOKUP($L41,$L$2:$N$7,3,FALSE)*I41</f>
        <v>0</v>
      </c>
      <c r="O41" s="272"/>
      <c r="P41" s="240" t="s">
        <v>560</v>
      </c>
      <c r="Q41" s="116">
        <f>IF(P41="G",M41,IF(P41="PT",0,ERR))</f>
        <v>0</v>
      </c>
      <c r="R41" s="116">
        <f>IF(P41="PT",M41,IF(P41="G",0,ERR))</f>
        <v>0</v>
      </c>
      <c r="S41" s="240" t="s">
        <v>560</v>
      </c>
      <c r="T41" s="116">
        <f>IF(S41="G",N41,IF(S41="PT",0,ERR))</f>
        <v>0</v>
      </c>
      <c r="U41" s="116">
        <f>IF(S41="PT",N41,IF(S41="G",0,ERR))</f>
        <v>0</v>
      </c>
      <c r="V41" s="273"/>
      <c r="W41" s="116">
        <f>HLOOKUP($W$9,'ROR-Model'!$Q$10:$U$1263,Y41)</f>
        <v>0</v>
      </c>
      <c r="X41" s="118"/>
      <c r="Y41" s="577">
        <f t="shared" si="0"/>
        <v>32</v>
      </c>
      <c r="AA41" s="116">
        <v>0</v>
      </c>
      <c r="AB41" s="116">
        <f t="shared" si="1"/>
        <v>0</v>
      </c>
    </row>
    <row r="42" spans="1:28">
      <c r="A42" s="227"/>
      <c r="B42" s="332"/>
      <c r="C42" s="332"/>
      <c r="D42" s="102"/>
      <c r="E42" s="116">
        <f>+G42-Adjustments!H42</f>
        <v>0</v>
      </c>
      <c r="F42" s="116"/>
      <c r="G42" s="116"/>
      <c r="H42" s="116"/>
      <c r="I42" s="116"/>
      <c r="J42" s="116"/>
      <c r="K42" s="116"/>
      <c r="L42" s="116"/>
      <c r="M42" s="116"/>
      <c r="N42" s="116"/>
      <c r="O42" s="272"/>
      <c r="P42" s="240"/>
      <c r="Q42" s="116"/>
      <c r="R42" s="116"/>
      <c r="S42" s="240"/>
      <c r="T42" s="116"/>
      <c r="U42" s="116"/>
      <c r="V42" s="273"/>
      <c r="W42" s="116"/>
      <c r="X42" s="118"/>
      <c r="Y42" s="577">
        <f t="shared" si="0"/>
        <v>33</v>
      </c>
      <c r="AA42" s="116"/>
      <c r="AB42" s="116">
        <f t="shared" si="1"/>
        <v>0</v>
      </c>
    </row>
    <row r="43" spans="1:28">
      <c r="A43" s="227"/>
      <c r="B43" s="728" t="s">
        <v>809</v>
      </c>
      <c r="C43" s="728" t="s">
        <v>16</v>
      </c>
      <c r="D43" s="102"/>
      <c r="E43" s="116">
        <f>+G43-Adjustments!H43</f>
        <v>0</v>
      </c>
      <c r="F43" s="116">
        <f>Revenue!$F$42</f>
        <v>3357867</v>
      </c>
      <c r="G43" s="116">
        <f>+Adjustments!AW43</f>
        <v>-788867.11434151558</v>
      </c>
      <c r="H43" s="116"/>
      <c r="I43" s="116">
        <f>SUM($F$43:$H$43)</f>
        <v>2568999.8856584844</v>
      </c>
      <c r="J43" s="116"/>
      <c r="K43" s="116"/>
      <c r="L43" s="116" t="s">
        <v>14</v>
      </c>
      <c r="M43" s="116">
        <f>VLOOKUP($L43,$L$2:$N$7,2,FALSE)*I43</f>
        <v>2568999.8856584844</v>
      </c>
      <c r="N43" s="116">
        <f>VLOOKUP($L43,$L$2:$N$7,3,FALSE)*I43</f>
        <v>0</v>
      </c>
      <c r="O43" s="272"/>
      <c r="P43" s="240" t="s">
        <v>560</v>
      </c>
      <c r="Q43" s="116">
        <f>IF(P43="G",M43,IF(P43="PT",0,ERR))</f>
        <v>2568999.8856584844</v>
      </c>
      <c r="R43" s="116">
        <f>IF(P43="PT",M43,IF(P43="G",0,ERR))</f>
        <v>0</v>
      </c>
      <c r="S43" s="240" t="s">
        <v>560</v>
      </c>
      <c r="T43" s="116">
        <f>IF(S43="G",N43,IF(S43="PT",0,ERR))</f>
        <v>0</v>
      </c>
      <c r="U43" s="116">
        <f>IF(S43="PT",N43,IF(S43="G",0,ERR))</f>
        <v>0</v>
      </c>
      <c r="V43" s="273"/>
      <c r="W43" s="116">
        <f>HLOOKUP($W$9,'ROR-Model'!$Q$10:$U$1263,Y43)</f>
        <v>2568999.8856584844</v>
      </c>
      <c r="X43" s="118"/>
      <c r="Y43" s="577">
        <f t="shared" si="0"/>
        <v>34</v>
      </c>
      <c r="AA43" s="116">
        <v>3357867</v>
      </c>
      <c r="AB43" s="116">
        <f t="shared" si="1"/>
        <v>-788867.11434151558</v>
      </c>
    </row>
    <row r="44" spans="1:28">
      <c r="A44" s="227"/>
      <c r="B44" s="728"/>
      <c r="C44" s="728"/>
      <c r="D44" s="102"/>
      <c r="E44" s="116">
        <f>+G44-Adjustments!H44</f>
        <v>0</v>
      </c>
      <c r="F44" s="116"/>
      <c r="G44" s="116"/>
      <c r="H44" s="116"/>
      <c r="I44" s="116"/>
      <c r="J44" s="116"/>
      <c r="K44" s="116"/>
      <c r="L44" s="116"/>
      <c r="M44" s="116"/>
      <c r="N44" s="116"/>
      <c r="O44" s="272"/>
      <c r="P44" s="240"/>
      <c r="Q44" s="116"/>
      <c r="R44" s="116"/>
      <c r="S44" s="240"/>
      <c r="T44" s="116"/>
      <c r="U44" s="116"/>
      <c r="V44" s="273"/>
      <c r="W44" s="116"/>
      <c r="X44" s="118"/>
      <c r="Y44" s="577">
        <f t="shared" si="0"/>
        <v>35</v>
      </c>
      <c r="AA44" s="116"/>
      <c r="AB44" s="116">
        <f t="shared" si="1"/>
        <v>0</v>
      </c>
    </row>
    <row r="45" spans="1:28">
      <c r="A45" s="227"/>
      <c r="B45" s="728"/>
      <c r="C45" s="728" t="s">
        <v>17</v>
      </c>
      <c r="D45" s="102"/>
      <c r="E45" s="116">
        <f>+G45-Adjustments!H45</f>
        <v>0</v>
      </c>
      <c r="F45" s="116">
        <f>Revenue!$F$44</f>
        <v>3463902</v>
      </c>
      <c r="G45" s="116">
        <f>+Adjustments!AW45</f>
        <v>-705458.98</v>
      </c>
      <c r="H45" s="116"/>
      <c r="I45" s="116">
        <f>SUM($F$45:$H$45)</f>
        <v>2758443.02</v>
      </c>
      <c r="J45" s="116"/>
      <c r="K45" s="116"/>
      <c r="L45" s="116" t="s">
        <v>14</v>
      </c>
      <c r="M45" s="116">
        <f>VLOOKUP($L45,$L$2:$N$7,2,FALSE)*I45</f>
        <v>2758443.02</v>
      </c>
      <c r="N45" s="116">
        <f>VLOOKUP($L45,$L$2:$N$7,3,FALSE)*I45</f>
        <v>0</v>
      </c>
      <c r="O45" s="272"/>
      <c r="P45" s="240" t="s">
        <v>559</v>
      </c>
      <c r="Q45" s="116">
        <f>IF(P45="G",M45,IF(P45="PT",0,ERR))</f>
        <v>0</v>
      </c>
      <c r="R45" s="116">
        <f>IF(P45="PT",M45,IF(P45="G",0,ERR))</f>
        <v>2758443.02</v>
      </c>
      <c r="S45" s="240" t="s">
        <v>559</v>
      </c>
      <c r="T45" s="116">
        <f>IF(S45="G",N45,IF(S45="PT",0,ERR))</f>
        <v>0</v>
      </c>
      <c r="U45" s="116">
        <f>IF(S45="PT",N45,IF(S45="G",0,ERR))</f>
        <v>0</v>
      </c>
      <c r="V45" s="273"/>
      <c r="W45" s="116">
        <f>HLOOKUP($W$9,'ROR-Model'!$Q$10:$U$1263,Y45)</f>
        <v>0</v>
      </c>
      <c r="X45" s="118"/>
      <c r="Y45" s="577">
        <f t="shared" si="0"/>
        <v>36</v>
      </c>
      <c r="AA45" s="116">
        <v>0</v>
      </c>
      <c r="AB45" s="116">
        <f t="shared" si="1"/>
        <v>0</v>
      </c>
    </row>
    <row r="46" spans="1:28">
      <c r="A46" s="227"/>
      <c r="B46" s="728"/>
      <c r="C46" s="728"/>
      <c r="D46" s="102"/>
      <c r="E46" s="116">
        <f>+G46-Adjustments!H46</f>
        <v>0</v>
      </c>
      <c r="F46" s="116"/>
      <c r="G46" s="116"/>
      <c r="H46" s="116"/>
      <c r="I46" s="116"/>
      <c r="J46" s="116"/>
      <c r="K46" s="116"/>
      <c r="L46" s="116"/>
      <c r="M46" s="116"/>
      <c r="N46" s="116"/>
      <c r="O46" s="272"/>
      <c r="P46" s="240"/>
      <c r="Q46" s="116"/>
      <c r="R46" s="116"/>
      <c r="S46" s="240"/>
      <c r="T46" s="116"/>
      <c r="U46" s="116"/>
      <c r="V46" s="273"/>
      <c r="W46" s="116"/>
      <c r="X46" s="118"/>
      <c r="Y46" s="577">
        <f t="shared" si="0"/>
        <v>37</v>
      </c>
      <c r="AA46" s="116"/>
      <c r="AB46" s="116">
        <f t="shared" si="1"/>
        <v>0</v>
      </c>
    </row>
    <row r="47" spans="1:28">
      <c r="A47" s="227"/>
      <c r="B47" s="728"/>
      <c r="C47" s="728" t="s">
        <v>18</v>
      </c>
      <c r="D47" s="102"/>
      <c r="E47" s="116">
        <f>+G47-Adjustments!H47</f>
        <v>0</v>
      </c>
      <c r="F47" s="116">
        <f>Revenue!$F$46</f>
        <v>15794370</v>
      </c>
      <c r="G47" s="116">
        <f>+Adjustments!AW47</f>
        <v>-5565306.0999999996</v>
      </c>
      <c r="H47" s="116"/>
      <c r="I47" s="116">
        <f>SUM($F$47:$H$47)</f>
        <v>10229063.9</v>
      </c>
      <c r="J47" s="116"/>
      <c r="K47" s="116"/>
      <c r="L47" s="116" t="s">
        <v>14</v>
      </c>
      <c r="M47" s="116">
        <f>VLOOKUP($L47,$L$2:$N$7,2,FALSE)*I47</f>
        <v>10229063.9</v>
      </c>
      <c r="N47" s="116">
        <f>VLOOKUP($L47,$L$2:$N$7,3,FALSE)*I47</f>
        <v>0</v>
      </c>
      <c r="O47" s="272"/>
      <c r="P47" s="240" t="s">
        <v>559</v>
      </c>
      <c r="Q47" s="116">
        <f>IF(P47="G",M47,IF(P47="PT",0,ERR))</f>
        <v>0</v>
      </c>
      <c r="R47" s="116">
        <f>IF(P47="PT",M47,IF(P47="G",0,ERR))</f>
        <v>10229063.9</v>
      </c>
      <c r="S47" s="240" t="s">
        <v>559</v>
      </c>
      <c r="T47" s="116">
        <f>IF(S47="G",N47,IF(S47="PT",0,ERR))</f>
        <v>0</v>
      </c>
      <c r="U47" s="116">
        <f>IF(S47="PT",N47,IF(S47="G",0,ERR))</f>
        <v>0</v>
      </c>
      <c r="V47" s="273"/>
      <c r="W47" s="116">
        <f>HLOOKUP($W$9,'ROR-Model'!$Q$10:$U$1263,Y47)</f>
        <v>0</v>
      </c>
      <c r="X47" s="118"/>
      <c r="Y47" s="577">
        <f t="shared" si="0"/>
        <v>38</v>
      </c>
      <c r="AA47" s="116">
        <v>0</v>
      </c>
      <c r="AB47" s="116">
        <f t="shared" si="1"/>
        <v>0</v>
      </c>
    </row>
    <row r="48" spans="1:28">
      <c r="A48" s="227"/>
      <c r="B48" s="728"/>
      <c r="C48" s="728" t="s">
        <v>19</v>
      </c>
      <c r="D48" s="102"/>
      <c r="E48" s="131">
        <f>+G48-Adjustments!H48</f>
        <v>0</v>
      </c>
      <c r="F48" s="131">
        <f>SUM(F43:F47)</f>
        <v>22616139</v>
      </c>
      <c r="G48" s="131">
        <f>SUM(G43:G47)</f>
        <v>-7059632.1943415152</v>
      </c>
      <c r="H48" s="131">
        <f>SUM(H43:H47)</f>
        <v>0</v>
      </c>
      <c r="I48" s="131">
        <f>SUM(I43:I47)</f>
        <v>15556506.805658486</v>
      </c>
      <c r="J48" s="116"/>
      <c r="K48" s="116"/>
      <c r="L48" s="131"/>
      <c r="M48" s="131">
        <f>SUM(M43:M47)</f>
        <v>15556506.805658486</v>
      </c>
      <c r="N48" s="131">
        <f>SUM(N43:N47)</f>
        <v>0</v>
      </c>
      <c r="O48" s="272"/>
      <c r="P48" s="257"/>
      <c r="Q48" s="131">
        <f>SUM(Q43:Q47)</f>
        <v>2568999.8856584844</v>
      </c>
      <c r="R48" s="131">
        <f>SUM(R43:R47)</f>
        <v>12987506.92</v>
      </c>
      <c r="S48" s="257"/>
      <c r="T48" s="131">
        <f>SUM(T43:T47)</f>
        <v>0</v>
      </c>
      <c r="U48" s="131">
        <f>SUM(U43:U47)</f>
        <v>0</v>
      </c>
      <c r="V48" s="273"/>
      <c r="W48" s="131">
        <f>HLOOKUP($W$9,'ROR-Model'!$Q$10:$U$1263,Y48)</f>
        <v>2568999.8856584844</v>
      </c>
      <c r="X48" s="118"/>
      <c r="Y48" s="577">
        <f t="shared" si="0"/>
        <v>39</v>
      </c>
      <c r="AA48" s="131">
        <v>3357867</v>
      </c>
      <c r="AB48" s="116">
        <f t="shared" si="1"/>
        <v>-788867.11434151558</v>
      </c>
    </row>
    <row r="49" spans="1:28">
      <c r="A49" s="227"/>
      <c r="B49" s="728"/>
      <c r="C49" s="728"/>
      <c r="D49" s="102"/>
      <c r="E49" s="116">
        <f>+G49-Adjustments!H49</f>
        <v>0</v>
      </c>
      <c r="F49" s="116"/>
      <c r="G49" s="116"/>
      <c r="H49" s="116"/>
      <c r="I49" s="116"/>
      <c r="J49" s="116"/>
      <c r="K49" s="116"/>
      <c r="L49" s="116"/>
      <c r="M49" s="116"/>
      <c r="N49" s="116"/>
      <c r="O49" s="272"/>
      <c r="P49" s="240"/>
      <c r="Q49" s="116"/>
      <c r="R49" s="116"/>
      <c r="S49" s="240"/>
      <c r="T49" s="116"/>
      <c r="U49" s="116"/>
      <c r="V49" s="273"/>
      <c r="W49" s="116"/>
      <c r="X49" s="118"/>
      <c r="Y49" s="577">
        <f t="shared" si="0"/>
        <v>40</v>
      </c>
      <c r="AA49" s="116"/>
      <c r="AB49" s="116">
        <f t="shared" si="1"/>
        <v>0</v>
      </c>
    </row>
    <row r="50" spans="1:28">
      <c r="A50" s="227"/>
      <c r="B50" s="728"/>
      <c r="C50" s="728" t="s">
        <v>20</v>
      </c>
      <c r="D50" s="102"/>
      <c r="E50" s="116">
        <f>+G50-Adjustments!H50</f>
        <v>0</v>
      </c>
      <c r="F50" s="116">
        <f>Revenue!$F$49</f>
        <v>3917177</v>
      </c>
      <c r="G50" s="116">
        <f>+Adjustments!AW50</f>
        <v>-967739</v>
      </c>
      <c r="H50" s="116"/>
      <c r="I50" s="116">
        <f>SUM($F$50:$H$50)</f>
        <v>2949438</v>
      </c>
      <c r="J50" s="116"/>
      <c r="K50" s="116"/>
      <c r="L50" s="116" t="s">
        <v>14</v>
      </c>
      <c r="M50" s="116">
        <f>VLOOKUP($L50,$L$2:$N$7,2,FALSE)*I50</f>
        <v>2949438</v>
      </c>
      <c r="N50" s="116">
        <f>VLOOKUP($L50,$L$2:$N$7,3,FALSE)*I50</f>
        <v>0</v>
      </c>
      <c r="O50" s="272"/>
      <c r="P50" s="240" t="s">
        <v>560</v>
      </c>
      <c r="Q50" s="116">
        <f>IF(P50="G",M50,IF(P50="PT",0,ERR))</f>
        <v>2949438</v>
      </c>
      <c r="R50" s="116">
        <f>IF(P50="PT",M50,IF(P50="G",0,ERR))</f>
        <v>0</v>
      </c>
      <c r="S50" s="240" t="s">
        <v>560</v>
      </c>
      <c r="T50" s="116">
        <f>IF(S50="G",N50,IF(S50="PT",0,ERR))</f>
        <v>0</v>
      </c>
      <c r="U50" s="116">
        <f>IF(S50="PT",N50,IF(S50="G",0,ERR))</f>
        <v>0</v>
      </c>
      <c r="V50" s="273"/>
      <c r="W50" s="116">
        <f>HLOOKUP($W$9,'ROR-Model'!$Q$10:$U$1263,Y50)</f>
        <v>2949438</v>
      </c>
      <c r="X50" s="118"/>
      <c r="Y50" s="577">
        <f t="shared" si="0"/>
        <v>41</v>
      </c>
      <c r="AA50" s="116">
        <v>3917177</v>
      </c>
      <c r="AB50" s="116">
        <f t="shared" si="1"/>
        <v>-967739</v>
      </c>
    </row>
    <row r="51" spans="1:28">
      <c r="A51" s="227"/>
      <c r="B51" s="332"/>
      <c r="C51" s="332"/>
      <c r="D51" s="102"/>
      <c r="E51" s="116">
        <f>+G51-Adjustments!H51</f>
        <v>0</v>
      </c>
      <c r="F51" s="116"/>
      <c r="G51" s="116"/>
      <c r="H51" s="116"/>
      <c r="I51" s="116"/>
      <c r="J51" s="116"/>
      <c r="K51" s="116"/>
      <c r="L51" s="116"/>
      <c r="M51" s="116"/>
      <c r="N51" s="116"/>
      <c r="O51" s="272"/>
      <c r="P51" s="240"/>
      <c r="Q51" s="116"/>
      <c r="R51" s="116"/>
      <c r="S51" s="240"/>
      <c r="T51" s="116"/>
      <c r="U51" s="116"/>
      <c r="V51" s="273"/>
      <c r="W51" s="116"/>
      <c r="X51" s="118"/>
      <c r="Y51" s="577">
        <f t="shared" si="0"/>
        <v>42</v>
      </c>
      <c r="AA51" s="116"/>
      <c r="AB51" s="116">
        <f t="shared" si="1"/>
        <v>0</v>
      </c>
    </row>
    <row r="52" spans="1:28">
      <c r="A52" s="227"/>
      <c r="B52" s="728" t="s">
        <v>811</v>
      </c>
      <c r="C52" s="728" t="s">
        <v>16</v>
      </c>
      <c r="D52" s="102"/>
      <c r="E52" s="116">
        <f>+G52-Adjustments!H52</f>
        <v>0</v>
      </c>
      <c r="F52" s="116">
        <f>Revenue!$F$51</f>
        <v>0</v>
      </c>
      <c r="G52" s="116">
        <f>+Adjustments!AW52</f>
        <v>0</v>
      </c>
      <c r="H52" s="116"/>
      <c r="I52" s="116">
        <f>SUM($F$52:$H$52)</f>
        <v>0</v>
      </c>
      <c r="J52" s="116"/>
      <c r="K52" s="116"/>
      <c r="L52" s="116" t="s">
        <v>14</v>
      </c>
      <c r="M52" s="116">
        <f>VLOOKUP($L52,$L$2:$N$7,2,FALSE)*I52</f>
        <v>0</v>
      </c>
      <c r="N52" s="116">
        <f>VLOOKUP($L52,$L$2:$N$7,3,FALSE)*I52</f>
        <v>0</v>
      </c>
      <c r="O52" s="272"/>
      <c r="P52" s="240" t="s">
        <v>560</v>
      </c>
      <c r="Q52" s="116">
        <f>IF(P52="G",M52,IF(P52="PT",0,ERR))</f>
        <v>0</v>
      </c>
      <c r="R52" s="116">
        <f>IF(P52="PT",M52,IF(P52="G",0,ERR))</f>
        <v>0</v>
      </c>
      <c r="S52" s="240" t="s">
        <v>560</v>
      </c>
      <c r="T52" s="116">
        <f>IF(S52="G",N52,IF(S52="PT",0,ERR))</f>
        <v>0</v>
      </c>
      <c r="U52" s="116">
        <f>IF(S52="PT",N52,IF(S52="G",0,ERR))</f>
        <v>0</v>
      </c>
      <c r="V52" s="273"/>
      <c r="W52" s="116">
        <f>HLOOKUP($W$9,'ROR-Model'!$Q$10:$U$1263,Y52)</f>
        <v>0</v>
      </c>
      <c r="X52" s="118"/>
      <c r="Y52" s="577">
        <f t="shared" si="0"/>
        <v>43</v>
      </c>
      <c r="AA52" s="116">
        <v>0</v>
      </c>
      <c r="AB52" s="116">
        <f t="shared" si="1"/>
        <v>0</v>
      </c>
    </row>
    <row r="53" spans="1:28">
      <c r="A53" s="227"/>
      <c r="B53" s="728"/>
      <c r="C53" s="728" t="s">
        <v>17</v>
      </c>
      <c r="D53" s="102"/>
      <c r="E53" s="116">
        <f>+G53-Adjustments!H53</f>
        <v>0</v>
      </c>
      <c r="F53" s="116"/>
      <c r="G53" s="116"/>
      <c r="H53" s="116"/>
      <c r="I53" s="116">
        <f>SUM($F$53:$H$53)</f>
        <v>0</v>
      </c>
      <c r="J53" s="116"/>
      <c r="K53" s="116"/>
      <c r="L53" s="116" t="s">
        <v>14</v>
      </c>
      <c r="M53" s="116">
        <f>VLOOKUP($L53,$L$2:$N$7,2,FALSE)*I53</f>
        <v>0</v>
      </c>
      <c r="N53" s="116">
        <f>VLOOKUP($L53,$L$2:$N$7,3,FALSE)*I53</f>
        <v>0</v>
      </c>
      <c r="O53" s="272"/>
      <c r="P53" s="240" t="s">
        <v>559</v>
      </c>
      <c r="Q53" s="116">
        <f>IF(P53="G",M53,IF(P53="PT",0,ERR))</f>
        <v>0</v>
      </c>
      <c r="R53" s="116">
        <f>IF(P53="PT",M53,IF(P53="G",0,ERR))</f>
        <v>0</v>
      </c>
      <c r="S53" s="240" t="s">
        <v>559</v>
      </c>
      <c r="T53" s="116">
        <f>IF(S53="G",N53,IF(S53="PT",0,ERR))</f>
        <v>0</v>
      </c>
      <c r="U53" s="116">
        <f>IF(S53="PT",N53,IF(S53="G",0,ERR))</f>
        <v>0</v>
      </c>
      <c r="V53" s="273"/>
      <c r="W53" s="116">
        <f>HLOOKUP($W$9,'ROR-Model'!$Q$10:$U$1263,Y53)</f>
        <v>0</v>
      </c>
      <c r="X53" s="118"/>
      <c r="Y53" s="577">
        <f t="shared" si="0"/>
        <v>44</v>
      </c>
      <c r="AA53" s="116">
        <v>0</v>
      </c>
      <c r="AB53" s="116">
        <f t="shared" si="1"/>
        <v>0</v>
      </c>
    </row>
    <row r="54" spans="1:28">
      <c r="A54" s="227"/>
      <c r="B54" s="332"/>
      <c r="C54" s="728" t="s">
        <v>812</v>
      </c>
      <c r="D54" s="102"/>
      <c r="E54" s="116">
        <f>+G54-Adjustments!H54</f>
        <v>0</v>
      </c>
      <c r="F54" s="116">
        <f>Revenue!$F$53</f>
        <v>0</v>
      </c>
      <c r="G54" s="116">
        <f>+Adjustments!AW54</f>
        <v>0</v>
      </c>
      <c r="H54" s="116"/>
      <c r="I54" s="116">
        <f>SUM($F$54:$H$54)</f>
        <v>0</v>
      </c>
      <c r="J54" s="116"/>
      <c r="K54" s="116"/>
      <c r="L54" s="116" t="s">
        <v>14</v>
      </c>
      <c r="M54" s="116">
        <f>VLOOKUP($L54,$L$2:$N$7,2,FALSE)*I54</f>
        <v>0</v>
      </c>
      <c r="N54" s="116">
        <f>VLOOKUP($L54,$L$2:$N$7,3,FALSE)*I54</f>
        <v>0</v>
      </c>
      <c r="O54" s="272"/>
      <c r="P54" s="240" t="s">
        <v>559</v>
      </c>
      <c r="Q54" s="116">
        <f>IF(P54="G",M54,IF(P54="PT",0,ERR))</f>
        <v>0</v>
      </c>
      <c r="R54" s="116">
        <f>IF(P54="PT",M54,IF(P54="G",0,ERR))</f>
        <v>0</v>
      </c>
      <c r="S54" s="240" t="s">
        <v>559</v>
      </c>
      <c r="T54" s="116">
        <f>IF(S54="G",N54,IF(S54="PT",0,ERR))</f>
        <v>0</v>
      </c>
      <c r="U54" s="116">
        <f>IF(S54="PT",N54,IF(S54="G",0,ERR))</f>
        <v>0</v>
      </c>
      <c r="V54" s="273"/>
      <c r="W54" s="116">
        <f>HLOOKUP($W$9,'ROR-Model'!$Q$10:$U$1263,Y54)</f>
        <v>0</v>
      </c>
      <c r="X54" s="118"/>
      <c r="Y54" s="577">
        <f t="shared" si="0"/>
        <v>45</v>
      </c>
      <c r="AA54" s="116">
        <v>0</v>
      </c>
      <c r="AB54" s="116">
        <f t="shared" si="1"/>
        <v>0</v>
      </c>
    </row>
    <row r="55" spans="1:28">
      <c r="A55" s="227"/>
      <c r="B55" s="728"/>
      <c r="C55" s="728" t="s">
        <v>813</v>
      </c>
      <c r="D55" s="102"/>
      <c r="E55" s="116">
        <f>+G55-Adjustments!H55</f>
        <v>0</v>
      </c>
      <c r="F55" s="116"/>
      <c r="G55" s="116"/>
      <c r="H55" s="116"/>
      <c r="I55" s="116">
        <f>SUM($F$55:$H$55)</f>
        <v>0</v>
      </c>
      <c r="J55" s="116"/>
      <c r="K55" s="116"/>
      <c r="L55" s="116" t="s">
        <v>14</v>
      </c>
      <c r="M55" s="116">
        <f>VLOOKUP($L55,$L$2:$N$7,2,FALSE)*I55</f>
        <v>0</v>
      </c>
      <c r="N55" s="116">
        <f>VLOOKUP($L55,$L$2:$N$7,3,FALSE)*I55</f>
        <v>0</v>
      </c>
      <c r="O55" s="272"/>
      <c r="P55" s="240" t="s">
        <v>559</v>
      </c>
      <c r="Q55" s="116">
        <f>IF(P55="G",M55,IF(P55="PT",0,ERR))</f>
        <v>0</v>
      </c>
      <c r="R55" s="116">
        <f>IF(P55="PT",M55,IF(P55="G",0,ERR))</f>
        <v>0</v>
      </c>
      <c r="S55" s="240" t="s">
        <v>559</v>
      </c>
      <c r="T55" s="116">
        <f>IF(S55="G",N55,IF(S55="PT",0,ERR))</f>
        <v>0</v>
      </c>
      <c r="U55" s="116">
        <f>IF(S55="PT",N55,IF(S55="G",0,ERR))</f>
        <v>0</v>
      </c>
      <c r="V55" s="273"/>
      <c r="W55" s="116">
        <f>HLOOKUP($W$9,'ROR-Model'!$Q$10:$U$1263,Y55)</f>
        <v>0</v>
      </c>
      <c r="X55" s="118"/>
      <c r="Y55" s="577">
        <f t="shared" si="0"/>
        <v>46</v>
      </c>
      <c r="AA55" s="116">
        <v>0</v>
      </c>
      <c r="AB55" s="116">
        <f t="shared" si="1"/>
        <v>0</v>
      </c>
    </row>
    <row r="56" spans="1:28">
      <c r="A56" s="227"/>
      <c r="B56" s="332"/>
      <c r="C56" s="332" t="s">
        <v>814</v>
      </c>
      <c r="D56" s="102"/>
      <c r="E56" s="116">
        <f>+G56-Adjustments!H56</f>
        <v>0</v>
      </c>
      <c r="F56" s="116">
        <f>Revenue!$F$55</f>
        <v>0</v>
      </c>
      <c r="G56" s="116">
        <f>+Adjustments!AW56</f>
        <v>0</v>
      </c>
      <c r="H56" s="116"/>
      <c r="I56" s="116">
        <f>SUM($F$56:$H$56)</f>
        <v>0</v>
      </c>
      <c r="J56" s="116"/>
      <c r="K56" s="116"/>
      <c r="L56" s="116" t="s">
        <v>14</v>
      </c>
      <c r="M56" s="116">
        <f>VLOOKUP($L56,$L$2:$N$7,2,FALSE)*I56</f>
        <v>0</v>
      </c>
      <c r="N56" s="116">
        <f>VLOOKUP($L56,$L$2:$N$7,3,FALSE)*I56</f>
        <v>0</v>
      </c>
      <c r="O56" s="272"/>
      <c r="P56" s="240" t="s">
        <v>559</v>
      </c>
      <c r="Q56" s="116">
        <f>IF(P56="G",M56,IF(P56="PT",0,ERR))</f>
        <v>0</v>
      </c>
      <c r="R56" s="116">
        <f>IF(P56="PT",M56,IF(P56="G",0,ERR))</f>
        <v>0</v>
      </c>
      <c r="S56" s="240" t="s">
        <v>559</v>
      </c>
      <c r="T56" s="116">
        <f>IF(S56="G",N56,IF(S56="PT",0,ERR))</f>
        <v>0</v>
      </c>
      <c r="U56" s="116">
        <f>IF(S56="PT",N56,IF(S56="G",0,ERR))</f>
        <v>0</v>
      </c>
      <c r="V56" s="273"/>
      <c r="W56" s="116">
        <f>HLOOKUP($W$9,'ROR-Model'!$Q$10:$U$1263,Y56)</f>
        <v>0</v>
      </c>
      <c r="X56" s="118"/>
      <c r="Y56" s="577">
        <f t="shared" si="0"/>
        <v>47</v>
      </c>
      <c r="AA56" s="116">
        <v>0</v>
      </c>
      <c r="AB56" s="116">
        <f t="shared" si="1"/>
        <v>0</v>
      </c>
    </row>
    <row r="57" spans="1:28">
      <c r="A57" s="227"/>
      <c r="B57" s="332"/>
      <c r="C57" s="728" t="s">
        <v>19</v>
      </c>
      <c r="D57" s="102"/>
      <c r="E57" s="131">
        <f>+G57-Adjustments!H57</f>
        <v>0</v>
      </c>
      <c r="F57" s="131">
        <f>SUM(F52:F56)</f>
        <v>0</v>
      </c>
      <c r="G57" s="131">
        <f>SUM(G52:G56)</f>
        <v>0</v>
      </c>
      <c r="H57" s="131">
        <f>SUM(H52:H56)</f>
        <v>0</v>
      </c>
      <c r="I57" s="131">
        <f>SUM(I52:I56)</f>
        <v>0</v>
      </c>
      <c r="J57" s="116"/>
      <c r="K57" s="116"/>
      <c r="L57" s="131"/>
      <c r="M57" s="131">
        <f>SUM(M52:M56)</f>
        <v>0</v>
      </c>
      <c r="N57" s="131">
        <f>SUM(N52:N56)</f>
        <v>0</v>
      </c>
      <c r="O57" s="272"/>
      <c r="P57" s="257"/>
      <c r="Q57" s="131">
        <f>SUM(Q52:Q56)</f>
        <v>0</v>
      </c>
      <c r="R57" s="131">
        <f>SUM(R52:R56)</f>
        <v>0</v>
      </c>
      <c r="S57" s="257"/>
      <c r="T57" s="131">
        <f>SUM(T52:T56)</f>
        <v>0</v>
      </c>
      <c r="U57" s="131">
        <f>SUM(U52:U56)</f>
        <v>0</v>
      </c>
      <c r="V57" s="273"/>
      <c r="W57" s="131">
        <f>HLOOKUP($W$9,'ROR-Model'!$Q$10:$U$1263,Y57)</f>
        <v>0</v>
      </c>
      <c r="X57" s="118"/>
      <c r="Y57" s="577">
        <f t="shared" si="0"/>
        <v>48</v>
      </c>
      <c r="AA57" s="131">
        <v>0</v>
      </c>
      <c r="AB57" s="116">
        <f t="shared" si="1"/>
        <v>0</v>
      </c>
    </row>
    <row r="58" spans="1:28">
      <c r="A58" s="227"/>
      <c r="B58" s="332"/>
      <c r="C58" s="728"/>
      <c r="D58" s="102"/>
      <c r="E58" s="116">
        <f>+G58-Adjustments!H58</f>
        <v>0</v>
      </c>
      <c r="F58" s="116"/>
      <c r="G58" s="116"/>
      <c r="H58" s="116"/>
      <c r="I58" s="116"/>
      <c r="J58" s="116"/>
      <c r="K58" s="116"/>
      <c r="L58" s="116"/>
      <c r="M58" s="116"/>
      <c r="N58" s="116"/>
      <c r="O58" s="272"/>
      <c r="P58" s="240"/>
      <c r="Q58" s="116"/>
      <c r="R58" s="116"/>
      <c r="S58" s="240"/>
      <c r="T58" s="116"/>
      <c r="U58" s="116"/>
      <c r="V58" s="273"/>
      <c r="W58" s="116"/>
      <c r="X58" s="118"/>
      <c r="Y58" s="577">
        <f t="shared" si="0"/>
        <v>49</v>
      </c>
      <c r="AA58" s="116"/>
      <c r="AB58" s="116">
        <f t="shared" si="1"/>
        <v>0</v>
      </c>
    </row>
    <row r="59" spans="1:28">
      <c r="A59" s="227"/>
      <c r="B59" s="332"/>
      <c r="C59" s="332" t="s">
        <v>83</v>
      </c>
      <c r="D59" s="102"/>
      <c r="E59" s="116">
        <f>+G59-Adjustments!H59</f>
        <v>0</v>
      </c>
      <c r="F59" s="116">
        <f>Revenue!$F$58</f>
        <v>0</v>
      </c>
      <c r="G59" s="116">
        <f>+Adjustments!AW59</f>
        <v>0</v>
      </c>
      <c r="H59" s="116"/>
      <c r="I59" s="116">
        <f>SUM($F$59:$H$59)</f>
        <v>0</v>
      </c>
      <c r="J59" s="116"/>
      <c r="K59" s="116"/>
      <c r="L59" s="116" t="s">
        <v>14</v>
      </c>
      <c r="M59" s="116">
        <f>VLOOKUP($L59,$L$2:$N$7,2,FALSE)*I59</f>
        <v>0</v>
      </c>
      <c r="N59" s="116">
        <f>VLOOKUP($L59,$L$2:$N$7,3,FALSE)*I59</f>
        <v>0</v>
      </c>
      <c r="O59" s="272"/>
      <c r="P59" s="240" t="s">
        <v>560</v>
      </c>
      <c r="Q59" s="116">
        <f>IF(P59="G",M59,IF(P59="PT",0,ERR))</f>
        <v>0</v>
      </c>
      <c r="R59" s="116">
        <f>IF(P59="PT",M59,IF(P59="G",0,ERR))</f>
        <v>0</v>
      </c>
      <c r="S59" s="240" t="s">
        <v>560</v>
      </c>
      <c r="T59" s="116">
        <f>IF(S59="G",N59,IF(S59="PT",0,ERR))</f>
        <v>0</v>
      </c>
      <c r="U59" s="116">
        <f>IF(S59="PT",N59,IF(S59="G",0,ERR))</f>
        <v>0</v>
      </c>
      <c r="V59" s="273"/>
      <c r="W59" s="116">
        <f>HLOOKUP($W$9,'ROR-Model'!$Q$10:$U$1263,Y59)</f>
        <v>0</v>
      </c>
      <c r="X59" s="118"/>
      <c r="Y59" s="577">
        <f t="shared" si="0"/>
        <v>50</v>
      </c>
      <c r="AA59" s="116">
        <v>0</v>
      </c>
      <c r="AB59" s="116">
        <f t="shared" si="1"/>
        <v>0</v>
      </c>
    </row>
    <row r="60" spans="1:28">
      <c r="A60" s="227"/>
      <c r="B60" s="332"/>
      <c r="C60" s="332"/>
      <c r="D60" s="102"/>
      <c r="E60" s="116">
        <f>+G60-Adjustments!H60</f>
        <v>0</v>
      </c>
      <c r="F60" s="116"/>
      <c r="G60" s="116"/>
      <c r="H60" s="116"/>
      <c r="I60" s="116"/>
      <c r="J60" s="116"/>
      <c r="K60" s="116"/>
      <c r="L60" s="116"/>
      <c r="M60" s="116"/>
      <c r="N60" s="116"/>
      <c r="O60" s="272"/>
      <c r="P60" s="240"/>
      <c r="Q60" s="116"/>
      <c r="R60" s="116"/>
      <c r="S60" s="240"/>
      <c r="T60" s="116"/>
      <c r="U60" s="116"/>
      <c r="V60" s="273"/>
      <c r="W60" s="116">
        <f>HLOOKUP($W$9,'ROR-Model'!$Q$10:$U$1263,Y60)</f>
        <v>0</v>
      </c>
      <c r="X60" s="118"/>
      <c r="Y60" s="577">
        <f t="shared" si="0"/>
        <v>51</v>
      </c>
      <c r="AA60" s="116">
        <v>0</v>
      </c>
      <c r="AB60" s="116">
        <f t="shared" si="1"/>
        <v>0</v>
      </c>
    </row>
    <row r="61" spans="1:28">
      <c r="A61" s="227"/>
      <c r="B61" s="728" t="s">
        <v>810</v>
      </c>
      <c r="C61" s="728" t="s">
        <v>16</v>
      </c>
      <c r="D61" s="102"/>
      <c r="E61" s="116">
        <f>+G61-Adjustments!H61</f>
        <v>0</v>
      </c>
      <c r="F61" s="116">
        <f>Revenue!$F$60</f>
        <v>1777126.4168316997</v>
      </c>
      <c r="G61" s="116">
        <f>+Adjustments!AW61</f>
        <v>-531347.25450426433</v>
      </c>
      <c r="H61" s="116"/>
      <c r="I61" s="116">
        <f>SUM($F$61:$H$61)</f>
        <v>1245779.1623274353</v>
      </c>
      <c r="J61" s="116"/>
      <c r="K61" s="116"/>
      <c r="L61" s="116" t="s">
        <v>14</v>
      </c>
      <c r="M61" s="116">
        <f>VLOOKUP($L61,$L$2:$N$7,2,FALSE)*I61</f>
        <v>1245779.1623274353</v>
      </c>
      <c r="N61" s="116">
        <f>VLOOKUP($L61,$L$2:$N$7,3,FALSE)*I61</f>
        <v>0</v>
      </c>
      <c r="O61" s="272"/>
      <c r="P61" s="240" t="s">
        <v>560</v>
      </c>
      <c r="Q61" s="116">
        <f>IF(P61="G",M61,IF(P61="PT",0,ERR))</f>
        <v>1245779.1623274353</v>
      </c>
      <c r="R61" s="116">
        <f>IF(P61="PT",M61,IF(P61="G",0,ERR))</f>
        <v>0</v>
      </c>
      <c r="S61" s="240" t="s">
        <v>560</v>
      </c>
      <c r="T61" s="116">
        <f>IF(S61="G",N61,IF(S61="PT",0,ERR))</f>
        <v>0</v>
      </c>
      <c r="U61" s="116">
        <f>IF(S61="PT",N61,IF(S61="G",0,ERR))</f>
        <v>0</v>
      </c>
      <c r="V61" s="273"/>
      <c r="W61" s="116">
        <f>HLOOKUP($W$9,'ROR-Model'!$Q$10:$U$1263,Y61)</f>
        <v>1245779.1623274353</v>
      </c>
      <c r="X61" s="118"/>
      <c r="Y61" s="577">
        <f t="shared" si="0"/>
        <v>52</v>
      </c>
      <c r="AA61" s="116">
        <v>1777126.4168316997</v>
      </c>
      <c r="AB61" s="116">
        <f t="shared" si="1"/>
        <v>-531347.25450426433</v>
      </c>
    </row>
    <row r="62" spans="1:28">
      <c r="A62" s="227"/>
      <c r="B62" s="728"/>
      <c r="C62" s="728"/>
      <c r="D62" s="102"/>
      <c r="E62" s="116">
        <f>+G62-Adjustments!H62</f>
        <v>0</v>
      </c>
      <c r="F62" s="116">
        <f>Revenue!$F$61</f>
        <v>0</v>
      </c>
      <c r="G62" s="116"/>
      <c r="H62" s="116"/>
      <c r="I62" s="116"/>
      <c r="J62" s="116"/>
      <c r="K62" s="116"/>
      <c r="L62" s="116"/>
      <c r="M62" s="116"/>
      <c r="N62" s="116"/>
      <c r="O62" s="272"/>
      <c r="P62" s="240"/>
      <c r="Q62" s="116"/>
      <c r="R62" s="116"/>
      <c r="S62" s="240"/>
      <c r="T62" s="116"/>
      <c r="U62" s="116"/>
      <c r="V62" s="273"/>
      <c r="W62" s="116">
        <f>HLOOKUP($W$9,'ROR-Model'!$Q$10:$U$1263,Y62)</f>
        <v>0</v>
      </c>
      <c r="X62" s="118"/>
      <c r="Y62" s="577">
        <f t="shared" si="0"/>
        <v>53</v>
      </c>
      <c r="AA62" s="116">
        <v>0</v>
      </c>
      <c r="AB62" s="116">
        <f t="shared" si="1"/>
        <v>0</v>
      </c>
    </row>
    <row r="63" spans="1:28">
      <c r="A63" s="227"/>
      <c r="B63" s="728"/>
      <c r="C63" s="728" t="s">
        <v>17</v>
      </c>
      <c r="D63" s="102"/>
      <c r="E63" s="116">
        <f>+G63-Adjustments!H63</f>
        <v>0</v>
      </c>
      <c r="F63" s="116">
        <f>Revenue!$F$62</f>
        <v>265317.09801070008</v>
      </c>
      <c r="G63" s="116">
        <f>+Adjustments!AW63</f>
        <v>-84279.668010700057</v>
      </c>
      <c r="H63" s="116"/>
      <c r="I63" s="116">
        <f>SUM($F$63:$H$63)</f>
        <v>181037.43000000002</v>
      </c>
      <c r="J63" s="116"/>
      <c r="K63" s="116"/>
      <c r="L63" s="116" t="s">
        <v>14</v>
      </c>
      <c r="M63" s="116">
        <f>VLOOKUP($L63,$L$2:$N$7,2,FALSE)*I63</f>
        <v>181037.43000000002</v>
      </c>
      <c r="N63" s="116">
        <f>VLOOKUP($L63,$L$2:$N$7,3,FALSE)*I63</f>
        <v>0</v>
      </c>
      <c r="O63" s="272"/>
      <c r="P63" s="240" t="s">
        <v>559</v>
      </c>
      <c r="Q63" s="116">
        <f>IF(P63="G",M63,IF(P63="PT",0,ERR))</f>
        <v>0</v>
      </c>
      <c r="R63" s="116">
        <f>IF(P63="PT",M63,IF(P63="G",0,ERR))</f>
        <v>181037.43000000002</v>
      </c>
      <c r="S63" s="240" t="s">
        <v>559</v>
      </c>
      <c r="T63" s="116">
        <f>IF(S63="G",N63,IF(S63="PT",0,ERR))</f>
        <v>0</v>
      </c>
      <c r="U63" s="116">
        <f>IF(S63="PT",N63,IF(S63="G",0,ERR))</f>
        <v>0</v>
      </c>
      <c r="V63" s="273"/>
      <c r="W63" s="116">
        <f>HLOOKUP($W$9,'ROR-Model'!$Q$10:$U$1263,Y63)</f>
        <v>0</v>
      </c>
      <c r="X63" s="118"/>
      <c r="Y63" s="577">
        <f t="shared" si="0"/>
        <v>54</v>
      </c>
      <c r="AA63" s="116">
        <v>0</v>
      </c>
      <c r="AB63" s="116">
        <f t="shared" si="1"/>
        <v>0</v>
      </c>
    </row>
    <row r="64" spans="1:28">
      <c r="A64" s="227"/>
      <c r="B64" s="728"/>
      <c r="C64" s="728"/>
      <c r="D64" s="102"/>
      <c r="E64" s="116">
        <f>+G64-Adjustments!H64</f>
        <v>0</v>
      </c>
      <c r="F64" s="116">
        <f>Revenue!$F$63</f>
        <v>0</v>
      </c>
      <c r="G64" s="116"/>
      <c r="H64" s="116"/>
      <c r="I64" s="116"/>
      <c r="J64" s="116"/>
      <c r="K64" s="116"/>
      <c r="L64" s="116"/>
      <c r="M64" s="116"/>
      <c r="N64" s="116"/>
      <c r="O64" s="272"/>
      <c r="P64" s="240"/>
      <c r="Q64" s="116"/>
      <c r="R64" s="116"/>
      <c r="S64" s="240"/>
      <c r="T64" s="116"/>
      <c r="U64" s="116"/>
      <c r="V64" s="273"/>
      <c r="W64" s="116">
        <f>HLOOKUP($W$9,'ROR-Model'!$Q$10:$U$1263,Y64)</f>
        <v>0</v>
      </c>
      <c r="X64" s="118"/>
      <c r="Y64" s="577">
        <f t="shared" si="0"/>
        <v>55</v>
      </c>
      <c r="AA64" s="116">
        <v>0</v>
      </c>
      <c r="AB64" s="116">
        <f t="shared" si="1"/>
        <v>0</v>
      </c>
    </row>
    <row r="65" spans="1:28">
      <c r="A65" s="227"/>
      <c r="B65" s="728"/>
      <c r="C65" s="728" t="s">
        <v>18</v>
      </c>
      <c r="D65" s="102"/>
      <c r="E65" s="116">
        <f>+G65-Adjustments!H65</f>
        <v>0</v>
      </c>
      <c r="F65" s="116">
        <f>Revenue!$F$64</f>
        <v>1200610.4451576001</v>
      </c>
      <c r="G65" s="116">
        <f>+Adjustments!AW65</f>
        <v>-528890.68515760009</v>
      </c>
      <c r="H65" s="116"/>
      <c r="I65" s="116">
        <f>SUM($F$65:$H$65)</f>
        <v>671719.76</v>
      </c>
      <c r="J65" s="116"/>
      <c r="K65" s="116"/>
      <c r="L65" s="116" t="s">
        <v>14</v>
      </c>
      <c r="M65" s="116">
        <f>VLOOKUP($L65,$L$2:$N$7,2,FALSE)*I65</f>
        <v>671719.76</v>
      </c>
      <c r="N65" s="116">
        <f>VLOOKUP($L65,$L$2:$N$7,3,FALSE)*I65</f>
        <v>0</v>
      </c>
      <c r="O65" s="272"/>
      <c r="P65" s="240" t="s">
        <v>559</v>
      </c>
      <c r="Q65" s="116">
        <f>IF(P65="G",M65,IF(P65="PT",0,ERR))</f>
        <v>0</v>
      </c>
      <c r="R65" s="116">
        <f>IF(P65="PT",M65,IF(P65="G",0,ERR))</f>
        <v>671719.76</v>
      </c>
      <c r="S65" s="240" t="s">
        <v>559</v>
      </c>
      <c r="T65" s="116">
        <f>IF(S65="G",N65,IF(S65="PT",0,ERR))</f>
        <v>0</v>
      </c>
      <c r="U65" s="116">
        <f>IF(S65="PT",N65,IF(S65="G",0,ERR))</f>
        <v>0</v>
      </c>
      <c r="V65" s="273"/>
      <c r="W65" s="116">
        <f>HLOOKUP($W$9,'ROR-Model'!$Q$10:$U$1263,Y65)</f>
        <v>0</v>
      </c>
      <c r="X65" s="118"/>
      <c r="Y65" s="577">
        <f t="shared" si="0"/>
        <v>56</v>
      </c>
      <c r="AA65" s="116">
        <v>0</v>
      </c>
      <c r="AB65" s="116">
        <f t="shared" si="1"/>
        <v>0</v>
      </c>
    </row>
    <row r="66" spans="1:28">
      <c r="A66" s="227"/>
      <c r="B66" s="728"/>
      <c r="C66" s="728" t="s">
        <v>19</v>
      </c>
      <c r="D66" s="102"/>
      <c r="E66" s="131">
        <f>+G66-Adjustments!H66</f>
        <v>0</v>
      </c>
      <c r="F66" s="131">
        <f>SUM(F61:F65)</f>
        <v>3243053.96</v>
      </c>
      <c r="G66" s="131">
        <f>SUM(G61:G65)</f>
        <v>-1144517.6076725645</v>
      </c>
      <c r="H66" s="131">
        <f>SUM(H61:H65)</f>
        <v>0</v>
      </c>
      <c r="I66" s="131">
        <f>SUM(I61:I65)</f>
        <v>2098536.3523274353</v>
      </c>
      <c r="J66" s="116"/>
      <c r="K66" s="116"/>
      <c r="L66" s="131"/>
      <c r="M66" s="131">
        <f>SUM(M61:M65)</f>
        <v>2098536.3523274353</v>
      </c>
      <c r="N66" s="131">
        <f>SUM(N61:N65)</f>
        <v>0</v>
      </c>
      <c r="O66" s="272"/>
      <c r="P66" s="257"/>
      <c r="Q66" s="131">
        <f>SUM(Q61:Q65)</f>
        <v>1245779.1623274353</v>
      </c>
      <c r="R66" s="131">
        <f>SUM(R61:R65)</f>
        <v>852757.19000000006</v>
      </c>
      <c r="S66" s="257"/>
      <c r="T66" s="131">
        <f>SUM(T61:T65)</f>
        <v>0</v>
      </c>
      <c r="U66" s="131">
        <f>SUM(U61:U65)</f>
        <v>0</v>
      </c>
      <c r="V66" s="273"/>
      <c r="W66" s="131">
        <f>HLOOKUP($W$9,'ROR-Model'!$Q$10:$U$1263,Y66)</f>
        <v>1245779.1623274353</v>
      </c>
      <c r="X66" s="118"/>
      <c r="Y66" s="577">
        <f t="shared" si="0"/>
        <v>57</v>
      </c>
      <c r="AA66" s="131">
        <v>1777126.4168316997</v>
      </c>
      <c r="AB66" s="116">
        <f t="shared" si="1"/>
        <v>-531347.25450426433</v>
      </c>
    </row>
    <row r="67" spans="1:28">
      <c r="A67" s="227"/>
      <c r="B67" s="728"/>
      <c r="C67" s="728"/>
      <c r="D67" s="102"/>
      <c r="E67" s="116">
        <f>+G67-Adjustments!H67</f>
        <v>0</v>
      </c>
      <c r="F67" s="116"/>
      <c r="G67" s="116"/>
      <c r="H67" s="116"/>
      <c r="I67" s="116"/>
      <c r="J67" s="116"/>
      <c r="K67" s="116"/>
      <c r="L67" s="116"/>
      <c r="M67" s="116"/>
      <c r="N67" s="116"/>
      <c r="O67" s="272"/>
      <c r="P67" s="240"/>
      <c r="Q67" s="116"/>
      <c r="R67" s="116"/>
      <c r="S67" s="240"/>
      <c r="T67" s="116"/>
      <c r="U67" s="116"/>
      <c r="V67" s="273"/>
      <c r="W67" s="116"/>
      <c r="X67" s="118"/>
      <c r="Y67" s="577">
        <f t="shared" si="0"/>
        <v>58</v>
      </c>
      <c r="AA67" s="116"/>
      <c r="AB67" s="116">
        <f t="shared" si="1"/>
        <v>0</v>
      </c>
    </row>
    <row r="68" spans="1:28">
      <c r="A68" s="227"/>
      <c r="B68" s="728"/>
      <c r="C68" s="728" t="s">
        <v>20</v>
      </c>
      <c r="D68" s="102"/>
      <c r="E68" s="116">
        <f>+G68-Adjustments!H68</f>
        <v>0</v>
      </c>
      <c r="F68" s="116">
        <f>Revenue!$F$67</f>
        <v>297834.61000000004</v>
      </c>
      <c r="G68" s="116">
        <f>+Adjustments!AW68</f>
        <v>-104151.61000000004</v>
      </c>
      <c r="H68" s="116"/>
      <c r="I68" s="116">
        <f>SUM($F$68:$H$68)</f>
        <v>193683</v>
      </c>
      <c r="J68" s="116"/>
      <c r="K68" s="116"/>
      <c r="L68" s="116" t="s">
        <v>14</v>
      </c>
      <c r="M68" s="116">
        <f>VLOOKUP($L68,$L$2:$N$7,2,FALSE)*I68</f>
        <v>193683</v>
      </c>
      <c r="N68" s="116">
        <f>VLOOKUP($L68,$L$2:$N$7,3,FALSE)*I68</f>
        <v>0</v>
      </c>
      <c r="O68" s="272"/>
      <c r="P68" s="240" t="s">
        <v>560</v>
      </c>
      <c r="Q68" s="116">
        <f>IF(P68="G",M68,IF(P68="PT",0,ERR))</f>
        <v>193683</v>
      </c>
      <c r="R68" s="116">
        <f>IF(P68="PT",M68,IF(P68="G",0,ERR))</f>
        <v>0</v>
      </c>
      <c r="S68" s="240" t="s">
        <v>560</v>
      </c>
      <c r="T68" s="116">
        <f>IF(S68="G",N68,IF(S68="PT",0,ERR))</f>
        <v>0</v>
      </c>
      <c r="U68" s="116">
        <f>IF(S68="PT",N68,IF(S68="G",0,ERR))</f>
        <v>0</v>
      </c>
      <c r="V68" s="273"/>
      <c r="W68" s="116">
        <f>HLOOKUP($W$9,'ROR-Model'!$Q$10:$U$1263,Y68)</f>
        <v>193683</v>
      </c>
      <c r="X68" s="118"/>
      <c r="Y68" s="577">
        <f t="shared" si="0"/>
        <v>59</v>
      </c>
      <c r="AA68" s="116">
        <v>297834.61000000004</v>
      </c>
      <c r="AB68" s="116">
        <f t="shared" si="1"/>
        <v>-104151.61000000004</v>
      </c>
    </row>
    <row r="69" spans="1:28">
      <c r="A69" s="227"/>
      <c r="B69" s="332"/>
      <c r="C69" s="332"/>
      <c r="D69" s="102"/>
      <c r="E69" s="116">
        <f>+G69-Adjustments!H69</f>
        <v>0</v>
      </c>
      <c r="F69" s="116"/>
      <c r="G69" s="116"/>
      <c r="H69" s="116"/>
      <c r="I69" s="116"/>
      <c r="J69" s="116"/>
      <c r="K69" s="116"/>
      <c r="L69" s="116"/>
      <c r="M69" s="116"/>
      <c r="N69" s="116"/>
      <c r="O69" s="272"/>
      <c r="P69" s="240"/>
      <c r="Q69" s="116"/>
      <c r="R69" s="116"/>
      <c r="S69" s="240"/>
      <c r="T69" s="116"/>
      <c r="U69" s="116"/>
      <c r="V69" s="273"/>
      <c r="W69" s="116"/>
      <c r="X69" s="118"/>
      <c r="Y69" s="577">
        <f t="shared" si="0"/>
        <v>60</v>
      </c>
      <c r="AA69" s="116"/>
      <c r="AB69" s="116">
        <f t="shared" si="1"/>
        <v>0</v>
      </c>
    </row>
    <row r="70" spans="1:28">
      <c r="A70" s="227"/>
      <c r="B70" s="728" t="s">
        <v>4</v>
      </c>
      <c r="C70" s="728" t="s">
        <v>16</v>
      </c>
      <c r="D70" s="102"/>
      <c r="E70" s="116">
        <f>+G70-Adjustments!H70</f>
        <v>0</v>
      </c>
      <c r="F70" s="116">
        <f>Revenue!$F$69</f>
        <v>0</v>
      </c>
      <c r="G70" s="116">
        <f>+Adjustments!AW70</f>
        <v>0</v>
      </c>
      <c r="H70" s="116"/>
      <c r="I70" s="116">
        <f>SUM($F$70:$H$70)</f>
        <v>0</v>
      </c>
      <c r="J70" s="116"/>
      <c r="K70" s="116"/>
      <c r="L70" s="116" t="s">
        <v>14</v>
      </c>
      <c r="M70" s="116">
        <f>VLOOKUP($L70,$L$2:$N$7,2,FALSE)*I70</f>
        <v>0</v>
      </c>
      <c r="N70" s="116">
        <f>VLOOKUP($L70,$L$2:$N$7,3,FALSE)*I70</f>
        <v>0</v>
      </c>
      <c r="O70" s="272"/>
      <c r="P70" s="240" t="s">
        <v>560</v>
      </c>
      <c r="Q70" s="116">
        <f>IF(P70="G",M70,IF(P70="PT",0,ERR))</f>
        <v>0</v>
      </c>
      <c r="R70" s="116">
        <f>IF(P70="PT",M70,IF(P70="G",0,ERR))</f>
        <v>0</v>
      </c>
      <c r="S70" s="240" t="s">
        <v>560</v>
      </c>
      <c r="T70" s="116">
        <f>IF(S70="G",N70,IF(S70="PT",0,ERR))</f>
        <v>0</v>
      </c>
      <c r="U70" s="116">
        <f>IF(S70="PT",N70,IF(S70="G",0,ERR))</f>
        <v>0</v>
      </c>
      <c r="V70" s="273"/>
      <c r="W70" s="116">
        <f>HLOOKUP($W$9,'ROR-Model'!$Q$10:$U$1263,Y70)</f>
        <v>0</v>
      </c>
      <c r="X70" s="118"/>
      <c r="Y70" s="577">
        <f t="shared" si="0"/>
        <v>61</v>
      </c>
      <c r="AA70" s="116">
        <v>0</v>
      </c>
      <c r="AB70" s="116">
        <f t="shared" si="1"/>
        <v>0</v>
      </c>
    </row>
    <row r="71" spans="1:28">
      <c r="A71" s="227"/>
      <c r="B71" s="728"/>
      <c r="C71" s="728"/>
      <c r="D71" s="102"/>
      <c r="E71" s="116">
        <f>+G71-Adjustments!H71</f>
        <v>0</v>
      </c>
      <c r="F71" s="116"/>
      <c r="G71" s="116"/>
      <c r="H71" s="116"/>
      <c r="I71" s="116"/>
      <c r="J71" s="116"/>
      <c r="K71" s="116"/>
      <c r="L71" s="116"/>
      <c r="M71" s="116"/>
      <c r="N71" s="116"/>
      <c r="O71" s="272"/>
      <c r="P71" s="240"/>
      <c r="Q71" s="116"/>
      <c r="R71" s="116"/>
      <c r="S71" s="240"/>
      <c r="T71" s="116"/>
      <c r="U71" s="116"/>
      <c r="V71" s="273"/>
      <c r="W71" s="116"/>
      <c r="X71" s="118"/>
      <c r="Y71" s="577">
        <f t="shared" si="0"/>
        <v>62</v>
      </c>
      <c r="AA71" s="116"/>
      <c r="AB71" s="116">
        <f t="shared" si="1"/>
        <v>0</v>
      </c>
    </row>
    <row r="72" spans="1:28">
      <c r="A72" s="227"/>
      <c r="B72" s="728"/>
      <c r="C72" s="728" t="s">
        <v>17</v>
      </c>
      <c r="D72" s="102"/>
      <c r="E72" s="116">
        <f>+G72-Adjustments!H72</f>
        <v>0</v>
      </c>
      <c r="F72" s="116">
        <f>Revenue!$F$71</f>
        <v>0</v>
      </c>
      <c r="G72" s="116">
        <f>+Adjustments!AW72</f>
        <v>0</v>
      </c>
      <c r="H72" s="116"/>
      <c r="I72" s="116">
        <f>SUM($F$72:$H$72)</f>
        <v>0</v>
      </c>
      <c r="J72" s="116"/>
      <c r="K72" s="116"/>
      <c r="L72" s="116" t="s">
        <v>14</v>
      </c>
      <c r="M72" s="116">
        <f>VLOOKUP($L72,$L$2:$N$7,2,FALSE)*I72</f>
        <v>0</v>
      </c>
      <c r="N72" s="116">
        <f>VLOOKUP($L72,$L$2:$N$7,3,FALSE)*I72</f>
        <v>0</v>
      </c>
      <c r="O72" s="272"/>
      <c r="P72" s="240" t="s">
        <v>559</v>
      </c>
      <c r="Q72" s="116">
        <f>IF(P72="G",M72,IF(P72="PT",0,ERR))</f>
        <v>0</v>
      </c>
      <c r="R72" s="116">
        <f>IF(P72="PT",M72,IF(P72="G",0,ERR))</f>
        <v>0</v>
      </c>
      <c r="S72" s="240" t="s">
        <v>559</v>
      </c>
      <c r="T72" s="116">
        <f>IF(S72="G",N72,IF(S72="PT",0,ERR))</f>
        <v>0</v>
      </c>
      <c r="U72" s="116">
        <f>IF(S72="PT",N72,IF(S72="G",0,ERR))</f>
        <v>0</v>
      </c>
      <c r="V72" s="273"/>
      <c r="W72" s="116">
        <f>HLOOKUP($W$9,'ROR-Model'!$Q$10:$U$1263,Y72)</f>
        <v>0</v>
      </c>
      <c r="X72" s="118"/>
      <c r="Y72" s="577">
        <f t="shared" si="0"/>
        <v>63</v>
      </c>
      <c r="AA72" s="116">
        <v>0</v>
      </c>
      <c r="AB72" s="116">
        <f t="shared" si="1"/>
        <v>0</v>
      </c>
    </row>
    <row r="73" spans="1:28">
      <c r="A73" s="227"/>
      <c r="B73" s="728"/>
      <c r="C73" s="728"/>
      <c r="D73" s="102"/>
      <c r="E73" s="116">
        <f>+G73-Adjustments!H73</f>
        <v>0</v>
      </c>
      <c r="F73" s="116"/>
      <c r="G73" s="116"/>
      <c r="H73" s="116"/>
      <c r="I73" s="116"/>
      <c r="J73" s="116"/>
      <c r="K73" s="116"/>
      <c r="L73" s="116"/>
      <c r="M73" s="116"/>
      <c r="N73" s="116"/>
      <c r="O73" s="272"/>
      <c r="P73" s="240"/>
      <c r="Q73" s="116"/>
      <c r="R73" s="116"/>
      <c r="S73" s="240"/>
      <c r="T73" s="116"/>
      <c r="U73" s="116"/>
      <c r="V73" s="273"/>
      <c r="W73" s="116"/>
      <c r="X73" s="118"/>
      <c r="Y73" s="577">
        <f t="shared" si="0"/>
        <v>64</v>
      </c>
      <c r="AA73" s="116"/>
      <c r="AB73" s="116">
        <f t="shared" si="1"/>
        <v>0</v>
      </c>
    </row>
    <row r="74" spans="1:28">
      <c r="A74" s="227"/>
      <c r="B74" s="728"/>
      <c r="C74" s="728" t="s">
        <v>18</v>
      </c>
      <c r="D74" s="102"/>
      <c r="E74" s="116">
        <f>+G74-Adjustments!H74</f>
        <v>0</v>
      </c>
      <c r="F74" s="116">
        <f>Revenue!$F$73</f>
        <v>0</v>
      </c>
      <c r="G74" s="116">
        <f>+Adjustments!AW74</f>
        <v>0</v>
      </c>
      <c r="H74" s="116"/>
      <c r="I74" s="116">
        <f>SUM($F$74:$H$74)</f>
        <v>0</v>
      </c>
      <c r="J74" s="116"/>
      <c r="K74" s="116"/>
      <c r="L74" s="116" t="s">
        <v>14</v>
      </c>
      <c r="M74" s="116">
        <f>VLOOKUP($L74,$L$2:$N$7,2,FALSE)*I74</f>
        <v>0</v>
      </c>
      <c r="N74" s="116">
        <f>VLOOKUP($L74,$L$2:$N$7,3,FALSE)*I74</f>
        <v>0</v>
      </c>
      <c r="O74" s="272"/>
      <c r="P74" s="240" t="s">
        <v>559</v>
      </c>
      <c r="Q74" s="116">
        <f>IF(P74="G",M74,IF(P74="PT",0,ERR))</f>
        <v>0</v>
      </c>
      <c r="R74" s="116">
        <f>IF(P74="PT",M74,IF(P74="G",0,ERR))</f>
        <v>0</v>
      </c>
      <c r="S74" s="240" t="s">
        <v>559</v>
      </c>
      <c r="T74" s="116">
        <f>IF(S74="G",N74,IF(S74="PT",0,ERR))</f>
        <v>0</v>
      </c>
      <c r="U74" s="116">
        <f>IF(S74="PT",N74,IF(S74="G",0,ERR))</f>
        <v>0</v>
      </c>
      <c r="V74" s="273"/>
      <c r="W74" s="116">
        <f>HLOOKUP($W$9,'ROR-Model'!$Q$10:$U$1263,Y74)</f>
        <v>0</v>
      </c>
      <c r="X74" s="118"/>
      <c r="Y74" s="577">
        <f t="shared" si="0"/>
        <v>65</v>
      </c>
      <c r="AA74" s="116">
        <v>0</v>
      </c>
      <c r="AB74" s="116">
        <f t="shared" si="1"/>
        <v>0</v>
      </c>
    </row>
    <row r="75" spans="1:28">
      <c r="A75" s="227"/>
      <c r="B75" s="728"/>
      <c r="C75" s="728" t="s">
        <v>19</v>
      </c>
      <c r="D75" s="102"/>
      <c r="E75" s="131">
        <f>+G75-Adjustments!H75</f>
        <v>0</v>
      </c>
      <c r="F75" s="131">
        <f>SUM(F70:F74)</f>
        <v>0</v>
      </c>
      <c r="G75" s="131">
        <f>SUM(G70:G74)</f>
        <v>0</v>
      </c>
      <c r="H75" s="131">
        <f>SUM(H70:H74)</f>
        <v>0</v>
      </c>
      <c r="I75" s="131">
        <f>SUM(I70:I74)</f>
        <v>0</v>
      </c>
      <c r="J75" s="116"/>
      <c r="K75" s="116"/>
      <c r="L75" s="131"/>
      <c r="M75" s="131">
        <f>SUM(M70:M74)</f>
        <v>0</v>
      </c>
      <c r="N75" s="131">
        <f>SUM(N70:N74)</f>
        <v>0</v>
      </c>
      <c r="O75" s="272"/>
      <c r="P75" s="257"/>
      <c r="Q75" s="131">
        <f>SUM(Q70:Q74)</f>
        <v>0</v>
      </c>
      <c r="R75" s="131">
        <f>SUM(R70:R74)</f>
        <v>0</v>
      </c>
      <c r="S75" s="257"/>
      <c r="T75" s="131">
        <f>SUM(T70:T74)</f>
        <v>0</v>
      </c>
      <c r="U75" s="131">
        <f>SUM(U70:U74)</f>
        <v>0</v>
      </c>
      <c r="V75" s="273"/>
      <c r="W75" s="131">
        <f>HLOOKUP($W$9,'ROR-Model'!$Q$10:$U$1263,Y75)</f>
        <v>0</v>
      </c>
      <c r="X75" s="118"/>
      <c r="Y75" s="577">
        <f t="shared" si="0"/>
        <v>66</v>
      </c>
      <c r="AA75" s="131">
        <v>0</v>
      </c>
      <c r="AB75" s="116">
        <f t="shared" si="1"/>
        <v>0</v>
      </c>
    </row>
    <row r="76" spans="1:28">
      <c r="A76" s="227"/>
      <c r="B76" s="728"/>
      <c r="C76" s="728"/>
      <c r="D76" s="102"/>
      <c r="E76" s="116">
        <f>+G76-Adjustments!H76</f>
        <v>0</v>
      </c>
      <c r="F76" s="116"/>
      <c r="G76" s="116"/>
      <c r="H76" s="116"/>
      <c r="I76" s="116"/>
      <c r="J76" s="116"/>
      <c r="K76" s="116"/>
      <c r="L76" s="116"/>
      <c r="M76" s="116"/>
      <c r="N76" s="116"/>
      <c r="O76" s="272"/>
      <c r="P76" s="240"/>
      <c r="Q76" s="116"/>
      <c r="R76" s="116"/>
      <c r="S76" s="240"/>
      <c r="T76" s="116"/>
      <c r="U76" s="116"/>
      <c r="V76" s="273"/>
      <c r="W76" s="116"/>
      <c r="X76" s="118"/>
      <c r="Y76" s="577">
        <f t="shared" ref="Y76:Y139" si="2">Y75+1</f>
        <v>67</v>
      </c>
      <c r="AA76" s="116"/>
      <c r="AB76" s="116">
        <f t="shared" si="1"/>
        <v>0</v>
      </c>
    </row>
    <row r="77" spans="1:28">
      <c r="A77" s="227"/>
      <c r="B77" s="728"/>
      <c r="C77" s="728" t="s">
        <v>20</v>
      </c>
      <c r="D77" s="102"/>
      <c r="E77" s="116">
        <f>+G77-Adjustments!H77</f>
        <v>0</v>
      </c>
      <c r="F77" s="116">
        <f>Revenue!$F$76</f>
        <v>0</v>
      </c>
      <c r="G77" s="116">
        <f>+Adjustments!AW77</f>
        <v>0</v>
      </c>
      <c r="H77" s="116"/>
      <c r="I77" s="116">
        <f>SUM($F$77:$H$77)</f>
        <v>0</v>
      </c>
      <c r="J77" s="116"/>
      <c r="K77" s="116"/>
      <c r="L77" s="116" t="s">
        <v>14</v>
      </c>
      <c r="M77" s="116">
        <f>VLOOKUP($L77,$L$2:$N$7,2,FALSE)*I77</f>
        <v>0</v>
      </c>
      <c r="N77" s="116">
        <f>VLOOKUP($L77,$L$2:$N$7,3,FALSE)*I77</f>
        <v>0</v>
      </c>
      <c r="O77" s="272"/>
      <c r="P77" s="240" t="s">
        <v>560</v>
      </c>
      <c r="Q77" s="116">
        <f>IF(P77="G",M77,IF(P77="PT",0,ERR))</f>
        <v>0</v>
      </c>
      <c r="R77" s="116">
        <f>IF(P77="PT",M77,IF(P77="G",0,ERR))</f>
        <v>0</v>
      </c>
      <c r="S77" s="240" t="s">
        <v>560</v>
      </c>
      <c r="T77" s="116">
        <f>IF(S77="G",N77,IF(S77="PT",0,ERR))</f>
        <v>0</v>
      </c>
      <c r="U77" s="116">
        <f>IF(S77="PT",N77,IF(S77="G",0,ERR))</f>
        <v>0</v>
      </c>
      <c r="V77" s="273"/>
      <c r="W77" s="116">
        <f>HLOOKUP($W$9,'ROR-Model'!$Q$10:$U$1263,Y77)</f>
        <v>0</v>
      </c>
      <c r="X77" s="118"/>
      <c r="Y77" s="577">
        <f t="shared" si="2"/>
        <v>68</v>
      </c>
      <c r="AA77" s="116">
        <v>0</v>
      </c>
      <c r="AB77" s="116">
        <f t="shared" si="1"/>
        <v>0</v>
      </c>
    </row>
    <row r="78" spans="1:28">
      <c r="A78" s="227"/>
      <c r="B78" s="728"/>
      <c r="C78" s="728"/>
      <c r="D78" s="102"/>
      <c r="E78" s="116">
        <f>+G78-Adjustments!H78</f>
        <v>0</v>
      </c>
      <c r="F78" s="116"/>
      <c r="G78" s="116"/>
      <c r="H78" s="116"/>
      <c r="I78" s="116"/>
      <c r="J78" s="116"/>
      <c r="K78" s="116"/>
      <c r="L78" s="116"/>
      <c r="M78" s="116"/>
      <c r="N78" s="116"/>
      <c r="O78" s="272"/>
      <c r="P78" s="240"/>
      <c r="Q78" s="116"/>
      <c r="R78" s="116"/>
      <c r="S78" s="240"/>
      <c r="T78" s="116"/>
      <c r="U78" s="116"/>
      <c r="V78" s="273"/>
      <c r="W78" s="116"/>
      <c r="X78" s="118"/>
      <c r="Y78" s="577">
        <f t="shared" si="2"/>
        <v>69</v>
      </c>
      <c r="AA78" s="116"/>
      <c r="AB78" s="116">
        <f t="shared" si="1"/>
        <v>0</v>
      </c>
    </row>
    <row r="79" spans="1:28">
      <c r="A79" s="227"/>
      <c r="B79" s="728" t="s">
        <v>685</v>
      </c>
      <c r="C79" s="728" t="s">
        <v>16</v>
      </c>
      <c r="D79" s="102"/>
      <c r="E79" s="116">
        <f>+G79-Adjustments!H79</f>
        <v>0</v>
      </c>
      <c r="F79" s="116">
        <f>Revenue!$F$78</f>
        <v>0</v>
      </c>
      <c r="G79" s="116">
        <f>+Adjustments!AW79</f>
        <v>0</v>
      </c>
      <c r="H79" s="116"/>
      <c r="I79" s="116">
        <f>SUM($F$79:$H$79)</f>
        <v>0</v>
      </c>
      <c r="J79" s="116"/>
      <c r="K79" s="116"/>
      <c r="L79" s="116" t="s">
        <v>14</v>
      </c>
      <c r="M79" s="116">
        <f>VLOOKUP($L79,$L$2:$N$7,2,FALSE)*I79</f>
        <v>0</v>
      </c>
      <c r="N79" s="116">
        <f>VLOOKUP($L79,$L$2:$N$7,3,FALSE)*I79</f>
        <v>0</v>
      </c>
      <c r="O79" s="272"/>
      <c r="P79" s="240" t="s">
        <v>560</v>
      </c>
      <c r="Q79" s="116">
        <f>IF(P79="G",M79,IF(P79="PT",0,ERR))</f>
        <v>0</v>
      </c>
      <c r="R79" s="116">
        <f>IF(P79="PT",M79,IF(P79="G",0,ERR))</f>
        <v>0</v>
      </c>
      <c r="S79" s="240" t="s">
        <v>560</v>
      </c>
      <c r="T79" s="116">
        <f>IF(S79="G",N79,IF(S79="PT",0,ERR))</f>
        <v>0</v>
      </c>
      <c r="U79" s="116">
        <f>IF(S79="PT",N79,IF(S79="G",0,ERR))</f>
        <v>0</v>
      </c>
      <c r="V79" s="273"/>
      <c r="W79" s="116">
        <f>HLOOKUP($W$9,'ROR-Model'!$Q$10:$U$1263,Y79)</f>
        <v>0</v>
      </c>
      <c r="X79" s="118"/>
      <c r="Y79" s="577">
        <f t="shared" si="2"/>
        <v>70</v>
      </c>
      <c r="AA79" s="116">
        <v>0</v>
      </c>
      <c r="AB79" s="116">
        <f t="shared" si="1"/>
        <v>0</v>
      </c>
    </row>
    <row r="80" spans="1:28">
      <c r="A80" s="227"/>
      <c r="B80" s="728"/>
      <c r="C80" s="728"/>
      <c r="D80" s="102"/>
      <c r="E80" s="116">
        <f>+G80-Adjustments!H80</f>
        <v>0</v>
      </c>
      <c r="F80" s="116"/>
      <c r="G80" s="116"/>
      <c r="H80" s="116"/>
      <c r="I80" s="116"/>
      <c r="J80" s="116"/>
      <c r="K80" s="116"/>
      <c r="L80" s="116"/>
      <c r="M80" s="116"/>
      <c r="N80" s="116"/>
      <c r="O80" s="272"/>
      <c r="P80" s="240"/>
      <c r="Q80" s="116"/>
      <c r="R80" s="116"/>
      <c r="S80" s="240"/>
      <c r="T80" s="116"/>
      <c r="U80" s="116"/>
      <c r="V80" s="273"/>
      <c r="W80" s="116"/>
      <c r="X80" s="118"/>
      <c r="Y80" s="577">
        <f t="shared" si="2"/>
        <v>71</v>
      </c>
      <c r="AA80" s="116"/>
      <c r="AB80" s="116">
        <f t="shared" si="1"/>
        <v>0</v>
      </c>
    </row>
    <row r="81" spans="1:28">
      <c r="A81" s="227"/>
      <c r="B81" s="728"/>
      <c r="C81" s="728" t="s">
        <v>17</v>
      </c>
      <c r="D81" s="102"/>
      <c r="E81" s="116">
        <f>+G81-Adjustments!H81</f>
        <v>0</v>
      </c>
      <c r="F81" s="116">
        <f>Revenue!$F$80</f>
        <v>0</v>
      </c>
      <c r="G81" s="116">
        <f>+Adjustments!AW81</f>
        <v>0</v>
      </c>
      <c r="H81" s="116"/>
      <c r="I81" s="116">
        <f>SUM($F$81:$H$81)</f>
        <v>0</v>
      </c>
      <c r="J81" s="116"/>
      <c r="K81" s="116"/>
      <c r="L81" s="116" t="s">
        <v>14</v>
      </c>
      <c r="M81" s="116">
        <f>VLOOKUP($L81,$L$2:$N$7,2,FALSE)*I81</f>
        <v>0</v>
      </c>
      <c r="N81" s="116">
        <f>VLOOKUP($L81,$L$2:$N$7,3,FALSE)*I81</f>
        <v>0</v>
      </c>
      <c r="O81" s="272"/>
      <c r="P81" s="240" t="s">
        <v>559</v>
      </c>
      <c r="Q81" s="116">
        <f>IF(P81="G",M81,IF(P81="PT",0,ERR))</f>
        <v>0</v>
      </c>
      <c r="R81" s="116">
        <f>IF(P81="PT",M81,IF(P81="G",0,ERR))</f>
        <v>0</v>
      </c>
      <c r="S81" s="240" t="s">
        <v>559</v>
      </c>
      <c r="T81" s="116">
        <f>IF(S81="G",N81,IF(S81="PT",0,ERR))</f>
        <v>0</v>
      </c>
      <c r="U81" s="116">
        <f>IF(S81="PT",N81,IF(S81="G",0,ERR))</f>
        <v>0</v>
      </c>
      <c r="V81" s="273"/>
      <c r="W81" s="116">
        <f>HLOOKUP($W$9,'ROR-Model'!$Q$10:$U$1263,Y81)</f>
        <v>0</v>
      </c>
      <c r="X81" s="118"/>
      <c r="Y81" s="577">
        <f t="shared" si="2"/>
        <v>72</v>
      </c>
      <c r="AA81" s="116">
        <v>0</v>
      </c>
      <c r="AB81" s="116">
        <f t="shared" ref="AB81:AB144" si="3">W81-AA81</f>
        <v>0</v>
      </c>
    </row>
    <row r="82" spans="1:28">
      <c r="A82" s="227"/>
      <c r="B82" s="728"/>
      <c r="C82" s="728"/>
      <c r="D82" s="102"/>
      <c r="E82" s="116">
        <f>+G82-Adjustments!H82</f>
        <v>0</v>
      </c>
      <c r="F82" s="116"/>
      <c r="G82" s="116"/>
      <c r="H82" s="116"/>
      <c r="I82" s="116"/>
      <c r="J82" s="116"/>
      <c r="K82" s="116"/>
      <c r="L82" s="116"/>
      <c r="M82" s="116"/>
      <c r="N82" s="116"/>
      <c r="O82" s="272"/>
      <c r="P82" s="240"/>
      <c r="Q82" s="116"/>
      <c r="R82" s="116"/>
      <c r="S82" s="240"/>
      <c r="T82" s="116"/>
      <c r="U82" s="116"/>
      <c r="V82" s="273"/>
      <c r="W82" s="116"/>
      <c r="X82" s="118"/>
      <c r="Y82" s="577">
        <f t="shared" si="2"/>
        <v>73</v>
      </c>
      <c r="AA82" s="116"/>
      <c r="AB82" s="116">
        <f t="shared" si="3"/>
        <v>0</v>
      </c>
    </row>
    <row r="83" spans="1:28">
      <c r="A83" s="227"/>
      <c r="B83" s="728"/>
      <c r="C83" s="728" t="s">
        <v>18</v>
      </c>
      <c r="D83" s="102"/>
      <c r="E83" s="116">
        <f>+G83-Adjustments!H83</f>
        <v>0</v>
      </c>
      <c r="F83" s="116">
        <f>Revenue!$F$82</f>
        <v>0</v>
      </c>
      <c r="G83" s="116">
        <f>+Adjustments!AW83</f>
        <v>0</v>
      </c>
      <c r="H83" s="116"/>
      <c r="I83" s="116">
        <f>SUM($F$83:$H$83)</f>
        <v>0</v>
      </c>
      <c r="J83" s="116"/>
      <c r="K83" s="116"/>
      <c r="L83" s="116" t="s">
        <v>14</v>
      </c>
      <c r="M83" s="116">
        <f>VLOOKUP($L83,$L$2:$N$7,2,FALSE)*I83</f>
        <v>0</v>
      </c>
      <c r="N83" s="116">
        <f>VLOOKUP($L83,$L$2:$N$7,3,FALSE)*I83</f>
        <v>0</v>
      </c>
      <c r="O83" s="272"/>
      <c r="P83" s="240" t="s">
        <v>559</v>
      </c>
      <c r="Q83" s="116">
        <f>IF(P83="G",M83,IF(P83="PT",0,ERR))</f>
        <v>0</v>
      </c>
      <c r="R83" s="116">
        <f>IF(P83="PT",M83,IF(P83="G",0,ERR))</f>
        <v>0</v>
      </c>
      <c r="S83" s="240" t="s">
        <v>559</v>
      </c>
      <c r="T83" s="116">
        <f>IF(S83="G",N83,IF(S83="PT",0,ERR))</f>
        <v>0</v>
      </c>
      <c r="U83" s="116">
        <f>IF(S83="PT",N83,IF(S83="G",0,ERR))</f>
        <v>0</v>
      </c>
      <c r="V83" s="273"/>
      <c r="W83" s="116">
        <f>HLOOKUP($W$9,'ROR-Model'!$Q$10:$U$1263,Y83)</f>
        <v>0</v>
      </c>
      <c r="X83" s="118"/>
      <c r="Y83" s="577">
        <f t="shared" si="2"/>
        <v>74</v>
      </c>
      <c r="AA83" s="116">
        <v>0</v>
      </c>
      <c r="AB83" s="116">
        <f t="shared" si="3"/>
        <v>0</v>
      </c>
    </row>
    <row r="84" spans="1:28">
      <c r="A84" s="227"/>
      <c r="B84" s="728"/>
      <c r="C84" s="728" t="s">
        <v>19</v>
      </c>
      <c r="D84" s="102"/>
      <c r="E84" s="131">
        <f>+G84-Adjustments!H84</f>
        <v>0</v>
      </c>
      <c r="F84" s="131">
        <f>SUM(F79:F83)</f>
        <v>0</v>
      </c>
      <c r="G84" s="131">
        <f>SUM(G79:G83)</f>
        <v>0</v>
      </c>
      <c r="H84" s="131">
        <f>SUM(H79:H83)</f>
        <v>0</v>
      </c>
      <c r="I84" s="131">
        <f>SUM(I79:I83)</f>
        <v>0</v>
      </c>
      <c r="J84" s="116"/>
      <c r="K84" s="116"/>
      <c r="L84" s="131"/>
      <c r="M84" s="131">
        <f>SUM(M79:M83)</f>
        <v>0</v>
      </c>
      <c r="N84" s="131">
        <f>SUM(N79:N83)</f>
        <v>0</v>
      </c>
      <c r="O84" s="272"/>
      <c r="P84" s="257"/>
      <c r="Q84" s="131">
        <f>SUM(Q79:Q83)</f>
        <v>0</v>
      </c>
      <c r="R84" s="131">
        <f>SUM(R79:R83)</f>
        <v>0</v>
      </c>
      <c r="S84" s="257"/>
      <c r="T84" s="131">
        <f>SUM(T79:T83)</f>
        <v>0</v>
      </c>
      <c r="U84" s="131">
        <f>SUM(U79:U83)</f>
        <v>0</v>
      </c>
      <c r="V84" s="273"/>
      <c r="W84" s="131">
        <f>HLOOKUP($W$9,'ROR-Model'!$Q$10:$U$1263,Y84)</f>
        <v>0</v>
      </c>
      <c r="X84" s="118"/>
      <c r="Y84" s="577">
        <f t="shared" si="2"/>
        <v>75</v>
      </c>
      <c r="AA84" s="131">
        <v>0</v>
      </c>
      <c r="AB84" s="116">
        <f t="shared" si="3"/>
        <v>0</v>
      </c>
    </row>
    <row r="85" spans="1:28">
      <c r="A85" s="227"/>
      <c r="B85" s="728"/>
      <c r="C85" s="728"/>
      <c r="D85" s="102"/>
      <c r="E85" s="116">
        <f>+G85-Adjustments!H85</f>
        <v>0</v>
      </c>
      <c r="F85" s="116"/>
      <c r="G85" s="116"/>
      <c r="H85" s="116"/>
      <c r="I85" s="116"/>
      <c r="J85" s="116"/>
      <c r="K85" s="116"/>
      <c r="L85" s="116"/>
      <c r="M85" s="116"/>
      <c r="N85" s="116"/>
      <c r="O85" s="272"/>
      <c r="P85" s="240"/>
      <c r="Q85" s="116"/>
      <c r="R85" s="116"/>
      <c r="S85" s="240"/>
      <c r="T85" s="116"/>
      <c r="U85" s="116"/>
      <c r="V85" s="273"/>
      <c r="W85" s="116"/>
      <c r="X85" s="118"/>
      <c r="Y85" s="577">
        <f t="shared" si="2"/>
        <v>76</v>
      </c>
      <c r="AA85" s="116"/>
      <c r="AB85" s="116">
        <f t="shared" si="3"/>
        <v>0</v>
      </c>
    </row>
    <row r="86" spans="1:28">
      <c r="A86" s="227"/>
      <c r="B86" s="728"/>
      <c r="C86" s="728" t="s">
        <v>20</v>
      </c>
      <c r="D86" s="102"/>
      <c r="E86" s="116">
        <f>+G86-Adjustments!H86</f>
        <v>0</v>
      </c>
      <c r="F86" s="116">
        <f>Revenue!$F$85</f>
        <v>0</v>
      </c>
      <c r="G86" s="116">
        <f>+Adjustments!AW86</f>
        <v>0</v>
      </c>
      <c r="H86" s="116"/>
      <c r="I86" s="116">
        <f>SUM($F$86:$H$86)</f>
        <v>0</v>
      </c>
      <c r="J86" s="116"/>
      <c r="K86" s="116"/>
      <c r="L86" s="116" t="s">
        <v>14</v>
      </c>
      <c r="M86" s="116">
        <f>VLOOKUP($L86,$L$2:$N$7,2,FALSE)*I86</f>
        <v>0</v>
      </c>
      <c r="N86" s="116">
        <f>VLOOKUP($L86,$L$2:$N$7,3,FALSE)*I86</f>
        <v>0</v>
      </c>
      <c r="O86" s="272"/>
      <c r="P86" s="240" t="s">
        <v>560</v>
      </c>
      <c r="Q86" s="116">
        <f>IF(P86="G",M86,IF(P86="PT",0,ERR))</f>
        <v>0</v>
      </c>
      <c r="R86" s="116">
        <f>IF(P86="PT",M86,IF(P86="G",0,ERR))</f>
        <v>0</v>
      </c>
      <c r="S86" s="240" t="s">
        <v>560</v>
      </c>
      <c r="T86" s="116">
        <f>IF(S86="G",N86,IF(S86="PT",0,ERR))</f>
        <v>0</v>
      </c>
      <c r="U86" s="116">
        <f>IF(S86="PT",N86,IF(S86="G",0,ERR))</f>
        <v>0</v>
      </c>
      <c r="V86" s="273"/>
      <c r="W86" s="116">
        <f>HLOOKUP($W$9,'ROR-Model'!$Q$10:$U$1263,Y86)</f>
        <v>0</v>
      </c>
      <c r="X86" s="118"/>
      <c r="Y86" s="577">
        <f t="shared" si="2"/>
        <v>77</v>
      </c>
      <c r="AA86" s="116">
        <v>0</v>
      </c>
      <c r="AB86" s="116">
        <f t="shared" si="3"/>
        <v>0</v>
      </c>
    </row>
    <row r="87" spans="1:28">
      <c r="A87" s="227"/>
      <c r="B87" s="728"/>
      <c r="C87" s="728"/>
      <c r="D87" s="102"/>
      <c r="E87" s="116">
        <f>+G87-Adjustments!H87</f>
        <v>0</v>
      </c>
      <c r="F87" s="116"/>
      <c r="G87" s="116"/>
      <c r="H87" s="116"/>
      <c r="I87" s="116"/>
      <c r="J87" s="116"/>
      <c r="K87" s="116"/>
      <c r="L87" s="116"/>
      <c r="M87" s="116"/>
      <c r="N87" s="116"/>
      <c r="O87" s="272"/>
      <c r="P87" s="240"/>
      <c r="Q87" s="116"/>
      <c r="R87" s="116"/>
      <c r="S87" s="240"/>
      <c r="T87" s="116"/>
      <c r="U87" s="116"/>
      <c r="V87" s="273"/>
      <c r="W87" s="116"/>
      <c r="X87" s="118"/>
      <c r="Y87" s="577">
        <f t="shared" si="2"/>
        <v>78</v>
      </c>
      <c r="AA87" s="116"/>
      <c r="AB87" s="116">
        <f t="shared" si="3"/>
        <v>0</v>
      </c>
    </row>
    <row r="88" spans="1:28">
      <c r="A88" s="227"/>
      <c r="B88" s="728" t="s">
        <v>89</v>
      </c>
      <c r="C88" s="728" t="s">
        <v>16</v>
      </c>
      <c r="D88" s="102"/>
      <c r="E88" s="116">
        <f>+G88-Adjustments!H88</f>
        <v>0</v>
      </c>
      <c r="F88" s="116">
        <f>Revenue!$F$87</f>
        <v>0</v>
      </c>
      <c r="G88" s="116">
        <f>+Adjustments!AW88</f>
        <v>0</v>
      </c>
      <c r="H88" s="116"/>
      <c r="I88" s="116">
        <f>SUM($F$88:$H$88)</f>
        <v>0</v>
      </c>
      <c r="J88" s="116"/>
      <c r="K88" s="116"/>
      <c r="L88" s="116" t="s">
        <v>14</v>
      </c>
      <c r="M88" s="116">
        <f>VLOOKUP($L88,$L$2:$N$7,2,FALSE)*I88</f>
        <v>0</v>
      </c>
      <c r="N88" s="116">
        <f>VLOOKUP($L88,$L$2:$N$7,3,FALSE)*I88</f>
        <v>0</v>
      </c>
      <c r="O88" s="272"/>
      <c r="P88" s="240" t="s">
        <v>560</v>
      </c>
      <c r="Q88" s="116">
        <f>IF(P88="G",M88,IF(P88="PT",0,ERR))</f>
        <v>0</v>
      </c>
      <c r="R88" s="116">
        <f>IF(P88="PT",M88,IF(P88="G",0,ERR))</f>
        <v>0</v>
      </c>
      <c r="S88" s="240" t="s">
        <v>560</v>
      </c>
      <c r="T88" s="116">
        <f>IF(S88="G",N88,IF(S88="PT",0,ERR))</f>
        <v>0</v>
      </c>
      <c r="U88" s="116">
        <f>IF(S88="PT",N88,IF(S88="G",0,ERR))</f>
        <v>0</v>
      </c>
      <c r="V88" s="273"/>
      <c r="W88" s="116">
        <f>HLOOKUP($W$9,'ROR-Model'!$Q$10:$U$1263,Y88)</f>
        <v>0</v>
      </c>
      <c r="X88" s="118"/>
      <c r="Y88" s="577">
        <f t="shared" si="2"/>
        <v>79</v>
      </c>
      <c r="AA88" s="116">
        <v>0</v>
      </c>
      <c r="AB88" s="116">
        <f t="shared" si="3"/>
        <v>0</v>
      </c>
    </row>
    <row r="89" spans="1:28">
      <c r="A89" s="227"/>
      <c r="B89" s="728"/>
      <c r="C89" s="728"/>
      <c r="D89" s="102"/>
      <c r="E89" s="116">
        <f>+G89-Adjustments!H89</f>
        <v>0</v>
      </c>
      <c r="F89" s="116"/>
      <c r="G89" s="116"/>
      <c r="H89" s="116"/>
      <c r="I89" s="116"/>
      <c r="J89" s="116"/>
      <c r="K89" s="116"/>
      <c r="L89" s="116"/>
      <c r="M89" s="116"/>
      <c r="N89" s="116"/>
      <c r="O89" s="272"/>
      <c r="P89" s="240"/>
      <c r="Q89" s="116"/>
      <c r="R89" s="116"/>
      <c r="S89" s="240"/>
      <c r="T89" s="116"/>
      <c r="U89" s="116"/>
      <c r="V89" s="273"/>
      <c r="W89" s="116"/>
      <c r="X89" s="118"/>
      <c r="Y89" s="577">
        <f t="shared" si="2"/>
        <v>80</v>
      </c>
      <c r="AA89" s="116"/>
      <c r="AB89" s="116">
        <f t="shared" si="3"/>
        <v>0</v>
      </c>
    </row>
    <row r="90" spans="1:28">
      <c r="A90" s="227"/>
      <c r="B90" s="728"/>
      <c r="C90" s="728" t="s">
        <v>17</v>
      </c>
      <c r="D90" s="102"/>
      <c r="E90" s="116">
        <f>+G90-Adjustments!H90</f>
        <v>0</v>
      </c>
      <c r="F90" s="116">
        <f>Revenue!$F$89</f>
        <v>0</v>
      </c>
      <c r="G90" s="116">
        <f>+Adjustments!AW90</f>
        <v>0</v>
      </c>
      <c r="H90" s="116"/>
      <c r="I90" s="116">
        <f>SUM($F$90:$H$90)</f>
        <v>0</v>
      </c>
      <c r="J90" s="116"/>
      <c r="K90" s="116"/>
      <c r="L90" s="116" t="s">
        <v>14</v>
      </c>
      <c r="M90" s="116">
        <f>VLOOKUP($L90,$L$2:$N$7,2,FALSE)*I90</f>
        <v>0</v>
      </c>
      <c r="N90" s="116">
        <f>VLOOKUP($L90,$L$2:$N$7,3,FALSE)*I90</f>
        <v>0</v>
      </c>
      <c r="O90" s="272"/>
      <c r="P90" s="240" t="s">
        <v>559</v>
      </c>
      <c r="Q90" s="116">
        <f>IF(P90="G",M90,IF(P90="PT",0,ERR))</f>
        <v>0</v>
      </c>
      <c r="R90" s="116">
        <f>IF(P90="PT",M90,IF(P90="G",0,ERR))</f>
        <v>0</v>
      </c>
      <c r="S90" s="240" t="s">
        <v>559</v>
      </c>
      <c r="T90" s="116">
        <f>IF(S90="G",N90,IF(S90="PT",0,ERR))</f>
        <v>0</v>
      </c>
      <c r="U90" s="116">
        <f>IF(S90="PT",N90,IF(S90="G",0,ERR))</f>
        <v>0</v>
      </c>
      <c r="V90" s="273"/>
      <c r="W90" s="116">
        <f>HLOOKUP($W$9,'ROR-Model'!$Q$10:$U$1263,Y90)</f>
        <v>0</v>
      </c>
      <c r="X90" s="118"/>
      <c r="Y90" s="577">
        <f t="shared" si="2"/>
        <v>81</v>
      </c>
      <c r="AA90" s="116">
        <v>0</v>
      </c>
      <c r="AB90" s="116">
        <f t="shared" si="3"/>
        <v>0</v>
      </c>
    </row>
    <row r="91" spans="1:28">
      <c r="A91" s="227"/>
      <c r="B91" s="728"/>
      <c r="C91" s="728"/>
      <c r="D91" s="102"/>
      <c r="E91" s="116">
        <f>+G91-Adjustments!H91</f>
        <v>0</v>
      </c>
      <c r="F91" s="116"/>
      <c r="G91" s="116"/>
      <c r="H91" s="116"/>
      <c r="I91" s="116"/>
      <c r="J91" s="116"/>
      <c r="K91" s="116"/>
      <c r="L91" s="116"/>
      <c r="M91" s="116"/>
      <c r="N91" s="116"/>
      <c r="O91" s="272"/>
      <c r="P91" s="240"/>
      <c r="Q91" s="116"/>
      <c r="R91" s="116"/>
      <c r="S91" s="240"/>
      <c r="T91" s="116"/>
      <c r="U91" s="116"/>
      <c r="V91" s="273"/>
      <c r="W91" s="116"/>
      <c r="X91" s="118"/>
      <c r="Y91" s="577">
        <f t="shared" si="2"/>
        <v>82</v>
      </c>
      <c r="AA91" s="116"/>
      <c r="AB91" s="116">
        <f t="shared" si="3"/>
        <v>0</v>
      </c>
    </row>
    <row r="92" spans="1:28">
      <c r="A92" s="227"/>
      <c r="B92" s="728"/>
      <c r="C92" s="728" t="s">
        <v>18</v>
      </c>
      <c r="D92" s="102"/>
      <c r="E92" s="116">
        <f>+G92-Adjustments!H92</f>
        <v>0</v>
      </c>
      <c r="F92" s="116">
        <f>Revenue!$F$91</f>
        <v>0</v>
      </c>
      <c r="G92" s="116">
        <f>+Adjustments!AW92</f>
        <v>0</v>
      </c>
      <c r="H92" s="116"/>
      <c r="I92" s="116">
        <f>SUM($F$92:$H$92)</f>
        <v>0</v>
      </c>
      <c r="J92" s="116"/>
      <c r="K92" s="116"/>
      <c r="L92" s="116" t="s">
        <v>14</v>
      </c>
      <c r="M92" s="116">
        <f>VLOOKUP($L92,$L$2:$N$7,2,FALSE)*I92</f>
        <v>0</v>
      </c>
      <c r="N92" s="116">
        <f>VLOOKUP($L92,$L$2:$N$7,3,FALSE)*I92</f>
        <v>0</v>
      </c>
      <c r="O92" s="272"/>
      <c r="P92" s="240" t="s">
        <v>559</v>
      </c>
      <c r="Q92" s="116">
        <f>IF(P92="G",M92,IF(P92="PT",0,ERR))</f>
        <v>0</v>
      </c>
      <c r="R92" s="116">
        <f>IF(P92="PT",M92,IF(P92="G",0,ERR))</f>
        <v>0</v>
      </c>
      <c r="S92" s="240" t="s">
        <v>559</v>
      </c>
      <c r="T92" s="116">
        <f>IF(S92="G",N92,IF(S92="PT",0,ERR))</f>
        <v>0</v>
      </c>
      <c r="U92" s="116">
        <f>IF(S92="PT",N92,IF(S92="G",0,ERR))</f>
        <v>0</v>
      </c>
      <c r="V92" s="273"/>
      <c r="W92" s="116">
        <f>HLOOKUP($W$9,'ROR-Model'!$Q$10:$U$1263,Y92)</f>
        <v>0</v>
      </c>
      <c r="X92" s="118"/>
      <c r="Y92" s="577">
        <f t="shared" si="2"/>
        <v>83</v>
      </c>
      <c r="AA92" s="116">
        <v>0</v>
      </c>
      <c r="AB92" s="116">
        <f t="shared" si="3"/>
        <v>0</v>
      </c>
    </row>
    <row r="93" spans="1:28">
      <c r="A93" s="227"/>
      <c r="B93" s="728"/>
      <c r="C93" s="728" t="s">
        <v>19</v>
      </c>
      <c r="D93" s="102"/>
      <c r="E93" s="131">
        <f>+G93-Adjustments!H93</f>
        <v>0</v>
      </c>
      <c r="F93" s="131">
        <f>SUM(F88:F92)</f>
        <v>0</v>
      </c>
      <c r="G93" s="131">
        <f>SUM(G88:G92)</f>
        <v>0</v>
      </c>
      <c r="H93" s="131">
        <f>SUM(H88:H92)</f>
        <v>0</v>
      </c>
      <c r="I93" s="131">
        <f>SUM(I88:I92)</f>
        <v>0</v>
      </c>
      <c r="J93" s="116"/>
      <c r="K93" s="116"/>
      <c r="L93" s="131"/>
      <c r="M93" s="131">
        <f>SUM(M88:M92)</f>
        <v>0</v>
      </c>
      <c r="N93" s="131">
        <f>SUM(N88:N92)</f>
        <v>0</v>
      </c>
      <c r="O93" s="272"/>
      <c r="P93" s="257"/>
      <c r="Q93" s="131">
        <f>SUM(Q88:Q92)</f>
        <v>0</v>
      </c>
      <c r="R93" s="131">
        <f>SUM(R88:R92)</f>
        <v>0</v>
      </c>
      <c r="S93" s="257"/>
      <c r="T93" s="131">
        <f>SUM(T88:T92)</f>
        <v>0</v>
      </c>
      <c r="U93" s="131">
        <f>SUM(U88:U92)</f>
        <v>0</v>
      </c>
      <c r="V93" s="273"/>
      <c r="W93" s="131">
        <f>HLOOKUP($W$9,'ROR-Model'!$Q$10:$U$1263,Y93)</f>
        <v>0</v>
      </c>
      <c r="X93" s="118"/>
      <c r="Y93" s="577">
        <f t="shared" si="2"/>
        <v>84</v>
      </c>
      <c r="AA93" s="131">
        <v>0</v>
      </c>
      <c r="AB93" s="116">
        <f t="shared" si="3"/>
        <v>0</v>
      </c>
    </row>
    <row r="94" spans="1:28">
      <c r="A94" s="227"/>
      <c r="B94" s="728"/>
      <c r="C94" s="728"/>
      <c r="D94" s="102"/>
      <c r="E94" s="116">
        <f>+G94-Adjustments!H94</f>
        <v>0</v>
      </c>
      <c r="F94" s="116"/>
      <c r="G94" s="116"/>
      <c r="H94" s="116"/>
      <c r="I94" s="116"/>
      <c r="J94" s="116"/>
      <c r="K94" s="116"/>
      <c r="L94" s="116"/>
      <c r="M94" s="116"/>
      <c r="N94" s="116"/>
      <c r="O94" s="272"/>
      <c r="P94" s="240"/>
      <c r="Q94" s="116"/>
      <c r="R94" s="116"/>
      <c r="S94" s="240"/>
      <c r="T94" s="116"/>
      <c r="U94" s="116"/>
      <c r="V94" s="273"/>
      <c r="W94" s="116"/>
      <c r="X94" s="118"/>
      <c r="Y94" s="577">
        <f t="shared" si="2"/>
        <v>85</v>
      </c>
      <c r="AA94" s="116"/>
      <c r="AB94" s="116">
        <f t="shared" si="3"/>
        <v>0</v>
      </c>
    </row>
    <row r="95" spans="1:28">
      <c r="A95" s="227"/>
      <c r="B95" s="728"/>
      <c r="C95" s="728" t="s">
        <v>20</v>
      </c>
      <c r="D95" s="102"/>
      <c r="E95" s="116">
        <f>+G95-Adjustments!H95</f>
        <v>0</v>
      </c>
      <c r="F95" s="116">
        <f>Revenue!$F$94</f>
        <v>0</v>
      </c>
      <c r="G95" s="116">
        <f>+Adjustments!AW95</f>
        <v>0</v>
      </c>
      <c r="H95" s="116"/>
      <c r="I95" s="116">
        <f>SUM($F$95:$H$95)</f>
        <v>0</v>
      </c>
      <c r="J95" s="116"/>
      <c r="K95" s="116"/>
      <c r="L95" s="116" t="s">
        <v>14</v>
      </c>
      <c r="M95" s="116">
        <f>VLOOKUP($L95,$L$2:$N$7,2,FALSE)*I95</f>
        <v>0</v>
      </c>
      <c r="N95" s="116">
        <f>VLOOKUP($L95,$L$2:$N$7,3,FALSE)*I95</f>
        <v>0</v>
      </c>
      <c r="O95" s="272"/>
      <c r="P95" s="240" t="s">
        <v>560</v>
      </c>
      <c r="Q95" s="116">
        <f>IF(P95="G",M95,IF(P95="PT",0,ERR))</f>
        <v>0</v>
      </c>
      <c r="R95" s="116">
        <f>IF(P95="PT",M95,IF(P95="G",0,ERR))</f>
        <v>0</v>
      </c>
      <c r="S95" s="240" t="s">
        <v>560</v>
      </c>
      <c r="T95" s="116">
        <f>IF(S95="G",N95,IF(S95="PT",0,ERR))</f>
        <v>0</v>
      </c>
      <c r="U95" s="116">
        <f>IF(S95="PT",N95,IF(S95="G",0,ERR))</f>
        <v>0</v>
      </c>
      <c r="V95" s="273"/>
      <c r="W95" s="116">
        <f>HLOOKUP($W$9,'ROR-Model'!$Q$10:$U$1263,Y95)</f>
        <v>0</v>
      </c>
      <c r="X95" s="118"/>
      <c r="Y95" s="577">
        <f t="shared" si="2"/>
        <v>86</v>
      </c>
      <c r="AA95" s="116">
        <v>0</v>
      </c>
      <c r="AB95" s="116">
        <f t="shared" si="3"/>
        <v>0</v>
      </c>
    </row>
    <row r="96" spans="1:28">
      <c r="A96" s="227"/>
      <c r="B96" s="728"/>
      <c r="C96" s="728"/>
      <c r="D96" s="102"/>
      <c r="E96" s="116">
        <f>+G96-Adjustments!H96</f>
        <v>0</v>
      </c>
      <c r="F96" s="116"/>
      <c r="G96" s="116"/>
      <c r="H96" s="116"/>
      <c r="I96" s="116"/>
      <c r="J96" s="116"/>
      <c r="K96" s="116"/>
      <c r="L96" s="116"/>
      <c r="M96" s="116"/>
      <c r="N96" s="116"/>
      <c r="O96" s="272"/>
      <c r="P96" s="240"/>
      <c r="Q96" s="116"/>
      <c r="R96" s="116"/>
      <c r="S96" s="240"/>
      <c r="T96" s="116"/>
      <c r="U96" s="116"/>
      <c r="V96" s="273"/>
      <c r="W96" s="116"/>
      <c r="X96" s="118"/>
      <c r="Y96" s="577">
        <f t="shared" si="2"/>
        <v>87</v>
      </c>
      <c r="AA96" s="116"/>
      <c r="AB96" s="116">
        <f t="shared" si="3"/>
        <v>0</v>
      </c>
    </row>
    <row r="97" spans="1:28">
      <c r="A97" s="227"/>
      <c r="B97" s="728" t="s">
        <v>680</v>
      </c>
      <c r="C97" s="728" t="s">
        <v>16</v>
      </c>
      <c r="D97" s="102"/>
      <c r="E97" s="116">
        <f>+G97-Adjustments!H97</f>
        <v>0</v>
      </c>
      <c r="F97" s="116">
        <f>Revenue!$F$96</f>
        <v>373983</v>
      </c>
      <c r="G97" s="116">
        <f>+Adjustments!AW97</f>
        <v>-225094.6940973716</v>
      </c>
      <c r="H97" s="116"/>
      <c r="I97" s="116">
        <f>SUM($F$97:$H$97)</f>
        <v>148888.3059026284</v>
      </c>
      <c r="J97" s="116"/>
      <c r="K97" s="116"/>
      <c r="L97" s="116" t="s">
        <v>14</v>
      </c>
      <c r="M97" s="116">
        <f>VLOOKUP($L97,$L$2:$N$7,2,FALSE)*I97</f>
        <v>148888.3059026284</v>
      </c>
      <c r="N97" s="116">
        <f>VLOOKUP($L97,$L$2:$N$7,3,FALSE)*I97</f>
        <v>0</v>
      </c>
      <c r="O97" s="272"/>
      <c r="P97" s="240" t="s">
        <v>560</v>
      </c>
      <c r="Q97" s="116">
        <f>IF(P97="G",M97,IF(P97="PT",0,ERR))</f>
        <v>148888.3059026284</v>
      </c>
      <c r="R97" s="116">
        <f>IF(P97="PT",M97,IF(P97="G",0,ERR))</f>
        <v>0</v>
      </c>
      <c r="S97" s="240" t="s">
        <v>560</v>
      </c>
      <c r="T97" s="116">
        <f>IF(S97="G",N97,IF(S97="PT",0,ERR))</f>
        <v>0</v>
      </c>
      <c r="U97" s="116">
        <f>IF(S97="PT",N97,IF(S97="G",0,ERR))</f>
        <v>0</v>
      </c>
      <c r="V97" s="273"/>
      <c r="W97" s="116">
        <f>HLOOKUP($W$9,'ROR-Model'!$Q$10:$U$1263,Y97)</f>
        <v>148888.3059026284</v>
      </c>
      <c r="X97" s="118"/>
      <c r="Y97" s="577">
        <f t="shared" si="2"/>
        <v>88</v>
      </c>
      <c r="AA97" s="116">
        <v>373983</v>
      </c>
      <c r="AB97" s="116">
        <f t="shared" si="3"/>
        <v>-225094.6940973716</v>
      </c>
    </row>
    <row r="98" spans="1:28">
      <c r="A98" s="227"/>
      <c r="B98" s="728"/>
      <c r="C98" s="728"/>
      <c r="D98" s="102"/>
      <c r="E98" s="116">
        <f>+G98-Adjustments!H98</f>
        <v>0</v>
      </c>
      <c r="F98" s="116"/>
      <c r="G98" s="116"/>
      <c r="H98" s="116"/>
      <c r="I98" s="116"/>
      <c r="J98" s="116"/>
      <c r="K98" s="116"/>
      <c r="L98" s="116"/>
      <c r="M98" s="116"/>
      <c r="N98" s="116"/>
      <c r="O98" s="272"/>
      <c r="P98" s="240"/>
      <c r="Q98" s="116"/>
      <c r="R98" s="116"/>
      <c r="S98" s="240"/>
      <c r="T98" s="116"/>
      <c r="U98" s="116"/>
      <c r="V98" s="273"/>
      <c r="W98" s="116"/>
      <c r="X98" s="118"/>
      <c r="Y98" s="577">
        <f t="shared" si="2"/>
        <v>89</v>
      </c>
      <c r="AA98" s="116"/>
      <c r="AB98" s="116">
        <f t="shared" si="3"/>
        <v>0</v>
      </c>
    </row>
    <row r="99" spans="1:28">
      <c r="A99" s="227"/>
      <c r="B99" s="728"/>
      <c r="C99" s="728" t="s">
        <v>17</v>
      </c>
      <c r="D99" s="102"/>
      <c r="E99" s="116">
        <f>+G99-Adjustments!H99</f>
        <v>0</v>
      </c>
      <c r="F99" s="116">
        <f>Revenue!$F$98</f>
        <v>111250</v>
      </c>
      <c r="G99" s="116">
        <f>+Adjustments!AW99</f>
        <v>-76538.42</v>
      </c>
      <c r="H99" s="116"/>
      <c r="I99" s="116">
        <f>SUM($F$99:$H$99)</f>
        <v>34711.58</v>
      </c>
      <c r="J99" s="116"/>
      <c r="K99" s="116"/>
      <c r="L99" s="116" t="s">
        <v>14</v>
      </c>
      <c r="M99" s="116">
        <f>VLOOKUP($L99,$L$2:$N$7,2,FALSE)*I99</f>
        <v>34711.58</v>
      </c>
      <c r="N99" s="116">
        <f>VLOOKUP($L99,$L$2:$N$7,3,FALSE)*I99</f>
        <v>0</v>
      </c>
      <c r="O99" s="272"/>
      <c r="P99" s="240" t="s">
        <v>559</v>
      </c>
      <c r="Q99" s="116">
        <f>IF(P99="G",M99,IF(P99="PT",0,ERR))</f>
        <v>0</v>
      </c>
      <c r="R99" s="116">
        <f>IF(P99="PT",M99,IF(P99="G",0,ERR))</f>
        <v>34711.58</v>
      </c>
      <c r="S99" s="240" t="s">
        <v>559</v>
      </c>
      <c r="T99" s="116">
        <f>IF(S99="G",N99,IF(S99="PT",0,ERR))</f>
        <v>0</v>
      </c>
      <c r="U99" s="116">
        <f>IF(S99="PT",N99,IF(S99="G",0,ERR))</f>
        <v>0</v>
      </c>
      <c r="V99" s="273"/>
      <c r="W99" s="116">
        <f>HLOOKUP($W$9,'ROR-Model'!$Q$10:$U$1263,Y99)</f>
        <v>0</v>
      </c>
      <c r="X99" s="118"/>
      <c r="Y99" s="577">
        <f t="shared" si="2"/>
        <v>90</v>
      </c>
      <c r="AA99" s="116">
        <v>0</v>
      </c>
      <c r="AB99" s="116">
        <f t="shared" si="3"/>
        <v>0</v>
      </c>
    </row>
    <row r="100" spans="1:28">
      <c r="A100" s="227"/>
      <c r="B100" s="728"/>
      <c r="C100" s="728"/>
      <c r="D100" s="102"/>
      <c r="E100" s="116">
        <f>+G100-Adjustments!H100</f>
        <v>0</v>
      </c>
      <c r="F100" s="116"/>
      <c r="G100" s="116"/>
      <c r="H100" s="116"/>
      <c r="I100" s="116"/>
      <c r="J100" s="116"/>
      <c r="K100" s="116"/>
      <c r="L100" s="116"/>
      <c r="M100" s="116"/>
      <c r="N100" s="116"/>
      <c r="O100" s="272"/>
      <c r="P100" s="240"/>
      <c r="Q100" s="116"/>
      <c r="R100" s="116"/>
      <c r="S100" s="240"/>
      <c r="T100" s="116"/>
      <c r="U100" s="116"/>
      <c r="V100" s="273"/>
      <c r="W100" s="116"/>
      <c r="X100" s="118"/>
      <c r="Y100" s="577">
        <f t="shared" si="2"/>
        <v>91</v>
      </c>
      <c r="AA100" s="116"/>
      <c r="AB100" s="116">
        <f t="shared" si="3"/>
        <v>0</v>
      </c>
    </row>
    <row r="101" spans="1:28">
      <c r="A101" s="227"/>
      <c r="B101" s="728"/>
      <c r="C101" s="728" t="s">
        <v>18</v>
      </c>
      <c r="D101" s="102"/>
      <c r="E101" s="116">
        <f>+G101-Adjustments!H101</f>
        <v>0</v>
      </c>
      <c r="F101" s="116">
        <f>Revenue!$F$100</f>
        <v>2493346</v>
      </c>
      <c r="G101" s="116">
        <f>+Adjustments!AW101</f>
        <v>-1821144.17</v>
      </c>
      <c r="H101" s="116"/>
      <c r="I101" s="116">
        <f>SUM($F$101:$H$101)</f>
        <v>672201.83000000007</v>
      </c>
      <c r="J101" s="116"/>
      <c r="K101" s="116"/>
      <c r="L101" s="116" t="s">
        <v>14</v>
      </c>
      <c r="M101" s="116">
        <f>VLOOKUP($L101,$L$2:$N$7,2,FALSE)*I101</f>
        <v>672201.83000000007</v>
      </c>
      <c r="N101" s="116">
        <f>VLOOKUP($L101,$L$2:$N$7,3,FALSE)*I101</f>
        <v>0</v>
      </c>
      <c r="O101" s="272"/>
      <c r="P101" s="240" t="s">
        <v>559</v>
      </c>
      <c r="Q101" s="116">
        <f>IF(P101="G",M101,IF(P101="PT",0,ERR))</f>
        <v>0</v>
      </c>
      <c r="R101" s="116">
        <f>IF(P101="PT",M101,IF(P101="G",0,ERR))</f>
        <v>672201.83000000007</v>
      </c>
      <c r="S101" s="240" t="s">
        <v>559</v>
      </c>
      <c r="T101" s="116">
        <f>IF(S101="G",N101,IF(S101="PT",0,ERR))</f>
        <v>0</v>
      </c>
      <c r="U101" s="116">
        <f>IF(S101="PT",N101,IF(S101="G",0,ERR))</f>
        <v>0</v>
      </c>
      <c r="V101" s="273"/>
      <c r="W101" s="116">
        <f>HLOOKUP($W$9,'ROR-Model'!$Q$10:$U$1263,Y101)</f>
        <v>0</v>
      </c>
      <c r="X101" s="118"/>
      <c r="Y101" s="577">
        <f t="shared" si="2"/>
        <v>92</v>
      </c>
      <c r="AA101" s="116">
        <v>0</v>
      </c>
      <c r="AB101" s="116">
        <f t="shared" si="3"/>
        <v>0</v>
      </c>
    </row>
    <row r="102" spans="1:28">
      <c r="A102" s="227"/>
      <c r="B102" s="728"/>
      <c r="C102" s="728" t="s">
        <v>19</v>
      </c>
      <c r="D102" s="102"/>
      <c r="E102" s="131">
        <f>+G102-Adjustments!H102</f>
        <v>0</v>
      </c>
      <c r="F102" s="131">
        <f>SUM(F97:F101)</f>
        <v>2978579</v>
      </c>
      <c r="G102" s="131">
        <f>SUM(G97:G101)</f>
        <v>-2122777.2840973716</v>
      </c>
      <c r="H102" s="131">
        <f>SUM(H97:H101)</f>
        <v>0</v>
      </c>
      <c r="I102" s="131">
        <f>SUM(I97:I101)</f>
        <v>855801.71590262849</v>
      </c>
      <c r="J102" s="116"/>
      <c r="K102" s="116"/>
      <c r="L102" s="131"/>
      <c r="M102" s="131">
        <f>SUM(M97:M101)</f>
        <v>855801.71590262849</v>
      </c>
      <c r="N102" s="131">
        <f>SUM(N97:N101)</f>
        <v>0</v>
      </c>
      <c r="O102" s="272"/>
      <c r="P102" s="257"/>
      <c r="Q102" s="131">
        <f>SUM(Q97:Q101)</f>
        <v>148888.3059026284</v>
      </c>
      <c r="R102" s="131">
        <f>SUM(R97:R101)</f>
        <v>706913.41</v>
      </c>
      <c r="S102" s="257"/>
      <c r="T102" s="131">
        <f>SUM(T97:T101)</f>
        <v>0</v>
      </c>
      <c r="U102" s="131">
        <f>SUM(U97:U101)</f>
        <v>0</v>
      </c>
      <c r="V102" s="273"/>
      <c r="W102" s="131">
        <f>HLOOKUP($W$9,'ROR-Model'!$Q$10:$U$1263,Y102)</f>
        <v>148888.3059026284</v>
      </c>
      <c r="X102" s="118"/>
      <c r="Y102" s="577">
        <f t="shared" si="2"/>
        <v>93</v>
      </c>
      <c r="AA102" s="131">
        <v>373983</v>
      </c>
      <c r="AB102" s="116">
        <f t="shared" si="3"/>
        <v>-225094.6940973716</v>
      </c>
    </row>
    <row r="103" spans="1:28">
      <c r="A103" s="227"/>
      <c r="B103" s="728"/>
      <c r="C103" s="728"/>
      <c r="D103" s="102"/>
      <c r="E103" s="116">
        <f>+G103-Adjustments!H103</f>
        <v>0</v>
      </c>
      <c r="F103" s="116"/>
      <c r="G103" s="116"/>
      <c r="H103" s="116"/>
      <c r="I103" s="116"/>
      <c r="J103" s="116"/>
      <c r="K103" s="116"/>
      <c r="L103" s="116"/>
      <c r="M103" s="116"/>
      <c r="N103" s="116"/>
      <c r="O103" s="272"/>
      <c r="P103" s="240"/>
      <c r="Q103" s="116"/>
      <c r="R103" s="116"/>
      <c r="S103" s="240"/>
      <c r="T103" s="116"/>
      <c r="U103" s="116"/>
      <c r="V103" s="273"/>
      <c r="W103" s="116"/>
      <c r="X103" s="118"/>
      <c r="Y103" s="577">
        <f t="shared" si="2"/>
        <v>94</v>
      </c>
      <c r="AA103" s="116"/>
      <c r="AB103" s="116">
        <f t="shared" si="3"/>
        <v>0</v>
      </c>
    </row>
    <row r="104" spans="1:28">
      <c r="A104" s="227"/>
      <c r="B104" s="728"/>
      <c r="C104" s="728" t="s">
        <v>20</v>
      </c>
      <c r="D104" s="102"/>
      <c r="E104" s="116">
        <f>+G104-Adjustments!H104</f>
        <v>0</v>
      </c>
      <c r="F104" s="116">
        <f>Revenue!$F$103</f>
        <v>619341</v>
      </c>
      <c r="G104" s="116">
        <f>+Adjustments!AW104</f>
        <v>-425519</v>
      </c>
      <c r="H104" s="116"/>
      <c r="I104" s="116">
        <f>SUM($F$104:$H$104)</f>
        <v>193822</v>
      </c>
      <c r="J104" s="116"/>
      <c r="K104" s="116"/>
      <c r="L104" s="116" t="s">
        <v>14</v>
      </c>
      <c r="M104" s="116">
        <f>VLOOKUP($L104,$L$2:$N$7,2,FALSE)*I104</f>
        <v>193822</v>
      </c>
      <c r="N104" s="116">
        <f>VLOOKUP($L104,$L$2:$N$7,3,FALSE)*I104</f>
        <v>0</v>
      </c>
      <c r="O104" s="272"/>
      <c r="P104" s="240" t="s">
        <v>560</v>
      </c>
      <c r="Q104" s="116">
        <f>IF(P104="G",M104,IF(P104="PT",0,ERR))</f>
        <v>193822</v>
      </c>
      <c r="R104" s="116">
        <f>IF(P104="PT",M104,IF(P104="G",0,ERR))</f>
        <v>0</v>
      </c>
      <c r="S104" s="240" t="s">
        <v>560</v>
      </c>
      <c r="T104" s="116">
        <f>IF(S104="G",N104,IF(S104="PT",0,ERR))</f>
        <v>0</v>
      </c>
      <c r="U104" s="116">
        <f>IF(S104="PT",N104,IF(S104="G",0,ERR))</f>
        <v>0</v>
      </c>
      <c r="V104" s="273"/>
      <c r="W104" s="116">
        <f>HLOOKUP($W$9,'ROR-Model'!$Q$10:$U$1263,Y104)</f>
        <v>193822</v>
      </c>
      <c r="X104" s="118"/>
      <c r="Y104" s="577">
        <f t="shared" si="2"/>
        <v>95</v>
      </c>
      <c r="AA104" s="116">
        <v>619341</v>
      </c>
      <c r="AB104" s="116">
        <f t="shared" si="3"/>
        <v>-425519</v>
      </c>
    </row>
    <row r="105" spans="1:28">
      <c r="A105" s="227"/>
      <c r="B105" s="728"/>
      <c r="C105" s="728"/>
      <c r="D105" s="102"/>
      <c r="E105" s="116">
        <f>+G105-Adjustments!H105</f>
        <v>0</v>
      </c>
      <c r="F105" s="116"/>
      <c r="G105" s="116"/>
      <c r="H105" s="116"/>
      <c r="I105" s="116"/>
      <c r="J105" s="116"/>
      <c r="K105" s="116"/>
      <c r="L105" s="116"/>
      <c r="M105" s="116"/>
      <c r="N105" s="116"/>
      <c r="O105" s="272"/>
      <c r="P105" s="240"/>
      <c r="Q105" s="116"/>
      <c r="R105" s="116"/>
      <c r="S105" s="240"/>
      <c r="T105" s="116"/>
      <c r="U105" s="116"/>
      <c r="V105" s="273"/>
      <c r="W105" s="116"/>
      <c r="X105" s="118"/>
      <c r="Y105" s="577">
        <f t="shared" si="2"/>
        <v>96</v>
      </c>
      <c r="AA105" s="116"/>
      <c r="AB105" s="116">
        <f t="shared" si="3"/>
        <v>0</v>
      </c>
    </row>
    <row r="106" spans="1:28">
      <c r="A106" s="227"/>
      <c r="B106" s="728" t="s">
        <v>87</v>
      </c>
      <c r="C106" s="728" t="s">
        <v>16</v>
      </c>
      <c r="D106" s="102"/>
      <c r="E106" s="116">
        <f>+G106-Adjustments!H106</f>
        <v>0</v>
      </c>
      <c r="F106" s="116">
        <f>Revenue!$F$105</f>
        <v>0</v>
      </c>
      <c r="G106" s="116">
        <f>+Adjustments!AW106</f>
        <v>0</v>
      </c>
      <c r="H106" s="116"/>
      <c r="I106" s="116">
        <f>SUM($F$106:$H$106)</f>
        <v>0</v>
      </c>
      <c r="J106" s="116"/>
      <c r="K106" s="116"/>
      <c r="L106" s="116" t="s">
        <v>14</v>
      </c>
      <c r="M106" s="116">
        <f>VLOOKUP($L106,$L$2:$N$7,2,FALSE)*I106</f>
        <v>0</v>
      </c>
      <c r="N106" s="116">
        <f>VLOOKUP($L106,$L$2:$N$7,3,FALSE)*I106</f>
        <v>0</v>
      </c>
      <c r="O106" s="272"/>
      <c r="P106" s="240" t="s">
        <v>560</v>
      </c>
      <c r="Q106" s="116">
        <f>IF(P106="G",M106,IF(P106="PT",0,ERR))</f>
        <v>0</v>
      </c>
      <c r="R106" s="116">
        <f>IF(P106="PT",M106,IF(P106="G",0,ERR))</f>
        <v>0</v>
      </c>
      <c r="S106" s="240" t="s">
        <v>560</v>
      </c>
      <c r="T106" s="116">
        <f>IF(S106="G",N106,IF(S106="PT",0,ERR))</f>
        <v>0</v>
      </c>
      <c r="U106" s="116">
        <f>IF(S106="PT",N106,IF(S106="G",0,ERR))</f>
        <v>0</v>
      </c>
      <c r="V106" s="273"/>
      <c r="W106" s="116">
        <f>HLOOKUP($W$9,'ROR-Model'!$Q$10:$U$1263,Y106)</f>
        <v>0</v>
      </c>
      <c r="X106" s="118"/>
      <c r="Y106" s="577">
        <f t="shared" si="2"/>
        <v>97</v>
      </c>
      <c r="AA106" s="116">
        <v>0</v>
      </c>
      <c r="AB106" s="116">
        <f t="shared" si="3"/>
        <v>0</v>
      </c>
    </row>
    <row r="107" spans="1:28">
      <c r="A107" s="227"/>
      <c r="B107" s="728"/>
      <c r="C107" s="728"/>
      <c r="D107" s="102"/>
      <c r="E107" s="116">
        <f>+G107-Adjustments!H107</f>
        <v>0</v>
      </c>
      <c r="F107" s="116"/>
      <c r="G107" s="116"/>
      <c r="H107" s="116"/>
      <c r="I107" s="116"/>
      <c r="J107" s="116"/>
      <c r="K107" s="116"/>
      <c r="L107" s="116"/>
      <c r="M107" s="116"/>
      <c r="N107" s="116"/>
      <c r="O107" s="272"/>
      <c r="P107" s="240"/>
      <c r="Q107" s="116"/>
      <c r="R107" s="116"/>
      <c r="S107" s="240"/>
      <c r="T107" s="116"/>
      <c r="U107" s="116"/>
      <c r="V107" s="273"/>
      <c r="W107" s="116"/>
      <c r="X107" s="118"/>
      <c r="Y107" s="577">
        <f t="shared" si="2"/>
        <v>98</v>
      </c>
      <c r="AA107" s="116"/>
      <c r="AB107" s="116">
        <f t="shared" si="3"/>
        <v>0</v>
      </c>
    </row>
    <row r="108" spans="1:28">
      <c r="A108" s="227"/>
      <c r="B108" s="728"/>
      <c r="C108" s="728" t="s">
        <v>17</v>
      </c>
      <c r="D108" s="102"/>
      <c r="E108" s="116">
        <f>+G108-Adjustments!H108</f>
        <v>0</v>
      </c>
      <c r="F108" s="116">
        <f>Revenue!$F$107</f>
        <v>0</v>
      </c>
      <c r="G108" s="116">
        <f>+Adjustments!AW108</f>
        <v>0</v>
      </c>
      <c r="H108" s="116"/>
      <c r="I108" s="116">
        <f>SUM($F$108:$H$108)</f>
        <v>0</v>
      </c>
      <c r="J108" s="116"/>
      <c r="K108" s="116"/>
      <c r="L108" s="116" t="s">
        <v>14</v>
      </c>
      <c r="M108" s="116">
        <f>VLOOKUP($L108,$L$2:$N$7,2,FALSE)*I108</f>
        <v>0</v>
      </c>
      <c r="N108" s="116">
        <f>VLOOKUP($L108,$L$2:$N$7,3,FALSE)*I108</f>
        <v>0</v>
      </c>
      <c r="O108" s="272"/>
      <c r="P108" s="240" t="s">
        <v>559</v>
      </c>
      <c r="Q108" s="116">
        <f>IF(P108="G",M108,IF(P108="PT",0,ERR))</f>
        <v>0</v>
      </c>
      <c r="R108" s="116">
        <f>IF(P108="PT",M108,IF(P108="G",0,ERR))</f>
        <v>0</v>
      </c>
      <c r="S108" s="240" t="s">
        <v>559</v>
      </c>
      <c r="T108" s="116">
        <f>IF(S108="G",N108,IF(S108="PT",0,ERR))</f>
        <v>0</v>
      </c>
      <c r="U108" s="116">
        <f>IF(S108="PT",N108,IF(S108="G",0,ERR))</f>
        <v>0</v>
      </c>
      <c r="V108" s="273"/>
      <c r="W108" s="116">
        <f>HLOOKUP($W$9,'ROR-Model'!$Q$10:$U$1263,Y108)</f>
        <v>0</v>
      </c>
      <c r="X108" s="118"/>
      <c r="Y108" s="577">
        <f t="shared" si="2"/>
        <v>99</v>
      </c>
      <c r="AA108" s="116">
        <v>0</v>
      </c>
      <c r="AB108" s="116">
        <f t="shared" si="3"/>
        <v>0</v>
      </c>
    </row>
    <row r="109" spans="1:28">
      <c r="A109" s="227"/>
      <c r="B109" s="728"/>
      <c r="C109" s="728"/>
      <c r="D109" s="102"/>
      <c r="E109" s="116">
        <f>+G109-Adjustments!H109</f>
        <v>0</v>
      </c>
      <c r="F109" s="116"/>
      <c r="G109" s="116"/>
      <c r="H109" s="116"/>
      <c r="I109" s="116"/>
      <c r="J109" s="116"/>
      <c r="K109" s="116"/>
      <c r="L109" s="116"/>
      <c r="M109" s="116"/>
      <c r="N109" s="116"/>
      <c r="O109" s="272"/>
      <c r="P109" s="240"/>
      <c r="Q109" s="116"/>
      <c r="R109" s="116"/>
      <c r="S109" s="240"/>
      <c r="T109" s="116"/>
      <c r="U109" s="116"/>
      <c r="V109" s="273"/>
      <c r="W109" s="116"/>
      <c r="X109" s="118"/>
      <c r="Y109" s="577">
        <f t="shared" si="2"/>
        <v>100</v>
      </c>
      <c r="AA109" s="116"/>
      <c r="AB109" s="116">
        <f t="shared" si="3"/>
        <v>0</v>
      </c>
    </row>
    <row r="110" spans="1:28">
      <c r="A110" s="227"/>
      <c r="B110" s="728"/>
      <c r="C110" s="728" t="s">
        <v>18</v>
      </c>
      <c r="D110" s="102"/>
      <c r="E110" s="116">
        <f>+G110-Adjustments!H110</f>
        <v>0</v>
      </c>
      <c r="F110" s="116">
        <f>Revenue!$F$109</f>
        <v>0</v>
      </c>
      <c r="G110" s="116">
        <f>+Adjustments!AW110</f>
        <v>0</v>
      </c>
      <c r="H110" s="116"/>
      <c r="I110" s="116">
        <f>SUM($F$110:$H$110)</f>
        <v>0</v>
      </c>
      <c r="J110" s="116"/>
      <c r="K110" s="116"/>
      <c r="L110" s="116" t="s">
        <v>14</v>
      </c>
      <c r="M110" s="116">
        <f>VLOOKUP($L110,$L$2:$N$7,2,FALSE)*I110</f>
        <v>0</v>
      </c>
      <c r="N110" s="116">
        <f>VLOOKUP($L110,$L$2:$N$7,3,FALSE)*I110</f>
        <v>0</v>
      </c>
      <c r="O110" s="272"/>
      <c r="P110" s="240" t="s">
        <v>559</v>
      </c>
      <c r="Q110" s="116">
        <f>IF(P110="G",M110,IF(P110="PT",0,ERR))</f>
        <v>0</v>
      </c>
      <c r="R110" s="116">
        <f>IF(P110="PT",M110,IF(P110="G",0,ERR))</f>
        <v>0</v>
      </c>
      <c r="S110" s="240" t="s">
        <v>559</v>
      </c>
      <c r="T110" s="116">
        <f>IF(S110="G",N110,IF(S110="PT",0,ERR))</f>
        <v>0</v>
      </c>
      <c r="U110" s="116">
        <f>IF(S110="PT",N110,IF(S110="G",0,ERR))</f>
        <v>0</v>
      </c>
      <c r="V110" s="273"/>
      <c r="W110" s="116">
        <f>HLOOKUP($W$9,'ROR-Model'!$Q$10:$U$1263,Y110)</f>
        <v>0</v>
      </c>
      <c r="X110" s="118"/>
      <c r="Y110" s="577">
        <f t="shared" si="2"/>
        <v>101</v>
      </c>
      <c r="AA110" s="116">
        <v>0</v>
      </c>
      <c r="AB110" s="116">
        <f t="shared" si="3"/>
        <v>0</v>
      </c>
    </row>
    <row r="111" spans="1:28">
      <c r="A111" s="227"/>
      <c r="B111" s="728"/>
      <c r="C111" s="728" t="s">
        <v>19</v>
      </c>
      <c r="D111" s="102"/>
      <c r="E111" s="131">
        <f>+G111-Adjustments!H111</f>
        <v>0</v>
      </c>
      <c r="F111" s="131">
        <f>SUM(F106:F110)</f>
        <v>0</v>
      </c>
      <c r="G111" s="131">
        <f>SUM(G106:G110)</f>
        <v>0</v>
      </c>
      <c r="H111" s="131">
        <f>SUM(H106:H110)</f>
        <v>0</v>
      </c>
      <c r="I111" s="131">
        <f>SUM(I106:I110)</f>
        <v>0</v>
      </c>
      <c r="J111" s="116"/>
      <c r="K111" s="116"/>
      <c r="L111" s="131"/>
      <c r="M111" s="131">
        <f>SUM(M106:M110)</f>
        <v>0</v>
      </c>
      <c r="N111" s="131">
        <f>SUM(N106:N110)</f>
        <v>0</v>
      </c>
      <c r="O111" s="272"/>
      <c r="P111" s="257"/>
      <c r="Q111" s="131">
        <f>SUM(Q106:Q110)</f>
        <v>0</v>
      </c>
      <c r="R111" s="131">
        <f>SUM(R106:R110)</f>
        <v>0</v>
      </c>
      <c r="S111" s="257"/>
      <c r="T111" s="131">
        <f>SUM(T106:T110)</f>
        <v>0</v>
      </c>
      <c r="U111" s="131">
        <f>SUM(U106:U110)</f>
        <v>0</v>
      </c>
      <c r="V111" s="273"/>
      <c r="W111" s="131">
        <f>HLOOKUP($W$9,'ROR-Model'!$Q$10:$U$1263,Y111)</f>
        <v>0</v>
      </c>
      <c r="X111" s="118"/>
      <c r="Y111" s="577">
        <f t="shared" si="2"/>
        <v>102</v>
      </c>
      <c r="AA111" s="131">
        <v>0</v>
      </c>
      <c r="AB111" s="116">
        <f t="shared" si="3"/>
        <v>0</v>
      </c>
    </row>
    <row r="112" spans="1:28">
      <c r="A112" s="227"/>
      <c r="B112" s="728"/>
      <c r="C112" s="728"/>
      <c r="D112" s="102"/>
      <c r="E112" s="116">
        <f>+G112-Adjustments!H112</f>
        <v>0</v>
      </c>
      <c r="F112" s="116"/>
      <c r="G112" s="116"/>
      <c r="H112" s="116"/>
      <c r="I112" s="116"/>
      <c r="J112" s="116"/>
      <c r="K112" s="116"/>
      <c r="L112" s="116"/>
      <c r="M112" s="116"/>
      <c r="N112" s="116"/>
      <c r="O112" s="272"/>
      <c r="P112" s="240"/>
      <c r="Q112" s="116"/>
      <c r="R112" s="116"/>
      <c r="S112" s="240"/>
      <c r="T112" s="116"/>
      <c r="U112" s="116"/>
      <c r="V112" s="273"/>
      <c r="W112" s="116"/>
      <c r="X112" s="118"/>
      <c r="Y112" s="577">
        <f t="shared" si="2"/>
        <v>103</v>
      </c>
      <c r="AA112" s="116"/>
      <c r="AB112" s="116">
        <f t="shared" si="3"/>
        <v>0</v>
      </c>
    </row>
    <row r="113" spans="1:28">
      <c r="A113" s="227"/>
      <c r="B113" s="728"/>
      <c r="C113" s="728" t="s">
        <v>20</v>
      </c>
      <c r="D113" s="102"/>
      <c r="E113" s="116">
        <f>+G113-Adjustments!H113</f>
        <v>0</v>
      </c>
      <c r="F113" s="116">
        <f>Revenue!$F$112</f>
        <v>0</v>
      </c>
      <c r="G113" s="116">
        <f>+Adjustments!AW113</f>
        <v>0</v>
      </c>
      <c r="H113" s="116"/>
      <c r="I113" s="116">
        <f>SUM($F$113:$H$113)</f>
        <v>0</v>
      </c>
      <c r="J113" s="116"/>
      <c r="K113" s="116"/>
      <c r="L113" s="116" t="s">
        <v>14</v>
      </c>
      <c r="M113" s="116">
        <f>VLOOKUP($L113,$L$2:$N$7,2,FALSE)*I113</f>
        <v>0</v>
      </c>
      <c r="N113" s="116">
        <f>VLOOKUP($L113,$L$2:$N$7,3,FALSE)*I113</f>
        <v>0</v>
      </c>
      <c r="O113" s="272"/>
      <c r="P113" s="240" t="s">
        <v>560</v>
      </c>
      <c r="Q113" s="116">
        <f>IF(P113="G",M113,IF(P113="PT",0,ERR))</f>
        <v>0</v>
      </c>
      <c r="R113" s="116">
        <f>IF(P113="PT",M113,IF(P113="G",0,ERR))</f>
        <v>0</v>
      </c>
      <c r="S113" s="240" t="s">
        <v>560</v>
      </c>
      <c r="T113" s="116">
        <f>IF(S113="G",N113,IF(S113="PT",0,ERR))</f>
        <v>0</v>
      </c>
      <c r="U113" s="116">
        <f>IF(S113="PT",N113,IF(S113="G",0,ERR))</f>
        <v>0</v>
      </c>
      <c r="V113" s="273"/>
      <c r="W113" s="116">
        <f>HLOOKUP($W$9,'ROR-Model'!$Q$10:$U$1263,Y113)</f>
        <v>0</v>
      </c>
      <c r="X113" s="118"/>
      <c r="Y113" s="577">
        <f t="shared" si="2"/>
        <v>104</v>
      </c>
      <c r="AA113" s="116">
        <v>0</v>
      </c>
      <c r="AB113" s="116">
        <f t="shared" si="3"/>
        <v>0</v>
      </c>
    </row>
    <row r="114" spans="1:28">
      <c r="A114" s="227"/>
      <c r="B114" s="728"/>
      <c r="C114" s="728"/>
      <c r="D114" s="102"/>
      <c r="E114" s="116">
        <f>+G114-Adjustments!H114</f>
        <v>0</v>
      </c>
      <c r="F114" s="116"/>
      <c r="G114" s="116"/>
      <c r="H114" s="116"/>
      <c r="I114" s="116"/>
      <c r="J114" s="116"/>
      <c r="K114" s="116"/>
      <c r="L114" s="116"/>
      <c r="M114" s="116"/>
      <c r="N114" s="116"/>
      <c r="O114" s="272"/>
      <c r="P114" s="240"/>
      <c r="Q114" s="116"/>
      <c r="R114" s="116"/>
      <c r="S114" s="240"/>
      <c r="T114" s="116"/>
      <c r="U114" s="116"/>
      <c r="V114" s="273"/>
      <c r="W114" s="116"/>
      <c r="X114" s="118"/>
      <c r="Y114" s="577">
        <f t="shared" si="2"/>
        <v>105</v>
      </c>
      <c r="AA114" s="116"/>
      <c r="AB114" s="116">
        <f t="shared" si="3"/>
        <v>0</v>
      </c>
    </row>
    <row r="115" spans="1:28">
      <c r="A115" s="227"/>
      <c r="B115" s="728" t="s">
        <v>952</v>
      </c>
      <c r="C115" s="728" t="s">
        <v>16</v>
      </c>
      <c r="D115" s="102"/>
      <c r="E115" s="116">
        <f>+G115-Adjustments!H115</f>
        <v>0</v>
      </c>
      <c r="F115" s="116">
        <f>Revenue!$F$114</f>
        <v>0</v>
      </c>
      <c r="G115" s="116">
        <f>+Adjustments!AW115</f>
        <v>5248944</v>
      </c>
      <c r="H115" s="116"/>
      <c r="I115" s="116">
        <f>SUM($F$115:$H$115)</f>
        <v>5248944</v>
      </c>
      <c r="J115" s="116"/>
      <c r="K115" s="116"/>
      <c r="L115" s="116" t="s">
        <v>14</v>
      </c>
      <c r="M115" s="116">
        <f>VLOOKUP($L115,$L$2:$N$7,2,FALSE)*I115</f>
        <v>5248944</v>
      </c>
      <c r="N115" s="116">
        <f>VLOOKUP($L115,$L$2:$N$7,3,FALSE)*I115</f>
        <v>0</v>
      </c>
      <c r="O115" s="272"/>
      <c r="P115" s="240" t="s">
        <v>560</v>
      </c>
      <c r="Q115" s="116">
        <f>IF(P115="G",M115,IF(P115="PT",0,ERR))</f>
        <v>5248944</v>
      </c>
      <c r="R115" s="116">
        <f>IF(P115="PT",M115,IF(P115="G",0,ERR))</f>
        <v>0</v>
      </c>
      <c r="S115" s="240" t="s">
        <v>560</v>
      </c>
      <c r="T115" s="116">
        <f>IF(S115="G",N115,IF(S115="PT",0,ERR))</f>
        <v>0</v>
      </c>
      <c r="U115" s="116">
        <f>IF(S115="PT",N115,IF(S115="G",0,ERR))</f>
        <v>0</v>
      </c>
      <c r="V115" s="273"/>
      <c r="W115" s="116">
        <f>HLOOKUP($W$9,'ROR-Model'!$Q$10:$U$1263,Y115)</f>
        <v>5248944</v>
      </c>
      <c r="X115" s="118"/>
      <c r="Y115" s="577">
        <f t="shared" si="2"/>
        <v>106</v>
      </c>
      <c r="AA115" s="116">
        <v>0</v>
      </c>
      <c r="AB115" s="116">
        <f t="shared" si="3"/>
        <v>5248944</v>
      </c>
    </row>
    <row r="116" spans="1:28">
      <c r="A116" s="227"/>
      <c r="B116" s="728"/>
      <c r="C116" s="728"/>
      <c r="D116" s="102"/>
      <c r="E116" s="116">
        <f>+G116-Adjustments!H116</f>
        <v>0</v>
      </c>
      <c r="F116" s="116"/>
      <c r="G116" s="116"/>
      <c r="H116" s="116"/>
      <c r="I116" s="116"/>
      <c r="J116" s="116"/>
      <c r="K116" s="116"/>
      <c r="L116" s="116"/>
      <c r="M116" s="116"/>
      <c r="N116" s="116"/>
      <c r="O116" s="272"/>
      <c r="P116" s="240"/>
      <c r="Q116" s="116"/>
      <c r="R116" s="116"/>
      <c r="S116" s="240"/>
      <c r="T116" s="116"/>
      <c r="U116" s="116"/>
      <c r="V116" s="273"/>
      <c r="W116" s="116"/>
      <c r="X116" s="118"/>
      <c r="Y116" s="577">
        <f t="shared" si="2"/>
        <v>107</v>
      </c>
      <c r="AA116" s="116"/>
      <c r="AB116" s="116">
        <f t="shared" si="3"/>
        <v>0</v>
      </c>
    </row>
    <row r="117" spans="1:28">
      <c r="A117" s="227"/>
      <c r="B117" s="728"/>
      <c r="C117" s="728" t="s">
        <v>17</v>
      </c>
      <c r="D117" s="102"/>
      <c r="E117" s="116">
        <f>+G117-Adjustments!H117</f>
        <v>0</v>
      </c>
      <c r="F117" s="116">
        <f>Revenue!$F$116</f>
        <v>0</v>
      </c>
      <c r="G117" s="116">
        <f>+Adjustments!AW117</f>
        <v>0</v>
      </c>
      <c r="H117" s="116"/>
      <c r="I117" s="116">
        <f>SUM($F$117:$H$117)</f>
        <v>0</v>
      </c>
      <c r="J117" s="116"/>
      <c r="K117" s="116"/>
      <c r="L117" s="116" t="s">
        <v>14</v>
      </c>
      <c r="M117" s="116">
        <f>VLOOKUP($L117,$L$2:$N$7,2,FALSE)*I117</f>
        <v>0</v>
      </c>
      <c r="N117" s="116">
        <f>VLOOKUP($L117,$L$2:$N$7,3,FALSE)*I117</f>
        <v>0</v>
      </c>
      <c r="O117" s="272"/>
      <c r="P117" s="240" t="s">
        <v>559</v>
      </c>
      <c r="Q117" s="116">
        <f>IF(P117="G",M117,IF(P117="PT",0,ERR))</f>
        <v>0</v>
      </c>
      <c r="R117" s="116">
        <f>IF(P117="PT",M117,IF(P117="G",0,ERR))</f>
        <v>0</v>
      </c>
      <c r="S117" s="240" t="s">
        <v>559</v>
      </c>
      <c r="T117" s="116">
        <f>IF(S117="G",N117,IF(S117="PT",0,ERR))</f>
        <v>0</v>
      </c>
      <c r="U117" s="116">
        <f>IF(S117="PT",N117,IF(S117="G",0,ERR))</f>
        <v>0</v>
      </c>
      <c r="V117" s="273"/>
      <c r="W117" s="116">
        <f>HLOOKUP($W$9,'ROR-Model'!$Q$10:$U$1263,Y117)</f>
        <v>0</v>
      </c>
      <c r="X117" s="118"/>
      <c r="Y117" s="577">
        <f t="shared" si="2"/>
        <v>108</v>
      </c>
      <c r="AA117" s="116">
        <v>0</v>
      </c>
      <c r="AB117" s="116">
        <f t="shared" si="3"/>
        <v>0</v>
      </c>
    </row>
    <row r="118" spans="1:28">
      <c r="A118" s="227"/>
      <c r="B118" s="728"/>
      <c r="C118" s="728"/>
      <c r="D118" s="102"/>
      <c r="E118" s="116">
        <f>+G118-Adjustments!H118</f>
        <v>0</v>
      </c>
      <c r="F118" s="116"/>
      <c r="G118" s="116"/>
      <c r="H118" s="116"/>
      <c r="I118" s="116"/>
      <c r="J118" s="116"/>
      <c r="K118" s="116"/>
      <c r="L118" s="116"/>
      <c r="M118" s="116"/>
      <c r="N118" s="116"/>
      <c r="O118" s="272"/>
      <c r="P118" s="240"/>
      <c r="Q118" s="116"/>
      <c r="R118" s="116"/>
      <c r="S118" s="240"/>
      <c r="T118" s="116"/>
      <c r="U118" s="116"/>
      <c r="V118" s="273"/>
      <c r="W118" s="116"/>
      <c r="X118" s="118"/>
      <c r="Y118" s="577">
        <f t="shared" si="2"/>
        <v>109</v>
      </c>
      <c r="AA118" s="116"/>
      <c r="AB118" s="116">
        <f t="shared" si="3"/>
        <v>0</v>
      </c>
    </row>
    <row r="119" spans="1:28">
      <c r="A119" s="227"/>
      <c r="B119" s="728"/>
      <c r="C119" s="728" t="s">
        <v>18</v>
      </c>
      <c r="D119" s="102"/>
      <c r="E119" s="116">
        <f>+G119-Adjustments!H119</f>
        <v>0</v>
      </c>
      <c r="F119" s="116">
        <f>Revenue!$F$118</f>
        <v>0</v>
      </c>
      <c r="G119" s="116">
        <f>+Adjustments!AW119</f>
        <v>0</v>
      </c>
      <c r="H119" s="116"/>
      <c r="I119" s="116">
        <f>SUM($F$119:$H$119)</f>
        <v>0</v>
      </c>
      <c r="J119" s="116"/>
      <c r="K119" s="116"/>
      <c r="L119" s="116" t="s">
        <v>14</v>
      </c>
      <c r="M119" s="116">
        <f>VLOOKUP($L119,$L$2:$N$7,2,FALSE)*I119</f>
        <v>0</v>
      </c>
      <c r="N119" s="116">
        <f>VLOOKUP($L119,$L$2:$N$7,3,FALSE)*I119</f>
        <v>0</v>
      </c>
      <c r="O119" s="272"/>
      <c r="P119" s="240" t="s">
        <v>559</v>
      </c>
      <c r="Q119" s="116">
        <f>IF(P119="G",M119,IF(P119="PT",0,ERR))</f>
        <v>0</v>
      </c>
      <c r="R119" s="116">
        <f>IF(P119="PT",M119,IF(P119="G",0,ERR))</f>
        <v>0</v>
      </c>
      <c r="S119" s="240" t="s">
        <v>559</v>
      </c>
      <c r="T119" s="116">
        <f>IF(S119="G",N119,IF(S119="PT",0,ERR))</f>
        <v>0</v>
      </c>
      <c r="U119" s="116">
        <f>IF(S119="PT",N119,IF(S119="G",0,ERR))</f>
        <v>0</v>
      </c>
      <c r="V119" s="273"/>
      <c r="W119" s="116">
        <f>HLOOKUP($W$9,'ROR-Model'!$Q$10:$U$1263,Y119)</f>
        <v>0</v>
      </c>
      <c r="X119" s="118"/>
      <c r="Y119" s="577">
        <f t="shared" si="2"/>
        <v>110</v>
      </c>
      <c r="AA119" s="116">
        <v>0</v>
      </c>
      <c r="AB119" s="116">
        <f t="shared" si="3"/>
        <v>0</v>
      </c>
    </row>
    <row r="120" spans="1:28">
      <c r="A120" s="227"/>
      <c r="B120" s="728"/>
      <c r="C120" s="728" t="s">
        <v>19</v>
      </c>
      <c r="D120" s="102"/>
      <c r="E120" s="131">
        <f>+G120-Adjustments!H120</f>
        <v>0</v>
      </c>
      <c r="F120" s="131">
        <f>SUM(F115:F119)</f>
        <v>0</v>
      </c>
      <c r="G120" s="131">
        <f>SUM(G115:G119)</f>
        <v>5248944</v>
      </c>
      <c r="H120" s="131">
        <f>SUM(H115:H119)</f>
        <v>0</v>
      </c>
      <c r="I120" s="131">
        <f>SUM(I115:I119)</f>
        <v>5248944</v>
      </c>
      <c r="J120" s="116"/>
      <c r="K120" s="116"/>
      <c r="L120" s="131"/>
      <c r="M120" s="131">
        <f>SUM(M115:M119)</f>
        <v>5248944</v>
      </c>
      <c r="N120" s="131">
        <f>SUM(N115:N119)</f>
        <v>0</v>
      </c>
      <c r="O120" s="272"/>
      <c r="P120" s="257"/>
      <c r="Q120" s="131">
        <f>SUM(Q115:Q119)</f>
        <v>5248944</v>
      </c>
      <c r="R120" s="131">
        <f>SUM(R115:R119)</f>
        <v>0</v>
      </c>
      <c r="S120" s="257"/>
      <c r="T120" s="131">
        <f>SUM(T115:T119)</f>
        <v>0</v>
      </c>
      <c r="U120" s="131">
        <f>SUM(U115:U119)</f>
        <v>0</v>
      </c>
      <c r="V120" s="273"/>
      <c r="W120" s="131">
        <f>HLOOKUP($W$9,'ROR-Model'!$Q$10:$U$1263,Y120)</f>
        <v>5248944</v>
      </c>
      <c r="X120" s="118"/>
      <c r="Y120" s="577">
        <f t="shared" si="2"/>
        <v>111</v>
      </c>
      <c r="AA120" s="131">
        <v>0</v>
      </c>
      <c r="AB120" s="116">
        <f t="shared" si="3"/>
        <v>5248944</v>
      </c>
    </row>
    <row r="121" spans="1:28">
      <c r="A121" s="227"/>
      <c r="B121" s="728"/>
      <c r="C121" s="728"/>
      <c r="D121" s="102"/>
      <c r="E121" s="116">
        <f>+G121-Adjustments!H121</f>
        <v>0</v>
      </c>
      <c r="F121" s="116"/>
      <c r="G121" s="116"/>
      <c r="H121" s="116"/>
      <c r="I121" s="116"/>
      <c r="J121" s="116"/>
      <c r="K121" s="116"/>
      <c r="L121" s="116"/>
      <c r="M121" s="116"/>
      <c r="N121" s="116"/>
      <c r="O121" s="272"/>
      <c r="P121" s="240"/>
      <c r="Q121" s="116"/>
      <c r="R121" s="116"/>
      <c r="S121" s="240"/>
      <c r="T121" s="116"/>
      <c r="U121" s="116"/>
      <c r="V121" s="273"/>
      <c r="W121" s="116"/>
      <c r="X121" s="118"/>
      <c r="Y121" s="577">
        <f t="shared" si="2"/>
        <v>112</v>
      </c>
      <c r="AA121" s="116"/>
      <c r="AB121" s="116">
        <f t="shared" si="3"/>
        <v>0</v>
      </c>
    </row>
    <row r="122" spans="1:28">
      <c r="A122" s="227"/>
      <c r="B122" s="728"/>
      <c r="C122" s="728" t="s">
        <v>20</v>
      </c>
      <c r="D122" s="102"/>
      <c r="E122" s="116">
        <f>+G122-Adjustments!H122</f>
        <v>0</v>
      </c>
      <c r="F122" s="116">
        <f>Revenue!$F$121</f>
        <v>0</v>
      </c>
      <c r="G122" s="116">
        <f>+Adjustments!AW122</f>
        <v>32925927</v>
      </c>
      <c r="H122" s="116"/>
      <c r="I122" s="116">
        <f>SUM($F$122:$H$122)</f>
        <v>32925927</v>
      </c>
      <c r="J122" s="116"/>
      <c r="K122" s="116"/>
      <c r="L122" s="116" t="s">
        <v>14</v>
      </c>
      <c r="M122" s="116">
        <f>VLOOKUP($L122,$L$2:$N$7,2,FALSE)*I122</f>
        <v>32925927</v>
      </c>
      <c r="N122" s="116">
        <f>VLOOKUP($L122,$L$2:$N$7,3,FALSE)*I122</f>
        <v>0</v>
      </c>
      <c r="O122" s="272"/>
      <c r="P122" s="240" t="s">
        <v>560</v>
      </c>
      <c r="Q122" s="116">
        <f>IF(P122="G",M122,IF(P122="PT",0,ERR))</f>
        <v>32925927</v>
      </c>
      <c r="R122" s="116">
        <f>IF(P122="PT",M122,IF(P122="G",0,ERR))</f>
        <v>0</v>
      </c>
      <c r="S122" s="240" t="s">
        <v>560</v>
      </c>
      <c r="T122" s="116">
        <f>IF(S122="G",N122,IF(S122="PT",0,ERR))</f>
        <v>0</v>
      </c>
      <c r="U122" s="116">
        <f>IF(S122="PT",N122,IF(S122="G",0,ERR))</f>
        <v>0</v>
      </c>
      <c r="V122" s="273"/>
      <c r="W122" s="116">
        <f>HLOOKUP($W$9,'ROR-Model'!$Q$10:$U$1263,Y122)</f>
        <v>32925927</v>
      </c>
      <c r="X122" s="118"/>
      <c r="Y122" s="577">
        <f t="shared" si="2"/>
        <v>113</v>
      </c>
      <c r="AA122" s="116">
        <v>0</v>
      </c>
      <c r="AB122" s="116">
        <f t="shared" si="3"/>
        <v>32925927</v>
      </c>
    </row>
    <row r="123" spans="1:28">
      <c r="A123" s="227"/>
      <c r="B123" s="728"/>
      <c r="C123" s="728"/>
      <c r="D123" s="102"/>
      <c r="E123" s="116">
        <f>+G123-Adjustments!H123</f>
        <v>0</v>
      </c>
      <c r="F123" s="116"/>
      <c r="G123" s="116"/>
      <c r="H123" s="116"/>
      <c r="I123" s="116"/>
      <c r="J123" s="116"/>
      <c r="K123" s="116"/>
      <c r="L123" s="116"/>
      <c r="M123" s="116"/>
      <c r="N123" s="116"/>
      <c r="O123" s="272"/>
      <c r="P123" s="240"/>
      <c r="Q123" s="116"/>
      <c r="R123" s="116"/>
      <c r="S123" s="240"/>
      <c r="T123" s="116"/>
      <c r="U123" s="116"/>
      <c r="V123" s="273"/>
      <c r="W123" s="116"/>
      <c r="X123" s="118"/>
      <c r="Y123" s="577">
        <f t="shared" si="2"/>
        <v>114</v>
      </c>
      <c r="AA123" s="116"/>
      <c r="AB123" s="116">
        <f t="shared" si="3"/>
        <v>0</v>
      </c>
    </row>
    <row r="124" spans="1:28">
      <c r="A124" s="227"/>
      <c r="B124" s="728" t="s">
        <v>92</v>
      </c>
      <c r="C124" s="728" t="s">
        <v>16</v>
      </c>
      <c r="D124" s="102"/>
      <c r="E124" s="116">
        <f>+G124-Adjustments!H124</f>
        <v>0</v>
      </c>
      <c r="F124" s="116">
        <f>Revenue!$F$123</f>
        <v>5148837</v>
      </c>
      <c r="G124" s="116">
        <f>+Adjustments!AW124</f>
        <v>-2689423.574196436</v>
      </c>
      <c r="H124" s="116"/>
      <c r="I124" s="116">
        <f>SUM($F$124:$H$124)</f>
        <v>2459413.425803564</v>
      </c>
      <c r="J124" s="116"/>
      <c r="K124" s="116"/>
      <c r="L124" s="116" t="s">
        <v>14</v>
      </c>
      <c r="M124" s="116">
        <f>VLOOKUP($L124,$L$2:$N$7,2,FALSE)*I124</f>
        <v>2459413.425803564</v>
      </c>
      <c r="N124" s="116">
        <f>VLOOKUP($L124,$L$2:$N$7,3,FALSE)*I124</f>
        <v>0</v>
      </c>
      <c r="O124" s="272"/>
      <c r="P124" s="240" t="s">
        <v>560</v>
      </c>
      <c r="Q124" s="116">
        <f>IF(P124="G",M124,IF(P124="PT",0,ERR))</f>
        <v>2459413.425803564</v>
      </c>
      <c r="R124" s="116">
        <f>IF(P124="PT",M124,IF(P124="G",0,ERR))</f>
        <v>0</v>
      </c>
      <c r="S124" s="240" t="s">
        <v>560</v>
      </c>
      <c r="T124" s="116">
        <f>IF(S124="G",N124,IF(S124="PT",0,ERR))</f>
        <v>0</v>
      </c>
      <c r="U124" s="116">
        <f>IF(S124="PT",N124,IF(S124="G",0,ERR))</f>
        <v>0</v>
      </c>
      <c r="V124" s="273"/>
      <c r="W124" s="116">
        <f>HLOOKUP($W$9,'ROR-Model'!$Q$10:$U$1263,Y124)</f>
        <v>2459413.425803564</v>
      </c>
      <c r="X124" s="118"/>
      <c r="Y124" s="577">
        <f t="shared" si="2"/>
        <v>115</v>
      </c>
      <c r="AA124" s="116">
        <v>5148837</v>
      </c>
      <c r="AB124" s="116">
        <f t="shared" si="3"/>
        <v>-2689423.574196436</v>
      </c>
    </row>
    <row r="125" spans="1:28">
      <c r="A125" s="227"/>
      <c r="B125" s="728"/>
      <c r="C125" s="728"/>
      <c r="D125" s="102"/>
      <c r="E125" s="116">
        <f>+G125-Adjustments!H125</f>
        <v>0</v>
      </c>
      <c r="F125" s="116"/>
      <c r="G125" s="116"/>
      <c r="H125" s="116"/>
      <c r="I125" s="116"/>
      <c r="J125" s="116"/>
      <c r="K125" s="116"/>
      <c r="L125" s="116"/>
      <c r="M125" s="116"/>
      <c r="N125" s="116"/>
      <c r="O125" s="272"/>
      <c r="P125" s="240"/>
      <c r="Q125" s="116"/>
      <c r="R125" s="116"/>
      <c r="S125" s="240"/>
      <c r="T125" s="116"/>
      <c r="U125" s="116"/>
      <c r="V125" s="273"/>
      <c r="W125" s="116"/>
      <c r="X125" s="118"/>
      <c r="Y125" s="577">
        <f t="shared" si="2"/>
        <v>116</v>
      </c>
      <c r="AA125" s="116"/>
      <c r="AB125" s="116">
        <f t="shared" si="3"/>
        <v>0</v>
      </c>
    </row>
    <row r="126" spans="1:28">
      <c r="A126" s="227"/>
      <c r="B126" s="728"/>
      <c r="C126" s="728" t="s">
        <v>17</v>
      </c>
      <c r="D126" s="102"/>
      <c r="E126" s="116">
        <f>+G126-Adjustments!H126</f>
        <v>0</v>
      </c>
      <c r="F126" s="116">
        <f>Revenue!$F$125</f>
        <v>0</v>
      </c>
      <c r="G126" s="116">
        <f>+Adjustments!AW126</f>
        <v>0</v>
      </c>
      <c r="H126" s="116"/>
      <c r="I126" s="116">
        <f>SUM($F$126:$H$126)</f>
        <v>0</v>
      </c>
      <c r="J126" s="116"/>
      <c r="K126" s="116"/>
      <c r="L126" s="116" t="s">
        <v>14</v>
      </c>
      <c r="M126" s="116">
        <f>VLOOKUP($L126,$L$2:$N$7,2,FALSE)*I126</f>
        <v>0</v>
      </c>
      <c r="N126" s="116">
        <f>VLOOKUP($L126,$L$2:$N$7,3,FALSE)*I126</f>
        <v>0</v>
      </c>
      <c r="O126" s="272"/>
      <c r="P126" s="240" t="s">
        <v>559</v>
      </c>
      <c r="Q126" s="116">
        <f>IF(P126="G",M126,IF(P126="PT",0,ERR))</f>
        <v>0</v>
      </c>
      <c r="R126" s="116">
        <f>IF(P126="PT",M126,IF(P126="G",0,ERR))</f>
        <v>0</v>
      </c>
      <c r="S126" s="240" t="s">
        <v>559</v>
      </c>
      <c r="T126" s="116">
        <f>IF(S126="G",N126,IF(S126="PT",0,ERR))</f>
        <v>0</v>
      </c>
      <c r="U126" s="116">
        <f>IF(S126="PT",N126,IF(S126="G",0,ERR))</f>
        <v>0</v>
      </c>
      <c r="V126" s="273"/>
      <c r="W126" s="116">
        <f>HLOOKUP($W$9,'ROR-Model'!$Q$10:$U$1263,Y126)</f>
        <v>0</v>
      </c>
      <c r="X126" s="118"/>
      <c r="Y126" s="577">
        <f t="shared" si="2"/>
        <v>117</v>
      </c>
      <c r="AA126" s="116">
        <v>0</v>
      </c>
      <c r="AB126" s="116">
        <f t="shared" si="3"/>
        <v>0</v>
      </c>
    </row>
    <row r="127" spans="1:28">
      <c r="A127" s="227"/>
      <c r="B127" s="728"/>
      <c r="C127" s="728"/>
      <c r="D127" s="102"/>
      <c r="E127" s="116">
        <f>+G127-Adjustments!H127</f>
        <v>0</v>
      </c>
      <c r="F127" s="116"/>
      <c r="G127" s="116"/>
      <c r="H127" s="116"/>
      <c r="I127" s="116"/>
      <c r="J127" s="116"/>
      <c r="K127" s="116"/>
      <c r="L127" s="116"/>
      <c r="M127" s="116"/>
      <c r="N127" s="116"/>
      <c r="O127" s="272"/>
      <c r="P127" s="240"/>
      <c r="Q127" s="116"/>
      <c r="R127" s="116"/>
      <c r="S127" s="240"/>
      <c r="T127" s="116"/>
      <c r="U127" s="116"/>
      <c r="V127" s="273"/>
      <c r="W127" s="116"/>
      <c r="X127" s="118"/>
      <c r="Y127" s="577">
        <f t="shared" si="2"/>
        <v>118</v>
      </c>
      <c r="AA127" s="116"/>
      <c r="AB127" s="116">
        <f t="shared" si="3"/>
        <v>0</v>
      </c>
    </row>
    <row r="128" spans="1:28">
      <c r="A128" s="227"/>
      <c r="B128" s="728"/>
      <c r="C128" s="728" t="s">
        <v>18</v>
      </c>
      <c r="D128" s="102"/>
      <c r="E128" s="116">
        <f>+G128-Adjustments!H128</f>
        <v>0</v>
      </c>
      <c r="F128" s="116">
        <f>Revenue!$F$127</f>
        <v>0</v>
      </c>
      <c r="G128" s="116">
        <f>+Adjustments!AW128</f>
        <v>0</v>
      </c>
      <c r="H128" s="116"/>
      <c r="I128" s="116">
        <f>SUM($F$128:$H$128)</f>
        <v>0</v>
      </c>
      <c r="J128" s="116"/>
      <c r="K128" s="116"/>
      <c r="L128" s="116" t="s">
        <v>14</v>
      </c>
      <c r="M128" s="116">
        <f>VLOOKUP($L128,$L$2:$N$7,2,FALSE)*I128</f>
        <v>0</v>
      </c>
      <c r="N128" s="116">
        <f>VLOOKUP($L128,$L$2:$N$7,3,FALSE)*I128</f>
        <v>0</v>
      </c>
      <c r="O128" s="272"/>
      <c r="P128" s="240" t="s">
        <v>559</v>
      </c>
      <c r="Q128" s="116">
        <f>IF(P128="G",M128,IF(P128="PT",0,ERR))</f>
        <v>0</v>
      </c>
      <c r="R128" s="116">
        <f>IF(P128="PT",M128,IF(P128="G",0,ERR))</f>
        <v>0</v>
      </c>
      <c r="S128" s="240" t="s">
        <v>559</v>
      </c>
      <c r="T128" s="116">
        <f>IF(S128="G",N128,IF(S128="PT",0,ERR))</f>
        <v>0</v>
      </c>
      <c r="U128" s="116">
        <f>IF(S128="PT",N128,IF(S128="G",0,ERR))</f>
        <v>0</v>
      </c>
      <c r="V128" s="273"/>
      <c r="W128" s="116">
        <f>HLOOKUP($W$9,'ROR-Model'!$Q$10:$U$1263,Y128)</f>
        <v>0</v>
      </c>
      <c r="X128" s="118"/>
      <c r="Y128" s="577">
        <f t="shared" si="2"/>
        <v>119</v>
      </c>
      <c r="AA128" s="116">
        <v>0</v>
      </c>
      <c r="AB128" s="116">
        <f t="shared" si="3"/>
        <v>0</v>
      </c>
    </row>
    <row r="129" spans="1:28">
      <c r="A129" s="227"/>
      <c r="B129" s="728"/>
      <c r="C129" s="728" t="s">
        <v>19</v>
      </c>
      <c r="D129" s="102"/>
      <c r="E129" s="131">
        <f>+G129-Adjustments!H129</f>
        <v>0</v>
      </c>
      <c r="F129" s="131">
        <f>SUM(F124:F128)</f>
        <v>5148837</v>
      </c>
      <c r="G129" s="131">
        <f>SUM(G124:G128)</f>
        <v>-2689423.574196436</v>
      </c>
      <c r="H129" s="131">
        <f>SUM(H124:H128)</f>
        <v>0</v>
      </c>
      <c r="I129" s="131">
        <f>SUM(I124:I128)</f>
        <v>2459413.425803564</v>
      </c>
      <c r="J129" s="116"/>
      <c r="K129" s="116"/>
      <c r="L129" s="131"/>
      <c r="M129" s="131">
        <f>SUM(M124:M128)</f>
        <v>2459413.425803564</v>
      </c>
      <c r="N129" s="131">
        <f>SUM(N124:N128)</f>
        <v>0</v>
      </c>
      <c r="O129" s="272"/>
      <c r="P129" s="257"/>
      <c r="Q129" s="131">
        <f>SUM(Q124:Q128)</f>
        <v>2459413.425803564</v>
      </c>
      <c r="R129" s="131">
        <f>SUM(R124:R128)</f>
        <v>0</v>
      </c>
      <c r="S129" s="257"/>
      <c r="T129" s="131">
        <f>SUM(T124:T128)</f>
        <v>0</v>
      </c>
      <c r="U129" s="131">
        <f>SUM(U124:U128)</f>
        <v>0</v>
      </c>
      <c r="V129" s="273"/>
      <c r="W129" s="131">
        <f>HLOOKUP($W$9,'ROR-Model'!$Q$10:$U$1263,Y129)</f>
        <v>2459413.425803564</v>
      </c>
      <c r="X129" s="118"/>
      <c r="Y129" s="577">
        <f t="shared" si="2"/>
        <v>120</v>
      </c>
      <c r="AA129" s="131">
        <v>5148837</v>
      </c>
      <c r="AB129" s="116">
        <f t="shared" si="3"/>
        <v>-2689423.574196436</v>
      </c>
    </row>
    <row r="130" spans="1:28">
      <c r="A130" s="227"/>
      <c r="B130" s="728"/>
      <c r="C130" s="728"/>
      <c r="D130" s="102"/>
      <c r="E130" s="116">
        <f>+G130-Adjustments!H130</f>
        <v>0</v>
      </c>
      <c r="F130" s="116"/>
      <c r="G130" s="116"/>
      <c r="H130" s="116"/>
      <c r="I130" s="116"/>
      <c r="J130" s="116"/>
      <c r="K130" s="116"/>
      <c r="L130" s="116"/>
      <c r="M130" s="116"/>
      <c r="N130" s="116"/>
      <c r="O130" s="272"/>
      <c r="P130" s="240"/>
      <c r="Q130" s="116"/>
      <c r="R130" s="116"/>
      <c r="S130" s="240"/>
      <c r="T130" s="116"/>
      <c r="U130" s="116"/>
      <c r="V130" s="273"/>
      <c r="W130" s="116"/>
      <c r="X130" s="118"/>
      <c r="Y130" s="577">
        <f t="shared" si="2"/>
        <v>121</v>
      </c>
      <c r="AA130" s="116"/>
      <c r="AB130" s="116">
        <f t="shared" si="3"/>
        <v>0</v>
      </c>
    </row>
    <row r="131" spans="1:28">
      <c r="A131" s="227"/>
      <c r="B131" s="728"/>
      <c r="C131" s="728" t="s">
        <v>20</v>
      </c>
      <c r="D131" s="102"/>
      <c r="E131" s="116">
        <f>+G131-Adjustments!H131</f>
        <v>0</v>
      </c>
      <c r="F131" s="116">
        <f>Revenue!$F$130</f>
        <v>31275505</v>
      </c>
      <c r="G131" s="116">
        <f>+Adjustments!AW131</f>
        <v>-25144654</v>
      </c>
      <c r="H131" s="116"/>
      <c r="I131" s="116">
        <f>SUM($F$131:$H$131)</f>
        <v>6130851</v>
      </c>
      <c r="J131" s="116"/>
      <c r="K131" s="116"/>
      <c r="L131" s="116" t="s">
        <v>14</v>
      </c>
      <c r="M131" s="116">
        <f>VLOOKUP($L131,$L$2:$N$7,2,FALSE)*I131</f>
        <v>6130851</v>
      </c>
      <c r="N131" s="116">
        <f>VLOOKUP($L131,$L$2:$N$7,3,FALSE)*I131</f>
        <v>0</v>
      </c>
      <c r="O131" s="272"/>
      <c r="P131" s="240" t="s">
        <v>560</v>
      </c>
      <c r="Q131" s="116">
        <f>IF(P131="G",M131,IF(P131="PT",0,ERR))</f>
        <v>6130851</v>
      </c>
      <c r="R131" s="116">
        <f>IF(P131="PT",M131,IF(P131="G",0,ERR))</f>
        <v>0</v>
      </c>
      <c r="S131" s="240" t="s">
        <v>560</v>
      </c>
      <c r="T131" s="116">
        <f>IF(S131="G",N131,IF(S131="PT",0,ERR))</f>
        <v>0</v>
      </c>
      <c r="U131" s="116">
        <f>IF(S131="PT",N131,IF(S131="G",0,ERR))</f>
        <v>0</v>
      </c>
      <c r="V131" s="273"/>
      <c r="W131" s="116">
        <f>HLOOKUP($W$9,'ROR-Model'!$Q$10:$U$1263,Y131)</f>
        <v>6130851</v>
      </c>
      <c r="X131" s="118"/>
      <c r="Y131" s="577">
        <f t="shared" si="2"/>
        <v>122</v>
      </c>
      <c r="AA131" s="116">
        <v>31275505</v>
      </c>
      <c r="AB131" s="116">
        <f t="shared" si="3"/>
        <v>-25144654</v>
      </c>
    </row>
    <row r="132" spans="1:28">
      <c r="A132" s="227"/>
      <c r="B132" s="728"/>
      <c r="C132" s="728"/>
      <c r="D132" s="102"/>
      <c r="E132" s="116">
        <f>+G132-Adjustments!H132</f>
        <v>0</v>
      </c>
      <c r="F132" s="116"/>
      <c r="G132" s="116"/>
      <c r="H132" s="116"/>
      <c r="I132" s="116"/>
      <c r="J132" s="116"/>
      <c r="K132" s="116"/>
      <c r="L132" s="116"/>
      <c r="M132" s="116"/>
      <c r="N132" s="116"/>
      <c r="O132" s="272"/>
      <c r="P132" s="240"/>
      <c r="Q132" s="116"/>
      <c r="R132" s="116"/>
      <c r="S132" s="240"/>
      <c r="T132" s="116"/>
      <c r="U132" s="116"/>
      <c r="V132" s="273"/>
      <c r="W132" s="116"/>
      <c r="X132" s="118"/>
      <c r="Y132" s="577">
        <f t="shared" si="2"/>
        <v>123</v>
      </c>
      <c r="AA132" s="116"/>
      <c r="AB132" s="116">
        <f t="shared" si="3"/>
        <v>0</v>
      </c>
    </row>
    <row r="133" spans="1:28">
      <c r="A133" s="227"/>
      <c r="B133" s="728" t="s">
        <v>93</v>
      </c>
      <c r="C133" s="728" t="s">
        <v>16</v>
      </c>
      <c r="D133" s="102"/>
      <c r="E133" s="116">
        <f>+G133-Adjustments!H133</f>
        <v>0</v>
      </c>
      <c r="F133" s="116">
        <f>Revenue!$F$132</f>
        <v>0</v>
      </c>
      <c r="G133" s="116">
        <f>+Adjustments!AW133</f>
        <v>0</v>
      </c>
      <c r="H133" s="116"/>
      <c r="I133" s="116">
        <f>SUM($F$133:$H$133)</f>
        <v>0</v>
      </c>
      <c r="J133" s="116"/>
      <c r="K133" s="116"/>
      <c r="L133" s="116" t="s">
        <v>14</v>
      </c>
      <c r="M133" s="116">
        <f>VLOOKUP($L133,$L$2:$N$7,2,FALSE)*I133</f>
        <v>0</v>
      </c>
      <c r="N133" s="116">
        <f>VLOOKUP($L133,$L$2:$N$7,3,FALSE)*I133</f>
        <v>0</v>
      </c>
      <c r="O133" s="272"/>
      <c r="P133" s="240" t="s">
        <v>560</v>
      </c>
      <c r="Q133" s="116">
        <f>IF(P133="G",M133,IF(P133="PT",0,ERR))</f>
        <v>0</v>
      </c>
      <c r="R133" s="116">
        <f>IF(P133="PT",M133,IF(P133="G",0,ERR))</f>
        <v>0</v>
      </c>
      <c r="S133" s="240" t="s">
        <v>560</v>
      </c>
      <c r="T133" s="116">
        <f>IF(S133="G",N133,IF(S133="PT",0,ERR))</f>
        <v>0</v>
      </c>
      <c r="U133" s="116">
        <f>IF(S133="PT",N133,IF(S133="G",0,ERR))</f>
        <v>0</v>
      </c>
      <c r="V133" s="273"/>
      <c r="W133" s="116">
        <f>HLOOKUP($W$9,'ROR-Model'!$Q$10:$U$1263,Y133)</f>
        <v>0</v>
      </c>
      <c r="X133" s="118"/>
      <c r="Y133" s="577">
        <f t="shared" si="2"/>
        <v>124</v>
      </c>
      <c r="AA133" s="116">
        <v>0</v>
      </c>
      <c r="AB133" s="116">
        <f t="shared" si="3"/>
        <v>0</v>
      </c>
    </row>
    <row r="134" spans="1:28">
      <c r="A134" s="227"/>
      <c r="B134" s="728"/>
      <c r="C134" s="728"/>
      <c r="D134" s="102"/>
      <c r="E134" s="116">
        <f>+G134-Adjustments!H134</f>
        <v>0</v>
      </c>
      <c r="F134" s="116"/>
      <c r="G134" s="116"/>
      <c r="H134" s="116"/>
      <c r="I134" s="116"/>
      <c r="J134" s="116"/>
      <c r="K134" s="116"/>
      <c r="L134" s="116"/>
      <c r="M134" s="116"/>
      <c r="N134" s="116"/>
      <c r="O134" s="272"/>
      <c r="P134" s="240"/>
      <c r="Q134" s="116"/>
      <c r="R134" s="116"/>
      <c r="S134" s="240"/>
      <c r="T134" s="116"/>
      <c r="U134" s="116"/>
      <c r="V134" s="273"/>
      <c r="W134" s="116"/>
      <c r="X134" s="118"/>
      <c r="Y134" s="577">
        <f t="shared" si="2"/>
        <v>125</v>
      </c>
      <c r="AA134" s="116"/>
      <c r="AB134" s="116">
        <f t="shared" si="3"/>
        <v>0</v>
      </c>
    </row>
    <row r="135" spans="1:28">
      <c r="A135" s="227"/>
      <c r="B135" s="728"/>
      <c r="C135" s="728" t="s">
        <v>17</v>
      </c>
      <c r="D135" s="102"/>
      <c r="E135" s="116">
        <f>+G135-Adjustments!H135</f>
        <v>0</v>
      </c>
      <c r="F135" s="116">
        <f>Revenue!$F$134</f>
        <v>0</v>
      </c>
      <c r="G135" s="116">
        <f>+Adjustments!AW135</f>
        <v>0</v>
      </c>
      <c r="H135" s="116"/>
      <c r="I135" s="116">
        <f>SUM($F$135:$H$135)</f>
        <v>0</v>
      </c>
      <c r="J135" s="116"/>
      <c r="K135" s="116"/>
      <c r="L135" s="116" t="s">
        <v>14</v>
      </c>
      <c r="M135" s="116">
        <f>VLOOKUP($L135,$L$2:$N$7,2,FALSE)*I135</f>
        <v>0</v>
      </c>
      <c r="N135" s="116">
        <f>VLOOKUP($L135,$L$2:$N$7,3,FALSE)*I135</f>
        <v>0</v>
      </c>
      <c r="O135" s="272"/>
      <c r="P135" s="240" t="s">
        <v>559</v>
      </c>
      <c r="Q135" s="116">
        <f>IF(P135="G",M135,IF(P135="PT",0,ERR))</f>
        <v>0</v>
      </c>
      <c r="R135" s="116">
        <f>IF(P135="PT",M135,IF(P135="G",0,ERR))</f>
        <v>0</v>
      </c>
      <c r="S135" s="240" t="s">
        <v>559</v>
      </c>
      <c r="T135" s="116">
        <f>IF(S135="G",N135,IF(S135="PT",0,ERR))</f>
        <v>0</v>
      </c>
      <c r="U135" s="116">
        <f>IF(S135="PT",N135,IF(S135="G",0,ERR))</f>
        <v>0</v>
      </c>
      <c r="V135" s="273"/>
      <c r="W135" s="116">
        <f>HLOOKUP($W$9,'ROR-Model'!$Q$10:$U$1263,Y135)</f>
        <v>0</v>
      </c>
      <c r="X135" s="118"/>
      <c r="Y135" s="577">
        <f t="shared" si="2"/>
        <v>126</v>
      </c>
      <c r="AA135" s="116">
        <v>0</v>
      </c>
      <c r="AB135" s="116">
        <f t="shared" si="3"/>
        <v>0</v>
      </c>
    </row>
    <row r="136" spans="1:28">
      <c r="A136" s="227"/>
      <c r="B136" s="728"/>
      <c r="C136" s="728"/>
      <c r="D136" s="102"/>
      <c r="E136" s="116">
        <f>+G136-Adjustments!H136</f>
        <v>0</v>
      </c>
      <c r="F136" s="116"/>
      <c r="G136" s="116"/>
      <c r="H136" s="116"/>
      <c r="I136" s="116"/>
      <c r="J136" s="116"/>
      <c r="K136" s="116"/>
      <c r="L136" s="116"/>
      <c r="M136" s="116"/>
      <c r="N136" s="116"/>
      <c r="O136" s="272"/>
      <c r="P136" s="240"/>
      <c r="Q136" s="116"/>
      <c r="R136" s="116"/>
      <c r="S136" s="240"/>
      <c r="T136" s="116"/>
      <c r="U136" s="116"/>
      <c r="V136" s="273"/>
      <c r="W136" s="116"/>
      <c r="X136" s="118"/>
      <c r="Y136" s="577">
        <f t="shared" si="2"/>
        <v>127</v>
      </c>
      <c r="AA136" s="116"/>
      <c r="AB136" s="116">
        <f t="shared" si="3"/>
        <v>0</v>
      </c>
    </row>
    <row r="137" spans="1:28">
      <c r="A137" s="227"/>
      <c r="B137" s="728"/>
      <c r="C137" s="728" t="s">
        <v>18</v>
      </c>
      <c r="D137" s="102"/>
      <c r="E137" s="116">
        <f>+G137-Adjustments!H137</f>
        <v>0</v>
      </c>
      <c r="F137" s="116">
        <f>Revenue!$F$136</f>
        <v>0</v>
      </c>
      <c r="G137" s="116">
        <f>+Adjustments!AW137</f>
        <v>0</v>
      </c>
      <c r="H137" s="116"/>
      <c r="I137" s="116">
        <f>SUM($F$137:$H$137)</f>
        <v>0</v>
      </c>
      <c r="J137" s="116"/>
      <c r="K137" s="116"/>
      <c r="L137" s="116" t="s">
        <v>14</v>
      </c>
      <c r="M137" s="116">
        <f>VLOOKUP($L137,$L$2:$N$7,2,FALSE)*I137</f>
        <v>0</v>
      </c>
      <c r="N137" s="116">
        <f>VLOOKUP($L137,$L$2:$N$7,3,FALSE)*I137</f>
        <v>0</v>
      </c>
      <c r="O137" s="272"/>
      <c r="P137" s="240" t="s">
        <v>559</v>
      </c>
      <c r="Q137" s="116">
        <f>IF(P137="G",M137,IF(P137="PT",0,ERR))</f>
        <v>0</v>
      </c>
      <c r="R137" s="116">
        <f>IF(P137="PT",M137,IF(P137="G",0,ERR))</f>
        <v>0</v>
      </c>
      <c r="S137" s="240" t="s">
        <v>559</v>
      </c>
      <c r="T137" s="116">
        <f>IF(S137="G",N137,IF(S137="PT",0,ERR))</f>
        <v>0</v>
      </c>
      <c r="U137" s="116">
        <f>IF(S137="PT",N137,IF(S137="G",0,ERR))</f>
        <v>0</v>
      </c>
      <c r="V137" s="273"/>
      <c r="W137" s="116">
        <f>HLOOKUP($W$9,'ROR-Model'!$Q$10:$U$1263,Y137)</f>
        <v>0</v>
      </c>
      <c r="X137" s="118"/>
      <c r="Y137" s="577">
        <f t="shared" si="2"/>
        <v>128</v>
      </c>
      <c r="AA137" s="116">
        <v>0</v>
      </c>
      <c r="AB137" s="116">
        <f t="shared" si="3"/>
        <v>0</v>
      </c>
    </row>
    <row r="138" spans="1:28">
      <c r="A138" s="227"/>
      <c r="B138" s="728"/>
      <c r="C138" s="728" t="s">
        <v>19</v>
      </c>
      <c r="D138" s="102"/>
      <c r="E138" s="131">
        <f>+G138-Adjustments!H138</f>
        <v>0</v>
      </c>
      <c r="F138" s="131">
        <f>SUM(F133:F137)</f>
        <v>0</v>
      </c>
      <c r="G138" s="131">
        <f>SUM(G133:G137)</f>
        <v>0</v>
      </c>
      <c r="H138" s="131">
        <f>SUM(H133:H137)</f>
        <v>0</v>
      </c>
      <c r="I138" s="131">
        <f>SUM(I133:I137)</f>
        <v>0</v>
      </c>
      <c r="J138" s="116"/>
      <c r="K138" s="116"/>
      <c r="L138" s="131"/>
      <c r="M138" s="131">
        <f>SUM(M133:M137)</f>
        <v>0</v>
      </c>
      <c r="N138" s="131">
        <f>SUM(N133:N137)</f>
        <v>0</v>
      </c>
      <c r="O138" s="272"/>
      <c r="P138" s="257"/>
      <c r="Q138" s="131">
        <f>SUM(Q133:Q137)</f>
        <v>0</v>
      </c>
      <c r="R138" s="131">
        <f>SUM(R133:R137)</f>
        <v>0</v>
      </c>
      <c r="S138" s="257"/>
      <c r="T138" s="131">
        <f>SUM(T133:T137)</f>
        <v>0</v>
      </c>
      <c r="U138" s="131">
        <f>SUM(U133:U137)</f>
        <v>0</v>
      </c>
      <c r="V138" s="273"/>
      <c r="W138" s="131">
        <f>HLOOKUP($W$9,'ROR-Model'!$Q$10:$U$1263,Y138)</f>
        <v>0</v>
      </c>
      <c r="X138" s="118"/>
      <c r="Y138" s="577">
        <f t="shared" si="2"/>
        <v>129</v>
      </c>
      <c r="AA138" s="131">
        <v>0</v>
      </c>
      <c r="AB138" s="116">
        <f t="shared" si="3"/>
        <v>0</v>
      </c>
    </row>
    <row r="139" spans="1:28">
      <c r="A139" s="227"/>
      <c r="B139" s="728"/>
      <c r="C139" s="728"/>
      <c r="D139" s="102"/>
      <c r="E139" s="116">
        <f>+G139-Adjustments!H139</f>
        <v>0</v>
      </c>
      <c r="F139" s="116"/>
      <c r="G139" s="116"/>
      <c r="H139" s="116"/>
      <c r="I139" s="116"/>
      <c r="J139" s="116"/>
      <c r="K139" s="116"/>
      <c r="L139" s="116"/>
      <c r="M139" s="116"/>
      <c r="N139" s="116"/>
      <c r="O139" s="272"/>
      <c r="P139" s="240"/>
      <c r="Q139" s="116"/>
      <c r="R139" s="116"/>
      <c r="S139" s="240"/>
      <c r="T139" s="116"/>
      <c r="U139" s="116"/>
      <c r="V139" s="273"/>
      <c r="W139" s="116"/>
      <c r="X139" s="118"/>
      <c r="Y139" s="577">
        <f t="shared" si="2"/>
        <v>130</v>
      </c>
      <c r="AA139" s="116"/>
      <c r="AB139" s="116">
        <f t="shared" si="3"/>
        <v>0</v>
      </c>
    </row>
    <row r="140" spans="1:28">
      <c r="A140" s="227"/>
      <c r="B140" s="728"/>
      <c r="C140" s="728" t="s">
        <v>20</v>
      </c>
      <c r="D140" s="102"/>
      <c r="E140" s="116">
        <f>+G140-Adjustments!H140</f>
        <v>0</v>
      </c>
      <c r="F140" s="116">
        <f>Revenue!$F$139</f>
        <v>0</v>
      </c>
      <c r="G140" s="116">
        <f>+Adjustments!AW140</f>
        <v>0</v>
      </c>
      <c r="H140" s="116"/>
      <c r="I140" s="116">
        <f>SUM($F$140:$H$140)</f>
        <v>0</v>
      </c>
      <c r="J140" s="116"/>
      <c r="K140" s="116"/>
      <c r="L140" s="116" t="s">
        <v>14</v>
      </c>
      <c r="M140" s="116">
        <f>VLOOKUP($L140,$L$2:$N$7,2,FALSE)*I140</f>
        <v>0</v>
      </c>
      <c r="N140" s="116">
        <f>VLOOKUP($L140,$L$2:$N$7,3,FALSE)*I140</f>
        <v>0</v>
      </c>
      <c r="O140" s="272"/>
      <c r="P140" s="240" t="s">
        <v>560</v>
      </c>
      <c r="Q140" s="116">
        <f>IF(P140="G",M140,IF(P140="PT",0,ERR))</f>
        <v>0</v>
      </c>
      <c r="R140" s="116">
        <f>IF(P140="PT",M140,IF(P140="G",0,ERR))</f>
        <v>0</v>
      </c>
      <c r="S140" s="240" t="s">
        <v>560</v>
      </c>
      <c r="T140" s="116">
        <f>IF(S140="G",N140,IF(S140="PT",0,ERR))</f>
        <v>0</v>
      </c>
      <c r="U140" s="116">
        <f>IF(S140="PT",N140,IF(S140="G",0,ERR))</f>
        <v>0</v>
      </c>
      <c r="V140" s="273"/>
      <c r="W140" s="116">
        <f>HLOOKUP($W$9,'ROR-Model'!$Q$10:$U$1263,Y140)</f>
        <v>0</v>
      </c>
      <c r="X140" s="118"/>
      <c r="Y140" s="577">
        <f t="shared" ref="Y140:Y203" si="4">Y139+1</f>
        <v>131</v>
      </c>
      <c r="AA140" s="116">
        <v>0</v>
      </c>
      <c r="AB140" s="116">
        <f t="shared" si="3"/>
        <v>0</v>
      </c>
    </row>
    <row r="141" spans="1:28">
      <c r="A141" s="227"/>
      <c r="B141" s="728"/>
      <c r="C141" s="728"/>
      <c r="D141" s="102"/>
      <c r="E141" s="116">
        <f>+G141-Adjustments!H141</f>
        <v>0</v>
      </c>
      <c r="F141" s="116"/>
      <c r="G141" s="116"/>
      <c r="H141" s="116"/>
      <c r="I141" s="116"/>
      <c r="J141" s="116"/>
      <c r="K141" s="116"/>
      <c r="L141" s="116"/>
      <c r="M141" s="116"/>
      <c r="N141" s="116"/>
      <c r="O141" s="272"/>
      <c r="P141" s="240"/>
      <c r="Q141" s="116"/>
      <c r="R141" s="116"/>
      <c r="S141" s="240"/>
      <c r="T141" s="116"/>
      <c r="U141" s="116"/>
      <c r="V141" s="273"/>
      <c r="W141" s="116"/>
      <c r="X141" s="118"/>
      <c r="Y141" s="577">
        <f t="shared" si="4"/>
        <v>132</v>
      </c>
      <c r="AA141" s="116"/>
      <c r="AB141" s="116">
        <f t="shared" si="3"/>
        <v>0</v>
      </c>
    </row>
    <row r="142" spans="1:28">
      <c r="A142" s="227"/>
      <c r="B142" s="728" t="s">
        <v>692</v>
      </c>
      <c r="C142" s="728" t="s">
        <v>16</v>
      </c>
      <c r="D142" s="102"/>
      <c r="E142" s="116">
        <f>+G142-Adjustments!H142</f>
        <v>0</v>
      </c>
      <c r="F142" s="116">
        <f>Revenue!$F$141</f>
        <v>24214</v>
      </c>
      <c r="G142" s="116">
        <f>+Adjustments!AW142</f>
        <v>1479.423474979696</v>
      </c>
      <c r="H142" s="116"/>
      <c r="I142" s="116">
        <f>SUM($F$142:$H$142)</f>
        <v>25693.423474979696</v>
      </c>
      <c r="J142" s="116"/>
      <c r="K142" s="116"/>
      <c r="L142" s="116" t="s">
        <v>14</v>
      </c>
      <c r="M142" s="116">
        <f>VLOOKUP($L142,$L$2:$N$7,2,FALSE)*I142</f>
        <v>25693.423474979696</v>
      </c>
      <c r="N142" s="116">
        <f>VLOOKUP($L142,$L$2:$N$7,3,FALSE)*I142</f>
        <v>0</v>
      </c>
      <c r="O142" s="272"/>
      <c r="P142" s="240" t="s">
        <v>560</v>
      </c>
      <c r="Q142" s="116">
        <f>IF(P142="G",M142,IF(P142="PT",0,ERR))</f>
        <v>25693.423474979696</v>
      </c>
      <c r="R142" s="116">
        <f>IF(P142="PT",M142,IF(P142="G",0,ERR))</f>
        <v>0</v>
      </c>
      <c r="S142" s="240" t="s">
        <v>560</v>
      </c>
      <c r="T142" s="116">
        <f>IF(S142="G",N142,IF(S142="PT",0,ERR))</f>
        <v>0</v>
      </c>
      <c r="U142" s="116">
        <f>IF(S142="PT",N142,IF(S142="G",0,ERR))</f>
        <v>0</v>
      </c>
      <c r="V142" s="273"/>
      <c r="W142" s="116">
        <f>HLOOKUP($W$9,'ROR-Model'!$Q$10:$U$1263,Y142)</f>
        <v>25693.423474979696</v>
      </c>
      <c r="X142" s="118"/>
      <c r="Y142" s="577">
        <f t="shared" si="4"/>
        <v>133</v>
      </c>
      <c r="AA142" s="116">
        <v>24214</v>
      </c>
      <c r="AB142" s="116">
        <f t="shared" si="3"/>
        <v>1479.423474979696</v>
      </c>
    </row>
    <row r="143" spans="1:28">
      <c r="A143" s="227"/>
      <c r="B143" s="728"/>
      <c r="C143" s="728"/>
      <c r="D143" s="102"/>
      <c r="E143" s="116">
        <f>+G143-Adjustments!H143</f>
        <v>0</v>
      </c>
      <c r="F143" s="116"/>
      <c r="G143" s="116"/>
      <c r="H143" s="116"/>
      <c r="I143" s="116"/>
      <c r="J143" s="116"/>
      <c r="K143" s="116"/>
      <c r="L143" s="116"/>
      <c r="M143" s="116"/>
      <c r="N143" s="116"/>
      <c r="O143" s="272"/>
      <c r="P143" s="240"/>
      <c r="Q143" s="116"/>
      <c r="R143" s="116"/>
      <c r="S143" s="240"/>
      <c r="T143" s="116"/>
      <c r="U143" s="116"/>
      <c r="V143" s="273"/>
      <c r="W143" s="116"/>
      <c r="X143" s="118"/>
      <c r="Y143" s="577">
        <f t="shared" si="4"/>
        <v>134</v>
      </c>
      <c r="AA143" s="116"/>
      <c r="AB143" s="116">
        <f t="shared" si="3"/>
        <v>0</v>
      </c>
    </row>
    <row r="144" spans="1:28">
      <c r="A144" s="227"/>
      <c r="B144" s="728"/>
      <c r="C144" s="728" t="s">
        <v>17</v>
      </c>
      <c r="D144" s="102"/>
      <c r="E144" s="116">
        <f>+G144-Adjustments!H144</f>
        <v>0</v>
      </c>
      <c r="F144" s="116">
        <f>Revenue!$F$143</f>
        <v>2090</v>
      </c>
      <c r="G144" s="116">
        <f>+Adjustments!AW144</f>
        <v>-2090</v>
      </c>
      <c r="H144" s="116"/>
      <c r="I144" s="116">
        <f>SUM($F$144:$H$144)</f>
        <v>0</v>
      </c>
      <c r="J144" s="116"/>
      <c r="K144" s="116"/>
      <c r="L144" s="116" t="s">
        <v>14</v>
      </c>
      <c r="M144" s="116">
        <f>VLOOKUP($L144,$L$2:$N$7,2,FALSE)*I144</f>
        <v>0</v>
      </c>
      <c r="N144" s="116">
        <f>VLOOKUP($L144,$L$2:$N$7,3,FALSE)*I144</f>
        <v>0</v>
      </c>
      <c r="O144" s="272"/>
      <c r="P144" s="240" t="s">
        <v>559</v>
      </c>
      <c r="Q144" s="116">
        <f>IF(P144="G",M144,IF(P144="PT",0,ERR))</f>
        <v>0</v>
      </c>
      <c r="R144" s="116">
        <f>IF(P144="PT",M144,IF(P144="G",0,ERR))</f>
        <v>0</v>
      </c>
      <c r="S144" s="240" t="s">
        <v>559</v>
      </c>
      <c r="T144" s="116">
        <f>IF(S144="G",N144,IF(S144="PT",0,ERR))</f>
        <v>0</v>
      </c>
      <c r="U144" s="116">
        <f>IF(S144="PT",N144,IF(S144="G",0,ERR))</f>
        <v>0</v>
      </c>
      <c r="V144" s="273"/>
      <c r="W144" s="116">
        <f>HLOOKUP($W$9,'ROR-Model'!$Q$10:$U$1263,Y144)</f>
        <v>0</v>
      </c>
      <c r="X144" s="118"/>
      <c r="Y144" s="577">
        <f t="shared" si="4"/>
        <v>135</v>
      </c>
      <c r="AA144" s="116">
        <v>0</v>
      </c>
      <c r="AB144" s="116">
        <f t="shared" si="3"/>
        <v>0</v>
      </c>
    </row>
    <row r="145" spans="1:28">
      <c r="A145" s="227"/>
      <c r="B145" s="728"/>
      <c r="C145" s="728"/>
      <c r="D145" s="102"/>
      <c r="E145" s="116">
        <f>+G145-Adjustments!H145</f>
        <v>0</v>
      </c>
      <c r="F145" s="116"/>
      <c r="G145" s="116"/>
      <c r="H145" s="116"/>
      <c r="I145" s="116"/>
      <c r="J145" s="116"/>
      <c r="K145" s="116"/>
      <c r="L145" s="116"/>
      <c r="M145" s="116"/>
      <c r="N145" s="116"/>
      <c r="O145" s="272"/>
      <c r="P145" s="240"/>
      <c r="Q145" s="116"/>
      <c r="R145" s="116"/>
      <c r="S145" s="240"/>
      <c r="T145" s="116"/>
      <c r="U145" s="116"/>
      <c r="V145" s="273"/>
      <c r="W145" s="116"/>
      <c r="X145" s="118"/>
      <c r="Y145" s="577">
        <f t="shared" si="4"/>
        <v>136</v>
      </c>
      <c r="AA145" s="116"/>
      <c r="AB145" s="116">
        <f t="shared" ref="AB145:AB208" si="5">W145-AA145</f>
        <v>0</v>
      </c>
    </row>
    <row r="146" spans="1:28">
      <c r="A146" s="227"/>
      <c r="B146" s="728"/>
      <c r="C146" s="728" t="s">
        <v>18</v>
      </c>
      <c r="D146" s="102"/>
      <c r="E146" s="116">
        <f>+G146-Adjustments!H146</f>
        <v>0</v>
      </c>
      <c r="F146" s="116">
        <f>Revenue!$F$145</f>
        <v>0</v>
      </c>
      <c r="G146" s="116">
        <f>+Adjustments!AW146</f>
        <v>0</v>
      </c>
      <c r="H146" s="116"/>
      <c r="I146" s="116">
        <f>SUM($F$146:$H$146)</f>
        <v>0</v>
      </c>
      <c r="J146" s="116"/>
      <c r="K146" s="116"/>
      <c r="L146" s="116" t="s">
        <v>14</v>
      </c>
      <c r="M146" s="116">
        <f>VLOOKUP($L146,$L$2:$N$7,2,FALSE)*I146</f>
        <v>0</v>
      </c>
      <c r="N146" s="116">
        <f>VLOOKUP($L146,$L$2:$N$7,3,FALSE)*I146</f>
        <v>0</v>
      </c>
      <c r="O146" s="272"/>
      <c r="P146" s="240" t="s">
        <v>559</v>
      </c>
      <c r="Q146" s="116">
        <f>IF(P146="G",M146,IF(P146="PT",0,ERR))</f>
        <v>0</v>
      </c>
      <c r="R146" s="116">
        <f>IF(P146="PT",M146,IF(P146="G",0,ERR))</f>
        <v>0</v>
      </c>
      <c r="S146" s="240" t="s">
        <v>559</v>
      </c>
      <c r="T146" s="116">
        <f>IF(S146="G",N146,IF(S146="PT",0,ERR))</f>
        <v>0</v>
      </c>
      <c r="U146" s="116">
        <f>IF(S146="PT",N146,IF(S146="G",0,ERR))</f>
        <v>0</v>
      </c>
      <c r="V146" s="273"/>
      <c r="W146" s="116">
        <f>HLOOKUP($W$9,'ROR-Model'!$Q$10:$U$1263,Y146)</f>
        <v>0</v>
      </c>
      <c r="X146" s="118"/>
      <c r="Y146" s="577">
        <f t="shared" si="4"/>
        <v>137</v>
      </c>
      <c r="AA146" s="116">
        <v>0</v>
      </c>
      <c r="AB146" s="116">
        <f t="shared" si="5"/>
        <v>0</v>
      </c>
    </row>
    <row r="147" spans="1:28">
      <c r="A147" s="227"/>
      <c r="B147" s="728"/>
      <c r="C147" s="728" t="s">
        <v>19</v>
      </c>
      <c r="D147" s="102"/>
      <c r="E147" s="131">
        <f>+G147-Adjustments!H147</f>
        <v>0</v>
      </c>
      <c r="F147" s="131">
        <f>SUM(F142:F146)</f>
        <v>26304</v>
      </c>
      <c r="G147" s="131">
        <f>SUM(G142:G146)</f>
        <v>-610.57652502030396</v>
      </c>
      <c r="H147" s="131">
        <f>SUM(H142:H146)</f>
        <v>0</v>
      </c>
      <c r="I147" s="131">
        <f>SUM(I142:I146)</f>
        <v>25693.423474979696</v>
      </c>
      <c r="J147" s="116"/>
      <c r="K147" s="116"/>
      <c r="L147" s="131"/>
      <c r="M147" s="131">
        <f>SUM(M142:M146)</f>
        <v>25693.423474979696</v>
      </c>
      <c r="N147" s="131">
        <f>SUM(N142:N146)</f>
        <v>0</v>
      </c>
      <c r="O147" s="272"/>
      <c r="P147" s="257"/>
      <c r="Q147" s="131">
        <f>SUM(Q142:Q146)</f>
        <v>25693.423474979696</v>
      </c>
      <c r="R147" s="131">
        <f>SUM(R142:R146)</f>
        <v>0</v>
      </c>
      <c r="S147" s="257"/>
      <c r="T147" s="131">
        <f>SUM(T142:T146)</f>
        <v>0</v>
      </c>
      <c r="U147" s="131">
        <f>SUM(U142:U146)</f>
        <v>0</v>
      </c>
      <c r="V147" s="273"/>
      <c r="W147" s="131">
        <f>HLOOKUP($W$9,'ROR-Model'!$Q$10:$U$1263,Y147)</f>
        <v>25693.423474979696</v>
      </c>
      <c r="X147" s="118"/>
      <c r="Y147" s="577">
        <f t="shared" si="4"/>
        <v>138</v>
      </c>
      <c r="AA147" s="131">
        <v>24214</v>
      </c>
      <c r="AB147" s="116">
        <f t="shared" si="5"/>
        <v>1479.423474979696</v>
      </c>
    </row>
    <row r="148" spans="1:28">
      <c r="A148" s="227"/>
      <c r="B148" s="728"/>
      <c r="C148" s="728"/>
      <c r="D148" s="102"/>
      <c r="E148" s="116">
        <f>+G148-Adjustments!H148</f>
        <v>0</v>
      </c>
      <c r="F148" s="116"/>
      <c r="G148" s="116"/>
      <c r="H148" s="116"/>
      <c r="I148" s="116"/>
      <c r="J148" s="116"/>
      <c r="K148" s="116"/>
      <c r="L148" s="116"/>
      <c r="M148" s="116"/>
      <c r="N148" s="116"/>
      <c r="O148" s="272"/>
      <c r="P148" s="240"/>
      <c r="Q148" s="116"/>
      <c r="R148" s="116"/>
      <c r="S148" s="240"/>
      <c r="T148" s="116"/>
      <c r="U148" s="116"/>
      <c r="V148" s="273"/>
      <c r="W148" s="116"/>
      <c r="X148" s="118"/>
      <c r="Y148" s="577">
        <f t="shared" si="4"/>
        <v>139</v>
      </c>
      <c r="AA148" s="116"/>
      <c r="AB148" s="116">
        <f t="shared" si="5"/>
        <v>0</v>
      </c>
    </row>
    <row r="149" spans="1:28">
      <c r="A149" s="227"/>
      <c r="B149" s="728"/>
      <c r="C149" s="728" t="s">
        <v>20</v>
      </c>
      <c r="D149" s="102"/>
      <c r="E149" s="116">
        <f>+G149-Adjustments!H149</f>
        <v>0</v>
      </c>
      <c r="F149" s="116">
        <f>Revenue!$F$148</f>
        <v>21165</v>
      </c>
      <c r="G149" s="116">
        <f>+Adjustments!AW149</f>
        <v>0</v>
      </c>
      <c r="H149" s="116"/>
      <c r="I149" s="116">
        <f>SUM($F$149:$H$149)</f>
        <v>21165</v>
      </c>
      <c r="J149" s="116"/>
      <c r="K149" s="116"/>
      <c r="L149" s="116" t="s">
        <v>14</v>
      </c>
      <c r="M149" s="116">
        <f>VLOOKUP($L149,$L$2:$N$7,2,FALSE)*I149</f>
        <v>21165</v>
      </c>
      <c r="N149" s="116">
        <f>VLOOKUP($L149,$L$2:$N$7,3,FALSE)*I149</f>
        <v>0</v>
      </c>
      <c r="O149" s="272"/>
      <c r="P149" s="240" t="s">
        <v>560</v>
      </c>
      <c r="Q149" s="116">
        <f>IF(P149="G",M149,IF(P149="PT",0,ERR))</f>
        <v>21165</v>
      </c>
      <c r="R149" s="116">
        <f>IF(P149="PT",M149,IF(P149="G",0,ERR))</f>
        <v>0</v>
      </c>
      <c r="S149" s="240" t="s">
        <v>560</v>
      </c>
      <c r="T149" s="116">
        <f>IF(S149="G",N149,IF(S149="PT",0,ERR))</f>
        <v>0</v>
      </c>
      <c r="U149" s="116">
        <f>IF(S149="PT",N149,IF(S149="G",0,ERR))</f>
        <v>0</v>
      </c>
      <c r="V149" s="273"/>
      <c r="W149" s="116">
        <f>HLOOKUP($W$9,'ROR-Model'!$Q$10:$U$1263,Y149)</f>
        <v>21165</v>
      </c>
      <c r="X149" s="118"/>
      <c r="Y149" s="577">
        <f t="shared" si="4"/>
        <v>140</v>
      </c>
      <c r="AA149" s="116">
        <v>21165</v>
      </c>
      <c r="AB149" s="116">
        <f t="shared" si="5"/>
        <v>0</v>
      </c>
    </row>
    <row r="150" spans="1:28">
      <c r="A150" s="227"/>
      <c r="B150" s="728"/>
      <c r="C150" s="728"/>
      <c r="D150" s="102"/>
      <c r="E150" s="116">
        <f>+G150-Adjustments!H150</f>
        <v>0</v>
      </c>
      <c r="F150" s="116"/>
      <c r="G150" s="116"/>
      <c r="H150" s="116"/>
      <c r="I150" s="116"/>
      <c r="J150" s="116"/>
      <c r="K150" s="116"/>
      <c r="L150" s="116"/>
      <c r="M150" s="116"/>
      <c r="N150" s="116"/>
      <c r="O150" s="272"/>
      <c r="P150" s="240"/>
      <c r="Q150" s="116"/>
      <c r="R150" s="116"/>
      <c r="S150" s="240"/>
      <c r="T150" s="116"/>
      <c r="U150" s="116"/>
      <c r="V150" s="273"/>
      <c r="W150" s="116"/>
      <c r="X150" s="118"/>
      <c r="Y150" s="577">
        <f t="shared" si="4"/>
        <v>141</v>
      </c>
      <c r="AA150" s="116"/>
      <c r="AB150" s="116">
        <f t="shared" si="5"/>
        <v>0</v>
      </c>
    </row>
    <row r="151" spans="1:28">
      <c r="A151" s="227"/>
      <c r="B151" s="729" t="s">
        <v>957</v>
      </c>
      <c r="C151" s="728" t="s">
        <v>16</v>
      </c>
      <c r="D151" s="102"/>
      <c r="E151" s="116">
        <f>+G151-Adjustments!H151</f>
        <v>0</v>
      </c>
      <c r="F151" s="116">
        <f>Revenue!$F$150</f>
        <v>0</v>
      </c>
      <c r="G151" s="116">
        <f>+Adjustments!AW151</f>
        <v>0</v>
      </c>
      <c r="H151" s="116"/>
      <c r="I151" s="116">
        <f>SUM($F$151:$H$151)</f>
        <v>0</v>
      </c>
      <c r="J151" s="116"/>
      <c r="K151" s="116"/>
      <c r="L151" s="116" t="s">
        <v>14</v>
      </c>
      <c r="M151" s="116">
        <f>VLOOKUP($L151,$L$2:$N$7,2,FALSE)*I151</f>
        <v>0</v>
      </c>
      <c r="N151" s="116">
        <f>VLOOKUP($L151,$L$2:$N$7,3,FALSE)*I151</f>
        <v>0</v>
      </c>
      <c r="O151" s="272"/>
      <c r="P151" s="240" t="s">
        <v>560</v>
      </c>
      <c r="Q151" s="116">
        <f>IF(P151="G",M151,IF(P151="PT",0,ERR))</f>
        <v>0</v>
      </c>
      <c r="R151" s="116">
        <f>IF(P151="PT",M151,IF(P151="G",0,ERR))</f>
        <v>0</v>
      </c>
      <c r="S151" s="240" t="s">
        <v>560</v>
      </c>
      <c r="T151" s="116">
        <f>IF(S151="G",N151,IF(S151="PT",0,ERR))</f>
        <v>0</v>
      </c>
      <c r="U151" s="116">
        <f>IF(S151="PT",N151,IF(S151="G",0,ERR))</f>
        <v>0</v>
      </c>
      <c r="V151" s="273"/>
      <c r="W151" s="116">
        <f>HLOOKUP($W$9,'ROR-Model'!$Q$10:$U$1263,Y151)</f>
        <v>0</v>
      </c>
      <c r="X151" s="118"/>
      <c r="Y151" s="577">
        <f t="shared" si="4"/>
        <v>142</v>
      </c>
      <c r="AA151" s="116">
        <v>0</v>
      </c>
      <c r="AB151" s="116">
        <f t="shared" si="5"/>
        <v>0</v>
      </c>
    </row>
    <row r="152" spans="1:28">
      <c r="A152" s="227"/>
      <c r="B152" s="728"/>
      <c r="C152" s="728"/>
      <c r="D152" s="102"/>
      <c r="E152" s="116">
        <f>+G152-Adjustments!H152</f>
        <v>0</v>
      </c>
      <c r="F152" s="116"/>
      <c r="G152" s="116"/>
      <c r="H152" s="116"/>
      <c r="I152" s="116"/>
      <c r="J152" s="116"/>
      <c r="K152" s="116"/>
      <c r="L152" s="116"/>
      <c r="M152" s="116"/>
      <c r="N152" s="116"/>
      <c r="O152" s="272"/>
      <c r="P152" s="240"/>
      <c r="Q152" s="116"/>
      <c r="R152" s="116"/>
      <c r="S152" s="240"/>
      <c r="T152" s="116"/>
      <c r="U152" s="116"/>
      <c r="V152" s="273"/>
      <c r="W152" s="116"/>
      <c r="X152" s="118"/>
      <c r="Y152" s="577">
        <f t="shared" si="4"/>
        <v>143</v>
      </c>
      <c r="AA152" s="116"/>
      <c r="AB152" s="116">
        <f t="shared" si="5"/>
        <v>0</v>
      </c>
    </row>
    <row r="153" spans="1:28">
      <c r="A153" s="227"/>
      <c r="B153" s="728"/>
      <c r="C153" s="728" t="s">
        <v>17</v>
      </c>
      <c r="D153" s="102"/>
      <c r="E153" s="116">
        <f>+G153-Adjustments!H153</f>
        <v>0</v>
      </c>
      <c r="F153" s="116">
        <f>Revenue!$F$152</f>
        <v>0</v>
      </c>
      <c r="G153" s="116">
        <f>+Adjustments!AW153</f>
        <v>0</v>
      </c>
      <c r="H153" s="116"/>
      <c r="I153" s="116">
        <f>SUM($F$153:$H$153)</f>
        <v>0</v>
      </c>
      <c r="J153" s="116"/>
      <c r="K153" s="116"/>
      <c r="L153" s="116" t="s">
        <v>14</v>
      </c>
      <c r="M153" s="116">
        <f>VLOOKUP($L153,$L$2:$N$7,2,FALSE)*I153</f>
        <v>0</v>
      </c>
      <c r="N153" s="116">
        <f>VLOOKUP($L153,$L$2:$N$7,3,FALSE)*I153</f>
        <v>0</v>
      </c>
      <c r="O153" s="272"/>
      <c r="P153" s="240" t="s">
        <v>559</v>
      </c>
      <c r="Q153" s="116">
        <f>IF(P153="G",M153,IF(P153="PT",0,ERR))</f>
        <v>0</v>
      </c>
      <c r="R153" s="116">
        <f>IF(P153="PT",M153,IF(P153="G",0,ERR))</f>
        <v>0</v>
      </c>
      <c r="S153" s="240" t="s">
        <v>559</v>
      </c>
      <c r="T153" s="116">
        <f>IF(S153="G",N153,IF(S153="PT",0,ERR))</f>
        <v>0</v>
      </c>
      <c r="U153" s="116">
        <f>IF(S153="PT",N153,IF(S153="G",0,ERR))</f>
        <v>0</v>
      </c>
      <c r="V153" s="273"/>
      <c r="W153" s="116">
        <f>HLOOKUP($W$9,'ROR-Model'!$Q$10:$U$1263,Y153)</f>
        <v>0</v>
      </c>
      <c r="X153" s="118"/>
      <c r="Y153" s="577">
        <f t="shared" si="4"/>
        <v>144</v>
      </c>
      <c r="AA153" s="116">
        <v>0</v>
      </c>
      <c r="AB153" s="116">
        <f t="shared" si="5"/>
        <v>0</v>
      </c>
    </row>
    <row r="154" spans="1:28">
      <c r="A154" s="227"/>
      <c r="B154" s="728"/>
      <c r="C154" s="728"/>
      <c r="D154" s="102"/>
      <c r="E154" s="116">
        <f>+G154-Adjustments!H154</f>
        <v>0</v>
      </c>
      <c r="F154" s="116"/>
      <c r="G154" s="116"/>
      <c r="H154" s="116"/>
      <c r="I154" s="116"/>
      <c r="J154" s="116"/>
      <c r="K154" s="116"/>
      <c r="L154" s="116"/>
      <c r="M154" s="116"/>
      <c r="N154" s="116"/>
      <c r="O154" s="272"/>
      <c r="P154" s="240"/>
      <c r="Q154" s="116"/>
      <c r="R154" s="116"/>
      <c r="S154" s="240"/>
      <c r="T154" s="116"/>
      <c r="U154" s="116"/>
      <c r="V154" s="273"/>
      <c r="W154" s="116"/>
      <c r="X154" s="118"/>
      <c r="Y154" s="577">
        <f t="shared" si="4"/>
        <v>145</v>
      </c>
      <c r="AA154" s="116"/>
      <c r="AB154" s="116">
        <f t="shared" si="5"/>
        <v>0</v>
      </c>
    </row>
    <row r="155" spans="1:28">
      <c r="A155" s="227"/>
      <c r="B155" s="728"/>
      <c r="C155" s="728" t="s">
        <v>18</v>
      </c>
      <c r="D155" s="102"/>
      <c r="E155" s="116">
        <f>+G155-Adjustments!H155</f>
        <v>0</v>
      </c>
      <c r="F155" s="116">
        <f>Revenue!$F$154</f>
        <v>0</v>
      </c>
      <c r="G155" s="116">
        <f>+Adjustments!AW155</f>
        <v>0</v>
      </c>
      <c r="H155" s="116"/>
      <c r="I155" s="116">
        <f>SUM($F$155:$H$155)</f>
        <v>0</v>
      </c>
      <c r="J155" s="116"/>
      <c r="K155" s="116"/>
      <c r="L155" s="116" t="s">
        <v>14</v>
      </c>
      <c r="M155" s="116">
        <f>VLOOKUP($L155,$L$2:$N$7,2,FALSE)*I155</f>
        <v>0</v>
      </c>
      <c r="N155" s="116">
        <f>VLOOKUP($L155,$L$2:$N$7,3,FALSE)*I155</f>
        <v>0</v>
      </c>
      <c r="O155" s="272"/>
      <c r="P155" s="240" t="s">
        <v>559</v>
      </c>
      <c r="Q155" s="116">
        <f>IF(P155="G",M155,IF(P155="PT",0,ERR))</f>
        <v>0</v>
      </c>
      <c r="R155" s="116">
        <f>IF(P155="PT",M155,IF(P155="G",0,ERR))</f>
        <v>0</v>
      </c>
      <c r="S155" s="240" t="s">
        <v>559</v>
      </c>
      <c r="T155" s="116">
        <f>IF(S155="G",N155,IF(S155="PT",0,ERR))</f>
        <v>0</v>
      </c>
      <c r="U155" s="116">
        <f>IF(S155="PT",N155,IF(S155="G",0,ERR))</f>
        <v>0</v>
      </c>
      <c r="V155" s="273"/>
      <c r="W155" s="116">
        <f>HLOOKUP($W$9,'ROR-Model'!$Q$10:$U$1263,Y155)</f>
        <v>0</v>
      </c>
      <c r="X155" s="118"/>
      <c r="Y155" s="577">
        <f t="shared" si="4"/>
        <v>146</v>
      </c>
      <c r="AA155" s="116">
        <v>0</v>
      </c>
      <c r="AB155" s="116">
        <f t="shared" si="5"/>
        <v>0</v>
      </c>
    </row>
    <row r="156" spans="1:28">
      <c r="A156" s="227"/>
      <c r="B156" s="728"/>
      <c r="C156" s="728" t="s">
        <v>19</v>
      </c>
      <c r="D156" s="102"/>
      <c r="E156" s="131">
        <f>+G156-Adjustments!H156</f>
        <v>0</v>
      </c>
      <c r="F156" s="131">
        <f>SUM(F151:F155)</f>
        <v>0</v>
      </c>
      <c r="G156" s="131">
        <f>SUM(G151:G155)</f>
        <v>0</v>
      </c>
      <c r="H156" s="131">
        <f>SUM(H151:H155)</f>
        <v>0</v>
      </c>
      <c r="I156" s="131">
        <f>SUM(I151:I155)</f>
        <v>0</v>
      </c>
      <c r="J156" s="116"/>
      <c r="K156" s="116"/>
      <c r="L156" s="131"/>
      <c r="M156" s="131">
        <f>SUM(M151:M155)</f>
        <v>0</v>
      </c>
      <c r="N156" s="131">
        <f>SUM(N151:N155)</f>
        <v>0</v>
      </c>
      <c r="O156" s="272"/>
      <c r="P156" s="257"/>
      <c r="Q156" s="131">
        <f>SUM(Q151:Q155)</f>
        <v>0</v>
      </c>
      <c r="R156" s="131">
        <f>SUM(R151:R155)</f>
        <v>0</v>
      </c>
      <c r="S156" s="257"/>
      <c r="T156" s="131">
        <f>SUM(T151:T155)</f>
        <v>0</v>
      </c>
      <c r="U156" s="131">
        <f>SUM(U151:U155)</f>
        <v>0</v>
      </c>
      <c r="V156" s="273"/>
      <c r="W156" s="131">
        <f>HLOOKUP($W$9,'ROR-Model'!$Q$10:$U$1263,Y156)</f>
        <v>0</v>
      </c>
      <c r="X156" s="118"/>
      <c r="Y156" s="577">
        <f t="shared" si="4"/>
        <v>147</v>
      </c>
      <c r="AA156" s="131">
        <v>0</v>
      </c>
      <c r="AB156" s="116">
        <f t="shared" si="5"/>
        <v>0</v>
      </c>
    </row>
    <row r="157" spans="1:28">
      <c r="A157" s="227"/>
      <c r="B157" s="728"/>
      <c r="C157" s="728"/>
      <c r="D157" s="102"/>
      <c r="E157" s="116">
        <f>+G157-Adjustments!H157</f>
        <v>0</v>
      </c>
      <c r="F157" s="116"/>
      <c r="G157" s="116"/>
      <c r="H157" s="116"/>
      <c r="I157" s="116"/>
      <c r="J157" s="116"/>
      <c r="K157" s="116"/>
      <c r="L157" s="116"/>
      <c r="M157" s="116"/>
      <c r="N157" s="116"/>
      <c r="O157" s="272"/>
      <c r="P157" s="240"/>
      <c r="Q157" s="116"/>
      <c r="R157" s="116"/>
      <c r="S157" s="240"/>
      <c r="T157" s="116"/>
      <c r="U157" s="116"/>
      <c r="V157" s="273"/>
      <c r="W157" s="116"/>
      <c r="X157" s="118"/>
      <c r="Y157" s="577">
        <f t="shared" si="4"/>
        <v>148</v>
      </c>
      <c r="AA157" s="116"/>
      <c r="AB157" s="116">
        <f t="shared" si="5"/>
        <v>0</v>
      </c>
    </row>
    <row r="158" spans="1:28">
      <c r="A158" s="227"/>
      <c r="B158" s="728"/>
      <c r="C158" s="728" t="s">
        <v>20</v>
      </c>
      <c r="D158" s="102"/>
      <c r="E158" s="116">
        <f>+G158-Adjustments!H158</f>
        <v>0</v>
      </c>
      <c r="F158" s="116">
        <f>Revenue!$F$157</f>
        <v>0</v>
      </c>
      <c r="G158" s="116">
        <f>+Adjustments!AW158</f>
        <v>0</v>
      </c>
      <c r="H158" s="116"/>
      <c r="I158" s="116">
        <f>SUM($F$158:$H$158)</f>
        <v>0</v>
      </c>
      <c r="J158" s="116"/>
      <c r="K158" s="116"/>
      <c r="L158" s="116" t="s">
        <v>14</v>
      </c>
      <c r="M158" s="116">
        <f>VLOOKUP($L158,$L$2:$N$7,2,FALSE)*I158</f>
        <v>0</v>
      </c>
      <c r="N158" s="116">
        <f>VLOOKUP($L158,$L$2:$N$7,3,FALSE)*I158</f>
        <v>0</v>
      </c>
      <c r="O158" s="272"/>
      <c r="P158" s="240" t="s">
        <v>560</v>
      </c>
      <c r="Q158" s="116">
        <f>IF(P158="G",M158,IF(P158="PT",0,ERR))</f>
        <v>0</v>
      </c>
      <c r="R158" s="116">
        <f>IF(P158="PT",M158,IF(P158="G",0,ERR))</f>
        <v>0</v>
      </c>
      <c r="S158" s="240" t="s">
        <v>560</v>
      </c>
      <c r="T158" s="116">
        <f>IF(S158="G",N158,IF(S158="PT",0,ERR))</f>
        <v>0</v>
      </c>
      <c r="U158" s="116">
        <f>IF(S158="PT",N158,IF(S158="G",0,ERR))</f>
        <v>0</v>
      </c>
      <c r="V158" s="273"/>
      <c r="W158" s="116">
        <f>HLOOKUP($W$9,'ROR-Model'!$Q$10:$U$1263,Y158)</f>
        <v>0</v>
      </c>
      <c r="X158" s="118"/>
      <c r="Y158" s="577">
        <f t="shared" si="4"/>
        <v>149</v>
      </c>
      <c r="AA158" s="116">
        <v>0</v>
      </c>
      <c r="AB158" s="116">
        <f t="shared" si="5"/>
        <v>0</v>
      </c>
    </row>
    <row r="159" spans="1:28">
      <c r="A159" s="227"/>
      <c r="B159" s="728"/>
      <c r="C159" s="728"/>
      <c r="D159" s="102"/>
      <c r="E159" s="116">
        <f>+G159-Adjustments!H159</f>
        <v>0</v>
      </c>
      <c r="F159" s="116"/>
      <c r="G159" s="116"/>
      <c r="H159" s="116"/>
      <c r="I159" s="116"/>
      <c r="J159" s="116"/>
      <c r="K159" s="116"/>
      <c r="L159" s="116"/>
      <c r="M159" s="116"/>
      <c r="N159" s="116"/>
      <c r="O159" s="272"/>
      <c r="P159" s="240"/>
      <c r="Q159" s="116"/>
      <c r="R159" s="116"/>
      <c r="S159" s="240"/>
      <c r="T159" s="116"/>
      <c r="U159" s="116"/>
      <c r="V159" s="273"/>
      <c r="W159" s="116"/>
      <c r="X159" s="118"/>
      <c r="Y159" s="577">
        <f t="shared" si="4"/>
        <v>150</v>
      </c>
      <c r="AA159" s="116"/>
      <c r="AB159" s="116">
        <f t="shared" si="5"/>
        <v>0</v>
      </c>
    </row>
    <row r="160" spans="1:28">
      <c r="A160" s="227"/>
      <c r="B160" s="729" t="s">
        <v>90</v>
      </c>
      <c r="C160" s="728" t="s">
        <v>16</v>
      </c>
      <c r="D160" s="102"/>
      <c r="E160" s="116">
        <f>+G160-Adjustments!H160</f>
        <v>0</v>
      </c>
      <c r="F160" s="116">
        <f>Revenue!$F$159</f>
        <v>20188113</v>
      </c>
      <c r="G160" s="116">
        <f>+Adjustments!AW160</f>
        <v>5024840.3728987426</v>
      </c>
      <c r="H160" s="116"/>
      <c r="I160" s="116">
        <f>SUM($F$160:$H$160)</f>
        <v>25212953.372898743</v>
      </c>
      <c r="J160" s="116"/>
      <c r="K160" s="116"/>
      <c r="L160" s="116" t="s">
        <v>14</v>
      </c>
      <c r="M160" s="116">
        <f>VLOOKUP($L160,$L$2:$N$7,2,FALSE)*I160</f>
        <v>25212953.372898743</v>
      </c>
      <c r="N160" s="116">
        <f>VLOOKUP($L160,$L$2:$N$7,3,FALSE)*I160</f>
        <v>0</v>
      </c>
      <c r="O160" s="272"/>
      <c r="P160" s="240" t="s">
        <v>560</v>
      </c>
      <c r="Q160" s="116">
        <f>IF(P160="G",M160,IF(P160="PT",0,ERR))</f>
        <v>25212953.372898743</v>
      </c>
      <c r="R160" s="116">
        <f>IF(P160="PT",M160,IF(P160="G",0,ERR))</f>
        <v>0</v>
      </c>
      <c r="S160" s="240" t="s">
        <v>560</v>
      </c>
      <c r="T160" s="116">
        <f>IF(S160="G",N160,IF(S160="PT",0,ERR))</f>
        <v>0</v>
      </c>
      <c r="U160" s="116">
        <f>IF(S160="PT",N160,IF(S160="G",0,ERR))</f>
        <v>0</v>
      </c>
      <c r="V160" s="273"/>
      <c r="W160" s="116">
        <f>HLOOKUP($W$9,'ROR-Model'!$Q$10:$U$1263,Y160)</f>
        <v>25212953.372898743</v>
      </c>
      <c r="X160" s="118"/>
      <c r="Y160" s="577">
        <f t="shared" si="4"/>
        <v>151</v>
      </c>
      <c r="AA160" s="116">
        <v>20188113</v>
      </c>
      <c r="AB160" s="116">
        <f t="shared" si="5"/>
        <v>5024840.3728987426</v>
      </c>
    </row>
    <row r="161" spans="1:28">
      <c r="A161" s="227"/>
      <c r="B161" s="728"/>
      <c r="C161" s="728"/>
      <c r="D161" s="102"/>
      <c r="E161" s="116">
        <f>+G161-Adjustments!H161</f>
        <v>0</v>
      </c>
      <c r="F161" s="116"/>
      <c r="G161" s="116"/>
      <c r="H161" s="116"/>
      <c r="I161" s="116"/>
      <c r="J161" s="116"/>
      <c r="K161" s="116"/>
      <c r="L161" s="116"/>
      <c r="M161" s="116"/>
      <c r="N161" s="116"/>
      <c r="O161" s="272"/>
      <c r="P161" s="240"/>
      <c r="Q161" s="116"/>
      <c r="R161" s="116"/>
      <c r="S161" s="240"/>
      <c r="T161" s="116"/>
      <c r="U161" s="116"/>
      <c r="V161" s="273"/>
      <c r="W161" s="116"/>
      <c r="X161" s="118"/>
      <c r="Y161" s="577">
        <f t="shared" si="4"/>
        <v>152</v>
      </c>
      <c r="AA161" s="116"/>
      <c r="AB161" s="116">
        <f t="shared" si="5"/>
        <v>0</v>
      </c>
    </row>
    <row r="162" spans="1:28">
      <c r="A162" s="227"/>
      <c r="B162" s="728"/>
      <c r="C162" s="728" t="s">
        <v>17</v>
      </c>
      <c r="D162" s="102"/>
      <c r="E162" s="116">
        <f>+G162-Adjustments!H162</f>
        <v>0</v>
      </c>
      <c r="F162" s="116">
        <f>Revenue!$F$161</f>
        <v>568888</v>
      </c>
      <c r="G162" s="116">
        <f>+Adjustments!AW162</f>
        <v>-568888</v>
      </c>
      <c r="H162" s="116"/>
      <c r="I162" s="116">
        <f>SUM($F$162:$H$162)</f>
        <v>0</v>
      </c>
      <c r="J162" s="116"/>
      <c r="K162" s="116"/>
      <c r="L162" s="116" t="s">
        <v>14</v>
      </c>
      <c r="M162" s="116">
        <f>VLOOKUP($L162,$L$2:$N$7,2,FALSE)*I162</f>
        <v>0</v>
      </c>
      <c r="N162" s="116">
        <f>VLOOKUP($L162,$L$2:$N$7,3,FALSE)*I162</f>
        <v>0</v>
      </c>
      <c r="O162" s="272"/>
      <c r="P162" s="240" t="s">
        <v>559</v>
      </c>
      <c r="Q162" s="116">
        <f>IF(P162="G",M162,IF(P162="PT",0,ERR))</f>
        <v>0</v>
      </c>
      <c r="R162" s="116">
        <f>IF(P162="PT",M162,IF(P162="G",0,ERR))</f>
        <v>0</v>
      </c>
      <c r="S162" s="240" t="s">
        <v>559</v>
      </c>
      <c r="T162" s="116">
        <f>IF(S162="G",N162,IF(S162="PT",0,ERR))</f>
        <v>0</v>
      </c>
      <c r="U162" s="116">
        <f>IF(S162="PT",N162,IF(S162="G",0,ERR))</f>
        <v>0</v>
      </c>
      <c r="V162" s="273"/>
      <c r="W162" s="116">
        <f>HLOOKUP($W$9,'ROR-Model'!$Q$10:$U$1263,Y162)</f>
        <v>0</v>
      </c>
      <c r="X162" s="118"/>
      <c r="Y162" s="577">
        <f t="shared" si="4"/>
        <v>153</v>
      </c>
      <c r="AA162" s="116">
        <v>0</v>
      </c>
      <c r="AB162" s="116">
        <f t="shared" si="5"/>
        <v>0</v>
      </c>
    </row>
    <row r="163" spans="1:28">
      <c r="A163" s="227"/>
      <c r="B163" s="728"/>
      <c r="C163" s="728"/>
      <c r="D163" s="102"/>
      <c r="E163" s="116">
        <f>+G163-Adjustments!H163</f>
        <v>0</v>
      </c>
      <c r="F163" s="116"/>
      <c r="G163" s="116"/>
      <c r="H163" s="116"/>
      <c r="I163" s="116"/>
      <c r="J163" s="116"/>
      <c r="K163" s="116"/>
      <c r="L163" s="116"/>
      <c r="M163" s="116"/>
      <c r="N163" s="116"/>
      <c r="O163" s="272"/>
      <c r="P163" s="240"/>
      <c r="Q163" s="116"/>
      <c r="R163" s="116"/>
      <c r="S163" s="240"/>
      <c r="T163" s="116"/>
      <c r="U163" s="116"/>
      <c r="V163" s="273"/>
      <c r="W163" s="116"/>
      <c r="X163" s="118"/>
      <c r="Y163" s="577">
        <f t="shared" si="4"/>
        <v>154</v>
      </c>
      <c r="AA163" s="116"/>
      <c r="AB163" s="116">
        <f t="shared" si="5"/>
        <v>0</v>
      </c>
    </row>
    <row r="164" spans="1:28">
      <c r="A164" s="227"/>
      <c r="B164" s="728"/>
      <c r="C164" s="728" t="s">
        <v>18</v>
      </c>
      <c r="D164" s="102"/>
      <c r="E164" s="116">
        <f>+G164-Adjustments!H164</f>
        <v>0</v>
      </c>
      <c r="F164" s="116">
        <f>Revenue!$F$163</f>
        <v>96363</v>
      </c>
      <c r="G164" s="116">
        <f>+Adjustments!AW164</f>
        <v>-96363</v>
      </c>
      <c r="H164" s="116"/>
      <c r="I164" s="116">
        <f>SUM($F$164:$H$164)</f>
        <v>0</v>
      </c>
      <c r="J164" s="116"/>
      <c r="K164" s="116"/>
      <c r="L164" s="116" t="s">
        <v>14</v>
      </c>
      <c r="M164" s="116">
        <f>VLOOKUP($L164,$L$2:$N$7,2,FALSE)*I164</f>
        <v>0</v>
      </c>
      <c r="N164" s="116">
        <f>VLOOKUP($L164,$L$2:$N$7,3,FALSE)*I164</f>
        <v>0</v>
      </c>
      <c r="O164" s="272"/>
      <c r="P164" s="240" t="s">
        <v>559</v>
      </c>
      <c r="Q164" s="116">
        <f>IF(P164="G",M164,IF(P164="PT",0,ERR))</f>
        <v>0</v>
      </c>
      <c r="R164" s="116">
        <f>IF(P164="PT",M164,IF(P164="G",0,ERR))</f>
        <v>0</v>
      </c>
      <c r="S164" s="240" t="s">
        <v>559</v>
      </c>
      <c r="T164" s="116">
        <f>IF(S164="G",N164,IF(S164="PT",0,ERR))</f>
        <v>0</v>
      </c>
      <c r="U164" s="116">
        <f>IF(S164="PT",N164,IF(S164="G",0,ERR))</f>
        <v>0</v>
      </c>
      <c r="V164" s="273"/>
      <c r="W164" s="116">
        <f>HLOOKUP($W$9,'ROR-Model'!$Q$10:$U$1263,Y164)</f>
        <v>0</v>
      </c>
      <c r="X164" s="118"/>
      <c r="Y164" s="577">
        <f t="shared" si="4"/>
        <v>155</v>
      </c>
      <c r="AA164" s="116">
        <v>0</v>
      </c>
      <c r="AB164" s="116">
        <f t="shared" si="5"/>
        <v>0</v>
      </c>
    </row>
    <row r="165" spans="1:28">
      <c r="A165" s="227"/>
      <c r="B165" s="728"/>
      <c r="C165" s="728" t="s">
        <v>19</v>
      </c>
      <c r="D165" s="102"/>
      <c r="E165" s="131">
        <f>+G165-Adjustments!H165</f>
        <v>0</v>
      </c>
      <c r="F165" s="131">
        <f>SUM(F160:F164)</f>
        <v>20853364</v>
      </c>
      <c r="G165" s="131">
        <f>SUM(G160:G164)</f>
        <v>4359589.3728987426</v>
      </c>
      <c r="H165" s="131">
        <f>SUM(H160:H164)</f>
        <v>0</v>
      </c>
      <c r="I165" s="131">
        <f>SUM(I160:I164)</f>
        <v>25212953.372898743</v>
      </c>
      <c r="J165" s="116"/>
      <c r="K165" s="116"/>
      <c r="L165" s="131"/>
      <c r="M165" s="131">
        <f>SUM(M160:M164)</f>
        <v>25212953.372898743</v>
      </c>
      <c r="N165" s="131">
        <f>SUM(N160:N164)</f>
        <v>0</v>
      </c>
      <c r="O165" s="272"/>
      <c r="P165" s="257"/>
      <c r="Q165" s="131">
        <f>SUM(Q160:Q164)</f>
        <v>25212953.372898743</v>
      </c>
      <c r="R165" s="131">
        <f>SUM(R160:R164)</f>
        <v>0</v>
      </c>
      <c r="S165" s="257"/>
      <c r="T165" s="131">
        <f>SUM(T160:T164)</f>
        <v>0</v>
      </c>
      <c r="U165" s="131">
        <f>SUM(U160:U164)</f>
        <v>0</v>
      </c>
      <c r="V165" s="273"/>
      <c r="W165" s="131">
        <f>HLOOKUP($W$9,'ROR-Model'!$Q$10:$U$1263,Y165)</f>
        <v>25212953.372898743</v>
      </c>
      <c r="X165" s="118"/>
      <c r="Y165" s="577">
        <f t="shared" si="4"/>
        <v>156</v>
      </c>
      <c r="AA165" s="131">
        <v>20188113</v>
      </c>
      <c r="AB165" s="116">
        <f t="shared" si="5"/>
        <v>5024840.3728987426</v>
      </c>
    </row>
    <row r="166" spans="1:28">
      <c r="A166" s="227"/>
      <c r="B166" s="728"/>
      <c r="C166" s="728"/>
      <c r="D166" s="102"/>
      <c r="E166" s="116">
        <f>+G166-Adjustments!H166</f>
        <v>0</v>
      </c>
      <c r="F166" s="116"/>
      <c r="G166" s="116"/>
      <c r="H166" s="116"/>
      <c r="I166" s="116"/>
      <c r="J166" s="116"/>
      <c r="K166" s="116"/>
      <c r="L166" s="116"/>
      <c r="M166" s="116"/>
      <c r="N166" s="116"/>
      <c r="O166" s="272"/>
      <c r="P166" s="240"/>
      <c r="Q166" s="116"/>
      <c r="R166" s="116"/>
      <c r="S166" s="240"/>
      <c r="T166" s="116"/>
      <c r="U166" s="116"/>
      <c r="V166" s="273"/>
      <c r="W166" s="116"/>
      <c r="X166" s="118"/>
      <c r="Y166" s="577">
        <f t="shared" si="4"/>
        <v>157</v>
      </c>
      <c r="AA166" s="116"/>
      <c r="AB166" s="116">
        <f t="shared" si="5"/>
        <v>0</v>
      </c>
    </row>
    <row r="167" spans="1:28">
      <c r="A167" s="227"/>
      <c r="B167" s="728"/>
      <c r="C167" s="728" t="s">
        <v>20</v>
      </c>
      <c r="D167" s="102"/>
      <c r="E167" s="116">
        <f>+G167-Adjustments!H167</f>
        <v>0</v>
      </c>
      <c r="F167" s="116">
        <f>Revenue!$F$166</f>
        <v>44783653</v>
      </c>
      <c r="G167" s="116">
        <f>+Adjustments!AW167</f>
        <v>3965792</v>
      </c>
      <c r="H167" s="116"/>
      <c r="I167" s="116">
        <f>SUM($F$167:$H$167)</f>
        <v>48749445</v>
      </c>
      <c r="J167" s="116"/>
      <c r="K167" s="116"/>
      <c r="L167" s="116" t="s">
        <v>14</v>
      </c>
      <c r="M167" s="116">
        <f>VLOOKUP($L167,$L$2:$N$7,2,FALSE)*I167</f>
        <v>48749445</v>
      </c>
      <c r="N167" s="116">
        <f>VLOOKUP($L167,$L$2:$N$7,3,FALSE)*I167</f>
        <v>0</v>
      </c>
      <c r="O167" s="272"/>
      <c r="P167" s="240" t="s">
        <v>560</v>
      </c>
      <c r="Q167" s="116">
        <f>IF(P167="G",M167,IF(P167="PT",0,ERR))</f>
        <v>48749445</v>
      </c>
      <c r="R167" s="116">
        <f>IF(P167="PT",M167,IF(P167="G",0,ERR))</f>
        <v>0</v>
      </c>
      <c r="S167" s="240" t="s">
        <v>560</v>
      </c>
      <c r="T167" s="116">
        <f>IF(S167="G",N167,IF(S167="PT",0,ERR))</f>
        <v>0</v>
      </c>
      <c r="U167" s="116">
        <f>IF(S167="PT",N167,IF(S167="G",0,ERR))</f>
        <v>0</v>
      </c>
      <c r="V167" s="273"/>
      <c r="W167" s="116">
        <f>HLOOKUP($W$9,'ROR-Model'!$Q$10:$U$1263,Y167)</f>
        <v>48749445</v>
      </c>
      <c r="X167" s="118"/>
      <c r="Y167" s="577">
        <f t="shared" si="4"/>
        <v>158</v>
      </c>
      <c r="AA167" s="116">
        <v>44783653</v>
      </c>
      <c r="AB167" s="116">
        <f t="shared" si="5"/>
        <v>3965792</v>
      </c>
    </row>
    <row r="168" spans="1:28">
      <c r="A168" s="227"/>
      <c r="B168" s="332"/>
      <c r="C168" s="332"/>
      <c r="D168" s="102"/>
      <c r="E168" s="116">
        <f>+G168-Adjustments!H168</f>
        <v>0</v>
      </c>
      <c r="F168" s="116"/>
      <c r="G168" s="116"/>
      <c r="H168" s="116"/>
      <c r="I168" s="116"/>
      <c r="J168" s="116"/>
      <c r="K168" s="116"/>
      <c r="L168" s="116"/>
      <c r="M168" s="116"/>
      <c r="N168" s="116"/>
      <c r="O168" s="272"/>
      <c r="P168" s="240"/>
      <c r="Q168" s="116"/>
      <c r="R168" s="116"/>
      <c r="S168" s="240"/>
      <c r="T168" s="116"/>
      <c r="U168" s="116"/>
      <c r="V168" s="273"/>
      <c r="W168" s="116"/>
      <c r="X168" s="118"/>
      <c r="Y168" s="577">
        <f t="shared" si="4"/>
        <v>159</v>
      </c>
      <c r="AA168" s="116"/>
      <c r="AB168" s="116">
        <f t="shared" si="5"/>
        <v>0</v>
      </c>
    </row>
    <row r="169" spans="1:28">
      <c r="A169" s="227"/>
      <c r="B169" s="728" t="s">
        <v>91</v>
      </c>
      <c r="C169" s="728" t="s">
        <v>16</v>
      </c>
      <c r="D169" s="102"/>
      <c r="E169" s="116">
        <f>+G169-Adjustments!H169</f>
        <v>0</v>
      </c>
      <c r="F169" s="116">
        <f>Revenue!$F$168</f>
        <v>0</v>
      </c>
      <c r="G169" s="116">
        <f>+Adjustments!AW169</f>
        <v>0</v>
      </c>
      <c r="H169" s="116"/>
      <c r="I169" s="116">
        <f>SUM($F$169:$H$169)</f>
        <v>0</v>
      </c>
      <c r="J169" s="116"/>
      <c r="K169" s="116"/>
      <c r="L169" s="116" t="s">
        <v>14</v>
      </c>
      <c r="M169" s="116">
        <f>VLOOKUP($L169,$L$2:$N$7,2,FALSE)*I169</f>
        <v>0</v>
      </c>
      <c r="N169" s="116">
        <f>VLOOKUP($L169,$L$2:$N$7,3,FALSE)*I169</f>
        <v>0</v>
      </c>
      <c r="O169" s="272"/>
      <c r="P169" s="240" t="s">
        <v>560</v>
      </c>
      <c r="Q169" s="116">
        <f>IF(P169="G",M169,IF(P169="PT",0,ERR))</f>
        <v>0</v>
      </c>
      <c r="R169" s="116">
        <f>IF(P169="PT",M169,IF(P169="G",0,ERR))</f>
        <v>0</v>
      </c>
      <c r="S169" s="240" t="s">
        <v>560</v>
      </c>
      <c r="T169" s="116">
        <f>IF(S169="G",N169,IF(S169="PT",0,ERR))</f>
        <v>0</v>
      </c>
      <c r="U169" s="116">
        <f>IF(S169="PT",N169,IF(S169="G",0,ERR))</f>
        <v>0</v>
      </c>
      <c r="V169" s="273"/>
      <c r="W169" s="116">
        <f>HLOOKUP($W$9,'ROR-Model'!$Q$10:$U$1263,Y169)</f>
        <v>0</v>
      </c>
      <c r="X169" s="118"/>
      <c r="Y169" s="577">
        <f t="shared" si="4"/>
        <v>160</v>
      </c>
      <c r="AA169" s="116">
        <v>0</v>
      </c>
      <c r="AB169" s="116">
        <f t="shared" si="5"/>
        <v>0</v>
      </c>
    </row>
    <row r="170" spans="1:28">
      <c r="A170" s="227"/>
      <c r="B170" s="728"/>
      <c r="C170" s="728"/>
      <c r="D170" s="102"/>
      <c r="E170" s="116">
        <f>+G170-Adjustments!H170</f>
        <v>0</v>
      </c>
      <c r="F170" s="116"/>
      <c r="G170" s="116"/>
      <c r="H170" s="116"/>
      <c r="I170" s="116"/>
      <c r="J170" s="116"/>
      <c r="K170" s="116"/>
      <c r="L170" s="116"/>
      <c r="M170" s="116"/>
      <c r="N170" s="116"/>
      <c r="O170" s="272"/>
      <c r="P170" s="240"/>
      <c r="Q170" s="116"/>
      <c r="R170" s="116"/>
      <c r="S170" s="240"/>
      <c r="T170" s="116"/>
      <c r="U170" s="116"/>
      <c r="V170" s="273"/>
      <c r="W170" s="116"/>
      <c r="X170" s="118"/>
      <c r="Y170" s="577">
        <f t="shared" si="4"/>
        <v>161</v>
      </c>
      <c r="AA170" s="116"/>
      <c r="AB170" s="116">
        <f t="shared" si="5"/>
        <v>0</v>
      </c>
    </row>
    <row r="171" spans="1:28">
      <c r="A171" s="227"/>
      <c r="B171" s="728"/>
      <c r="C171" s="728" t="s">
        <v>17</v>
      </c>
      <c r="D171" s="102"/>
      <c r="E171" s="116">
        <f>+G171-Adjustments!H171</f>
        <v>0</v>
      </c>
      <c r="F171" s="116">
        <f>Revenue!$F$170</f>
        <v>0</v>
      </c>
      <c r="G171" s="116">
        <f>+Adjustments!AW171</f>
        <v>0</v>
      </c>
      <c r="H171" s="116"/>
      <c r="I171" s="116">
        <f>SUM($F$171:$H$171)</f>
        <v>0</v>
      </c>
      <c r="J171" s="116"/>
      <c r="K171" s="116"/>
      <c r="L171" s="116" t="s">
        <v>14</v>
      </c>
      <c r="M171" s="116">
        <f>VLOOKUP($L171,$L$2:$N$7,2,FALSE)*I171</f>
        <v>0</v>
      </c>
      <c r="N171" s="116">
        <f>VLOOKUP($L171,$L$2:$N$7,3,FALSE)*I171</f>
        <v>0</v>
      </c>
      <c r="O171" s="272"/>
      <c r="P171" s="240" t="s">
        <v>559</v>
      </c>
      <c r="Q171" s="116">
        <f>IF(P171="G",M171,IF(P171="PT",0,ERR))</f>
        <v>0</v>
      </c>
      <c r="R171" s="116">
        <f>IF(P171="PT",M171,IF(P171="G",0,ERR))</f>
        <v>0</v>
      </c>
      <c r="S171" s="240" t="s">
        <v>559</v>
      </c>
      <c r="T171" s="116">
        <f>IF(S171="G",N171,IF(S171="PT",0,ERR))</f>
        <v>0</v>
      </c>
      <c r="U171" s="116">
        <f>IF(S171="PT",N171,IF(S171="G",0,ERR))</f>
        <v>0</v>
      </c>
      <c r="V171" s="273"/>
      <c r="W171" s="116">
        <f>HLOOKUP($W$9,'ROR-Model'!$Q$10:$U$1263,Y171)</f>
        <v>0</v>
      </c>
      <c r="X171" s="118"/>
      <c r="Y171" s="577">
        <f t="shared" si="4"/>
        <v>162</v>
      </c>
      <c r="AA171" s="116">
        <v>0</v>
      </c>
      <c r="AB171" s="116">
        <f t="shared" si="5"/>
        <v>0</v>
      </c>
    </row>
    <row r="172" spans="1:28">
      <c r="A172" s="227"/>
      <c r="B172" s="728"/>
      <c r="C172" s="728"/>
      <c r="D172" s="102"/>
      <c r="E172" s="116">
        <f>+G172-Adjustments!H172</f>
        <v>0</v>
      </c>
      <c r="F172" s="116"/>
      <c r="G172" s="116"/>
      <c r="H172" s="116"/>
      <c r="I172" s="116"/>
      <c r="J172" s="116"/>
      <c r="K172" s="116"/>
      <c r="L172" s="116"/>
      <c r="M172" s="116"/>
      <c r="N172" s="116"/>
      <c r="O172" s="272"/>
      <c r="P172" s="240"/>
      <c r="Q172" s="116"/>
      <c r="R172" s="116"/>
      <c r="S172" s="240"/>
      <c r="T172" s="116"/>
      <c r="U172" s="116"/>
      <c r="V172" s="273"/>
      <c r="W172" s="116"/>
      <c r="X172" s="118"/>
      <c r="Y172" s="577">
        <f t="shared" si="4"/>
        <v>163</v>
      </c>
      <c r="AA172" s="116"/>
      <c r="AB172" s="116">
        <f t="shared" si="5"/>
        <v>0</v>
      </c>
    </row>
    <row r="173" spans="1:28">
      <c r="A173" s="227"/>
      <c r="B173" s="728"/>
      <c r="C173" s="728" t="s">
        <v>18</v>
      </c>
      <c r="D173" s="102"/>
      <c r="E173" s="116">
        <f>+G173-Adjustments!H173</f>
        <v>0</v>
      </c>
      <c r="F173" s="116">
        <f>Revenue!$F$172</f>
        <v>0</v>
      </c>
      <c r="G173" s="116">
        <f>+Adjustments!AW173</f>
        <v>0</v>
      </c>
      <c r="H173" s="116"/>
      <c r="I173" s="116">
        <f>SUM($F$173:$H$173)</f>
        <v>0</v>
      </c>
      <c r="J173" s="116"/>
      <c r="K173" s="116"/>
      <c r="L173" s="116" t="s">
        <v>14</v>
      </c>
      <c r="M173" s="116">
        <f>VLOOKUP($L173,$L$2:$N$7,2,FALSE)*I173</f>
        <v>0</v>
      </c>
      <c r="N173" s="116">
        <f>VLOOKUP($L173,$L$2:$N$7,3,FALSE)*I173</f>
        <v>0</v>
      </c>
      <c r="O173" s="272"/>
      <c r="P173" s="240" t="s">
        <v>559</v>
      </c>
      <c r="Q173" s="116">
        <f>IF(P173="G",M173,IF(P173="PT",0,ERR))</f>
        <v>0</v>
      </c>
      <c r="R173" s="116">
        <f>IF(P173="PT",M173,IF(P173="G",0,ERR))</f>
        <v>0</v>
      </c>
      <c r="S173" s="240" t="s">
        <v>559</v>
      </c>
      <c r="T173" s="116">
        <f>IF(S173="G",N173,IF(S173="PT",0,ERR))</f>
        <v>0</v>
      </c>
      <c r="U173" s="116">
        <f>IF(S173="PT",N173,IF(S173="G",0,ERR))</f>
        <v>0</v>
      </c>
      <c r="V173" s="273"/>
      <c r="W173" s="116">
        <f>HLOOKUP($W$9,'ROR-Model'!$Q$10:$U$1263,Y173)</f>
        <v>0</v>
      </c>
      <c r="X173" s="118"/>
      <c r="Y173" s="577">
        <f t="shared" si="4"/>
        <v>164</v>
      </c>
      <c r="AA173" s="116">
        <v>0</v>
      </c>
      <c r="AB173" s="116">
        <f t="shared" si="5"/>
        <v>0</v>
      </c>
    </row>
    <row r="174" spans="1:28">
      <c r="A174" s="227"/>
      <c r="B174" s="728"/>
      <c r="C174" s="728" t="s">
        <v>19</v>
      </c>
      <c r="D174" s="102"/>
      <c r="E174" s="131">
        <f>+G174-Adjustments!H174</f>
        <v>0</v>
      </c>
      <c r="F174" s="131">
        <f>SUM(F169:F173)</f>
        <v>0</v>
      </c>
      <c r="G174" s="131">
        <f>SUM(G169:G173)</f>
        <v>0</v>
      </c>
      <c r="H174" s="131">
        <f>SUM(H169:H173)</f>
        <v>0</v>
      </c>
      <c r="I174" s="131">
        <f>SUM(I169:I173)</f>
        <v>0</v>
      </c>
      <c r="J174" s="116"/>
      <c r="K174" s="116"/>
      <c r="L174" s="131"/>
      <c r="M174" s="131">
        <f>SUM(M169:M173)</f>
        <v>0</v>
      </c>
      <c r="N174" s="131">
        <f>SUM(N169:N173)</f>
        <v>0</v>
      </c>
      <c r="O174" s="272"/>
      <c r="P174" s="257"/>
      <c r="Q174" s="131">
        <f>SUM(Q169:Q173)</f>
        <v>0</v>
      </c>
      <c r="R174" s="131">
        <f>SUM(R169:R173)</f>
        <v>0</v>
      </c>
      <c r="S174" s="257"/>
      <c r="T174" s="131">
        <f>SUM(T169:T173)</f>
        <v>0</v>
      </c>
      <c r="U174" s="131">
        <f>SUM(U169:U173)</f>
        <v>0</v>
      </c>
      <c r="V174" s="273"/>
      <c r="W174" s="131">
        <f>HLOOKUP($W$9,'ROR-Model'!$Q$10:$U$1263,Y174)</f>
        <v>0</v>
      </c>
      <c r="X174" s="118"/>
      <c r="Y174" s="577">
        <f t="shared" si="4"/>
        <v>165</v>
      </c>
      <c r="AA174" s="131">
        <v>0</v>
      </c>
      <c r="AB174" s="116">
        <f t="shared" si="5"/>
        <v>0</v>
      </c>
    </row>
    <row r="175" spans="1:28">
      <c r="A175" s="227"/>
      <c r="B175" s="728"/>
      <c r="C175" s="728"/>
      <c r="D175" s="102"/>
      <c r="E175" s="116">
        <f>+G175-Adjustments!H175</f>
        <v>0</v>
      </c>
      <c r="F175" s="116"/>
      <c r="G175" s="116"/>
      <c r="H175" s="116"/>
      <c r="I175" s="116"/>
      <c r="J175" s="116"/>
      <c r="K175" s="116"/>
      <c r="L175" s="116"/>
      <c r="M175" s="116"/>
      <c r="N175" s="116"/>
      <c r="O175" s="272"/>
      <c r="P175" s="240"/>
      <c r="Q175" s="116"/>
      <c r="R175" s="116"/>
      <c r="S175" s="240"/>
      <c r="T175" s="116"/>
      <c r="U175" s="116"/>
      <c r="V175" s="273"/>
      <c r="W175" s="116"/>
      <c r="X175" s="118"/>
      <c r="Y175" s="577">
        <f t="shared" si="4"/>
        <v>166</v>
      </c>
      <c r="AA175" s="116"/>
      <c r="AB175" s="116">
        <f t="shared" si="5"/>
        <v>0</v>
      </c>
    </row>
    <row r="176" spans="1:28">
      <c r="A176" s="227"/>
      <c r="B176" s="728"/>
      <c r="C176" s="728" t="s">
        <v>20</v>
      </c>
      <c r="D176" s="102"/>
      <c r="E176" s="116">
        <f>+G176-Adjustments!H176</f>
        <v>0</v>
      </c>
      <c r="F176" s="116">
        <f>Revenue!$F$175</f>
        <v>0</v>
      </c>
      <c r="G176" s="116">
        <f>+Adjustments!AW176</f>
        <v>0</v>
      </c>
      <c r="H176" s="116"/>
      <c r="I176" s="116">
        <f>SUM($F$176:$H$176)</f>
        <v>0</v>
      </c>
      <c r="J176" s="116"/>
      <c r="K176" s="116"/>
      <c r="L176" s="116" t="s">
        <v>14</v>
      </c>
      <c r="M176" s="116">
        <f>VLOOKUP($L176,$L$2:$N$7,2,FALSE)*I176</f>
        <v>0</v>
      </c>
      <c r="N176" s="116">
        <f>VLOOKUP($L176,$L$2:$N$7,3,FALSE)*I176</f>
        <v>0</v>
      </c>
      <c r="O176" s="272"/>
      <c r="P176" s="240" t="s">
        <v>560</v>
      </c>
      <c r="Q176" s="116">
        <f>IF(P176="G",M176,IF(P176="PT",0,ERR))</f>
        <v>0</v>
      </c>
      <c r="R176" s="116">
        <f>IF(P176="PT",M176,IF(P176="G",0,ERR))</f>
        <v>0</v>
      </c>
      <c r="S176" s="240" t="s">
        <v>560</v>
      </c>
      <c r="T176" s="116">
        <f>IF(S176="G",N176,IF(S176="PT",0,ERR))</f>
        <v>0</v>
      </c>
      <c r="U176" s="116">
        <f>IF(S176="PT",N176,IF(S176="G",0,ERR))</f>
        <v>0</v>
      </c>
      <c r="V176" s="273"/>
      <c r="W176" s="116">
        <f>HLOOKUP($W$9,'ROR-Model'!$Q$10:$U$1263,Y176)</f>
        <v>0</v>
      </c>
      <c r="X176" s="118"/>
      <c r="Y176" s="577">
        <f t="shared" si="4"/>
        <v>167</v>
      </c>
      <c r="AA176" s="116">
        <v>0</v>
      </c>
      <c r="AB176" s="116">
        <f t="shared" si="5"/>
        <v>0</v>
      </c>
    </row>
    <row r="177" spans="1:28">
      <c r="A177" s="227"/>
      <c r="B177" s="728"/>
      <c r="C177" s="728"/>
      <c r="D177" s="102"/>
      <c r="E177" s="116">
        <f>+G177-Adjustments!H177</f>
        <v>0</v>
      </c>
      <c r="F177" s="116"/>
      <c r="G177" s="116"/>
      <c r="H177" s="116"/>
      <c r="I177" s="116"/>
      <c r="J177" s="116"/>
      <c r="K177" s="116"/>
      <c r="L177" s="116"/>
      <c r="M177" s="116"/>
      <c r="N177" s="116"/>
      <c r="O177" s="272"/>
      <c r="P177" s="240"/>
      <c r="Q177" s="116"/>
      <c r="R177" s="116"/>
      <c r="S177" s="240"/>
      <c r="T177" s="116"/>
      <c r="U177" s="116"/>
      <c r="V177" s="273"/>
      <c r="W177" s="116"/>
      <c r="X177" s="118"/>
      <c r="Y177" s="577">
        <f t="shared" si="4"/>
        <v>168</v>
      </c>
      <c r="AA177" s="116"/>
      <c r="AB177" s="116">
        <f t="shared" si="5"/>
        <v>0</v>
      </c>
    </row>
    <row r="178" spans="1:28">
      <c r="A178" s="227"/>
      <c r="B178" s="728" t="s">
        <v>127</v>
      </c>
      <c r="C178" s="728" t="s">
        <v>16</v>
      </c>
      <c r="D178" s="102"/>
      <c r="E178" s="116">
        <f>+G178-Adjustments!H178</f>
        <v>0</v>
      </c>
      <c r="F178" s="116">
        <f>Revenue!$F$177</f>
        <v>0</v>
      </c>
      <c r="G178" s="116">
        <f>+Adjustments!AW178</f>
        <v>0</v>
      </c>
      <c r="H178" s="116"/>
      <c r="I178" s="116">
        <f>SUM($F$178:$H$178)</f>
        <v>0</v>
      </c>
      <c r="J178" s="116"/>
      <c r="K178" s="116"/>
      <c r="L178" s="116" t="s">
        <v>14</v>
      </c>
      <c r="M178" s="116">
        <f>VLOOKUP($L178,$L$2:$N$7,2,FALSE)*I178</f>
        <v>0</v>
      </c>
      <c r="N178" s="116">
        <f>VLOOKUP($L178,$L$2:$N$7,3,FALSE)*I178</f>
        <v>0</v>
      </c>
      <c r="O178" s="272"/>
      <c r="P178" s="240" t="s">
        <v>560</v>
      </c>
      <c r="Q178" s="116">
        <f>IF(P178="G",M178,IF(P178="PT",0,ERR))</f>
        <v>0</v>
      </c>
      <c r="R178" s="116">
        <f>IF(P178="PT",M178,IF(P178="G",0,ERR))</f>
        <v>0</v>
      </c>
      <c r="S178" s="240" t="s">
        <v>560</v>
      </c>
      <c r="T178" s="116">
        <f>IF(S178="G",N178,IF(S178="PT",0,ERR))</f>
        <v>0</v>
      </c>
      <c r="U178" s="116">
        <f>IF(S178="PT",N178,IF(S178="G",0,ERR))</f>
        <v>0</v>
      </c>
      <c r="V178" s="273"/>
      <c r="W178" s="116">
        <f>HLOOKUP($W$9,'ROR-Model'!$Q$10:$U$1263,Y178)</f>
        <v>0</v>
      </c>
      <c r="X178" s="118"/>
      <c r="Y178" s="577">
        <f t="shared" si="4"/>
        <v>169</v>
      </c>
      <c r="AA178" s="116">
        <v>0</v>
      </c>
      <c r="AB178" s="116">
        <f t="shared" si="5"/>
        <v>0</v>
      </c>
    </row>
    <row r="179" spans="1:28">
      <c r="A179" s="227"/>
      <c r="B179" s="728"/>
      <c r="C179" s="728"/>
      <c r="D179" s="102"/>
      <c r="E179" s="116">
        <f>+G179-Adjustments!H179</f>
        <v>0</v>
      </c>
      <c r="F179" s="116"/>
      <c r="G179" s="116"/>
      <c r="H179" s="116"/>
      <c r="I179" s="116"/>
      <c r="J179" s="116"/>
      <c r="K179" s="116"/>
      <c r="L179" s="116"/>
      <c r="M179" s="116"/>
      <c r="N179" s="116"/>
      <c r="O179" s="272"/>
      <c r="P179" s="240"/>
      <c r="Q179" s="116"/>
      <c r="R179" s="116"/>
      <c r="S179" s="240"/>
      <c r="T179" s="116"/>
      <c r="U179" s="116"/>
      <c r="V179" s="273"/>
      <c r="W179" s="116"/>
      <c r="X179" s="118"/>
      <c r="Y179" s="577">
        <f t="shared" si="4"/>
        <v>170</v>
      </c>
      <c r="AA179" s="116"/>
      <c r="AB179" s="116">
        <f t="shared" si="5"/>
        <v>0</v>
      </c>
    </row>
    <row r="180" spans="1:28">
      <c r="A180" s="227"/>
      <c r="B180" s="728"/>
      <c r="C180" s="728" t="s">
        <v>17</v>
      </c>
      <c r="D180" s="102"/>
      <c r="E180" s="116">
        <f>+G180-Adjustments!H180</f>
        <v>0</v>
      </c>
      <c r="F180" s="116">
        <f>Revenue!$F$179</f>
        <v>0</v>
      </c>
      <c r="G180" s="116">
        <f>+Adjustments!AW180</f>
        <v>0</v>
      </c>
      <c r="H180" s="116"/>
      <c r="I180" s="116">
        <f>SUM($F$180:$H$180)</f>
        <v>0</v>
      </c>
      <c r="J180" s="116"/>
      <c r="K180" s="116"/>
      <c r="L180" s="116" t="s">
        <v>14</v>
      </c>
      <c r="M180" s="116">
        <f>VLOOKUP($L180,$L$2:$N$7,2,FALSE)*I180</f>
        <v>0</v>
      </c>
      <c r="N180" s="116">
        <f>VLOOKUP($L180,$L$2:$N$7,3,FALSE)*I180</f>
        <v>0</v>
      </c>
      <c r="O180" s="272"/>
      <c r="P180" s="240" t="s">
        <v>559</v>
      </c>
      <c r="Q180" s="116">
        <f>IF(P180="G",M180,IF(P180="PT",0,ERR))</f>
        <v>0</v>
      </c>
      <c r="R180" s="116">
        <f>IF(P180="PT",M180,IF(P180="G",0,ERR))</f>
        <v>0</v>
      </c>
      <c r="S180" s="240" t="s">
        <v>559</v>
      </c>
      <c r="T180" s="116">
        <f>IF(S180="G",N180,IF(S180="PT",0,ERR))</f>
        <v>0</v>
      </c>
      <c r="U180" s="116">
        <f>IF(S180="PT",N180,IF(S180="G",0,ERR))</f>
        <v>0</v>
      </c>
      <c r="V180" s="273"/>
      <c r="W180" s="116">
        <f>HLOOKUP($W$9,'ROR-Model'!$Q$10:$U$1263,Y180)</f>
        <v>0</v>
      </c>
      <c r="X180" s="118"/>
      <c r="Y180" s="577">
        <f t="shared" si="4"/>
        <v>171</v>
      </c>
      <c r="AA180" s="116">
        <v>0</v>
      </c>
      <c r="AB180" s="116">
        <f t="shared" si="5"/>
        <v>0</v>
      </c>
    </row>
    <row r="181" spans="1:28">
      <c r="A181" s="227"/>
      <c r="B181" s="728"/>
      <c r="C181" s="728"/>
      <c r="D181" s="102"/>
      <c r="E181" s="116">
        <f>+G181-Adjustments!H181</f>
        <v>0</v>
      </c>
      <c r="F181" s="116"/>
      <c r="G181" s="116"/>
      <c r="H181" s="116"/>
      <c r="I181" s="116"/>
      <c r="J181" s="116"/>
      <c r="K181" s="116"/>
      <c r="L181" s="116"/>
      <c r="M181" s="116"/>
      <c r="N181" s="116"/>
      <c r="O181" s="272"/>
      <c r="P181" s="240"/>
      <c r="Q181" s="116"/>
      <c r="R181" s="116"/>
      <c r="S181" s="240"/>
      <c r="T181" s="116"/>
      <c r="U181" s="116"/>
      <c r="V181" s="273"/>
      <c r="W181" s="116"/>
      <c r="X181" s="118"/>
      <c r="Y181" s="577">
        <f t="shared" si="4"/>
        <v>172</v>
      </c>
      <c r="AA181" s="116"/>
      <c r="AB181" s="116">
        <f t="shared" si="5"/>
        <v>0</v>
      </c>
    </row>
    <row r="182" spans="1:28">
      <c r="A182" s="227"/>
      <c r="B182" s="728"/>
      <c r="C182" s="728" t="s">
        <v>18</v>
      </c>
      <c r="D182" s="102"/>
      <c r="E182" s="116">
        <f>+G182-Adjustments!H182</f>
        <v>0</v>
      </c>
      <c r="F182" s="116">
        <f>Revenue!$F$181</f>
        <v>0</v>
      </c>
      <c r="G182" s="116">
        <f>+Adjustments!AW182</f>
        <v>0</v>
      </c>
      <c r="H182" s="116"/>
      <c r="I182" s="116">
        <f>SUM($F$182:$H$182)</f>
        <v>0</v>
      </c>
      <c r="J182" s="116"/>
      <c r="K182" s="116"/>
      <c r="L182" s="116" t="s">
        <v>14</v>
      </c>
      <c r="M182" s="116">
        <f>VLOOKUP($L182,$L$2:$N$7,2,FALSE)*I182</f>
        <v>0</v>
      </c>
      <c r="N182" s="116">
        <f>VLOOKUP($L182,$L$2:$N$7,3,FALSE)*I182</f>
        <v>0</v>
      </c>
      <c r="O182" s="272"/>
      <c r="P182" s="240" t="s">
        <v>559</v>
      </c>
      <c r="Q182" s="116">
        <f>IF(P182="G",M182,IF(P182="PT",0,ERR))</f>
        <v>0</v>
      </c>
      <c r="R182" s="116">
        <f>IF(P182="PT",M182,IF(P182="G",0,ERR))</f>
        <v>0</v>
      </c>
      <c r="S182" s="240" t="s">
        <v>559</v>
      </c>
      <c r="T182" s="116">
        <f>IF(S182="G",N182,IF(S182="PT",0,ERR))</f>
        <v>0</v>
      </c>
      <c r="U182" s="116">
        <f>IF(S182="PT",N182,IF(S182="G",0,ERR))</f>
        <v>0</v>
      </c>
      <c r="V182" s="273"/>
      <c r="W182" s="116">
        <f>HLOOKUP($W$9,'ROR-Model'!$Q$10:$U$1263,Y182)</f>
        <v>0</v>
      </c>
      <c r="X182" s="118"/>
      <c r="Y182" s="577">
        <f t="shared" si="4"/>
        <v>173</v>
      </c>
      <c r="AA182" s="116">
        <v>0</v>
      </c>
      <c r="AB182" s="116">
        <f t="shared" si="5"/>
        <v>0</v>
      </c>
    </row>
    <row r="183" spans="1:28">
      <c r="A183" s="227"/>
      <c r="B183" s="728"/>
      <c r="C183" s="728" t="s">
        <v>19</v>
      </c>
      <c r="D183" s="102"/>
      <c r="E183" s="131">
        <f>+G183-Adjustments!H183</f>
        <v>0</v>
      </c>
      <c r="F183" s="131">
        <f>SUM(F178:F182)</f>
        <v>0</v>
      </c>
      <c r="G183" s="131">
        <f>SUM(G178:G182)</f>
        <v>0</v>
      </c>
      <c r="H183" s="131">
        <f>SUM(H178:H182)</f>
        <v>0</v>
      </c>
      <c r="I183" s="131">
        <f>SUM(I178:I182)</f>
        <v>0</v>
      </c>
      <c r="J183" s="116"/>
      <c r="K183" s="116"/>
      <c r="L183" s="131"/>
      <c r="M183" s="131">
        <f>SUM(M178:M182)</f>
        <v>0</v>
      </c>
      <c r="N183" s="131">
        <f>SUM(N178:N182)</f>
        <v>0</v>
      </c>
      <c r="O183" s="272"/>
      <c r="P183" s="257"/>
      <c r="Q183" s="131">
        <f>SUM(Q178:Q182)</f>
        <v>0</v>
      </c>
      <c r="R183" s="131">
        <f>SUM(R178:R182)</f>
        <v>0</v>
      </c>
      <c r="S183" s="257"/>
      <c r="T183" s="131">
        <f>SUM(T178:T182)</f>
        <v>0</v>
      </c>
      <c r="U183" s="131">
        <f>SUM(U178:U182)</f>
        <v>0</v>
      </c>
      <c r="V183" s="273"/>
      <c r="W183" s="131">
        <f>HLOOKUP($W$9,'ROR-Model'!$Q$10:$U$1263,Y183)</f>
        <v>0</v>
      </c>
      <c r="X183" s="118"/>
      <c r="Y183" s="577">
        <f t="shared" si="4"/>
        <v>174</v>
      </c>
      <c r="AA183" s="131">
        <v>0</v>
      </c>
      <c r="AB183" s="116">
        <f t="shared" si="5"/>
        <v>0</v>
      </c>
    </row>
    <row r="184" spans="1:28">
      <c r="A184" s="227"/>
      <c r="B184" s="728"/>
      <c r="C184" s="728"/>
      <c r="D184" s="102"/>
      <c r="E184" s="116">
        <f>+G184-Adjustments!H184</f>
        <v>0</v>
      </c>
      <c r="F184" s="116"/>
      <c r="G184" s="116"/>
      <c r="H184" s="116"/>
      <c r="I184" s="116"/>
      <c r="J184" s="116"/>
      <c r="K184" s="116"/>
      <c r="L184" s="116"/>
      <c r="M184" s="116"/>
      <c r="N184" s="116"/>
      <c r="O184" s="272"/>
      <c r="P184" s="240"/>
      <c r="Q184" s="116"/>
      <c r="R184" s="116"/>
      <c r="S184" s="240"/>
      <c r="T184" s="116"/>
      <c r="U184" s="116"/>
      <c r="V184" s="273"/>
      <c r="W184" s="116"/>
      <c r="X184" s="118"/>
      <c r="Y184" s="577">
        <f t="shared" si="4"/>
        <v>175</v>
      </c>
      <c r="AA184" s="116"/>
      <c r="AB184" s="116">
        <f t="shared" si="5"/>
        <v>0</v>
      </c>
    </row>
    <row r="185" spans="1:28">
      <c r="A185" s="227"/>
      <c r="B185" s="728"/>
      <c r="C185" s="728" t="s">
        <v>20</v>
      </c>
      <c r="D185" s="102"/>
      <c r="E185" s="116">
        <f>+G185-Adjustments!H185</f>
        <v>0</v>
      </c>
      <c r="F185" s="116">
        <f>Revenue!$F$184</f>
        <v>0</v>
      </c>
      <c r="G185" s="116">
        <f>+Adjustments!AW185</f>
        <v>0</v>
      </c>
      <c r="H185" s="116"/>
      <c r="I185" s="116">
        <f>SUM($F$185:$H$185)</f>
        <v>0</v>
      </c>
      <c r="J185" s="116"/>
      <c r="K185" s="116"/>
      <c r="L185" s="116" t="s">
        <v>14</v>
      </c>
      <c r="M185" s="116">
        <f>VLOOKUP($L185,$L$2:$N$7,2,FALSE)*I185</f>
        <v>0</v>
      </c>
      <c r="N185" s="116">
        <f>VLOOKUP($L185,$L$2:$N$7,3,FALSE)*I185</f>
        <v>0</v>
      </c>
      <c r="O185" s="272"/>
      <c r="P185" s="240" t="s">
        <v>560</v>
      </c>
      <c r="Q185" s="116">
        <f>IF(P185="G",M185,IF(P185="PT",0,ERR))</f>
        <v>0</v>
      </c>
      <c r="R185" s="116">
        <f>IF(P185="PT",M185,IF(P185="G",0,ERR))</f>
        <v>0</v>
      </c>
      <c r="S185" s="240" t="s">
        <v>560</v>
      </c>
      <c r="T185" s="116">
        <f>IF(S185="G",N185,IF(S185="PT",0,ERR))</f>
        <v>0</v>
      </c>
      <c r="U185" s="116">
        <f>IF(S185="PT",N185,IF(S185="G",0,ERR))</f>
        <v>0</v>
      </c>
      <c r="V185" s="273"/>
      <c r="W185" s="116">
        <f>HLOOKUP($W$9,'ROR-Model'!$Q$10:$U$1263,Y185)</f>
        <v>0</v>
      </c>
      <c r="X185" s="118"/>
      <c r="Y185" s="577">
        <f t="shared" si="4"/>
        <v>176</v>
      </c>
      <c r="AA185" s="116">
        <v>0</v>
      </c>
      <c r="AB185" s="116">
        <f t="shared" si="5"/>
        <v>0</v>
      </c>
    </row>
    <row r="186" spans="1:28">
      <c r="A186" s="227"/>
      <c r="B186" s="728"/>
      <c r="C186" s="728"/>
      <c r="D186" s="102"/>
      <c r="E186" s="116">
        <f>+G186-Adjustments!H186</f>
        <v>0</v>
      </c>
      <c r="F186" s="116"/>
      <c r="G186" s="116"/>
      <c r="H186" s="116"/>
      <c r="I186" s="116"/>
      <c r="J186" s="116"/>
      <c r="K186" s="116"/>
      <c r="L186" s="116"/>
      <c r="M186" s="116"/>
      <c r="N186" s="116"/>
      <c r="O186" s="272"/>
      <c r="P186" s="240"/>
      <c r="Q186" s="116"/>
      <c r="R186" s="116"/>
      <c r="S186" s="240"/>
      <c r="T186" s="116"/>
      <c r="U186" s="116"/>
      <c r="V186" s="273"/>
      <c r="W186" s="116"/>
      <c r="X186" s="118"/>
      <c r="Y186" s="577">
        <f t="shared" si="4"/>
        <v>177</v>
      </c>
      <c r="AA186" s="116"/>
      <c r="AB186" s="116">
        <f t="shared" si="5"/>
        <v>0</v>
      </c>
    </row>
    <row r="187" spans="1:28">
      <c r="A187" s="227"/>
      <c r="B187" s="728" t="s">
        <v>685</v>
      </c>
      <c r="C187" s="728" t="s">
        <v>16</v>
      </c>
      <c r="D187" s="102"/>
      <c r="E187" s="116">
        <f>+G187-Adjustments!H187</f>
        <v>0</v>
      </c>
      <c r="F187" s="116">
        <f>Revenue!$F$186</f>
        <v>0</v>
      </c>
      <c r="G187" s="116">
        <f>+Adjustments!AW187</f>
        <v>0</v>
      </c>
      <c r="H187" s="116"/>
      <c r="I187" s="116">
        <f>SUM($F$187:$H$187)</f>
        <v>0</v>
      </c>
      <c r="J187" s="116"/>
      <c r="K187" s="116"/>
      <c r="L187" s="116" t="s">
        <v>14</v>
      </c>
      <c r="M187" s="116">
        <f>VLOOKUP($L187,$L$2:$N$7,2,FALSE)*I187</f>
        <v>0</v>
      </c>
      <c r="N187" s="116">
        <f>VLOOKUP($L187,$L$2:$N$7,3,FALSE)*I187</f>
        <v>0</v>
      </c>
      <c r="O187" s="272"/>
      <c r="P187" s="240" t="s">
        <v>560</v>
      </c>
      <c r="Q187" s="116">
        <f>IF(P187="G",M187,IF(P187="PT",0,ERR))</f>
        <v>0</v>
      </c>
      <c r="R187" s="116">
        <f>IF(P187="PT",M187,IF(P187="G",0,ERR))</f>
        <v>0</v>
      </c>
      <c r="S187" s="240" t="s">
        <v>560</v>
      </c>
      <c r="T187" s="116">
        <f>IF(S187="G",N187,IF(S187="PT",0,ERR))</f>
        <v>0</v>
      </c>
      <c r="U187" s="116">
        <f>IF(S187="PT",N187,IF(S187="G",0,ERR))</f>
        <v>0</v>
      </c>
      <c r="V187" s="273"/>
      <c r="W187" s="116">
        <f>HLOOKUP($W$9,'ROR-Model'!$Q$10:$U$1263,Y187)</f>
        <v>0</v>
      </c>
      <c r="X187" s="118"/>
      <c r="Y187" s="577">
        <f t="shared" si="4"/>
        <v>178</v>
      </c>
      <c r="AA187" s="116">
        <v>0</v>
      </c>
      <c r="AB187" s="116">
        <f t="shared" si="5"/>
        <v>0</v>
      </c>
    </row>
    <row r="188" spans="1:28">
      <c r="A188" s="227"/>
      <c r="B188" s="728"/>
      <c r="C188" s="728"/>
      <c r="D188" s="102"/>
      <c r="E188" s="116">
        <f>+G188-Adjustments!H188</f>
        <v>0</v>
      </c>
      <c r="F188" s="116"/>
      <c r="G188" s="116"/>
      <c r="H188" s="116"/>
      <c r="I188" s="116"/>
      <c r="J188" s="116"/>
      <c r="K188" s="116"/>
      <c r="L188" s="116"/>
      <c r="M188" s="116"/>
      <c r="N188" s="116"/>
      <c r="O188" s="272"/>
      <c r="P188" s="240"/>
      <c r="Q188" s="116"/>
      <c r="R188" s="116"/>
      <c r="S188" s="240"/>
      <c r="T188" s="116"/>
      <c r="U188" s="116"/>
      <c r="V188" s="273"/>
      <c r="W188" s="116"/>
      <c r="X188" s="118"/>
      <c r="Y188" s="577">
        <f t="shared" si="4"/>
        <v>179</v>
      </c>
      <c r="AA188" s="116"/>
      <c r="AB188" s="116">
        <f t="shared" si="5"/>
        <v>0</v>
      </c>
    </row>
    <row r="189" spans="1:28">
      <c r="A189" s="227"/>
      <c r="B189" s="728"/>
      <c r="C189" s="728" t="s">
        <v>17</v>
      </c>
      <c r="D189" s="102"/>
      <c r="E189" s="116">
        <f>+G189-Adjustments!H189</f>
        <v>0</v>
      </c>
      <c r="F189" s="116">
        <f>Revenue!$F$188</f>
        <v>0</v>
      </c>
      <c r="G189" s="116">
        <f>+Adjustments!AW189</f>
        <v>0</v>
      </c>
      <c r="H189" s="116"/>
      <c r="I189" s="116">
        <f>SUM($F$189:$H$189)</f>
        <v>0</v>
      </c>
      <c r="J189" s="116"/>
      <c r="K189" s="116"/>
      <c r="L189" s="116" t="s">
        <v>14</v>
      </c>
      <c r="M189" s="116">
        <f>VLOOKUP($L189,$L$2:$N$7,2,FALSE)*I189</f>
        <v>0</v>
      </c>
      <c r="N189" s="116">
        <f>VLOOKUP($L189,$L$2:$N$7,3,FALSE)*I189</f>
        <v>0</v>
      </c>
      <c r="O189" s="272"/>
      <c r="P189" s="240" t="s">
        <v>559</v>
      </c>
      <c r="Q189" s="116">
        <f>IF(P189="G",M189,IF(P189="PT",0,ERR))</f>
        <v>0</v>
      </c>
      <c r="R189" s="116">
        <f>IF(P189="PT",M189,IF(P189="G",0,ERR))</f>
        <v>0</v>
      </c>
      <c r="S189" s="240" t="s">
        <v>559</v>
      </c>
      <c r="T189" s="116">
        <f>IF(S189="G",N189,IF(S189="PT",0,ERR))</f>
        <v>0</v>
      </c>
      <c r="U189" s="116">
        <f>IF(S189="PT",N189,IF(S189="G",0,ERR))</f>
        <v>0</v>
      </c>
      <c r="V189" s="273"/>
      <c r="W189" s="116">
        <f>HLOOKUP($W$9,'ROR-Model'!$Q$10:$U$1263,Y189)</f>
        <v>0</v>
      </c>
      <c r="X189" s="118"/>
      <c r="Y189" s="577">
        <f t="shared" si="4"/>
        <v>180</v>
      </c>
      <c r="AA189" s="116">
        <v>0</v>
      </c>
      <c r="AB189" s="116">
        <f t="shared" si="5"/>
        <v>0</v>
      </c>
    </row>
    <row r="190" spans="1:28">
      <c r="A190" s="227"/>
      <c r="B190" s="728"/>
      <c r="C190" s="728"/>
      <c r="D190" s="102"/>
      <c r="E190" s="116">
        <f>+G190-Adjustments!H190</f>
        <v>0</v>
      </c>
      <c r="F190" s="116"/>
      <c r="G190" s="116"/>
      <c r="H190" s="116"/>
      <c r="I190" s="116"/>
      <c r="J190" s="116"/>
      <c r="K190" s="116"/>
      <c r="L190" s="116"/>
      <c r="M190" s="116"/>
      <c r="N190" s="116"/>
      <c r="O190" s="272"/>
      <c r="P190" s="240"/>
      <c r="Q190" s="116"/>
      <c r="R190" s="116"/>
      <c r="S190" s="240"/>
      <c r="T190" s="116"/>
      <c r="U190" s="116"/>
      <c r="V190" s="273"/>
      <c r="W190" s="116"/>
      <c r="X190" s="118"/>
      <c r="Y190" s="577">
        <f t="shared" si="4"/>
        <v>181</v>
      </c>
      <c r="AA190" s="116"/>
      <c r="AB190" s="116">
        <f t="shared" si="5"/>
        <v>0</v>
      </c>
    </row>
    <row r="191" spans="1:28">
      <c r="A191" s="227"/>
      <c r="B191" s="728"/>
      <c r="C191" s="728" t="s">
        <v>18</v>
      </c>
      <c r="D191" s="102"/>
      <c r="E191" s="116">
        <f>+G191-Adjustments!H191</f>
        <v>0</v>
      </c>
      <c r="F191" s="116">
        <f>Revenue!$F$190</f>
        <v>0</v>
      </c>
      <c r="G191" s="116">
        <f>+Adjustments!AW191</f>
        <v>0</v>
      </c>
      <c r="H191" s="116"/>
      <c r="I191" s="116">
        <f>SUM($F$191:$H$191)</f>
        <v>0</v>
      </c>
      <c r="J191" s="116"/>
      <c r="K191" s="116"/>
      <c r="L191" s="116" t="s">
        <v>14</v>
      </c>
      <c r="M191" s="116">
        <f>VLOOKUP($L191,$L$2:$N$7,2,FALSE)*I191</f>
        <v>0</v>
      </c>
      <c r="N191" s="116">
        <f>VLOOKUP($L191,$L$2:$N$7,3,FALSE)*I191</f>
        <v>0</v>
      </c>
      <c r="O191" s="272"/>
      <c r="P191" s="240" t="s">
        <v>559</v>
      </c>
      <c r="Q191" s="116">
        <f>IF(P191="G",M191,IF(P191="PT",0,ERR))</f>
        <v>0</v>
      </c>
      <c r="R191" s="116">
        <f>IF(P191="PT",M191,IF(P191="G",0,ERR))</f>
        <v>0</v>
      </c>
      <c r="S191" s="240" t="s">
        <v>559</v>
      </c>
      <c r="T191" s="116">
        <f>IF(S191="G",N191,IF(S191="PT",0,ERR))</f>
        <v>0</v>
      </c>
      <c r="U191" s="116">
        <f>IF(S191="PT",N191,IF(S191="G",0,ERR))</f>
        <v>0</v>
      </c>
      <c r="V191" s="273"/>
      <c r="W191" s="116">
        <f>HLOOKUP($W$9,'ROR-Model'!$Q$10:$U$1263,Y191)</f>
        <v>0</v>
      </c>
      <c r="X191" s="118"/>
      <c r="Y191" s="577">
        <f t="shared" si="4"/>
        <v>182</v>
      </c>
      <c r="AA191" s="116">
        <v>0</v>
      </c>
      <c r="AB191" s="116">
        <f t="shared" si="5"/>
        <v>0</v>
      </c>
    </row>
    <row r="192" spans="1:28">
      <c r="A192" s="227"/>
      <c r="B192" s="728"/>
      <c r="C192" s="728" t="s">
        <v>19</v>
      </c>
      <c r="D192" s="102"/>
      <c r="E192" s="131">
        <f>+G192-Adjustments!H192</f>
        <v>0</v>
      </c>
      <c r="F192" s="131">
        <f>SUM(F187:F191)</f>
        <v>0</v>
      </c>
      <c r="G192" s="131">
        <f>SUM(G187:G191)</f>
        <v>0</v>
      </c>
      <c r="H192" s="131">
        <f>SUM(H187:H191)</f>
        <v>0</v>
      </c>
      <c r="I192" s="131">
        <f>SUM(I187:I191)</f>
        <v>0</v>
      </c>
      <c r="J192" s="116"/>
      <c r="K192" s="116"/>
      <c r="L192" s="131"/>
      <c r="M192" s="131">
        <f>SUM(M187:M191)</f>
        <v>0</v>
      </c>
      <c r="N192" s="131">
        <f>SUM(N187:N191)</f>
        <v>0</v>
      </c>
      <c r="O192" s="272"/>
      <c r="P192" s="257"/>
      <c r="Q192" s="131">
        <f>SUM(Q187:Q191)</f>
        <v>0</v>
      </c>
      <c r="R192" s="131">
        <f>SUM(R187:R191)</f>
        <v>0</v>
      </c>
      <c r="S192" s="257"/>
      <c r="T192" s="131">
        <f>SUM(T187:T191)</f>
        <v>0</v>
      </c>
      <c r="U192" s="131">
        <f>SUM(U187:U191)</f>
        <v>0</v>
      </c>
      <c r="V192" s="273"/>
      <c r="W192" s="131">
        <f>HLOOKUP($W$9,'ROR-Model'!$Q$10:$U$1263,Y192)</f>
        <v>0</v>
      </c>
      <c r="X192" s="118"/>
      <c r="Y192" s="577">
        <f t="shared" si="4"/>
        <v>183</v>
      </c>
      <c r="AA192" s="131">
        <v>0</v>
      </c>
      <c r="AB192" s="116">
        <f t="shared" si="5"/>
        <v>0</v>
      </c>
    </row>
    <row r="193" spans="1:28">
      <c r="A193" s="227"/>
      <c r="B193" s="728"/>
      <c r="C193" s="728"/>
      <c r="D193" s="102"/>
      <c r="E193" s="116">
        <f>+G193-Adjustments!H193</f>
        <v>0</v>
      </c>
      <c r="F193" s="116"/>
      <c r="G193" s="116"/>
      <c r="H193" s="116"/>
      <c r="I193" s="116"/>
      <c r="J193" s="116"/>
      <c r="K193" s="116"/>
      <c r="L193" s="116"/>
      <c r="M193" s="116"/>
      <c r="N193" s="116"/>
      <c r="O193" s="272"/>
      <c r="P193" s="240"/>
      <c r="Q193" s="116"/>
      <c r="R193" s="116"/>
      <c r="S193" s="240"/>
      <c r="T193" s="116"/>
      <c r="U193" s="116"/>
      <c r="V193" s="273"/>
      <c r="W193" s="116"/>
      <c r="X193" s="118"/>
      <c r="Y193" s="577">
        <f t="shared" si="4"/>
        <v>184</v>
      </c>
      <c r="AA193" s="116"/>
      <c r="AB193" s="116">
        <f t="shared" si="5"/>
        <v>0</v>
      </c>
    </row>
    <row r="194" spans="1:28">
      <c r="A194" s="227"/>
      <c r="B194" s="728"/>
      <c r="C194" s="728" t="s">
        <v>20</v>
      </c>
      <c r="D194" s="102"/>
      <c r="E194" s="116">
        <f>+G194-Adjustments!H194</f>
        <v>0</v>
      </c>
      <c r="F194" s="116">
        <f>Revenue!$F$193</f>
        <v>0</v>
      </c>
      <c r="G194" s="116">
        <f>+Adjustments!AW194</f>
        <v>0</v>
      </c>
      <c r="H194" s="116"/>
      <c r="I194" s="116">
        <f>SUM($F$194:$H$194)</f>
        <v>0</v>
      </c>
      <c r="J194" s="116"/>
      <c r="K194" s="116"/>
      <c r="L194" s="116" t="s">
        <v>14</v>
      </c>
      <c r="M194" s="116">
        <f>VLOOKUP($L194,$L$2:$N$7,2,FALSE)*I194</f>
        <v>0</v>
      </c>
      <c r="N194" s="116">
        <f>VLOOKUP($L194,$L$2:$N$7,3,FALSE)*I194</f>
        <v>0</v>
      </c>
      <c r="O194" s="272"/>
      <c r="P194" s="240" t="s">
        <v>560</v>
      </c>
      <c r="Q194" s="116">
        <f>IF(P194="G",M194,IF(P194="PT",0,ERR))</f>
        <v>0</v>
      </c>
      <c r="R194" s="116">
        <f>IF(P194="PT",M194,IF(P194="G",0,ERR))</f>
        <v>0</v>
      </c>
      <c r="S194" s="240" t="s">
        <v>560</v>
      </c>
      <c r="T194" s="116">
        <f>IF(S194="G",N194,IF(S194="PT",0,ERR))</f>
        <v>0</v>
      </c>
      <c r="U194" s="116">
        <f>IF(S194="PT",N194,IF(S194="G",0,ERR))</f>
        <v>0</v>
      </c>
      <c r="V194" s="273"/>
      <c r="W194" s="116">
        <f>HLOOKUP($W$9,'ROR-Model'!$Q$10:$U$1263,Y194)</f>
        <v>0</v>
      </c>
      <c r="X194" s="118"/>
      <c r="Y194" s="577">
        <f t="shared" si="4"/>
        <v>185</v>
      </c>
      <c r="AA194" s="116">
        <v>0</v>
      </c>
      <c r="AB194" s="116">
        <f t="shared" si="5"/>
        <v>0</v>
      </c>
    </row>
    <row r="195" spans="1:28">
      <c r="A195" s="227"/>
      <c r="B195" s="728"/>
      <c r="C195" s="728"/>
      <c r="D195" s="102"/>
      <c r="E195" s="116">
        <f>+G195-Adjustments!H195</f>
        <v>0</v>
      </c>
      <c r="F195" s="116"/>
      <c r="G195" s="116"/>
      <c r="H195" s="116"/>
      <c r="I195" s="116"/>
      <c r="J195" s="116"/>
      <c r="K195" s="116"/>
      <c r="L195" s="116"/>
      <c r="M195" s="116"/>
      <c r="N195" s="116"/>
      <c r="O195" s="272"/>
      <c r="P195" s="240"/>
      <c r="Q195" s="116"/>
      <c r="R195" s="116"/>
      <c r="S195" s="240"/>
      <c r="T195" s="116"/>
      <c r="U195" s="116"/>
      <c r="V195" s="273"/>
      <c r="W195" s="116"/>
      <c r="X195" s="118"/>
      <c r="Y195" s="577">
        <f t="shared" si="4"/>
        <v>186</v>
      </c>
      <c r="AA195" s="116"/>
      <c r="AB195" s="116">
        <f t="shared" si="5"/>
        <v>0</v>
      </c>
    </row>
    <row r="196" spans="1:28">
      <c r="A196" s="227"/>
      <c r="B196" s="728" t="s">
        <v>690</v>
      </c>
      <c r="C196" s="728" t="s">
        <v>96</v>
      </c>
      <c r="D196" s="102"/>
      <c r="E196" s="116">
        <f>+G196-Adjustments!H196</f>
        <v>0</v>
      </c>
      <c r="F196" s="116">
        <f>Revenue!$F$195</f>
        <v>-1433989</v>
      </c>
      <c r="G196" s="116">
        <f>+Adjustments!AW196</f>
        <v>1433989</v>
      </c>
      <c r="H196" s="116"/>
      <c r="I196" s="116">
        <f>SUM($F$196:$H$196)</f>
        <v>0</v>
      </c>
      <c r="J196" s="116"/>
      <c r="K196" s="116"/>
      <c r="L196" s="116" t="s">
        <v>14</v>
      </c>
      <c r="M196" s="116">
        <f>VLOOKUP($L196,$L$2:$N$7,2,FALSE)*I196</f>
        <v>0</v>
      </c>
      <c r="N196" s="116">
        <f>VLOOKUP($L196,$L$2:$N$7,3,FALSE)*I196</f>
        <v>0</v>
      </c>
      <c r="O196" s="272"/>
      <c r="P196" s="240" t="s">
        <v>560</v>
      </c>
      <c r="Q196" s="116">
        <f>IF(P196="G",M196,IF(P196="PT",0,ERR))</f>
        <v>0</v>
      </c>
      <c r="R196" s="116">
        <f>IF(P196="PT",M196,IF(P196="G",0,ERR))</f>
        <v>0</v>
      </c>
      <c r="S196" s="240" t="s">
        <v>560</v>
      </c>
      <c r="T196" s="116">
        <f>IF(S196="G",N196,IF(S196="PT",0,ERR))</f>
        <v>0</v>
      </c>
      <c r="U196" s="116">
        <f>IF(S196="PT",N196,IF(S196="G",0,ERR))</f>
        <v>0</v>
      </c>
      <c r="V196" s="273"/>
      <c r="W196" s="116">
        <f>HLOOKUP($W$9,'ROR-Model'!$Q$10:$U$1263,Y196)</f>
        <v>0</v>
      </c>
      <c r="X196" s="118"/>
      <c r="Y196" s="577">
        <f t="shared" si="4"/>
        <v>187</v>
      </c>
      <c r="AA196" s="116">
        <v>-1433989</v>
      </c>
      <c r="AB196" s="116">
        <f t="shared" si="5"/>
        <v>1433989</v>
      </c>
    </row>
    <row r="197" spans="1:28">
      <c r="A197" s="227"/>
      <c r="B197" s="728" t="s">
        <v>114</v>
      </c>
      <c r="C197" s="728" t="s">
        <v>96</v>
      </c>
      <c r="D197" s="102"/>
      <c r="E197" s="116">
        <f>+G197-Adjustments!H197</f>
        <v>0</v>
      </c>
      <c r="F197" s="116">
        <f>Revenue!$F$196</f>
        <v>20806992</v>
      </c>
      <c r="G197" s="116">
        <f>+Adjustments!AW197</f>
        <v>-20806992</v>
      </c>
      <c r="H197" s="116"/>
      <c r="I197" s="116">
        <f>SUM($F$197:$H$197)</f>
        <v>0</v>
      </c>
      <c r="J197" s="116"/>
      <c r="K197" s="116"/>
      <c r="L197" s="116" t="s">
        <v>14</v>
      </c>
      <c r="M197" s="116">
        <f>VLOOKUP($L197,$L$2:$N$7,2,FALSE)*I197</f>
        <v>0</v>
      </c>
      <c r="N197" s="116">
        <f>VLOOKUP($L197,$L$2:$N$7,3,FALSE)*I197</f>
        <v>0</v>
      </c>
      <c r="O197" s="272"/>
      <c r="P197" s="240" t="s">
        <v>560</v>
      </c>
      <c r="Q197" s="116">
        <f>IF(P197="G",M197,IF(P197="PT",0,ERR))</f>
        <v>0</v>
      </c>
      <c r="R197" s="116">
        <f>IF(P197="PT",M197,IF(P197="G",0,ERR))</f>
        <v>0</v>
      </c>
      <c r="S197" s="240" t="s">
        <v>560</v>
      </c>
      <c r="T197" s="116">
        <f>IF(S197="G",N197,IF(S197="PT",0,ERR))</f>
        <v>0</v>
      </c>
      <c r="U197" s="116">
        <f>IF(S197="PT",N197,IF(S197="G",0,ERR))</f>
        <v>0</v>
      </c>
      <c r="V197" s="273"/>
      <c r="W197" s="116">
        <f>HLOOKUP($W$9,'ROR-Model'!$Q$10:$U$1263,Y197)</f>
        <v>0</v>
      </c>
      <c r="X197" s="118"/>
      <c r="Y197" s="577">
        <f t="shared" si="4"/>
        <v>188</v>
      </c>
      <c r="AA197" s="116">
        <v>0</v>
      </c>
      <c r="AB197" s="116">
        <f t="shared" si="5"/>
        <v>0</v>
      </c>
    </row>
    <row r="198" spans="1:28" ht="13.5" thickBot="1">
      <c r="A198" s="227"/>
      <c r="B198" s="332" t="s">
        <v>543</v>
      </c>
      <c r="C198" s="728"/>
      <c r="D198" s="102"/>
      <c r="E198" s="235">
        <f>+G198-Adjustments!H198</f>
        <v>0</v>
      </c>
      <c r="F198" s="235"/>
      <c r="G198" s="235"/>
      <c r="H198" s="235"/>
      <c r="I198" s="235"/>
      <c r="J198" s="116"/>
      <c r="K198" s="116"/>
      <c r="L198" s="235"/>
      <c r="M198" s="235"/>
      <c r="N198" s="235"/>
      <c r="O198" s="272"/>
      <c r="P198" s="613"/>
      <c r="Q198" s="235"/>
      <c r="R198" s="235"/>
      <c r="S198" s="613"/>
      <c r="T198" s="235"/>
      <c r="U198" s="235"/>
      <c r="V198" s="273"/>
      <c r="W198" s="235"/>
      <c r="X198" s="118"/>
      <c r="Y198" s="577">
        <f t="shared" si="4"/>
        <v>189</v>
      </c>
      <c r="AA198" s="235"/>
      <c r="AB198" s="116">
        <f t="shared" si="5"/>
        <v>0</v>
      </c>
    </row>
    <row r="199" spans="1:28" ht="13.5" thickTop="1">
      <c r="E199" s="116">
        <f>+G199-Adjustments!H199</f>
        <v>0</v>
      </c>
      <c r="F199" s="116"/>
      <c r="G199" s="116"/>
      <c r="H199" s="116"/>
      <c r="I199" s="116"/>
      <c r="J199" s="116"/>
      <c r="K199" s="116"/>
      <c r="L199" s="116"/>
      <c r="M199" s="116"/>
      <c r="N199" s="116"/>
      <c r="O199" s="272"/>
      <c r="P199" s="240"/>
      <c r="Q199" s="116"/>
      <c r="R199" s="116"/>
      <c r="S199" s="240"/>
      <c r="T199" s="116"/>
      <c r="U199" s="116"/>
      <c r="V199" s="273"/>
      <c r="W199" s="116"/>
      <c r="X199" s="118"/>
      <c r="Y199" s="577">
        <f t="shared" si="4"/>
        <v>190</v>
      </c>
      <c r="AA199" s="116"/>
      <c r="AB199" s="116">
        <f t="shared" si="5"/>
        <v>0</v>
      </c>
    </row>
    <row r="200" spans="1:28">
      <c r="A200" s="227"/>
      <c r="B200" s="332"/>
      <c r="C200" s="728" t="s">
        <v>16</v>
      </c>
      <c r="D200" s="102"/>
      <c r="E200" s="117">
        <f>+G200-Adjustments!H200</f>
        <v>0</v>
      </c>
      <c r="F200" s="117">
        <f>+F16+F34+F43+F52+F61+F70+F79+F88+F97+F106+F115+F124+F133+F142+F151+F160+F169+F178+F187+F25+F196+F197</f>
        <v>366442366.41683167</v>
      </c>
      <c r="G200" s="117">
        <f>+G16+G34+G43+G52+G61+G70+G79+G88+G97+G106+G115+G124+G133+G142+G151+G160+G169+G178+G187+G25+G196+G197</f>
        <v>-5887666.6894338448</v>
      </c>
      <c r="H200" s="117">
        <f>+H16+H34+H43+H52+H61+H70+H79+H88+H97+H106+H115+H124+H133+H142+H151+H160+H169+H178+H187+H25+H196+H197</f>
        <v>0</v>
      </c>
      <c r="I200" s="117">
        <f>+I16+I34+I43+I52+I61+I70+I79+I88+I97+I106+I115+I124+I133+I142+I151+I160+I169+I178+I187+I25+I196+I197</f>
        <v>360554699.7273978</v>
      </c>
      <c r="J200" s="116"/>
      <c r="K200" s="116"/>
      <c r="L200" s="116"/>
      <c r="M200" s="117">
        <f>+M16+M34+M43+M52+M61+M70+M79+M88+M97+M106+M115+M124+M133+M142+M151+M160+M169+M178+M187+M25+M196+M197</f>
        <v>360554699.7273978</v>
      </c>
      <c r="N200" s="117">
        <f>+N16+N34+N43+N52+N61+N70+N79+N88+N97+N106+N115+N124+N133+N142+N151+N160+N169+N178+N187+N25+N196+N197</f>
        <v>0</v>
      </c>
      <c r="O200" s="272"/>
      <c r="P200" s="240"/>
      <c r="Q200" s="117">
        <f>+Q16+Q34+Q43+Q52+Q61+Q70+Q79+Q88+Q97+Q106+Q115+Q124+Q133+Q142+Q151+Q160+Q169+Q178+Q187+Q25+Q196+Q197</f>
        <v>360554699.7273978</v>
      </c>
      <c r="R200" s="117">
        <f>+R16+R34+R43+R52+R61+R70+R79+R88+R97+R106+R115+R124+R133+R142+R151+R160+R169+R178+R187+R25+R196</f>
        <v>0</v>
      </c>
      <c r="S200" s="239"/>
      <c r="T200" s="117">
        <f>+T16+T34+T43+T52+T61+T70+T79+T88+T97+T106+T115+T124+T133+T142+T151+T160+T169+T178+T187+T25+T196</f>
        <v>0</v>
      </c>
      <c r="U200" s="117">
        <f>+U16+U34+U43+U52+U61+U70+U79+U88+U97+U106+U115+U124+U133+U142+U151+U160+U169+U178+U187+U25+U196</f>
        <v>0</v>
      </c>
      <c r="V200" s="273"/>
      <c r="W200" s="117">
        <f>HLOOKUP($W$9,'ROR-Model'!$Q$10:$U$1263,Y200)</f>
        <v>360554699.7273978</v>
      </c>
      <c r="X200" s="118"/>
      <c r="Y200" s="577">
        <f t="shared" si="4"/>
        <v>191</v>
      </c>
      <c r="AA200" s="117">
        <v>345635374.41683167</v>
      </c>
      <c r="AB200" s="116">
        <f t="shared" si="5"/>
        <v>14919325.310566127</v>
      </c>
    </row>
    <row r="201" spans="1:28">
      <c r="A201" s="227"/>
      <c r="B201" s="332"/>
      <c r="C201" s="728" t="s">
        <v>17</v>
      </c>
      <c r="D201" s="102"/>
      <c r="E201" s="117">
        <f>+G201-Adjustments!H201</f>
        <v>0</v>
      </c>
      <c r="F201" s="117">
        <f>+F18+F36+F45+F54+F62+F63+F72+F81+F90+F99+F108+F117+F126+F135+F144+F153+F162+F171+F180+F189+F27</f>
        <v>104646826.0980107</v>
      </c>
      <c r="G201" s="117">
        <f>+G18+G36+G45+G54+G62+G63+G72+G81+G90+G99+G108+G117+G126+G135+G144+G153+G162+G171+G180+G189+G27</f>
        <v>17353534.061989293</v>
      </c>
      <c r="H201" s="117">
        <f>+H18+H36+H45+H54+H62+H63+H72+H81+H90+H99+H108+H117+H126+H135+H144+H153+H162+H171+H180+H189+H27</f>
        <v>0</v>
      </c>
      <c r="I201" s="117">
        <f>+I18+I36+I45+I54+I62+I63+I72+I81+I90+I99+I108+I117+I126+I135+I144+I153+I162+I171+I180+I189+I27</f>
        <v>122000360.16</v>
      </c>
      <c r="J201" s="116"/>
      <c r="K201" s="116"/>
      <c r="L201" s="116"/>
      <c r="M201" s="117">
        <f>+M18+M36+M45+M54+M62+M63+M72+M81+M90+M99+M108+M117+M126+M135+M144+M153+M162+M171+M180+M189+M27</f>
        <v>122000360.16</v>
      </c>
      <c r="N201" s="117">
        <f>+N18+N36+N45+N54+N62+N63+N72+N81+N90+N99+N108+N117+N126+N135+N144+N153+N162+N171+N180+N189+N27</f>
        <v>0</v>
      </c>
      <c r="O201" s="272"/>
      <c r="P201" s="240"/>
      <c r="Q201" s="117">
        <f>+Q18+Q36+Q45+Q54+Q62+Q63+Q72+Q81+Q90+Q99+Q108+Q117+Q126+Q135+Q144+Q153+Q162+Q171+Q180+Q189+Q27</f>
        <v>0</v>
      </c>
      <c r="R201" s="117">
        <f>+R18+R36+R45+R54+R62+R63+R72+R81+R90+R99+R108+R117+R126+R135+R144+R153+R162+R171+R180+R189+R27</f>
        <v>122000360.16</v>
      </c>
      <c r="S201" s="239"/>
      <c r="T201" s="117">
        <f>+T18+T36+T45+T54+T62+T63+T72+T81+T90+T99+T108+T117+T126+T135+T144+T153+T162+T171+T180+T189+T27</f>
        <v>0</v>
      </c>
      <c r="U201" s="117">
        <f>+U18+U36+U45+U54+U62+U63+U72+U81+U90+U99+U108+U117+U126+U135+U144+U153+U162+U171+U180+U189+U27</f>
        <v>0</v>
      </c>
      <c r="V201" s="273"/>
      <c r="W201" s="117">
        <f>HLOOKUP($W$9,'ROR-Model'!$Q$10:$U$1263,Y201)</f>
        <v>0</v>
      </c>
      <c r="X201" s="118"/>
      <c r="Y201" s="577">
        <f t="shared" si="4"/>
        <v>192</v>
      </c>
      <c r="AA201" s="117">
        <v>0</v>
      </c>
      <c r="AB201" s="116">
        <f t="shared" si="5"/>
        <v>0</v>
      </c>
    </row>
    <row r="202" spans="1:28">
      <c r="A202" s="227"/>
      <c r="B202" s="332"/>
      <c r="C202" s="728" t="s">
        <v>18</v>
      </c>
      <c r="D202" s="102"/>
      <c r="E202" s="117">
        <f>+G202-Adjustments!H202</f>
        <v>0</v>
      </c>
      <c r="F202" s="117">
        <f>+F20+F38+F47+F56+F64+F65+F74+F83+F92+F101+F110+F119+F128+F137+F146+F155+F164+F173+F182+F191+F29</f>
        <v>412645469.44515759</v>
      </c>
      <c r="G202" s="117">
        <f>+G20+G38+G47+G56+G64+G65+G74+G83+G92+G101+G110+G119+G128+G137+G146+G155+G164+G173+G182+G191+G29</f>
        <v>-27406441.21515765</v>
      </c>
      <c r="H202" s="117">
        <f>+H20+H38+H47+H56+H64+H65+H74+H83+H92+H101+H110+H119+H128+H137+H146+H155+H164+H173+H182+H191+H29</f>
        <v>0</v>
      </c>
      <c r="I202" s="117">
        <f>+I20+I38+I47+I56+I64+I65+I74+I83+I92+I101+I110+I119+I128+I137+I146+I155+I164+I173+I182+I191+I29</f>
        <v>385239028.2299999</v>
      </c>
      <c r="J202" s="116"/>
      <c r="K202" s="116"/>
      <c r="L202" s="116"/>
      <c r="M202" s="117">
        <f>+M20+M38+M47+M56+M64+M65+M74+M83+M92+M101+M110+M119+M128+M137+M146+M155+M164+M173+M182+M191+M29</f>
        <v>385239028.2299999</v>
      </c>
      <c r="N202" s="117">
        <f>+N20+N38+N47+N56+N64+N65+N74+N83+N92+N101+N110+N119+N128+N137+N146+N155+N164+N173+N182+N191+N29</f>
        <v>0</v>
      </c>
      <c r="O202" s="272"/>
      <c r="P202" s="240"/>
      <c r="Q202" s="117">
        <f>+Q20+Q38+Q47+Q56+Q64+Q65+Q74+Q83+Q92+Q101+Q110+Q119+Q128+Q137+Q146+Q155+Q164+Q173+Q182+Q191+Q29</f>
        <v>0</v>
      </c>
      <c r="R202" s="117">
        <f>+R20+R38+R47+R56+R64+R65+R74+R83+R92+R101+R110+R119+R128+R137+R146+R155+R164+R173+R182+R191+R29</f>
        <v>385239028.2299999</v>
      </c>
      <c r="S202" s="239"/>
      <c r="T202" s="117">
        <f>+T20+T38+T47+T56+T64+T65+T74+T83+T92+T101+T110+T119+T128+T137+T146+T155+T164+T173+T182+T191+T29</f>
        <v>0</v>
      </c>
      <c r="U202" s="117">
        <f>+U20+U38+U47+U56+U64+U65+U74+U83+U92+U101+U110+U119+U128+U137+U146+U155+U164+U173+U182+U191+U29</f>
        <v>0</v>
      </c>
      <c r="V202" s="273"/>
      <c r="W202" s="117">
        <f>HLOOKUP($W$9,'ROR-Model'!$Q$10:$U$1263,Y202)</f>
        <v>0</v>
      </c>
      <c r="X202" s="118"/>
      <c r="Y202" s="577">
        <f t="shared" si="4"/>
        <v>193</v>
      </c>
      <c r="AA202" s="117">
        <v>0</v>
      </c>
      <c r="AB202" s="116">
        <f t="shared" si="5"/>
        <v>0</v>
      </c>
    </row>
    <row r="203" spans="1:28">
      <c r="A203" s="227"/>
      <c r="B203" s="332"/>
      <c r="C203" s="728" t="s">
        <v>457</v>
      </c>
      <c r="D203" s="102"/>
      <c r="E203" s="132">
        <f>+G203-Adjustments!H203</f>
        <v>0</v>
      </c>
      <c r="F203" s="132">
        <f>+F21+F39+F48+F57+F66+F75+F84+F93+F102+F111+F120+F129+F138+F147+F156+F165+F174+F183+F192+F30+F196+F197</f>
        <v>883734661.96000004</v>
      </c>
      <c r="G203" s="132">
        <f>+G21+G39+G48+G57+G66+G75+G84+G93+G102+G111+G120+G129+G138+G147+G156+G165+G174+G183+G192+G30+G196+G197</f>
        <v>-15940573.842602199</v>
      </c>
      <c r="H203" s="132">
        <f>+H21+H39+H48+H57+H66+H75+H84+H93+H102+H111+H120+H129+H138+H147+H156+H165+H174+H183+H192+H30+H196+H197</f>
        <v>0</v>
      </c>
      <c r="I203" s="132">
        <f>+I21+I39+I48+I57+I66+I75+I84+I93+I102+I111+I120+I129+I138+I147+I156+I165+I174+I183+I192+I30+I196+I197</f>
        <v>867794088.1173979</v>
      </c>
      <c r="J203" s="116"/>
      <c r="K203" s="116"/>
      <c r="L203" s="131"/>
      <c r="M203" s="132">
        <f>+M21+M39+M48+M57+M66+M75+M84+M93+M102+M111+M120+M129+M138+M147+M156+M165+M174+M183+M192+M30+M196+M197</f>
        <v>867794088.1173979</v>
      </c>
      <c r="N203" s="132">
        <f>+N21+N39+N48+N57+N66+N75+N84+N93+N102+N111+N120+N129+N138+N147+N156+N165+N174+N183+N192+N30+N196</f>
        <v>0</v>
      </c>
      <c r="O203" s="272"/>
      <c r="P203" s="257"/>
      <c r="Q203" s="132">
        <f>+Q21+Q39+Q48+Q57+Q66+Q75+Q84+Q93+Q102+Q111+Q120+Q129+Q138+Q147+Q156+Q165+Q174+Q183+Q192+Q30+Q196+Q197</f>
        <v>360554699.7273978</v>
      </c>
      <c r="R203" s="132">
        <f>+R21+R39+R48+R57+R66+R75+R84+R93+R102+R111+R120+R129+R138+R147+R156+R165+R174+R183+R192+R30+R196</f>
        <v>507239388.38999999</v>
      </c>
      <c r="S203" s="730"/>
      <c r="T203" s="132">
        <f>+T21+T39+T48+T57+T66+T75+T84+T93+T102+T111+T120+T129+T138+T147+T156+T165+T174+T183+T192+T30+T196</f>
        <v>0</v>
      </c>
      <c r="U203" s="132">
        <f>+U21+U39+U48+U57+U66+U75+U84+U93+U102+U111+U120+U129+U138+U147+U156+U165+U174+U183+U192+U30+U196</f>
        <v>0</v>
      </c>
      <c r="V203" s="273"/>
      <c r="W203" s="132">
        <f>HLOOKUP($W$9,'ROR-Model'!$Q$10:$U$1263,Y203)</f>
        <v>360554699.7273978</v>
      </c>
      <c r="X203" s="118"/>
      <c r="Y203" s="577">
        <f t="shared" si="4"/>
        <v>194</v>
      </c>
      <c r="AA203" s="132">
        <v>345635374.41683167</v>
      </c>
      <c r="AB203" s="116">
        <f t="shared" si="5"/>
        <v>14919325.310566127</v>
      </c>
    </row>
    <row r="204" spans="1:28">
      <c r="A204" s="227"/>
      <c r="B204" s="332"/>
      <c r="C204" s="728"/>
      <c r="D204" s="102"/>
      <c r="E204" s="133">
        <f>+G204-Adjustments!H204</f>
        <v>0</v>
      </c>
      <c r="F204" s="133"/>
      <c r="G204" s="133"/>
      <c r="H204" s="133"/>
      <c r="I204" s="133"/>
      <c r="J204" s="116"/>
      <c r="K204" s="116"/>
      <c r="L204" s="116"/>
      <c r="M204" s="133"/>
      <c r="N204" s="133"/>
      <c r="O204" s="272"/>
      <c r="P204" s="240"/>
      <c r="Q204" s="133"/>
      <c r="R204" s="133"/>
      <c r="S204" s="240"/>
      <c r="T204" s="133"/>
      <c r="U204" s="133"/>
      <c r="V204" s="273"/>
      <c r="W204" s="133"/>
      <c r="X204" s="118"/>
      <c r="Y204" s="577">
        <f t="shared" ref="Y204:Y267" si="6">Y203+1</f>
        <v>195</v>
      </c>
      <c r="AA204" s="133"/>
      <c r="AB204" s="116">
        <f t="shared" si="5"/>
        <v>0</v>
      </c>
    </row>
    <row r="205" spans="1:28">
      <c r="A205" s="227"/>
      <c r="B205" s="728"/>
      <c r="C205" s="728" t="s">
        <v>59</v>
      </c>
      <c r="D205" s="102"/>
      <c r="E205" s="117">
        <f>+G205-Adjustments!H205</f>
        <v>0</v>
      </c>
      <c r="F205" s="117">
        <f>F23+F32+F41+F50+F59+F68+F77+F86+F95+F104+F113+F194+F140+F158</f>
        <v>102028079.61</v>
      </c>
      <c r="G205" s="117">
        <f>G23+G32+G41+G50+G59+G68+G77+G86+G95+G104+G113+G194+G140</f>
        <v>9051354.3900000006</v>
      </c>
      <c r="H205" s="117">
        <f>H23+H32+H41+H50+H59+H68+H77+H86+H95+H104+H113+H194+H140+H158</f>
        <v>0</v>
      </c>
      <c r="I205" s="117">
        <f>I23+I32+I41+I50+I59+I68+I77+I86+I95+I104+I113+I194</f>
        <v>111079434</v>
      </c>
      <c r="J205" s="116"/>
      <c r="K205" s="116"/>
      <c r="L205" s="116"/>
      <c r="M205" s="117">
        <f>M23+M32+M41+M50+M59+M68+M77+M86+M95+M104+M113+M194+M140+M158</f>
        <v>111079434</v>
      </c>
      <c r="N205" s="117">
        <f>N23+N32+N41+N50+N59+N68+N77+N86+N95+N104+N113+N194+N140+N158</f>
        <v>0</v>
      </c>
      <c r="O205" s="272"/>
      <c r="P205" s="240"/>
      <c r="Q205" s="117">
        <f>Q23+Q32+Q41+Q50+Q59+Q68+Q77+Q86+Q95+Q104+Q113+Q194+Q140+Q158</f>
        <v>111079434</v>
      </c>
      <c r="R205" s="117">
        <f>R23+R32+R41+R50+R59+R68+R77+R86+R95+R104+R113+R194+R140+R158</f>
        <v>0</v>
      </c>
      <c r="S205" s="117"/>
      <c r="T205" s="117">
        <f>T23+T32+T41+T50+T59+T68+T77+T86+T95+T104+T113+T194+T140+T158</f>
        <v>0</v>
      </c>
      <c r="U205" s="117">
        <f>U23+U32+U41+U50+U59+U68+U77+U86+U95+U104+U113+U194+U140+U158</f>
        <v>0</v>
      </c>
      <c r="V205" s="273"/>
      <c r="W205" s="117">
        <f>W23+W32+W41+W50+W59+W68+W77+W86+W95+W104+W113+W194+W140+W158</f>
        <v>111079434</v>
      </c>
      <c r="X205" s="118"/>
      <c r="Y205" s="577">
        <f t="shared" si="6"/>
        <v>196</v>
      </c>
      <c r="AA205" s="117">
        <v>102028079.61</v>
      </c>
      <c r="AB205" s="116">
        <f t="shared" si="5"/>
        <v>9051354.3900000006</v>
      </c>
    </row>
    <row r="206" spans="1:28">
      <c r="A206" s="227"/>
      <c r="B206" s="728"/>
      <c r="C206" s="728" t="s">
        <v>60</v>
      </c>
      <c r="D206" s="102"/>
      <c r="E206" s="117">
        <f>+G206-Adjustments!H206</f>
        <v>0</v>
      </c>
      <c r="F206" s="117">
        <f>F131+F149+F167+F176+F185+F122</f>
        <v>76080323</v>
      </c>
      <c r="G206" s="117">
        <f>G131+G149+G167+G176+G185+G122+G158</f>
        <v>11747065</v>
      </c>
      <c r="H206" s="117">
        <f>H131+H149+H167+H176+H185+H122</f>
        <v>0</v>
      </c>
      <c r="I206" s="117">
        <f>I131+I140+I149+I158+I167+I176+I185+I122</f>
        <v>87827388</v>
      </c>
      <c r="J206" s="116"/>
      <c r="K206" s="116"/>
      <c r="L206" s="116"/>
      <c r="M206" s="117">
        <f>M131+M149+M167+M176+M185+M122</f>
        <v>87827388</v>
      </c>
      <c r="N206" s="117">
        <f>N131+N149+N167+N176+N185+N122</f>
        <v>0</v>
      </c>
      <c r="O206" s="272"/>
      <c r="P206" s="240"/>
      <c r="Q206" s="117">
        <f>Q131+Q149+Q167+Q176+Q185+Q122</f>
        <v>87827388</v>
      </c>
      <c r="R206" s="117">
        <f>R131+R149+R167+R176+R185+R122</f>
        <v>0</v>
      </c>
      <c r="S206" s="117"/>
      <c r="T206" s="117">
        <f>T131+T149+T167+T176+T185+T122</f>
        <v>0</v>
      </c>
      <c r="U206" s="117">
        <f>U131+U149+U167+U176+U185+U122</f>
        <v>0</v>
      </c>
      <c r="V206" s="273"/>
      <c r="W206" s="117">
        <f>W131+W149+W167+W176+W185+W122</f>
        <v>87827388</v>
      </c>
      <c r="X206" s="118"/>
      <c r="Y206" s="577">
        <f t="shared" si="6"/>
        <v>197</v>
      </c>
      <c r="AA206" s="117">
        <v>76080323</v>
      </c>
      <c r="AB206" s="116">
        <f t="shared" si="5"/>
        <v>11747065</v>
      </c>
    </row>
    <row r="207" spans="1:28">
      <c r="A207" s="227"/>
      <c r="B207" s="332"/>
      <c r="C207" s="728" t="s">
        <v>458</v>
      </c>
      <c r="D207" s="102"/>
      <c r="E207" s="132">
        <f>+G207-Adjustments!H207</f>
        <v>0</v>
      </c>
      <c r="F207" s="132">
        <f>+F23+F41+F50+F59+F68+F77+F86+F95+F104+F113+F122+F131+F140+F149+F158+F167+F176+F185+F194+F32</f>
        <v>178108402.61000001</v>
      </c>
      <c r="G207" s="132">
        <f>+G23+G41+G50+G59+G68+G77+G86+G95+G104+G113+G122+G131+G140+G149+G158+G167+G176+G185+G194+G32</f>
        <v>20798419.390000001</v>
      </c>
      <c r="H207" s="132">
        <f>+H23+H41+H50+H59+H68+H77+H86+H95+H104+H113+H122+H131+H140+H149+H158+H167+H176+H185+H194+H32</f>
        <v>0</v>
      </c>
      <c r="I207" s="132">
        <f>+I23+I41+I50+I59+I68+I77+I86+I95+I104+I113+I122+I131+I140+I149+I158+I167+I176+I185+I194+I32</f>
        <v>198906822</v>
      </c>
      <c r="J207" s="116"/>
      <c r="K207" s="116"/>
      <c r="L207" s="131"/>
      <c r="M207" s="132">
        <f>+M23+M41+M50+M59+M68+M77+M86+M95+M104+M113+M122+M131+M140+M149+M158+M167+M176+M185+M194+M32</f>
        <v>198906822</v>
      </c>
      <c r="N207" s="132">
        <f>+N23+N41+N50+N59+N68+N77+N86+N95+N104+N113+N122+N131+N140+N149+N158+N167+N176+N185+N194+N32</f>
        <v>0</v>
      </c>
      <c r="O207" s="272"/>
      <c r="P207" s="257"/>
      <c r="Q207" s="132">
        <f>+Q23+Q41+Q50+Q59+Q68+Q77+Q86+Q95+Q104+Q113+Q122+Q131+Q140+Q149+Q158+Q167+Q176+Q185+Q194+Q32</f>
        <v>198906822</v>
      </c>
      <c r="R207" s="132">
        <f>+R23+R41+R50+R59+R68+R77+R86+R95+R104+R113+R122+R131+R140+R149+R158+R167+R176+R185+R194+R32</f>
        <v>0</v>
      </c>
      <c r="S207" s="132"/>
      <c r="T207" s="132">
        <f>+T23+T41+T50+T59+T68+T77+T86+T95+T104+T113+T122+T131+T140+T149+T158+T167+T176+T185+T194+T32</f>
        <v>0</v>
      </c>
      <c r="U207" s="132">
        <f>+U23+U41+U50+U59+U68+U77+U86+U95+U104+U113+U122+U131+U140+U149+U158+U167+U176+U185+U194+U32</f>
        <v>0</v>
      </c>
      <c r="V207" s="273"/>
      <c r="W207" s="132">
        <f>+W23+W41+W50+W59+W68+W77+W86+W95+W104+W113+W122+W131+W140+W149+W158+W167+W176+W185+W194+W32</f>
        <v>198906822</v>
      </c>
      <c r="X207" s="118"/>
      <c r="Y207" s="577">
        <f t="shared" si="6"/>
        <v>198</v>
      </c>
      <c r="AA207" s="132">
        <v>178108402.61000001</v>
      </c>
      <c r="AB207" s="116">
        <f t="shared" si="5"/>
        <v>20798419.389999986</v>
      </c>
    </row>
    <row r="208" spans="1:28">
      <c r="A208" s="227"/>
      <c r="B208" s="728"/>
      <c r="C208" s="728"/>
      <c r="D208" s="102"/>
      <c r="E208" s="116">
        <f>+G208-Adjustments!H208</f>
        <v>0</v>
      </c>
      <c r="F208" s="116"/>
      <c r="G208" s="116"/>
      <c r="H208" s="116"/>
      <c r="I208" s="116">
        <v>186221043.00000012</v>
      </c>
      <c r="J208" s="116"/>
      <c r="K208" s="116"/>
      <c r="L208" s="116"/>
      <c r="M208" s="116"/>
      <c r="N208" s="116"/>
      <c r="O208" s="272"/>
      <c r="P208" s="240"/>
      <c r="Q208" s="116"/>
      <c r="R208" s="116"/>
      <c r="S208" s="240"/>
      <c r="T208" s="116"/>
      <c r="U208" s="116"/>
      <c r="V208" s="273"/>
      <c r="W208" s="116"/>
      <c r="X208" s="118"/>
      <c r="Y208" s="577">
        <f t="shared" si="6"/>
        <v>199</v>
      </c>
      <c r="AA208" s="116"/>
      <c r="AB208" s="116">
        <f t="shared" si="5"/>
        <v>0</v>
      </c>
    </row>
    <row r="209" spans="1:28">
      <c r="A209" s="227"/>
      <c r="B209" s="332"/>
      <c r="C209" s="332"/>
      <c r="D209" s="102"/>
      <c r="E209" s="116">
        <f>+G209-Adjustments!H209</f>
        <v>0</v>
      </c>
      <c r="F209" s="116"/>
      <c r="G209" s="116"/>
      <c r="H209" s="116"/>
      <c r="I209" s="116">
        <f>I207-I208</f>
        <v>12685778.999999881</v>
      </c>
      <c r="J209" s="116"/>
      <c r="K209" s="116"/>
      <c r="L209" s="116"/>
      <c r="M209" s="116"/>
      <c r="N209" s="116"/>
      <c r="O209" s="272"/>
      <c r="P209" s="240"/>
      <c r="Q209" s="116"/>
      <c r="R209" s="116"/>
      <c r="S209" s="240"/>
      <c r="T209" s="116"/>
      <c r="U209" s="116"/>
      <c r="V209" s="273"/>
      <c r="W209" s="116"/>
      <c r="X209" s="118"/>
      <c r="Y209" s="577">
        <f t="shared" si="6"/>
        <v>200</v>
      </c>
      <c r="AA209" s="116"/>
      <c r="AB209" s="116">
        <f t="shared" ref="AB209:AB272" si="7">W209-AA209</f>
        <v>0</v>
      </c>
    </row>
    <row r="210" spans="1:28">
      <c r="A210" s="36" t="s">
        <v>459</v>
      </c>
      <c r="B210" s="728" t="s">
        <v>15</v>
      </c>
      <c r="C210" s="728" t="s">
        <v>16</v>
      </c>
      <c r="D210" s="102"/>
      <c r="E210" s="116">
        <f>+G210-Adjustments!H210</f>
        <v>0</v>
      </c>
      <c r="F210" s="116">
        <f>Revenue!$F$209</f>
        <v>0</v>
      </c>
      <c r="G210" s="116">
        <f>+Adjustments!AW210</f>
        <v>0</v>
      </c>
      <c r="H210" s="116"/>
      <c r="I210" s="116">
        <f>SUM($F$210:$H$210)</f>
        <v>0</v>
      </c>
      <c r="J210" s="116"/>
      <c r="K210" s="116"/>
      <c r="L210" s="116" t="s">
        <v>14</v>
      </c>
      <c r="M210" s="116">
        <f>VLOOKUP($L210,$L$2:$N$7,2,FALSE)*I210</f>
        <v>0</v>
      </c>
      <c r="N210" s="116">
        <f>VLOOKUP($L210,$L$2:$N$7,3,FALSE)*I210</f>
        <v>0</v>
      </c>
      <c r="O210" s="272"/>
      <c r="P210" s="240" t="s">
        <v>560</v>
      </c>
      <c r="Q210" s="116">
        <f>IF(P210="G",M210,IF(P210="PT",0,ERR))</f>
        <v>0</v>
      </c>
      <c r="R210" s="116">
        <f>IF(P210="PT",M210,IF(P210="G",0,ERR))</f>
        <v>0</v>
      </c>
      <c r="S210" s="240" t="s">
        <v>560</v>
      </c>
      <c r="T210" s="116">
        <f>IF(S210="G",N210,IF(S210="PT",0,ERR))</f>
        <v>0</v>
      </c>
      <c r="U210" s="116">
        <f>IF(S210="PT",N210,IF(S210="G",0,ERR))</f>
        <v>0</v>
      </c>
      <c r="V210" s="273"/>
      <c r="W210" s="116">
        <f>HLOOKUP($W$9,'ROR-Model'!$Q$10:$U$1263,Y210)</f>
        <v>0</v>
      </c>
      <c r="X210" s="118"/>
      <c r="Y210" s="577">
        <f t="shared" si="6"/>
        <v>201</v>
      </c>
      <c r="AA210" s="116">
        <v>0</v>
      </c>
      <c r="AB210" s="116">
        <f t="shared" si="7"/>
        <v>0</v>
      </c>
    </row>
    <row r="211" spans="1:28">
      <c r="A211" s="227"/>
      <c r="B211" s="728"/>
      <c r="C211" s="728"/>
      <c r="D211" s="102"/>
      <c r="E211" s="116">
        <f>+G211-Adjustments!H211</f>
        <v>0</v>
      </c>
      <c r="F211" s="116"/>
      <c r="G211" s="116"/>
      <c r="H211" s="116"/>
      <c r="I211" s="116"/>
      <c r="J211" s="116"/>
      <c r="K211" s="116"/>
      <c r="L211" s="116"/>
      <c r="M211" s="116"/>
      <c r="N211" s="116"/>
      <c r="O211" s="272"/>
      <c r="P211" s="240"/>
      <c r="Q211" s="116"/>
      <c r="R211" s="116"/>
      <c r="S211" s="240"/>
      <c r="T211" s="116"/>
      <c r="U211" s="116"/>
      <c r="V211" s="273"/>
      <c r="W211" s="116"/>
      <c r="X211" s="118"/>
      <c r="Y211" s="577">
        <f t="shared" si="6"/>
        <v>202</v>
      </c>
      <c r="AA211" s="116"/>
      <c r="AB211" s="116">
        <f t="shared" si="7"/>
        <v>0</v>
      </c>
    </row>
    <row r="212" spans="1:28">
      <c r="A212" s="227"/>
      <c r="B212" s="728"/>
      <c r="C212" s="728" t="s">
        <v>17</v>
      </c>
      <c r="D212" s="102"/>
      <c r="E212" s="116">
        <f>+G212-Adjustments!H212</f>
        <v>0</v>
      </c>
      <c r="F212" s="116">
        <f>Revenue!$F$211</f>
        <v>0</v>
      </c>
      <c r="G212" s="116">
        <f>+Adjustments!AW212</f>
        <v>0</v>
      </c>
      <c r="H212" s="116"/>
      <c r="I212" s="116">
        <f>SUM($F$212:$H$212)</f>
        <v>0</v>
      </c>
      <c r="J212" s="116"/>
      <c r="K212" s="116"/>
      <c r="L212" s="116" t="s">
        <v>14</v>
      </c>
      <c r="M212" s="116">
        <f>VLOOKUP($L212,$L$2:$N$7,2,FALSE)*I212</f>
        <v>0</v>
      </c>
      <c r="N212" s="116">
        <f>VLOOKUP($L212,$L$2:$N$7,3,FALSE)*I212</f>
        <v>0</v>
      </c>
      <c r="O212" s="272"/>
      <c r="P212" s="240" t="s">
        <v>559</v>
      </c>
      <c r="Q212" s="116">
        <f>IF(P212="G",M212,IF(P212="PT",0,ERR))</f>
        <v>0</v>
      </c>
      <c r="R212" s="116">
        <f>IF(P212="PT",M212,IF(P212="G",0,ERR))</f>
        <v>0</v>
      </c>
      <c r="S212" s="240" t="s">
        <v>559</v>
      </c>
      <c r="T212" s="116">
        <f>IF(S212="G",N212,IF(S212="PT",0,ERR))</f>
        <v>0</v>
      </c>
      <c r="U212" s="116">
        <f>IF(S212="PT",N212,IF(S212="G",0,ERR))</f>
        <v>0</v>
      </c>
      <c r="V212" s="273"/>
      <c r="W212" s="116">
        <f>HLOOKUP($W$9,'ROR-Model'!$Q$10:$U$1263,Y212)</f>
        <v>0</v>
      </c>
      <c r="X212" s="118"/>
      <c r="Y212" s="577">
        <f t="shared" si="6"/>
        <v>203</v>
      </c>
      <c r="AA212" s="116">
        <v>0</v>
      </c>
      <c r="AB212" s="116">
        <f t="shared" si="7"/>
        <v>0</v>
      </c>
    </row>
    <row r="213" spans="1:28">
      <c r="A213" s="227"/>
      <c r="B213" s="728"/>
      <c r="C213" s="728"/>
      <c r="D213" s="102"/>
      <c r="E213" s="116">
        <f>+G213-Adjustments!H213</f>
        <v>0</v>
      </c>
      <c r="F213" s="116"/>
      <c r="G213" s="116"/>
      <c r="H213" s="116"/>
      <c r="I213" s="116"/>
      <c r="J213" s="116"/>
      <c r="K213" s="116"/>
      <c r="L213" s="116"/>
      <c r="M213" s="116"/>
      <c r="N213" s="116"/>
      <c r="O213" s="272"/>
      <c r="P213" s="240"/>
      <c r="Q213" s="116"/>
      <c r="R213" s="116"/>
      <c r="S213" s="240"/>
      <c r="T213" s="116"/>
      <c r="U213" s="116"/>
      <c r="V213" s="273"/>
      <c r="W213" s="116"/>
      <c r="X213" s="118"/>
      <c r="Y213" s="577">
        <f t="shared" si="6"/>
        <v>204</v>
      </c>
      <c r="AA213" s="116"/>
      <c r="AB213" s="116">
        <f t="shared" si="7"/>
        <v>0</v>
      </c>
    </row>
    <row r="214" spans="1:28">
      <c r="A214" s="227"/>
      <c r="B214" s="728"/>
      <c r="C214" s="728" t="s">
        <v>18</v>
      </c>
      <c r="D214" s="102"/>
      <c r="E214" s="116">
        <f>+G214-Adjustments!H214</f>
        <v>0</v>
      </c>
      <c r="F214" s="116">
        <f>Revenue!$F$213</f>
        <v>0</v>
      </c>
      <c r="G214" s="116">
        <f>+Adjustments!AW214</f>
        <v>0</v>
      </c>
      <c r="H214" s="116"/>
      <c r="I214" s="116">
        <f>SUM($F$214:$H$214)</f>
        <v>0</v>
      </c>
      <c r="J214" s="116"/>
      <c r="K214" s="116"/>
      <c r="L214" s="116" t="s">
        <v>14</v>
      </c>
      <c r="M214" s="116">
        <f>VLOOKUP($L214,$L$2:$N$7,2,FALSE)*I214</f>
        <v>0</v>
      </c>
      <c r="N214" s="116">
        <f>VLOOKUP($L214,$L$2:$N$7,3,FALSE)*I214</f>
        <v>0</v>
      </c>
      <c r="O214" s="272"/>
      <c r="P214" s="240" t="s">
        <v>559</v>
      </c>
      <c r="Q214" s="116">
        <f>IF(P214="G",M214,IF(P214="PT",0,ERR))</f>
        <v>0</v>
      </c>
      <c r="R214" s="116">
        <f>IF(P214="PT",M214,IF(P214="G",0,ERR))</f>
        <v>0</v>
      </c>
      <c r="S214" s="240" t="s">
        <v>559</v>
      </c>
      <c r="T214" s="116">
        <f>IF(S214="G",N214,IF(S214="PT",0,ERR))</f>
        <v>0</v>
      </c>
      <c r="U214" s="116">
        <f>IF(S214="PT",N214,IF(S214="G",0,ERR))</f>
        <v>0</v>
      </c>
      <c r="V214" s="273"/>
      <c r="W214" s="116">
        <f>HLOOKUP($W$9,'ROR-Model'!$Q$10:$U$1263,Y214)</f>
        <v>0</v>
      </c>
      <c r="X214" s="118"/>
      <c r="Y214" s="577">
        <f t="shared" si="6"/>
        <v>205</v>
      </c>
      <c r="AA214" s="116">
        <v>0</v>
      </c>
      <c r="AB214" s="116">
        <f t="shared" si="7"/>
        <v>0</v>
      </c>
    </row>
    <row r="215" spans="1:28">
      <c r="A215" s="227"/>
      <c r="B215" s="728"/>
      <c r="C215" s="728" t="s">
        <v>19</v>
      </c>
      <c r="D215" s="102"/>
      <c r="E215" s="131">
        <f>+G215-Adjustments!H215</f>
        <v>0</v>
      </c>
      <c r="F215" s="131">
        <f>SUM(F210:F214)</f>
        <v>0</v>
      </c>
      <c r="G215" s="131">
        <f>SUM(G210:G214)</f>
        <v>0</v>
      </c>
      <c r="H215" s="131">
        <f>SUM(H210:H214)</f>
        <v>0</v>
      </c>
      <c r="I215" s="131">
        <f>SUM(I210:I214)</f>
        <v>0</v>
      </c>
      <c r="J215" s="116"/>
      <c r="K215" s="116"/>
      <c r="L215" s="131"/>
      <c r="M215" s="131">
        <f>SUM(M210:M214)</f>
        <v>0</v>
      </c>
      <c r="N215" s="131">
        <f>SUM(N210:N214)</f>
        <v>0</v>
      </c>
      <c r="O215" s="272"/>
      <c r="P215" s="257"/>
      <c r="Q215" s="131">
        <f>SUM(Q210:Q214)</f>
        <v>0</v>
      </c>
      <c r="R215" s="131">
        <f>SUM(R210:R214)</f>
        <v>0</v>
      </c>
      <c r="S215" s="257"/>
      <c r="T215" s="131">
        <f>SUM(T210:T214)</f>
        <v>0</v>
      </c>
      <c r="U215" s="131">
        <f>SUM(U210:U214)</f>
        <v>0</v>
      </c>
      <c r="V215" s="273"/>
      <c r="W215" s="131">
        <f>HLOOKUP($W$9,'ROR-Model'!$Q$10:$U$1263,Y215)</f>
        <v>0</v>
      </c>
      <c r="X215" s="118"/>
      <c r="Y215" s="577">
        <f t="shared" si="6"/>
        <v>206</v>
      </c>
      <c r="AA215" s="131">
        <v>0</v>
      </c>
      <c r="AB215" s="116">
        <f t="shared" si="7"/>
        <v>0</v>
      </c>
    </row>
    <row r="216" spans="1:28">
      <c r="A216" s="227"/>
      <c r="B216" s="728"/>
      <c r="C216" s="728"/>
      <c r="D216" s="102"/>
      <c r="E216" s="116">
        <f>+G216-Adjustments!H216</f>
        <v>0</v>
      </c>
      <c r="F216" s="116"/>
      <c r="G216" s="116"/>
      <c r="H216" s="116"/>
      <c r="I216" s="116"/>
      <c r="J216" s="116"/>
      <c r="K216" s="116"/>
      <c r="L216" s="116"/>
      <c r="M216" s="116"/>
      <c r="N216" s="116"/>
      <c r="O216" s="272"/>
      <c r="P216" s="240"/>
      <c r="Q216" s="116"/>
      <c r="R216" s="116"/>
      <c r="S216" s="240"/>
      <c r="T216" s="116"/>
      <c r="U216" s="116"/>
      <c r="V216" s="273"/>
      <c r="W216" s="116"/>
      <c r="X216" s="118"/>
      <c r="Y216" s="577">
        <f t="shared" si="6"/>
        <v>207</v>
      </c>
      <c r="AA216" s="116"/>
      <c r="AB216" s="116">
        <f t="shared" si="7"/>
        <v>0</v>
      </c>
    </row>
    <row r="217" spans="1:28">
      <c r="A217" s="227"/>
      <c r="B217" s="728"/>
      <c r="C217" s="728" t="s">
        <v>20</v>
      </c>
      <c r="D217" s="102"/>
      <c r="E217" s="116">
        <f>+G217-Adjustments!H217</f>
        <v>0</v>
      </c>
      <c r="F217" s="116">
        <f>Revenue!$F$216</f>
        <v>0</v>
      </c>
      <c r="G217" s="116">
        <f>+Adjustments!AW217</f>
        <v>0</v>
      </c>
      <c r="H217" s="116"/>
      <c r="I217" s="116">
        <f>SUM($F$217:$H$217)</f>
        <v>0</v>
      </c>
      <c r="J217" s="116"/>
      <c r="K217" s="116"/>
      <c r="L217" s="116" t="s">
        <v>14</v>
      </c>
      <c r="M217" s="116">
        <f>VLOOKUP($L217,$L$2:$N$7,2,FALSE)*I217</f>
        <v>0</v>
      </c>
      <c r="N217" s="116">
        <f>VLOOKUP($L217,$L$2:$N$7,3,FALSE)*I217</f>
        <v>0</v>
      </c>
      <c r="O217" s="272"/>
      <c r="P217" s="240" t="s">
        <v>560</v>
      </c>
      <c r="Q217" s="116">
        <f>IF(P217="G",M217,IF(P217="PT",0,ERR))</f>
        <v>0</v>
      </c>
      <c r="R217" s="116">
        <f>IF(P217="PT",M217,IF(P217="G",0,ERR))</f>
        <v>0</v>
      </c>
      <c r="S217" s="240" t="s">
        <v>560</v>
      </c>
      <c r="T217" s="116">
        <f>IF(S217="G",N217,IF(S217="PT",0,ERR))</f>
        <v>0</v>
      </c>
      <c r="U217" s="116">
        <f>IF(S217="PT",N217,IF(S217="G",0,ERR))</f>
        <v>0</v>
      </c>
      <c r="V217" s="273"/>
      <c r="W217" s="116">
        <f>HLOOKUP($W$9,'ROR-Model'!$Q$10:$U$1263,Y217)</f>
        <v>0</v>
      </c>
      <c r="X217" s="118"/>
      <c r="Y217" s="577">
        <f t="shared" si="6"/>
        <v>208</v>
      </c>
      <c r="AA217" s="116">
        <v>0</v>
      </c>
      <c r="AB217" s="116">
        <f t="shared" si="7"/>
        <v>0</v>
      </c>
    </row>
    <row r="218" spans="1:28">
      <c r="A218" s="227"/>
      <c r="B218" s="728"/>
      <c r="C218" s="728"/>
      <c r="D218" s="102"/>
      <c r="E218" s="116">
        <f>+G218-Adjustments!H218</f>
        <v>0</v>
      </c>
      <c r="F218" s="116"/>
      <c r="G218" s="116"/>
      <c r="H218" s="116"/>
      <c r="I218" s="116"/>
      <c r="J218" s="116"/>
      <c r="K218" s="116"/>
      <c r="L218" s="116"/>
      <c r="M218" s="116"/>
      <c r="N218" s="116"/>
      <c r="O218" s="272"/>
      <c r="P218" s="240"/>
      <c r="Q218" s="116"/>
      <c r="R218" s="116"/>
      <c r="S218" s="240"/>
      <c r="T218" s="116"/>
      <c r="U218" s="116"/>
      <c r="V218" s="273"/>
      <c r="W218" s="116"/>
      <c r="X218" s="118"/>
      <c r="Y218" s="577">
        <f t="shared" si="6"/>
        <v>209</v>
      </c>
      <c r="AA218" s="116"/>
      <c r="AB218" s="116">
        <f t="shared" si="7"/>
        <v>0</v>
      </c>
    </row>
    <row r="219" spans="1:28">
      <c r="A219" s="227"/>
      <c r="B219" s="728" t="s">
        <v>88</v>
      </c>
      <c r="C219" s="728" t="s">
        <v>16</v>
      </c>
      <c r="D219" s="102"/>
      <c r="E219" s="116">
        <f>+G219-Adjustments!H219</f>
        <v>0</v>
      </c>
      <c r="F219" s="116">
        <f>Revenue!$F$218</f>
        <v>0</v>
      </c>
      <c r="G219" s="116">
        <f>+Adjustments!AW219</f>
        <v>0</v>
      </c>
      <c r="H219" s="116"/>
      <c r="I219" s="116">
        <f>SUM($F$219:$H$219)</f>
        <v>0</v>
      </c>
      <c r="J219" s="116"/>
      <c r="K219" s="116"/>
      <c r="L219" s="116" t="s">
        <v>14</v>
      </c>
      <c r="M219" s="116">
        <f>VLOOKUP($L219,$L$2:$N$7,2,FALSE)*I219</f>
        <v>0</v>
      </c>
      <c r="N219" s="116">
        <f>VLOOKUP($L219,$L$2:$N$7,3,FALSE)*I219</f>
        <v>0</v>
      </c>
      <c r="O219" s="272"/>
      <c r="P219" s="240" t="s">
        <v>560</v>
      </c>
      <c r="Q219" s="116">
        <f>IF(P219="G",M219,IF(P219="PT",0,ERR))</f>
        <v>0</v>
      </c>
      <c r="R219" s="116">
        <f>IF(P219="PT",M219,IF(P219="G",0,ERR))</f>
        <v>0</v>
      </c>
      <c r="S219" s="240" t="s">
        <v>560</v>
      </c>
      <c r="T219" s="116">
        <f>IF(S219="G",N219,IF(S219="PT",0,ERR))</f>
        <v>0</v>
      </c>
      <c r="U219" s="116">
        <f>IF(S219="PT",N219,IF(S219="G",0,ERR))</f>
        <v>0</v>
      </c>
      <c r="V219" s="273"/>
      <c r="W219" s="116">
        <f>HLOOKUP($W$9,'ROR-Model'!$Q$10:$U$1263,Y219)</f>
        <v>0</v>
      </c>
      <c r="X219" s="118"/>
      <c r="Y219" s="577">
        <f t="shared" si="6"/>
        <v>210</v>
      </c>
      <c r="AA219" s="116">
        <v>0</v>
      </c>
      <c r="AB219" s="116">
        <f t="shared" si="7"/>
        <v>0</v>
      </c>
    </row>
    <row r="220" spans="1:28">
      <c r="A220" s="227"/>
      <c r="B220" s="728"/>
      <c r="C220" s="728"/>
      <c r="D220" s="102"/>
      <c r="E220" s="116">
        <f>+G220-Adjustments!H220</f>
        <v>0</v>
      </c>
      <c r="F220" s="116"/>
      <c r="G220" s="116"/>
      <c r="H220" s="116"/>
      <c r="I220" s="116"/>
      <c r="J220" s="116"/>
      <c r="K220" s="116"/>
      <c r="L220" s="116"/>
      <c r="M220" s="116"/>
      <c r="N220" s="116"/>
      <c r="O220" s="272"/>
      <c r="P220" s="240"/>
      <c r="Q220" s="116"/>
      <c r="R220" s="116"/>
      <c r="S220" s="240"/>
      <c r="T220" s="116"/>
      <c r="U220" s="116"/>
      <c r="V220" s="273"/>
      <c r="W220" s="116"/>
      <c r="X220" s="118"/>
      <c r="Y220" s="577">
        <f t="shared" si="6"/>
        <v>211</v>
      </c>
      <c r="AA220" s="116"/>
      <c r="AB220" s="116">
        <f t="shared" si="7"/>
        <v>0</v>
      </c>
    </row>
    <row r="221" spans="1:28">
      <c r="A221" s="227"/>
      <c r="B221" s="728"/>
      <c r="C221" s="728" t="s">
        <v>17</v>
      </c>
      <c r="D221" s="102"/>
      <c r="E221" s="116">
        <f>+G221-Adjustments!H221</f>
        <v>0</v>
      </c>
      <c r="F221" s="116">
        <f>Revenue!$F$220</f>
        <v>0</v>
      </c>
      <c r="G221" s="116">
        <f>+Adjustments!AW221</f>
        <v>0</v>
      </c>
      <c r="H221" s="116"/>
      <c r="I221" s="116">
        <f>SUM($F$221:$H$221)</f>
        <v>0</v>
      </c>
      <c r="J221" s="116"/>
      <c r="K221" s="116"/>
      <c r="L221" s="116" t="s">
        <v>14</v>
      </c>
      <c r="M221" s="116">
        <f>VLOOKUP($L221,$L$2:$N$7,2,FALSE)*I221</f>
        <v>0</v>
      </c>
      <c r="N221" s="116">
        <f>VLOOKUP($L221,$L$2:$N$7,3,FALSE)*I221</f>
        <v>0</v>
      </c>
      <c r="O221" s="272"/>
      <c r="P221" s="240" t="s">
        <v>559</v>
      </c>
      <c r="Q221" s="116">
        <f>IF(P221="G",M221,IF(P221="PT",0,ERR))</f>
        <v>0</v>
      </c>
      <c r="R221" s="116">
        <f>IF(P221="PT",M221,IF(P221="G",0,ERR))</f>
        <v>0</v>
      </c>
      <c r="S221" s="240" t="s">
        <v>559</v>
      </c>
      <c r="T221" s="116">
        <f>IF(S221="G",N221,IF(S221="PT",0,ERR))</f>
        <v>0</v>
      </c>
      <c r="U221" s="116">
        <f>IF(S221="PT",N221,IF(S221="G",0,ERR))</f>
        <v>0</v>
      </c>
      <c r="V221" s="273"/>
      <c r="W221" s="116">
        <f>HLOOKUP($W$9,'ROR-Model'!$Q$10:$U$1263,Y221)</f>
        <v>0</v>
      </c>
      <c r="X221" s="118"/>
      <c r="Y221" s="577">
        <f t="shared" si="6"/>
        <v>212</v>
      </c>
      <c r="AA221" s="116">
        <v>0</v>
      </c>
      <c r="AB221" s="116">
        <f t="shared" si="7"/>
        <v>0</v>
      </c>
    </row>
    <row r="222" spans="1:28">
      <c r="A222" s="227"/>
      <c r="B222" s="728"/>
      <c r="C222" s="728"/>
      <c r="D222" s="102"/>
      <c r="E222" s="116">
        <f>+G222-Adjustments!H222</f>
        <v>0</v>
      </c>
      <c r="F222" s="116"/>
      <c r="G222" s="116"/>
      <c r="H222" s="116"/>
      <c r="I222" s="116"/>
      <c r="J222" s="116"/>
      <c r="K222" s="116"/>
      <c r="L222" s="116"/>
      <c r="M222" s="116"/>
      <c r="N222" s="116"/>
      <c r="O222" s="272"/>
      <c r="P222" s="240"/>
      <c r="Q222" s="116"/>
      <c r="R222" s="116"/>
      <c r="S222" s="240"/>
      <c r="T222" s="116"/>
      <c r="U222" s="116"/>
      <c r="V222" s="273"/>
      <c r="W222" s="116"/>
      <c r="X222" s="118"/>
      <c r="Y222" s="577">
        <f t="shared" si="6"/>
        <v>213</v>
      </c>
      <c r="AA222" s="116"/>
      <c r="AB222" s="116">
        <f t="shared" si="7"/>
        <v>0</v>
      </c>
    </row>
    <row r="223" spans="1:28">
      <c r="A223" s="227"/>
      <c r="B223" s="728"/>
      <c r="C223" s="728" t="s">
        <v>18</v>
      </c>
      <c r="D223" s="102"/>
      <c r="E223" s="116">
        <f>+G223-Adjustments!H223</f>
        <v>0</v>
      </c>
      <c r="F223" s="116">
        <f>Revenue!$F$222</f>
        <v>0</v>
      </c>
      <c r="G223" s="116">
        <f>+Adjustments!AW223</f>
        <v>0</v>
      </c>
      <c r="H223" s="116"/>
      <c r="I223" s="116">
        <f>SUM($F$223:$H$223)</f>
        <v>0</v>
      </c>
      <c r="J223" s="116"/>
      <c r="K223" s="116"/>
      <c r="L223" s="116" t="s">
        <v>14</v>
      </c>
      <c r="M223" s="116">
        <f>VLOOKUP($L223,$L$2:$N$7,2,FALSE)*I223</f>
        <v>0</v>
      </c>
      <c r="N223" s="116">
        <f>VLOOKUP($L223,$L$2:$N$7,3,FALSE)*I223</f>
        <v>0</v>
      </c>
      <c r="O223" s="272"/>
      <c r="P223" s="240" t="s">
        <v>559</v>
      </c>
      <c r="Q223" s="116">
        <f>IF(P223="G",M223,IF(P223="PT",0,ERR))</f>
        <v>0</v>
      </c>
      <c r="R223" s="116">
        <f>IF(P223="PT",M223,IF(P223="G",0,ERR))</f>
        <v>0</v>
      </c>
      <c r="S223" s="240" t="s">
        <v>559</v>
      </c>
      <c r="T223" s="116">
        <f>IF(S223="G",N223,IF(S223="PT",0,ERR))</f>
        <v>0</v>
      </c>
      <c r="U223" s="116">
        <f>IF(S223="PT",N223,IF(S223="G",0,ERR))</f>
        <v>0</v>
      </c>
      <c r="V223" s="273"/>
      <c r="W223" s="116">
        <f>HLOOKUP($W$9,'ROR-Model'!$Q$10:$U$1263,Y223)</f>
        <v>0</v>
      </c>
      <c r="X223" s="118"/>
      <c r="Y223" s="577">
        <f t="shared" si="6"/>
        <v>214</v>
      </c>
      <c r="AA223" s="116">
        <v>0</v>
      </c>
      <c r="AB223" s="116">
        <f t="shared" si="7"/>
        <v>0</v>
      </c>
    </row>
    <row r="224" spans="1:28">
      <c r="A224" s="227"/>
      <c r="B224" s="728"/>
      <c r="C224" s="728" t="s">
        <v>19</v>
      </c>
      <c r="D224" s="102"/>
      <c r="E224" s="131">
        <f>+G224-Adjustments!H224</f>
        <v>0</v>
      </c>
      <c r="F224" s="131">
        <f>SUM(F219:F223)</f>
        <v>0</v>
      </c>
      <c r="G224" s="131">
        <f>SUM(G219:G223)</f>
        <v>0</v>
      </c>
      <c r="H224" s="131">
        <f>SUM(H219:H223)</f>
        <v>0</v>
      </c>
      <c r="I224" s="131">
        <f>SUM(I219:I223)</f>
        <v>0</v>
      </c>
      <c r="J224" s="116"/>
      <c r="K224" s="116"/>
      <c r="L224" s="131"/>
      <c r="M224" s="131">
        <f>SUM(M219:M223)</f>
        <v>0</v>
      </c>
      <c r="N224" s="131">
        <f>SUM(N219:N223)</f>
        <v>0</v>
      </c>
      <c r="O224" s="272"/>
      <c r="P224" s="257"/>
      <c r="Q224" s="131">
        <f>SUM(Q219:Q223)</f>
        <v>0</v>
      </c>
      <c r="R224" s="131">
        <f>SUM(R219:R223)</f>
        <v>0</v>
      </c>
      <c r="S224" s="257"/>
      <c r="T224" s="131">
        <f>SUM(T219:T223)</f>
        <v>0</v>
      </c>
      <c r="U224" s="131">
        <f>SUM(U219:U223)</f>
        <v>0</v>
      </c>
      <c r="V224" s="273"/>
      <c r="W224" s="131">
        <f>HLOOKUP($W$9,'ROR-Model'!$Q$10:$U$1263,Y224)</f>
        <v>0</v>
      </c>
      <c r="X224" s="118"/>
      <c r="Y224" s="577">
        <f t="shared" si="6"/>
        <v>215</v>
      </c>
      <c r="AA224" s="131">
        <v>0</v>
      </c>
      <c r="AB224" s="116">
        <f t="shared" si="7"/>
        <v>0</v>
      </c>
    </row>
    <row r="225" spans="1:28">
      <c r="A225" s="227"/>
      <c r="B225" s="728"/>
      <c r="C225" s="728"/>
      <c r="D225" s="102"/>
      <c r="E225" s="116">
        <f>+G225-Adjustments!H225</f>
        <v>0</v>
      </c>
      <c r="F225" s="116"/>
      <c r="G225" s="116"/>
      <c r="H225" s="116"/>
      <c r="I225" s="116"/>
      <c r="J225" s="116"/>
      <c r="K225" s="116"/>
      <c r="L225" s="116"/>
      <c r="M225" s="116"/>
      <c r="N225" s="116"/>
      <c r="O225" s="272"/>
      <c r="P225" s="240"/>
      <c r="Q225" s="116"/>
      <c r="R225" s="116"/>
      <c r="S225" s="240"/>
      <c r="T225" s="116"/>
      <c r="U225" s="116"/>
      <c r="V225" s="273"/>
      <c r="W225" s="116"/>
      <c r="X225" s="118"/>
      <c r="Y225" s="577">
        <f t="shared" si="6"/>
        <v>216</v>
      </c>
      <c r="AA225" s="116"/>
      <c r="AB225" s="116">
        <f t="shared" si="7"/>
        <v>0</v>
      </c>
    </row>
    <row r="226" spans="1:28">
      <c r="A226" s="227"/>
      <c r="B226" s="728"/>
      <c r="C226" s="728" t="s">
        <v>20</v>
      </c>
      <c r="D226" s="102"/>
      <c r="E226" s="116">
        <f>+G226-Adjustments!H226</f>
        <v>0</v>
      </c>
      <c r="F226" s="116">
        <f>Revenue!$F$225</f>
        <v>0</v>
      </c>
      <c r="G226" s="116">
        <f>+Adjustments!AW226</f>
        <v>0</v>
      </c>
      <c r="H226" s="116"/>
      <c r="I226" s="116">
        <f>SUM($F$226:$H$226)</f>
        <v>0</v>
      </c>
      <c r="J226" s="116"/>
      <c r="K226" s="116"/>
      <c r="L226" s="116" t="s">
        <v>14</v>
      </c>
      <c r="M226" s="116">
        <f>VLOOKUP($L226,$L$2:$N$7,2,FALSE)*I226</f>
        <v>0</v>
      </c>
      <c r="N226" s="116">
        <f>VLOOKUP($L226,$L$2:$N$7,3,FALSE)*I226</f>
        <v>0</v>
      </c>
      <c r="O226" s="272"/>
      <c r="P226" s="240" t="s">
        <v>560</v>
      </c>
      <c r="Q226" s="116">
        <f>IF(P226="G",M226,IF(P226="PT",0,ERR))</f>
        <v>0</v>
      </c>
      <c r="R226" s="116">
        <f>IF(P226="PT",M226,IF(P226="G",0,ERR))</f>
        <v>0</v>
      </c>
      <c r="S226" s="240" t="s">
        <v>560</v>
      </c>
      <c r="T226" s="116">
        <f>IF(S226="G",N226,IF(S226="PT",0,ERR))</f>
        <v>0</v>
      </c>
      <c r="U226" s="116">
        <f>IF(S226="PT",N226,IF(S226="G",0,ERR))</f>
        <v>0</v>
      </c>
      <c r="V226" s="273"/>
      <c r="W226" s="116">
        <f>HLOOKUP($W$9,'ROR-Model'!$Q$10:$U$1263,Y226)</f>
        <v>0</v>
      </c>
      <c r="X226" s="118"/>
      <c r="Y226" s="577">
        <f t="shared" si="6"/>
        <v>217</v>
      </c>
      <c r="AA226" s="116">
        <v>0</v>
      </c>
      <c r="AB226" s="116">
        <f t="shared" si="7"/>
        <v>0</v>
      </c>
    </row>
    <row r="227" spans="1:28" ht="13.5" thickBot="1">
      <c r="A227" s="227"/>
      <c r="B227" s="728"/>
      <c r="C227" s="728"/>
      <c r="D227" s="102"/>
      <c r="E227" s="235">
        <f>+G227-Adjustments!H227</f>
        <v>0</v>
      </c>
      <c r="F227" s="235"/>
      <c r="G227" s="235"/>
      <c r="H227" s="235"/>
      <c r="I227" s="235"/>
      <c r="J227" s="116"/>
      <c r="K227" s="116"/>
      <c r="L227" s="235"/>
      <c r="M227" s="235"/>
      <c r="N227" s="235"/>
      <c r="O227" s="272"/>
      <c r="P227" s="613"/>
      <c r="Q227" s="235"/>
      <c r="R227" s="235"/>
      <c r="S227" s="613"/>
      <c r="T227" s="235"/>
      <c r="U227" s="235"/>
      <c r="V227" s="273"/>
      <c r="W227" s="235"/>
      <c r="X227" s="118"/>
      <c r="Y227" s="577">
        <f t="shared" si="6"/>
        <v>218</v>
      </c>
      <c r="AA227" s="235"/>
      <c r="AB227" s="116">
        <f t="shared" si="7"/>
        <v>0</v>
      </c>
    </row>
    <row r="228" spans="1:28" ht="13.5" thickTop="1">
      <c r="A228" s="227"/>
      <c r="B228" s="728" t="s">
        <v>544</v>
      </c>
      <c r="C228" s="728"/>
      <c r="D228" s="102"/>
      <c r="E228" s="116">
        <f>+G228-Adjustments!H228</f>
        <v>0</v>
      </c>
      <c r="F228" s="116"/>
      <c r="G228" s="116"/>
      <c r="H228" s="116"/>
      <c r="I228" s="116"/>
      <c r="J228" s="116"/>
      <c r="K228" s="116"/>
      <c r="L228" s="116"/>
      <c r="M228" s="116"/>
      <c r="N228" s="116"/>
      <c r="O228" s="272"/>
      <c r="P228" s="240"/>
      <c r="Q228" s="116"/>
      <c r="R228" s="116"/>
      <c r="S228" s="240"/>
      <c r="T228" s="116"/>
      <c r="U228" s="116"/>
      <c r="V228" s="273"/>
      <c r="W228" s="116"/>
      <c r="X228" s="118"/>
      <c r="Y228" s="577">
        <f t="shared" si="6"/>
        <v>219</v>
      </c>
      <c r="AA228" s="116"/>
      <c r="AB228" s="116">
        <f t="shared" si="7"/>
        <v>0</v>
      </c>
    </row>
    <row r="229" spans="1:28">
      <c r="A229" s="227"/>
      <c r="B229" s="332"/>
      <c r="C229" s="728" t="s">
        <v>16</v>
      </c>
      <c r="D229" s="102"/>
      <c r="E229" s="116">
        <f>+G229-Adjustments!H229</f>
        <v>0</v>
      </c>
      <c r="F229" s="116">
        <f>+F210+F219</f>
        <v>0</v>
      </c>
      <c r="G229" s="116">
        <f>+G210+G219</f>
        <v>0</v>
      </c>
      <c r="H229" s="116">
        <f>+H210+H219</f>
        <v>0</v>
      </c>
      <c r="I229" s="116">
        <f>+I210+I219</f>
        <v>0</v>
      </c>
      <c r="J229" s="116"/>
      <c r="K229" s="116"/>
      <c r="L229" s="116"/>
      <c r="M229" s="116">
        <f>+M210+M219</f>
        <v>0</v>
      </c>
      <c r="N229" s="116">
        <f>+N210+N219</f>
        <v>0</v>
      </c>
      <c r="O229" s="272"/>
      <c r="P229" s="240"/>
      <c r="Q229" s="116">
        <f>+Q210+Q219</f>
        <v>0</v>
      </c>
      <c r="R229" s="116">
        <f>+R210+R219</f>
        <v>0</v>
      </c>
      <c r="S229" s="240"/>
      <c r="T229" s="116">
        <f>+T210+T219</f>
        <v>0</v>
      </c>
      <c r="U229" s="116">
        <f>+U210+U219</f>
        <v>0</v>
      </c>
      <c r="V229" s="273"/>
      <c r="W229" s="116">
        <f>HLOOKUP($W$9,'ROR-Model'!$Q$10:$U$1263,Y229)</f>
        <v>0</v>
      </c>
      <c r="X229" s="118"/>
      <c r="Y229" s="577">
        <f t="shared" si="6"/>
        <v>220</v>
      </c>
      <c r="AA229" s="116">
        <v>0</v>
      </c>
      <c r="AB229" s="116">
        <f t="shared" si="7"/>
        <v>0</v>
      </c>
    </row>
    <row r="230" spans="1:28">
      <c r="A230" s="227"/>
      <c r="B230" s="332"/>
      <c r="C230" s="728" t="s">
        <v>17</v>
      </c>
      <c r="D230" s="102"/>
      <c r="E230" s="116">
        <f>+G230-Adjustments!H230</f>
        <v>0</v>
      </c>
      <c r="F230" s="116">
        <f>+F212+F221</f>
        <v>0</v>
      </c>
      <c r="G230" s="116">
        <f>+G212+G221</f>
        <v>0</v>
      </c>
      <c r="H230" s="116">
        <f>+H212+H221</f>
        <v>0</v>
      </c>
      <c r="I230" s="116">
        <f>+I212+I221</f>
        <v>0</v>
      </c>
      <c r="J230" s="116"/>
      <c r="K230" s="116"/>
      <c r="L230" s="116"/>
      <c r="M230" s="116">
        <f>+M212+M221</f>
        <v>0</v>
      </c>
      <c r="N230" s="116">
        <f>+N212+N221</f>
        <v>0</v>
      </c>
      <c r="O230" s="272"/>
      <c r="P230" s="240"/>
      <c r="Q230" s="116">
        <f>+Q212+Q221</f>
        <v>0</v>
      </c>
      <c r="R230" s="116">
        <f>+R212+R221</f>
        <v>0</v>
      </c>
      <c r="S230" s="240"/>
      <c r="T230" s="116">
        <f>+T212+T221</f>
        <v>0</v>
      </c>
      <c r="U230" s="116">
        <f>+U212+U221</f>
        <v>0</v>
      </c>
      <c r="V230" s="273"/>
      <c r="W230" s="116">
        <f>HLOOKUP($W$9,'ROR-Model'!$Q$10:$U$1263,Y230)</f>
        <v>0</v>
      </c>
      <c r="X230" s="118"/>
      <c r="Y230" s="577">
        <f t="shared" si="6"/>
        <v>221</v>
      </c>
      <c r="AA230" s="116">
        <v>0</v>
      </c>
      <c r="AB230" s="116">
        <f t="shared" si="7"/>
        <v>0</v>
      </c>
    </row>
    <row r="231" spans="1:28">
      <c r="A231" s="227"/>
      <c r="B231" s="332"/>
      <c r="C231" s="728" t="s">
        <v>18</v>
      </c>
      <c r="D231" s="102"/>
      <c r="E231" s="116">
        <f>+G231-Adjustments!H231</f>
        <v>0</v>
      </c>
      <c r="F231" s="116">
        <f>+F214+F223</f>
        <v>0</v>
      </c>
      <c r="G231" s="116">
        <f t="shared" ref="G231:I232" si="8">+G214+G223</f>
        <v>0</v>
      </c>
      <c r="H231" s="116">
        <f t="shared" si="8"/>
        <v>0</v>
      </c>
      <c r="I231" s="116">
        <f t="shared" si="8"/>
        <v>0</v>
      </c>
      <c r="J231" s="116"/>
      <c r="K231" s="116"/>
      <c r="L231" s="116"/>
      <c r="M231" s="116">
        <f>+M214+M223</f>
        <v>0</v>
      </c>
      <c r="N231" s="116">
        <f>+N214+N223</f>
        <v>0</v>
      </c>
      <c r="O231" s="272"/>
      <c r="P231" s="240"/>
      <c r="Q231" s="116">
        <f>+Q214+Q223</f>
        <v>0</v>
      </c>
      <c r="R231" s="116">
        <f>+R214+R223</f>
        <v>0</v>
      </c>
      <c r="S231" s="240"/>
      <c r="T231" s="116">
        <f>+T214+T223</f>
        <v>0</v>
      </c>
      <c r="U231" s="116">
        <f>+U214+U223</f>
        <v>0</v>
      </c>
      <c r="V231" s="273"/>
      <c r="W231" s="116">
        <f>HLOOKUP($W$9,'ROR-Model'!$Q$10:$U$1263,Y231)</f>
        <v>0</v>
      </c>
      <c r="X231" s="118"/>
      <c r="Y231" s="577">
        <f t="shared" si="6"/>
        <v>222</v>
      </c>
      <c r="AA231" s="116">
        <v>0</v>
      </c>
      <c r="AB231" s="116">
        <f t="shared" si="7"/>
        <v>0</v>
      </c>
    </row>
    <row r="232" spans="1:28">
      <c r="A232" s="227"/>
      <c r="B232" s="332"/>
      <c r="C232" s="728" t="s">
        <v>461</v>
      </c>
      <c r="D232" s="102"/>
      <c r="E232" s="131">
        <f>+G232-Adjustments!H232</f>
        <v>0</v>
      </c>
      <c r="F232" s="131">
        <f>+F215+F224</f>
        <v>0</v>
      </c>
      <c r="G232" s="131">
        <f t="shared" si="8"/>
        <v>0</v>
      </c>
      <c r="H232" s="131">
        <f t="shared" si="8"/>
        <v>0</v>
      </c>
      <c r="I232" s="131">
        <f t="shared" si="8"/>
        <v>0</v>
      </c>
      <c r="J232" s="116"/>
      <c r="K232" s="116"/>
      <c r="L232" s="131"/>
      <c r="M232" s="131">
        <f>+M215+M224</f>
        <v>0</v>
      </c>
      <c r="N232" s="131">
        <f>+N215+N224</f>
        <v>0</v>
      </c>
      <c r="O232" s="272"/>
      <c r="P232" s="257"/>
      <c r="Q232" s="131">
        <f>+Q215+Q224</f>
        <v>0</v>
      </c>
      <c r="R232" s="131">
        <f>+R215+R224</f>
        <v>0</v>
      </c>
      <c r="S232" s="257"/>
      <c r="T232" s="131">
        <f>+T215+T224</f>
        <v>0</v>
      </c>
      <c r="U232" s="131">
        <f>+U215+U224</f>
        <v>0</v>
      </c>
      <c r="V232" s="273"/>
      <c r="W232" s="131">
        <f>HLOOKUP($W$9,'ROR-Model'!$Q$10:$U$1263,Y232)</f>
        <v>0</v>
      </c>
      <c r="X232" s="118"/>
      <c r="Y232" s="577">
        <f t="shared" si="6"/>
        <v>223</v>
      </c>
      <c r="AA232" s="131">
        <v>0</v>
      </c>
      <c r="AB232" s="116">
        <f t="shared" si="7"/>
        <v>0</v>
      </c>
    </row>
    <row r="233" spans="1:28">
      <c r="A233" s="227"/>
      <c r="B233" s="332"/>
      <c r="C233" s="728"/>
      <c r="D233" s="102"/>
      <c r="E233" s="116">
        <f>+G233-Adjustments!H233</f>
        <v>0</v>
      </c>
      <c r="F233" s="116"/>
      <c r="G233" s="116"/>
      <c r="H233" s="116"/>
      <c r="I233" s="116"/>
      <c r="J233" s="116"/>
      <c r="K233" s="116"/>
      <c r="L233" s="116"/>
      <c r="M233" s="116"/>
      <c r="N233" s="116"/>
      <c r="O233" s="272"/>
      <c r="P233" s="240"/>
      <c r="Q233" s="116"/>
      <c r="R233" s="116"/>
      <c r="S233" s="240"/>
      <c r="T233" s="116"/>
      <c r="U233" s="116"/>
      <c r="V233" s="273"/>
      <c r="W233" s="116"/>
      <c r="X233" s="118"/>
      <c r="Y233" s="577">
        <f t="shared" si="6"/>
        <v>224</v>
      </c>
      <c r="AA233" s="116"/>
      <c r="AB233" s="116">
        <f t="shared" si="7"/>
        <v>0</v>
      </c>
    </row>
    <row r="234" spans="1:28">
      <c r="A234" s="227"/>
      <c r="B234" s="332"/>
      <c r="C234" s="728" t="s">
        <v>59</v>
      </c>
      <c r="D234" s="102"/>
      <c r="E234" s="116">
        <f>+G234-Adjustments!H234</f>
        <v>0</v>
      </c>
      <c r="F234" s="116">
        <f>F217+F226</f>
        <v>0</v>
      </c>
      <c r="G234" s="116">
        <f>G217+G226</f>
        <v>0</v>
      </c>
      <c r="H234" s="116">
        <f>H217+H226</f>
        <v>0</v>
      </c>
      <c r="I234" s="116">
        <f>I217+I226</f>
        <v>0</v>
      </c>
      <c r="J234" s="116"/>
      <c r="K234" s="116"/>
      <c r="L234" s="116"/>
      <c r="M234" s="116">
        <f>M217+M226</f>
        <v>0</v>
      </c>
      <c r="N234" s="116">
        <f>N217+N226</f>
        <v>0</v>
      </c>
      <c r="O234" s="272"/>
      <c r="P234" s="240"/>
      <c r="Q234" s="116">
        <f>Q217+Q226</f>
        <v>0</v>
      </c>
      <c r="R234" s="116">
        <f>R217+R226</f>
        <v>0</v>
      </c>
      <c r="S234" s="240"/>
      <c r="T234" s="116">
        <f>T217+T226</f>
        <v>0</v>
      </c>
      <c r="U234" s="116">
        <f>U217+U226</f>
        <v>0</v>
      </c>
      <c r="V234" s="273"/>
      <c r="W234" s="116">
        <f>HLOOKUP($W$9,'ROR-Model'!$Q$10:$U$1263,Y234)</f>
        <v>0</v>
      </c>
      <c r="X234" s="118"/>
      <c r="Y234" s="577">
        <f t="shared" si="6"/>
        <v>225</v>
      </c>
      <c r="AA234" s="116">
        <v>0</v>
      </c>
      <c r="AB234" s="116">
        <f t="shared" si="7"/>
        <v>0</v>
      </c>
    </row>
    <row r="235" spans="1:28">
      <c r="A235" s="227"/>
      <c r="B235" s="728"/>
      <c r="C235" s="728" t="s">
        <v>60</v>
      </c>
      <c r="D235" s="102"/>
      <c r="E235" s="116">
        <f>+G235-Adjustments!H235</f>
        <v>0</v>
      </c>
      <c r="F235" s="116">
        <v>0</v>
      </c>
      <c r="G235" s="116">
        <v>0</v>
      </c>
      <c r="H235" s="116">
        <v>0</v>
      </c>
      <c r="I235" s="116">
        <v>0</v>
      </c>
      <c r="J235" s="116"/>
      <c r="K235" s="116"/>
      <c r="L235" s="116"/>
      <c r="M235" s="116">
        <v>0</v>
      </c>
      <c r="N235" s="116">
        <v>0</v>
      </c>
      <c r="O235" s="272"/>
      <c r="P235" s="240"/>
      <c r="Q235" s="116">
        <v>0</v>
      </c>
      <c r="R235" s="116">
        <v>0</v>
      </c>
      <c r="S235" s="240"/>
      <c r="T235" s="116">
        <v>0</v>
      </c>
      <c r="U235" s="116">
        <v>0</v>
      </c>
      <c r="V235" s="273"/>
      <c r="W235" s="116">
        <f>HLOOKUP($W$9,'ROR-Model'!$Q$10:$U$1263,Y235)</f>
        <v>0</v>
      </c>
      <c r="X235" s="118"/>
      <c r="Y235" s="577">
        <f t="shared" si="6"/>
        <v>226</v>
      </c>
      <c r="AA235" s="116">
        <v>0</v>
      </c>
      <c r="AB235" s="116">
        <f t="shared" si="7"/>
        <v>0</v>
      </c>
    </row>
    <row r="236" spans="1:28">
      <c r="A236" s="227"/>
      <c r="B236" s="332"/>
      <c r="C236" s="728" t="s">
        <v>462</v>
      </c>
      <c r="D236" s="102"/>
      <c r="E236" s="131">
        <f>+G236-Adjustments!H236</f>
        <v>0</v>
      </c>
      <c r="F236" s="131">
        <f>+F217+F226</f>
        <v>0</v>
      </c>
      <c r="G236" s="131">
        <f>+G217+G226</f>
        <v>0</v>
      </c>
      <c r="H236" s="131">
        <f>+H217+H226</f>
        <v>0</v>
      </c>
      <c r="I236" s="131">
        <f>+I217+I226</f>
        <v>0</v>
      </c>
      <c r="J236" s="116"/>
      <c r="K236" s="116"/>
      <c r="L236" s="131"/>
      <c r="M236" s="131">
        <f>+M217+M226</f>
        <v>0</v>
      </c>
      <c r="N236" s="131">
        <f>+N217+N226</f>
        <v>0</v>
      </c>
      <c r="O236" s="272"/>
      <c r="P236" s="257"/>
      <c r="Q236" s="131">
        <f>+Q217+Q226</f>
        <v>0</v>
      </c>
      <c r="R236" s="131">
        <f>+R217+R226</f>
        <v>0</v>
      </c>
      <c r="S236" s="257"/>
      <c r="T236" s="131">
        <f>+T217+T226</f>
        <v>0</v>
      </c>
      <c r="U236" s="131">
        <f>+U217+U226</f>
        <v>0</v>
      </c>
      <c r="V236" s="273"/>
      <c r="W236" s="131">
        <f>HLOOKUP($W$9,'ROR-Model'!$Q$10:$U$1263,Y236)</f>
        <v>0</v>
      </c>
      <c r="X236" s="118"/>
      <c r="Y236" s="577">
        <f t="shared" si="6"/>
        <v>227</v>
      </c>
      <c r="AA236" s="131">
        <v>0</v>
      </c>
      <c r="AB236" s="116">
        <f t="shared" si="7"/>
        <v>0</v>
      </c>
    </row>
    <row r="237" spans="1:28">
      <c r="A237" s="227"/>
      <c r="B237" s="113"/>
      <c r="C237" s="114"/>
      <c r="D237" s="102"/>
      <c r="E237" s="116">
        <f>+G237-Adjustments!H237</f>
        <v>0</v>
      </c>
      <c r="F237" s="116"/>
      <c r="G237" s="116"/>
      <c r="H237" s="116"/>
      <c r="I237" s="116"/>
      <c r="J237" s="116"/>
      <c r="K237" s="116"/>
      <c r="L237" s="116"/>
      <c r="M237" s="116"/>
      <c r="N237" s="116"/>
      <c r="O237" s="272"/>
      <c r="P237" s="240"/>
      <c r="Q237" s="116"/>
      <c r="R237" s="116"/>
      <c r="S237" s="240"/>
      <c r="T237" s="116"/>
      <c r="U237" s="116"/>
      <c r="V237" s="273"/>
      <c r="W237" s="116"/>
      <c r="X237" s="118"/>
      <c r="Y237" s="577">
        <f t="shared" si="6"/>
        <v>228</v>
      </c>
      <c r="AA237" s="116"/>
      <c r="AB237" s="116">
        <f t="shared" si="7"/>
        <v>0</v>
      </c>
    </row>
    <row r="238" spans="1:28">
      <c r="A238" s="36" t="s">
        <v>24</v>
      </c>
      <c r="B238" s="113"/>
      <c r="C238" s="114"/>
      <c r="D238" s="102"/>
      <c r="E238" s="116">
        <f>+G238-Adjustments!H238</f>
        <v>0</v>
      </c>
      <c r="F238" s="116"/>
      <c r="G238" s="116"/>
      <c r="H238" s="116"/>
      <c r="I238" s="116"/>
      <c r="J238" s="116"/>
      <c r="K238" s="116"/>
      <c r="L238" s="116"/>
      <c r="M238" s="116"/>
      <c r="N238" s="116"/>
      <c r="O238" s="272"/>
      <c r="P238" s="240"/>
      <c r="Q238" s="116"/>
      <c r="R238" s="116"/>
      <c r="S238" s="240"/>
      <c r="T238" s="116"/>
      <c r="U238" s="116"/>
      <c r="V238" s="273"/>
      <c r="W238" s="116"/>
      <c r="X238" s="118"/>
      <c r="Y238" s="577">
        <f t="shared" si="6"/>
        <v>229</v>
      </c>
      <c r="AA238" s="116"/>
      <c r="AB238" s="116">
        <f t="shared" si="7"/>
        <v>0</v>
      </c>
    </row>
    <row r="239" spans="1:28">
      <c r="A239" s="227"/>
      <c r="B239" s="332" t="s">
        <v>15</v>
      </c>
      <c r="C239" s="332" t="s">
        <v>16</v>
      </c>
      <c r="D239" s="102"/>
      <c r="E239" s="116">
        <f>+G239-Adjustments!H239</f>
        <v>0</v>
      </c>
      <c r="F239" s="116">
        <f>Revenue!$F$238</f>
        <v>12201566</v>
      </c>
      <c r="G239" s="116">
        <f>+Adjustments!AW239</f>
        <v>4185702.370000001</v>
      </c>
      <c r="H239" s="116"/>
      <c r="I239" s="116">
        <f>SUM($F$239:$H$239)</f>
        <v>16387268.370000001</v>
      </c>
      <c r="J239" s="116"/>
      <c r="K239" s="116"/>
      <c r="L239" s="116" t="s">
        <v>24</v>
      </c>
      <c r="M239" s="116">
        <f>VLOOKUP($L239,$L$2:$N$7,2,FALSE)*I239</f>
        <v>0</v>
      </c>
      <c r="N239" s="116">
        <f>VLOOKUP($L239,$L$2:$N$7,3,FALSE)*I239</f>
        <v>16387268.370000001</v>
      </c>
      <c r="O239" s="272"/>
      <c r="P239" s="240" t="s">
        <v>560</v>
      </c>
      <c r="Q239" s="116">
        <f>IF(P239="G",M239,IF(P239="PT",0,ERR))</f>
        <v>0</v>
      </c>
      <c r="R239" s="116">
        <f>IF(P239="PT",M239,IF(P239="G",0,ERR))</f>
        <v>0</v>
      </c>
      <c r="S239" s="240" t="s">
        <v>560</v>
      </c>
      <c r="T239" s="116">
        <f>IF(S239="G",N239,IF(S239="PT",0,ERR))</f>
        <v>16387268.370000001</v>
      </c>
      <c r="U239" s="116">
        <f>IF(S239="PT",N239,IF(S239="G",0,ERR))</f>
        <v>0</v>
      </c>
      <c r="V239" s="273"/>
      <c r="W239" s="116">
        <f>HLOOKUP($W$9,'ROR-Model'!$Q$10:$U$1263,Y239)</f>
        <v>0</v>
      </c>
      <c r="X239" s="118"/>
      <c r="Y239" s="577">
        <f t="shared" si="6"/>
        <v>230</v>
      </c>
      <c r="AA239" s="116">
        <v>0</v>
      </c>
      <c r="AB239" s="116">
        <f t="shared" si="7"/>
        <v>0</v>
      </c>
    </row>
    <row r="240" spans="1:28">
      <c r="A240" s="227"/>
      <c r="B240" s="728"/>
      <c r="C240" s="728"/>
      <c r="D240" s="102"/>
      <c r="E240" s="116">
        <f>+G240-Adjustments!H240</f>
        <v>0</v>
      </c>
      <c r="F240" s="116"/>
      <c r="G240" s="116"/>
      <c r="H240" s="116"/>
      <c r="I240" s="116"/>
      <c r="J240" s="116"/>
      <c r="K240" s="116"/>
      <c r="L240" s="116"/>
      <c r="M240" s="116"/>
      <c r="N240" s="116"/>
      <c r="O240" s="272"/>
      <c r="P240" s="240"/>
      <c r="Q240" s="116"/>
      <c r="R240" s="116"/>
      <c r="S240" s="240"/>
      <c r="T240" s="116"/>
      <c r="U240" s="116"/>
      <c r="V240" s="273"/>
      <c r="W240" s="116"/>
      <c r="X240" s="118"/>
      <c r="Y240" s="577">
        <f t="shared" si="6"/>
        <v>231</v>
      </c>
      <c r="AA240" s="116"/>
      <c r="AB240" s="116">
        <f t="shared" si="7"/>
        <v>0</v>
      </c>
    </row>
    <row r="241" spans="1:28">
      <c r="A241" s="227"/>
      <c r="B241" s="728"/>
      <c r="C241" s="728"/>
      <c r="D241" s="102"/>
      <c r="E241" s="116">
        <f>+G241-Adjustments!H241</f>
        <v>0</v>
      </c>
      <c r="F241" s="116"/>
      <c r="G241" s="116">
        <f>+Adjustments!AW241</f>
        <v>0</v>
      </c>
      <c r="H241" s="116"/>
      <c r="I241" s="116">
        <f>SUM($F$241:$H$241)</f>
        <v>0</v>
      </c>
      <c r="J241" s="116"/>
      <c r="K241" s="116"/>
      <c r="L241" s="116" t="s">
        <v>24</v>
      </c>
      <c r="M241" s="116">
        <f>VLOOKUP($L241,$L$2:$N$7,2,FALSE)*I241</f>
        <v>0</v>
      </c>
      <c r="N241" s="116">
        <f>VLOOKUP($L241,$L$2:$N$7,3,FALSE)*I241</f>
        <v>0</v>
      </c>
      <c r="O241" s="272"/>
      <c r="P241" s="240"/>
      <c r="Q241" s="116"/>
      <c r="R241" s="116"/>
      <c r="S241" s="240"/>
      <c r="T241" s="116"/>
      <c r="U241" s="116"/>
      <c r="V241" s="273"/>
      <c r="W241" s="116"/>
      <c r="X241" s="118"/>
      <c r="Y241" s="577">
        <f t="shared" si="6"/>
        <v>232</v>
      </c>
      <c r="AA241" s="116"/>
      <c r="AB241" s="116">
        <f t="shared" si="7"/>
        <v>0</v>
      </c>
    </row>
    <row r="242" spans="1:28">
      <c r="A242" s="227"/>
      <c r="B242" s="728"/>
      <c r="C242" s="728"/>
      <c r="D242" s="102"/>
      <c r="E242" s="116">
        <f>+G242-Adjustments!H242</f>
        <v>0</v>
      </c>
      <c r="F242" s="116"/>
      <c r="G242" s="116"/>
      <c r="H242" s="116"/>
      <c r="I242" s="116"/>
      <c r="J242" s="116"/>
      <c r="K242" s="116"/>
      <c r="L242" s="116"/>
      <c r="M242" s="116"/>
      <c r="N242" s="116"/>
      <c r="O242" s="272"/>
      <c r="P242" s="240"/>
      <c r="Q242" s="116"/>
      <c r="R242" s="116"/>
      <c r="S242" s="240"/>
      <c r="T242" s="116"/>
      <c r="U242" s="116"/>
      <c r="V242" s="273"/>
      <c r="W242" s="116"/>
      <c r="X242" s="118"/>
      <c r="Y242" s="577">
        <f t="shared" si="6"/>
        <v>233</v>
      </c>
      <c r="AA242" s="116"/>
      <c r="AB242" s="116">
        <f t="shared" si="7"/>
        <v>0</v>
      </c>
    </row>
    <row r="243" spans="1:28">
      <c r="A243" s="227"/>
      <c r="B243" s="332"/>
      <c r="C243" s="332" t="s">
        <v>18</v>
      </c>
      <c r="D243" s="102"/>
      <c r="E243" s="116">
        <f>+G243-Adjustments!H243</f>
        <v>0</v>
      </c>
      <c r="F243" s="116">
        <f>Revenue!$F$242</f>
        <v>17122316</v>
      </c>
      <c r="G243" s="116">
        <f>+Adjustments!AW243</f>
        <v>-1108710.3100000005</v>
      </c>
      <c r="H243" s="116"/>
      <c r="I243" s="116">
        <f>SUM($F$243:$H$243)</f>
        <v>16013605.689999999</v>
      </c>
      <c r="J243" s="116"/>
      <c r="K243" s="116"/>
      <c r="L243" s="116" t="s">
        <v>24</v>
      </c>
      <c r="M243" s="116">
        <f>VLOOKUP($L243,$L$2:$N$7,2,FALSE)*I243</f>
        <v>0</v>
      </c>
      <c r="N243" s="116">
        <f>VLOOKUP($L243,$L$2:$N$7,3,FALSE)*I243</f>
        <v>16013605.689999999</v>
      </c>
      <c r="O243" s="272"/>
      <c r="P243" s="240" t="s">
        <v>559</v>
      </c>
      <c r="Q243" s="116">
        <f>IF(P243="G",M243,IF(P243="PT",0,ERR))</f>
        <v>0</v>
      </c>
      <c r="R243" s="116">
        <f>IF(P243="PT",M243,IF(P243="G",0,ERR))</f>
        <v>0</v>
      </c>
      <c r="S243" s="240" t="s">
        <v>559</v>
      </c>
      <c r="T243" s="116">
        <f>IF(S243="G",N243,IF(S243="PT",0,ERR))</f>
        <v>0</v>
      </c>
      <c r="U243" s="116">
        <f>IF(S243="PT",N243,IF(S243="G",0,ERR))</f>
        <v>16013605.689999999</v>
      </c>
      <c r="V243" s="273"/>
      <c r="W243" s="116">
        <f>HLOOKUP($W$9,'ROR-Model'!$Q$10:$U$1263,Y243)</f>
        <v>0</v>
      </c>
      <c r="X243" s="118"/>
      <c r="Y243" s="577">
        <f t="shared" si="6"/>
        <v>234</v>
      </c>
      <c r="AA243" s="116">
        <v>0</v>
      </c>
      <c r="AB243" s="116">
        <f t="shared" si="7"/>
        <v>0</v>
      </c>
    </row>
    <row r="244" spans="1:28">
      <c r="A244" s="227"/>
      <c r="B244" s="332"/>
      <c r="C244" s="332" t="s">
        <v>19</v>
      </c>
      <c r="D244" s="102"/>
      <c r="E244" s="131">
        <f>+G244-Adjustments!H244</f>
        <v>0</v>
      </c>
      <c r="F244" s="131">
        <f>SUM(F239:F243)</f>
        <v>29323882</v>
      </c>
      <c r="G244" s="131">
        <f>SUM(G239:G243)</f>
        <v>3076992.0600000005</v>
      </c>
      <c r="H244" s="131">
        <f>SUM(H239:H243)</f>
        <v>0</v>
      </c>
      <c r="I244" s="131">
        <f>SUM(I239:I243)</f>
        <v>32400874.060000002</v>
      </c>
      <c r="J244" s="116"/>
      <c r="K244" s="116"/>
      <c r="L244" s="131"/>
      <c r="M244" s="131">
        <f>SUM(M239:M243)</f>
        <v>0</v>
      </c>
      <c r="N244" s="131">
        <f>SUM(N239:N243)</f>
        <v>32400874.060000002</v>
      </c>
      <c r="O244" s="272"/>
      <c r="P244" s="257"/>
      <c r="Q244" s="131">
        <f>SUM(Q239:Q243)</f>
        <v>0</v>
      </c>
      <c r="R244" s="131">
        <f>SUM(R239:R243)</f>
        <v>0</v>
      </c>
      <c r="S244" s="257"/>
      <c r="T244" s="131">
        <f>SUM(T239:T243)</f>
        <v>16387268.370000001</v>
      </c>
      <c r="U244" s="131">
        <f>SUM(U239:U243)</f>
        <v>16013605.689999999</v>
      </c>
      <c r="V244" s="273"/>
      <c r="W244" s="131">
        <f>HLOOKUP($W$9,'ROR-Model'!$Q$10:$U$1263,Y244)</f>
        <v>0</v>
      </c>
      <c r="X244" s="118"/>
      <c r="Y244" s="577">
        <f t="shared" si="6"/>
        <v>235</v>
      </c>
      <c r="AA244" s="131">
        <v>0</v>
      </c>
      <c r="AB244" s="116">
        <f t="shared" si="7"/>
        <v>0</v>
      </c>
    </row>
    <row r="245" spans="1:28">
      <c r="A245" s="227"/>
      <c r="B245" s="332"/>
      <c r="C245" s="332"/>
      <c r="D245" s="102"/>
      <c r="E245" s="116">
        <f>+G245-Adjustments!H245</f>
        <v>0</v>
      </c>
      <c r="F245" s="116"/>
      <c r="G245" s="116"/>
      <c r="H245" s="116"/>
      <c r="I245" s="116"/>
      <c r="J245" s="116"/>
      <c r="K245" s="116"/>
      <c r="L245" s="116"/>
      <c r="M245" s="116"/>
      <c r="N245" s="116"/>
      <c r="O245" s="272"/>
      <c r="P245" s="240"/>
      <c r="Q245" s="116"/>
      <c r="R245" s="116"/>
      <c r="S245" s="240"/>
      <c r="T245" s="116"/>
      <c r="U245" s="116"/>
      <c r="V245" s="273"/>
      <c r="W245" s="116"/>
      <c r="X245" s="118"/>
      <c r="Y245" s="577">
        <f t="shared" si="6"/>
        <v>236</v>
      </c>
      <c r="AA245" s="116"/>
      <c r="AB245" s="116">
        <f t="shared" si="7"/>
        <v>0</v>
      </c>
    </row>
    <row r="246" spans="1:28">
      <c r="A246" s="227"/>
      <c r="B246" s="332"/>
      <c r="C246" s="332" t="s">
        <v>20</v>
      </c>
      <c r="D246" s="102"/>
      <c r="E246" s="116">
        <f>+G246-Adjustments!H246</f>
        <v>0</v>
      </c>
      <c r="F246" s="116">
        <f>Revenue!$F$245</f>
        <v>3395528</v>
      </c>
      <c r="G246" s="116">
        <f>+Adjustments!AW246</f>
        <v>157327</v>
      </c>
      <c r="H246" s="116"/>
      <c r="I246" s="116">
        <f>SUM($F$246:$H$246)</f>
        <v>3552855</v>
      </c>
      <c r="J246" s="116"/>
      <c r="K246" s="116"/>
      <c r="L246" s="116" t="s">
        <v>24</v>
      </c>
      <c r="M246" s="116">
        <f>VLOOKUP($L246,$L$2:$N$7,2,FALSE)*I246</f>
        <v>0</v>
      </c>
      <c r="N246" s="116">
        <f>VLOOKUP($L246,$L$2:$N$7,3,FALSE)*I246</f>
        <v>3552855</v>
      </c>
      <c r="O246" s="272"/>
      <c r="P246" s="240" t="s">
        <v>560</v>
      </c>
      <c r="Q246" s="116">
        <f>IF(P246="G",M246,IF(P246="PT",0,ERR))</f>
        <v>0</v>
      </c>
      <c r="R246" s="116">
        <f>IF(P246="PT",M246,IF(P246="G",0,ERR))</f>
        <v>0</v>
      </c>
      <c r="S246" s="240" t="s">
        <v>560</v>
      </c>
      <c r="T246" s="116">
        <f>IF(S246="G",N246,IF(S246="PT",0,ERR))</f>
        <v>3552855</v>
      </c>
      <c r="U246" s="116">
        <f>IF(S246="PT",N246,IF(S246="G",0,ERR))</f>
        <v>0</v>
      </c>
      <c r="V246" s="273"/>
      <c r="W246" s="116">
        <f>HLOOKUP($W$9,'ROR-Model'!$Q$10:$U$1263,Y246)</f>
        <v>0</v>
      </c>
      <c r="X246" s="118"/>
      <c r="Y246" s="577">
        <f t="shared" si="6"/>
        <v>237</v>
      </c>
      <c r="AA246" s="116">
        <v>0</v>
      </c>
      <c r="AB246" s="116">
        <f t="shared" si="7"/>
        <v>0</v>
      </c>
    </row>
    <row r="247" spans="1:28">
      <c r="A247" s="227"/>
      <c r="B247" s="728"/>
      <c r="C247" s="728"/>
      <c r="D247" s="102"/>
      <c r="E247" s="116">
        <f>+G247-Adjustments!H247</f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272"/>
      <c r="P247" s="240"/>
      <c r="Q247" s="116"/>
      <c r="R247" s="116"/>
      <c r="S247" s="240"/>
      <c r="T247" s="116"/>
      <c r="U247" s="116"/>
      <c r="V247" s="273"/>
      <c r="W247" s="116"/>
      <c r="X247" s="118"/>
      <c r="Y247" s="577">
        <f t="shared" si="6"/>
        <v>238</v>
      </c>
      <c r="AA247" s="116"/>
      <c r="AB247" s="116">
        <f t="shared" si="7"/>
        <v>0</v>
      </c>
    </row>
    <row r="248" spans="1:28">
      <c r="A248" s="227"/>
      <c r="B248" s="332" t="s">
        <v>809</v>
      </c>
      <c r="C248" s="332" t="s">
        <v>16</v>
      </c>
      <c r="D248" s="102"/>
      <c r="E248" s="116">
        <f>+G248-Adjustments!H248</f>
        <v>0</v>
      </c>
      <c r="F248" s="116">
        <f>Revenue!$F$247</f>
        <v>167408</v>
      </c>
      <c r="G248" s="116">
        <f>+Adjustments!AW248</f>
        <v>-12432.640000000014</v>
      </c>
      <c r="H248" s="116"/>
      <c r="I248" s="116">
        <f>SUM($F$248:$H$248)</f>
        <v>154975.35999999999</v>
      </c>
      <c r="J248" s="116"/>
      <c r="K248" s="116"/>
      <c r="L248" s="116" t="s">
        <v>24</v>
      </c>
      <c r="M248" s="116">
        <f>VLOOKUP($L248,$L$2:$N$7,2,FALSE)*I248</f>
        <v>0</v>
      </c>
      <c r="N248" s="116">
        <f>VLOOKUP($L248,$L$2:$N$7,3,FALSE)*I248</f>
        <v>154975.35999999999</v>
      </c>
      <c r="O248" s="272"/>
      <c r="P248" s="240" t="s">
        <v>560</v>
      </c>
      <c r="Q248" s="116">
        <f>IF(P248="G",M248,IF(P248="PT",0,ERR))</f>
        <v>0</v>
      </c>
      <c r="R248" s="116">
        <f>IF(P248="PT",M248,IF(P248="G",0,ERR))</f>
        <v>0</v>
      </c>
      <c r="S248" s="240" t="s">
        <v>560</v>
      </c>
      <c r="T248" s="116">
        <f>IF(S248="G",N248,IF(S248="PT",0,ERR))</f>
        <v>154975.35999999999</v>
      </c>
      <c r="U248" s="116">
        <f>IF(S248="PT",N248,IF(S248="G",0,ERR))</f>
        <v>0</v>
      </c>
      <c r="V248" s="273"/>
      <c r="W248" s="116">
        <f>HLOOKUP($W$9,'ROR-Model'!$Q$10:$U$1263,Y248)</f>
        <v>0</v>
      </c>
      <c r="X248" s="118"/>
      <c r="Y248" s="577">
        <f t="shared" si="6"/>
        <v>239</v>
      </c>
      <c r="AA248" s="116">
        <v>0</v>
      </c>
      <c r="AB248" s="116">
        <f t="shared" si="7"/>
        <v>0</v>
      </c>
    </row>
    <row r="249" spans="1:28">
      <c r="A249" s="227"/>
      <c r="B249" s="332"/>
      <c r="C249" s="332"/>
      <c r="D249" s="102"/>
      <c r="E249" s="116">
        <f>+G249-Adjustments!H249</f>
        <v>0</v>
      </c>
      <c r="F249" s="116"/>
      <c r="G249" s="116"/>
      <c r="H249" s="116"/>
      <c r="I249" s="116"/>
      <c r="J249" s="116"/>
      <c r="K249" s="116"/>
      <c r="L249" s="116"/>
      <c r="M249" s="116"/>
      <c r="N249" s="116"/>
      <c r="O249" s="272"/>
      <c r="P249" s="240"/>
      <c r="Q249" s="116"/>
      <c r="R249" s="116"/>
      <c r="S249" s="240"/>
      <c r="T249" s="116"/>
      <c r="U249" s="116"/>
      <c r="V249" s="273"/>
      <c r="W249" s="116"/>
      <c r="X249" s="118"/>
      <c r="Y249" s="577">
        <f t="shared" si="6"/>
        <v>240</v>
      </c>
      <c r="AA249" s="116"/>
      <c r="AB249" s="116">
        <f t="shared" si="7"/>
        <v>0</v>
      </c>
    </row>
    <row r="250" spans="1:28">
      <c r="A250" s="227"/>
      <c r="B250" s="332"/>
      <c r="C250" s="332"/>
      <c r="D250" s="102"/>
      <c r="E250" s="116">
        <f>+G250-Adjustments!H250</f>
        <v>0</v>
      </c>
      <c r="F250" s="116"/>
      <c r="G250" s="116">
        <f>+Adjustments!AW250</f>
        <v>0</v>
      </c>
      <c r="H250" s="116"/>
      <c r="I250" s="116">
        <f>SUM($F$250:$H$250)</f>
        <v>0</v>
      </c>
      <c r="J250" s="116"/>
      <c r="K250" s="116"/>
      <c r="L250" s="116" t="s">
        <v>24</v>
      </c>
      <c r="M250" s="116">
        <f>VLOOKUP($L250,$L$2:$N$7,2,FALSE)*I250</f>
        <v>0</v>
      </c>
      <c r="N250" s="116">
        <f>VLOOKUP($L250,$L$2:$N$7,3,FALSE)*I250</f>
        <v>0</v>
      </c>
      <c r="O250" s="272"/>
      <c r="P250" s="240"/>
      <c r="Q250" s="116"/>
      <c r="R250" s="116"/>
      <c r="S250" s="240"/>
      <c r="T250" s="116"/>
      <c r="U250" s="116"/>
      <c r="V250" s="273"/>
      <c r="W250" s="116"/>
      <c r="X250" s="118"/>
      <c r="Y250" s="577">
        <f t="shared" si="6"/>
        <v>241</v>
      </c>
      <c r="AA250" s="116"/>
      <c r="AB250" s="116">
        <f t="shared" si="7"/>
        <v>0</v>
      </c>
    </row>
    <row r="251" spans="1:28">
      <c r="A251" s="227"/>
      <c r="B251" s="728"/>
      <c r="C251" s="728"/>
      <c r="D251" s="102"/>
      <c r="E251" s="116">
        <f>+G251-Adjustments!H251</f>
        <v>0</v>
      </c>
      <c r="F251" s="116"/>
      <c r="G251" s="116"/>
      <c r="H251" s="116"/>
      <c r="I251" s="116"/>
      <c r="J251" s="116"/>
      <c r="K251" s="116"/>
      <c r="L251" s="116"/>
      <c r="M251" s="116"/>
      <c r="N251" s="116"/>
      <c r="O251" s="272"/>
      <c r="P251" s="240"/>
      <c r="Q251" s="116"/>
      <c r="R251" s="116"/>
      <c r="S251" s="240"/>
      <c r="T251" s="116"/>
      <c r="U251" s="116"/>
      <c r="V251" s="273"/>
      <c r="W251" s="116"/>
      <c r="X251" s="118"/>
      <c r="Y251" s="577">
        <f t="shared" si="6"/>
        <v>242</v>
      </c>
      <c r="AA251" s="116"/>
      <c r="AB251" s="116">
        <f t="shared" si="7"/>
        <v>0</v>
      </c>
    </row>
    <row r="252" spans="1:28">
      <c r="A252" s="227"/>
      <c r="B252" s="332"/>
      <c r="C252" s="332" t="s">
        <v>18</v>
      </c>
      <c r="D252" s="102"/>
      <c r="E252" s="116">
        <f>+G252-Adjustments!H252</f>
        <v>0</v>
      </c>
      <c r="F252" s="116">
        <f>Revenue!$F$251</f>
        <v>859949</v>
      </c>
      <c r="G252" s="116">
        <f>+Adjustments!AW252</f>
        <v>-83174.050000000047</v>
      </c>
      <c r="H252" s="116"/>
      <c r="I252" s="116">
        <f>SUM($F$252:$H$252)</f>
        <v>776774.95</v>
      </c>
      <c r="J252" s="116"/>
      <c r="K252" s="116"/>
      <c r="L252" s="116" t="s">
        <v>24</v>
      </c>
      <c r="M252" s="116">
        <f>VLOOKUP($L252,$L$2:$N$7,2,FALSE)*I252</f>
        <v>0</v>
      </c>
      <c r="N252" s="116">
        <f>VLOOKUP($L252,$L$2:$N$7,3,FALSE)*I252</f>
        <v>776774.95</v>
      </c>
      <c r="O252" s="272"/>
      <c r="P252" s="240" t="s">
        <v>559</v>
      </c>
      <c r="Q252" s="116">
        <f>IF(P252="G",M252,IF(P252="PT",0,ERR))</f>
        <v>0</v>
      </c>
      <c r="R252" s="116">
        <f>IF(P252="PT",M252,IF(P252="G",0,ERR))</f>
        <v>0</v>
      </c>
      <c r="S252" s="240" t="s">
        <v>559</v>
      </c>
      <c r="T252" s="116">
        <f>IF(S252="G",N252,IF(S252="PT",0,ERR))</f>
        <v>0</v>
      </c>
      <c r="U252" s="116">
        <f>IF(S252="PT",N252,IF(S252="G",0,ERR))</f>
        <v>776774.95</v>
      </c>
      <c r="V252" s="273"/>
      <c r="W252" s="116">
        <f>HLOOKUP($W$9,'ROR-Model'!$Q$10:$U$1263,Y252)</f>
        <v>0</v>
      </c>
      <c r="X252" s="118"/>
      <c r="Y252" s="577">
        <f t="shared" si="6"/>
        <v>243</v>
      </c>
      <c r="AA252" s="116">
        <v>0</v>
      </c>
      <c r="AB252" s="116">
        <f t="shared" si="7"/>
        <v>0</v>
      </c>
    </row>
    <row r="253" spans="1:28">
      <c r="A253" s="227"/>
      <c r="B253" s="332"/>
      <c r="C253" s="332" t="s">
        <v>19</v>
      </c>
      <c r="D253" s="102"/>
      <c r="E253" s="131">
        <f>+G253-Adjustments!H253</f>
        <v>0</v>
      </c>
      <c r="F253" s="131">
        <f>SUM(F248:F252)</f>
        <v>1027357</v>
      </c>
      <c r="G253" s="131">
        <f>SUM(G248:G252)</f>
        <v>-95606.690000000061</v>
      </c>
      <c r="H253" s="131">
        <f>SUM(H248:H252)</f>
        <v>0</v>
      </c>
      <c r="I253" s="131">
        <f>SUM(I248:I252)</f>
        <v>931750.30999999994</v>
      </c>
      <c r="J253" s="116"/>
      <c r="K253" s="116"/>
      <c r="L253" s="131"/>
      <c r="M253" s="131">
        <f>SUM(M248:M252)</f>
        <v>0</v>
      </c>
      <c r="N253" s="131">
        <f>SUM(N248:N252)</f>
        <v>931750.30999999994</v>
      </c>
      <c r="O253" s="272"/>
      <c r="P253" s="257"/>
      <c r="Q253" s="131">
        <f>SUM(Q248:Q252)</f>
        <v>0</v>
      </c>
      <c r="R253" s="131">
        <f>SUM(R248:R252)</f>
        <v>0</v>
      </c>
      <c r="S253" s="257"/>
      <c r="T253" s="131">
        <f>SUM(T248:T252)</f>
        <v>154975.35999999999</v>
      </c>
      <c r="U253" s="131">
        <f>SUM(U248:U252)</f>
        <v>776774.95</v>
      </c>
      <c r="V253" s="273"/>
      <c r="W253" s="131">
        <f>HLOOKUP($W$9,'ROR-Model'!$Q$10:$U$1263,Y253)</f>
        <v>0</v>
      </c>
      <c r="X253" s="118"/>
      <c r="Y253" s="577">
        <f t="shared" si="6"/>
        <v>244</v>
      </c>
      <c r="AA253" s="131">
        <v>0</v>
      </c>
      <c r="AB253" s="116">
        <f t="shared" si="7"/>
        <v>0</v>
      </c>
    </row>
    <row r="254" spans="1:28">
      <c r="A254" s="227"/>
      <c r="B254" s="332"/>
      <c r="C254" s="332"/>
      <c r="D254" s="102"/>
      <c r="E254" s="116">
        <f>+G254-Adjustments!H254</f>
        <v>0</v>
      </c>
      <c r="F254" s="116"/>
      <c r="G254" s="116"/>
      <c r="H254" s="116"/>
      <c r="I254" s="116"/>
      <c r="J254" s="116"/>
      <c r="K254" s="116"/>
      <c r="L254" s="116"/>
      <c r="M254" s="116"/>
      <c r="N254" s="116"/>
      <c r="O254" s="272"/>
      <c r="P254" s="240"/>
      <c r="Q254" s="116"/>
      <c r="R254" s="116"/>
      <c r="S254" s="240"/>
      <c r="T254" s="116"/>
      <c r="U254" s="116"/>
      <c r="V254" s="273"/>
      <c r="W254" s="116"/>
      <c r="X254" s="118"/>
      <c r="Y254" s="577">
        <f t="shared" si="6"/>
        <v>245</v>
      </c>
      <c r="AA254" s="116"/>
      <c r="AB254" s="116">
        <f t="shared" si="7"/>
        <v>0</v>
      </c>
    </row>
    <row r="255" spans="1:28">
      <c r="A255" s="227"/>
      <c r="B255" s="332"/>
      <c r="C255" s="332" t="s">
        <v>20</v>
      </c>
      <c r="D255" s="102"/>
      <c r="E255" s="116">
        <f>+G255-Adjustments!H255</f>
        <v>0</v>
      </c>
      <c r="F255" s="116">
        <f>Revenue!$F$254</f>
        <v>171161</v>
      </c>
      <c r="G255" s="116">
        <f>+Adjustments!AW255</f>
        <v>1178</v>
      </c>
      <c r="H255" s="116"/>
      <c r="I255" s="116">
        <f>SUM($F$255:$H$255)</f>
        <v>172339</v>
      </c>
      <c r="J255" s="116"/>
      <c r="K255" s="116"/>
      <c r="L255" s="116" t="s">
        <v>24</v>
      </c>
      <c r="M255" s="116">
        <f>VLOOKUP($L255,$L$2:$N$7,2,FALSE)*I255</f>
        <v>0</v>
      </c>
      <c r="N255" s="116">
        <f>VLOOKUP($L255,$L$2:$N$7,3,FALSE)*I255</f>
        <v>172339</v>
      </c>
      <c r="O255" s="272"/>
      <c r="P255" s="240" t="s">
        <v>560</v>
      </c>
      <c r="Q255" s="116">
        <f>IF(P255="G",M255,IF(P255="PT",0,ERR))</f>
        <v>0</v>
      </c>
      <c r="R255" s="116">
        <f>IF(P255="PT",M255,IF(P255="G",0,ERR))</f>
        <v>0</v>
      </c>
      <c r="S255" s="240" t="s">
        <v>560</v>
      </c>
      <c r="T255" s="116">
        <f>IF(S255="G",N255,IF(S255="PT",0,ERR))</f>
        <v>172339</v>
      </c>
      <c r="U255" s="116">
        <f>IF(S255="PT",N255,IF(S255="G",0,ERR))</f>
        <v>0</v>
      </c>
      <c r="V255" s="273"/>
      <c r="W255" s="116">
        <f>HLOOKUP($W$9,'ROR-Model'!$Q$10:$U$1263,Y255)</f>
        <v>0</v>
      </c>
      <c r="X255" s="118"/>
      <c r="Y255" s="577">
        <f t="shared" si="6"/>
        <v>246</v>
      </c>
      <c r="AA255" s="116">
        <v>0</v>
      </c>
      <c r="AB255" s="116">
        <f t="shared" si="7"/>
        <v>0</v>
      </c>
    </row>
    <row r="256" spans="1:28">
      <c r="A256" s="227"/>
      <c r="B256" s="728"/>
      <c r="C256" s="728"/>
      <c r="D256" s="102"/>
      <c r="E256" s="116">
        <f>+G256-Adjustments!H256</f>
        <v>0</v>
      </c>
      <c r="F256" s="116"/>
      <c r="G256" s="116"/>
      <c r="H256" s="116"/>
      <c r="I256" s="116"/>
      <c r="J256" s="116"/>
      <c r="K256" s="116"/>
      <c r="L256" s="116"/>
      <c r="M256" s="116"/>
      <c r="N256" s="116"/>
      <c r="O256" s="272"/>
      <c r="P256" s="240"/>
      <c r="Q256" s="116"/>
      <c r="R256" s="116"/>
      <c r="S256" s="240"/>
      <c r="T256" s="116"/>
      <c r="U256" s="116"/>
      <c r="V256" s="273"/>
      <c r="W256" s="116"/>
      <c r="X256" s="118"/>
      <c r="Y256" s="577">
        <f t="shared" si="6"/>
        <v>247</v>
      </c>
      <c r="AA256" s="116"/>
      <c r="AB256" s="116">
        <f t="shared" si="7"/>
        <v>0</v>
      </c>
    </row>
    <row r="257" spans="1:28">
      <c r="A257" s="227"/>
      <c r="B257" s="332" t="s">
        <v>810</v>
      </c>
      <c r="C257" s="332" t="s">
        <v>16</v>
      </c>
      <c r="D257" s="102"/>
      <c r="E257" s="116">
        <f>+G257-Adjustments!H257</f>
        <v>0</v>
      </c>
      <c r="F257" s="116">
        <f>Revenue!$F$256</f>
        <v>61516.109690600002</v>
      </c>
      <c r="G257" s="116">
        <f>+Adjustments!AW257</f>
        <v>-28578.709690600008</v>
      </c>
      <c r="H257" s="116"/>
      <c r="I257" s="116">
        <f>SUM($F$257:$H$257)</f>
        <v>32937.399999999994</v>
      </c>
      <c r="J257" s="116"/>
      <c r="K257" s="116"/>
      <c r="L257" s="116" t="s">
        <v>24</v>
      </c>
      <c r="M257" s="116">
        <f>VLOOKUP($L257,$L$2:$N$7,2,FALSE)*I257</f>
        <v>0</v>
      </c>
      <c r="N257" s="116">
        <f>VLOOKUP($L257,$L$2:$N$7,3,FALSE)*I257</f>
        <v>32937.399999999994</v>
      </c>
      <c r="O257" s="272"/>
      <c r="P257" s="240" t="s">
        <v>560</v>
      </c>
      <c r="Q257" s="116">
        <f>IF(P257="G",M257,IF(P257="PT",0,ERR))</f>
        <v>0</v>
      </c>
      <c r="R257" s="116">
        <f>IF(P257="PT",M257,IF(P257="G",0,ERR))</f>
        <v>0</v>
      </c>
      <c r="S257" s="240" t="s">
        <v>560</v>
      </c>
      <c r="T257" s="116">
        <f>IF(S257="G",N257,IF(S257="PT",0,ERR))</f>
        <v>32937.399999999994</v>
      </c>
      <c r="U257" s="116">
        <f>IF(S257="PT",N257,IF(S257="G",0,ERR))</f>
        <v>0</v>
      </c>
      <c r="V257" s="273"/>
      <c r="W257" s="116">
        <f>HLOOKUP($W$9,'ROR-Model'!$Q$10:$U$1263,Y257)</f>
        <v>0</v>
      </c>
      <c r="X257" s="118"/>
      <c r="Y257" s="577">
        <f t="shared" si="6"/>
        <v>248</v>
      </c>
      <c r="AA257" s="116">
        <v>0</v>
      </c>
      <c r="AB257" s="116">
        <f t="shared" si="7"/>
        <v>0</v>
      </c>
    </row>
    <row r="258" spans="1:28">
      <c r="A258" s="227"/>
      <c r="B258" s="332"/>
      <c r="C258" s="332"/>
      <c r="D258" s="102"/>
      <c r="E258" s="116">
        <f>+G258-Adjustments!H258</f>
        <v>0</v>
      </c>
      <c r="F258" s="116"/>
      <c r="G258" s="116"/>
      <c r="H258" s="116"/>
      <c r="I258" s="116"/>
      <c r="J258" s="116"/>
      <c r="K258" s="116"/>
      <c r="L258" s="116"/>
      <c r="M258" s="116"/>
      <c r="N258" s="116"/>
      <c r="O258" s="272"/>
      <c r="P258" s="240"/>
      <c r="Q258" s="116"/>
      <c r="R258" s="116"/>
      <c r="S258" s="240"/>
      <c r="T258" s="116"/>
      <c r="U258" s="116"/>
      <c r="V258" s="273"/>
      <c r="W258" s="116"/>
      <c r="X258" s="118"/>
      <c r="Y258" s="577">
        <f t="shared" si="6"/>
        <v>249</v>
      </c>
      <c r="AA258" s="116"/>
      <c r="AB258" s="116">
        <f t="shared" si="7"/>
        <v>0</v>
      </c>
    </row>
    <row r="259" spans="1:28">
      <c r="A259" s="227"/>
      <c r="B259" s="332"/>
      <c r="C259" s="332"/>
      <c r="D259" s="102"/>
      <c r="E259" s="116">
        <f>+G259-Adjustments!H259</f>
        <v>0</v>
      </c>
      <c r="F259" s="116"/>
      <c r="G259" s="116">
        <f>+Adjustments!AW259</f>
        <v>0</v>
      </c>
      <c r="H259" s="116"/>
      <c r="I259" s="116">
        <f>SUM($F$259:$H$259)</f>
        <v>0</v>
      </c>
      <c r="J259" s="116"/>
      <c r="K259" s="116"/>
      <c r="L259" s="116" t="s">
        <v>24</v>
      </c>
      <c r="M259" s="116">
        <f>VLOOKUP($L259,$L$2:$N$7,2,FALSE)*I259</f>
        <v>0</v>
      </c>
      <c r="N259" s="116">
        <f>VLOOKUP($L259,$L$2:$N$7,3,FALSE)*I259</f>
        <v>0</v>
      </c>
      <c r="O259" s="272"/>
      <c r="P259" s="240"/>
      <c r="Q259" s="116"/>
      <c r="R259" s="116"/>
      <c r="S259" s="240"/>
      <c r="T259" s="116"/>
      <c r="U259" s="116"/>
      <c r="V259" s="273"/>
      <c r="W259" s="116"/>
      <c r="X259" s="118"/>
      <c r="Y259" s="577">
        <f t="shared" si="6"/>
        <v>250</v>
      </c>
      <c r="AA259" s="116"/>
      <c r="AB259" s="116">
        <f t="shared" si="7"/>
        <v>0</v>
      </c>
    </row>
    <row r="260" spans="1:28">
      <c r="A260" s="227"/>
      <c r="B260" s="728"/>
      <c r="C260" s="728"/>
      <c r="D260" s="102"/>
      <c r="E260" s="116">
        <f>+G260-Adjustments!H260</f>
        <v>0</v>
      </c>
      <c r="F260" s="116"/>
      <c r="G260" s="116"/>
      <c r="H260" s="116"/>
      <c r="I260" s="116"/>
      <c r="J260" s="116"/>
      <c r="K260" s="116"/>
      <c r="L260" s="116"/>
      <c r="M260" s="116"/>
      <c r="N260" s="116"/>
      <c r="O260" s="272"/>
      <c r="P260" s="240"/>
      <c r="Q260" s="116"/>
      <c r="R260" s="116"/>
      <c r="S260" s="240"/>
      <c r="T260" s="116"/>
      <c r="U260" s="116"/>
      <c r="V260" s="273"/>
      <c r="W260" s="116"/>
      <c r="X260" s="118"/>
      <c r="Y260" s="577">
        <f t="shared" si="6"/>
        <v>251</v>
      </c>
      <c r="AA260" s="116"/>
      <c r="AB260" s="116">
        <f t="shared" si="7"/>
        <v>0</v>
      </c>
    </row>
    <row r="261" spans="1:28">
      <c r="A261" s="227"/>
      <c r="B261" s="332"/>
      <c r="C261" s="332" t="s">
        <v>18</v>
      </c>
      <c r="D261" s="102"/>
      <c r="E261" s="116">
        <f>+G261-Adjustments!H261</f>
        <v>0</v>
      </c>
      <c r="F261" s="116">
        <f>Revenue!$F$260</f>
        <v>34019.620309400001</v>
      </c>
      <c r="G261" s="116">
        <f>+Adjustments!AW261</f>
        <v>-14476.180309399999</v>
      </c>
      <c r="H261" s="116"/>
      <c r="I261" s="116">
        <f>SUM($F$261:$H$261)</f>
        <v>19543.440000000002</v>
      </c>
      <c r="J261" s="116"/>
      <c r="K261" s="116"/>
      <c r="L261" s="116" t="s">
        <v>24</v>
      </c>
      <c r="M261" s="116">
        <f>VLOOKUP($L261,$L$2:$N$7,2,FALSE)*I261</f>
        <v>0</v>
      </c>
      <c r="N261" s="116">
        <f>VLOOKUP($L261,$L$2:$N$7,3,FALSE)*I261</f>
        <v>19543.440000000002</v>
      </c>
      <c r="O261" s="272"/>
      <c r="P261" s="240" t="s">
        <v>559</v>
      </c>
      <c r="Q261" s="116">
        <f>IF(P261="G",M261,IF(P261="PT",0,ERR))</f>
        <v>0</v>
      </c>
      <c r="R261" s="116">
        <f>IF(P261="PT",M261,IF(P261="G",0,ERR))</f>
        <v>0</v>
      </c>
      <c r="S261" s="240" t="s">
        <v>559</v>
      </c>
      <c r="T261" s="116">
        <f>IF(S261="G",N261,IF(S261="PT",0,ERR))</f>
        <v>0</v>
      </c>
      <c r="U261" s="116">
        <f>IF(S261="PT",N261,IF(S261="G",0,ERR))</f>
        <v>19543.440000000002</v>
      </c>
      <c r="V261" s="273"/>
      <c r="W261" s="116">
        <f>HLOOKUP($W$9,'ROR-Model'!$Q$10:$U$1263,Y261)</f>
        <v>0</v>
      </c>
      <c r="X261" s="118"/>
      <c r="Y261" s="577">
        <f t="shared" si="6"/>
        <v>252</v>
      </c>
      <c r="AA261" s="116">
        <v>0</v>
      </c>
      <c r="AB261" s="116">
        <f t="shared" si="7"/>
        <v>0</v>
      </c>
    </row>
    <row r="262" spans="1:28">
      <c r="A262" s="227"/>
      <c r="B262" s="332"/>
      <c r="C262" s="332" t="s">
        <v>19</v>
      </c>
      <c r="D262" s="102"/>
      <c r="E262" s="131">
        <f>+G262-Adjustments!H262</f>
        <v>0</v>
      </c>
      <c r="F262" s="131">
        <f>SUM(F257:F261)</f>
        <v>95535.73000000001</v>
      </c>
      <c r="G262" s="131">
        <f>SUM(G257:G261)</f>
        <v>-43054.890000000007</v>
      </c>
      <c r="H262" s="131">
        <f>SUM(H257:H261)</f>
        <v>0</v>
      </c>
      <c r="I262" s="131">
        <f>SUM(I257:I261)</f>
        <v>52480.84</v>
      </c>
      <c r="J262" s="116"/>
      <c r="K262" s="116"/>
      <c r="L262" s="131"/>
      <c r="M262" s="131">
        <f>SUM(M257:M261)</f>
        <v>0</v>
      </c>
      <c r="N262" s="131">
        <f>SUM(N257:N261)</f>
        <v>52480.84</v>
      </c>
      <c r="O262" s="272"/>
      <c r="P262" s="257"/>
      <c r="Q262" s="131">
        <f>SUM(Q257:Q261)</f>
        <v>0</v>
      </c>
      <c r="R262" s="131">
        <f>SUM(R257:R261)</f>
        <v>0</v>
      </c>
      <c r="S262" s="257"/>
      <c r="T262" s="131">
        <f>SUM(T257:T261)</f>
        <v>32937.399999999994</v>
      </c>
      <c r="U262" s="131">
        <f>SUM(U257:U261)</f>
        <v>19543.440000000002</v>
      </c>
      <c r="V262" s="273"/>
      <c r="W262" s="131">
        <f>HLOOKUP($W$9,'ROR-Model'!$Q$10:$U$1263,Y262)</f>
        <v>0</v>
      </c>
      <c r="X262" s="118"/>
      <c r="Y262" s="577">
        <f t="shared" si="6"/>
        <v>253</v>
      </c>
      <c r="AA262" s="131">
        <v>0</v>
      </c>
      <c r="AB262" s="116">
        <f t="shared" si="7"/>
        <v>0</v>
      </c>
    </row>
    <row r="263" spans="1:28">
      <c r="A263" s="227"/>
      <c r="B263" s="332"/>
      <c r="C263" s="332"/>
      <c r="D263" s="102"/>
      <c r="E263" s="116">
        <f>+G263-Adjustments!H263</f>
        <v>0</v>
      </c>
      <c r="F263" s="116"/>
      <c r="G263" s="116"/>
      <c r="H263" s="116"/>
      <c r="I263" s="116"/>
      <c r="J263" s="116"/>
      <c r="K263" s="116"/>
      <c r="L263" s="116"/>
      <c r="M263" s="116"/>
      <c r="N263" s="116"/>
      <c r="O263" s="272"/>
      <c r="P263" s="240"/>
      <c r="Q263" s="116"/>
      <c r="R263" s="116"/>
      <c r="S263" s="240"/>
      <c r="T263" s="116"/>
      <c r="U263" s="116"/>
      <c r="V263" s="273"/>
      <c r="W263" s="116"/>
      <c r="X263" s="118"/>
      <c r="Y263" s="577">
        <f t="shared" si="6"/>
        <v>254</v>
      </c>
      <c r="AA263" s="116"/>
      <c r="AB263" s="116">
        <f t="shared" si="7"/>
        <v>0</v>
      </c>
    </row>
    <row r="264" spans="1:28">
      <c r="A264" s="227"/>
      <c r="B264" s="332"/>
      <c r="C264" s="332" t="s">
        <v>20</v>
      </c>
      <c r="D264" s="102"/>
      <c r="E264" s="116">
        <f>+G264-Adjustments!H264</f>
        <v>0</v>
      </c>
      <c r="F264" s="116">
        <f>Revenue!$F$263</f>
        <v>6776.8700000000008</v>
      </c>
      <c r="G264" s="116">
        <f>+Adjustments!AW264</f>
        <v>-2440.8700000000008</v>
      </c>
      <c r="H264" s="116"/>
      <c r="I264" s="116">
        <f>SUM($F$264:$H$264)</f>
        <v>4336</v>
      </c>
      <c r="J264" s="116"/>
      <c r="K264" s="116"/>
      <c r="L264" s="116" t="s">
        <v>24</v>
      </c>
      <c r="M264" s="116">
        <f>VLOOKUP($L264,$L$2:$N$7,2,FALSE)*I264</f>
        <v>0</v>
      </c>
      <c r="N264" s="116">
        <f>VLOOKUP($L264,$L$2:$N$7,3,FALSE)*I264</f>
        <v>4336</v>
      </c>
      <c r="O264" s="272"/>
      <c r="P264" s="240" t="s">
        <v>560</v>
      </c>
      <c r="Q264" s="116">
        <f>IF(P264="G",M264,IF(P264="PT",0,ERR))</f>
        <v>0</v>
      </c>
      <c r="R264" s="116">
        <f>IF(P264="PT",M264,IF(P264="G",0,ERR))</f>
        <v>0</v>
      </c>
      <c r="S264" s="240" t="s">
        <v>560</v>
      </c>
      <c r="T264" s="116">
        <f>IF(S264="G",N264,IF(S264="PT",0,ERR))</f>
        <v>4336</v>
      </c>
      <c r="U264" s="116">
        <f>IF(S264="PT",N264,IF(S264="G",0,ERR))</f>
        <v>0</v>
      </c>
      <c r="V264" s="273"/>
      <c r="W264" s="116">
        <f>HLOOKUP($W$9,'ROR-Model'!$Q$10:$U$1263,Y264)</f>
        <v>0</v>
      </c>
      <c r="X264" s="118"/>
      <c r="Y264" s="577">
        <f t="shared" si="6"/>
        <v>255</v>
      </c>
      <c r="AA264" s="116">
        <v>0</v>
      </c>
      <c r="AB264" s="116">
        <f t="shared" si="7"/>
        <v>0</v>
      </c>
    </row>
    <row r="265" spans="1:28">
      <c r="A265" s="227"/>
      <c r="B265" s="728"/>
      <c r="C265" s="728"/>
      <c r="D265" s="102"/>
      <c r="E265" s="116">
        <f>+G265-Adjustments!H265</f>
        <v>0</v>
      </c>
      <c r="F265" s="116"/>
      <c r="G265" s="116"/>
      <c r="H265" s="116"/>
      <c r="I265" s="116"/>
      <c r="J265" s="116"/>
      <c r="K265" s="116"/>
      <c r="L265" s="116"/>
      <c r="M265" s="116"/>
      <c r="N265" s="116"/>
      <c r="O265" s="272"/>
      <c r="P265" s="240"/>
      <c r="Q265" s="116"/>
      <c r="R265" s="116"/>
      <c r="S265" s="240"/>
      <c r="T265" s="116"/>
      <c r="U265" s="116"/>
      <c r="V265" s="273"/>
      <c r="W265" s="116"/>
      <c r="X265" s="118"/>
      <c r="Y265" s="577">
        <f t="shared" si="6"/>
        <v>256</v>
      </c>
      <c r="AA265" s="116"/>
      <c r="AB265" s="116">
        <f t="shared" si="7"/>
        <v>0</v>
      </c>
    </row>
    <row r="266" spans="1:28">
      <c r="A266" s="227"/>
      <c r="B266" s="332" t="s">
        <v>765</v>
      </c>
      <c r="C266" s="332" t="s">
        <v>16</v>
      </c>
      <c r="D266" s="102"/>
      <c r="E266" s="116">
        <f>+G266-Adjustments!H266</f>
        <v>0</v>
      </c>
      <c r="F266" s="116">
        <f>Revenue!$F$265</f>
        <v>0</v>
      </c>
      <c r="G266" s="116">
        <f>+Adjustments!AW266</f>
        <v>0</v>
      </c>
      <c r="H266" s="116"/>
      <c r="I266" s="116">
        <f>SUM($F$266:$H$266)</f>
        <v>0</v>
      </c>
      <c r="J266" s="116"/>
      <c r="K266" s="116"/>
      <c r="L266" s="116" t="s">
        <v>24</v>
      </c>
      <c r="M266" s="116">
        <f>VLOOKUP($L266,$L$2:$N$7,2,FALSE)*I266</f>
        <v>0</v>
      </c>
      <c r="N266" s="116">
        <f>VLOOKUP($L266,$L$2:$N$7,3,FALSE)*I266</f>
        <v>0</v>
      </c>
      <c r="O266" s="272"/>
      <c r="P266" s="240" t="s">
        <v>560</v>
      </c>
      <c r="Q266" s="116">
        <f>IF(P266="G",M266,IF(P266="PT",0,ERR))</f>
        <v>0</v>
      </c>
      <c r="R266" s="116">
        <f>IF(P266="PT",M266,IF(P266="G",0,ERR))</f>
        <v>0</v>
      </c>
      <c r="S266" s="240" t="s">
        <v>560</v>
      </c>
      <c r="T266" s="116">
        <f>IF(S266="G",N266,IF(S266="PT",0,ERR))</f>
        <v>0</v>
      </c>
      <c r="U266" s="116">
        <f>IF(S266="PT",N266,IF(S266="G",0,ERR))</f>
        <v>0</v>
      </c>
      <c r="V266" s="273"/>
      <c r="W266" s="116">
        <f>HLOOKUP($W$9,'ROR-Model'!$Q$10:$U$1263,Y266)</f>
        <v>0</v>
      </c>
      <c r="X266" s="118"/>
      <c r="Y266" s="577">
        <f t="shared" si="6"/>
        <v>257</v>
      </c>
      <c r="AA266" s="116">
        <v>0</v>
      </c>
      <c r="AB266" s="116">
        <f t="shared" si="7"/>
        <v>0</v>
      </c>
    </row>
    <row r="267" spans="1:28">
      <c r="A267" s="227"/>
      <c r="B267" s="332"/>
      <c r="C267" s="332"/>
      <c r="D267" s="102"/>
      <c r="E267" s="116">
        <f>+G267-Adjustments!H267</f>
        <v>0</v>
      </c>
      <c r="F267" s="116"/>
      <c r="G267" s="116"/>
      <c r="H267" s="116"/>
      <c r="I267" s="116"/>
      <c r="J267" s="116"/>
      <c r="K267" s="116"/>
      <c r="L267" s="116"/>
      <c r="M267" s="116"/>
      <c r="N267" s="116"/>
      <c r="O267" s="272"/>
      <c r="P267" s="240"/>
      <c r="Q267" s="116"/>
      <c r="R267" s="116"/>
      <c r="S267" s="240"/>
      <c r="T267" s="116"/>
      <c r="U267" s="116"/>
      <c r="V267" s="273"/>
      <c r="W267" s="116"/>
      <c r="X267" s="118"/>
      <c r="Y267" s="577">
        <f t="shared" si="6"/>
        <v>258</v>
      </c>
      <c r="AA267" s="116"/>
      <c r="AB267" s="116">
        <f t="shared" si="7"/>
        <v>0</v>
      </c>
    </row>
    <row r="268" spans="1:28">
      <c r="A268" s="227"/>
      <c r="B268" s="332"/>
      <c r="C268" s="332"/>
      <c r="D268" s="102"/>
      <c r="E268" s="116">
        <f>+G268-Adjustments!H268</f>
        <v>0</v>
      </c>
      <c r="F268" s="116"/>
      <c r="G268" s="116">
        <f>+Adjustments!AW268</f>
        <v>0</v>
      </c>
      <c r="H268" s="116"/>
      <c r="I268" s="116">
        <f>SUM($F$268:$H$268)</f>
        <v>0</v>
      </c>
      <c r="J268" s="116"/>
      <c r="K268" s="116"/>
      <c r="L268" s="116" t="s">
        <v>24</v>
      </c>
      <c r="M268" s="116">
        <f>VLOOKUP($L268,$L$2:$N$7,2,FALSE)*I268</f>
        <v>0</v>
      </c>
      <c r="N268" s="116">
        <f>VLOOKUP($L268,$L$2:$N$7,3,FALSE)*I268</f>
        <v>0</v>
      </c>
      <c r="O268" s="272"/>
      <c r="P268" s="240"/>
      <c r="Q268" s="116"/>
      <c r="R268" s="116"/>
      <c r="S268" s="240"/>
      <c r="T268" s="116"/>
      <c r="U268" s="116"/>
      <c r="V268" s="273"/>
      <c r="W268" s="116"/>
      <c r="X268" s="118"/>
      <c r="Y268" s="577">
        <f t="shared" ref="Y268:Y333" si="9">Y267+1</f>
        <v>259</v>
      </c>
      <c r="AA268" s="116"/>
      <c r="AB268" s="116">
        <f t="shared" si="7"/>
        <v>0</v>
      </c>
    </row>
    <row r="269" spans="1:28">
      <c r="A269" s="227"/>
      <c r="B269" s="728"/>
      <c r="C269" s="728"/>
      <c r="D269" s="102"/>
      <c r="E269" s="116">
        <f>+G269-Adjustments!H269</f>
        <v>0</v>
      </c>
      <c r="F269" s="116"/>
      <c r="G269" s="116"/>
      <c r="H269" s="116"/>
      <c r="I269" s="116"/>
      <c r="J269" s="116"/>
      <c r="K269" s="116"/>
      <c r="L269" s="116"/>
      <c r="M269" s="116"/>
      <c r="N269" s="116"/>
      <c r="O269" s="272"/>
      <c r="P269" s="240"/>
      <c r="Q269" s="116"/>
      <c r="R269" s="116"/>
      <c r="S269" s="240"/>
      <c r="T269" s="116"/>
      <c r="U269" s="116"/>
      <c r="V269" s="273"/>
      <c r="W269" s="116"/>
      <c r="X269" s="118"/>
      <c r="Y269" s="577">
        <f t="shared" si="9"/>
        <v>260</v>
      </c>
      <c r="AA269" s="116"/>
      <c r="AB269" s="116">
        <f t="shared" si="7"/>
        <v>0</v>
      </c>
    </row>
    <row r="270" spans="1:28">
      <c r="A270" s="227"/>
      <c r="B270" s="332"/>
      <c r="C270" s="332" t="s">
        <v>18</v>
      </c>
      <c r="D270" s="102"/>
      <c r="E270" s="116">
        <f>+G270-Adjustments!H270</f>
        <v>0</v>
      </c>
      <c r="F270" s="116">
        <f>Revenue!$F$269</f>
        <v>0</v>
      </c>
      <c r="G270" s="116">
        <f>+Adjustments!AW270</f>
        <v>0</v>
      </c>
      <c r="H270" s="116"/>
      <c r="I270" s="116">
        <f>SUM($F$270:$H$270)</f>
        <v>0</v>
      </c>
      <c r="J270" s="116"/>
      <c r="K270" s="116"/>
      <c r="L270" s="116" t="s">
        <v>24</v>
      </c>
      <c r="M270" s="116">
        <f>VLOOKUP($L270,$L$2:$N$7,2,FALSE)*I270</f>
        <v>0</v>
      </c>
      <c r="N270" s="116">
        <f>VLOOKUP($L270,$L$2:$N$7,3,FALSE)*I270</f>
        <v>0</v>
      </c>
      <c r="O270" s="272"/>
      <c r="P270" s="240" t="s">
        <v>559</v>
      </c>
      <c r="Q270" s="116">
        <f>IF(P270="G",M270,IF(P270="PT",0,ERR))</f>
        <v>0</v>
      </c>
      <c r="R270" s="116">
        <f>IF(P270="PT",M270,IF(P270="G",0,ERR))</f>
        <v>0</v>
      </c>
      <c r="S270" s="240" t="s">
        <v>559</v>
      </c>
      <c r="T270" s="116">
        <f>IF(S270="G",N270,IF(S270="PT",0,ERR))</f>
        <v>0</v>
      </c>
      <c r="U270" s="116">
        <f>IF(S270="PT",N270,IF(S270="G",0,ERR))</f>
        <v>0</v>
      </c>
      <c r="V270" s="273"/>
      <c r="W270" s="116">
        <f>HLOOKUP($W$9,'ROR-Model'!$Q$10:$U$1263,Y270)</f>
        <v>0</v>
      </c>
      <c r="X270" s="118"/>
      <c r="Y270" s="577">
        <f t="shared" si="9"/>
        <v>261</v>
      </c>
      <c r="AA270" s="116">
        <v>0</v>
      </c>
      <c r="AB270" s="116">
        <f t="shared" si="7"/>
        <v>0</v>
      </c>
    </row>
    <row r="271" spans="1:28">
      <c r="A271" s="227"/>
      <c r="B271" s="332"/>
      <c r="C271" s="332" t="s">
        <v>19</v>
      </c>
      <c r="D271" s="102"/>
      <c r="E271" s="131">
        <f>+G271-Adjustments!H271</f>
        <v>0</v>
      </c>
      <c r="F271" s="131">
        <f>SUM(F266:F270)</f>
        <v>0</v>
      </c>
      <c r="G271" s="131">
        <f>SUM(G266:G270)</f>
        <v>0</v>
      </c>
      <c r="H271" s="131">
        <f>SUM(H266:H270)</f>
        <v>0</v>
      </c>
      <c r="I271" s="131">
        <f>SUM(I266:I270)</f>
        <v>0</v>
      </c>
      <c r="J271" s="116"/>
      <c r="K271" s="116"/>
      <c r="L271" s="131"/>
      <c r="M271" s="131">
        <f>SUM(M266:M270)</f>
        <v>0</v>
      </c>
      <c r="N271" s="131">
        <f>SUM(N266:N270)</f>
        <v>0</v>
      </c>
      <c r="O271" s="272"/>
      <c r="P271" s="257"/>
      <c r="Q271" s="131">
        <f>SUM(Q266:Q270)</f>
        <v>0</v>
      </c>
      <c r="R271" s="131">
        <f>SUM(R266:R270)</f>
        <v>0</v>
      </c>
      <c r="S271" s="257"/>
      <c r="T271" s="131">
        <f>SUM(T266:T270)</f>
        <v>0</v>
      </c>
      <c r="U271" s="131">
        <f>SUM(U266:U270)</f>
        <v>0</v>
      </c>
      <c r="V271" s="273"/>
      <c r="W271" s="131">
        <f>HLOOKUP($W$9,'ROR-Model'!$Q$10:$U$1263,Y271)</f>
        <v>0</v>
      </c>
      <c r="X271" s="118"/>
      <c r="Y271" s="577">
        <f t="shared" si="9"/>
        <v>262</v>
      </c>
      <c r="AA271" s="131">
        <v>0</v>
      </c>
      <c r="AB271" s="116">
        <f t="shared" si="7"/>
        <v>0</v>
      </c>
    </row>
    <row r="272" spans="1:28">
      <c r="A272" s="227"/>
      <c r="B272" s="332"/>
      <c r="C272" s="332"/>
      <c r="D272" s="102"/>
      <c r="E272" s="116">
        <f>+G272-Adjustments!H272</f>
        <v>0</v>
      </c>
      <c r="F272" s="116"/>
      <c r="G272" s="116"/>
      <c r="H272" s="116"/>
      <c r="I272" s="116"/>
      <c r="J272" s="116"/>
      <c r="K272" s="116"/>
      <c r="L272" s="116"/>
      <c r="M272" s="116"/>
      <c r="N272" s="116"/>
      <c r="O272" s="272"/>
      <c r="P272" s="240"/>
      <c r="Q272" s="116"/>
      <c r="R272" s="116"/>
      <c r="S272" s="240"/>
      <c r="T272" s="116"/>
      <c r="U272" s="116"/>
      <c r="V272" s="273"/>
      <c r="W272" s="116"/>
      <c r="X272" s="118"/>
      <c r="Y272" s="577">
        <f t="shared" si="9"/>
        <v>263</v>
      </c>
      <c r="AA272" s="116"/>
      <c r="AB272" s="116">
        <f t="shared" si="7"/>
        <v>0</v>
      </c>
    </row>
    <row r="273" spans="1:28">
      <c r="A273" s="227"/>
      <c r="B273" s="332"/>
      <c r="C273" s="332" t="s">
        <v>20</v>
      </c>
      <c r="D273" s="102"/>
      <c r="E273" s="116">
        <f>+G273-Adjustments!H273</f>
        <v>0</v>
      </c>
      <c r="F273" s="116">
        <f>Revenue!$F$272</f>
        <v>0</v>
      </c>
      <c r="G273" s="116">
        <f>+Adjustments!AW273</f>
        <v>0</v>
      </c>
      <c r="H273" s="116"/>
      <c r="I273" s="116">
        <f>SUM($F$273:$H$273)</f>
        <v>0</v>
      </c>
      <c r="J273" s="116"/>
      <c r="K273" s="116"/>
      <c r="L273" s="116" t="s">
        <v>24</v>
      </c>
      <c r="M273" s="116">
        <f>VLOOKUP($L273,$L$2:$N$7,2,FALSE)*I273</f>
        <v>0</v>
      </c>
      <c r="N273" s="116">
        <f>VLOOKUP($L273,$L$2:$N$7,3,FALSE)*I273</f>
        <v>0</v>
      </c>
      <c r="O273" s="272"/>
      <c r="P273" s="240" t="s">
        <v>560</v>
      </c>
      <c r="Q273" s="116">
        <f>IF(P273="G",M273,IF(P273="PT",0,ERR))</f>
        <v>0</v>
      </c>
      <c r="R273" s="116">
        <f>IF(P273="PT",M273,IF(P273="G",0,ERR))</f>
        <v>0</v>
      </c>
      <c r="S273" s="240" t="s">
        <v>560</v>
      </c>
      <c r="T273" s="116">
        <f>IF(S273="G",N273,IF(S273="PT",0,ERR))</f>
        <v>0</v>
      </c>
      <c r="U273" s="116">
        <f>IF(S273="PT",N273,IF(S273="G",0,ERR))</f>
        <v>0</v>
      </c>
      <c r="V273" s="273"/>
      <c r="W273" s="116">
        <f>HLOOKUP($W$9,'ROR-Model'!$Q$10:$U$1263,Y273)</f>
        <v>0</v>
      </c>
      <c r="X273" s="118"/>
      <c r="Y273" s="577">
        <f t="shared" si="9"/>
        <v>264</v>
      </c>
      <c r="AA273" s="116">
        <v>0</v>
      </c>
      <c r="AB273" s="116">
        <f t="shared" ref="AB273:AB336" si="10">W273-AA273</f>
        <v>0</v>
      </c>
    </row>
    <row r="274" spans="1:28">
      <c r="A274" s="227"/>
      <c r="B274" s="728"/>
      <c r="C274" s="728"/>
      <c r="D274" s="102"/>
      <c r="E274" s="116">
        <f>+G274-Adjustments!H274</f>
        <v>0</v>
      </c>
      <c r="F274" s="116"/>
      <c r="G274" s="116"/>
      <c r="H274" s="116"/>
      <c r="I274" s="116"/>
      <c r="J274" s="116"/>
      <c r="K274" s="116"/>
      <c r="L274" s="116"/>
      <c r="M274" s="116"/>
      <c r="N274" s="116"/>
      <c r="O274" s="272"/>
      <c r="P274" s="240"/>
      <c r="Q274" s="116"/>
      <c r="R274" s="116"/>
      <c r="S274" s="240"/>
      <c r="T274" s="116"/>
      <c r="U274" s="116"/>
      <c r="V274" s="273"/>
      <c r="W274" s="116"/>
      <c r="X274" s="118"/>
      <c r="Y274" s="577">
        <f t="shared" si="9"/>
        <v>265</v>
      </c>
      <c r="AA274" s="116"/>
      <c r="AB274" s="116">
        <f t="shared" si="10"/>
        <v>0</v>
      </c>
    </row>
    <row r="275" spans="1:28">
      <c r="A275" s="227"/>
      <c r="B275" s="332" t="s">
        <v>88</v>
      </c>
      <c r="C275" s="728" t="s">
        <v>16</v>
      </c>
      <c r="D275" s="102"/>
      <c r="E275" s="116">
        <f>+G275-Adjustments!H275</f>
        <v>0</v>
      </c>
      <c r="F275" s="116">
        <f>Revenue!$F$274</f>
        <v>52514</v>
      </c>
      <c r="G275" s="116">
        <f>+Adjustments!AW275</f>
        <v>2828.0699999999997</v>
      </c>
      <c r="H275" s="116"/>
      <c r="I275" s="116">
        <f>SUM($F$275:$H$275)</f>
        <v>55342.07</v>
      </c>
      <c r="J275" s="116"/>
      <c r="K275" s="116"/>
      <c r="L275" s="116" t="s">
        <v>24</v>
      </c>
      <c r="M275" s="116">
        <f>VLOOKUP($L275,$L$2:$N$7,2,FALSE)*I275</f>
        <v>0</v>
      </c>
      <c r="N275" s="116">
        <f>VLOOKUP($L275,$L$2:$N$7,3,FALSE)*I275</f>
        <v>55342.07</v>
      </c>
      <c r="O275" s="272"/>
      <c r="P275" s="240" t="s">
        <v>560</v>
      </c>
      <c r="Q275" s="116">
        <f>IF(P275="G",M275,IF(P275="PT",0,ERR))</f>
        <v>0</v>
      </c>
      <c r="R275" s="116">
        <f>IF(P275="PT",M275,IF(P275="G",0,ERR))</f>
        <v>0</v>
      </c>
      <c r="S275" s="240" t="s">
        <v>559</v>
      </c>
      <c r="T275" s="116">
        <f>IF(S275="G",N275,IF(S275="PT",0,ERR))</f>
        <v>0</v>
      </c>
      <c r="U275" s="116">
        <f>IF(S275="PT",N275,IF(S275="G",0,ERR))</f>
        <v>55342.07</v>
      </c>
      <c r="V275" s="273"/>
      <c r="W275" s="116">
        <f>HLOOKUP($W$9,'ROR-Model'!$Q$10:$U$1263,Y275)</f>
        <v>0</v>
      </c>
      <c r="X275" s="118"/>
      <c r="Y275" s="577">
        <f t="shared" si="9"/>
        <v>266</v>
      </c>
      <c r="AA275" s="116">
        <v>0</v>
      </c>
      <c r="AB275" s="116">
        <f t="shared" si="10"/>
        <v>0</v>
      </c>
    </row>
    <row r="276" spans="1:28">
      <c r="A276" s="227"/>
      <c r="B276" s="728"/>
      <c r="C276" s="728"/>
      <c r="D276" s="165" t="s">
        <v>467</v>
      </c>
      <c r="E276" s="116">
        <f>+G276-Adjustments!H276</f>
        <v>0</v>
      </c>
      <c r="F276" s="116"/>
      <c r="G276" s="116"/>
      <c r="H276" s="116"/>
      <c r="I276" s="116"/>
      <c r="J276" s="116"/>
      <c r="K276" s="116"/>
      <c r="L276" s="116"/>
      <c r="M276" s="116"/>
      <c r="N276" s="116"/>
      <c r="O276" s="272"/>
      <c r="P276" s="240"/>
      <c r="Q276" s="116"/>
      <c r="R276" s="116"/>
      <c r="S276" s="240"/>
      <c r="T276" s="116"/>
      <c r="U276" s="116"/>
      <c r="V276" s="273"/>
      <c r="W276" s="116"/>
      <c r="X276" s="118"/>
      <c r="Y276" s="577">
        <f t="shared" si="9"/>
        <v>267</v>
      </c>
      <c r="AA276" s="116"/>
      <c r="AB276" s="116">
        <f t="shared" si="10"/>
        <v>0</v>
      </c>
    </row>
    <row r="277" spans="1:28">
      <c r="A277" s="227"/>
      <c r="B277" s="728"/>
      <c r="C277" s="728" t="s">
        <v>17</v>
      </c>
      <c r="D277" s="102"/>
      <c r="E277" s="116">
        <f>+G277-Adjustments!H277</f>
        <v>0</v>
      </c>
      <c r="F277" s="116">
        <f>Revenue!$F$276</f>
        <v>-36</v>
      </c>
      <c r="G277" s="116">
        <f>+Adjustments!AW277</f>
        <v>27053.749999999993</v>
      </c>
      <c r="H277" s="116"/>
      <c r="I277" s="116">
        <f>SUM($F$277:$H$277)</f>
        <v>27017.749999999993</v>
      </c>
      <c r="J277" s="116"/>
      <c r="K277" s="116"/>
      <c r="L277" s="116" t="s">
        <v>24</v>
      </c>
      <c r="M277" s="116">
        <f>VLOOKUP($L277,$L$2:$N$7,2,FALSE)*I277</f>
        <v>0</v>
      </c>
      <c r="N277" s="116">
        <f>VLOOKUP($L277,$L$2:$N$7,3,FALSE)*I277</f>
        <v>27017.749999999993</v>
      </c>
      <c r="O277" s="272"/>
      <c r="P277" s="240"/>
      <c r="Q277" s="116"/>
      <c r="R277" s="116"/>
      <c r="S277" s="240" t="s">
        <v>559</v>
      </c>
      <c r="T277" s="116">
        <f>IF(S277="G",N277,IF(S277="PT",0,ERR))</f>
        <v>0</v>
      </c>
      <c r="U277" s="116">
        <f>IF(S277="PT",N277,IF(S277="G",0,ERR))</f>
        <v>27017.749999999993</v>
      </c>
      <c r="V277" s="273"/>
      <c r="W277" s="116">
        <f>HLOOKUP($W$9,'ROR-Model'!$Q$10:$U$1263,Y277)</f>
        <v>0</v>
      </c>
      <c r="X277" s="118"/>
      <c r="Y277" s="577">
        <f t="shared" si="9"/>
        <v>268</v>
      </c>
      <c r="AA277" s="116"/>
      <c r="AB277" s="116">
        <f t="shared" si="10"/>
        <v>0</v>
      </c>
    </row>
    <row r="278" spans="1:28">
      <c r="A278" s="227"/>
      <c r="B278" s="728"/>
      <c r="C278" s="728"/>
      <c r="D278" s="102"/>
      <c r="E278" s="116">
        <f>+G278-Adjustments!H278</f>
        <v>0</v>
      </c>
      <c r="F278" s="116"/>
      <c r="G278" s="116"/>
      <c r="H278" s="116"/>
      <c r="I278" s="116"/>
      <c r="J278" s="116"/>
      <c r="K278" s="116"/>
      <c r="L278" s="116"/>
      <c r="M278" s="116"/>
      <c r="N278" s="116"/>
      <c r="O278" s="272"/>
      <c r="P278" s="240"/>
      <c r="Q278" s="116"/>
      <c r="R278" s="116"/>
      <c r="S278" s="240"/>
      <c r="T278" s="116"/>
      <c r="U278" s="116"/>
      <c r="V278" s="273"/>
      <c r="W278" s="116"/>
      <c r="X278" s="118"/>
      <c r="Y278" s="577">
        <f t="shared" si="9"/>
        <v>269</v>
      </c>
      <c r="AA278" s="116"/>
      <c r="AB278" s="116">
        <f t="shared" si="10"/>
        <v>0</v>
      </c>
    </row>
    <row r="279" spans="1:28">
      <c r="A279" s="227"/>
      <c r="B279" s="332"/>
      <c r="C279" s="728" t="s">
        <v>18</v>
      </c>
      <c r="D279" s="102"/>
      <c r="E279" s="116">
        <f>+G279-Adjustments!H279</f>
        <v>0</v>
      </c>
      <c r="F279" s="116">
        <f>Revenue!$F$278</f>
        <v>775489</v>
      </c>
      <c r="G279" s="116">
        <f>+Adjustments!AW279</f>
        <v>-100942.95999999996</v>
      </c>
      <c r="H279" s="116"/>
      <c r="I279" s="116">
        <f>SUM($F$279:$H$279)</f>
        <v>674546.04</v>
      </c>
      <c r="J279" s="116"/>
      <c r="K279" s="116"/>
      <c r="L279" s="116" t="s">
        <v>24</v>
      </c>
      <c r="M279" s="116">
        <f>VLOOKUP($L279,$L$2:$N$7,2,FALSE)*I279</f>
        <v>0</v>
      </c>
      <c r="N279" s="116">
        <f>VLOOKUP($L279,$L$2:$N$7,3,FALSE)*I279</f>
        <v>674546.04</v>
      </c>
      <c r="O279" s="272"/>
      <c r="P279" s="240" t="s">
        <v>559</v>
      </c>
      <c r="Q279" s="116">
        <f>IF(P279="G",M279,IF(P279="PT",0,ERR))</f>
        <v>0</v>
      </c>
      <c r="R279" s="116">
        <f>IF(P279="PT",M279,IF(P279="G",0,ERR))</f>
        <v>0</v>
      </c>
      <c r="S279" s="240" t="s">
        <v>559</v>
      </c>
      <c r="T279" s="116">
        <f>IF(S279="G",N279,IF(S279="PT",0,ERR))</f>
        <v>0</v>
      </c>
      <c r="U279" s="116">
        <f>IF(S279="PT",N279,IF(S279="G",0,ERR))</f>
        <v>674546.04</v>
      </c>
      <c r="V279" s="273"/>
      <c r="W279" s="116">
        <f>HLOOKUP($W$9,'ROR-Model'!$Q$10:$U$1263,Y279)</f>
        <v>0</v>
      </c>
      <c r="X279" s="118"/>
      <c r="Y279" s="577">
        <f t="shared" si="9"/>
        <v>270</v>
      </c>
      <c r="AA279" s="116">
        <v>0</v>
      </c>
      <c r="AB279" s="116">
        <f t="shared" si="10"/>
        <v>0</v>
      </c>
    </row>
    <row r="280" spans="1:28">
      <c r="A280" s="227"/>
      <c r="B280" s="332"/>
      <c r="C280" s="728" t="s">
        <v>19</v>
      </c>
      <c r="D280" s="102"/>
      <c r="E280" s="131">
        <f>+G280-Adjustments!H280</f>
        <v>0</v>
      </c>
      <c r="F280" s="131">
        <f>SUM(F275:F279)</f>
        <v>827967</v>
      </c>
      <c r="G280" s="131">
        <f>SUM(G275:G279)</f>
        <v>-71061.13999999997</v>
      </c>
      <c r="H280" s="131">
        <f>SUM(H275:H279)</f>
        <v>0</v>
      </c>
      <c r="I280" s="131">
        <f>SUM(I275:I279)</f>
        <v>756905.86</v>
      </c>
      <c r="J280" s="116"/>
      <c r="K280" s="116"/>
      <c r="L280" s="131"/>
      <c r="M280" s="131">
        <f>SUM(M275:M279)</f>
        <v>0</v>
      </c>
      <c r="N280" s="131">
        <f>SUM(N275:N279)</f>
        <v>756905.86</v>
      </c>
      <c r="O280" s="272"/>
      <c r="P280" s="257"/>
      <c r="Q280" s="131">
        <f>SUM(Q275:Q279)</f>
        <v>0</v>
      </c>
      <c r="R280" s="131">
        <f>SUM(R275:R279)</f>
        <v>0</v>
      </c>
      <c r="S280" s="257"/>
      <c r="T280" s="131">
        <f>SUM(T275:T279)</f>
        <v>0</v>
      </c>
      <c r="U280" s="131">
        <f>SUM(U275:U279)</f>
        <v>756905.86</v>
      </c>
      <c r="V280" s="273"/>
      <c r="W280" s="131">
        <f>HLOOKUP($W$9,'ROR-Model'!$Q$10:$U$1263,Y280)</f>
        <v>0</v>
      </c>
      <c r="X280" s="118"/>
      <c r="Y280" s="577">
        <f t="shared" si="9"/>
        <v>271</v>
      </c>
      <c r="AA280" s="131">
        <v>0</v>
      </c>
      <c r="AB280" s="116">
        <f t="shared" si="10"/>
        <v>0</v>
      </c>
    </row>
    <row r="281" spans="1:28">
      <c r="A281" s="227"/>
      <c r="B281" s="332"/>
      <c r="C281" s="728"/>
      <c r="D281" s="102"/>
      <c r="E281" s="116">
        <f>+G281-Adjustments!H281</f>
        <v>0</v>
      </c>
      <c r="F281" s="116"/>
      <c r="G281" s="116"/>
      <c r="H281" s="116"/>
      <c r="I281" s="116"/>
      <c r="J281" s="116"/>
      <c r="K281" s="116"/>
      <c r="L281" s="116"/>
      <c r="M281" s="116"/>
      <c r="N281" s="116"/>
      <c r="O281" s="272"/>
      <c r="P281" s="240"/>
      <c r="Q281" s="116"/>
      <c r="R281" s="116"/>
      <c r="S281" s="240"/>
      <c r="T281" s="116"/>
      <c r="U281" s="116"/>
      <c r="V281" s="273"/>
      <c r="W281" s="116"/>
      <c r="X281" s="118"/>
      <c r="Y281" s="577">
        <f t="shared" si="9"/>
        <v>272</v>
      </c>
      <c r="AA281" s="116"/>
      <c r="AB281" s="116">
        <f t="shared" si="10"/>
        <v>0</v>
      </c>
    </row>
    <row r="282" spans="1:28">
      <c r="A282" s="227"/>
      <c r="B282" s="332"/>
      <c r="C282" s="728" t="s">
        <v>20</v>
      </c>
      <c r="D282" s="102"/>
      <c r="E282" s="116">
        <f>+G282-Adjustments!H282</f>
        <v>0</v>
      </c>
      <c r="F282" s="116">
        <f>Revenue!$F$281</f>
        <v>148998</v>
      </c>
      <c r="G282" s="116">
        <f>+Adjustments!AW282</f>
        <v>660</v>
      </c>
      <c r="H282" s="116"/>
      <c r="I282" s="116">
        <f>SUM($F$282:$H$282)</f>
        <v>149658</v>
      </c>
      <c r="J282" s="116"/>
      <c r="K282" s="116"/>
      <c r="L282" s="116" t="s">
        <v>24</v>
      </c>
      <c r="M282" s="116">
        <f>VLOOKUP($L282,$L$2:$N$7,2,FALSE)*I282</f>
        <v>0</v>
      </c>
      <c r="N282" s="116">
        <f>VLOOKUP($L282,$L$2:$N$7,3,FALSE)*I282</f>
        <v>149658</v>
      </c>
      <c r="O282" s="272"/>
      <c r="P282" s="240" t="s">
        <v>560</v>
      </c>
      <c r="Q282" s="116">
        <f>IF(P282="G",M282,IF(P282="PT",0,ERR))</f>
        <v>0</v>
      </c>
      <c r="R282" s="116">
        <f>IF(P282="PT",M282,IF(P282="G",0,ERR))</f>
        <v>0</v>
      </c>
      <c r="S282" s="240" t="s">
        <v>559</v>
      </c>
      <c r="T282" s="116">
        <f>IF(S282="G",N282,IF(S282="PT",0,ERR))</f>
        <v>0</v>
      </c>
      <c r="U282" s="116">
        <f>IF(S282="PT",N282,IF(S282="G",0,ERR))</f>
        <v>149658</v>
      </c>
      <c r="V282" s="273"/>
      <c r="W282" s="116">
        <f>HLOOKUP($W$9,'ROR-Model'!$Q$10:$U$1263,Y282)</f>
        <v>0</v>
      </c>
      <c r="X282" s="118"/>
      <c r="Y282" s="577">
        <f t="shared" si="9"/>
        <v>273</v>
      </c>
      <c r="AA282" s="116">
        <v>0</v>
      </c>
      <c r="AB282" s="116">
        <f t="shared" si="10"/>
        <v>0</v>
      </c>
    </row>
    <row r="283" spans="1:28">
      <c r="A283" s="227"/>
      <c r="B283" s="728"/>
      <c r="C283" s="728"/>
      <c r="D283" s="102"/>
      <c r="E283" s="116">
        <f>+G283-Adjustments!H283</f>
        <v>0</v>
      </c>
      <c r="F283" s="116"/>
      <c r="G283" s="116"/>
      <c r="H283" s="116"/>
      <c r="I283" s="116"/>
      <c r="J283" s="116"/>
      <c r="K283" s="116"/>
      <c r="L283" s="116"/>
      <c r="M283" s="116"/>
      <c r="N283" s="116"/>
      <c r="O283" s="272"/>
      <c r="P283" s="240"/>
      <c r="Q283" s="116"/>
      <c r="R283" s="116"/>
      <c r="S283" s="240"/>
      <c r="T283" s="116"/>
      <c r="U283" s="116"/>
      <c r="V283" s="273"/>
      <c r="W283" s="116"/>
      <c r="X283" s="118"/>
      <c r="Y283" s="577">
        <f t="shared" si="9"/>
        <v>274</v>
      </c>
      <c r="AA283" s="116"/>
      <c r="AB283" s="116">
        <f t="shared" si="10"/>
        <v>0</v>
      </c>
    </row>
    <row r="284" spans="1:28">
      <c r="A284" s="227"/>
      <c r="B284" s="332" t="s">
        <v>89</v>
      </c>
      <c r="C284" s="728" t="s">
        <v>16</v>
      </c>
      <c r="D284" s="102"/>
      <c r="E284" s="116">
        <f>+G284-Adjustments!H284</f>
        <v>0</v>
      </c>
      <c r="F284" s="116">
        <f>Revenue!$F$283</f>
        <v>0</v>
      </c>
      <c r="G284" s="116">
        <f>+Adjustments!AW284</f>
        <v>0</v>
      </c>
      <c r="H284" s="116"/>
      <c r="I284" s="116">
        <f>SUM($F$284:$H$284)</f>
        <v>0</v>
      </c>
      <c r="J284" s="116"/>
      <c r="K284" s="116"/>
      <c r="L284" s="116" t="s">
        <v>24</v>
      </c>
      <c r="M284" s="116">
        <f>VLOOKUP($L284,$L$2:$N$7,2,FALSE)*I284</f>
        <v>0</v>
      </c>
      <c r="N284" s="116">
        <f>VLOOKUP($L284,$L$2:$N$7,3,FALSE)*I284</f>
        <v>0</v>
      </c>
      <c r="O284" s="272"/>
      <c r="P284" s="240" t="s">
        <v>560</v>
      </c>
      <c r="Q284" s="116">
        <f>IF(P284="G",M284,IF(P284="PT",0,ERR))</f>
        <v>0</v>
      </c>
      <c r="R284" s="116">
        <f>IF(P284="PT",M284,IF(P284="G",0,ERR))</f>
        <v>0</v>
      </c>
      <c r="S284" s="240" t="s">
        <v>559</v>
      </c>
      <c r="T284" s="116">
        <f>IF(S284="G",N284,IF(S284="PT",0,ERR))</f>
        <v>0</v>
      </c>
      <c r="U284" s="116">
        <f>IF(S284="PT",N284,IF(S284="G",0,ERR))</f>
        <v>0</v>
      </c>
      <c r="V284" s="273"/>
      <c r="W284" s="116">
        <f>HLOOKUP($W$9,'ROR-Model'!$Q$10:$U$1263,Y284)</f>
        <v>0</v>
      </c>
      <c r="X284" s="118"/>
      <c r="Y284" s="577">
        <f t="shared" si="9"/>
        <v>275</v>
      </c>
      <c r="AA284" s="116">
        <v>0</v>
      </c>
      <c r="AB284" s="116">
        <f t="shared" si="10"/>
        <v>0</v>
      </c>
    </row>
    <row r="285" spans="1:28">
      <c r="A285" s="227"/>
      <c r="B285" s="728"/>
      <c r="C285" s="728"/>
      <c r="D285" s="165" t="s">
        <v>467</v>
      </c>
      <c r="E285" s="116">
        <f>+G285-Adjustments!H285</f>
        <v>0</v>
      </c>
      <c r="F285" s="116"/>
      <c r="G285" s="116"/>
      <c r="H285" s="116"/>
      <c r="I285" s="116"/>
      <c r="J285" s="116"/>
      <c r="K285" s="116"/>
      <c r="L285" s="116"/>
      <c r="M285" s="116"/>
      <c r="N285" s="116"/>
      <c r="O285" s="272"/>
      <c r="P285" s="240"/>
      <c r="Q285" s="116"/>
      <c r="R285" s="116"/>
      <c r="S285" s="240"/>
      <c r="T285" s="116"/>
      <c r="U285" s="116"/>
      <c r="V285" s="273"/>
      <c r="W285" s="116"/>
      <c r="X285" s="118"/>
      <c r="Y285" s="577">
        <f t="shared" si="9"/>
        <v>276</v>
      </c>
      <c r="AA285" s="116"/>
      <c r="AB285" s="116">
        <f t="shared" si="10"/>
        <v>0</v>
      </c>
    </row>
    <row r="286" spans="1:28">
      <c r="A286" s="227"/>
      <c r="B286" s="728"/>
      <c r="C286" s="728" t="s">
        <v>17</v>
      </c>
      <c r="D286" s="102"/>
      <c r="E286" s="116">
        <f>+G286-Adjustments!H286</f>
        <v>0</v>
      </c>
      <c r="F286" s="116">
        <f>Revenue!$F$285</f>
        <v>0</v>
      </c>
      <c r="G286" s="116">
        <f>+Adjustments!AW286</f>
        <v>0</v>
      </c>
      <c r="H286" s="116"/>
      <c r="I286" s="116">
        <f>SUM($F$286:$H$286)</f>
        <v>0</v>
      </c>
      <c r="J286" s="116"/>
      <c r="K286" s="116"/>
      <c r="L286" s="116" t="s">
        <v>24</v>
      </c>
      <c r="M286" s="116">
        <f>VLOOKUP($L286,$L$2:$N$7,2,FALSE)*I286</f>
        <v>0</v>
      </c>
      <c r="N286" s="116">
        <f>VLOOKUP($L286,$L$2:$N$7,3,FALSE)*I286</f>
        <v>0</v>
      </c>
      <c r="O286" s="272"/>
      <c r="P286" s="240" t="s">
        <v>559</v>
      </c>
      <c r="Q286" s="116"/>
      <c r="R286" s="116"/>
      <c r="S286" s="240" t="s">
        <v>559</v>
      </c>
      <c r="T286" s="116">
        <f>IF(S286="G",N286,IF(S286="PT",0,ERR))</f>
        <v>0</v>
      </c>
      <c r="U286" s="116">
        <f>IF(S286="PT",N286,IF(S286="G",0,ERR))</f>
        <v>0</v>
      </c>
      <c r="V286" s="273"/>
      <c r="W286" s="116">
        <f>HLOOKUP($W$9,'ROR-Model'!$Q$10:$U$1263,Y286)</f>
        <v>0</v>
      </c>
      <c r="X286" s="118"/>
      <c r="Y286" s="577">
        <f t="shared" si="9"/>
        <v>277</v>
      </c>
      <c r="AA286" s="116">
        <v>0</v>
      </c>
      <c r="AB286" s="116">
        <f t="shared" si="10"/>
        <v>0</v>
      </c>
    </row>
    <row r="287" spans="1:28">
      <c r="A287" s="227"/>
      <c r="B287" s="728"/>
      <c r="C287" s="728"/>
      <c r="D287" s="102"/>
      <c r="E287" s="116">
        <f>+G287-Adjustments!H287</f>
        <v>0</v>
      </c>
      <c r="F287" s="116"/>
      <c r="G287" s="116"/>
      <c r="H287" s="116"/>
      <c r="I287" s="116"/>
      <c r="J287" s="116"/>
      <c r="K287" s="116"/>
      <c r="L287" s="116"/>
      <c r="M287" s="116"/>
      <c r="N287" s="116"/>
      <c r="O287" s="272"/>
      <c r="P287" s="240"/>
      <c r="Q287" s="116"/>
      <c r="R287" s="116"/>
      <c r="S287" s="240"/>
      <c r="T287" s="116"/>
      <c r="U287" s="116"/>
      <c r="V287" s="273"/>
      <c r="W287" s="116"/>
      <c r="X287" s="118"/>
      <c r="Y287" s="577">
        <f t="shared" si="9"/>
        <v>278</v>
      </c>
      <c r="AA287" s="116"/>
      <c r="AB287" s="116">
        <f t="shared" si="10"/>
        <v>0</v>
      </c>
    </row>
    <row r="288" spans="1:28">
      <c r="A288" s="227"/>
      <c r="B288" s="332"/>
      <c r="C288" s="728" t="s">
        <v>18</v>
      </c>
      <c r="D288" s="102"/>
      <c r="E288" s="116">
        <f>+G288-Adjustments!H288</f>
        <v>0</v>
      </c>
      <c r="F288" s="116">
        <f>Revenue!$F$287</f>
        <v>0</v>
      </c>
      <c r="G288" s="116">
        <f>+Adjustments!AW288</f>
        <v>0</v>
      </c>
      <c r="H288" s="116"/>
      <c r="I288" s="116">
        <f>SUM($F$288:$H$288)</f>
        <v>0</v>
      </c>
      <c r="J288" s="116"/>
      <c r="K288" s="116"/>
      <c r="L288" s="116" t="s">
        <v>24</v>
      </c>
      <c r="M288" s="116">
        <f>VLOOKUP($L288,$L$2:$N$7,2,FALSE)*I288</f>
        <v>0</v>
      </c>
      <c r="N288" s="116">
        <f>VLOOKUP($L288,$L$2:$N$7,3,FALSE)*I288</f>
        <v>0</v>
      </c>
      <c r="O288" s="272"/>
      <c r="P288" s="240" t="s">
        <v>559</v>
      </c>
      <c r="Q288" s="116">
        <f>IF(P288="G",M288,IF(P288="PT",0,ERR))</f>
        <v>0</v>
      </c>
      <c r="R288" s="116">
        <f>IF(P288="PT",M288,IF(P288="G",0,ERR))</f>
        <v>0</v>
      </c>
      <c r="S288" s="240" t="s">
        <v>559</v>
      </c>
      <c r="T288" s="116">
        <f>IF(S288="G",N288,IF(S288="PT",0,ERR))</f>
        <v>0</v>
      </c>
      <c r="U288" s="116">
        <f>IF(S288="PT",N288,IF(S288="G",0,ERR))</f>
        <v>0</v>
      </c>
      <c r="V288" s="273"/>
      <c r="W288" s="116">
        <f>HLOOKUP($W$9,'ROR-Model'!$Q$10:$U$1263,Y288)</f>
        <v>0</v>
      </c>
      <c r="X288" s="118"/>
      <c r="Y288" s="577">
        <f t="shared" si="9"/>
        <v>279</v>
      </c>
      <c r="AA288" s="116">
        <v>0</v>
      </c>
      <c r="AB288" s="116">
        <f t="shared" si="10"/>
        <v>0</v>
      </c>
    </row>
    <row r="289" spans="1:28">
      <c r="A289" s="227"/>
      <c r="B289" s="332"/>
      <c r="C289" s="728" t="s">
        <v>19</v>
      </c>
      <c r="D289" s="102"/>
      <c r="E289" s="131">
        <f>+G289-Adjustments!H289</f>
        <v>0</v>
      </c>
      <c r="F289" s="131">
        <f>SUM(F284:F288)</f>
        <v>0</v>
      </c>
      <c r="G289" s="131">
        <f>SUM(G284:G288)</f>
        <v>0</v>
      </c>
      <c r="H289" s="131">
        <f>SUM(H284:H288)</f>
        <v>0</v>
      </c>
      <c r="I289" s="131">
        <f>SUM(I284:I288)</f>
        <v>0</v>
      </c>
      <c r="J289" s="116"/>
      <c r="K289" s="116"/>
      <c r="L289" s="131"/>
      <c r="M289" s="131">
        <f>SUM(M284:M288)</f>
        <v>0</v>
      </c>
      <c r="N289" s="131">
        <f>SUM(N284:N288)</f>
        <v>0</v>
      </c>
      <c r="O289" s="272"/>
      <c r="P289" s="257"/>
      <c r="Q289" s="131">
        <f>SUM(Q284:Q288)</f>
        <v>0</v>
      </c>
      <c r="R289" s="131">
        <f>SUM(R284:R288)</f>
        <v>0</v>
      </c>
      <c r="S289" s="257"/>
      <c r="T289" s="131">
        <f>SUM(T284:T288)</f>
        <v>0</v>
      </c>
      <c r="U289" s="131">
        <f>SUM(U284:U288)</f>
        <v>0</v>
      </c>
      <c r="V289" s="273"/>
      <c r="W289" s="131">
        <f>HLOOKUP($W$9,'ROR-Model'!$Q$10:$U$1263,Y289)</f>
        <v>0</v>
      </c>
      <c r="X289" s="118"/>
      <c r="Y289" s="577">
        <f t="shared" si="9"/>
        <v>280</v>
      </c>
      <c r="AA289" s="131">
        <v>0</v>
      </c>
      <c r="AB289" s="116">
        <f t="shared" si="10"/>
        <v>0</v>
      </c>
    </row>
    <row r="290" spans="1:28">
      <c r="A290" s="227"/>
      <c r="B290" s="332"/>
      <c r="C290" s="728"/>
      <c r="D290" s="102"/>
      <c r="E290" s="116">
        <f>+G290-Adjustments!H290</f>
        <v>0</v>
      </c>
      <c r="F290" s="116"/>
      <c r="G290" s="116"/>
      <c r="H290" s="116"/>
      <c r="I290" s="116"/>
      <c r="J290" s="116"/>
      <c r="K290" s="116"/>
      <c r="L290" s="116"/>
      <c r="M290" s="116"/>
      <c r="N290" s="116"/>
      <c r="O290" s="272"/>
      <c r="P290" s="240"/>
      <c r="Q290" s="116"/>
      <c r="R290" s="116"/>
      <c r="S290" s="240"/>
      <c r="T290" s="116"/>
      <c r="U290" s="116"/>
      <c r="V290" s="273"/>
      <c r="W290" s="116"/>
      <c r="X290" s="118"/>
      <c r="Y290" s="577">
        <f t="shared" si="9"/>
        <v>281</v>
      </c>
      <c r="AA290" s="116"/>
      <c r="AB290" s="116">
        <f t="shared" si="10"/>
        <v>0</v>
      </c>
    </row>
    <row r="291" spans="1:28">
      <c r="A291" s="227"/>
      <c r="B291" s="332"/>
      <c r="C291" s="728" t="s">
        <v>20</v>
      </c>
      <c r="D291" s="102"/>
      <c r="E291" s="116">
        <f>+G291-Adjustments!H291</f>
        <v>0</v>
      </c>
      <c r="F291" s="116">
        <f>Revenue!$F$290</f>
        <v>0</v>
      </c>
      <c r="G291" s="116">
        <f>+Adjustments!AW291</f>
        <v>0</v>
      </c>
      <c r="H291" s="116"/>
      <c r="I291" s="116">
        <f>SUM($F$291:$H$291)</f>
        <v>0</v>
      </c>
      <c r="J291" s="116"/>
      <c r="K291" s="116"/>
      <c r="L291" s="116" t="s">
        <v>24</v>
      </c>
      <c r="M291" s="116">
        <f>VLOOKUP($L291,$L$2:$N$7,2,FALSE)*I291</f>
        <v>0</v>
      </c>
      <c r="N291" s="116">
        <f>VLOOKUP($L291,$L$2:$N$7,3,FALSE)*I291</f>
        <v>0</v>
      </c>
      <c r="O291" s="272"/>
      <c r="P291" s="240" t="s">
        <v>560</v>
      </c>
      <c r="Q291" s="116">
        <f>IF(P291="G",M291,IF(P291="PT",0,ERR))</f>
        <v>0</v>
      </c>
      <c r="R291" s="116">
        <f>IF(P291="PT",M291,IF(P291="G",0,ERR))</f>
        <v>0</v>
      </c>
      <c r="S291" s="240" t="s">
        <v>559</v>
      </c>
      <c r="T291" s="116">
        <f>IF(S291="G",N291,IF(S291="PT",0,ERR))</f>
        <v>0</v>
      </c>
      <c r="U291" s="116">
        <f>IF(S291="PT",N291,IF(S291="G",0,ERR))</f>
        <v>0</v>
      </c>
      <c r="V291" s="273"/>
      <c r="W291" s="116">
        <f>HLOOKUP($W$9,'ROR-Model'!$Q$10:$U$1263,Y291)</f>
        <v>0</v>
      </c>
      <c r="X291" s="118"/>
      <c r="Y291" s="577">
        <f t="shared" si="9"/>
        <v>282</v>
      </c>
      <c r="AA291" s="116">
        <v>0</v>
      </c>
      <c r="AB291" s="116">
        <f t="shared" si="10"/>
        <v>0</v>
      </c>
    </row>
    <row r="292" spans="1:28">
      <c r="A292" s="227"/>
      <c r="B292" s="728"/>
      <c r="C292" s="728"/>
      <c r="D292" s="102"/>
      <c r="E292" s="116">
        <f>+G292-Adjustments!H292</f>
        <v>0</v>
      </c>
      <c r="F292" s="116"/>
      <c r="G292" s="116"/>
      <c r="H292" s="116"/>
      <c r="I292" s="116"/>
      <c r="J292" s="116"/>
      <c r="K292" s="116"/>
      <c r="L292" s="116"/>
      <c r="M292" s="116"/>
      <c r="N292" s="116"/>
      <c r="O292" s="272"/>
      <c r="P292" s="240"/>
      <c r="Q292" s="116"/>
      <c r="R292" s="116"/>
      <c r="S292" s="240"/>
      <c r="T292" s="116"/>
      <c r="U292" s="116"/>
      <c r="V292" s="273"/>
      <c r="W292" s="116"/>
      <c r="X292" s="118"/>
      <c r="Y292" s="577">
        <f t="shared" si="9"/>
        <v>283</v>
      </c>
      <c r="AA292" s="116"/>
      <c r="AB292" s="116">
        <f t="shared" si="10"/>
        <v>0</v>
      </c>
    </row>
    <row r="293" spans="1:28">
      <c r="A293" s="227"/>
      <c r="B293" s="728" t="s">
        <v>25</v>
      </c>
      <c r="C293" s="728" t="s">
        <v>16</v>
      </c>
      <c r="D293" s="102"/>
      <c r="E293" s="116">
        <f>+G293-Adjustments!H293</f>
        <v>0</v>
      </c>
      <c r="F293" s="116">
        <f>Revenue!$F$292</f>
        <v>0</v>
      </c>
      <c r="G293" s="116">
        <f>+Adjustments!AW293</f>
        <v>0</v>
      </c>
      <c r="H293" s="116"/>
      <c r="I293" s="116">
        <f>SUM($F$293:$H$293)</f>
        <v>0</v>
      </c>
      <c r="J293" s="116"/>
      <c r="K293" s="116"/>
      <c r="L293" s="116" t="s">
        <v>24</v>
      </c>
      <c r="M293" s="116">
        <f>VLOOKUP($L293,$L$2:$N$7,2,FALSE)*I293</f>
        <v>0</v>
      </c>
      <c r="N293" s="116">
        <f>VLOOKUP($L293,$L$2:$N$7,3,FALSE)*I293</f>
        <v>0</v>
      </c>
      <c r="O293" s="272"/>
      <c r="P293" s="240" t="s">
        <v>560</v>
      </c>
      <c r="Q293" s="116">
        <f>IF(P293="G",M293,IF(P293="PT",0,ERR))</f>
        <v>0</v>
      </c>
      <c r="R293" s="116">
        <f>IF(P293="PT",M293,IF(P293="G",0,ERR))</f>
        <v>0</v>
      </c>
      <c r="S293" s="116" t="s">
        <v>559</v>
      </c>
      <c r="T293" s="116">
        <f>IF(S293="G",N293,IF(S293="PT",0,ERR))</f>
        <v>0</v>
      </c>
      <c r="U293" s="116">
        <f>IF(S293="PT",N293,IF(S293="G",0,ERR))</f>
        <v>0</v>
      </c>
      <c r="V293" s="273"/>
      <c r="W293" s="116">
        <f>HLOOKUP($W$9,'ROR-Model'!$Q$10:$U$1263,Y293)</f>
        <v>0</v>
      </c>
      <c r="X293" s="118"/>
      <c r="Y293" s="577">
        <f t="shared" si="9"/>
        <v>284</v>
      </c>
      <c r="AA293" s="116">
        <v>0</v>
      </c>
      <c r="AB293" s="116">
        <f t="shared" si="10"/>
        <v>0</v>
      </c>
    </row>
    <row r="294" spans="1:28">
      <c r="A294" s="227"/>
      <c r="B294" s="728" t="s">
        <v>693</v>
      </c>
      <c r="C294" s="728" t="s">
        <v>463</v>
      </c>
      <c r="D294" s="165"/>
      <c r="E294" s="116">
        <f>+G294-Adjustments!H294</f>
        <v>0</v>
      </c>
      <c r="F294" s="116"/>
      <c r="G294" s="116"/>
      <c r="H294" s="116"/>
      <c r="I294" s="116"/>
      <c r="J294" s="116"/>
      <c r="K294" s="116"/>
      <c r="L294" s="116"/>
      <c r="M294" s="116"/>
      <c r="N294" s="116"/>
      <c r="O294" s="272"/>
      <c r="P294" s="240"/>
      <c r="Q294" s="116"/>
      <c r="R294" s="116"/>
      <c r="S294" s="240"/>
      <c r="T294" s="116"/>
      <c r="U294" s="116"/>
      <c r="V294" s="273"/>
      <c r="W294" s="116"/>
      <c r="X294" s="118"/>
      <c r="Y294" s="577">
        <f t="shared" si="9"/>
        <v>285</v>
      </c>
      <c r="AA294" s="116"/>
      <c r="AB294" s="116">
        <f t="shared" si="10"/>
        <v>0</v>
      </c>
    </row>
    <row r="295" spans="1:28">
      <c r="A295" s="227"/>
      <c r="B295" s="728"/>
      <c r="C295" s="728"/>
      <c r="D295" s="102"/>
      <c r="E295" s="116">
        <f>+G295-Adjustments!H295</f>
        <v>0</v>
      </c>
      <c r="F295" s="116"/>
      <c r="G295" s="116">
        <f>+Adjustments!AW295</f>
        <v>0</v>
      </c>
      <c r="H295" s="116"/>
      <c r="I295" s="116">
        <f>SUM($F$295:$H$295)</f>
        <v>0</v>
      </c>
      <c r="J295" s="116"/>
      <c r="K295" s="116"/>
      <c r="L295" s="116" t="s">
        <v>24</v>
      </c>
      <c r="M295" s="116">
        <f>VLOOKUP($L295,$L$2:$N$7,2,FALSE)*I295</f>
        <v>0</v>
      </c>
      <c r="N295" s="116">
        <f>VLOOKUP($L295,$L$2:$N$7,3,FALSE)*I295</f>
        <v>0</v>
      </c>
      <c r="O295" s="272"/>
      <c r="P295" s="240"/>
      <c r="Q295" s="116"/>
      <c r="R295" s="116"/>
      <c r="S295" s="240"/>
      <c r="T295" s="116"/>
      <c r="U295" s="116"/>
      <c r="V295" s="273"/>
      <c r="W295" s="116"/>
      <c r="X295" s="118"/>
      <c r="Y295" s="577">
        <f t="shared" si="9"/>
        <v>286</v>
      </c>
      <c r="AA295" s="116"/>
      <c r="AB295" s="116">
        <f t="shared" si="10"/>
        <v>0</v>
      </c>
    </row>
    <row r="296" spans="1:28">
      <c r="A296" s="227"/>
      <c r="B296" s="728"/>
      <c r="C296" s="728"/>
      <c r="D296" s="102"/>
      <c r="E296" s="116">
        <f>+G296-Adjustments!H296</f>
        <v>0</v>
      </c>
      <c r="F296" s="116"/>
      <c r="G296" s="116"/>
      <c r="H296" s="116"/>
      <c r="I296" s="116"/>
      <c r="J296" s="116"/>
      <c r="K296" s="116"/>
      <c r="L296" s="116"/>
      <c r="M296" s="116"/>
      <c r="N296" s="116"/>
      <c r="O296" s="272"/>
      <c r="P296" s="240"/>
      <c r="Q296" s="116"/>
      <c r="R296" s="116"/>
      <c r="S296" s="240"/>
      <c r="T296" s="116"/>
      <c r="U296" s="116"/>
      <c r="V296" s="273"/>
      <c r="W296" s="116"/>
      <c r="X296" s="118"/>
      <c r="Y296" s="577">
        <f t="shared" si="9"/>
        <v>287</v>
      </c>
      <c r="AA296" s="116"/>
      <c r="AB296" s="116">
        <f t="shared" si="10"/>
        <v>0</v>
      </c>
    </row>
    <row r="297" spans="1:28">
      <c r="A297" s="227"/>
      <c r="B297" s="332"/>
      <c r="C297" s="332" t="s">
        <v>18</v>
      </c>
      <c r="D297" s="102"/>
      <c r="E297" s="116">
        <f>+G297-Adjustments!H297</f>
        <v>0</v>
      </c>
      <c r="F297" s="116">
        <f>Revenue!$F$296</f>
        <v>0</v>
      </c>
      <c r="G297" s="116">
        <f>+Adjustments!AW297</f>
        <v>0</v>
      </c>
      <c r="H297" s="116"/>
      <c r="I297" s="116">
        <f>SUM($F$297:$H$297)</f>
        <v>0</v>
      </c>
      <c r="J297" s="116"/>
      <c r="K297" s="116"/>
      <c r="L297" s="116" t="s">
        <v>24</v>
      </c>
      <c r="M297" s="116">
        <f>VLOOKUP($L297,$L$2:$N$7,2,FALSE)*I297</f>
        <v>0</v>
      </c>
      <c r="N297" s="116">
        <f>VLOOKUP($L297,$L$2:$N$7,3,FALSE)*I297</f>
        <v>0</v>
      </c>
      <c r="O297" s="272"/>
      <c r="P297" s="240" t="s">
        <v>559</v>
      </c>
      <c r="Q297" s="116">
        <f>IF(P297="G",M297,IF(P297="PT",0,ERR))</f>
        <v>0</v>
      </c>
      <c r="R297" s="116">
        <f>IF(P297="PT",M297,IF(P297="G",0,ERR))</f>
        <v>0</v>
      </c>
      <c r="S297" s="240" t="s">
        <v>559</v>
      </c>
      <c r="T297" s="116">
        <f>IF(S297="G",N297,IF(S297="PT",0,ERR))</f>
        <v>0</v>
      </c>
      <c r="U297" s="116">
        <f>IF(S297="PT",N297,IF(S297="G",0,ERR))</f>
        <v>0</v>
      </c>
      <c r="V297" s="273"/>
      <c r="W297" s="116">
        <f>HLOOKUP($W$9,'ROR-Model'!$Q$10:$U$1263,Y297)</f>
        <v>0</v>
      </c>
      <c r="X297" s="118"/>
      <c r="Y297" s="577">
        <f t="shared" si="9"/>
        <v>288</v>
      </c>
      <c r="AA297" s="116">
        <v>0</v>
      </c>
      <c r="AB297" s="116">
        <f t="shared" si="10"/>
        <v>0</v>
      </c>
    </row>
    <row r="298" spans="1:28">
      <c r="A298" s="227"/>
      <c r="B298" s="332"/>
      <c r="C298" s="332" t="s">
        <v>19</v>
      </c>
      <c r="D298" s="102"/>
      <c r="E298" s="131">
        <f>+G298-Adjustments!H298</f>
        <v>0</v>
      </c>
      <c r="F298" s="131">
        <f>SUM(F293:F297)</f>
        <v>0</v>
      </c>
      <c r="G298" s="131">
        <f>SUM(G293:G297)</f>
        <v>0</v>
      </c>
      <c r="H298" s="131">
        <f>SUM(H293:H297)</f>
        <v>0</v>
      </c>
      <c r="I298" s="131">
        <f>SUM(I293:I297)</f>
        <v>0</v>
      </c>
      <c r="J298" s="116"/>
      <c r="K298" s="116"/>
      <c r="L298" s="131"/>
      <c r="M298" s="131">
        <f>SUM(M293:M297)</f>
        <v>0</v>
      </c>
      <c r="N298" s="131">
        <f>SUM(N293:N297)</f>
        <v>0</v>
      </c>
      <c r="O298" s="272"/>
      <c r="P298" s="257"/>
      <c r="Q298" s="131">
        <f>SUM(Q293:Q297)</f>
        <v>0</v>
      </c>
      <c r="R298" s="131">
        <f>SUM(R293:R297)</f>
        <v>0</v>
      </c>
      <c r="S298" s="257"/>
      <c r="T298" s="131">
        <f>SUM(T293:T297)</f>
        <v>0</v>
      </c>
      <c r="U298" s="131">
        <f>SUM(U293:U297)</f>
        <v>0</v>
      </c>
      <c r="V298" s="273"/>
      <c r="W298" s="131">
        <f>HLOOKUP($W$9,'ROR-Model'!$Q$10:$U$1263,Y298)</f>
        <v>0</v>
      </c>
      <c r="X298" s="118"/>
      <c r="Y298" s="577">
        <f t="shared" si="9"/>
        <v>289</v>
      </c>
      <c r="AA298" s="131">
        <v>0</v>
      </c>
      <c r="AB298" s="116">
        <f t="shared" si="10"/>
        <v>0</v>
      </c>
    </row>
    <row r="299" spans="1:28">
      <c r="A299" s="227"/>
      <c r="B299" s="332"/>
      <c r="C299" s="332"/>
      <c r="D299" s="102"/>
      <c r="E299" s="116">
        <f>+G299-Adjustments!H299</f>
        <v>0</v>
      </c>
      <c r="F299" s="116"/>
      <c r="G299" s="116"/>
      <c r="H299" s="116"/>
      <c r="I299" s="116"/>
      <c r="J299" s="116"/>
      <c r="K299" s="116"/>
      <c r="L299" s="116"/>
      <c r="M299" s="116"/>
      <c r="N299" s="116"/>
      <c r="O299" s="272"/>
      <c r="P299" s="240"/>
      <c r="Q299" s="116"/>
      <c r="R299" s="116"/>
      <c r="S299" s="240"/>
      <c r="T299" s="116"/>
      <c r="U299" s="116"/>
      <c r="V299" s="273"/>
      <c r="W299" s="116"/>
      <c r="X299" s="118"/>
      <c r="Y299" s="577">
        <f t="shared" si="9"/>
        <v>290</v>
      </c>
      <c r="AA299" s="116"/>
      <c r="AB299" s="116">
        <f t="shared" si="10"/>
        <v>0</v>
      </c>
    </row>
    <row r="300" spans="1:28">
      <c r="A300" s="227"/>
      <c r="B300" s="332"/>
      <c r="C300" s="332" t="s">
        <v>20</v>
      </c>
      <c r="D300" s="102"/>
      <c r="E300" s="116">
        <f>+G300-Adjustments!H300</f>
        <v>0</v>
      </c>
      <c r="F300" s="116">
        <f>Revenue!$F$299</f>
        <v>0</v>
      </c>
      <c r="G300" s="116">
        <f>+Adjustments!AW300</f>
        <v>0</v>
      </c>
      <c r="H300" s="116"/>
      <c r="I300" s="116">
        <f>SUM($F$300:$H$300)</f>
        <v>0</v>
      </c>
      <c r="J300" s="116"/>
      <c r="K300" s="116"/>
      <c r="L300" s="116" t="s">
        <v>24</v>
      </c>
      <c r="M300" s="116">
        <f>VLOOKUP($L300,$L$2:$N$7,2,FALSE)*I300</f>
        <v>0</v>
      </c>
      <c r="N300" s="116">
        <f>VLOOKUP($L300,$L$2:$N$7,3,FALSE)*I300</f>
        <v>0</v>
      </c>
      <c r="O300" s="272"/>
      <c r="P300" s="240" t="s">
        <v>560</v>
      </c>
      <c r="Q300" s="116">
        <f>IF(P300="G",M300,IF(P300="PT",0,ERR))</f>
        <v>0</v>
      </c>
      <c r="R300" s="116">
        <f>IF(P300="PT",M300,IF(P300="G",0,ERR))</f>
        <v>0</v>
      </c>
      <c r="S300" s="240" t="s">
        <v>559</v>
      </c>
      <c r="T300" s="116">
        <f>IF(S300="G",N300,IF(S300="PT",0,ERR))</f>
        <v>0</v>
      </c>
      <c r="U300" s="116">
        <f>IF(S300="PT",N300,IF(S300="G",0,ERR))</f>
        <v>0</v>
      </c>
      <c r="V300" s="273"/>
      <c r="W300" s="116">
        <f>HLOOKUP($W$9,'ROR-Model'!$Q$10:$U$1263,Y300)</f>
        <v>0</v>
      </c>
      <c r="X300" s="118"/>
      <c r="Y300" s="577">
        <f t="shared" si="9"/>
        <v>291</v>
      </c>
      <c r="AA300" s="116">
        <v>0</v>
      </c>
      <c r="AB300" s="116">
        <f t="shared" si="10"/>
        <v>0</v>
      </c>
    </row>
    <row r="301" spans="1:28">
      <c r="A301" s="227"/>
      <c r="B301" s="728"/>
      <c r="C301" s="728"/>
      <c r="D301" s="102"/>
      <c r="E301" s="116">
        <f>+G301-Adjustments!H301</f>
        <v>0</v>
      </c>
      <c r="F301" s="116"/>
      <c r="G301" s="116"/>
      <c r="H301" s="116"/>
      <c r="I301" s="116"/>
      <c r="J301" s="116"/>
      <c r="K301" s="116"/>
      <c r="L301" s="116"/>
      <c r="M301" s="116"/>
      <c r="N301" s="116"/>
      <c r="O301" s="272"/>
      <c r="P301" s="240"/>
      <c r="Q301" s="116"/>
      <c r="R301" s="116"/>
      <c r="S301" s="240"/>
      <c r="T301" s="116"/>
      <c r="U301" s="116"/>
      <c r="V301" s="273"/>
      <c r="W301" s="116"/>
      <c r="X301" s="118"/>
      <c r="Y301" s="577">
        <f t="shared" si="9"/>
        <v>292</v>
      </c>
      <c r="AA301" s="116"/>
      <c r="AB301" s="116">
        <f t="shared" si="10"/>
        <v>0</v>
      </c>
    </row>
    <row r="302" spans="1:28">
      <c r="A302" s="227"/>
      <c r="B302" s="332" t="s">
        <v>26</v>
      </c>
      <c r="C302" s="332" t="s">
        <v>16</v>
      </c>
      <c r="D302" s="102"/>
      <c r="E302" s="116">
        <f>+G302-Adjustments!H302</f>
        <v>0</v>
      </c>
      <c r="F302" s="116">
        <f>Revenue!$F$301</f>
        <v>80745</v>
      </c>
      <c r="G302" s="116">
        <f>+Adjustments!AW302</f>
        <v>-2538.9876800000056</v>
      </c>
      <c r="H302" s="116"/>
      <c r="I302" s="116">
        <f>SUM($F$302:$H$302)</f>
        <v>78206.012319999994</v>
      </c>
      <c r="J302" s="116"/>
      <c r="K302" s="116"/>
      <c r="L302" s="116" t="s">
        <v>24</v>
      </c>
      <c r="M302" s="116">
        <f>VLOOKUP($L302,$L$2:$N$7,2,FALSE)*I302</f>
        <v>0</v>
      </c>
      <c r="N302" s="116">
        <f>VLOOKUP($L302,$L$2:$N$7,3,FALSE)*I302</f>
        <v>78206.012319999994</v>
      </c>
      <c r="O302" s="272"/>
      <c r="P302" s="240" t="s">
        <v>560</v>
      </c>
      <c r="Q302" s="116">
        <f>IF(P302="G",M302,IF(P302="PT",0,ERR))</f>
        <v>0</v>
      </c>
      <c r="R302" s="116">
        <f>IF(P302="PT",M302,IF(P302="G",0,ERR))</f>
        <v>0</v>
      </c>
      <c r="S302" s="240" t="s">
        <v>559</v>
      </c>
      <c r="T302" s="116">
        <f>IF(S302="G",N302,IF(S302="PT",0,ERR))</f>
        <v>0</v>
      </c>
      <c r="U302" s="116">
        <f>IF(S302="PT",N302,IF(S302="G",0,ERR))</f>
        <v>78206.012319999994</v>
      </c>
      <c r="V302" s="273"/>
      <c r="W302" s="116">
        <f>HLOOKUP($W$9,'ROR-Model'!$Q$10:$U$1263,Y302)</f>
        <v>0</v>
      </c>
      <c r="X302" s="118"/>
      <c r="Y302" s="577">
        <f t="shared" si="9"/>
        <v>293</v>
      </c>
      <c r="AA302" s="116">
        <v>0</v>
      </c>
      <c r="AB302" s="116">
        <f t="shared" si="10"/>
        <v>0</v>
      </c>
    </row>
    <row r="303" spans="1:28">
      <c r="A303" s="227"/>
      <c r="B303" s="728"/>
      <c r="C303" s="332"/>
      <c r="D303" s="165" t="s">
        <v>467</v>
      </c>
      <c r="E303" s="116">
        <f>+G303-Adjustments!H303</f>
        <v>0</v>
      </c>
      <c r="F303" s="116"/>
      <c r="G303" s="116"/>
      <c r="H303" s="116"/>
      <c r="I303" s="116"/>
      <c r="J303" s="116"/>
      <c r="K303" s="116"/>
      <c r="L303" s="116"/>
      <c r="M303" s="116"/>
      <c r="N303" s="116"/>
      <c r="O303" s="272"/>
      <c r="P303" s="240"/>
      <c r="Q303" s="116"/>
      <c r="R303" s="116"/>
      <c r="S303" s="240"/>
      <c r="T303" s="116"/>
      <c r="U303" s="116"/>
      <c r="V303" s="273"/>
      <c r="W303" s="116"/>
      <c r="X303" s="118"/>
      <c r="Y303" s="577">
        <f t="shared" si="9"/>
        <v>294</v>
      </c>
      <c r="AA303" s="116"/>
      <c r="AB303" s="116">
        <f t="shared" si="10"/>
        <v>0</v>
      </c>
    </row>
    <row r="304" spans="1:28">
      <c r="A304" s="227"/>
      <c r="B304" s="728"/>
      <c r="C304" s="332"/>
      <c r="D304" s="102"/>
      <c r="E304" s="116">
        <f>+G304-Adjustments!H304</f>
        <v>0</v>
      </c>
      <c r="F304" s="116"/>
      <c r="G304" s="116">
        <f>+Adjustments!AW304</f>
        <v>0</v>
      </c>
      <c r="H304" s="116"/>
      <c r="I304" s="116">
        <f>SUM($F$304:$H$304)</f>
        <v>0</v>
      </c>
      <c r="J304" s="116"/>
      <c r="K304" s="116"/>
      <c r="L304" s="116" t="s">
        <v>24</v>
      </c>
      <c r="M304" s="116">
        <f>VLOOKUP($L304,$L$2:$N$7,2,FALSE)*I304</f>
        <v>0</v>
      </c>
      <c r="N304" s="116">
        <f>VLOOKUP($L304,$L$2:$N$7,3,FALSE)*I304</f>
        <v>0</v>
      </c>
      <c r="O304" s="272"/>
      <c r="P304" s="240"/>
      <c r="Q304" s="116"/>
      <c r="R304" s="116"/>
      <c r="S304" s="240"/>
      <c r="T304" s="116"/>
      <c r="U304" s="116"/>
      <c r="V304" s="273"/>
      <c r="W304" s="116"/>
      <c r="X304" s="118"/>
      <c r="Y304" s="577">
        <f t="shared" si="9"/>
        <v>295</v>
      </c>
      <c r="AA304" s="116"/>
      <c r="AB304" s="116">
        <f t="shared" si="10"/>
        <v>0</v>
      </c>
    </row>
    <row r="305" spans="1:28">
      <c r="A305" s="227"/>
      <c r="B305" s="728"/>
      <c r="C305" s="332"/>
      <c r="D305" s="102"/>
      <c r="E305" s="116">
        <f>+G305-Adjustments!H305</f>
        <v>0</v>
      </c>
      <c r="F305" s="116"/>
      <c r="G305" s="116"/>
      <c r="H305" s="116"/>
      <c r="I305" s="116"/>
      <c r="J305" s="116"/>
      <c r="K305" s="116"/>
      <c r="L305" s="116"/>
      <c r="M305" s="116"/>
      <c r="N305" s="116"/>
      <c r="O305" s="272"/>
      <c r="P305" s="240"/>
      <c r="Q305" s="116"/>
      <c r="R305" s="116"/>
      <c r="S305" s="240"/>
      <c r="T305" s="116"/>
      <c r="U305" s="116"/>
      <c r="V305" s="273"/>
      <c r="W305" s="116"/>
      <c r="X305" s="118"/>
      <c r="Y305" s="577">
        <f t="shared" si="9"/>
        <v>296</v>
      </c>
      <c r="AA305" s="116"/>
      <c r="AB305" s="116">
        <f t="shared" si="10"/>
        <v>0</v>
      </c>
    </row>
    <row r="306" spans="1:28">
      <c r="A306" s="227"/>
      <c r="B306" s="332"/>
      <c r="C306" s="332" t="s">
        <v>18</v>
      </c>
      <c r="D306" s="102"/>
      <c r="E306" s="116">
        <f>+G306-Adjustments!H306</f>
        <v>0</v>
      </c>
      <c r="F306" s="116">
        <f>Revenue!$F$305</f>
        <v>0</v>
      </c>
      <c r="G306" s="116">
        <f>+Adjustments!AW306</f>
        <v>0</v>
      </c>
      <c r="H306" s="116"/>
      <c r="I306" s="116">
        <f>SUM($F$306:$H$306)</f>
        <v>0</v>
      </c>
      <c r="J306" s="116"/>
      <c r="K306" s="116"/>
      <c r="L306" s="116" t="s">
        <v>24</v>
      </c>
      <c r="M306" s="116">
        <f>VLOOKUP($L306,$L$2:$N$7,2,FALSE)*I306</f>
        <v>0</v>
      </c>
      <c r="N306" s="116">
        <f>VLOOKUP($L306,$L$2:$N$7,3,FALSE)*I306</f>
        <v>0</v>
      </c>
      <c r="O306" s="272"/>
      <c r="P306" s="240" t="s">
        <v>559</v>
      </c>
      <c r="Q306" s="116">
        <f>IF(P306="G",M306,IF(P306="PT",0,ERR))</f>
        <v>0</v>
      </c>
      <c r="R306" s="116">
        <f>IF(P306="PT",M306,IF(P306="G",0,ERR))</f>
        <v>0</v>
      </c>
      <c r="S306" s="240" t="s">
        <v>559</v>
      </c>
      <c r="T306" s="116">
        <f>IF(S306="G",N306,IF(S306="PT",0,ERR))</f>
        <v>0</v>
      </c>
      <c r="U306" s="116">
        <f>IF(S306="PT",N306,IF(S306="G",0,ERR))</f>
        <v>0</v>
      </c>
      <c r="V306" s="273"/>
      <c r="W306" s="116">
        <f>HLOOKUP($W$9,'ROR-Model'!$Q$10:$U$1263,Y306)</f>
        <v>0</v>
      </c>
      <c r="X306" s="118"/>
      <c r="Y306" s="577">
        <f t="shared" si="9"/>
        <v>297</v>
      </c>
      <c r="AA306" s="116">
        <v>0</v>
      </c>
      <c r="AB306" s="116">
        <f t="shared" si="10"/>
        <v>0</v>
      </c>
    </row>
    <row r="307" spans="1:28">
      <c r="A307" s="227"/>
      <c r="B307" s="332"/>
      <c r="C307" s="332" t="s">
        <v>19</v>
      </c>
      <c r="D307" s="102"/>
      <c r="E307" s="131">
        <f>+G307-Adjustments!H307</f>
        <v>0</v>
      </c>
      <c r="F307" s="131">
        <f>SUM(F302:F306)</f>
        <v>80745</v>
      </c>
      <c r="G307" s="131">
        <f>SUM(G302:G306)</f>
        <v>-2538.9876800000056</v>
      </c>
      <c r="H307" s="131">
        <f>SUM(H302:H306)</f>
        <v>0</v>
      </c>
      <c r="I307" s="131">
        <f>SUM(I302:I306)</f>
        <v>78206.012319999994</v>
      </c>
      <c r="J307" s="116"/>
      <c r="K307" s="116"/>
      <c r="L307" s="131"/>
      <c r="M307" s="131">
        <f>SUM(M302:M306)</f>
        <v>0</v>
      </c>
      <c r="N307" s="131">
        <f>SUM(N302:N306)</f>
        <v>78206.012319999994</v>
      </c>
      <c r="O307" s="272"/>
      <c r="P307" s="257"/>
      <c r="Q307" s="131">
        <f>SUM(Q302:Q306)</f>
        <v>0</v>
      </c>
      <c r="R307" s="131">
        <f>SUM(R302:R306)</f>
        <v>0</v>
      </c>
      <c r="S307" s="257"/>
      <c r="T307" s="131">
        <f>SUM(T302:T306)</f>
        <v>0</v>
      </c>
      <c r="U307" s="131">
        <f>SUM(U302:U306)</f>
        <v>78206.012319999994</v>
      </c>
      <c r="V307" s="273"/>
      <c r="W307" s="131">
        <f>HLOOKUP($W$9,'ROR-Model'!$Q$10:$U$1263,Y307)</f>
        <v>0</v>
      </c>
      <c r="X307" s="118"/>
      <c r="Y307" s="577">
        <f t="shared" si="9"/>
        <v>298</v>
      </c>
      <c r="AA307" s="131">
        <v>0</v>
      </c>
      <c r="AB307" s="116">
        <f t="shared" si="10"/>
        <v>0</v>
      </c>
    </row>
    <row r="308" spans="1:28">
      <c r="A308" s="227"/>
      <c r="B308" s="332"/>
      <c r="C308" s="332"/>
      <c r="D308" s="102"/>
      <c r="E308" s="116">
        <f>+G308-Adjustments!H308</f>
        <v>0</v>
      </c>
      <c r="F308" s="116"/>
      <c r="G308" s="116"/>
      <c r="H308" s="116"/>
      <c r="I308" s="116"/>
      <c r="J308" s="116"/>
      <c r="K308" s="116"/>
      <c r="L308" s="116"/>
      <c r="M308" s="116"/>
      <c r="N308" s="116"/>
      <c r="O308" s="272"/>
      <c r="P308" s="240"/>
      <c r="Q308" s="116"/>
      <c r="R308" s="116"/>
      <c r="S308" s="240"/>
      <c r="T308" s="116"/>
      <c r="U308" s="116"/>
      <c r="V308" s="273"/>
      <c r="W308" s="116"/>
      <c r="X308" s="118"/>
      <c r="Y308" s="577">
        <f t="shared" si="9"/>
        <v>299</v>
      </c>
      <c r="AA308" s="116"/>
      <c r="AB308" s="116">
        <f t="shared" si="10"/>
        <v>0</v>
      </c>
    </row>
    <row r="309" spans="1:28">
      <c r="A309" s="227"/>
      <c r="B309" s="332"/>
      <c r="C309" s="332" t="s">
        <v>20</v>
      </c>
      <c r="D309" s="102"/>
      <c r="E309" s="116">
        <f>+G309-Adjustments!H309</f>
        <v>0</v>
      </c>
      <c r="F309" s="116">
        <f>Revenue!$F$308</f>
        <v>146691</v>
      </c>
      <c r="G309" s="116">
        <f>+Adjustments!AW309</f>
        <v>0</v>
      </c>
      <c r="H309" s="116"/>
      <c r="I309" s="116">
        <f>SUM($F$309:$H$309)</f>
        <v>146691</v>
      </c>
      <c r="J309" s="116"/>
      <c r="K309" s="116"/>
      <c r="L309" s="116" t="s">
        <v>24</v>
      </c>
      <c r="M309" s="116">
        <f>VLOOKUP($L309,$L$2:$N$7,2,FALSE)*I309</f>
        <v>0</v>
      </c>
      <c r="N309" s="116">
        <f>VLOOKUP($L309,$L$2:$N$7,3,FALSE)*I309</f>
        <v>146691</v>
      </c>
      <c r="O309" s="272"/>
      <c r="P309" s="240" t="s">
        <v>560</v>
      </c>
      <c r="Q309" s="116">
        <f>IF(P309="G",M309,IF(P309="PT",0,ERR))</f>
        <v>0</v>
      </c>
      <c r="R309" s="116">
        <f>IF(P309="PT",M309,IF(P309="G",0,ERR))</f>
        <v>0</v>
      </c>
      <c r="S309" s="240" t="s">
        <v>559</v>
      </c>
      <c r="T309" s="116">
        <f>IF(S309="G",N309,IF(S309="PT",0,ERR))</f>
        <v>0</v>
      </c>
      <c r="U309" s="116">
        <f>IF(S309="PT",N309,IF(S309="G",0,ERR))</f>
        <v>146691</v>
      </c>
      <c r="V309" s="273"/>
      <c r="W309" s="116">
        <f>HLOOKUP($W$9,'ROR-Model'!$Q$10:$U$1263,Y309)</f>
        <v>0</v>
      </c>
      <c r="X309" s="118"/>
      <c r="Y309" s="577">
        <f t="shared" si="9"/>
        <v>300</v>
      </c>
      <c r="AA309" s="116">
        <v>0</v>
      </c>
      <c r="AB309" s="116">
        <f t="shared" si="10"/>
        <v>0</v>
      </c>
    </row>
    <row r="310" spans="1:28">
      <c r="A310" s="227"/>
      <c r="B310" s="728"/>
      <c r="C310" s="728"/>
      <c r="D310" s="102"/>
      <c r="E310" s="116">
        <f>+G310-Adjustments!H310</f>
        <v>0</v>
      </c>
      <c r="F310" s="116"/>
      <c r="G310" s="116"/>
      <c r="H310" s="116"/>
      <c r="I310" s="116"/>
      <c r="J310" s="116"/>
      <c r="K310" s="116"/>
      <c r="L310" s="116"/>
      <c r="M310" s="116"/>
      <c r="N310" s="116"/>
      <c r="O310" s="272"/>
      <c r="P310" s="240"/>
      <c r="Q310" s="116"/>
      <c r="R310" s="116"/>
      <c r="S310" s="240"/>
      <c r="T310" s="116"/>
      <c r="U310" s="116"/>
      <c r="V310" s="273"/>
      <c r="W310" s="116"/>
      <c r="X310" s="118"/>
      <c r="Y310" s="577">
        <f t="shared" si="9"/>
        <v>301</v>
      </c>
      <c r="AA310" s="116"/>
      <c r="AB310" s="116">
        <f t="shared" si="10"/>
        <v>0</v>
      </c>
    </row>
    <row r="311" spans="1:28">
      <c r="A311" s="227"/>
      <c r="B311" s="728" t="s">
        <v>25</v>
      </c>
      <c r="C311" s="332" t="s">
        <v>16</v>
      </c>
      <c r="D311" s="102"/>
      <c r="E311" s="116">
        <f>+G311-Adjustments!H311</f>
        <v>0</v>
      </c>
      <c r="F311" s="116">
        <f>Revenue!$F$310</f>
        <v>43701</v>
      </c>
      <c r="G311" s="116">
        <f>+Adjustments!AW311</f>
        <v>-6991.3600000000006</v>
      </c>
      <c r="H311" s="116"/>
      <c r="I311" s="116">
        <f>SUM($F$311:$H$311)</f>
        <v>36709.64</v>
      </c>
      <c r="J311" s="116"/>
      <c r="K311" s="116"/>
      <c r="L311" s="116" t="s">
        <v>24</v>
      </c>
      <c r="M311" s="116">
        <f>VLOOKUP($L311,$L$2:$N$7,2,FALSE)*I311</f>
        <v>0</v>
      </c>
      <c r="N311" s="116">
        <f>VLOOKUP($L311,$L$2:$N$7,3,FALSE)*I311</f>
        <v>36709.64</v>
      </c>
      <c r="O311" s="272"/>
      <c r="P311" s="240" t="s">
        <v>560</v>
      </c>
      <c r="Q311" s="116">
        <f>IF(P311="G",M311,IF(P311="PT",0,ERR))</f>
        <v>0</v>
      </c>
      <c r="R311" s="116">
        <f>IF(P311="PT",M311,IF(P311="G",0,ERR))</f>
        <v>0</v>
      </c>
      <c r="S311" s="116" t="s">
        <v>559</v>
      </c>
      <c r="T311" s="116">
        <f>IF(S311="G",N311,IF(S311="PT",0,ERR))</f>
        <v>0</v>
      </c>
      <c r="U311" s="116">
        <f>IF(S311="PT",N311,IF(S311="G",0,ERR))</f>
        <v>36709.64</v>
      </c>
      <c r="V311" s="273"/>
      <c r="W311" s="116">
        <f>HLOOKUP($W$9,'ROR-Model'!$Q$10:$U$1263,Y311)</f>
        <v>0</v>
      </c>
      <c r="X311" s="118"/>
      <c r="Y311" s="577">
        <f t="shared" si="9"/>
        <v>302</v>
      </c>
      <c r="AA311" s="116">
        <v>0</v>
      </c>
      <c r="AB311" s="116">
        <f t="shared" si="10"/>
        <v>0</v>
      </c>
    </row>
    <row r="312" spans="1:28">
      <c r="A312" s="227"/>
      <c r="B312" s="728" t="s">
        <v>694</v>
      </c>
      <c r="C312" s="332"/>
      <c r="D312" s="165" t="s">
        <v>467</v>
      </c>
      <c r="E312" s="116">
        <f>+G312-Adjustments!H312</f>
        <v>0</v>
      </c>
      <c r="F312" s="116"/>
      <c r="G312" s="116"/>
      <c r="H312" s="116"/>
      <c r="I312" s="116"/>
      <c r="J312" s="116"/>
      <c r="K312" s="116"/>
      <c r="L312" s="116"/>
      <c r="M312" s="116"/>
      <c r="N312" s="116"/>
      <c r="O312" s="272"/>
      <c r="P312" s="240"/>
      <c r="Q312" s="116"/>
      <c r="R312" s="116"/>
      <c r="S312" s="240"/>
      <c r="T312" s="116"/>
      <c r="U312" s="116"/>
      <c r="V312" s="273"/>
      <c r="W312" s="116"/>
      <c r="X312" s="118"/>
      <c r="Y312" s="577">
        <f t="shared" si="9"/>
        <v>303</v>
      </c>
      <c r="AA312" s="116"/>
      <c r="AB312" s="116">
        <f t="shared" si="10"/>
        <v>0</v>
      </c>
    </row>
    <row r="313" spans="1:28">
      <c r="A313" s="227"/>
      <c r="B313" s="728"/>
      <c r="C313" s="332"/>
      <c r="D313" s="102"/>
      <c r="E313" s="116">
        <f>+G313-Adjustments!H313</f>
        <v>0</v>
      </c>
      <c r="F313" s="116"/>
      <c r="G313" s="116">
        <f>+Adjustments!AW313</f>
        <v>0</v>
      </c>
      <c r="H313" s="116"/>
      <c r="I313" s="116">
        <f>SUM($F$313:$H$313)</f>
        <v>0</v>
      </c>
      <c r="J313" s="116"/>
      <c r="K313" s="116"/>
      <c r="L313" s="116" t="s">
        <v>24</v>
      </c>
      <c r="M313" s="116">
        <f>VLOOKUP($L313,$L$2:$N$7,2,FALSE)*I313</f>
        <v>0</v>
      </c>
      <c r="N313" s="116">
        <f>VLOOKUP($L313,$L$2:$N$7,3,FALSE)*I313</f>
        <v>0</v>
      </c>
      <c r="O313" s="272"/>
      <c r="P313" s="240"/>
      <c r="Q313" s="116"/>
      <c r="R313" s="116"/>
      <c r="S313" s="240"/>
      <c r="T313" s="116"/>
      <c r="U313" s="116"/>
      <c r="V313" s="273"/>
      <c r="W313" s="116"/>
      <c r="X313" s="118"/>
      <c r="Y313" s="577">
        <f t="shared" si="9"/>
        <v>304</v>
      </c>
      <c r="AA313" s="116"/>
      <c r="AB313" s="116">
        <f t="shared" si="10"/>
        <v>0</v>
      </c>
    </row>
    <row r="314" spans="1:28">
      <c r="A314" s="227"/>
      <c r="B314" s="728"/>
      <c r="C314" s="332"/>
      <c r="D314" s="102"/>
      <c r="E314" s="116">
        <f>+G314-Adjustments!H314</f>
        <v>0</v>
      </c>
      <c r="F314" s="116"/>
      <c r="G314" s="116"/>
      <c r="H314" s="116"/>
      <c r="I314" s="116"/>
      <c r="J314" s="116"/>
      <c r="K314" s="116"/>
      <c r="L314" s="116"/>
      <c r="M314" s="116"/>
      <c r="N314" s="116"/>
      <c r="O314" s="272"/>
      <c r="P314" s="240"/>
      <c r="Q314" s="116"/>
      <c r="R314" s="116"/>
      <c r="S314" s="240"/>
      <c r="T314" s="116"/>
      <c r="U314" s="116"/>
      <c r="V314" s="273"/>
      <c r="W314" s="116"/>
      <c r="X314" s="118"/>
      <c r="Y314" s="577">
        <f t="shared" si="9"/>
        <v>305</v>
      </c>
      <c r="AA314" s="116"/>
      <c r="AB314" s="116">
        <f t="shared" si="10"/>
        <v>0</v>
      </c>
    </row>
    <row r="315" spans="1:28">
      <c r="A315" s="227"/>
      <c r="B315" s="332"/>
      <c r="C315" s="332" t="s">
        <v>18</v>
      </c>
      <c r="D315" s="102"/>
      <c r="E315" s="116">
        <f>+G315-Adjustments!H315</f>
        <v>0</v>
      </c>
      <c r="F315" s="116">
        <f>Revenue!$F$314</f>
        <v>0</v>
      </c>
      <c r="G315" s="116">
        <f>+Adjustments!AW315</f>
        <v>0</v>
      </c>
      <c r="H315" s="116"/>
      <c r="I315" s="116">
        <f>SUM($F$315:$H$315)</f>
        <v>0</v>
      </c>
      <c r="J315" s="116"/>
      <c r="K315" s="116"/>
      <c r="L315" s="116" t="s">
        <v>24</v>
      </c>
      <c r="M315" s="116">
        <f>VLOOKUP($L315,$L$2:$N$7,2,FALSE)*I315</f>
        <v>0</v>
      </c>
      <c r="N315" s="116">
        <f>VLOOKUP($L315,$L$2:$N$7,3,FALSE)*I315</f>
        <v>0</v>
      </c>
      <c r="O315" s="272"/>
      <c r="P315" s="240" t="s">
        <v>559</v>
      </c>
      <c r="Q315" s="116">
        <f>IF(P315="G",M315,IF(P315="PT",0,ERR))</f>
        <v>0</v>
      </c>
      <c r="R315" s="116">
        <f>IF(P315="PT",M315,IF(P315="G",0,ERR))</f>
        <v>0</v>
      </c>
      <c r="S315" s="240" t="s">
        <v>559</v>
      </c>
      <c r="T315" s="116">
        <f>IF(S315="G",N315,IF(S315="PT",0,ERR))</f>
        <v>0</v>
      </c>
      <c r="U315" s="116">
        <f>IF(S315="PT",N315,IF(S315="G",0,ERR))</f>
        <v>0</v>
      </c>
      <c r="V315" s="273"/>
      <c r="W315" s="116">
        <f>HLOOKUP($W$9,'ROR-Model'!$Q$10:$U$1263,Y315)</f>
        <v>0</v>
      </c>
      <c r="X315" s="118"/>
      <c r="Y315" s="577">
        <f t="shared" si="9"/>
        <v>306</v>
      </c>
      <c r="AA315" s="116">
        <v>0</v>
      </c>
      <c r="AB315" s="116">
        <f t="shared" si="10"/>
        <v>0</v>
      </c>
    </row>
    <row r="316" spans="1:28">
      <c r="A316" s="227"/>
      <c r="B316" s="332"/>
      <c r="C316" s="332" t="s">
        <v>19</v>
      </c>
      <c r="D316" s="102"/>
      <c r="E316" s="131">
        <f>+G316-Adjustments!H316</f>
        <v>0</v>
      </c>
      <c r="F316" s="131">
        <f>SUM(F311:F315)</f>
        <v>43701</v>
      </c>
      <c r="G316" s="131">
        <f>SUM(G311:G315)</f>
        <v>-6991.3600000000006</v>
      </c>
      <c r="H316" s="131">
        <f>SUM(H311:H315)</f>
        <v>0</v>
      </c>
      <c r="I316" s="131">
        <f>SUM(I311:I315)</f>
        <v>36709.64</v>
      </c>
      <c r="J316" s="116"/>
      <c r="K316" s="116"/>
      <c r="L316" s="131"/>
      <c r="M316" s="131">
        <f>SUM(M311:M315)</f>
        <v>0</v>
      </c>
      <c r="N316" s="131">
        <f>SUM(N311:N315)</f>
        <v>36709.64</v>
      </c>
      <c r="O316" s="272"/>
      <c r="P316" s="257"/>
      <c r="Q316" s="131">
        <f>SUM(Q311:Q315)</f>
        <v>0</v>
      </c>
      <c r="R316" s="131">
        <f>SUM(R311:R315)</f>
        <v>0</v>
      </c>
      <c r="S316" s="257"/>
      <c r="T316" s="131">
        <f>SUM(T311:T315)</f>
        <v>0</v>
      </c>
      <c r="U316" s="131">
        <f>SUM(U311:U315)</f>
        <v>36709.64</v>
      </c>
      <c r="V316" s="273"/>
      <c r="W316" s="131">
        <f>HLOOKUP($W$9,'ROR-Model'!$Q$10:$U$1263,Y316)</f>
        <v>0</v>
      </c>
      <c r="X316" s="118"/>
      <c r="Y316" s="577">
        <f t="shared" si="9"/>
        <v>307</v>
      </c>
      <c r="AA316" s="131">
        <v>0</v>
      </c>
      <c r="AB316" s="116">
        <f t="shared" si="10"/>
        <v>0</v>
      </c>
    </row>
    <row r="317" spans="1:28">
      <c r="A317" s="227"/>
      <c r="B317" s="332"/>
      <c r="C317" s="332"/>
      <c r="D317" s="102"/>
      <c r="E317" s="116">
        <f>+G317-Adjustments!H317</f>
        <v>0</v>
      </c>
      <c r="F317" s="116"/>
      <c r="G317" s="116"/>
      <c r="H317" s="116"/>
      <c r="I317" s="116"/>
      <c r="J317" s="116"/>
      <c r="K317" s="116"/>
      <c r="L317" s="116"/>
      <c r="M317" s="116"/>
      <c r="N317" s="116"/>
      <c r="O317" s="272"/>
      <c r="P317" s="240"/>
      <c r="Q317" s="116"/>
      <c r="R317" s="116"/>
      <c r="S317" s="240"/>
      <c r="T317" s="116"/>
      <c r="U317" s="116"/>
      <c r="V317" s="273"/>
      <c r="W317" s="116"/>
      <c r="X317" s="118"/>
      <c r="Y317" s="577">
        <f t="shared" si="9"/>
        <v>308</v>
      </c>
      <c r="AA317" s="116"/>
      <c r="AB317" s="116">
        <f t="shared" si="10"/>
        <v>0</v>
      </c>
    </row>
    <row r="318" spans="1:28">
      <c r="A318" s="227"/>
      <c r="B318" s="332"/>
      <c r="C318" s="332" t="s">
        <v>20</v>
      </c>
      <c r="D318" s="102"/>
      <c r="E318" s="116">
        <f>+G318-Adjustments!H318</f>
        <v>0</v>
      </c>
      <c r="F318" s="116">
        <f>Revenue!$F$317</f>
        <v>517921</v>
      </c>
      <c r="G318" s="116">
        <f>+Adjustments!AW318</f>
        <v>0</v>
      </c>
      <c r="H318" s="116"/>
      <c r="I318" s="116">
        <f>SUM($F$318:$H$318)</f>
        <v>517921</v>
      </c>
      <c r="J318" s="116"/>
      <c r="K318" s="116"/>
      <c r="L318" s="116" t="s">
        <v>24</v>
      </c>
      <c r="M318" s="116">
        <f>VLOOKUP($L318,$L$2:$N$7,2,FALSE)*I318</f>
        <v>0</v>
      </c>
      <c r="N318" s="116">
        <f>VLOOKUP($L318,$L$2:$N$7,3,FALSE)*I318</f>
        <v>517921</v>
      </c>
      <c r="O318" s="272"/>
      <c r="P318" s="240" t="s">
        <v>560</v>
      </c>
      <c r="Q318" s="116">
        <f>IF(P318="G",M318,IF(P318="PT",0,ERR))</f>
        <v>0</v>
      </c>
      <c r="R318" s="116">
        <f>IF(P318="PT",M318,IF(P318="G",0,ERR))</f>
        <v>0</v>
      </c>
      <c r="S318" s="116" t="s">
        <v>559</v>
      </c>
      <c r="T318" s="116">
        <f>IF(S318="G",N318,IF(S318="PT",0,ERR))</f>
        <v>0</v>
      </c>
      <c r="U318" s="116">
        <f>IF(S318="PT",N318,IF(S318="G",0,ERR))</f>
        <v>517921</v>
      </c>
      <c r="V318" s="273"/>
      <c r="W318" s="116">
        <f>HLOOKUP($W$9,'ROR-Model'!$Q$10:$U$1263,Y318)</f>
        <v>0</v>
      </c>
      <c r="X318" s="118"/>
      <c r="Y318" s="577">
        <f t="shared" si="9"/>
        <v>309</v>
      </c>
      <c r="AA318" s="116">
        <v>0</v>
      </c>
      <c r="AB318" s="116">
        <f t="shared" si="10"/>
        <v>0</v>
      </c>
    </row>
    <row r="319" spans="1:28">
      <c r="A319" s="227"/>
      <c r="B319" s="332"/>
      <c r="C319" s="332"/>
      <c r="D319" s="102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272"/>
      <c r="P319" s="240"/>
      <c r="Q319" s="116"/>
      <c r="R319" s="116"/>
      <c r="S319" s="116"/>
      <c r="T319" s="116"/>
      <c r="U319" s="116"/>
      <c r="V319" s="273"/>
      <c r="W319" s="116"/>
      <c r="X319" s="118"/>
      <c r="Y319" s="577">
        <f t="shared" si="9"/>
        <v>310</v>
      </c>
      <c r="AA319" s="116"/>
      <c r="AB319" s="116">
        <f t="shared" si="10"/>
        <v>0</v>
      </c>
    </row>
    <row r="320" spans="1:28">
      <c r="A320" s="227"/>
      <c r="B320" s="728" t="s">
        <v>690</v>
      </c>
      <c r="C320" s="728" t="s">
        <v>96</v>
      </c>
      <c r="D320" s="102"/>
      <c r="E320" s="116"/>
      <c r="F320" s="116">
        <f>Revenue!$F$319</f>
        <v>340767.31000000006</v>
      </c>
      <c r="G320" s="116">
        <f>+Adjustments!AW320</f>
        <v>-4050945.56</v>
      </c>
      <c r="H320" s="116"/>
      <c r="I320" s="116">
        <f>SUM($F$320:$H$320)</f>
        <v>-3710178.25</v>
      </c>
      <c r="J320" s="116"/>
      <c r="K320" s="116"/>
      <c r="L320" s="116" t="s">
        <v>24</v>
      </c>
      <c r="M320" s="116">
        <f>VLOOKUP($L320,$L$2:$N$7,2,FALSE)*I320</f>
        <v>0</v>
      </c>
      <c r="N320" s="116">
        <f>VLOOKUP($L320,$L$2:$N$7,3,FALSE)*I320</f>
        <v>-3710178.25</v>
      </c>
      <c r="O320" s="272"/>
      <c r="P320" s="240" t="s">
        <v>560</v>
      </c>
      <c r="Q320" s="116">
        <f>IF(P320="G",M320,IF(P320="PT",0,ERR))</f>
        <v>0</v>
      </c>
      <c r="R320" s="116">
        <f>IF(P320="PT",M320,IF(P320="G",0,ERR))</f>
        <v>0</v>
      </c>
      <c r="S320" s="240" t="s">
        <v>560</v>
      </c>
      <c r="T320" s="116">
        <f>IF(S320="G",N320,IF(S320="PT",0,ERR))</f>
        <v>-3710178.25</v>
      </c>
      <c r="U320" s="116">
        <f>IF(S320="PT",N320,IF(S320="G",0,ERR))</f>
        <v>0</v>
      </c>
      <c r="V320" s="273"/>
      <c r="W320" s="116">
        <f>HLOOKUP($W$9,'ROR-Model'!$Q$10:$U$1263,Y320)</f>
        <v>0</v>
      </c>
      <c r="X320" s="118"/>
      <c r="Y320" s="577">
        <f t="shared" si="9"/>
        <v>311</v>
      </c>
      <c r="AA320" s="116">
        <v>0</v>
      </c>
      <c r="AB320" s="116">
        <f t="shared" si="10"/>
        <v>0</v>
      </c>
    </row>
    <row r="321" spans="1:28" ht="13.5" thickBot="1">
      <c r="A321" s="227"/>
      <c r="B321" s="728" t="s">
        <v>114</v>
      </c>
      <c r="C321" s="728" t="s">
        <v>96</v>
      </c>
      <c r="D321" s="102"/>
      <c r="E321" s="235">
        <f>+G321-Adjustments!H321</f>
        <v>0</v>
      </c>
      <c r="F321" s="235">
        <f>Revenue!$F$320</f>
        <v>165057.12000000002</v>
      </c>
      <c r="G321" s="235">
        <f>+Adjustments!AW321</f>
        <v>-165057.12000000002</v>
      </c>
      <c r="H321" s="235"/>
      <c r="I321" s="235">
        <f>SUM($F$321:$H$321)</f>
        <v>0</v>
      </c>
      <c r="J321" s="116"/>
      <c r="K321" s="116"/>
      <c r="L321" s="116" t="s">
        <v>24</v>
      </c>
      <c r="M321" s="116">
        <f>VLOOKUP($L321,$L$2:$N$7,2,FALSE)*I321</f>
        <v>0</v>
      </c>
      <c r="N321" s="116">
        <f>VLOOKUP($L321,$L$2:$N$7,3,FALSE)*I321</f>
        <v>0</v>
      </c>
      <c r="O321" s="272"/>
      <c r="P321" s="240" t="s">
        <v>560</v>
      </c>
      <c r="Q321" s="116">
        <f>IF(P321="G",M321,IF(P321="PT",0,ERR))</f>
        <v>0</v>
      </c>
      <c r="R321" s="116">
        <f>IF(P321="PT",M321,IF(P321="G",0,ERR))</f>
        <v>0</v>
      </c>
      <c r="S321" s="240" t="s">
        <v>560</v>
      </c>
      <c r="T321" s="116">
        <f>IF(S321="G",N321,IF(S321="PT",0,ERR))</f>
        <v>0</v>
      </c>
      <c r="U321" s="116">
        <f>IF(S321="PT",N321,IF(S321="G",0,ERR))</f>
        <v>0</v>
      </c>
      <c r="V321" s="273"/>
      <c r="W321" s="116">
        <f>HLOOKUP($W$9,'ROR-Model'!$Q$10:$U$1263,Y321)</f>
        <v>0</v>
      </c>
      <c r="X321" s="118"/>
      <c r="Y321" s="577">
        <f t="shared" si="9"/>
        <v>312</v>
      </c>
      <c r="AA321" s="116">
        <v>0</v>
      </c>
      <c r="AB321" s="116">
        <f t="shared" si="10"/>
        <v>0</v>
      </c>
    </row>
    <row r="322" spans="1:28" ht="13.5" thickTop="1">
      <c r="A322" s="227"/>
      <c r="B322" s="728" t="s">
        <v>545</v>
      </c>
      <c r="C322" s="728"/>
      <c r="D322" s="102"/>
      <c r="E322" s="116">
        <f>+G322-Adjustments!H322</f>
        <v>0</v>
      </c>
      <c r="F322" s="116"/>
      <c r="G322" s="116"/>
      <c r="H322" s="116"/>
      <c r="I322" s="116"/>
      <c r="J322" s="116"/>
      <c r="K322" s="116"/>
      <c r="L322" s="116"/>
      <c r="M322" s="116"/>
      <c r="N322" s="116"/>
      <c r="O322" s="272"/>
      <c r="P322" s="240"/>
      <c r="Q322" s="116"/>
      <c r="R322" s="116"/>
      <c r="S322" s="240"/>
      <c r="T322" s="116"/>
      <c r="U322" s="116"/>
      <c r="V322" s="273"/>
      <c r="W322" s="116"/>
      <c r="X322" s="118"/>
      <c r="Y322" s="577">
        <f t="shared" si="9"/>
        <v>313</v>
      </c>
      <c r="AA322" s="116"/>
      <c r="AB322" s="116">
        <f t="shared" si="10"/>
        <v>0</v>
      </c>
    </row>
    <row r="323" spans="1:28">
      <c r="A323" s="227"/>
      <c r="B323" s="332"/>
      <c r="C323" s="332" t="s">
        <v>16</v>
      </c>
      <c r="D323" s="102"/>
      <c r="E323" s="133">
        <f>+G323-Adjustments!H323</f>
        <v>-2828.0699999998324</v>
      </c>
      <c r="F323" s="133">
        <f>+F239+F248+F257+F266+F320+F321</f>
        <v>12936314.539690599</v>
      </c>
      <c r="G323" s="133">
        <f>+G239+G248+G257+G266+G320+G321</f>
        <v>-71311.659690599336</v>
      </c>
      <c r="H323" s="133">
        <f>+H239+H248+H257+H266+H275+H320+H321</f>
        <v>0</v>
      </c>
      <c r="I323" s="133">
        <f>+I239+I248+I257+I266+I320+I321</f>
        <v>12865002.880000001</v>
      </c>
      <c r="J323" s="116"/>
      <c r="K323" s="116"/>
      <c r="L323" s="116"/>
      <c r="M323" s="133">
        <f>+M239+M248+M257+M266+M275+M320+M321</f>
        <v>0</v>
      </c>
      <c r="N323" s="133">
        <f>+N239+N248+N257+N266+N275+N320+N321</f>
        <v>12920344.950000001</v>
      </c>
      <c r="O323" s="272"/>
      <c r="P323" s="240"/>
      <c r="Q323" s="133">
        <f>+Q239+Q248+Q257+Q266+Q275+Q320+Q321</f>
        <v>0</v>
      </c>
      <c r="R323" s="133">
        <f>+R239+R248+R257+R266+R275+R320+R321</f>
        <v>0</v>
      </c>
      <c r="S323" s="240"/>
      <c r="T323" s="133">
        <f>+T239+T248+T257+T266+T275+T320+T321</f>
        <v>12865002.880000001</v>
      </c>
      <c r="U323" s="133">
        <f>+U239+U248+U257+U266+U275+U320+U321</f>
        <v>55342.07</v>
      </c>
      <c r="V323" s="273"/>
      <c r="W323" s="133">
        <f>HLOOKUP($W$9,'ROR-Model'!$Q$10:$U$1263,Y323)</f>
        <v>0</v>
      </c>
      <c r="X323" s="118"/>
      <c r="Y323" s="577">
        <f t="shared" si="9"/>
        <v>314</v>
      </c>
      <c r="AA323" s="133">
        <v>0</v>
      </c>
      <c r="AB323" s="116">
        <f t="shared" si="10"/>
        <v>0</v>
      </c>
    </row>
    <row r="324" spans="1:28">
      <c r="A324" s="227"/>
      <c r="B324" s="332"/>
      <c r="C324" s="332" t="s">
        <v>17</v>
      </c>
      <c r="D324" s="102"/>
      <c r="E324" s="133">
        <f>+G324-Adjustments!H324</f>
        <v>0</v>
      </c>
      <c r="F324" s="133">
        <f>+F277+F286</f>
        <v>-36</v>
      </c>
      <c r="G324" s="133">
        <f>+G277+G286</f>
        <v>27053.749999999993</v>
      </c>
      <c r="H324" s="133">
        <f>+H277+H286</f>
        <v>0</v>
      </c>
      <c r="I324" s="133">
        <f>+I277+I286</f>
        <v>27017.749999999993</v>
      </c>
      <c r="J324" s="116"/>
      <c r="K324" s="116"/>
      <c r="L324" s="116"/>
      <c r="M324" s="133">
        <f>+M277+M286</f>
        <v>0</v>
      </c>
      <c r="N324" s="133">
        <f>+N277+N286</f>
        <v>27017.749999999993</v>
      </c>
      <c r="O324" s="272"/>
      <c r="P324" s="240"/>
      <c r="Q324" s="133">
        <f>+Q277+Q286</f>
        <v>0</v>
      </c>
      <c r="R324" s="133">
        <f>+R277+R286</f>
        <v>0</v>
      </c>
      <c r="S324" s="240"/>
      <c r="T324" s="133">
        <f>+T277+T286</f>
        <v>0</v>
      </c>
      <c r="U324" s="133">
        <f>+U277+U286</f>
        <v>27017.749999999993</v>
      </c>
      <c r="V324" s="273"/>
      <c r="W324" s="133">
        <f>HLOOKUP($W$9,'ROR-Model'!$Q$10:$U$1263,Y324)</f>
        <v>0</v>
      </c>
      <c r="X324" s="118"/>
      <c r="Y324" s="577">
        <f t="shared" si="9"/>
        <v>315</v>
      </c>
      <c r="AA324" s="133">
        <v>0</v>
      </c>
      <c r="AB324" s="116">
        <f t="shared" si="10"/>
        <v>0</v>
      </c>
    </row>
    <row r="325" spans="1:28">
      <c r="A325" s="227"/>
      <c r="B325" s="332"/>
      <c r="C325" s="728" t="s">
        <v>548</v>
      </c>
      <c r="D325" s="102"/>
      <c r="E325" s="133">
        <f>+G325-Adjustments!H325</f>
        <v>2828.0699999999997</v>
      </c>
      <c r="F325" s="133">
        <f>+F284+F293+F302+F311+F275</f>
        <v>176960</v>
      </c>
      <c r="G325" s="133">
        <f>+G284+G293+G302+G311+G275</f>
        <v>-6702.2776800000065</v>
      </c>
      <c r="H325" s="133">
        <f t="shared" ref="H325:I325" si="11">+H284+H293+H302+H311+H275</f>
        <v>0</v>
      </c>
      <c r="I325" s="133">
        <f t="shared" si="11"/>
        <v>170257.72232</v>
      </c>
      <c r="J325" s="116"/>
      <c r="K325" s="116"/>
      <c r="L325" s="116"/>
      <c r="M325" s="133">
        <f>+M284+M293+M302+M311</f>
        <v>0</v>
      </c>
      <c r="N325" s="133">
        <f>+N275+N284+N293+N302+N311</f>
        <v>170257.72232</v>
      </c>
      <c r="O325" s="272"/>
      <c r="P325" s="240"/>
      <c r="Q325" s="133">
        <f>+Q284+Q293+Q302+Q311</f>
        <v>0</v>
      </c>
      <c r="R325" s="133">
        <f>+R284+R293+R302+R311</f>
        <v>0</v>
      </c>
      <c r="S325" s="240"/>
      <c r="T325" s="133">
        <f>+T284+T293+T302+T311</f>
        <v>0</v>
      </c>
      <c r="U325" s="133">
        <f>+U275+U284+U293+U302+U311</f>
        <v>170257.72232</v>
      </c>
      <c r="V325" s="273"/>
      <c r="W325" s="133">
        <f>HLOOKUP($W$9,'ROR-Model'!$Q$10:$U$1263,Y325)</f>
        <v>0</v>
      </c>
      <c r="X325" s="118"/>
      <c r="Y325" s="577">
        <f t="shared" si="9"/>
        <v>316</v>
      </c>
      <c r="AA325" s="133">
        <v>0</v>
      </c>
      <c r="AB325" s="116">
        <f t="shared" si="10"/>
        <v>0</v>
      </c>
    </row>
    <row r="326" spans="1:28">
      <c r="A326" s="227"/>
      <c r="B326" s="332"/>
      <c r="C326" s="332" t="s">
        <v>18</v>
      </c>
      <c r="D326" s="102"/>
      <c r="E326" s="133">
        <f>+G326-Adjustments!H326</f>
        <v>0</v>
      </c>
      <c r="F326" s="133">
        <f>+F243+F252+F261+F270+F279+F288+F297+F306+F315</f>
        <v>18791773.620309401</v>
      </c>
      <c r="G326" s="133">
        <f t="shared" ref="G326:I326" si="12">+G243+G252+G261+G270+G279+G288+G297+G306+G315</f>
        <v>-1307303.5003094005</v>
      </c>
      <c r="H326" s="133">
        <f t="shared" si="12"/>
        <v>0</v>
      </c>
      <c r="I326" s="133">
        <f t="shared" si="12"/>
        <v>17484470.120000001</v>
      </c>
      <c r="J326" s="116"/>
      <c r="K326" s="116"/>
      <c r="L326" s="116"/>
      <c r="M326" s="133">
        <f>+M243+M252+M261+M270+M279+M288+M297+M306+M315</f>
        <v>0</v>
      </c>
      <c r="N326" s="133">
        <f>+N243+N252+N261+N270+N279+N288+N297+N306+N315</f>
        <v>17484470.120000001</v>
      </c>
      <c r="O326" s="272"/>
      <c r="P326" s="240"/>
      <c r="Q326" s="133">
        <f>+Q243+Q252+Q261+Q270+Q279+Q288+Q297+Q306+Q315</f>
        <v>0</v>
      </c>
      <c r="R326" s="133">
        <f>+R243+R252+R261+R270+R279+R288+R297+R306+R315</f>
        <v>0</v>
      </c>
      <c r="S326" s="240"/>
      <c r="T326" s="133">
        <f>+T243+T252+T261+T270+T279+T288+T297+T306+T315</f>
        <v>0</v>
      </c>
      <c r="U326" s="133">
        <f>+U243+U252+U261+U270+U279+U288+U297+U306+U315</f>
        <v>17484470.120000001</v>
      </c>
      <c r="V326" s="273"/>
      <c r="W326" s="133">
        <f>HLOOKUP($W$9,'ROR-Model'!$Q$10:$U$1263,Y326)</f>
        <v>0</v>
      </c>
      <c r="X326" s="118"/>
      <c r="Y326" s="577">
        <f t="shared" si="9"/>
        <v>317</v>
      </c>
      <c r="AA326" s="133">
        <v>0</v>
      </c>
      <c r="AB326" s="116">
        <f t="shared" si="10"/>
        <v>0</v>
      </c>
    </row>
    <row r="327" spans="1:28">
      <c r="A327" s="227"/>
      <c r="B327" s="332"/>
      <c r="C327" s="332" t="s">
        <v>27</v>
      </c>
      <c r="D327" s="102"/>
      <c r="E327" s="241">
        <f>+G327-Adjustments!H327</f>
        <v>0</v>
      </c>
      <c r="F327" s="241">
        <f>+F244+F253+F262+F271+F280+F289+F298+F307+F316+F320+F321</f>
        <v>31905012.16</v>
      </c>
      <c r="G327" s="241">
        <f t="shared" ref="G327:I327" si="13">+G244+G253+G262+G271+G280+G289+G298+G307+G316+G320+G321</f>
        <v>-1358263.6876799995</v>
      </c>
      <c r="H327" s="241">
        <f t="shared" si="13"/>
        <v>0</v>
      </c>
      <c r="I327" s="241">
        <f t="shared" si="13"/>
        <v>30546748.472319998</v>
      </c>
      <c r="J327" s="116"/>
      <c r="K327" s="116"/>
      <c r="L327" s="241"/>
      <c r="M327" s="241">
        <f t="shared" ref="M327:N327" si="14">+M244+M253+M262+M271+M280+M289+M298+M307+M316+M320+M321</f>
        <v>0</v>
      </c>
      <c r="N327" s="241">
        <f t="shared" si="14"/>
        <v>30546748.472319998</v>
      </c>
      <c r="O327" s="272"/>
      <c r="P327" s="257"/>
      <c r="Q327" s="241">
        <f t="shared" ref="Q327:U327" si="15">+Q244+Q253+Q262+Q271+Q280+Q289+Q298+Q307+Q316+Q320+Q321</f>
        <v>0</v>
      </c>
      <c r="R327" s="241">
        <f t="shared" si="15"/>
        <v>0</v>
      </c>
      <c r="S327" s="241"/>
      <c r="T327" s="241">
        <f t="shared" si="15"/>
        <v>12865002.880000001</v>
      </c>
      <c r="U327" s="241">
        <f t="shared" si="15"/>
        <v>17681745.592320003</v>
      </c>
      <c r="V327" s="273"/>
      <c r="W327" s="241">
        <f>HLOOKUP($W$9,'ROR-Model'!$Q$10:$U$1263,Y327)</f>
        <v>0</v>
      </c>
      <c r="X327" s="118"/>
      <c r="Y327" s="577">
        <f t="shared" si="9"/>
        <v>318</v>
      </c>
      <c r="AA327" s="241">
        <v>0</v>
      </c>
      <c r="AB327" s="116">
        <f t="shared" si="10"/>
        <v>0</v>
      </c>
    </row>
    <row r="328" spans="1:28">
      <c r="A328" s="227"/>
      <c r="B328" s="332"/>
      <c r="C328" s="332"/>
      <c r="D328" s="102"/>
      <c r="E328" s="133">
        <f>+G328-Adjustments!H328</f>
        <v>0</v>
      </c>
      <c r="F328" s="133"/>
      <c r="G328" s="133"/>
      <c r="H328" s="133"/>
      <c r="I328" s="133"/>
      <c r="J328" s="116"/>
      <c r="K328" s="116"/>
      <c r="L328" s="116"/>
      <c r="M328" s="133"/>
      <c r="N328" s="133"/>
      <c r="O328" s="272"/>
      <c r="P328" s="240"/>
      <c r="Q328" s="133"/>
      <c r="R328" s="133"/>
      <c r="S328" s="240"/>
      <c r="T328" s="133"/>
      <c r="U328" s="133"/>
      <c r="V328" s="273"/>
      <c r="W328" s="133"/>
      <c r="X328" s="118"/>
      <c r="Y328" s="577">
        <f t="shared" si="9"/>
        <v>319</v>
      </c>
      <c r="AA328" s="133"/>
      <c r="AB328" s="116">
        <f t="shared" si="10"/>
        <v>0</v>
      </c>
    </row>
    <row r="329" spans="1:28">
      <c r="A329" s="227"/>
      <c r="B329" s="332"/>
      <c r="C329" s="728" t="s">
        <v>59</v>
      </c>
      <c r="D329" s="102"/>
      <c r="E329" s="133">
        <f>+G329-Adjustments!H329</f>
        <v>0</v>
      </c>
      <c r="F329" s="133">
        <f>F246+F255+F264+F273+F282+F291</f>
        <v>3722463.87</v>
      </c>
      <c r="G329" s="133">
        <f>G246+G255+G264+G273+G282+G291</f>
        <v>156724.13</v>
      </c>
      <c r="H329" s="133">
        <f>H246+H255+H264+H273+H282+H291</f>
        <v>0</v>
      </c>
      <c r="I329" s="133">
        <f>I246+I255+I264+I273+I282+I291</f>
        <v>3879188</v>
      </c>
      <c r="J329" s="116"/>
      <c r="K329" s="116"/>
      <c r="L329" s="116"/>
      <c r="M329" s="133">
        <f>M246+M255+M264+M273+M282+M291</f>
        <v>0</v>
      </c>
      <c r="N329" s="133">
        <f>N246+N255+N264+N273+N282+N291</f>
        <v>3879188</v>
      </c>
      <c r="O329" s="272"/>
      <c r="P329" s="240"/>
      <c r="Q329" s="133">
        <f>Q246+Q255+Q264+Q273+Q282+Q291</f>
        <v>0</v>
      </c>
      <c r="R329" s="133">
        <f>R246+R255+R264+R273+R282+R291</f>
        <v>0</v>
      </c>
      <c r="S329" s="240"/>
      <c r="T329" s="133">
        <f>T246+T255+T264+T273+T282+T291</f>
        <v>3729530</v>
      </c>
      <c r="U329" s="133">
        <f>U246+U255+U264+U273+U282+U291</f>
        <v>149658</v>
      </c>
      <c r="V329" s="273"/>
      <c r="W329" s="133">
        <f>HLOOKUP($W$9,'ROR-Model'!$Q$10:$U$1263,Y329)</f>
        <v>0</v>
      </c>
      <c r="X329" s="118"/>
      <c r="Y329" s="577">
        <f t="shared" si="9"/>
        <v>320</v>
      </c>
      <c r="AA329" s="133">
        <v>0</v>
      </c>
      <c r="AB329" s="116">
        <f t="shared" si="10"/>
        <v>0</v>
      </c>
    </row>
    <row r="330" spans="1:28">
      <c r="A330" s="227"/>
      <c r="B330" s="332"/>
      <c r="C330" s="332" t="s">
        <v>60</v>
      </c>
      <c r="D330" s="102"/>
      <c r="E330" s="133">
        <f>+G330-Adjustments!H330</f>
        <v>0</v>
      </c>
      <c r="F330" s="133">
        <f>F309+F318+F300</f>
        <v>664612</v>
      </c>
      <c r="G330" s="133">
        <f>G309+G318+G300</f>
        <v>0</v>
      </c>
      <c r="H330" s="133">
        <f>H309+H318+H300</f>
        <v>0</v>
      </c>
      <c r="I330" s="133">
        <f>I309+I318+I300</f>
        <v>664612</v>
      </c>
      <c r="J330" s="116"/>
      <c r="K330" s="116"/>
      <c r="L330" s="116"/>
      <c r="M330" s="133">
        <f>M309+M318+M300</f>
        <v>0</v>
      </c>
      <c r="N330" s="133">
        <f>N309+N318+N300</f>
        <v>664612</v>
      </c>
      <c r="O330" s="272"/>
      <c r="P330" s="240"/>
      <c r="Q330" s="133">
        <f>Q309+Q318+Q300</f>
        <v>0</v>
      </c>
      <c r="R330" s="133">
        <f>R309+R318+R300</f>
        <v>0</v>
      </c>
      <c r="S330" s="240"/>
      <c r="T330" s="133">
        <f>T309+T318+T300</f>
        <v>0</v>
      </c>
      <c r="U330" s="133">
        <f>U309+U318+U300</f>
        <v>664612</v>
      </c>
      <c r="V330" s="273"/>
      <c r="W330" s="133">
        <f>HLOOKUP($W$9,'ROR-Model'!$Q$10:$U$1263,Y330)</f>
        <v>0</v>
      </c>
      <c r="X330" s="118"/>
      <c r="Y330" s="577">
        <f t="shared" si="9"/>
        <v>321</v>
      </c>
      <c r="AA330" s="133">
        <v>0</v>
      </c>
      <c r="AB330" s="116">
        <f t="shared" si="10"/>
        <v>0</v>
      </c>
    </row>
    <row r="331" spans="1:28">
      <c r="A331" s="227"/>
      <c r="B331" s="332"/>
      <c r="C331" s="332" t="s">
        <v>28</v>
      </c>
      <c r="D331" s="102"/>
      <c r="E331" s="241">
        <f>+G331-Adjustments!H331</f>
        <v>0</v>
      </c>
      <c r="F331" s="241">
        <f>+F246+F255+F264+F273+F282+F291+F300+F309+F318</f>
        <v>4387075.87</v>
      </c>
      <c r="G331" s="241">
        <f>+G246+G255+G264+G273+G282+G291+G300+G309+G318</f>
        <v>156724.13</v>
      </c>
      <c r="H331" s="241">
        <f>+H246+H255+H264+H273+H282+H291+H300+H309+H318</f>
        <v>0</v>
      </c>
      <c r="I331" s="241">
        <f>+I246+I255+I264+I273+I282+I291+I300+I309+I318</f>
        <v>4543800</v>
      </c>
      <c r="J331" s="116"/>
      <c r="K331" s="116"/>
      <c r="L331" s="131"/>
      <c r="M331" s="241">
        <f>+M246+M255+M264+M273+M282+M291+M300+M309+M318</f>
        <v>0</v>
      </c>
      <c r="N331" s="241">
        <f>+N246+N255+N264+N273+N282+N291+N300+N309+N318</f>
        <v>4543800</v>
      </c>
      <c r="O331" s="272"/>
      <c r="P331" s="257"/>
      <c r="Q331" s="241">
        <f>+Q246+Q255+Q264+Q273+Q282+Q291+Q300+Q309+Q318</f>
        <v>0</v>
      </c>
      <c r="R331" s="241">
        <f>+R246+R255+R264+R273+R282+R291+R300+R309+R318</f>
        <v>0</v>
      </c>
      <c r="S331" s="257"/>
      <c r="T331" s="241">
        <f>+T246+T255+T264+T273+T282+T291+T300+T309+T318</f>
        <v>3729530</v>
      </c>
      <c r="U331" s="241">
        <f>+U246+U255+U264+U273+U282+U291+U300+U309+U318</f>
        <v>814270</v>
      </c>
      <c r="V331" s="273"/>
      <c r="W331" s="241">
        <f>HLOOKUP($W$9,'ROR-Model'!$Q$10:$U$1263,Y331)</f>
        <v>0</v>
      </c>
      <c r="X331" s="118"/>
      <c r="Y331" s="577">
        <f t="shared" si="9"/>
        <v>322</v>
      </c>
      <c r="AA331" s="241">
        <v>0</v>
      </c>
      <c r="AB331" s="116">
        <f t="shared" si="10"/>
        <v>0</v>
      </c>
    </row>
    <row r="332" spans="1:28">
      <c r="A332" s="227"/>
      <c r="B332" s="728"/>
      <c r="C332" s="728"/>
      <c r="D332" s="102"/>
      <c r="E332" s="116">
        <f>+G332-Adjustments!H332</f>
        <v>0</v>
      </c>
      <c r="F332" s="116"/>
      <c r="G332" s="116"/>
      <c r="H332" s="116"/>
      <c r="I332" s="116"/>
      <c r="J332" s="116"/>
      <c r="K332" s="116"/>
      <c r="L332" s="116"/>
      <c r="M332" s="116"/>
      <c r="N332" s="116"/>
      <c r="O332" s="272"/>
      <c r="P332" s="240"/>
      <c r="Q332" s="116"/>
      <c r="R332" s="116"/>
      <c r="S332" s="240"/>
      <c r="T332" s="116"/>
      <c r="U332" s="116"/>
      <c r="V332" s="273"/>
      <c r="W332" s="116"/>
      <c r="X332" s="118"/>
      <c r="Y332" s="577">
        <f t="shared" si="9"/>
        <v>323</v>
      </c>
      <c r="AA332" s="116"/>
      <c r="AB332" s="116">
        <f t="shared" si="10"/>
        <v>0</v>
      </c>
    </row>
    <row r="333" spans="1:28">
      <c r="A333" s="36" t="s">
        <v>29</v>
      </c>
      <c r="B333" s="332"/>
      <c r="C333" s="332"/>
      <c r="D333" s="102"/>
      <c r="E333" s="116">
        <f>+G333-Adjustments!H333</f>
        <v>0</v>
      </c>
      <c r="F333" s="116"/>
      <c r="G333" s="116"/>
      <c r="H333" s="116"/>
      <c r="I333" s="116"/>
      <c r="J333" s="116"/>
      <c r="K333" s="116"/>
      <c r="L333" s="116"/>
      <c r="M333" s="116"/>
      <c r="N333" s="116"/>
      <c r="O333" s="272"/>
      <c r="P333" s="240"/>
      <c r="Q333" s="116"/>
      <c r="R333" s="116"/>
      <c r="S333" s="240"/>
      <c r="T333" s="116"/>
      <c r="U333" s="116"/>
      <c r="V333" s="273"/>
      <c r="W333" s="116"/>
      <c r="X333" s="118"/>
      <c r="Y333" s="577">
        <f t="shared" si="9"/>
        <v>324</v>
      </c>
      <c r="AA333" s="116"/>
      <c r="AB333" s="116">
        <f t="shared" si="10"/>
        <v>0</v>
      </c>
    </row>
    <row r="334" spans="1:28">
      <c r="A334" s="227"/>
      <c r="B334" s="728" t="s">
        <v>89</v>
      </c>
      <c r="C334" s="728" t="s">
        <v>16</v>
      </c>
      <c r="D334" s="102"/>
      <c r="E334" s="116">
        <f>+G334-Adjustments!H334</f>
        <v>0</v>
      </c>
      <c r="F334" s="116">
        <f>Revenue!$F$333</f>
        <v>0</v>
      </c>
      <c r="G334" s="116">
        <f>+Adjustments!AW334</f>
        <v>0</v>
      </c>
      <c r="H334" s="116"/>
      <c r="I334" s="116">
        <f>SUM($F$334:$H$334)</f>
        <v>0</v>
      </c>
      <c r="J334" s="116"/>
      <c r="K334" s="116"/>
      <c r="L334" s="116" t="s">
        <v>693</v>
      </c>
      <c r="M334" s="116">
        <f>VLOOKUP($L334,$L$2:$N$7,2,FALSE)*I334</f>
        <v>0</v>
      </c>
      <c r="N334" s="116">
        <f>VLOOKUP($L334,$L$2:$N$7,3,FALSE)*I334</f>
        <v>0</v>
      </c>
      <c r="O334" s="272"/>
      <c r="P334" s="240" t="s">
        <v>560</v>
      </c>
      <c r="Q334" s="116">
        <f>IF(P334="G",M334,IF(P334="PT",0,ERR))</f>
        <v>0</v>
      </c>
      <c r="R334" s="116">
        <f>IF(P334="PT",M334,IF(P334="G",0,ERR))</f>
        <v>0</v>
      </c>
      <c r="S334" s="240" t="s">
        <v>560</v>
      </c>
      <c r="T334" s="116">
        <f>IF(S334="G",N334,IF(S334="PT",0,ERR))</f>
        <v>0</v>
      </c>
      <c r="U334" s="116">
        <f>IF(S334="PT",N334,IF(S334="G",0,ERR))</f>
        <v>0</v>
      </c>
      <c r="V334" s="273"/>
      <c r="W334" s="116">
        <f>HLOOKUP($W$9,'ROR-Model'!$Q$10:$U$1263,Y334)</f>
        <v>0</v>
      </c>
      <c r="X334" s="118"/>
      <c r="Y334" s="577">
        <f t="shared" ref="Y334:Y397" si="16">Y333+1</f>
        <v>325</v>
      </c>
      <c r="AA334" s="116">
        <v>0</v>
      </c>
      <c r="AB334" s="116">
        <f t="shared" si="10"/>
        <v>0</v>
      </c>
    </row>
    <row r="335" spans="1:28">
      <c r="A335" s="227"/>
      <c r="B335" s="728"/>
      <c r="C335" s="728"/>
      <c r="D335" s="102"/>
      <c r="E335" s="116">
        <f>+G335-Adjustments!H335</f>
        <v>0</v>
      </c>
      <c r="F335" s="116"/>
      <c r="G335" s="116"/>
      <c r="H335" s="116"/>
      <c r="I335" s="116"/>
      <c r="J335" s="116"/>
      <c r="K335" s="116"/>
      <c r="L335" s="116"/>
      <c r="M335" s="239"/>
      <c r="N335" s="239"/>
      <c r="O335" s="272"/>
      <c r="P335" s="240"/>
      <c r="Q335" s="116"/>
      <c r="R335" s="116"/>
      <c r="S335" s="240"/>
      <c r="T335" s="116"/>
      <c r="U335" s="116"/>
      <c r="V335" s="273"/>
      <c r="W335" s="116"/>
      <c r="X335" s="118"/>
      <c r="Y335" s="577">
        <f t="shared" si="16"/>
        <v>326</v>
      </c>
      <c r="AA335" s="116"/>
      <c r="AB335" s="116">
        <f t="shared" si="10"/>
        <v>0</v>
      </c>
    </row>
    <row r="336" spans="1:28">
      <c r="A336" s="227"/>
      <c r="B336" s="728"/>
      <c r="C336" s="728"/>
      <c r="D336" s="102"/>
      <c r="E336" s="116">
        <f>+G336-Adjustments!H336</f>
        <v>0</v>
      </c>
      <c r="F336" s="116"/>
      <c r="G336" s="116">
        <f>+Adjustments!AW336</f>
        <v>0</v>
      </c>
      <c r="H336" s="116"/>
      <c r="I336" s="116">
        <f>SUM($F$336:$H$336)</f>
        <v>0</v>
      </c>
      <c r="J336" s="116"/>
      <c r="K336" s="116"/>
      <c r="L336" s="116" t="s">
        <v>24</v>
      </c>
      <c r="M336" s="116">
        <f>VLOOKUP($L336,$L$2:$N$7,2,FALSE)*I336</f>
        <v>0</v>
      </c>
      <c r="N336" s="116">
        <f>VLOOKUP($L336,$L$2:$N$7,3,FALSE)*I336</f>
        <v>0</v>
      </c>
      <c r="O336" s="272"/>
      <c r="P336" s="240"/>
      <c r="Q336" s="116"/>
      <c r="R336" s="116"/>
      <c r="S336" s="240"/>
      <c r="T336" s="116"/>
      <c r="U336" s="116"/>
      <c r="V336" s="273"/>
      <c r="W336" s="116"/>
      <c r="X336" s="118"/>
      <c r="Y336" s="577">
        <f t="shared" si="16"/>
        <v>327</v>
      </c>
      <c r="AA336" s="116"/>
      <c r="AB336" s="116">
        <f t="shared" si="10"/>
        <v>0</v>
      </c>
    </row>
    <row r="337" spans="1:28">
      <c r="A337" s="227"/>
      <c r="B337" s="728"/>
      <c r="C337" s="728"/>
      <c r="D337" s="102"/>
      <c r="E337" s="116">
        <f>+G337-Adjustments!H337</f>
        <v>0</v>
      </c>
      <c r="F337" s="116"/>
      <c r="G337" s="116"/>
      <c r="H337" s="116"/>
      <c r="I337" s="116"/>
      <c r="J337" s="116"/>
      <c r="K337" s="116"/>
      <c r="L337" s="116"/>
      <c r="M337" s="116"/>
      <c r="N337" s="116"/>
      <c r="O337" s="272"/>
      <c r="P337" s="240"/>
      <c r="Q337" s="116"/>
      <c r="R337" s="116"/>
      <c r="S337" s="240"/>
      <c r="T337" s="116"/>
      <c r="U337" s="116"/>
      <c r="V337" s="273"/>
      <c r="W337" s="116"/>
      <c r="X337" s="118"/>
      <c r="Y337" s="577">
        <f t="shared" si="16"/>
        <v>328</v>
      </c>
      <c r="AA337" s="116"/>
      <c r="AB337" s="116">
        <f t="shared" ref="AB337:AB400" si="17">W337-AA337</f>
        <v>0</v>
      </c>
    </row>
    <row r="338" spans="1:28">
      <c r="A338" s="227"/>
      <c r="B338" s="728"/>
      <c r="C338" s="728" t="s">
        <v>18</v>
      </c>
      <c r="D338" s="102"/>
      <c r="E338" s="116">
        <f>+G338-Adjustments!H338</f>
        <v>0</v>
      </c>
      <c r="F338" s="116">
        <f>Revenue!$F$337</f>
        <v>0</v>
      </c>
      <c r="G338" s="116">
        <f>+Adjustments!AW338</f>
        <v>0</v>
      </c>
      <c r="H338" s="116"/>
      <c r="I338" s="116">
        <f>SUM($F$338:$H$338)</f>
        <v>0</v>
      </c>
      <c r="J338" s="116"/>
      <c r="K338" s="116"/>
      <c r="L338" s="116" t="s">
        <v>24</v>
      </c>
      <c r="M338" s="116">
        <f>VLOOKUP($L338,$L$2:$N$7,2,FALSE)*I338</f>
        <v>0</v>
      </c>
      <c r="N338" s="116">
        <f>VLOOKUP($L338,$L$2:$N$7,3,FALSE)*I338</f>
        <v>0</v>
      </c>
      <c r="O338" s="272"/>
      <c r="P338" s="240" t="s">
        <v>559</v>
      </c>
      <c r="Q338" s="116">
        <f>IF(P338="G",M338,IF(P338="PT",0,ERR))</f>
        <v>0</v>
      </c>
      <c r="R338" s="116">
        <f>IF(P338="PT",M338,IF(P338="G",0,ERR))</f>
        <v>0</v>
      </c>
      <c r="S338" s="240" t="s">
        <v>559</v>
      </c>
      <c r="T338" s="116">
        <f>IF(S338="G",N338,IF(S338="PT",0,ERR))</f>
        <v>0</v>
      </c>
      <c r="U338" s="116">
        <f>IF(S338="PT",N338,IF(S338="G",0,ERR))</f>
        <v>0</v>
      </c>
      <c r="V338" s="273"/>
      <c r="W338" s="116">
        <f>HLOOKUP($W$9,'ROR-Model'!$Q$10:$U$1263,Y338)</f>
        <v>0</v>
      </c>
      <c r="X338" s="118"/>
      <c r="Y338" s="577">
        <f t="shared" si="16"/>
        <v>329</v>
      </c>
      <c r="AA338" s="116">
        <v>0</v>
      </c>
      <c r="AB338" s="116">
        <f t="shared" si="17"/>
        <v>0</v>
      </c>
    </row>
    <row r="339" spans="1:28">
      <c r="A339" s="227"/>
      <c r="B339" s="728"/>
      <c r="C339" s="728" t="s">
        <v>19</v>
      </c>
      <c r="D339" s="102"/>
      <c r="E339" s="131">
        <f>+G339-Adjustments!H339</f>
        <v>0</v>
      </c>
      <c r="F339" s="131">
        <f>SUM(F334:F338)</f>
        <v>0</v>
      </c>
      <c r="G339" s="131">
        <f>SUM(G334:G338)</f>
        <v>0</v>
      </c>
      <c r="H339" s="131">
        <f>SUM(H334:H338)</f>
        <v>0</v>
      </c>
      <c r="I339" s="131">
        <f>SUM(I334:I338)</f>
        <v>0</v>
      </c>
      <c r="J339" s="116"/>
      <c r="K339" s="116"/>
      <c r="L339" s="131"/>
      <c r="M339" s="131">
        <f>SUM(M334:M338)</f>
        <v>0</v>
      </c>
      <c r="N339" s="131">
        <f>SUM(N334:N338)</f>
        <v>0</v>
      </c>
      <c r="O339" s="272"/>
      <c r="P339" s="257"/>
      <c r="Q339" s="131">
        <f>SUM(Q334:Q338)</f>
        <v>0</v>
      </c>
      <c r="R339" s="131">
        <f>SUM(R334:R338)</f>
        <v>0</v>
      </c>
      <c r="S339" s="257"/>
      <c r="T339" s="131">
        <f>SUM(T334:T338)</f>
        <v>0</v>
      </c>
      <c r="U339" s="131">
        <f>SUM(U334:U338)</f>
        <v>0</v>
      </c>
      <c r="V339" s="273"/>
      <c r="W339" s="131">
        <f>HLOOKUP($W$9,'ROR-Model'!$Q$10:$U$1263,Y339)</f>
        <v>0</v>
      </c>
      <c r="X339" s="118"/>
      <c r="Y339" s="577">
        <f t="shared" si="16"/>
        <v>330</v>
      </c>
      <c r="AA339" s="131">
        <v>0</v>
      </c>
      <c r="AB339" s="116">
        <f t="shared" si="17"/>
        <v>0</v>
      </c>
    </row>
    <row r="340" spans="1:28">
      <c r="A340" s="227"/>
      <c r="B340" s="728"/>
      <c r="C340" s="728"/>
      <c r="D340" s="102"/>
      <c r="E340" s="116">
        <f>+G340-Adjustments!H340</f>
        <v>0</v>
      </c>
      <c r="F340" s="116"/>
      <c r="G340" s="116"/>
      <c r="H340" s="116"/>
      <c r="I340" s="116"/>
      <c r="J340" s="116"/>
      <c r="K340" s="116"/>
      <c r="L340" s="116"/>
      <c r="M340" s="116"/>
      <c r="N340" s="116"/>
      <c r="O340" s="272"/>
      <c r="P340" s="240"/>
      <c r="Q340" s="116"/>
      <c r="R340" s="116"/>
      <c r="S340" s="240"/>
      <c r="T340" s="116"/>
      <c r="U340" s="116"/>
      <c r="V340" s="273"/>
      <c r="W340" s="116"/>
      <c r="X340" s="118"/>
      <c r="Y340" s="577">
        <f t="shared" si="16"/>
        <v>331</v>
      </c>
      <c r="AA340" s="116"/>
      <c r="AB340" s="116">
        <f t="shared" si="17"/>
        <v>0</v>
      </c>
    </row>
    <row r="341" spans="1:28">
      <c r="A341" s="227"/>
      <c r="B341" s="728"/>
      <c r="C341" s="728" t="s">
        <v>20</v>
      </c>
      <c r="D341" s="102"/>
      <c r="E341" s="116">
        <f>+G341-Adjustments!H341</f>
        <v>0</v>
      </c>
      <c r="F341" s="116">
        <f>Revenue!$F$340</f>
        <v>0</v>
      </c>
      <c r="G341" s="116">
        <f>+Adjustments!AW341</f>
        <v>0</v>
      </c>
      <c r="H341" s="116"/>
      <c r="I341" s="116">
        <f>SUM($F$341:$H$341)</f>
        <v>0</v>
      </c>
      <c r="J341" s="116"/>
      <c r="K341" s="116"/>
      <c r="L341" s="116" t="s">
        <v>24</v>
      </c>
      <c r="M341" s="116">
        <f>VLOOKUP($L341,$L$2:$N$7,2,FALSE)*I341</f>
        <v>0</v>
      </c>
      <c r="N341" s="116">
        <f>VLOOKUP($L341,$L$2:$N$7,3,FALSE)*I341</f>
        <v>0</v>
      </c>
      <c r="O341" s="272"/>
      <c r="P341" s="240" t="s">
        <v>560</v>
      </c>
      <c r="Q341" s="116">
        <f>IF(P341="G",M341,IF(P341="PT",0,ERR))</f>
        <v>0</v>
      </c>
      <c r="R341" s="116">
        <f>IF(P341="PT",M341,IF(P341="G",0,ERR))</f>
        <v>0</v>
      </c>
      <c r="S341" s="240" t="s">
        <v>560</v>
      </c>
      <c r="T341" s="116">
        <f>IF(S341="G",N341,IF(S341="PT",0,ERR))</f>
        <v>0</v>
      </c>
      <c r="U341" s="116">
        <f>IF(S341="PT",N341,IF(S341="G",0,ERR))</f>
        <v>0</v>
      </c>
      <c r="V341" s="273"/>
      <c r="W341" s="116">
        <f>HLOOKUP($W$9,'ROR-Model'!$Q$10:$U$1263,Y341)</f>
        <v>0</v>
      </c>
      <c r="X341" s="118"/>
      <c r="Y341" s="577">
        <f t="shared" si="16"/>
        <v>332</v>
      </c>
      <c r="AA341" s="116">
        <v>0</v>
      </c>
      <c r="AB341" s="116">
        <f t="shared" si="17"/>
        <v>0</v>
      </c>
    </row>
    <row r="342" spans="1:28">
      <c r="A342" s="227"/>
      <c r="B342" s="332"/>
      <c r="C342" s="332"/>
      <c r="D342" s="102"/>
      <c r="E342" s="116">
        <f>+G342-Adjustments!H342</f>
        <v>0</v>
      </c>
      <c r="F342" s="116"/>
      <c r="G342" s="116"/>
      <c r="H342" s="116"/>
      <c r="I342" s="116"/>
      <c r="J342" s="116"/>
      <c r="K342" s="116"/>
      <c r="L342" s="116"/>
      <c r="M342" s="116"/>
      <c r="N342" s="116"/>
      <c r="O342" s="272"/>
      <c r="P342" s="240"/>
      <c r="Q342" s="116"/>
      <c r="R342" s="116"/>
      <c r="S342" s="240"/>
      <c r="T342" s="116"/>
      <c r="U342" s="116"/>
      <c r="V342" s="273"/>
      <c r="W342" s="116"/>
      <c r="X342" s="118"/>
      <c r="Y342" s="577">
        <f t="shared" si="16"/>
        <v>333</v>
      </c>
      <c r="AA342" s="116"/>
      <c r="AB342" s="116">
        <f t="shared" si="17"/>
        <v>0</v>
      </c>
    </row>
    <row r="343" spans="1:28">
      <c r="A343" s="227"/>
      <c r="B343" s="728" t="s">
        <v>25</v>
      </c>
      <c r="C343" s="728" t="s">
        <v>16</v>
      </c>
      <c r="D343" s="102"/>
      <c r="E343" s="116">
        <f>+G343-Adjustments!H343</f>
        <v>0</v>
      </c>
      <c r="F343" s="116">
        <f>Revenue!$F$342</f>
        <v>0</v>
      </c>
      <c r="G343" s="116">
        <f>+Adjustments!AW343</f>
        <v>0</v>
      </c>
      <c r="H343" s="116"/>
      <c r="I343" s="116">
        <f>SUM($F$343:$H$343)</f>
        <v>0</v>
      </c>
      <c r="J343" s="116"/>
      <c r="K343" s="116"/>
      <c r="L343" s="116" t="s">
        <v>693</v>
      </c>
      <c r="M343" s="116">
        <f>VLOOKUP($L343,$L$2:$N$7,2,FALSE)*I343</f>
        <v>0</v>
      </c>
      <c r="N343" s="116">
        <f>VLOOKUP($L343,$L$2:$N$7,3,FALSE)*I343</f>
        <v>0</v>
      </c>
      <c r="O343" s="272"/>
      <c r="P343" s="240" t="s">
        <v>560</v>
      </c>
      <c r="Q343" s="116">
        <f>IF(P343="G",M343,IF(P343="PT",0,ERR))</f>
        <v>0</v>
      </c>
      <c r="R343" s="116">
        <f>IF(P343="PT",M343,IF(P343="G",0,ERR))</f>
        <v>0</v>
      </c>
      <c r="S343" s="240" t="s">
        <v>560</v>
      </c>
      <c r="T343" s="116">
        <f>IF(S343="G",N343,IF(S343="PT",0,ERR))</f>
        <v>0</v>
      </c>
      <c r="U343" s="116">
        <f>IF(S343="PT",N343,IF(S343="G",0,ERR))</f>
        <v>0</v>
      </c>
      <c r="V343" s="273"/>
      <c r="W343" s="116">
        <f>HLOOKUP($W$9,'ROR-Model'!$Q$10:$U$1263,Y343)</f>
        <v>0</v>
      </c>
      <c r="X343" s="118"/>
      <c r="Y343" s="577">
        <f t="shared" si="16"/>
        <v>334</v>
      </c>
      <c r="AA343" s="116">
        <v>0</v>
      </c>
      <c r="AB343" s="116">
        <f t="shared" si="17"/>
        <v>0</v>
      </c>
    </row>
    <row r="344" spans="1:28">
      <c r="A344" s="227"/>
      <c r="B344" s="728"/>
      <c r="C344" s="728"/>
      <c r="D344" s="102"/>
      <c r="E344" s="116">
        <f>+G344-Adjustments!H344</f>
        <v>0</v>
      </c>
      <c r="F344" s="116"/>
      <c r="G344" s="116"/>
      <c r="H344" s="116"/>
      <c r="I344" s="116"/>
      <c r="J344" s="116"/>
      <c r="K344" s="116"/>
      <c r="L344" s="116"/>
      <c r="M344" s="116"/>
      <c r="N344" s="116"/>
      <c r="O344" s="272"/>
      <c r="P344" s="240"/>
      <c r="Q344" s="116"/>
      <c r="R344" s="116"/>
      <c r="S344" s="240"/>
      <c r="T344" s="116"/>
      <c r="U344" s="116"/>
      <c r="V344" s="273"/>
      <c r="W344" s="116"/>
      <c r="X344" s="118"/>
      <c r="Y344" s="577">
        <f t="shared" si="16"/>
        <v>335</v>
      </c>
      <c r="AA344" s="116"/>
      <c r="AB344" s="116">
        <f t="shared" si="17"/>
        <v>0</v>
      </c>
    </row>
    <row r="345" spans="1:28">
      <c r="A345" s="227"/>
      <c r="B345" s="728"/>
      <c r="C345" s="728"/>
      <c r="D345" s="102"/>
      <c r="E345" s="116">
        <f>+G345-Adjustments!H345</f>
        <v>0</v>
      </c>
      <c r="F345" s="116"/>
      <c r="G345" s="116">
        <f>+Adjustments!AW345</f>
        <v>0</v>
      </c>
      <c r="H345" s="116"/>
      <c r="I345" s="116">
        <f>SUM($F$345:$H$345)</f>
        <v>0</v>
      </c>
      <c r="J345" s="116"/>
      <c r="K345" s="116"/>
      <c r="L345" s="116" t="s">
        <v>24</v>
      </c>
      <c r="M345" s="116">
        <f>VLOOKUP($L345,$L$2:$N$7,2,FALSE)*I345</f>
        <v>0</v>
      </c>
      <c r="N345" s="116">
        <f>VLOOKUP($L345,$L$2:$N$7,3,FALSE)*I345</f>
        <v>0</v>
      </c>
      <c r="O345" s="272"/>
      <c r="P345" s="240"/>
      <c r="Q345" s="116"/>
      <c r="R345" s="116"/>
      <c r="S345" s="240"/>
      <c r="T345" s="116"/>
      <c r="U345" s="116"/>
      <c r="V345" s="273"/>
      <c r="W345" s="116"/>
      <c r="X345" s="118"/>
      <c r="Y345" s="577">
        <f t="shared" si="16"/>
        <v>336</v>
      </c>
      <c r="AA345" s="116"/>
      <c r="AB345" s="116">
        <f t="shared" si="17"/>
        <v>0</v>
      </c>
    </row>
    <row r="346" spans="1:28">
      <c r="A346" s="227"/>
      <c r="B346" s="728"/>
      <c r="C346" s="728"/>
      <c r="D346" s="102"/>
      <c r="E346" s="116">
        <f>+G346-Adjustments!H346</f>
        <v>0</v>
      </c>
      <c r="F346" s="116"/>
      <c r="G346" s="116"/>
      <c r="H346" s="116"/>
      <c r="I346" s="116"/>
      <c r="J346" s="116"/>
      <c r="K346" s="116"/>
      <c r="L346" s="116"/>
      <c r="M346" s="116"/>
      <c r="N346" s="116"/>
      <c r="O346" s="272"/>
      <c r="P346" s="240"/>
      <c r="Q346" s="116"/>
      <c r="R346" s="116"/>
      <c r="S346" s="240"/>
      <c r="T346" s="116"/>
      <c r="U346" s="116"/>
      <c r="V346" s="273"/>
      <c r="W346" s="116"/>
      <c r="X346" s="118"/>
      <c r="Y346" s="577">
        <f t="shared" si="16"/>
        <v>337</v>
      </c>
      <c r="AA346" s="116"/>
      <c r="AB346" s="116">
        <f t="shared" si="17"/>
        <v>0</v>
      </c>
    </row>
    <row r="347" spans="1:28">
      <c r="A347" s="227"/>
      <c r="B347" s="728"/>
      <c r="C347" s="728" t="s">
        <v>18</v>
      </c>
      <c r="D347" s="102"/>
      <c r="E347" s="116">
        <f>+G347-Adjustments!H347</f>
        <v>0</v>
      </c>
      <c r="F347" s="116">
        <f>Revenue!$F$346</f>
        <v>0</v>
      </c>
      <c r="G347" s="116">
        <f>+Adjustments!AW347</f>
        <v>0</v>
      </c>
      <c r="H347" s="116"/>
      <c r="I347" s="116">
        <f>SUM($F$347:$H$347)</f>
        <v>0</v>
      </c>
      <c r="J347" s="116"/>
      <c r="K347" s="116"/>
      <c r="L347" s="116" t="s">
        <v>24</v>
      </c>
      <c r="M347" s="116">
        <f>VLOOKUP($L347,$L$2:$N$7,2,FALSE)*I347</f>
        <v>0</v>
      </c>
      <c r="N347" s="116">
        <f>VLOOKUP($L347,$L$2:$N$7,3,FALSE)*I347</f>
        <v>0</v>
      </c>
      <c r="O347" s="272"/>
      <c r="P347" s="240" t="s">
        <v>559</v>
      </c>
      <c r="Q347" s="116">
        <f>IF(P347="G",M347,IF(P347="PT",0,ERR))</f>
        <v>0</v>
      </c>
      <c r="R347" s="116">
        <f>IF(P347="PT",M347,IF(P347="G",0,ERR))</f>
        <v>0</v>
      </c>
      <c r="S347" s="240" t="s">
        <v>559</v>
      </c>
      <c r="T347" s="116">
        <f>IF(S347="G",N347,IF(S347="PT",0,ERR))</f>
        <v>0</v>
      </c>
      <c r="U347" s="116">
        <f>IF(S347="PT",N347,IF(S347="G",0,ERR))</f>
        <v>0</v>
      </c>
      <c r="V347" s="273"/>
      <c r="W347" s="116">
        <f>HLOOKUP($W$9,'ROR-Model'!$Q$10:$U$1263,Y347)</f>
        <v>0</v>
      </c>
      <c r="X347" s="118"/>
      <c r="Y347" s="577">
        <f t="shared" si="16"/>
        <v>338</v>
      </c>
      <c r="AA347" s="116">
        <v>0</v>
      </c>
      <c r="AB347" s="116">
        <f t="shared" si="17"/>
        <v>0</v>
      </c>
    </row>
    <row r="348" spans="1:28">
      <c r="A348" s="227"/>
      <c r="B348" s="728"/>
      <c r="C348" s="728" t="s">
        <v>19</v>
      </c>
      <c r="D348" s="102"/>
      <c r="E348" s="131">
        <f>+G348-Adjustments!H348</f>
        <v>0</v>
      </c>
      <c r="F348" s="131">
        <f>SUM(F343:F347)</f>
        <v>0</v>
      </c>
      <c r="G348" s="131">
        <f>SUM(G343:G347)</f>
        <v>0</v>
      </c>
      <c r="H348" s="131">
        <f>SUM(H343:H347)</f>
        <v>0</v>
      </c>
      <c r="I348" s="131">
        <f>SUM(I343:I347)</f>
        <v>0</v>
      </c>
      <c r="J348" s="116"/>
      <c r="K348" s="116"/>
      <c r="L348" s="131"/>
      <c r="M348" s="131">
        <f>SUM(M343:M347)</f>
        <v>0</v>
      </c>
      <c r="N348" s="131">
        <f>SUM(N343:N347)</f>
        <v>0</v>
      </c>
      <c r="O348" s="272"/>
      <c r="P348" s="257"/>
      <c r="Q348" s="131">
        <f>SUM(Q343:Q347)</f>
        <v>0</v>
      </c>
      <c r="R348" s="131">
        <f>SUM(R343:R347)</f>
        <v>0</v>
      </c>
      <c r="S348" s="257"/>
      <c r="T348" s="131">
        <f>SUM(T343:T347)</f>
        <v>0</v>
      </c>
      <c r="U348" s="131">
        <f>SUM(U343:U347)</f>
        <v>0</v>
      </c>
      <c r="V348" s="273"/>
      <c r="W348" s="131">
        <f>HLOOKUP($W$9,'ROR-Model'!$Q$10:$U$1263,Y348)</f>
        <v>0</v>
      </c>
      <c r="X348" s="118"/>
      <c r="Y348" s="577">
        <f t="shared" si="16"/>
        <v>339</v>
      </c>
      <c r="AA348" s="131">
        <v>0</v>
      </c>
      <c r="AB348" s="116">
        <f t="shared" si="17"/>
        <v>0</v>
      </c>
    </row>
    <row r="349" spans="1:28">
      <c r="A349" s="227"/>
      <c r="B349" s="728"/>
      <c r="C349" s="728"/>
      <c r="D349" s="102"/>
      <c r="E349" s="116">
        <f>+G349-Adjustments!H349</f>
        <v>0</v>
      </c>
      <c r="F349" s="116"/>
      <c r="G349" s="116"/>
      <c r="H349" s="116"/>
      <c r="I349" s="116"/>
      <c r="J349" s="116"/>
      <c r="K349" s="116"/>
      <c r="L349" s="116"/>
      <c r="M349" s="116"/>
      <c r="N349" s="116"/>
      <c r="O349" s="272"/>
      <c r="P349" s="240"/>
      <c r="Q349" s="116"/>
      <c r="R349" s="116"/>
      <c r="S349" s="240"/>
      <c r="T349" s="116"/>
      <c r="U349" s="116"/>
      <c r="V349" s="273"/>
      <c r="W349" s="116"/>
      <c r="X349" s="118"/>
      <c r="Y349" s="577">
        <f t="shared" si="16"/>
        <v>340</v>
      </c>
      <c r="AA349" s="116"/>
      <c r="AB349" s="116">
        <f t="shared" si="17"/>
        <v>0</v>
      </c>
    </row>
    <row r="350" spans="1:28">
      <c r="A350" s="227"/>
      <c r="B350" s="728"/>
      <c r="C350" s="728" t="s">
        <v>20</v>
      </c>
      <c r="D350" s="102"/>
      <c r="E350" s="116">
        <f>+G350-Adjustments!H350</f>
        <v>0</v>
      </c>
      <c r="F350" s="116">
        <f>Revenue!$F$349</f>
        <v>0</v>
      </c>
      <c r="G350" s="116">
        <f>+Adjustments!AW350</f>
        <v>0</v>
      </c>
      <c r="H350" s="116"/>
      <c r="I350" s="116">
        <f>SUM($F$350:$H$350)</f>
        <v>0</v>
      </c>
      <c r="J350" s="116"/>
      <c r="K350" s="116"/>
      <c r="L350" s="116" t="s">
        <v>24</v>
      </c>
      <c r="M350" s="116">
        <f>VLOOKUP($L350,$L$2:$N$7,2,FALSE)*I350</f>
        <v>0</v>
      </c>
      <c r="N350" s="116">
        <f>VLOOKUP($L350,$L$2:$N$7,3,FALSE)*I350</f>
        <v>0</v>
      </c>
      <c r="O350" s="272"/>
      <c r="P350" s="240" t="s">
        <v>560</v>
      </c>
      <c r="Q350" s="116">
        <f>IF(P350="G",M350,IF(P350="PT",0,ERR))</f>
        <v>0</v>
      </c>
      <c r="R350" s="116">
        <f>IF(P350="PT",M350,IF(P350="G",0,ERR))</f>
        <v>0</v>
      </c>
      <c r="S350" s="240" t="s">
        <v>560</v>
      </c>
      <c r="T350" s="116">
        <f>IF(S350="G",N350,IF(S350="PT",0,ERR))</f>
        <v>0</v>
      </c>
      <c r="U350" s="116">
        <f>IF(S350="PT",N350,IF(S350="G",0,ERR))</f>
        <v>0</v>
      </c>
      <c r="V350" s="273"/>
      <c r="W350" s="116">
        <f>HLOOKUP($W$9,'ROR-Model'!$Q$10:$U$1263,Y350)</f>
        <v>0</v>
      </c>
      <c r="X350" s="118"/>
      <c r="Y350" s="577">
        <f t="shared" si="16"/>
        <v>341</v>
      </c>
      <c r="AA350" s="116">
        <v>0</v>
      </c>
      <c r="AB350" s="116">
        <f t="shared" si="17"/>
        <v>0</v>
      </c>
    </row>
    <row r="351" spans="1:28" ht="13.5" thickBot="1">
      <c r="A351" s="227"/>
      <c r="B351" s="332"/>
      <c r="C351" s="332"/>
      <c r="D351" s="102"/>
      <c r="E351" s="235">
        <f>+G351-Adjustments!H351</f>
        <v>0</v>
      </c>
      <c r="F351" s="235"/>
      <c r="G351" s="235"/>
      <c r="H351" s="235"/>
      <c r="I351" s="235"/>
      <c r="J351" s="116"/>
      <c r="K351" s="116"/>
      <c r="L351" s="235"/>
      <c r="M351" s="235"/>
      <c r="N351" s="235"/>
      <c r="O351" s="272"/>
      <c r="P351" s="613"/>
      <c r="Q351" s="235"/>
      <c r="R351" s="235"/>
      <c r="S351" s="613"/>
      <c r="T351" s="235"/>
      <c r="U351" s="235"/>
      <c r="V351" s="273"/>
      <c r="W351" s="235"/>
      <c r="X351" s="118"/>
      <c r="Y351" s="577">
        <f t="shared" si="16"/>
        <v>342</v>
      </c>
      <c r="AA351" s="235"/>
      <c r="AB351" s="116">
        <f t="shared" si="17"/>
        <v>0</v>
      </c>
    </row>
    <row r="352" spans="1:28" ht="13.5" thickTop="1">
      <c r="A352" s="227"/>
      <c r="B352" s="332" t="s">
        <v>547</v>
      </c>
      <c r="C352" s="728"/>
      <c r="D352" s="102"/>
      <c r="E352" s="116">
        <f>+G352-Adjustments!H352</f>
        <v>0</v>
      </c>
      <c r="F352" s="116"/>
      <c r="G352" s="116"/>
      <c r="H352" s="116"/>
      <c r="I352" s="116"/>
      <c r="J352" s="116"/>
      <c r="K352" s="116"/>
      <c r="L352" s="116"/>
      <c r="M352" s="116"/>
      <c r="N352" s="116"/>
      <c r="O352" s="272"/>
      <c r="P352" s="240"/>
      <c r="Q352" s="116"/>
      <c r="R352" s="116"/>
      <c r="S352" s="240"/>
      <c r="T352" s="116"/>
      <c r="U352" s="116"/>
      <c r="V352" s="273"/>
      <c r="W352" s="116"/>
      <c r="X352" s="118"/>
      <c r="Y352" s="577">
        <f t="shared" si="16"/>
        <v>343</v>
      </c>
      <c r="AA352" s="116"/>
      <c r="AB352" s="116">
        <f t="shared" si="17"/>
        <v>0</v>
      </c>
    </row>
    <row r="353" spans="1:28">
      <c r="A353" s="227"/>
      <c r="B353" s="332"/>
      <c r="C353" s="728" t="s">
        <v>16</v>
      </c>
      <c r="D353" s="102"/>
      <c r="E353" s="116">
        <f>+G353-Adjustments!H353</f>
        <v>0</v>
      </c>
      <c r="F353" s="116">
        <f>+F334+F343</f>
        <v>0</v>
      </c>
      <c r="G353" s="116">
        <f>+G334+G343</f>
        <v>0</v>
      </c>
      <c r="H353" s="116">
        <f>+H334+H343</f>
        <v>0</v>
      </c>
      <c r="I353" s="116">
        <f>+I334+I343</f>
        <v>0</v>
      </c>
      <c r="J353" s="116"/>
      <c r="K353" s="116"/>
      <c r="L353" s="116"/>
      <c r="M353" s="116">
        <f>+M334+M343</f>
        <v>0</v>
      </c>
      <c r="N353" s="116">
        <f>+N334+N343</f>
        <v>0</v>
      </c>
      <c r="O353" s="272"/>
      <c r="P353" s="240"/>
      <c r="Q353" s="116">
        <f>+Q334+Q343</f>
        <v>0</v>
      </c>
      <c r="R353" s="116">
        <f>+R334+R343</f>
        <v>0</v>
      </c>
      <c r="S353" s="240"/>
      <c r="T353" s="116">
        <f>+T334+T343</f>
        <v>0</v>
      </c>
      <c r="U353" s="116">
        <f>+U334+U343</f>
        <v>0</v>
      </c>
      <c r="V353" s="273"/>
      <c r="W353" s="116">
        <f>HLOOKUP($W$9,'ROR-Model'!$Q$10:$U$1263,Y353)</f>
        <v>0</v>
      </c>
      <c r="X353" s="118"/>
      <c r="Y353" s="577">
        <f t="shared" si="16"/>
        <v>344</v>
      </c>
      <c r="AA353" s="116">
        <v>0</v>
      </c>
      <c r="AB353" s="116">
        <f t="shared" si="17"/>
        <v>0</v>
      </c>
    </row>
    <row r="354" spans="1:28">
      <c r="A354" s="227"/>
      <c r="B354" s="332"/>
      <c r="C354" s="728" t="s">
        <v>18</v>
      </c>
      <c r="D354" s="102"/>
      <c r="E354" s="116">
        <f>+G354-Adjustments!H354</f>
        <v>0</v>
      </c>
      <c r="F354" s="116">
        <f>+F337+F346</f>
        <v>0</v>
      </c>
      <c r="G354" s="116">
        <f>+G337+G346</f>
        <v>0</v>
      </c>
      <c r="H354" s="116">
        <f>+H337+H346</f>
        <v>0</v>
      </c>
      <c r="I354" s="116">
        <f>+I337+I346</f>
        <v>0</v>
      </c>
      <c r="J354" s="116"/>
      <c r="K354" s="116"/>
      <c r="L354" s="116"/>
      <c r="M354" s="116">
        <f>+M337+M346</f>
        <v>0</v>
      </c>
      <c r="N354" s="116">
        <f>+N337+N346</f>
        <v>0</v>
      </c>
      <c r="O354" s="272"/>
      <c r="P354" s="240"/>
      <c r="Q354" s="116">
        <f>+Q337+Q346</f>
        <v>0</v>
      </c>
      <c r="R354" s="116">
        <f>+R337+R346</f>
        <v>0</v>
      </c>
      <c r="S354" s="240"/>
      <c r="T354" s="116">
        <f>+T337+T346</f>
        <v>0</v>
      </c>
      <c r="U354" s="116">
        <f>+U337+U346</f>
        <v>0</v>
      </c>
      <c r="V354" s="273"/>
      <c r="W354" s="116">
        <f>HLOOKUP($W$9,'ROR-Model'!$Q$10:$U$1263,Y354)</f>
        <v>0</v>
      </c>
      <c r="X354" s="118"/>
      <c r="Y354" s="577">
        <f t="shared" si="16"/>
        <v>345</v>
      </c>
      <c r="AA354" s="116">
        <v>0</v>
      </c>
      <c r="AB354" s="116">
        <f t="shared" si="17"/>
        <v>0</v>
      </c>
    </row>
    <row r="355" spans="1:28">
      <c r="A355" s="227"/>
      <c r="B355" s="332"/>
      <c r="C355" s="332" t="s">
        <v>30</v>
      </c>
      <c r="D355" s="102"/>
      <c r="E355" s="131">
        <f>+G355-Adjustments!H355</f>
        <v>0</v>
      </c>
      <c r="F355" s="131">
        <f>F339+F348</f>
        <v>0</v>
      </c>
      <c r="G355" s="131">
        <f>G339+G348</f>
        <v>0</v>
      </c>
      <c r="H355" s="131">
        <f>H339+H348</f>
        <v>0</v>
      </c>
      <c r="I355" s="131">
        <f>I339+I348</f>
        <v>0</v>
      </c>
      <c r="J355" s="116"/>
      <c r="K355" s="116"/>
      <c r="L355" s="131"/>
      <c r="M355" s="131">
        <f>M339+M348</f>
        <v>0</v>
      </c>
      <c r="N355" s="131">
        <f>N339+N348</f>
        <v>0</v>
      </c>
      <c r="O355" s="272"/>
      <c r="P355" s="257"/>
      <c r="Q355" s="131">
        <f>Q339+Q348</f>
        <v>0</v>
      </c>
      <c r="R355" s="131">
        <f>R339+R348</f>
        <v>0</v>
      </c>
      <c r="S355" s="257"/>
      <c r="T355" s="131">
        <f>T339+T348</f>
        <v>0</v>
      </c>
      <c r="U355" s="131">
        <f>U339+U348</f>
        <v>0</v>
      </c>
      <c r="V355" s="273"/>
      <c r="W355" s="131">
        <f>HLOOKUP($W$9,'ROR-Model'!$Q$10:$U$1263,Y355)</f>
        <v>0</v>
      </c>
      <c r="X355" s="118"/>
      <c r="Y355" s="577">
        <f t="shared" si="16"/>
        <v>346</v>
      </c>
      <c r="AA355" s="131">
        <v>0</v>
      </c>
      <c r="AB355" s="116">
        <f t="shared" si="17"/>
        <v>0</v>
      </c>
    </row>
    <row r="356" spans="1:28">
      <c r="A356" s="227"/>
      <c r="B356" s="332"/>
      <c r="C356" s="332"/>
      <c r="D356" s="102"/>
      <c r="E356" s="116">
        <f>+G356-Adjustments!H356</f>
        <v>0</v>
      </c>
      <c r="F356" s="116"/>
      <c r="G356" s="116"/>
      <c r="H356" s="116"/>
      <c r="I356" s="116"/>
      <c r="J356" s="116"/>
      <c r="K356" s="116"/>
      <c r="L356" s="116"/>
      <c r="M356" s="116"/>
      <c r="N356" s="116"/>
      <c r="O356" s="272"/>
      <c r="P356" s="240"/>
      <c r="Q356" s="116"/>
      <c r="R356" s="116"/>
      <c r="S356" s="240"/>
      <c r="T356" s="116"/>
      <c r="U356" s="116"/>
      <c r="V356" s="273"/>
      <c r="W356" s="116"/>
      <c r="X356" s="118"/>
      <c r="Y356" s="577">
        <f t="shared" si="16"/>
        <v>347</v>
      </c>
      <c r="AA356" s="116"/>
      <c r="AB356" s="116">
        <f t="shared" si="17"/>
        <v>0</v>
      </c>
    </row>
    <row r="357" spans="1:28">
      <c r="A357" s="227"/>
      <c r="B357" s="728"/>
      <c r="C357" s="332" t="s">
        <v>59</v>
      </c>
      <c r="D357" s="102"/>
      <c r="E357" s="116">
        <f>+G357-Adjustments!H357</f>
        <v>0</v>
      </c>
      <c r="F357" s="116">
        <f>F341</f>
        <v>0</v>
      </c>
      <c r="G357" s="116">
        <f>G341</f>
        <v>0</v>
      </c>
      <c r="H357" s="116">
        <f>H341</f>
        <v>0</v>
      </c>
      <c r="I357" s="116">
        <f>I341</f>
        <v>0</v>
      </c>
      <c r="J357" s="116"/>
      <c r="K357" s="116"/>
      <c r="L357" s="116"/>
      <c r="M357" s="116">
        <f>M341</f>
        <v>0</v>
      </c>
      <c r="N357" s="116">
        <f>N341</f>
        <v>0</v>
      </c>
      <c r="O357" s="272"/>
      <c r="P357" s="240"/>
      <c r="Q357" s="116">
        <f>Q341</f>
        <v>0</v>
      </c>
      <c r="R357" s="116">
        <f>R341</f>
        <v>0</v>
      </c>
      <c r="S357" s="240"/>
      <c r="T357" s="116">
        <f>T341</f>
        <v>0</v>
      </c>
      <c r="U357" s="116">
        <f>U341</f>
        <v>0</v>
      </c>
      <c r="V357" s="273"/>
      <c r="W357" s="116">
        <f>HLOOKUP($W$9,'ROR-Model'!$Q$10:$U$1263,Y357)</f>
        <v>0</v>
      </c>
      <c r="X357" s="118"/>
      <c r="Y357" s="577">
        <f t="shared" si="16"/>
        <v>348</v>
      </c>
      <c r="AA357" s="116">
        <v>0</v>
      </c>
      <c r="AB357" s="116">
        <f t="shared" si="17"/>
        <v>0</v>
      </c>
    </row>
    <row r="358" spans="1:28">
      <c r="A358" s="227"/>
      <c r="B358" s="728"/>
      <c r="C358" s="728" t="s">
        <v>60</v>
      </c>
      <c r="D358" s="102"/>
      <c r="E358" s="116">
        <f>+G358-Adjustments!H358</f>
        <v>0</v>
      </c>
      <c r="F358" s="116">
        <f>F350</f>
        <v>0</v>
      </c>
      <c r="G358" s="116">
        <f>G350</f>
        <v>0</v>
      </c>
      <c r="H358" s="116">
        <f>H350</f>
        <v>0</v>
      </c>
      <c r="I358" s="116">
        <f>I350</f>
        <v>0</v>
      </c>
      <c r="J358" s="116"/>
      <c r="K358" s="116"/>
      <c r="L358" s="116"/>
      <c r="M358" s="116">
        <f>M350</f>
        <v>0</v>
      </c>
      <c r="N358" s="116">
        <f>N350</f>
        <v>0</v>
      </c>
      <c r="O358" s="272"/>
      <c r="P358" s="240"/>
      <c r="Q358" s="116">
        <f>Q350</f>
        <v>0</v>
      </c>
      <c r="R358" s="116">
        <f>R350</f>
        <v>0</v>
      </c>
      <c r="S358" s="240"/>
      <c r="T358" s="116">
        <f>T350</f>
        <v>0</v>
      </c>
      <c r="U358" s="116">
        <f>U350</f>
        <v>0</v>
      </c>
      <c r="V358" s="273"/>
      <c r="W358" s="116">
        <f>HLOOKUP($W$9,'ROR-Model'!$Q$10:$U$1263,Y358)</f>
        <v>0</v>
      </c>
      <c r="X358" s="118"/>
      <c r="Y358" s="577">
        <f t="shared" si="16"/>
        <v>349</v>
      </c>
      <c r="AA358" s="116">
        <v>0</v>
      </c>
      <c r="AB358" s="116">
        <f t="shared" si="17"/>
        <v>0</v>
      </c>
    </row>
    <row r="359" spans="1:28">
      <c r="A359" s="227"/>
      <c r="B359" s="728"/>
      <c r="C359" s="332" t="s">
        <v>31</v>
      </c>
      <c r="D359" s="102"/>
      <c r="E359" s="131">
        <f>+G359-Adjustments!H359</f>
        <v>0</v>
      </c>
      <c r="F359" s="131">
        <f>F341+F350</f>
        <v>0</v>
      </c>
      <c r="G359" s="131">
        <f>G341+G350</f>
        <v>0</v>
      </c>
      <c r="H359" s="131">
        <f>H341+H350</f>
        <v>0</v>
      </c>
      <c r="I359" s="131">
        <f>I341+I350</f>
        <v>0</v>
      </c>
      <c r="J359" s="116"/>
      <c r="K359" s="116"/>
      <c r="L359" s="131"/>
      <c r="M359" s="131">
        <f>M341+M350</f>
        <v>0</v>
      </c>
      <c r="N359" s="131">
        <f>N341+N350</f>
        <v>0</v>
      </c>
      <c r="O359" s="272"/>
      <c r="P359" s="257"/>
      <c r="Q359" s="131">
        <f>Q341+Q350</f>
        <v>0</v>
      </c>
      <c r="R359" s="131">
        <f>R341+R350</f>
        <v>0</v>
      </c>
      <c r="S359" s="257"/>
      <c r="T359" s="131">
        <f>T341+T350</f>
        <v>0</v>
      </c>
      <c r="U359" s="131">
        <f>U341+U350</f>
        <v>0</v>
      </c>
      <c r="V359" s="273"/>
      <c r="W359" s="131">
        <f>HLOOKUP($W$9,'ROR-Model'!$Q$10:$U$1263,Y359)</f>
        <v>0</v>
      </c>
      <c r="X359" s="118"/>
      <c r="Y359" s="577">
        <f t="shared" si="16"/>
        <v>350</v>
      </c>
      <c r="AA359" s="131">
        <v>0</v>
      </c>
      <c r="AB359" s="116">
        <f t="shared" si="17"/>
        <v>0</v>
      </c>
    </row>
    <row r="360" spans="1:28" ht="13.5" thickBot="1">
      <c r="A360" s="227"/>
      <c r="B360" s="332"/>
      <c r="C360" s="332"/>
      <c r="D360" s="102"/>
      <c r="E360" s="235"/>
      <c r="F360" s="235"/>
      <c r="G360" s="235"/>
      <c r="H360" s="235"/>
      <c r="I360" s="235"/>
      <c r="J360" s="116"/>
      <c r="K360" s="116"/>
      <c r="L360" s="235"/>
      <c r="M360" s="235"/>
      <c r="N360" s="235"/>
      <c r="O360" s="272"/>
      <c r="P360" s="613"/>
      <c r="Q360" s="235"/>
      <c r="R360" s="235"/>
      <c r="S360" s="613"/>
      <c r="T360" s="235"/>
      <c r="U360" s="235"/>
      <c r="V360" s="273"/>
      <c r="W360" s="235"/>
      <c r="X360" s="118"/>
      <c r="Y360" s="577">
        <f t="shared" si="16"/>
        <v>351</v>
      </c>
      <c r="AA360" s="235"/>
      <c r="AB360" s="116">
        <f t="shared" si="17"/>
        <v>0</v>
      </c>
    </row>
    <row r="361" spans="1:28" ht="13.5" thickTop="1">
      <c r="A361" s="36" t="s">
        <v>32</v>
      </c>
      <c r="B361" s="332"/>
      <c r="C361" s="332"/>
      <c r="D361" s="102"/>
      <c r="E361" s="116"/>
      <c r="F361" s="116">
        <f>+F363+F365</f>
        <v>379555640.95652229</v>
      </c>
      <c r="G361" s="116">
        <f>+G363+G365</f>
        <v>-5965680.626804444</v>
      </c>
      <c r="H361" s="116">
        <f>+H363+H365</f>
        <v>0</v>
      </c>
      <c r="I361" s="116">
        <f>+I363+I365</f>
        <v>373589960.32971781</v>
      </c>
      <c r="J361" s="116"/>
      <c r="K361" s="116"/>
      <c r="L361" s="116"/>
      <c r="M361" s="116"/>
      <c r="N361" s="116"/>
      <c r="O361" s="272"/>
      <c r="P361" s="240"/>
      <c r="Q361" s="116"/>
      <c r="R361" s="116"/>
      <c r="S361" s="240"/>
      <c r="T361" s="116"/>
      <c r="U361" s="116"/>
      <c r="V361" s="273"/>
      <c r="W361" s="116"/>
      <c r="X361" s="118"/>
      <c r="Y361" s="577">
        <f t="shared" si="16"/>
        <v>352</v>
      </c>
      <c r="AA361" s="116"/>
      <c r="AB361" s="116">
        <f t="shared" si="17"/>
        <v>0</v>
      </c>
    </row>
    <row r="362" spans="1:28">
      <c r="A362" s="227"/>
      <c r="B362" s="332" t="s">
        <v>659</v>
      </c>
      <c r="C362" s="728"/>
      <c r="D362" s="102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272"/>
      <c r="P362" s="240"/>
      <c r="Q362" s="116"/>
      <c r="R362" s="116"/>
      <c r="S362" s="240"/>
      <c r="T362" s="116"/>
      <c r="U362" s="116"/>
      <c r="V362" s="273"/>
      <c r="W362" s="116"/>
      <c r="X362" s="118"/>
      <c r="Y362" s="577">
        <f t="shared" si="16"/>
        <v>353</v>
      </c>
      <c r="AA362" s="116"/>
      <c r="AB362" s="116">
        <f t="shared" si="17"/>
        <v>0</v>
      </c>
    </row>
    <row r="363" spans="1:28">
      <c r="A363" s="227"/>
      <c r="B363" s="332"/>
      <c r="C363" s="728" t="s">
        <v>16</v>
      </c>
      <c r="D363" s="102"/>
      <c r="E363" s="116">
        <f>+G363-Adjustments!H363</f>
        <v>-2828.0699999993667</v>
      </c>
      <c r="F363" s="116">
        <f>F200+F229+F323+F353</f>
        <v>379378680.95652229</v>
      </c>
      <c r="G363" s="116">
        <f>G200+G229+G323+G353</f>
        <v>-5958978.3491244437</v>
      </c>
      <c r="H363" s="116">
        <f>H200+H229+H323+H353</f>
        <v>0</v>
      </c>
      <c r="I363" s="116">
        <f>I200+I229+I323+I353</f>
        <v>373419702.60739779</v>
      </c>
      <c r="J363" s="116"/>
      <c r="K363" s="116"/>
      <c r="L363" s="116"/>
      <c r="M363" s="116">
        <f>M200+M229+M323+M353</f>
        <v>360554699.7273978</v>
      </c>
      <c r="N363" s="116">
        <f>N200+N229+N323+N353</f>
        <v>12920344.950000001</v>
      </c>
      <c r="O363" s="272"/>
      <c r="P363" s="240"/>
      <c r="Q363" s="116">
        <f>Q200+Q229+Q323+Q353</f>
        <v>360554699.7273978</v>
      </c>
      <c r="R363" s="116">
        <f>R200+R229+R323+R353</f>
        <v>0</v>
      </c>
      <c r="S363" s="240"/>
      <c r="T363" s="116">
        <f>T200+T229+T323+T353</f>
        <v>12865002.880000001</v>
      </c>
      <c r="U363" s="116">
        <f>U200+U229+U323+U353</f>
        <v>55342.07</v>
      </c>
      <c r="V363" s="273"/>
      <c r="W363" s="116">
        <f>HLOOKUP($W$9,'ROR-Model'!$Q$10:$U$1263,Y363)</f>
        <v>360554699.7273978</v>
      </c>
      <c r="X363" s="118"/>
      <c r="Y363" s="577">
        <f t="shared" si="16"/>
        <v>354</v>
      </c>
      <c r="AA363" s="116">
        <v>345635374.41683167</v>
      </c>
      <c r="AB363" s="116">
        <f t="shared" si="17"/>
        <v>14919325.310566127</v>
      </c>
    </row>
    <row r="364" spans="1:28">
      <c r="A364" s="227"/>
      <c r="B364" s="332"/>
      <c r="C364" s="728" t="s">
        <v>17</v>
      </c>
      <c r="D364" s="102"/>
      <c r="E364" s="116">
        <f>+G364-Adjustments!H364</f>
        <v>0</v>
      </c>
      <c r="F364" s="116">
        <f>F201+F230+F324</f>
        <v>104646790.0980107</v>
      </c>
      <c r="G364" s="116">
        <f>G201+G230+G324</f>
        <v>17380587.811989293</v>
      </c>
      <c r="H364" s="116">
        <f>H201+H230+H324</f>
        <v>0</v>
      </c>
      <c r="I364" s="116">
        <f>I201+I230+I324</f>
        <v>122027377.91</v>
      </c>
      <c r="J364" s="116"/>
      <c r="K364" s="116"/>
      <c r="L364" s="116"/>
      <c r="M364" s="116">
        <f>M201+M230+M324</f>
        <v>122000360.16</v>
      </c>
      <c r="N364" s="116">
        <f>N201+N230+N324</f>
        <v>27017.749999999993</v>
      </c>
      <c r="O364" s="272"/>
      <c r="P364" s="240"/>
      <c r="Q364" s="116">
        <f>Q201+Q230+Q324</f>
        <v>0</v>
      </c>
      <c r="R364" s="116">
        <f>R201+R230+R324</f>
        <v>122000360.16</v>
      </c>
      <c r="S364" s="240"/>
      <c r="T364" s="116">
        <f>T201+T230+T324</f>
        <v>0</v>
      </c>
      <c r="U364" s="116">
        <f>U201+U230+U324</f>
        <v>27017.749999999993</v>
      </c>
      <c r="V364" s="273"/>
      <c r="W364" s="116">
        <f>HLOOKUP($W$9,'ROR-Model'!$Q$10:$U$1263,Y364)</f>
        <v>0</v>
      </c>
      <c r="X364" s="118"/>
      <c r="Y364" s="577">
        <f t="shared" si="16"/>
        <v>355</v>
      </c>
      <c r="AA364" s="116">
        <v>0</v>
      </c>
      <c r="AB364" s="116">
        <f t="shared" si="17"/>
        <v>0</v>
      </c>
    </row>
    <row r="365" spans="1:28">
      <c r="A365" s="227"/>
      <c r="B365" s="332"/>
      <c r="C365" s="728" t="s">
        <v>548</v>
      </c>
      <c r="D365" s="102"/>
      <c r="E365" s="116">
        <f>+G365-Adjustments!H365</f>
        <v>2828.0699999999997</v>
      </c>
      <c r="F365" s="116">
        <f>F325</f>
        <v>176960</v>
      </c>
      <c r="G365" s="116">
        <f>G325</f>
        <v>-6702.2776800000065</v>
      </c>
      <c r="H365" s="116">
        <f>H325</f>
        <v>0</v>
      </c>
      <c r="I365" s="116">
        <f>I325</f>
        <v>170257.72232</v>
      </c>
      <c r="J365" s="116"/>
      <c r="K365" s="116"/>
      <c r="L365" s="116"/>
      <c r="M365" s="116">
        <f>M325</f>
        <v>0</v>
      </c>
      <c r="N365" s="116">
        <f>N325</f>
        <v>170257.72232</v>
      </c>
      <c r="O365" s="272"/>
      <c r="P365" s="240"/>
      <c r="Q365" s="116">
        <f>Q325</f>
        <v>0</v>
      </c>
      <c r="R365" s="116">
        <f>R325</f>
        <v>0</v>
      </c>
      <c r="S365" s="240"/>
      <c r="T365" s="116">
        <f>T325</f>
        <v>0</v>
      </c>
      <c r="U365" s="116">
        <f>U325</f>
        <v>170257.72232</v>
      </c>
      <c r="V365" s="273"/>
      <c r="W365" s="116">
        <f>HLOOKUP($W$9,'ROR-Model'!$Q$10:$U$1263,Y365)</f>
        <v>0</v>
      </c>
      <c r="X365" s="118"/>
      <c r="Y365" s="577">
        <f t="shared" si="16"/>
        <v>356</v>
      </c>
      <c r="AA365" s="116">
        <v>0</v>
      </c>
      <c r="AB365" s="116">
        <f t="shared" si="17"/>
        <v>0</v>
      </c>
    </row>
    <row r="366" spans="1:28">
      <c r="A366" s="227"/>
      <c r="B366" s="332"/>
      <c r="C366" s="728" t="s">
        <v>18</v>
      </c>
      <c r="D366" s="102"/>
      <c r="E366" s="116">
        <f>+G366-Adjustments!H366</f>
        <v>0</v>
      </c>
      <c r="F366" s="116">
        <f>F202+F231+F326+F354</f>
        <v>431437243.065467</v>
      </c>
      <c r="G366" s="116">
        <f>G202+G231+G326+G354</f>
        <v>-28713744.715467051</v>
      </c>
      <c r="H366" s="116">
        <f>H202+H231+H326+H354</f>
        <v>0</v>
      </c>
      <c r="I366" s="116">
        <f>I202+I231+I326+I354</f>
        <v>402723498.3499999</v>
      </c>
      <c r="J366" s="116"/>
      <c r="K366" s="116"/>
      <c r="L366" s="116"/>
      <c r="M366" s="116">
        <f>M202+M231+M326+M354</f>
        <v>385239028.2299999</v>
      </c>
      <c r="N366" s="116">
        <f>N202+N231+N326+N354</f>
        <v>17484470.120000001</v>
      </c>
      <c r="O366" s="272"/>
      <c r="P366" s="240"/>
      <c r="Q366" s="116">
        <f>Q202+Q231+Q326+Q354</f>
        <v>0</v>
      </c>
      <c r="R366" s="116">
        <f>R202+R231+R326+R354</f>
        <v>385239028.2299999</v>
      </c>
      <c r="S366" s="240"/>
      <c r="T366" s="116">
        <f>T202+T231+T326+T354</f>
        <v>0</v>
      </c>
      <c r="U366" s="116">
        <f>U202+U231+U326+U354</f>
        <v>17484470.120000001</v>
      </c>
      <c r="V366" s="273"/>
      <c r="W366" s="116">
        <f>HLOOKUP($W$9,'ROR-Model'!$Q$10:$U$1263,Y366)</f>
        <v>0</v>
      </c>
      <c r="X366" s="118"/>
      <c r="Y366" s="577">
        <f t="shared" si="16"/>
        <v>357</v>
      </c>
      <c r="AA366" s="116">
        <v>0</v>
      </c>
      <c r="AB366" s="116">
        <f t="shared" si="17"/>
        <v>0</v>
      </c>
    </row>
    <row r="367" spans="1:28" ht="13.5" thickBot="1">
      <c r="A367" s="227"/>
      <c r="B367" s="332"/>
      <c r="C367" s="728"/>
      <c r="D367" s="102"/>
      <c r="E367" s="236">
        <f>+G367-Adjustments!H367</f>
        <v>0</v>
      </c>
      <c r="F367" s="236"/>
      <c r="G367" s="236"/>
      <c r="H367" s="236"/>
      <c r="I367" s="236"/>
      <c r="J367" s="116"/>
      <c r="K367" s="116"/>
      <c r="L367" s="236"/>
      <c r="M367" s="236"/>
      <c r="N367" s="236"/>
      <c r="O367" s="272"/>
      <c r="P367" s="731"/>
      <c r="Q367" s="236"/>
      <c r="R367" s="236"/>
      <c r="S367" s="731"/>
      <c r="T367" s="236"/>
      <c r="U367" s="236"/>
      <c r="V367" s="273"/>
      <c r="W367" s="236"/>
      <c r="X367" s="118"/>
      <c r="Y367" s="577">
        <f t="shared" si="16"/>
        <v>358</v>
      </c>
      <c r="AA367" s="236"/>
      <c r="AB367" s="116">
        <f t="shared" si="17"/>
        <v>0</v>
      </c>
    </row>
    <row r="368" spans="1:28">
      <c r="A368" s="227"/>
      <c r="B368" s="332"/>
      <c r="C368" s="332" t="s">
        <v>659</v>
      </c>
      <c r="D368" s="102"/>
      <c r="E368" s="116">
        <f>+G368-Adjustments!H368</f>
        <v>0</v>
      </c>
      <c r="F368" s="116">
        <f>F203+F232+F327+F355</f>
        <v>915639674.12</v>
      </c>
      <c r="G368" s="116">
        <f>G203+G232+G327+G355</f>
        <v>-17298837.530282199</v>
      </c>
      <c r="H368" s="116">
        <f>H203+H232+H327+H355</f>
        <v>0</v>
      </c>
      <c r="I368" s="116">
        <f>I203+I232+I327+I355</f>
        <v>898340836.58971786</v>
      </c>
      <c r="J368" s="116"/>
      <c r="K368" s="116"/>
      <c r="L368" s="116"/>
      <c r="M368" s="116">
        <f>M203+M232+M327+M355</f>
        <v>867794088.1173979</v>
      </c>
      <c r="N368" s="116">
        <f>N203+N232+N327+N355</f>
        <v>30546748.472319998</v>
      </c>
      <c r="O368" s="272"/>
      <c r="P368" s="240"/>
      <c r="Q368" s="116">
        <f>Q203+Q232+Q327+Q355</f>
        <v>360554699.7273978</v>
      </c>
      <c r="R368" s="116">
        <f>R203+R232+R327+R355</f>
        <v>507239388.38999999</v>
      </c>
      <c r="S368" s="240"/>
      <c r="T368" s="116">
        <f>T203+T232+T327+T355</f>
        <v>12865002.880000001</v>
      </c>
      <c r="U368" s="116">
        <f>U203+U232+U327+U355</f>
        <v>17681745.592320003</v>
      </c>
      <c r="V368" s="273"/>
      <c r="W368" s="116">
        <f>HLOOKUP($W$9,'ROR-Model'!$Q$10:$U$1263,Y368)</f>
        <v>360554699.7273978</v>
      </c>
      <c r="X368" s="118"/>
      <c r="Y368" s="577">
        <f t="shared" si="16"/>
        <v>359</v>
      </c>
      <c r="AA368" s="116">
        <v>345635374.41683167</v>
      </c>
      <c r="AB368" s="116">
        <f t="shared" si="17"/>
        <v>14919325.310566127</v>
      </c>
    </row>
    <row r="369" spans="1:28">
      <c r="A369" s="227"/>
      <c r="B369" s="332"/>
      <c r="C369" s="332"/>
      <c r="D369" s="102"/>
      <c r="E369" s="116">
        <f>+G369-Adjustments!H369</f>
        <v>0</v>
      </c>
      <c r="F369" s="116"/>
      <c r="G369" s="116"/>
      <c r="H369" s="116"/>
      <c r="I369" s="116"/>
      <c r="J369" s="116"/>
      <c r="K369" s="116"/>
      <c r="L369" s="116"/>
      <c r="M369" s="116"/>
      <c r="N369" s="116"/>
      <c r="O369" s="272"/>
      <c r="P369" s="240"/>
      <c r="Q369" s="116"/>
      <c r="R369" s="116"/>
      <c r="S369" s="240"/>
      <c r="T369" s="116"/>
      <c r="U369" s="116"/>
      <c r="V369" s="273"/>
      <c r="W369" s="116"/>
      <c r="X369" s="118"/>
      <c r="Y369" s="577">
        <f t="shared" si="16"/>
        <v>360</v>
      </c>
      <c r="AA369" s="116"/>
      <c r="AB369" s="116">
        <f t="shared" si="17"/>
        <v>0</v>
      </c>
    </row>
    <row r="370" spans="1:28">
      <c r="A370" s="227"/>
      <c r="B370" s="728"/>
      <c r="C370" s="332" t="s">
        <v>59</v>
      </c>
      <c r="D370" s="102"/>
      <c r="E370" s="116">
        <f>+G370-Adjustments!H370</f>
        <v>0</v>
      </c>
      <c r="F370" s="116">
        <f t="shared" ref="F370:I372" si="18">F205+F234+F329+F357</f>
        <v>105750543.48</v>
      </c>
      <c r="G370" s="116">
        <f t="shared" si="18"/>
        <v>9208078.5200000014</v>
      </c>
      <c r="H370" s="116">
        <f t="shared" si="18"/>
        <v>0</v>
      </c>
      <c r="I370" s="116">
        <f t="shared" si="18"/>
        <v>114958622</v>
      </c>
      <c r="J370" s="116"/>
      <c r="K370" s="116"/>
      <c r="L370" s="116"/>
      <c r="M370" s="116">
        <f t="shared" ref="M370:N372" si="19">M205+M234+M329+M357</f>
        <v>111079434</v>
      </c>
      <c r="N370" s="116">
        <f t="shared" si="19"/>
        <v>3879188</v>
      </c>
      <c r="O370" s="272"/>
      <c r="P370" s="240"/>
      <c r="Q370" s="116">
        <f t="shared" ref="Q370:R372" si="20">Q205+Q234+Q329+Q357</f>
        <v>111079434</v>
      </c>
      <c r="R370" s="116">
        <f t="shared" si="20"/>
        <v>0</v>
      </c>
      <c r="S370" s="240"/>
      <c r="T370" s="116">
        <f t="shared" ref="T370:U372" si="21">T205+T234+T329+T357</f>
        <v>3729530</v>
      </c>
      <c r="U370" s="116">
        <f t="shared" si="21"/>
        <v>149658</v>
      </c>
      <c r="V370" s="273"/>
      <c r="W370" s="116">
        <f>HLOOKUP($W$9,'ROR-Model'!$Q$10:$U$1263,Y370)</f>
        <v>111079434</v>
      </c>
      <c r="X370" s="118"/>
      <c r="Y370" s="577">
        <f t="shared" si="16"/>
        <v>361</v>
      </c>
      <c r="AA370" s="116">
        <v>102028079.61</v>
      </c>
      <c r="AB370" s="116">
        <f t="shared" si="17"/>
        <v>9051354.3900000006</v>
      </c>
    </row>
    <row r="371" spans="1:28">
      <c r="A371" s="227"/>
      <c r="B371" s="728"/>
      <c r="C371" s="728" t="s">
        <v>60</v>
      </c>
      <c r="D371" s="102"/>
      <c r="E371" s="116">
        <f>+G371-Adjustments!H371</f>
        <v>0</v>
      </c>
      <c r="F371" s="116">
        <f t="shared" si="18"/>
        <v>76744935</v>
      </c>
      <c r="G371" s="116">
        <f t="shared" si="18"/>
        <v>11747065</v>
      </c>
      <c r="H371" s="116">
        <f t="shared" si="18"/>
        <v>0</v>
      </c>
      <c r="I371" s="116">
        <f t="shared" si="18"/>
        <v>88492000</v>
      </c>
      <c r="J371" s="116"/>
      <c r="K371" s="116"/>
      <c r="L371" s="116"/>
      <c r="M371" s="116">
        <f t="shared" si="19"/>
        <v>87827388</v>
      </c>
      <c r="N371" s="116">
        <f t="shared" si="19"/>
        <v>664612</v>
      </c>
      <c r="O371" s="272"/>
      <c r="P371" s="240"/>
      <c r="Q371" s="116">
        <f t="shared" si="20"/>
        <v>87827388</v>
      </c>
      <c r="R371" s="116">
        <f t="shared" si="20"/>
        <v>0</v>
      </c>
      <c r="S371" s="240"/>
      <c r="T371" s="116">
        <f t="shared" si="21"/>
        <v>0</v>
      </c>
      <c r="U371" s="116">
        <f t="shared" si="21"/>
        <v>664612</v>
      </c>
      <c r="V371" s="273"/>
      <c r="W371" s="116">
        <f>HLOOKUP($W$9,'ROR-Model'!$Q$10:$U$1263,Y371)</f>
        <v>87827388</v>
      </c>
      <c r="X371" s="118"/>
      <c r="Y371" s="577">
        <f t="shared" si="16"/>
        <v>362</v>
      </c>
      <c r="AA371" s="116">
        <v>76080323</v>
      </c>
      <c r="AB371" s="116">
        <f t="shared" si="17"/>
        <v>11747065</v>
      </c>
    </row>
    <row r="372" spans="1:28">
      <c r="A372" s="227"/>
      <c r="C372" s="332" t="s">
        <v>33</v>
      </c>
      <c r="D372" s="102"/>
      <c r="E372" s="131">
        <f>+G372-Adjustments!H372</f>
        <v>0</v>
      </c>
      <c r="F372" s="131">
        <f t="shared" si="18"/>
        <v>182495478.48000002</v>
      </c>
      <c r="G372" s="131">
        <f t="shared" si="18"/>
        <v>20955143.52</v>
      </c>
      <c r="H372" s="131">
        <f t="shared" si="18"/>
        <v>0</v>
      </c>
      <c r="I372" s="131">
        <f t="shared" si="18"/>
        <v>203450622</v>
      </c>
      <c r="J372" s="116"/>
      <c r="K372" s="116"/>
      <c r="L372" s="131"/>
      <c r="M372" s="131">
        <f t="shared" si="19"/>
        <v>198906822</v>
      </c>
      <c r="N372" s="131">
        <f t="shared" si="19"/>
        <v>4543800</v>
      </c>
      <c r="O372" s="272"/>
      <c r="P372" s="257"/>
      <c r="Q372" s="131">
        <f t="shared" si="20"/>
        <v>198906822</v>
      </c>
      <c r="R372" s="131">
        <f t="shared" si="20"/>
        <v>0</v>
      </c>
      <c r="S372" s="257"/>
      <c r="T372" s="131">
        <f t="shared" si="21"/>
        <v>3729530</v>
      </c>
      <c r="U372" s="131">
        <f t="shared" si="21"/>
        <v>814270</v>
      </c>
      <c r="V372" s="273"/>
      <c r="W372" s="131">
        <f>HLOOKUP($W$9,'ROR-Model'!$Q$10:$U$1263,Y372)</f>
        <v>198906822</v>
      </c>
      <c r="X372" s="118"/>
      <c r="Y372" s="577">
        <f t="shared" si="16"/>
        <v>363</v>
      </c>
      <c r="AA372" s="131">
        <v>178108402.61000001</v>
      </c>
      <c r="AB372" s="116">
        <f t="shared" si="17"/>
        <v>20798419.389999986</v>
      </c>
    </row>
    <row r="373" spans="1:28">
      <c r="A373" s="227"/>
      <c r="B373" s="102"/>
      <c r="C373" s="102"/>
      <c r="D373" s="102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272"/>
      <c r="P373" s="240"/>
      <c r="Q373" s="116"/>
      <c r="R373" s="116"/>
      <c r="S373" s="240"/>
      <c r="T373" s="116"/>
      <c r="U373" s="116"/>
      <c r="V373" s="273"/>
      <c r="W373" s="116"/>
      <c r="X373" s="118"/>
      <c r="Y373" s="577">
        <f t="shared" si="16"/>
        <v>364</v>
      </c>
      <c r="AA373" s="116"/>
      <c r="AB373" s="116">
        <f t="shared" si="17"/>
        <v>0</v>
      </c>
    </row>
    <row r="374" spans="1:28">
      <c r="A374" s="227"/>
      <c r="B374" s="102"/>
      <c r="C374" s="102"/>
      <c r="D374" s="102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272"/>
      <c r="P374" s="240"/>
      <c r="Q374" s="116"/>
      <c r="R374" s="116"/>
      <c r="S374" s="240"/>
      <c r="T374" s="116"/>
      <c r="U374" s="116"/>
      <c r="V374" s="273"/>
      <c r="W374" s="116"/>
      <c r="X374" s="118"/>
      <c r="Y374" s="577">
        <f t="shared" si="16"/>
        <v>365</v>
      </c>
      <c r="AA374" s="116"/>
      <c r="AB374" s="116">
        <f t="shared" si="17"/>
        <v>0</v>
      </c>
    </row>
    <row r="375" spans="1:28">
      <c r="A375" s="36" t="s">
        <v>167</v>
      </c>
      <c r="B375" s="102"/>
      <c r="C375" s="102"/>
      <c r="D375" s="102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272"/>
      <c r="P375" s="240"/>
      <c r="Q375" s="116"/>
      <c r="R375" s="116"/>
      <c r="S375" s="240"/>
      <c r="T375" s="116"/>
      <c r="U375" s="116"/>
      <c r="V375" s="273"/>
      <c r="W375" s="116"/>
      <c r="X375" s="118"/>
      <c r="Y375" s="577">
        <f t="shared" si="16"/>
        <v>366</v>
      </c>
      <c r="AA375" s="116"/>
      <c r="AB375" s="116">
        <f t="shared" si="17"/>
        <v>0</v>
      </c>
    </row>
    <row r="376" spans="1:28">
      <c r="A376" s="227"/>
      <c r="B376" s="102"/>
      <c r="C376" s="102"/>
      <c r="D376" s="102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272"/>
      <c r="P376" s="240"/>
      <c r="Q376" s="116"/>
      <c r="R376" s="116"/>
      <c r="S376" s="240"/>
      <c r="T376" s="116"/>
      <c r="U376" s="116"/>
      <c r="V376" s="273"/>
      <c r="W376" s="116"/>
      <c r="X376" s="118"/>
      <c r="Y376" s="577">
        <f t="shared" si="16"/>
        <v>367</v>
      </c>
      <c r="AA376" s="116"/>
      <c r="AB376" s="116">
        <f t="shared" si="17"/>
        <v>0</v>
      </c>
    </row>
    <row r="377" spans="1:28">
      <c r="A377" s="136"/>
      <c r="B377" s="102" t="s">
        <v>168</v>
      </c>
      <c r="C377" s="102"/>
      <c r="D377" s="102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272"/>
      <c r="P377" s="240"/>
      <c r="Q377" s="116"/>
      <c r="R377" s="116"/>
      <c r="S377" s="240"/>
      <c r="T377" s="116"/>
      <c r="U377" s="116"/>
      <c r="V377" s="273"/>
      <c r="W377" s="116"/>
      <c r="X377" s="118"/>
      <c r="Y377" s="577">
        <f t="shared" si="16"/>
        <v>368</v>
      </c>
      <c r="AA377" s="116"/>
      <c r="AB377" s="116">
        <f t="shared" si="17"/>
        <v>0</v>
      </c>
    </row>
    <row r="378" spans="1:28">
      <c r="A378" s="136"/>
      <c r="B378" s="102"/>
      <c r="C378" s="102"/>
      <c r="D378" s="102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272"/>
      <c r="P378" s="240"/>
      <c r="Q378" s="116"/>
      <c r="R378" s="116"/>
      <c r="S378" s="240"/>
      <c r="T378" s="116"/>
      <c r="U378" s="116"/>
      <c r="V378" s="273"/>
      <c r="W378" s="116"/>
      <c r="X378" s="118"/>
      <c r="Y378" s="577">
        <f t="shared" si="16"/>
        <v>369</v>
      </c>
      <c r="AA378" s="116"/>
      <c r="AB378" s="116">
        <f t="shared" si="17"/>
        <v>0</v>
      </c>
    </row>
    <row r="379" spans="1:28">
      <c r="A379" s="136">
        <v>483</v>
      </c>
      <c r="B379" s="102" t="s">
        <v>169</v>
      </c>
      <c r="C379" s="102"/>
      <c r="D379" s="102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272"/>
      <c r="P379" s="240"/>
      <c r="Q379" s="116"/>
      <c r="R379" s="116"/>
      <c r="S379" s="240"/>
      <c r="T379" s="116"/>
      <c r="U379" s="116"/>
      <c r="V379" s="273"/>
      <c r="W379" s="116"/>
      <c r="X379" s="118"/>
      <c r="Y379" s="577">
        <f t="shared" si="16"/>
        <v>370</v>
      </c>
      <c r="AA379" s="116"/>
      <c r="AB379" s="116">
        <f t="shared" si="17"/>
        <v>0</v>
      </c>
    </row>
    <row r="380" spans="1:28">
      <c r="A380" s="136"/>
      <c r="B380" s="102"/>
      <c r="C380" s="102" t="s">
        <v>14</v>
      </c>
      <c r="D380" s="102"/>
      <c r="E380" s="116" t="s">
        <v>559</v>
      </c>
      <c r="F380" s="116">
        <f>'Other Rev'!$H$15</f>
        <v>1922718.8614775999</v>
      </c>
      <c r="G380" s="116">
        <f>+Adjustments!AW380</f>
        <v>0</v>
      </c>
      <c r="H380" s="116"/>
      <c r="I380" s="116">
        <f>SUM($F$380:$H$380)</f>
        <v>1922718.8614775999</v>
      </c>
      <c r="J380" s="116"/>
      <c r="K380" s="116"/>
      <c r="L380" s="116" t="s">
        <v>14</v>
      </c>
      <c r="M380" s="116">
        <f>VLOOKUP($L380,$L$2:$N$7,2,FALSE)*I380</f>
        <v>1922718.8614775999</v>
      </c>
      <c r="N380" s="116">
        <f>VLOOKUP($L380,$L$2:$N$7,3,FALSE)*I380</f>
        <v>0</v>
      </c>
      <c r="O380" s="272"/>
      <c r="P380" s="207" t="s">
        <v>559</v>
      </c>
      <c r="Q380" s="116">
        <f>IF(P380="G",M380,IF(P380="PT",0,ERR))</f>
        <v>0</v>
      </c>
      <c r="R380" s="116">
        <f>IF(P380="PT",M380,IF(P380="G",0,ERR))</f>
        <v>1922718.8614775999</v>
      </c>
      <c r="S380" s="240" t="s">
        <v>559</v>
      </c>
      <c r="T380" s="116">
        <f>IF(S380="G",N380,IF(S380="PT",0,ERR))</f>
        <v>0</v>
      </c>
      <c r="U380" s="116">
        <f>IF(S380="PT",N380,IF(S380="G",0,ERR))</f>
        <v>0</v>
      </c>
      <c r="V380" s="273"/>
      <c r="W380" s="116">
        <f>HLOOKUP($W$9,'ROR-Model'!$Q$10:$U$1263,Y380)</f>
        <v>0</v>
      </c>
      <c r="X380" s="118"/>
      <c r="Y380" s="577">
        <f t="shared" si="16"/>
        <v>371</v>
      </c>
      <c r="AA380" s="116">
        <v>0</v>
      </c>
      <c r="AB380" s="116">
        <f t="shared" si="17"/>
        <v>0</v>
      </c>
    </row>
    <row r="381" spans="1:28">
      <c r="A381" s="136"/>
      <c r="B381" s="102"/>
      <c r="C381" s="102" t="s">
        <v>24</v>
      </c>
      <c r="D381" s="102"/>
      <c r="E381" s="116" t="s">
        <v>559</v>
      </c>
      <c r="F381" s="116">
        <f>'Other Rev'!$H$16</f>
        <v>71559.988522400032</v>
      </c>
      <c r="G381" s="116">
        <f>+Adjustments!AW381</f>
        <v>0</v>
      </c>
      <c r="H381" s="116"/>
      <c r="I381" s="116">
        <f>SUM($F$381:$H$381)</f>
        <v>71559.988522400032</v>
      </c>
      <c r="J381" s="116"/>
      <c r="K381" s="116"/>
      <c r="L381" s="116" t="s">
        <v>24</v>
      </c>
      <c r="M381" s="116">
        <f>VLOOKUP($L381,$L$2:$N$7,2,FALSE)*I381</f>
        <v>0</v>
      </c>
      <c r="N381" s="116">
        <f>VLOOKUP($L381,$L$2:$N$7,3,FALSE)*I381</f>
        <v>71559.988522400032</v>
      </c>
      <c r="O381" s="272"/>
      <c r="P381" s="207" t="s">
        <v>559</v>
      </c>
      <c r="Q381" s="116">
        <f>IF(P381="G",M381,IF(P381="PT",0,ERR))</f>
        <v>0</v>
      </c>
      <c r="R381" s="116">
        <f>IF(P381="PT",M381,IF(P381="G",0,ERR))</f>
        <v>0</v>
      </c>
      <c r="S381" s="207" t="s">
        <v>559</v>
      </c>
      <c r="T381" s="116">
        <f>IF(S381="G",N381,IF(S381="PT",0,ERR))</f>
        <v>0</v>
      </c>
      <c r="U381" s="116">
        <f>IF(S381="PT",N381,IF(S381="G",0,ERR))</f>
        <v>71559.988522400032</v>
      </c>
      <c r="V381" s="273"/>
      <c r="W381" s="116">
        <f>HLOOKUP($W$9,'ROR-Model'!$Q$10:$U$1263,Y381)</f>
        <v>0</v>
      </c>
      <c r="X381" s="118"/>
      <c r="Y381" s="577">
        <f t="shared" si="16"/>
        <v>372</v>
      </c>
      <c r="AA381" s="116">
        <v>0</v>
      </c>
      <c r="AB381" s="116">
        <f t="shared" si="17"/>
        <v>0</v>
      </c>
    </row>
    <row r="382" spans="1:28">
      <c r="A382" s="136"/>
      <c r="B382" s="102"/>
      <c r="C382" s="102" t="s">
        <v>170</v>
      </c>
      <c r="D382" s="102"/>
      <c r="E382" s="131"/>
      <c r="F382" s="131">
        <f>SUM(F380:F381)</f>
        <v>1994278.85</v>
      </c>
      <c r="G382" s="131">
        <f>SUM(G380:G381)</f>
        <v>0</v>
      </c>
      <c r="H382" s="131">
        <f>SUM(H380:H381)</f>
        <v>0</v>
      </c>
      <c r="I382" s="131">
        <f>SUM(I380:I381)</f>
        <v>1994278.85</v>
      </c>
      <c r="J382" s="116"/>
      <c r="K382" s="116"/>
      <c r="L382" s="131"/>
      <c r="M382" s="131">
        <f>SUM(M380:M381)</f>
        <v>1922718.8614775999</v>
      </c>
      <c r="N382" s="131">
        <f>SUM(N380:N381)</f>
        <v>71559.988522400032</v>
      </c>
      <c r="O382" s="272"/>
      <c r="P382" s="207"/>
      <c r="Q382" s="131">
        <f>SUM(Q380:Q381)</f>
        <v>0</v>
      </c>
      <c r="R382" s="131">
        <f>SUM(R380:R381)</f>
        <v>1922718.8614775999</v>
      </c>
      <c r="S382" s="257"/>
      <c r="T382" s="131">
        <f>SUM(T380:T381)</f>
        <v>0</v>
      </c>
      <c r="U382" s="131">
        <f>SUM(U380:U381)</f>
        <v>71559.988522400032</v>
      </c>
      <c r="V382" s="273"/>
      <c r="W382" s="131">
        <f>HLOOKUP($W$9,'ROR-Model'!$Q$10:$U$1263,Y382)</f>
        <v>0</v>
      </c>
      <c r="X382" s="118"/>
      <c r="Y382" s="577">
        <f t="shared" si="16"/>
        <v>373</v>
      </c>
      <c r="AA382" s="131">
        <v>0</v>
      </c>
      <c r="AB382" s="116">
        <f t="shared" si="17"/>
        <v>0</v>
      </c>
    </row>
    <row r="383" spans="1:28">
      <c r="A383" s="136"/>
      <c r="B383" s="102"/>
      <c r="C383" s="102"/>
      <c r="D383" s="102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272"/>
      <c r="P383" s="207"/>
      <c r="Q383" s="116"/>
      <c r="R383" s="116"/>
      <c r="S383" s="240"/>
      <c r="T383" s="116"/>
      <c r="U383" s="116"/>
      <c r="V383" s="273"/>
      <c r="W383" s="116"/>
      <c r="X383" s="118"/>
      <c r="Y383" s="577">
        <f t="shared" si="16"/>
        <v>374</v>
      </c>
      <c r="AA383" s="116"/>
      <c r="AB383" s="116">
        <f t="shared" si="17"/>
        <v>0</v>
      </c>
    </row>
    <row r="384" spans="1:28">
      <c r="A384" s="136">
        <v>487</v>
      </c>
      <c r="B384" s="102" t="s">
        <v>173</v>
      </c>
      <c r="C384" s="102"/>
      <c r="D384" s="102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272"/>
      <c r="P384" s="207"/>
      <c r="Q384" s="116"/>
      <c r="R384" s="116"/>
      <c r="S384" s="240"/>
      <c r="T384" s="116"/>
      <c r="U384" s="116"/>
      <c r="V384" s="273"/>
      <c r="W384" s="116"/>
      <c r="X384" s="118"/>
      <c r="Y384" s="577">
        <f t="shared" si="16"/>
        <v>375</v>
      </c>
      <c r="AA384" s="116"/>
      <c r="AB384" s="116">
        <f t="shared" si="17"/>
        <v>0</v>
      </c>
    </row>
    <row r="385" spans="1:28">
      <c r="A385" s="136"/>
      <c r="B385" s="102"/>
      <c r="C385" s="102" t="s">
        <v>14</v>
      </c>
      <c r="D385" s="102"/>
      <c r="E385" s="116" t="s">
        <v>560</v>
      </c>
      <c r="F385" s="116">
        <f>'Other Rev'!$H$20</f>
        <v>2002957.85</v>
      </c>
      <c r="G385" s="116">
        <f>+Adjustments!AW385</f>
        <v>0</v>
      </c>
      <c r="H385" s="116"/>
      <c r="I385" s="116">
        <f>SUM($F$385:$H$385)</f>
        <v>2002957.85</v>
      </c>
      <c r="J385" s="116"/>
      <c r="K385" s="116"/>
      <c r="L385" s="116" t="s">
        <v>14</v>
      </c>
      <c r="M385" s="116">
        <f>VLOOKUP($L385,$L$2:$N$7,2,FALSE)*I385</f>
        <v>2002957.85</v>
      </c>
      <c r="N385" s="116">
        <f>VLOOKUP($L385,$L$2:$N$7,3,FALSE)*I385</f>
        <v>0</v>
      </c>
      <c r="O385" s="272"/>
      <c r="P385" s="207" t="s">
        <v>560</v>
      </c>
      <c r="Q385" s="116">
        <f>IF(P385="G",M385,IF(P385="PT",0,ERR))</f>
        <v>2002957.85</v>
      </c>
      <c r="R385" s="116">
        <f>IF(P385="PT",M385,IF(P385="G",0,ERR))</f>
        <v>0</v>
      </c>
      <c r="S385" s="240" t="s">
        <v>560</v>
      </c>
      <c r="T385" s="116">
        <f>IF(S385="G",N385,IF(S385="PT",0,ERR))</f>
        <v>0</v>
      </c>
      <c r="U385" s="116">
        <f>IF(S385="PT",N385,IF(S385="G",0,ERR))</f>
        <v>0</v>
      </c>
      <c r="V385" s="273"/>
      <c r="W385" s="116">
        <f>HLOOKUP($W$9,'ROR-Model'!$Q$10:$U$1263,Y385)</f>
        <v>2002957.85</v>
      </c>
      <c r="X385" s="118"/>
      <c r="Y385" s="577">
        <f t="shared" si="16"/>
        <v>376</v>
      </c>
      <c r="AA385" s="116">
        <v>2002957.85</v>
      </c>
      <c r="AB385" s="116">
        <f t="shared" si="17"/>
        <v>0</v>
      </c>
    </row>
    <row r="386" spans="1:28">
      <c r="A386" s="136"/>
      <c r="B386" s="102"/>
      <c r="C386" s="102" t="s">
        <v>24</v>
      </c>
      <c r="D386" s="102"/>
      <c r="E386" s="116" t="s">
        <v>560</v>
      </c>
      <c r="F386" s="116">
        <f>'Other Rev'!$H$21</f>
        <v>101544.61</v>
      </c>
      <c r="G386" s="116">
        <f>+Adjustments!AW386</f>
        <v>0</v>
      </c>
      <c r="H386" s="116"/>
      <c r="I386" s="116">
        <f>SUM($F$386:$H$386)</f>
        <v>101544.61</v>
      </c>
      <c r="J386" s="116"/>
      <c r="K386" s="116"/>
      <c r="L386" s="116" t="s">
        <v>24</v>
      </c>
      <c r="M386" s="116">
        <f>VLOOKUP($L386,$L$2:$N$7,2,FALSE)*I386</f>
        <v>0</v>
      </c>
      <c r="N386" s="116">
        <f>VLOOKUP($L386,$L$2:$N$7,3,FALSE)*I386</f>
        <v>101544.61</v>
      </c>
      <c r="O386" s="272"/>
      <c r="P386" s="207" t="s">
        <v>560</v>
      </c>
      <c r="Q386" s="116">
        <f>IF(P386="G",M386,IF(P386="PT",0,ERR))</f>
        <v>0</v>
      </c>
      <c r="R386" s="116">
        <f>IF(P386="PT",M386,IF(P386="G",0,ERR))</f>
        <v>0</v>
      </c>
      <c r="S386" s="240" t="s">
        <v>560</v>
      </c>
      <c r="T386" s="116">
        <f>IF(S386="G",N386,IF(S386="PT",0,ERR))</f>
        <v>101544.61</v>
      </c>
      <c r="U386" s="116">
        <f>IF(S386="PT",N386,IF(S386="G",0,ERR))</f>
        <v>0</v>
      </c>
      <c r="V386" s="273"/>
      <c r="W386" s="116">
        <f>HLOOKUP($W$9,'ROR-Model'!$Q$10:$U$1263,Y386)</f>
        <v>0</v>
      </c>
      <c r="X386" s="118"/>
      <c r="Y386" s="577">
        <f t="shared" si="16"/>
        <v>377</v>
      </c>
      <c r="AA386" s="116">
        <v>0</v>
      </c>
      <c r="AB386" s="116">
        <f t="shared" si="17"/>
        <v>0</v>
      </c>
    </row>
    <row r="387" spans="1:28">
      <c r="A387" s="136"/>
      <c r="B387" s="102"/>
      <c r="C387" s="102" t="s">
        <v>170</v>
      </c>
      <c r="D387" s="102"/>
      <c r="E387" s="131"/>
      <c r="F387" s="131">
        <f>SUM(F385:F386)</f>
        <v>2104502.46</v>
      </c>
      <c r="G387" s="131">
        <f>SUM(G385:G386)</f>
        <v>0</v>
      </c>
      <c r="H387" s="131">
        <f>SUM(H385:H386)</f>
        <v>0</v>
      </c>
      <c r="I387" s="131">
        <f>SUM(I385:I386)</f>
        <v>2104502.46</v>
      </c>
      <c r="J387" s="116"/>
      <c r="K387" s="116"/>
      <c r="L387" s="131"/>
      <c r="M387" s="131">
        <f>SUM(M385:M386)</f>
        <v>2002957.85</v>
      </c>
      <c r="N387" s="131">
        <f>SUM(N385:N386)</f>
        <v>101544.61</v>
      </c>
      <c r="O387" s="272"/>
      <c r="P387" s="207"/>
      <c r="Q387" s="131">
        <f>SUM(Q385:Q386)</f>
        <v>2002957.85</v>
      </c>
      <c r="R387" s="131">
        <f>SUM(R385:R386)</f>
        <v>0</v>
      </c>
      <c r="S387" s="257"/>
      <c r="T387" s="131">
        <f>SUM(T385:T386)</f>
        <v>101544.61</v>
      </c>
      <c r="U387" s="131">
        <f>SUM(U385:U386)</f>
        <v>0</v>
      </c>
      <c r="V387" s="273"/>
      <c r="W387" s="131">
        <f>HLOOKUP($W$9,'ROR-Model'!$Q$10:$U$1263,Y387)</f>
        <v>2002957.85</v>
      </c>
      <c r="X387" s="118"/>
      <c r="Y387" s="577">
        <f t="shared" si="16"/>
        <v>378</v>
      </c>
      <c r="AA387" s="131">
        <v>2002957.85</v>
      </c>
      <c r="AB387" s="116">
        <f t="shared" si="17"/>
        <v>0</v>
      </c>
    </row>
    <row r="388" spans="1:28">
      <c r="A388" s="136"/>
      <c r="B388" s="102"/>
      <c r="C388" s="102"/>
      <c r="D388" s="102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272"/>
      <c r="P388" s="207"/>
      <c r="Q388" s="116"/>
      <c r="R388" s="116"/>
      <c r="S388" s="240"/>
      <c r="T388" s="116"/>
      <c r="U388" s="116"/>
      <c r="V388" s="273"/>
      <c r="W388" s="116"/>
      <c r="X388" s="118"/>
      <c r="Y388" s="577">
        <f t="shared" si="16"/>
        <v>379</v>
      </c>
      <c r="AA388" s="116"/>
      <c r="AB388" s="116">
        <f t="shared" si="17"/>
        <v>0</v>
      </c>
    </row>
    <row r="389" spans="1:28">
      <c r="A389" s="136">
        <v>4860</v>
      </c>
      <c r="B389" s="102" t="s">
        <v>314</v>
      </c>
      <c r="C389" s="102"/>
      <c r="D389" s="102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272"/>
      <c r="P389" s="207"/>
      <c r="Q389" s="116"/>
      <c r="R389" s="116"/>
      <c r="S389" s="240"/>
      <c r="T389" s="116"/>
      <c r="U389" s="116"/>
      <c r="V389" s="273"/>
      <c r="W389" s="116"/>
      <c r="X389" s="118"/>
      <c r="Y389" s="577">
        <f t="shared" si="16"/>
        <v>380</v>
      </c>
      <c r="AA389" s="116"/>
      <c r="AB389" s="116">
        <f t="shared" si="17"/>
        <v>0</v>
      </c>
    </row>
    <row r="390" spans="1:28">
      <c r="A390" s="136"/>
      <c r="B390" s="102"/>
      <c r="C390" s="102" t="s">
        <v>14</v>
      </c>
      <c r="D390" s="102"/>
      <c r="E390" s="116" t="s">
        <v>560</v>
      </c>
      <c r="F390" s="116">
        <f>'Other Rev'!$H$25</f>
        <v>0</v>
      </c>
      <c r="G390" s="116">
        <f>+Adjustments!AW390</f>
        <v>0</v>
      </c>
      <c r="H390" s="116"/>
      <c r="I390" s="116">
        <f>SUM($F$390:$H$390)</f>
        <v>0</v>
      </c>
      <c r="J390" s="116"/>
      <c r="K390" s="116"/>
      <c r="L390" s="116" t="s">
        <v>14</v>
      </c>
      <c r="M390" s="116">
        <f>VLOOKUP($L390,$L$2:$N$7,2,FALSE)*I390</f>
        <v>0</v>
      </c>
      <c r="N390" s="116">
        <f>VLOOKUP($L390,$L$2:$N$7,3,FALSE)*I390</f>
        <v>0</v>
      </c>
      <c r="O390" s="272"/>
      <c r="P390" s="207" t="s">
        <v>560</v>
      </c>
      <c r="Q390" s="116">
        <f>IF(P390="G",M390,IF(P390="PT",0,ERR))</f>
        <v>0</v>
      </c>
      <c r="R390" s="116">
        <f>IF(P390="PT",M390,IF(P390="G",0,ERR))</f>
        <v>0</v>
      </c>
      <c r="S390" s="240" t="s">
        <v>560</v>
      </c>
      <c r="T390" s="116">
        <f>IF(S390="G",N390,IF(S390="PT",0,ERR))</f>
        <v>0</v>
      </c>
      <c r="U390" s="116">
        <f>IF(S390="PT",N390,IF(S390="G",0,ERR))</f>
        <v>0</v>
      </c>
      <c r="V390" s="273"/>
      <c r="W390" s="116">
        <f>HLOOKUP($W$9,'ROR-Model'!$Q$10:$U$1263,Y390)</f>
        <v>0</v>
      </c>
      <c r="X390" s="118"/>
      <c r="Y390" s="577">
        <f t="shared" si="16"/>
        <v>381</v>
      </c>
      <c r="AA390" s="116">
        <v>0</v>
      </c>
      <c r="AB390" s="116">
        <f t="shared" si="17"/>
        <v>0</v>
      </c>
    </row>
    <row r="391" spans="1:28">
      <c r="A391" s="136"/>
      <c r="B391" s="102"/>
      <c r="C391" s="102" t="s">
        <v>24</v>
      </c>
      <c r="D391" s="102"/>
      <c r="E391" s="116" t="s">
        <v>560</v>
      </c>
      <c r="F391" s="116">
        <f>'Other Rev'!$H$26</f>
        <v>0</v>
      </c>
      <c r="G391" s="116">
        <f>+Adjustments!AW391</f>
        <v>0</v>
      </c>
      <c r="H391" s="116"/>
      <c r="I391" s="116">
        <f>SUM($F$391:$H$391)</f>
        <v>0</v>
      </c>
      <c r="J391" s="116"/>
      <c r="K391" s="116"/>
      <c r="L391" s="116" t="s">
        <v>24</v>
      </c>
      <c r="M391" s="116">
        <f>VLOOKUP($L391,$L$2:$N$7,2,FALSE)*I391</f>
        <v>0</v>
      </c>
      <c r="N391" s="116">
        <f>VLOOKUP($L391,$L$2:$N$7,3,FALSE)*I391</f>
        <v>0</v>
      </c>
      <c r="O391" s="272"/>
      <c r="P391" s="207" t="s">
        <v>560</v>
      </c>
      <c r="Q391" s="116">
        <f>IF(P391="G",M391,IF(P391="PT",0,ERR))</f>
        <v>0</v>
      </c>
      <c r="R391" s="116">
        <f>IF(P391="PT",M391,IF(P391="G",0,ERR))</f>
        <v>0</v>
      </c>
      <c r="S391" s="240" t="s">
        <v>560</v>
      </c>
      <c r="T391" s="116">
        <f>IF(S391="G",N391,IF(S391="PT",0,ERR))</f>
        <v>0</v>
      </c>
      <c r="U391" s="116">
        <f>IF(S391="PT",N391,IF(S391="G",0,ERR))</f>
        <v>0</v>
      </c>
      <c r="V391" s="273"/>
      <c r="W391" s="116">
        <f>HLOOKUP($W$9,'ROR-Model'!$Q$10:$U$1263,Y391)</f>
        <v>0</v>
      </c>
      <c r="X391" s="118"/>
      <c r="Y391" s="577">
        <f t="shared" si="16"/>
        <v>382</v>
      </c>
      <c r="AA391" s="116">
        <v>0</v>
      </c>
      <c r="AB391" s="116">
        <f t="shared" si="17"/>
        <v>0</v>
      </c>
    </row>
    <row r="392" spans="1:28">
      <c r="A392" s="136"/>
      <c r="B392" s="102"/>
      <c r="C392" s="102" t="s">
        <v>170</v>
      </c>
      <c r="D392" s="102"/>
      <c r="E392" s="131"/>
      <c r="F392" s="131">
        <f>SUM(F390:F391)</f>
        <v>0</v>
      </c>
      <c r="G392" s="131">
        <f>SUM(G390:G391)</f>
        <v>0</v>
      </c>
      <c r="H392" s="131">
        <f>SUM(H390:H391)</f>
        <v>0</v>
      </c>
      <c r="I392" s="131">
        <f>SUM(I390:I391)</f>
        <v>0</v>
      </c>
      <c r="J392" s="116"/>
      <c r="K392" s="116"/>
      <c r="L392" s="131"/>
      <c r="M392" s="131">
        <f>SUM(M390:M391)</f>
        <v>0</v>
      </c>
      <c r="N392" s="131">
        <f>SUM(N390:N391)</f>
        <v>0</v>
      </c>
      <c r="O392" s="272"/>
      <c r="P392" s="207"/>
      <c r="Q392" s="131">
        <f>SUM(Q390:Q391)</f>
        <v>0</v>
      </c>
      <c r="R392" s="131">
        <f>SUM(R390:R391)</f>
        <v>0</v>
      </c>
      <c r="S392" s="257"/>
      <c r="T392" s="131">
        <f>SUM(T390:T391)</f>
        <v>0</v>
      </c>
      <c r="U392" s="131">
        <f>SUM(U390:U391)</f>
        <v>0</v>
      </c>
      <c r="V392" s="273"/>
      <c r="W392" s="131">
        <f>HLOOKUP($W$9,'ROR-Model'!$Q$10:$U$1263,Y392)</f>
        <v>0</v>
      </c>
      <c r="X392" s="118"/>
      <c r="Y392" s="577">
        <f t="shared" si="16"/>
        <v>383</v>
      </c>
      <c r="AA392" s="131">
        <v>0</v>
      </c>
      <c r="AB392" s="116">
        <f t="shared" si="17"/>
        <v>0</v>
      </c>
    </row>
    <row r="393" spans="1:28">
      <c r="A393" s="136"/>
      <c r="B393" s="102"/>
      <c r="C393" s="102"/>
      <c r="D393" s="102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272"/>
      <c r="P393" s="207"/>
      <c r="Q393" s="116"/>
      <c r="R393" s="116"/>
      <c r="S393" s="240"/>
      <c r="T393" s="116"/>
      <c r="U393" s="116"/>
      <c r="V393" s="273"/>
      <c r="W393" s="116"/>
      <c r="X393" s="118"/>
      <c r="Y393" s="577">
        <f t="shared" si="16"/>
        <v>384</v>
      </c>
      <c r="AA393" s="116"/>
      <c r="AB393" s="116">
        <f t="shared" si="17"/>
        <v>0</v>
      </c>
    </row>
    <row r="394" spans="1:28">
      <c r="A394" s="136">
        <v>4861</v>
      </c>
      <c r="B394" s="102" t="s">
        <v>315</v>
      </c>
      <c r="C394" s="102"/>
      <c r="D394" s="102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272"/>
      <c r="P394" s="207"/>
      <c r="Q394" s="116"/>
      <c r="R394" s="116"/>
      <c r="S394" s="240"/>
      <c r="T394" s="116"/>
      <c r="U394" s="116"/>
      <c r="V394" s="273"/>
      <c r="W394" s="116"/>
      <c r="X394" s="118"/>
      <c r="Y394" s="577">
        <f t="shared" si="16"/>
        <v>385</v>
      </c>
      <c r="AA394" s="116"/>
      <c r="AB394" s="116">
        <f t="shared" si="17"/>
        <v>0</v>
      </c>
    </row>
    <row r="395" spans="1:28">
      <c r="A395" s="136"/>
      <c r="B395" s="102"/>
      <c r="C395" s="102" t="s">
        <v>14</v>
      </c>
      <c r="D395" s="102"/>
      <c r="E395" s="116" t="s">
        <v>560</v>
      </c>
      <c r="F395" s="116">
        <f>'Other Rev'!$H$30</f>
        <v>2201.5</v>
      </c>
      <c r="G395" s="116">
        <f>+Adjustments!AW395</f>
        <v>0</v>
      </c>
      <c r="H395" s="116"/>
      <c r="I395" s="116">
        <f>SUM($F$395:$H$395)</f>
        <v>2201.5</v>
      </c>
      <c r="J395" s="116"/>
      <c r="K395" s="116"/>
      <c r="L395" s="116" t="s">
        <v>14</v>
      </c>
      <c r="M395" s="116">
        <f>VLOOKUP($L395,$L$2:$N$7,2,FALSE)*I395</f>
        <v>2201.5</v>
      </c>
      <c r="N395" s="116">
        <f>VLOOKUP($L395,$L$2:$N$7,3,FALSE)*I395</f>
        <v>0</v>
      </c>
      <c r="O395" s="272"/>
      <c r="P395" s="207" t="s">
        <v>560</v>
      </c>
      <c r="Q395" s="116">
        <f>IF(P395="G",M395,IF(P395="PT",0,ERR))</f>
        <v>2201.5</v>
      </c>
      <c r="R395" s="116">
        <f>IF(P395="PT",M395,IF(P395="G",0,ERR))</f>
        <v>0</v>
      </c>
      <c r="S395" s="240" t="s">
        <v>560</v>
      </c>
      <c r="T395" s="116">
        <f>IF(S395="G",N395,IF(S395="PT",0,ERR))</f>
        <v>0</v>
      </c>
      <c r="U395" s="116">
        <f>IF(S395="PT",N395,IF(S395="G",0,ERR))</f>
        <v>0</v>
      </c>
      <c r="V395" s="273"/>
      <c r="W395" s="116">
        <f>HLOOKUP($W$9,'ROR-Model'!$Q$10:$U$1263,Y395)</f>
        <v>2201.5</v>
      </c>
      <c r="X395" s="118"/>
      <c r="Y395" s="577">
        <f t="shared" si="16"/>
        <v>386</v>
      </c>
      <c r="AA395" s="116">
        <v>2201.5</v>
      </c>
      <c r="AB395" s="116">
        <f t="shared" si="17"/>
        <v>0</v>
      </c>
    </row>
    <row r="396" spans="1:28">
      <c r="A396" s="136"/>
      <c r="B396" s="102"/>
      <c r="C396" s="102" t="s">
        <v>24</v>
      </c>
      <c r="D396" s="102"/>
      <c r="E396" s="116" t="s">
        <v>560</v>
      </c>
      <c r="F396" s="116">
        <f>'Other Rev'!$H$31</f>
        <v>823.5</v>
      </c>
      <c r="G396" s="116">
        <f>+Adjustments!AW396</f>
        <v>0</v>
      </c>
      <c r="H396" s="116"/>
      <c r="I396" s="116">
        <f>SUM($F$396:$H$396)</f>
        <v>823.5</v>
      </c>
      <c r="J396" s="116"/>
      <c r="K396" s="116"/>
      <c r="L396" s="116" t="s">
        <v>24</v>
      </c>
      <c r="M396" s="116">
        <f>VLOOKUP($L396,$L$2:$N$7,2,FALSE)*I396</f>
        <v>0</v>
      </c>
      <c r="N396" s="116">
        <f>VLOOKUP($L396,$L$2:$N$7,3,FALSE)*I396</f>
        <v>823.5</v>
      </c>
      <c r="O396" s="272"/>
      <c r="P396" s="207" t="s">
        <v>560</v>
      </c>
      <c r="Q396" s="116">
        <f>IF(P396="G",M396,IF(P396="PT",0,ERR))</f>
        <v>0</v>
      </c>
      <c r="R396" s="116">
        <f>IF(P396="PT",M396,IF(P396="G",0,ERR))</f>
        <v>0</v>
      </c>
      <c r="S396" s="240" t="s">
        <v>560</v>
      </c>
      <c r="T396" s="116">
        <f>IF(S396="G",N396,IF(S396="PT",0,ERR))</f>
        <v>823.5</v>
      </c>
      <c r="U396" s="116">
        <f>IF(S396="PT",N396,IF(S396="G",0,ERR))</f>
        <v>0</v>
      </c>
      <c r="V396" s="273"/>
      <c r="W396" s="116">
        <f>HLOOKUP($W$9,'ROR-Model'!$Q$10:$U$1263,Y396)</f>
        <v>0</v>
      </c>
      <c r="X396" s="118"/>
      <c r="Y396" s="577">
        <f t="shared" si="16"/>
        <v>387</v>
      </c>
      <c r="AA396" s="116">
        <v>0</v>
      </c>
      <c r="AB396" s="116">
        <f t="shared" si="17"/>
        <v>0</v>
      </c>
    </row>
    <row r="397" spans="1:28">
      <c r="A397" s="136"/>
      <c r="B397" s="102"/>
      <c r="C397" s="102" t="s">
        <v>170</v>
      </c>
      <c r="D397" s="102"/>
      <c r="E397" s="131"/>
      <c r="F397" s="131">
        <f>SUM(F395:F396)</f>
        <v>3025</v>
      </c>
      <c r="G397" s="131">
        <f>SUM(G395:G396)</f>
        <v>0</v>
      </c>
      <c r="H397" s="131">
        <f>SUM(H395:H396)</f>
        <v>0</v>
      </c>
      <c r="I397" s="131">
        <f>SUM(I395:I396)</f>
        <v>3025</v>
      </c>
      <c r="J397" s="116"/>
      <c r="K397" s="116"/>
      <c r="L397" s="131"/>
      <c r="M397" s="131">
        <f>SUM(M395:M396)</f>
        <v>2201.5</v>
      </c>
      <c r="N397" s="131">
        <f>SUM(N395:N396)</f>
        <v>823.5</v>
      </c>
      <c r="O397" s="272"/>
      <c r="P397" s="207"/>
      <c r="Q397" s="131">
        <f>SUM(Q395:Q396)</f>
        <v>2201.5</v>
      </c>
      <c r="R397" s="131">
        <f>SUM(R395:R396)</f>
        <v>0</v>
      </c>
      <c r="S397" s="257"/>
      <c r="T397" s="131">
        <f>SUM(T395:T396)</f>
        <v>823.5</v>
      </c>
      <c r="U397" s="131">
        <f>SUM(U395:U396)</f>
        <v>0</v>
      </c>
      <c r="V397" s="273"/>
      <c r="W397" s="131">
        <f>HLOOKUP($W$9,'ROR-Model'!$Q$10:$U$1263,Y397)</f>
        <v>2201.5</v>
      </c>
      <c r="X397" s="118"/>
      <c r="Y397" s="577">
        <f t="shared" si="16"/>
        <v>388</v>
      </c>
      <c r="AA397" s="131">
        <v>2201.5</v>
      </c>
      <c r="AB397" s="116">
        <f t="shared" si="17"/>
        <v>0</v>
      </c>
    </row>
    <row r="398" spans="1:28">
      <c r="A398" s="136"/>
      <c r="B398" s="102"/>
      <c r="C398" s="102"/>
      <c r="D398" s="102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272"/>
      <c r="P398" s="207"/>
      <c r="Q398" s="116"/>
      <c r="R398" s="116"/>
      <c r="S398" s="240"/>
      <c r="T398" s="116"/>
      <c r="U398" s="116"/>
      <c r="V398" s="273"/>
      <c r="W398" s="116"/>
      <c r="X398" s="118"/>
      <c r="Y398" s="577">
        <f t="shared" ref="Y398:Y461" si="22">Y397+1</f>
        <v>389</v>
      </c>
      <c r="AA398" s="116"/>
      <c r="AB398" s="116">
        <f t="shared" si="17"/>
        <v>0</v>
      </c>
    </row>
    <row r="399" spans="1:28">
      <c r="A399" s="136">
        <v>4862</v>
      </c>
      <c r="B399" s="102" t="s">
        <v>316</v>
      </c>
      <c r="C399" s="102"/>
      <c r="D399" s="102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272"/>
      <c r="P399" s="207"/>
      <c r="Q399" s="116"/>
      <c r="R399" s="116"/>
      <c r="S399" s="240"/>
      <c r="T399" s="116"/>
      <c r="U399" s="116"/>
      <c r="V399" s="273"/>
      <c r="W399" s="116"/>
      <c r="X399" s="118"/>
      <c r="Y399" s="577">
        <f t="shared" si="22"/>
        <v>390</v>
      </c>
      <c r="AA399" s="116"/>
      <c r="AB399" s="116">
        <f t="shared" si="17"/>
        <v>0</v>
      </c>
    </row>
    <row r="400" spans="1:28">
      <c r="A400" s="136"/>
      <c r="B400" s="102"/>
      <c r="C400" s="102" t="s">
        <v>14</v>
      </c>
      <c r="D400" s="102"/>
      <c r="E400" s="116" t="s">
        <v>560</v>
      </c>
      <c r="F400" s="116">
        <f>'Other Rev'!$H$35</f>
        <v>72082.070000000007</v>
      </c>
      <c r="G400" s="116">
        <f>+Adjustments!AW400</f>
        <v>0</v>
      </c>
      <c r="H400" s="116"/>
      <c r="I400" s="116">
        <f>SUM($F$400:$H$400)</f>
        <v>72082.070000000007</v>
      </c>
      <c r="J400" s="116"/>
      <c r="K400" s="116"/>
      <c r="L400" s="116" t="s">
        <v>14</v>
      </c>
      <c r="M400" s="116">
        <f>VLOOKUP($L400,$L$2:$N$7,2,FALSE)*I400</f>
        <v>72082.070000000007</v>
      </c>
      <c r="N400" s="116">
        <f>VLOOKUP($L400,$L$2:$N$7,3,FALSE)*I400</f>
        <v>0</v>
      </c>
      <c r="O400" s="272"/>
      <c r="P400" s="207" t="s">
        <v>560</v>
      </c>
      <c r="Q400" s="116">
        <f>IF(P400="G",M400,IF(P400="PT",0,ERR))</f>
        <v>72082.070000000007</v>
      </c>
      <c r="R400" s="116">
        <f>IF(P400="PT",M400,IF(P400="G",0,ERR))</f>
        <v>0</v>
      </c>
      <c r="S400" s="240" t="s">
        <v>560</v>
      </c>
      <c r="T400" s="116">
        <f>IF(S400="G",N400,IF(S400="PT",0,ERR))</f>
        <v>0</v>
      </c>
      <c r="U400" s="116">
        <f>IF(S400="PT",N400,IF(S400="G",0,ERR))</f>
        <v>0</v>
      </c>
      <c r="V400" s="273"/>
      <c r="W400" s="116">
        <f>HLOOKUP($W$9,'ROR-Model'!$Q$10:$U$1263,Y400)</f>
        <v>72082.070000000007</v>
      </c>
      <c r="X400" s="118"/>
      <c r="Y400" s="577">
        <f t="shared" si="22"/>
        <v>391</v>
      </c>
      <c r="AA400" s="116">
        <v>72082.070000000007</v>
      </c>
      <c r="AB400" s="116">
        <f t="shared" si="17"/>
        <v>0</v>
      </c>
    </row>
    <row r="401" spans="1:28">
      <c r="A401" s="136"/>
      <c r="B401" s="102"/>
      <c r="C401" s="102" t="s">
        <v>24</v>
      </c>
      <c r="D401" s="102"/>
      <c r="E401" s="116" t="s">
        <v>560</v>
      </c>
      <c r="F401" s="116">
        <f>'Other Rev'!$H$36</f>
        <v>957</v>
      </c>
      <c r="G401" s="116">
        <f>+Adjustments!AW401</f>
        <v>0</v>
      </c>
      <c r="H401" s="116"/>
      <c r="I401" s="116">
        <f>SUM($F$401:$H$401)</f>
        <v>957</v>
      </c>
      <c r="J401" s="116"/>
      <c r="K401" s="116"/>
      <c r="L401" s="116" t="s">
        <v>24</v>
      </c>
      <c r="M401" s="116">
        <f>VLOOKUP($L401,$L$2:$N$7,2,FALSE)*I401</f>
        <v>0</v>
      </c>
      <c r="N401" s="116">
        <f>VLOOKUP($L401,$L$2:$N$7,3,FALSE)*I401</f>
        <v>957</v>
      </c>
      <c r="O401" s="272"/>
      <c r="P401" s="207" t="s">
        <v>560</v>
      </c>
      <c r="Q401" s="116">
        <f>IF(P401="G",M401,IF(P401="PT",0,ERR))</f>
        <v>0</v>
      </c>
      <c r="R401" s="116">
        <f>IF(P401="PT",M401,IF(P401="G",0,ERR))</f>
        <v>0</v>
      </c>
      <c r="S401" s="240" t="s">
        <v>560</v>
      </c>
      <c r="T401" s="116">
        <f>IF(S401="G",N401,IF(S401="PT",0,ERR))</f>
        <v>957</v>
      </c>
      <c r="U401" s="116">
        <f>IF(S401="PT",N401,IF(S401="G",0,ERR))</f>
        <v>0</v>
      </c>
      <c r="V401" s="273"/>
      <c r="W401" s="116">
        <f>HLOOKUP($W$9,'ROR-Model'!$Q$10:$U$1263,Y401)</f>
        <v>0</v>
      </c>
      <c r="X401" s="118"/>
      <c r="Y401" s="577">
        <f t="shared" si="22"/>
        <v>392</v>
      </c>
      <c r="AA401" s="116">
        <v>0</v>
      </c>
      <c r="AB401" s="116">
        <f t="shared" ref="AB401:AB464" si="23">W401-AA401</f>
        <v>0</v>
      </c>
    </row>
    <row r="402" spans="1:28">
      <c r="A402" s="136"/>
      <c r="B402" s="102"/>
      <c r="C402" s="102" t="s">
        <v>170</v>
      </c>
      <c r="D402" s="102"/>
      <c r="E402" s="131"/>
      <c r="F402" s="131">
        <f>SUM(F400:F401)</f>
        <v>73039.070000000007</v>
      </c>
      <c r="G402" s="131">
        <f>SUM(G400:G401)</f>
        <v>0</v>
      </c>
      <c r="H402" s="131">
        <f>SUM(H400:H401)</f>
        <v>0</v>
      </c>
      <c r="I402" s="131">
        <f>SUM(I400:I401)</f>
        <v>73039.070000000007</v>
      </c>
      <c r="J402" s="116"/>
      <c r="K402" s="116"/>
      <c r="L402" s="131"/>
      <c r="M402" s="131">
        <f>SUM(M400:M401)</f>
        <v>72082.070000000007</v>
      </c>
      <c r="N402" s="131">
        <f>SUM(N400:N401)</f>
        <v>957</v>
      </c>
      <c r="O402" s="272"/>
      <c r="P402" s="207"/>
      <c r="Q402" s="131">
        <f>SUM(Q400:Q401)</f>
        <v>72082.070000000007</v>
      </c>
      <c r="R402" s="131">
        <f>SUM(R400:R401)</f>
        <v>0</v>
      </c>
      <c r="S402" s="257"/>
      <c r="T402" s="131">
        <f>SUM(T400:T401)</f>
        <v>957</v>
      </c>
      <c r="U402" s="131">
        <f>SUM(U400:U401)</f>
        <v>0</v>
      </c>
      <c r="V402" s="273"/>
      <c r="W402" s="131">
        <f>HLOOKUP($W$9,'ROR-Model'!$Q$10:$U$1263,Y402)</f>
        <v>72082.070000000007</v>
      </c>
      <c r="X402" s="118"/>
      <c r="Y402" s="577">
        <f t="shared" si="22"/>
        <v>393</v>
      </c>
      <c r="AA402" s="131">
        <v>72082.070000000007</v>
      </c>
      <c r="AB402" s="116">
        <f t="shared" si="23"/>
        <v>0</v>
      </c>
    </row>
    <row r="403" spans="1:28">
      <c r="A403" s="136"/>
      <c r="B403" s="102"/>
      <c r="C403" s="102"/>
      <c r="D403" s="102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272"/>
      <c r="P403" s="207"/>
      <c r="Q403" s="116"/>
      <c r="R403" s="116"/>
      <c r="S403" s="240"/>
      <c r="T403" s="116"/>
      <c r="U403" s="116"/>
      <c r="V403" s="273"/>
      <c r="W403" s="116"/>
      <c r="X403" s="118"/>
      <c r="Y403" s="577">
        <f t="shared" si="22"/>
        <v>394</v>
      </c>
      <c r="AA403" s="116"/>
      <c r="AB403" s="116">
        <f t="shared" si="23"/>
        <v>0</v>
      </c>
    </row>
    <row r="404" spans="1:28">
      <c r="A404" s="134" t="s">
        <v>411</v>
      </c>
      <c r="B404" s="106" t="s">
        <v>317</v>
      </c>
      <c r="C404" s="106"/>
      <c r="D404" s="10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272"/>
      <c r="P404" s="207"/>
      <c r="Q404" s="116"/>
      <c r="R404" s="116"/>
      <c r="S404" s="240"/>
      <c r="T404" s="116"/>
      <c r="U404" s="116"/>
      <c r="V404" s="273"/>
      <c r="W404" s="116"/>
      <c r="X404" s="118"/>
      <c r="Y404" s="577">
        <f t="shared" si="22"/>
        <v>395</v>
      </c>
      <c r="AA404" s="116"/>
      <c r="AB404" s="116">
        <f t="shared" si="23"/>
        <v>0</v>
      </c>
    </row>
    <row r="405" spans="1:28">
      <c r="A405" s="134"/>
      <c r="B405" s="106"/>
      <c r="C405" s="106" t="s">
        <v>14</v>
      </c>
      <c r="D405" s="106"/>
      <c r="E405" s="116" t="s">
        <v>560</v>
      </c>
      <c r="F405" s="116">
        <f>'Other Rev'!$H$40</f>
        <v>2374708</v>
      </c>
      <c r="G405" s="116">
        <f>+Adjustments!AW405</f>
        <v>0</v>
      </c>
      <c r="H405" s="116"/>
      <c r="I405" s="116">
        <f>SUM($F$405:$H$405)</f>
        <v>2374708</v>
      </c>
      <c r="J405" s="116"/>
      <c r="K405" s="116"/>
      <c r="L405" s="116" t="s">
        <v>14</v>
      </c>
      <c r="M405" s="116">
        <f>VLOOKUP($L405,$L$2:$N$7,2,FALSE)*I405</f>
        <v>2374708</v>
      </c>
      <c r="N405" s="116">
        <f>VLOOKUP($L405,$L$2:$N$7,3,FALSE)*I405</f>
        <v>0</v>
      </c>
      <c r="O405" s="272"/>
      <c r="P405" s="207" t="s">
        <v>560</v>
      </c>
      <c r="Q405" s="116">
        <f>IF(P405="G",M405,IF(P405="PT",0,ERR))</f>
        <v>2374708</v>
      </c>
      <c r="R405" s="116">
        <f>IF(P405="PT",M405,IF(P405="G",0,ERR))</f>
        <v>0</v>
      </c>
      <c r="S405" s="240" t="s">
        <v>560</v>
      </c>
      <c r="T405" s="116">
        <f>IF(S405="G",N405,IF(S405="PT",0,ERR))</f>
        <v>0</v>
      </c>
      <c r="U405" s="116">
        <f>IF(S405="PT",N405,IF(S405="G",0,ERR))</f>
        <v>0</v>
      </c>
      <c r="V405" s="273"/>
      <c r="W405" s="116">
        <f>HLOOKUP($W$9,'ROR-Model'!$Q$10:$U$1263,Y405)</f>
        <v>2374708</v>
      </c>
      <c r="X405" s="118"/>
      <c r="Y405" s="577">
        <f t="shared" si="22"/>
        <v>396</v>
      </c>
      <c r="AA405" s="116">
        <v>2374708</v>
      </c>
      <c r="AB405" s="116">
        <f t="shared" si="23"/>
        <v>0</v>
      </c>
    </row>
    <row r="406" spans="1:28">
      <c r="A406" s="134"/>
      <c r="B406" s="106"/>
      <c r="C406" s="106" t="s">
        <v>24</v>
      </c>
      <c r="D406" s="106"/>
      <c r="E406" s="116" t="s">
        <v>560</v>
      </c>
      <c r="F406" s="116">
        <f>'Other Rev'!$H$41</f>
        <v>9075</v>
      </c>
      <c r="G406" s="116">
        <f>+Adjustments!AW406</f>
        <v>0</v>
      </c>
      <c r="H406" s="116"/>
      <c r="I406" s="116">
        <f>SUM($F$406:$H$406)</f>
        <v>9075</v>
      </c>
      <c r="J406" s="116"/>
      <c r="K406" s="116"/>
      <c r="L406" s="116" t="s">
        <v>24</v>
      </c>
      <c r="M406" s="116">
        <f>VLOOKUP($L406,$L$2:$N$7,2,FALSE)*I406</f>
        <v>0</v>
      </c>
      <c r="N406" s="116">
        <f>VLOOKUP($L406,$L$2:$N$7,3,FALSE)*I406</f>
        <v>9075</v>
      </c>
      <c r="O406" s="272"/>
      <c r="P406" s="207" t="s">
        <v>560</v>
      </c>
      <c r="Q406" s="116">
        <f>IF(P406="G",M406,IF(P406="PT",0,ERR))</f>
        <v>0</v>
      </c>
      <c r="R406" s="116">
        <f>IF(P406="PT",M406,IF(P406="G",0,ERR))</f>
        <v>0</v>
      </c>
      <c r="S406" s="240" t="s">
        <v>560</v>
      </c>
      <c r="T406" s="116">
        <f>IF(S406="G",N406,IF(S406="PT",0,ERR))</f>
        <v>9075</v>
      </c>
      <c r="U406" s="116">
        <f>IF(S406="PT",N406,IF(S406="G",0,ERR))</f>
        <v>0</v>
      </c>
      <c r="V406" s="273"/>
      <c r="W406" s="116">
        <f>HLOOKUP($W$9,'ROR-Model'!$Q$10:$U$1263,Y406)</f>
        <v>0</v>
      </c>
      <c r="X406" s="118"/>
      <c r="Y406" s="577">
        <f t="shared" si="22"/>
        <v>397</v>
      </c>
      <c r="AA406" s="116">
        <v>0</v>
      </c>
      <c r="AB406" s="116">
        <f t="shared" si="23"/>
        <v>0</v>
      </c>
    </row>
    <row r="407" spans="1:28">
      <c r="A407" s="134"/>
      <c r="B407" s="106"/>
      <c r="C407" s="106" t="s">
        <v>170</v>
      </c>
      <c r="D407" s="106"/>
      <c r="E407" s="131"/>
      <c r="F407" s="131">
        <f>SUM(F405:F406)</f>
        <v>2383783</v>
      </c>
      <c r="G407" s="131">
        <f>SUM(G405:G406)</f>
        <v>0</v>
      </c>
      <c r="H407" s="131">
        <f>SUM(H405:H406)</f>
        <v>0</v>
      </c>
      <c r="I407" s="131">
        <f>SUM(I405:I406)</f>
        <v>2383783</v>
      </c>
      <c r="J407" s="116"/>
      <c r="K407" s="116"/>
      <c r="L407" s="131"/>
      <c r="M407" s="131">
        <f>SUM(M405:M406)</f>
        <v>2374708</v>
      </c>
      <c r="N407" s="131">
        <f>SUM(N405:N406)</f>
        <v>9075</v>
      </c>
      <c r="O407" s="272"/>
      <c r="P407" s="207"/>
      <c r="Q407" s="131">
        <f>SUM(Q405:Q406)</f>
        <v>2374708</v>
      </c>
      <c r="R407" s="131">
        <f>SUM(R405:R406)</f>
        <v>0</v>
      </c>
      <c r="S407" s="257"/>
      <c r="T407" s="131">
        <f>SUM(T405:T406)</f>
        <v>9075</v>
      </c>
      <c r="U407" s="131">
        <f>SUM(U405:U406)</f>
        <v>0</v>
      </c>
      <c r="V407" s="273"/>
      <c r="W407" s="131">
        <f>HLOOKUP($W$9,'ROR-Model'!$Q$10:$U$1263,Y407)</f>
        <v>2374708</v>
      </c>
      <c r="X407" s="118"/>
      <c r="Y407" s="577">
        <f t="shared" si="22"/>
        <v>398</v>
      </c>
      <c r="AA407" s="131">
        <v>2374708</v>
      </c>
      <c r="AB407" s="116">
        <f t="shared" si="23"/>
        <v>0</v>
      </c>
    </row>
    <row r="408" spans="1:28">
      <c r="A408" s="134"/>
      <c r="B408" s="106"/>
      <c r="C408" s="106"/>
      <c r="D408" s="10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272"/>
      <c r="P408" s="207"/>
      <c r="Q408" s="116"/>
      <c r="R408" s="116"/>
      <c r="S408" s="240"/>
      <c r="T408" s="116"/>
      <c r="U408" s="116"/>
      <c r="V408" s="273"/>
      <c r="W408" s="116"/>
      <c r="X408" s="118"/>
      <c r="Y408" s="577">
        <f t="shared" si="22"/>
        <v>399</v>
      </c>
      <c r="AA408" s="116"/>
      <c r="AB408" s="116">
        <f t="shared" si="23"/>
        <v>0</v>
      </c>
    </row>
    <row r="409" spans="1:28">
      <c r="A409" s="134" t="s">
        <v>412</v>
      </c>
      <c r="B409" s="106" t="s">
        <v>318</v>
      </c>
      <c r="C409" s="106"/>
      <c r="D409" s="10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272"/>
      <c r="P409" s="207"/>
      <c r="Q409" s="116"/>
      <c r="R409" s="116"/>
      <c r="S409" s="240"/>
      <c r="T409" s="116"/>
      <c r="U409" s="116"/>
      <c r="V409" s="273"/>
      <c r="W409" s="116"/>
      <c r="X409" s="118"/>
      <c r="Y409" s="577">
        <f t="shared" si="22"/>
        <v>400</v>
      </c>
      <c r="AA409" s="116"/>
      <c r="AB409" s="116">
        <f t="shared" si="23"/>
        <v>0</v>
      </c>
    </row>
    <row r="410" spans="1:28">
      <c r="A410" s="134"/>
      <c r="B410" s="106"/>
      <c r="C410" s="106" t="s">
        <v>14</v>
      </c>
      <c r="D410" s="106"/>
      <c r="E410" s="116" t="s">
        <v>560</v>
      </c>
      <c r="F410" s="116">
        <f>'Other Rev'!$H$45</f>
        <v>0</v>
      </c>
      <c r="G410" s="116">
        <f>+Adjustments!AW410</f>
        <v>0</v>
      </c>
      <c r="H410" s="116"/>
      <c r="I410" s="116">
        <f>SUM($F$410:$H$410)</f>
        <v>0</v>
      </c>
      <c r="J410" s="116"/>
      <c r="K410" s="116"/>
      <c r="L410" s="116" t="s">
        <v>14</v>
      </c>
      <c r="M410" s="116">
        <f>VLOOKUP($L410,$L$2:$N$7,2,FALSE)*I410</f>
        <v>0</v>
      </c>
      <c r="N410" s="116">
        <f>VLOOKUP($L410,$L$2:$N$7,3,FALSE)*I410</f>
        <v>0</v>
      </c>
      <c r="O410" s="272"/>
      <c r="P410" s="207" t="s">
        <v>560</v>
      </c>
      <c r="Q410" s="116">
        <f>IF(P410="G",M410,IF(P410="PT",0,ERR))</f>
        <v>0</v>
      </c>
      <c r="R410" s="116">
        <f>IF(P410="PT",M410,IF(P410="G",0,ERR))</f>
        <v>0</v>
      </c>
      <c r="S410" s="240" t="s">
        <v>560</v>
      </c>
      <c r="T410" s="116">
        <f>IF(S410="G",N410,IF(S410="PT",0,ERR))</f>
        <v>0</v>
      </c>
      <c r="U410" s="116">
        <f>IF(S410="PT",N410,IF(S410="G",0,ERR))</f>
        <v>0</v>
      </c>
      <c r="V410" s="273"/>
      <c r="W410" s="116">
        <f>HLOOKUP($W$9,'ROR-Model'!$Q$10:$U$1263,Y410)</f>
        <v>0</v>
      </c>
      <c r="X410" s="118"/>
      <c r="Y410" s="577">
        <f t="shared" si="22"/>
        <v>401</v>
      </c>
      <c r="AA410" s="116">
        <v>0</v>
      </c>
      <c r="AB410" s="116">
        <f t="shared" si="23"/>
        <v>0</v>
      </c>
    </row>
    <row r="411" spans="1:28">
      <c r="A411" s="134"/>
      <c r="B411" s="106"/>
      <c r="C411" s="106" t="s">
        <v>24</v>
      </c>
      <c r="D411" s="106"/>
      <c r="E411" s="116" t="s">
        <v>560</v>
      </c>
      <c r="F411" s="116">
        <f>'Other Rev'!$H$46</f>
        <v>0</v>
      </c>
      <c r="G411" s="116">
        <f>+Adjustments!AW411</f>
        <v>0</v>
      </c>
      <c r="H411" s="116"/>
      <c r="I411" s="116">
        <f>SUM($F$411:$H$411)</f>
        <v>0</v>
      </c>
      <c r="J411" s="116"/>
      <c r="K411" s="116"/>
      <c r="L411" s="116" t="s">
        <v>24</v>
      </c>
      <c r="M411" s="116">
        <f>VLOOKUP($L411,$L$2:$N$7,2,FALSE)*I411</f>
        <v>0</v>
      </c>
      <c r="N411" s="116">
        <f>VLOOKUP($L411,$L$2:$N$7,3,FALSE)*I411</f>
        <v>0</v>
      </c>
      <c r="O411" s="272"/>
      <c r="P411" s="207" t="s">
        <v>560</v>
      </c>
      <c r="Q411" s="116">
        <f>IF(P411="G",M411,IF(P411="PT",0,ERR))</f>
        <v>0</v>
      </c>
      <c r="R411" s="116">
        <f>IF(P411="PT",M411,IF(P411="G",0,ERR))</f>
        <v>0</v>
      </c>
      <c r="S411" s="240" t="s">
        <v>560</v>
      </c>
      <c r="T411" s="116">
        <f>IF(S411="G",N411,IF(S411="PT",0,ERR))</f>
        <v>0</v>
      </c>
      <c r="U411" s="116">
        <f>IF(S411="PT",N411,IF(S411="G",0,ERR))</f>
        <v>0</v>
      </c>
      <c r="V411" s="273"/>
      <c r="W411" s="116">
        <f>HLOOKUP($W$9,'ROR-Model'!$Q$10:$U$1263,Y411)</f>
        <v>0</v>
      </c>
      <c r="X411" s="118"/>
      <c r="Y411" s="577">
        <f t="shared" si="22"/>
        <v>402</v>
      </c>
      <c r="AA411" s="116">
        <v>0</v>
      </c>
      <c r="AB411" s="116">
        <f t="shared" si="23"/>
        <v>0</v>
      </c>
    </row>
    <row r="412" spans="1:28">
      <c r="A412" s="134"/>
      <c r="B412" s="106"/>
      <c r="C412" s="106" t="s">
        <v>170</v>
      </c>
      <c r="D412" s="106"/>
      <c r="E412" s="131"/>
      <c r="F412" s="131">
        <f>SUM(F410:F411)</f>
        <v>0</v>
      </c>
      <c r="G412" s="131">
        <f>SUM(G410:G411)</f>
        <v>0</v>
      </c>
      <c r="H412" s="131">
        <f>SUM(H410:H411)</f>
        <v>0</v>
      </c>
      <c r="I412" s="131">
        <f>SUM(I410:I411)</f>
        <v>0</v>
      </c>
      <c r="J412" s="116"/>
      <c r="K412" s="116"/>
      <c r="L412" s="131"/>
      <c r="M412" s="131">
        <f>SUM(M410:M411)</f>
        <v>0</v>
      </c>
      <c r="N412" s="131">
        <f>SUM(N410:N411)</f>
        <v>0</v>
      </c>
      <c r="O412" s="272"/>
      <c r="P412" s="207"/>
      <c r="Q412" s="131">
        <f>SUM(Q410:Q411)</f>
        <v>0</v>
      </c>
      <c r="R412" s="131">
        <f>SUM(R410:R411)</f>
        <v>0</v>
      </c>
      <c r="S412" s="257"/>
      <c r="T412" s="131">
        <f>SUM(T410:T411)</f>
        <v>0</v>
      </c>
      <c r="U412" s="131">
        <f>SUM(U410:U411)</f>
        <v>0</v>
      </c>
      <c r="V412" s="273"/>
      <c r="W412" s="131">
        <f>HLOOKUP($W$9,'ROR-Model'!$Q$10:$U$1263,Y412)</f>
        <v>0</v>
      </c>
      <c r="X412" s="118"/>
      <c r="Y412" s="577">
        <f t="shared" si="22"/>
        <v>403</v>
      </c>
      <c r="AA412" s="131">
        <v>0</v>
      </c>
      <c r="AB412" s="116">
        <f t="shared" si="23"/>
        <v>0</v>
      </c>
    </row>
    <row r="413" spans="1:28">
      <c r="A413" s="134"/>
      <c r="B413" s="106"/>
      <c r="C413" s="106"/>
      <c r="D413" s="10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272"/>
      <c r="P413" s="207"/>
      <c r="Q413" s="116"/>
      <c r="R413" s="116"/>
      <c r="S413" s="240"/>
      <c r="T413" s="116"/>
      <c r="U413" s="116"/>
      <c r="V413" s="273"/>
      <c r="W413" s="116"/>
      <c r="X413" s="118"/>
      <c r="Y413" s="577">
        <f t="shared" si="22"/>
        <v>404</v>
      </c>
      <c r="AA413" s="116"/>
      <c r="AB413" s="116">
        <f t="shared" si="23"/>
        <v>0</v>
      </c>
    </row>
    <row r="414" spans="1:28">
      <c r="A414" s="134" t="s">
        <v>413</v>
      </c>
      <c r="B414" s="106" t="s">
        <v>319</v>
      </c>
      <c r="C414" s="106"/>
      <c r="D414" s="10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272"/>
      <c r="P414" s="207"/>
      <c r="Q414" s="116"/>
      <c r="R414" s="116"/>
      <c r="S414" s="240"/>
      <c r="T414" s="116"/>
      <c r="U414" s="116"/>
      <c r="V414" s="273"/>
      <c r="W414" s="116"/>
      <c r="X414" s="118"/>
      <c r="Y414" s="577">
        <f t="shared" si="22"/>
        <v>405</v>
      </c>
      <c r="AA414" s="116"/>
      <c r="AB414" s="116">
        <f t="shared" si="23"/>
        <v>0</v>
      </c>
    </row>
    <row r="415" spans="1:28">
      <c r="A415" s="134"/>
      <c r="B415" s="106"/>
      <c r="C415" s="106" t="s">
        <v>14</v>
      </c>
      <c r="D415" s="106"/>
      <c r="E415" s="116" t="s">
        <v>560</v>
      </c>
      <c r="F415" s="116">
        <f>'Other Rev'!$H$50</f>
        <v>245060</v>
      </c>
      <c r="G415" s="116">
        <f>+Adjustments!AW415</f>
        <v>0</v>
      </c>
      <c r="H415" s="116"/>
      <c r="I415" s="116">
        <f>SUM($F$415:$H$415)</f>
        <v>245060</v>
      </c>
      <c r="J415" s="116"/>
      <c r="K415" s="116"/>
      <c r="L415" s="116" t="s">
        <v>14</v>
      </c>
      <c r="M415" s="116">
        <f>VLOOKUP($L415,$L$2:$N$7,2,FALSE)*I415</f>
        <v>245060</v>
      </c>
      <c r="N415" s="116">
        <f>VLOOKUP($L415,$L$2:$N$7,3,FALSE)*I415</f>
        <v>0</v>
      </c>
      <c r="O415" s="272"/>
      <c r="P415" s="207" t="s">
        <v>560</v>
      </c>
      <c r="Q415" s="116">
        <f>IF(P415="G",M415,IF(P415="PT",0,ERR))</f>
        <v>245060</v>
      </c>
      <c r="R415" s="116">
        <f>IF(P415="PT",M415,IF(P415="G",0,ERR))</f>
        <v>0</v>
      </c>
      <c r="S415" s="240" t="s">
        <v>560</v>
      </c>
      <c r="T415" s="116">
        <f>IF(S415="G",N415,IF(S415="PT",0,ERR))</f>
        <v>0</v>
      </c>
      <c r="U415" s="116">
        <f>IF(S415="PT",N415,IF(S415="G",0,ERR))</f>
        <v>0</v>
      </c>
      <c r="V415" s="273"/>
      <c r="W415" s="116">
        <f>HLOOKUP($W$9,'ROR-Model'!$Q$10:$U$1263,Y415)</f>
        <v>245060</v>
      </c>
      <c r="X415" s="118"/>
      <c r="Y415" s="577">
        <f t="shared" si="22"/>
        <v>406</v>
      </c>
      <c r="AA415" s="116">
        <v>245060</v>
      </c>
      <c r="AB415" s="116">
        <f t="shared" si="23"/>
        <v>0</v>
      </c>
    </row>
    <row r="416" spans="1:28">
      <c r="A416" s="134"/>
      <c r="B416" s="106"/>
      <c r="C416" s="106" t="s">
        <v>24</v>
      </c>
      <c r="D416" s="106"/>
      <c r="E416" s="116" t="s">
        <v>560</v>
      </c>
      <c r="F416" s="116">
        <f>'Other Rev'!$H$51</f>
        <v>5040</v>
      </c>
      <c r="G416" s="116">
        <f>+Adjustments!AW416</f>
        <v>0</v>
      </c>
      <c r="H416" s="116"/>
      <c r="I416" s="116">
        <f>SUM($F$416:$H$416)</f>
        <v>5040</v>
      </c>
      <c r="J416" s="116"/>
      <c r="K416" s="116"/>
      <c r="L416" s="116" t="s">
        <v>24</v>
      </c>
      <c r="M416" s="116">
        <f>VLOOKUP($L416,$L$2:$N$7,2,FALSE)*I416</f>
        <v>0</v>
      </c>
      <c r="N416" s="116">
        <f>VLOOKUP($L416,$L$2:$N$7,3,FALSE)*I416</f>
        <v>5040</v>
      </c>
      <c r="O416" s="272"/>
      <c r="P416" s="207" t="s">
        <v>560</v>
      </c>
      <c r="Q416" s="116">
        <f>IF(P416="G",M416,IF(P416="PT",0,ERR))</f>
        <v>0</v>
      </c>
      <c r="R416" s="116">
        <f>IF(P416="PT",M416,IF(P416="G",0,ERR))</f>
        <v>0</v>
      </c>
      <c r="S416" s="240" t="s">
        <v>560</v>
      </c>
      <c r="T416" s="116">
        <f>IF(S416="G",N416,IF(S416="PT",0,ERR))</f>
        <v>5040</v>
      </c>
      <c r="U416" s="116">
        <f>IF(S416="PT",N416,IF(S416="G",0,ERR))</f>
        <v>0</v>
      </c>
      <c r="V416" s="273"/>
      <c r="W416" s="116">
        <f>HLOOKUP($W$9,'ROR-Model'!$Q$10:$U$1263,Y416)</f>
        <v>0</v>
      </c>
      <c r="X416" s="118"/>
      <c r="Y416" s="577">
        <f t="shared" si="22"/>
        <v>407</v>
      </c>
      <c r="AA416" s="116">
        <v>0</v>
      </c>
      <c r="AB416" s="116">
        <f t="shared" si="23"/>
        <v>0</v>
      </c>
    </row>
    <row r="417" spans="1:28">
      <c r="A417" s="134"/>
      <c r="B417" s="106"/>
      <c r="C417" s="106" t="s">
        <v>170</v>
      </c>
      <c r="D417" s="106"/>
      <c r="E417" s="131"/>
      <c r="F417" s="131">
        <f>SUM(F415:F416)</f>
        <v>250100</v>
      </c>
      <c r="G417" s="131">
        <f>SUM(G415:G416)</f>
        <v>0</v>
      </c>
      <c r="H417" s="131">
        <f>SUM(H415:H416)</f>
        <v>0</v>
      </c>
      <c r="I417" s="131">
        <f>SUM(I415:I416)</f>
        <v>250100</v>
      </c>
      <c r="J417" s="116"/>
      <c r="K417" s="116"/>
      <c r="L417" s="131"/>
      <c r="M417" s="131">
        <f>SUM(M415:M416)</f>
        <v>245060</v>
      </c>
      <c r="N417" s="131">
        <f>SUM(N415:N416)</f>
        <v>5040</v>
      </c>
      <c r="O417" s="272"/>
      <c r="P417" s="207"/>
      <c r="Q417" s="131">
        <f>SUM(Q415:Q416)</f>
        <v>245060</v>
      </c>
      <c r="R417" s="131">
        <f>SUM(R415:R416)</f>
        <v>0</v>
      </c>
      <c r="S417" s="257"/>
      <c r="T417" s="131">
        <f>SUM(T415:T416)</f>
        <v>5040</v>
      </c>
      <c r="U417" s="131">
        <f>SUM(U415:U416)</f>
        <v>0</v>
      </c>
      <c r="V417" s="273"/>
      <c r="W417" s="131">
        <f>HLOOKUP($W$9,'ROR-Model'!$Q$10:$U$1263,Y417)</f>
        <v>245060</v>
      </c>
      <c r="X417" s="118"/>
      <c r="Y417" s="577">
        <f t="shared" si="22"/>
        <v>408</v>
      </c>
      <c r="AA417" s="131">
        <v>245060</v>
      </c>
      <c r="AB417" s="116">
        <f t="shared" si="23"/>
        <v>0</v>
      </c>
    </row>
    <row r="418" spans="1:28">
      <c r="A418" s="134"/>
      <c r="B418" s="106"/>
      <c r="C418" s="106"/>
      <c r="D418" s="10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272"/>
      <c r="P418" s="207"/>
      <c r="Q418" s="116"/>
      <c r="R418" s="116"/>
      <c r="S418" s="240"/>
      <c r="T418" s="116"/>
      <c r="U418" s="116"/>
      <c r="V418" s="273"/>
      <c r="W418" s="116"/>
      <c r="X418" s="118"/>
      <c r="Y418" s="577">
        <f t="shared" si="22"/>
        <v>409</v>
      </c>
      <c r="AA418" s="116"/>
      <c r="AB418" s="116">
        <f t="shared" si="23"/>
        <v>0</v>
      </c>
    </row>
    <row r="419" spans="1:28">
      <c r="A419" s="134" t="s">
        <v>414</v>
      </c>
      <c r="B419" s="106" t="s">
        <v>415</v>
      </c>
      <c r="C419" s="106"/>
      <c r="D419" s="10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272"/>
      <c r="P419" s="207"/>
      <c r="Q419" s="116"/>
      <c r="R419" s="116"/>
      <c r="S419" s="240"/>
      <c r="T419" s="116"/>
      <c r="U419" s="116"/>
      <c r="V419" s="273"/>
      <c r="W419" s="116"/>
      <c r="X419" s="118"/>
      <c r="Y419" s="577">
        <f t="shared" si="22"/>
        <v>410</v>
      </c>
      <c r="AA419" s="116"/>
      <c r="AB419" s="116">
        <f t="shared" si="23"/>
        <v>0</v>
      </c>
    </row>
    <row r="420" spans="1:28">
      <c r="A420" s="134"/>
      <c r="B420" s="106"/>
      <c r="C420" s="106" t="s">
        <v>14</v>
      </c>
      <c r="D420" s="106"/>
      <c r="E420" s="116" t="s">
        <v>560</v>
      </c>
      <c r="F420" s="116">
        <f>'Other Rev'!$H$55</f>
        <v>0</v>
      </c>
      <c r="G420" s="116">
        <f>+Adjustments!AW420</f>
        <v>0</v>
      </c>
      <c r="H420" s="116"/>
      <c r="I420" s="116">
        <f>SUM($F$420:$H$420)</f>
        <v>0</v>
      </c>
      <c r="J420" s="116"/>
      <c r="K420" s="116"/>
      <c r="L420" s="116" t="s">
        <v>14</v>
      </c>
      <c r="M420" s="116">
        <f>VLOOKUP($L420,$L$2:$N$7,2,FALSE)*I420</f>
        <v>0</v>
      </c>
      <c r="N420" s="116">
        <f>VLOOKUP($L420,$L$2:$N$7,3,FALSE)*I420</f>
        <v>0</v>
      </c>
      <c r="O420" s="272"/>
      <c r="P420" s="207" t="s">
        <v>560</v>
      </c>
      <c r="Q420" s="116">
        <f>IF(P420="G",M420,IF(P420="PT",0,ERR))</f>
        <v>0</v>
      </c>
      <c r="R420" s="116">
        <f>IF(P420="PT",M420,IF(P420="G",0,ERR))</f>
        <v>0</v>
      </c>
      <c r="S420" s="240" t="s">
        <v>560</v>
      </c>
      <c r="T420" s="116">
        <f>IF(S420="G",N420,IF(S420="PT",0,ERR))</f>
        <v>0</v>
      </c>
      <c r="U420" s="116">
        <f>IF(S420="PT",N420,IF(S420="G",0,ERR))</f>
        <v>0</v>
      </c>
      <c r="V420" s="273"/>
      <c r="W420" s="116">
        <f>HLOOKUP($W$9,'ROR-Model'!$Q$10:$U$1263,Y420)</f>
        <v>0</v>
      </c>
      <c r="X420" s="118"/>
      <c r="Y420" s="577">
        <f t="shared" si="22"/>
        <v>411</v>
      </c>
      <c r="AA420" s="116">
        <v>0</v>
      </c>
      <c r="AB420" s="116">
        <f t="shared" si="23"/>
        <v>0</v>
      </c>
    </row>
    <row r="421" spans="1:28">
      <c r="A421" s="134"/>
      <c r="B421" s="106"/>
      <c r="C421" s="106" t="s">
        <v>24</v>
      </c>
      <c r="D421" s="106"/>
      <c r="E421" s="116" t="s">
        <v>560</v>
      </c>
      <c r="F421" s="116">
        <f>'Other Rev'!$H$56</f>
        <v>0</v>
      </c>
      <c r="G421" s="116">
        <f>+Adjustments!AW421</f>
        <v>0</v>
      </c>
      <c r="H421" s="116"/>
      <c r="I421" s="116">
        <f>SUM($F$421:$H$421)</f>
        <v>0</v>
      </c>
      <c r="J421" s="116"/>
      <c r="K421" s="116"/>
      <c r="L421" s="116" t="s">
        <v>24</v>
      </c>
      <c r="M421" s="116">
        <f>VLOOKUP($L421,$L$2:$N$7,2,FALSE)*I421</f>
        <v>0</v>
      </c>
      <c r="N421" s="116">
        <f>VLOOKUP($L421,$L$2:$N$7,3,FALSE)*I421</f>
        <v>0</v>
      </c>
      <c r="O421" s="272"/>
      <c r="P421" s="207" t="s">
        <v>560</v>
      </c>
      <c r="Q421" s="116">
        <f>IF(P421="G",M421,IF(P421="PT",0,ERR))</f>
        <v>0</v>
      </c>
      <c r="R421" s="116">
        <f>IF(P421="PT",M421,IF(P421="G",0,ERR))</f>
        <v>0</v>
      </c>
      <c r="S421" s="240" t="s">
        <v>560</v>
      </c>
      <c r="T421" s="116">
        <f>IF(S421="G",N421,IF(S421="PT",0,ERR))</f>
        <v>0</v>
      </c>
      <c r="U421" s="116">
        <f>IF(S421="PT",N421,IF(S421="G",0,ERR))</f>
        <v>0</v>
      </c>
      <c r="V421" s="273"/>
      <c r="W421" s="116">
        <f>HLOOKUP($W$9,'ROR-Model'!$Q$10:$U$1263,Y421)</f>
        <v>0</v>
      </c>
      <c r="X421" s="118"/>
      <c r="Y421" s="577">
        <f t="shared" si="22"/>
        <v>412</v>
      </c>
      <c r="AA421" s="116">
        <v>0</v>
      </c>
      <c r="AB421" s="116">
        <f t="shared" si="23"/>
        <v>0</v>
      </c>
    </row>
    <row r="422" spans="1:28">
      <c r="A422" s="134"/>
      <c r="B422" s="106"/>
      <c r="C422" s="106" t="s">
        <v>170</v>
      </c>
      <c r="D422" s="106"/>
      <c r="E422" s="131"/>
      <c r="F422" s="131">
        <f>SUM(F420:F421)</f>
        <v>0</v>
      </c>
      <c r="G422" s="131">
        <f>SUM(G420:G421)</f>
        <v>0</v>
      </c>
      <c r="H422" s="131">
        <f>SUM(H420:H421)</f>
        <v>0</v>
      </c>
      <c r="I422" s="131">
        <f>SUM(I420:I421)</f>
        <v>0</v>
      </c>
      <c r="J422" s="116"/>
      <c r="K422" s="116"/>
      <c r="L422" s="131"/>
      <c r="M422" s="131">
        <f>SUM(M420:M421)</f>
        <v>0</v>
      </c>
      <c r="N422" s="131">
        <f>SUM(N420:N421)</f>
        <v>0</v>
      </c>
      <c r="O422" s="272"/>
      <c r="P422" s="207"/>
      <c r="Q422" s="131">
        <f>SUM(Q420:Q421)</f>
        <v>0</v>
      </c>
      <c r="R422" s="131">
        <f>SUM(R420:R421)</f>
        <v>0</v>
      </c>
      <c r="S422" s="257"/>
      <c r="T422" s="131">
        <f>SUM(T420:T421)</f>
        <v>0</v>
      </c>
      <c r="U422" s="131">
        <f>SUM(U420:U421)</f>
        <v>0</v>
      </c>
      <c r="V422" s="273"/>
      <c r="W422" s="131">
        <f>HLOOKUP($W$9,'ROR-Model'!$Q$10:$U$1263,Y422)</f>
        <v>0</v>
      </c>
      <c r="X422" s="118"/>
      <c r="Y422" s="577">
        <f t="shared" si="22"/>
        <v>413</v>
      </c>
      <c r="AA422" s="131">
        <v>0</v>
      </c>
      <c r="AB422" s="116">
        <f t="shared" si="23"/>
        <v>0</v>
      </c>
    </row>
    <row r="423" spans="1:28">
      <c r="A423" s="134"/>
      <c r="B423" s="106"/>
      <c r="C423" s="106"/>
      <c r="D423" s="10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272"/>
      <c r="P423" s="207"/>
      <c r="Q423" s="116"/>
      <c r="R423" s="116"/>
      <c r="S423" s="240"/>
      <c r="T423" s="116"/>
      <c r="U423" s="116"/>
      <c r="V423" s="273"/>
      <c r="W423" s="116"/>
      <c r="X423" s="118"/>
      <c r="Y423" s="577">
        <f t="shared" si="22"/>
        <v>414</v>
      </c>
      <c r="AA423" s="116"/>
      <c r="AB423" s="116">
        <f t="shared" si="23"/>
        <v>0</v>
      </c>
    </row>
    <row r="424" spans="1:28">
      <c r="A424" s="134" t="s">
        <v>416</v>
      </c>
      <c r="B424" s="106" t="s">
        <v>320</v>
      </c>
      <c r="C424" s="106"/>
      <c r="D424" s="10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272"/>
      <c r="P424" s="207"/>
      <c r="Q424" s="116"/>
      <c r="R424" s="116"/>
      <c r="S424" s="240"/>
      <c r="T424" s="116"/>
      <c r="U424" s="116"/>
      <c r="V424" s="273"/>
      <c r="W424" s="116"/>
      <c r="X424" s="118"/>
      <c r="Y424" s="577">
        <f t="shared" si="22"/>
        <v>415</v>
      </c>
      <c r="AA424" s="116"/>
      <c r="AB424" s="116">
        <f t="shared" si="23"/>
        <v>0</v>
      </c>
    </row>
    <row r="425" spans="1:28">
      <c r="A425" s="134"/>
      <c r="B425" s="106"/>
      <c r="C425" s="106" t="s">
        <v>14</v>
      </c>
      <c r="D425" s="106"/>
      <c r="E425" s="116" t="s">
        <v>560</v>
      </c>
      <c r="F425" s="116">
        <f>'Other Rev'!$H$60</f>
        <v>0</v>
      </c>
      <c r="G425" s="116">
        <f>+Adjustments!AW425</f>
        <v>0</v>
      </c>
      <c r="H425" s="116"/>
      <c r="I425" s="116">
        <f>SUM($F$425:$H$425)</f>
        <v>0</v>
      </c>
      <c r="J425" s="116"/>
      <c r="K425" s="116"/>
      <c r="L425" s="116" t="s">
        <v>14</v>
      </c>
      <c r="M425" s="116">
        <f>VLOOKUP($L425,$L$2:$N$7,2,FALSE)*I425</f>
        <v>0</v>
      </c>
      <c r="N425" s="116">
        <f>VLOOKUP($L425,$L$2:$N$7,3,FALSE)*I425</f>
        <v>0</v>
      </c>
      <c r="O425" s="272"/>
      <c r="P425" s="207" t="s">
        <v>560</v>
      </c>
      <c r="Q425" s="116">
        <f>IF(P425="G",M425,IF(P425="PT",0,ERR))</f>
        <v>0</v>
      </c>
      <c r="R425" s="116">
        <f>IF(P425="PT",M425,IF(P425="G",0,ERR))</f>
        <v>0</v>
      </c>
      <c r="S425" s="240" t="s">
        <v>560</v>
      </c>
      <c r="T425" s="116">
        <f>IF(S425="G",N425,IF(S425="PT",0,ERR))</f>
        <v>0</v>
      </c>
      <c r="U425" s="116">
        <f>IF(S425="PT",N425,IF(S425="G",0,ERR))</f>
        <v>0</v>
      </c>
      <c r="V425" s="273"/>
      <c r="W425" s="116">
        <f>HLOOKUP($W$9,'ROR-Model'!$Q$10:$U$1263,Y425)</f>
        <v>0</v>
      </c>
      <c r="X425" s="118"/>
      <c r="Y425" s="577">
        <f t="shared" si="22"/>
        <v>416</v>
      </c>
      <c r="AA425" s="116">
        <v>0</v>
      </c>
      <c r="AB425" s="116">
        <f t="shared" si="23"/>
        <v>0</v>
      </c>
    </row>
    <row r="426" spans="1:28">
      <c r="A426" s="134"/>
      <c r="B426" s="106"/>
      <c r="C426" s="106" t="s">
        <v>24</v>
      </c>
      <c r="D426" s="106"/>
      <c r="E426" s="116" t="s">
        <v>560</v>
      </c>
      <c r="F426" s="116">
        <f>'Other Rev'!$H$61</f>
        <v>0</v>
      </c>
      <c r="G426" s="116">
        <f>+Adjustments!AW426</f>
        <v>0</v>
      </c>
      <c r="H426" s="116"/>
      <c r="I426" s="116">
        <f>SUM($F$426:$H$426)</f>
        <v>0</v>
      </c>
      <c r="J426" s="116"/>
      <c r="K426" s="116"/>
      <c r="L426" s="116" t="s">
        <v>24</v>
      </c>
      <c r="M426" s="116">
        <f>VLOOKUP($L426,$L$2:$N$7,2,FALSE)*I426</f>
        <v>0</v>
      </c>
      <c r="N426" s="116">
        <f>VLOOKUP($L426,$L$2:$N$7,3,FALSE)*I426</f>
        <v>0</v>
      </c>
      <c r="O426" s="272"/>
      <c r="P426" s="207" t="s">
        <v>560</v>
      </c>
      <c r="Q426" s="116">
        <f>IF(P426="G",M426,IF(P426="PT",0,ERR))</f>
        <v>0</v>
      </c>
      <c r="R426" s="116">
        <f>IF(P426="PT",M426,IF(P426="G",0,ERR))</f>
        <v>0</v>
      </c>
      <c r="S426" s="240" t="s">
        <v>560</v>
      </c>
      <c r="T426" s="116">
        <f>IF(S426="G",N426,IF(S426="PT",0,ERR))</f>
        <v>0</v>
      </c>
      <c r="U426" s="116">
        <f>IF(S426="PT",N426,IF(S426="G",0,ERR))</f>
        <v>0</v>
      </c>
      <c r="V426" s="273"/>
      <c r="W426" s="116">
        <f>HLOOKUP($W$9,'ROR-Model'!$Q$10:$U$1263,Y426)</f>
        <v>0</v>
      </c>
      <c r="X426" s="118"/>
      <c r="Y426" s="577">
        <f t="shared" si="22"/>
        <v>417</v>
      </c>
      <c r="AA426" s="116">
        <v>0</v>
      </c>
      <c r="AB426" s="116">
        <f t="shared" si="23"/>
        <v>0</v>
      </c>
    </row>
    <row r="427" spans="1:28">
      <c r="A427" s="134"/>
      <c r="B427" s="106"/>
      <c r="C427" s="106" t="s">
        <v>170</v>
      </c>
      <c r="D427" s="106"/>
      <c r="E427" s="131"/>
      <c r="F427" s="131">
        <f>SUM(F425:F426)</f>
        <v>0</v>
      </c>
      <c r="G427" s="131">
        <f>SUM(G425:G426)</f>
        <v>0</v>
      </c>
      <c r="H427" s="131">
        <f>SUM(H425:H426)</f>
        <v>0</v>
      </c>
      <c r="I427" s="131">
        <f>SUM(I425:I426)</f>
        <v>0</v>
      </c>
      <c r="J427" s="116"/>
      <c r="K427" s="116"/>
      <c r="L427" s="131"/>
      <c r="M427" s="131">
        <f>SUM(M425:M426)</f>
        <v>0</v>
      </c>
      <c r="N427" s="131">
        <f>SUM(N425:N426)</f>
        <v>0</v>
      </c>
      <c r="O427" s="272"/>
      <c r="P427" s="207"/>
      <c r="Q427" s="131">
        <f>SUM(Q425:Q426)</f>
        <v>0</v>
      </c>
      <c r="R427" s="131">
        <f>SUM(R425:R426)</f>
        <v>0</v>
      </c>
      <c r="S427" s="257"/>
      <c r="T427" s="131">
        <f>SUM(T425:T426)</f>
        <v>0</v>
      </c>
      <c r="U427" s="131">
        <f>SUM(U425:U426)</f>
        <v>0</v>
      </c>
      <c r="V427" s="273"/>
      <c r="W427" s="131">
        <f>HLOOKUP($W$9,'ROR-Model'!$Q$10:$U$1263,Y427)</f>
        <v>0</v>
      </c>
      <c r="X427" s="118"/>
      <c r="Y427" s="577">
        <f t="shared" si="22"/>
        <v>418</v>
      </c>
      <c r="AA427" s="131">
        <v>0</v>
      </c>
      <c r="AB427" s="116">
        <f t="shared" si="23"/>
        <v>0</v>
      </c>
    </row>
    <row r="428" spans="1:28">
      <c r="A428" s="134"/>
      <c r="B428" s="106"/>
      <c r="C428" s="106"/>
      <c r="D428" s="10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272"/>
      <c r="P428" s="207"/>
      <c r="Q428" s="116"/>
      <c r="R428" s="116"/>
      <c r="S428" s="240"/>
      <c r="T428" s="116"/>
      <c r="U428" s="116"/>
      <c r="V428" s="273"/>
      <c r="W428" s="116"/>
      <c r="X428" s="118"/>
      <c r="Y428" s="577">
        <f t="shared" si="22"/>
        <v>419</v>
      </c>
      <c r="AA428" s="116"/>
      <c r="AB428" s="116">
        <f t="shared" si="23"/>
        <v>0</v>
      </c>
    </row>
    <row r="429" spans="1:28">
      <c r="A429" s="135" t="s">
        <v>417</v>
      </c>
      <c r="B429" s="106" t="s">
        <v>321</v>
      </c>
      <c r="C429" s="106"/>
      <c r="D429" s="10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272"/>
      <c r="P429" s="207"/>
      <c r="Q429" s="116"/>
      <c r="R429" s="116"/>
      <c r="S429" s="240"/>
      <c r="T429" s="116"/>
      <c r="U429" s="116"/>
      <c r="V429" s="273"/>
      <c r="W429" s="116"/>
      <c r="X429" s="118"/>
      <c r="Y429" s="577">
        <f t="shared" si="22"/>
        <v>420</v>
      </c>
      <c r="AA429" s="116"/>
      <c r="AB429" s="116">
        <f t="shared" si="23"/>
        <v>0</v>
      </c>
    </row>
    <row r="430" spans="1:28">
      <c r="A430" s="134"/>
      <c r="B430" s="106"/>
      <c r="C430" s="106" t="s">
        <v>14</v>
      </c>
      <c r="D430" s="106"/>
      <c r="E430" s="116" t="s">
        <v>560</v>
      </c>
      <c r="F430" s="116">
        <f>'Other Rev'!$H$65</f>
        <v>0</v>
      </c>
      <c r="G430" s="116">
        <f>+Adjustments!AW430</f>
        <v>0</v>
      </c>
      <c r="H430" s="116"/>
      <c r="I430" s="116">
        <f>SUM($F$430:$H$430)</f>
        <v>0</v>
      </c>
      <c r="J430" s="116"/>
      <c r="K430" s="116"/>
      <c r="L430" s="116" t="s">
        <v>14</v>
      </c>
      <c r="M430" s="116">
        <f>VLOOKUP($L430,$L$2:$N$7,2,FALSE)*I430</f>
        <v>0</v>
      </c>
      <c r="N430" s="116">
        <f>VLOOKUP($L430,$L$2:$N$7,3,FALSE)*I430</f>
        <v>0</v>
      </c>
      <c r="O430" s="272"/>
      <c r="P430" s="207" t="s">
        <v>560</v>
      </c>
      <c r="Q430" s="116">
        <f>IF(P430="G",M430,IF(P430="PT",0,ERR))</f>
        <v>0</v>
      </c>
      <c r="R430" s="116">
        <f>IF(P430="PT",M430,IF(P430="G",0,ERR))</f>
        <v>0</v>
      </c>
      <c r="S430" s="240" t="s">
        <v>560</v>
      </c>
      <c r="T430" s="116">
        <f>IF(S430="G",N430,IF(S430="PT",0,ERR))</f>
        <v>0</v>
      </c>
      <c r="U430" s="116">
        <f>IF(S430="PT",N430,IF(S430="G",0,ERR))</f>
        <v>0</v>
      </c>
      <c r="V430" s="273"/>
      <c r="W430" s="116">
        <f>HLOOKUP($W$9,'ROR-Model'!$Q$10:$U$1263,Y430)</f>
        <v>0</v>
      </c>
      <c r="X430" s="118"/>
      <c r="Y430" s="577">
        <f t="shared" si="22"/>
        <v>421</v>
      </c>
      <c r="AA430" s="116">
        <v>0</v>
      </c>
      <c r="AB430" s="116">
        <f t="shared" si="23"/>
        <v>0</v>
      </c>
    </row>
    <row r="431" spans="1:28">
      <c r="A431" s="134"/>
      <c r="B431" s="106"/>
      <c r="C431" s="106" t="s">
        <v>24</v>
      </c>
      <c r="D431" s="106"/>
      <c r="E431" s="116" t="s">
        <v>560</v>
      </c>
      <c r="F431" s="116">
        <f>'Other Rev'!$H$66</f>
        <v>0</v>
      </c>
      <c r="G431" s="116">
        <f>+Adjustments!AW431</f>
        <v>0</v>
      </c>
      <c r="H431" s="116"/>
      <c r="I431" s="116">
        <f>SUM($F$431:$H$431)</f>
        <v>0</v>
      </c>
      <c r="J431" s="116"/>
      <c r="K431" s="116"/>
      <c r="L431" s="116" t="s">
        <v>24</v>
      </c>
      <c r="M431" s="116">
        <f>VLOOKUP($L431,$L$2:$N$7,2,FALSE)*I431</f>
        <v>0</v>
      </c>
      <c r="N431" s="116">
        <f>VLOOKUP($L431,$L$2:$N$7,3,FALSE)*I431</f>
        <v>0</v>
      </c>
      <c r="O431" s="272"/>
      <c r="P431" s="207" t="s">
        <v>560</v>
      </c>
      <c r="Q431" s="116">
        <f>IF(P431="G",M431,IF(P431="PT",0,ERR))</f>
        <v>0</v>
      </c>
      <c r="R431" s="116">
        <f>IF(P431="PT",M431,IF(P431="G",0,ERR))</f>
        <v>0</v>
      </c>
      <c r="S431" s="240" t="s">
        <v>560</v>
      </c>
      <c r="T431" s="116">
        <f>IF(S431="G",N431,IF(S431="PT",0,ERR))</f>
        <v>0</v>
      </c>
      <c r="U431" s="116">
        <f>IF(S431="PT",N431,IF(S431="G",0,ERR))</f>
        <v>0</v>
      </c>
      <c r="V431" s="273"/>
      <c r="W431" s="116">
        <f>HLOOKUP($W$9,'ROR-Model'!$Q$10:$U$1263,Y431)</f>
        <v>0</v>
      </c>
      <c r="X431" s="118"/>
      <c r="Y431" s="577">
        <f t="shared" si="22"/>
        <v>422</v>
      </c>
      <c r="AA431" s="116">
        <v>0</v>
      </c>
      <c r="AB431" s="116">
        <f t="shared" si="23"/>
        <v>0</v>
      </c>
    </row>
    <row r="432" spans="1:28">
      <c r="A432" s="134"/>
      <c r="B432" s="106"/>
      <c r="C432" s="106" t="s">
        <v>170</v>
      </c>
      <c r="D432" s="106"/>
      <c r="E432" s="131"/>
      <c r="F432" s="131">
        <f>SUM(F430:F431)</f>
        <v>0</v>
      </c>
      <c r="G432" s="131">
        <f>SUM(G430:G431)</f>
        <v>0</v>
      </c>
      <c r="H432" s="131">
        <f>SUM(H430:H431)</f>
        <v>0</v>
      </c>
      <c r="I432" s="131">
        <f>SUM(I430:I431)</f>
        <v>0</v>
      </c>
      <c r="J432" s="116"/>
      <c r="K432" s="116"/>
      <c r="L432" s="131"/>
      <c r="M432" s="131">
        <f>SUM(M430:M431)</f>
        <v>0</v>
      </c>
      <c r="N432" s="131">
        <f>SUM(N430:N431)</f>
        <v>0</v>
      </c>
      <c r="O432" s="272"/>
      <c r="P432" s="207"/>
      <c r="Q432" s="131">
        <f>SUM(Q430:Q431)</f>
        <v>0</v>
      </c>
      <c r="R432" s="131">
        <f>SUM(R430:R431)</f>
        <v>0</v>
      </c>
      <c r="S432" s="257"/>
      <c r="T432" s="131">
        <f>SUM(T430:T431)</f>
        <v>0</v>
      </c>
      <c r="U432" s="131">
        <f>SUM(U430:U431)</f>
        <v>0</v>
      </c>
      <c r="V432" s="273"/>
      <c r="W432" s="131">
        <f>HLOOKUP($W$9,'ROR-Model'!$Q$10:$U$1263,Y432)</f>
        <v>0</v>
      </c>
      <c r="X432" s="118"/>
      <c r="Y432" s="577">
        <f t="shared" si="22"/>
        <v>423</v>
      </c>
      <c r="AA432" s="131">
        <v>0</v>
      </c>
      <c r="AB432" s="116">
        <f t="shared" si="23"/>
        <v>0</v>
      </c>
    </row>
    <row r="433" spans="1:28">
      <c r="A433" s="134"/>
      <c r="B433" s="106"/>
      <c r="C433" s="106"/>
      <c r="D433" s="10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272"/>
      <c r="P433" s="207"/>
      <c r="Q433" s="116"/>
      <c r="R433" s="116"/>
      <c r="S433" s="240"/>
      <c r="T433" s="116"/>
      <c r="U433" s="116"/>
      <c r="V433" s="273"/>
      <c r="W433" s="116"/>
      <c r="X433" s="118"/>
      <c r="Y433" s="577">
        <f t="shared" si="22"/>
        <v>424</v>
      </c>
      <c r="AA433" s="116"/>
      <c r="AB433" s="116">
        <f t="shared" si="23"/>
        <v>0</v>
      </c>
    </row>
    <row r="434" spans="1:28">
      <c r="A434" s="134" t="s">
        <v>418</v>
      </c>
      <c r="B434" s="106" t="s">
        <v>323</v>
      </c>
      <c r="C434" s="106"/>
      <c r="D434" s="10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272"/>
      <c r="P434" s="207"/>
      <c r="Q434" s="116"/>
      <c r="R434" s="116"/>
      <c r="S434" s="240"/>
      <c r="T434" s="116"/>
      <c r="U434" s="116"/>
      <c r="V434" s="273"/>
      <c r="W434" s="116"/>
      <c r="X434" s="118"/>
      <c r="Y434" s="577">
        <f t="shared" si="22"/>
        <v>425</v>
      </c>
      <c r="AA434" s="116"/>
      <c r="AB434" s="116">
        <f t="shared" si="23"/>
        <v>0</v>
      </c>
    </row>
    <row r="435" spans="1:28">
      <c r="A435" s="134"/>
      <c r="B435" s="106"/>
      <c r="C435" s="106" t="s">
        <v>14</v>
      </c>
      <c r="D435" s="106"/>
      <c r="E435" s="116" t="s">
        <v>560</v>
      </c>
      <c r="F435" s="116">
        <f>'Other Rev'!$H$70</f>
        <v>0</v>
      </c>
      <c r="G435" s="116">
        <f>+Adjustments!AW435</f>
        <v>0</v>
      </c>
      <c r="H435" s="116"/>
      <c r="I435" s="116">
        <f>SUM($F$435:$H$435)</f>
        <v>0</v>
      </c>
      <c r="J435" s="116"/>
      <c r="K435" s="116"/>
      <c r="L435" s="116" t="s">
        <v>14</v>
      </c>
      <c r="M435" s="116">
        <f>VLOOKUP($L435,$L$2:$N$7,2,FALSE)*I435</f>
        <v>0</v>
      </c>
      <c r="N435" s="116">
        <f>VLOOKUP($L435,$L$2:$N$7,3,FALSE)*I435</f>
        <v>0</v>
      </c>
      <c r="O435" s="272"/>
      <c r="P435" s="207" t="s">
        <v>560</v>
      </c>
      <c r="Q435" s="116">
        <f>IF(P435="G",M435,IF(P435="PT",0,ERR))</f>
        <v>0</v>
      </c>
      <c r="R435" s="116">
        <f>IF(P435="PT",M435,IF(P435="G",0,ERR))</f>
        <v>0</v>
      </c>
      <c r="S435" s="240" t="s">
        <v>560</v>
      </c>
      <c r="T435" s="116">
        <f>IF(S435="G",N435,IF(S435="PT",0,ERR))</f>
        <v>0</v>
      </c>
      <c r="U435" s="116">
        <f>IF(S435="PT",N435,IF(S435="G",0,ERR))</f>
        <v>0</v>
      </c>
      <c r="V435" s="273"/>
      <c r="W435" s="116">
        <f>HLOOKUP($W$9,'ROR-Model'!$Q$10:$U$1263,Y435)</f>
        <v>0</v>
      </c>
      <c r="X435" s="118"/>
      <c r="Y435" s="577">
        <f t="shared" si="22"/>
        <v>426</v>
      </c>
      <c r="AA435" s="116">
        <v>0</v>
      </c>
      <c r="AB435" s="116">
        <f t="shared" si="23"/>
        <v>0</v>
      </c>
    </row>
    <row r="436" spans="1:28">
      <c r="A436" s="134"/>
      <c r="B436" s="106"/>
      <c r="C436" s="106" t="s">
        <v>24</v>
      </c>
      <c r="D436" s="106"/>
      <c r="E436" s="116" t="s">
        <v>560</v>
      </c>
      <c r="F436" s="116">
        <f>'Other Rev'!$H$71</f>
        <v>0</v>
      </c>
      <c r="G436" s="116">
        <f>+Adjustments!AW436</f>
        <v>0</v>
      </c>
      <c r="H436" s="116"/>
      <c r="I436" s="116">
        <f>SUM($F$436:$H$436)</f>
        <v>0</v>
      </c>
      <c r="J436" s="116"/>
      <c r="K436" s="116"/>
      <c r="L436" s="116" t="s">
        <v>24</v>
      </c>
      <c r="M436" s="116">
        <f>VLOOKUP($L436,$L$2:$N$7,2,FALSE)*I436</f>
        <v>0</v>
      </c>
      <c r="N436" s="116">
        <f>VLOOKUP($L436,$L$2:$N$7,3,FALSE)*I436</f>
        <v>0</v>
      </c>
      <c r="O436" s="272"/>
      <c r="P436" s="207" t="s">
        <v>560</v>
      </c>
      <c r="Q436" s="116">
        <f>IF(P436="G",M436,IF(P436="PT",0,ERR))</f>
        <v>0</v>
      </c>
      <c r="R436" s="116">
        <f>IF(P436="PT",M436,IF(P436="G",0,ERR))</f>
        <v>0</v>
      </c>
      <c r="S436" s="240" t="s">
        <v>560</v>
      </c>
      <c r="T436" s="116">
        <f>IF(S436="G",N436,IF(S436="PT",0,ERR))</f>
        <v>0</v>
      </c>
      <c r="U436" s="116">
        <f>IF(S436="PT",N436,IF(S436="G",0,ERR))</f>
        <v>0</v>
      </c>
      <c r="V436" s="273"/>
      <c r="W436" s="116">
        <f>HLOOKUP($W$9,'ROR-Model'!$Q$10:$U$1263,Y436)</f>
        <v>0</v>
      </c>
      <c r="X436" s="118"/>
      <c r="Y436" s="577">
        <f t="shared" si="22"/>
        <v>427</v>
      </c>
      <c r="AA436" s="116">
        <v>0</v>
      </c>
      <c r="AB436" s="116">
        <f t="shared" si="23"/>
        <v>0</v>
      </c>
    </row>
    <row r="437" spans="1:28">
      <c r="A437" s="134"/>
      <c r="B437" s="106"/>
      <c r="C437" s="106" t="s">
        <v>170</v>
      </c>
      <c r="D437" s="106"/>
      <c r="E437" s="131"/>
      <c r="F437" s="131">
        <f>SUM(F435:F436)</f>
        <v>0</v>
      </c>
      <c r="G437" s="131">
        <f>SUM(G435:G436)</f>
        <v>0</v>
      </c>
      <c r="H437" s="131">
        <f>SUM(H435:H436)</f>
        <v>0</v>
      </c>
      <c r="I437" s="131">
        <f>SUM(I435:I436)</f>
        <v>0</v>
      </c>
      <c r="J437" s="116"/>
      <c r="K437" s="116"/>
      <c r="L437" s="131"/>
      <c r="M437" s="131">
        <f>SUM(M435:M436)</f>
        <v>0</v>
      </c>
      <c r="N437" s="131">
        <f>SUM(N435:N436)</f>
        <v>0</v>
      </c>
      <c r="O437" s="272"/>
      <c r="P437" s="207"/>
      <c r="Q437" s="131">
        <f>SUM(Q435:Q436)</f>
        <v>0</v>
      </c>
      <c r="R437" s="131">
        <f>SUM(R435:R436)</f>
        <v>0</v>
      </c>
      <c r="S437" s="257"/>
      <c r="T437" s="131">
        <f>SUM(T435:T436)</f>
        <v>0</v>
      </c>
      <c r="U437" s="131">
        <f>SUM(U435:U436)</f>
        <v>0</v>
      </c>
      <c r="V437" s="273"/>
      <c r="W437" s="131">
        <f>HLOOKUP($W$9,'ROR-Model'!$Q$10:$U$1263,Y437)</f>
        <v>0</v>
      </c>
      <c r="X437" s="118"/>
      <c r="Y437" s="577">
        <f t="shared" si="22"/>
        <v>428</v>
      </c>
      <c r="AA437" s="131">
        <v>0</v>
      </c>
      <c r="AB437" s="116">
        <f t="shared" si="23"/>
        <v>0</v>
      </c>
    </row>
    <row r="438" spans="1:28">
      <c r="A438" s="134"/>
      <c r="B438" s="106"/>
      <c r="C438" s="106"/>
      <c r="D438" s="10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272"/>
      <c r="P438" s="207"/>
      <c r="Q438" s="116"/>
      <c r="R438" s="116"/>
      <c r="S438" s="240"/>
      <c r="T438" s="116"/>
      <c r="U438" s="116"/>
      <c r="V438" s="273"/>
      <c r="W438" s="116"/>
      <c r="X438" s="118"/>
      <c r="Y438" s="577">
        <f t="shared" si="22"/>
        <v>429</v>
      </c>
      <c r="AA438" s="116"/>
      <c r="AB438" s="116">
        <f t="shared" si="23"/>
        <v>0</v>
      </c>
    </row>
    <row r="439" spans="1:28">
      <c r="A439" s="134" t="s">
        <v>419</v>
      </c>
      <c r="B439" s="106" t="s">
        <v>324</v>
      </c>
      <c r="C439" s="106"/>
      <c r="D439" s="10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272"/>
      <c r="P439" s="207"/>
      <c r="Q439" s="116"/>
      <c r="R439" s="116"/>
      <c r="S439" s="240"/>
      <c r="T439" s="116"/>
      <c r="U439" s="116"/>
      <c r="V439" s="273"/>
      <c r="W439" s="116"/>
      <c r="X439" s="118"/>
      <c r="Y439" s="577">
        <f t="shared" si="22"/>
        <v>430</v>
      </c>
      <c r="AA439" s="116"/>
      <c r="AB439" s="116">
        <f t="shared" si="23"/>
        <v>0</v>
      </c>
    </row>
    <row r="440" spans="1:28">
      <c r="A440" s="134"/>
      <c r="B440" s="106"/>
      <c r="C440" s="106" t="s">
        <v>14</v>
      </c>
      <c r="D440" s="106"/>
      <c r="E440" s="116" t="s">
        <v>560</v>
      </c>
      <c r="F440" s="116">
        <f>'Other Rev'!$H$75</f>
        <v>0</v>
      </c>
      <c r="G440" s="116">
        <f>+Adjustments!AW440</f>
        <v>0</v>
      </c>
      <c r="H440" s="116"/>
      <c r="I440" s="116">
        <f>SUM($F$440:$H$440)</f>
        <v>0</v>
      </c>
      <c r="J440" s="116"/>
      <c r="K440" s="116"/>
      <c r="L440" s="116" t="s">
        <v>14</v>
      </c>
      <c r="M440" s="116">
        <f>VLOOKUP($L440,$L$2:$N$7,2,FALSE)*I440</f>
        <v>0</v>
      </c>
      <c r="N440" s="116">
        <f>VLOOKUP($L440,$L$2:$N$7,3,FALSE)*I440</f>
        <v>0</v>
      </c>
      <c r="O440" s="272"/>
      <c r="P440" s="207" t="s">
        <v>560</v>
      </c>
      <c r="Q440" s="116">
        <f>IF(P440="G",M440,IF(P440="PT",0,ERR))</f>
        <v>0</v>
      </c>
      <c r="R440" s="116">
        <f>IF(P440="PT",M440,IF(P440="G",0,ERR))</f>
        <v>0</v>
      </c>
      <c r="S440" s="240" t="s">
        <v>560</v>
      </c>
      <c r="T440" s="116">
        <f>IF(S440="G",N440,IF(S440="PT",0,ERR))</f>
        <v>0</v>
      </c>
      <c r="U440" s="116">
        <f>IF(S440="PT",N440,IF(S440="G",0,ERR))</f>
        <v>0</v>
      </c>
      <c r="V440" s="273"/>
      <c r="W440" s="116">
        <f>HLOOKUP($W$9,'ROR-Model'!$Q$10:$U$1263,Y440)</f>
        <v>0</v>
      </c>
      <c r="X440" s="118"/>
      <c r="Y440" s="577">
        <f t="shared" si="22"/>
        <v>431</v>
      </c>
      <c r="AA440" s="116">
        <v>0</v>
      </c>
      <c r="AB440" s="116">
        <f t="shared" si="23"/>
        <v>0</v>
      </c>
    </row>
    <row r="441" spans="1:28">
      <c r="A441" s="134"/>
      <c r="B441" s="106"/>
      <c r="C441" s="106" t="s">
        <v>24</v>
      </c>
      <c r="D441" s="106"/>
      <c r="E441" s="116" t="s">
        <v>560</v>
      </c>
      <c r="F441" s="116">
        <f>'Other Rev'!$H$76</f>
        <v>0</v>
      </c>
      <c r="G441" s="116">
        <f>+Adjustments!AW441</f>
        <v>0</v>
      </c>
      <c r="H441" s="116"/>
      <c r="I441" s="116">
        <f>SUM($F$441:$H$441)</f>
        <v>0</v>
      </c>
      <c r="J441" s="116"/>
      <c r="K441" s="116"/>
      <c r="L441" s="116" t="s">
        <v>24</v>
      </c>
      <c r="M441" s="116">
        <f>VLOOKUP($L441,$L$2:$N$7,2,FALSE)*I441</f>
        <v>0</v>
      </c>
      <c r="N441" s="116">
        <f>VLOOKUP($L441,$L$2:$N$7,3,FALSE)*I441</f>
        <v>0</v>
      </c>
      <c r="O441" s="272"/>
      <c r="P441" s="207" t="s">
        <v>560</v>
      </c>
      <c r="Q441" s="116">
        <f>IF(P441="G",M441,IF(P441="PT",0,ERR))</f>
        <v>0</v>
      </c>
      <c r="R441" s="116">
        <f>IF(P441="PT",M441,IF(P441="G",0,ERR))</f>
        <v>0</v>
      </c>
      <c r="S441" s="240" t="s">
        <v>560</v>
      </c>
      <c r="T441" s="116">
        <f>IF(S441="G",N441,IF(S441="PT",0,ERR))</f>
        <v>0</v>
      </c>
      <c r="U441" s="116">
        <f>IF(S441="PT",N441,IF(S441="G",0,ERR))</f>
        <v>0</v>
      </c>
      <c r="V441" s="273"/>
      <c r="W441" s="116">
        <f>HLOOKUP($W$9,'ROR-Model'!$Q$10:$U$1263,Y441)</f>
        <v>0</v>
      </c>
      <c r="X441" s="118"/>
      <c r="Y441" s="577">
        <f t="shared" si="22"/>
        <v>432</v>
      </c>
      <c r="AA441" s="116">
        <v>0</v>
      </c>
      <c r="AB441" s="116">
        <f t="shared" si="23"/>
        <v>0</v>
      </c>
    </row>
    <row r="442" spans="1:28">
      <c r="A442" s="134"/>
      <c r="B442" s="106"/>
      <c r="C442" s="106" t="s">
        <v>170</v>
      </c>
      <c r="D442" s="106"/>
      <c r="E442" s="131"/>
      <c r="F442" s="131">
        <f>SUM(F440:F441)</f>
        <v>0</v>
      </c>
      <c r="G442" s="131">
        <f>SUM(G440:G441)</f>
        <v>0</v>
      </c>
      <c r="H442" s="131">
        <f>SUM(H440:H441)</f>
        <v>0</v>
      </c>
      <c r="I442" s="131">
        <f>SUM(I440:I441)</f>
        <v>0</v>
      </c>
      <c r="J442" s="116"/>
      <c r="K442" s="116"/>
      <c r="L442" s="131"/>
      <c r="M442" s="131">
        <f>SUM(M440:M441)</f>
        <v>0</v>
      </c>
      <c r="N442" s="131">
        <f>SUM(N440:N441)</f>
        <v>0</v>
      </c>
      <c r="O442" s="272"/>
      <c r="P442" s="207"/>
      <c r="Q442" s="131">
        <f>SUM(Q440:Q441)</f>
        <v>0</v>
      </c>
      <c r="R442" s="131">
        <f>SUM(R440:R441)</f>
        <v>0</v>
      </c>
      <c r="S442" s="257"/>
      <c r="T442" s="131">
        <f>SUM(T440:T441)</f>
        <v>0</v>
      </c>
      <c r="U442" s="131">
        <f>SUM(U440:U441)</f>
        <v>0</v>
      </c>
      <c r="V442" s="273"/>
      <c r="W442" s="131">
        <f>HLOOKUP($W$9,'ROR-Model'!$Q$10:$U$1263,Y442)</f>
        <v>0</v>
      </c>
      <c r="X442" s="118"/>
      <c r="Y442" s="577">
        <f t="shared" si="22"/>
        <v>433</v>
      </c>
      <c r="AA442" s="131">
        <v>0</v>
      </c>
      <c r="AB442" s="116">
        <f t="shared" si="23"/>
        <v>0</v>
      </c>
    </row>
    <row r="443" spans="1:28">
      <c r="A443" s="134"/>
      <c r="B443" s="106"/>
      <c r="C443" s="106"/>
      <c r="D443" s="10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272"/>
      <c r="P443" s="207"/>
      <c r="Q443" s="116"/>
      <c r="R443" s="116"/>
      <c r="S443" s="240"/>
      <c r="T443" s="116"/>
      <c r="U443" s="116"/>
      <c r="V443" s="273"/>
      <c r="W443" s="116"/>
      <c r="X443" s="118"/>
      <c r="Y443" s="577">
        <f t="shared" si="22"/>
        <v>434</v>
      </c>
      <c r="AA443" s="116"/>
      <c r="AB443" s="116">
        <f t="shared" si="23"/>
        <v>0</v>
      </c>
    </row>
    <row r="444" spans="1:28">
      <c r="A444" s="134" t="s">
        <v>420</v>
      </c>
      <c r="B444" s="106" t="s">
        <v>325</v>
      </c>
      <c r="C444" s="106"/>
      <c r="D444" s="10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272"/>
      <c r="P444" s="207"/>
      <c r="Q444" s="116"/>
      <c r="R444" s="116"/>
      <c r="S444" s="240"/>
      <c r="T444" s="116"/>
      <c r="U444" s="116"/>
      <c r="V444" s="273"/>
      <c r="W444" s="116"/>
      <c r="X444" s="118"/>
      <c r="Y444" s="577">
        <f t="shared" si="22"/>
        <v>435</v>
      </c>
      <c r="AA444" s="116"/>
      <c r="AB444" s="116">
        <f t="shared" si="23"/>
        <v>0</v>
      </c>
    </row>
    <row r="445" spans="1:28">
      <c r="A445" s="134"/>
      <c r="B445" s="106"/>
      <c r="C445" s="106" t="s">
        <v>14</v>
      </c>
      <c r="D445" s="106"/>
      <c r="E445" s="116" t="s">
        <v>560</v>
      </c>
      <c r="F445" s="116">
        <f>'Other Rev'!$H$80</f>
        <v>0</v>
      </c>
      <c r="G445" s="116">
        <f>+Adjustments!AW445</f>
        <v>0</v>
      </c>
      <c r="H445" s="116"/>
      <c r="I445" s="116">
        <f>SUM($F$445:$H$445)</f>
        <v>0</v>
      </c>
      <c r="J445" s="116"/>
      <c r="K445" s="116"/>
      <c r="L445" s="116" t="s">
        <v>14</v>
      </c>
      <c r="M445" s="116">
        <f>VLOOKUP($L445,$L$2:$N$7,2,FALSE)*I445</f>
        <v>0</v>
      </c>
      <c r="N445" s="116">
        <f>VLOOKUP($L445,$L$2:$N$7,3,FALSE)*I445</f>
        <v>0</v>
      </c>
      <c r="O445" s="272"/>
      <c r="P445" s="207" t="s">
        <v>560</v>
      </c>
      <c r="Q445" s="116">
        <f>IF(P445="G",M445,IF(P445="PT",0,ERR))</f>
        <v>0</v>
      </c>
      <c r="R445" s="116">
        <f>IF(P445="PT",M445,IF(P445="G",0,ERR))</f>
        <v>0</v>
      </c>
      <c r="S445" s="240" t="s">
        <v>560</v>
      </c>
      <c r="T445" s="116">
        <f>IF(S445="G",N445,IF(S445="PT",0,ERR))</f>
        <v>0</v>
      </c>
      <c r="U445" s="116">
        <f>IF(S445="PT",N445,IF(S445="G",0,ERR))</f>
        <v>0</v>
      </c>
      <c r="V445" s="273"/>
      <c r="W445" s="116">
        <f>HLOOKUP($W$9,'ROR-Model'!$Q$10:$U$1263,Y445)</f>
        <v>0</v>
      </c>
      <c r="X445" s="118"/>
      <c r="Y445" s="577">
        <f t="shared" si="22"/>
        <v>436</v>
      </c>
      <c r="AA445" s="116">
        <v>0</v>
      </c>
      <c r="AB445" s="116">
        <f t="shared" si="23"/>
        <v>0</v>
      </c>
    </row>
    <row r="446" spans="1:28">
      <c r="A446" s="134"/>
      <c r="B446" s="106"/>
      <c r="C446" s="106" t="s">
        <v>24</v>
      </c>
      <c r="D446" s="106"/>
      <c r="E446" s="116" t="s">
        <v>560</v>
      </c>
      <c r="F446" s="116">
        <f>'Other Rev'!$H$81</f>
        <v>0</v>
      </c>
      <c r="G446" s="116">
        <f>+Adjustments!AW446</f>
        <v>0</v>
      </c>
      <c r="H446" s="116"/>
      <c r="I446" s="116">
        <f>SUM($F$446:$H$446)</f>
        <v>0</v>
      </c>
      <c r="J446" s="116"/>
      <c r="K446" s="116"/>
      <c r="L446" s="116" t="s">
        <v>24</v>
      </c>
      <c r="M446" s="116">
        <f>VLOOKUP($L446,$L$2:$N$7,2,FALSE)*I446</f>
        <v>0</v>
      </c>
      <c r="N446" s="116">
        <f>VLOOKUP($L446,$L$2:$N$7,3,FALSE)*I446</f>
        <v>0</v>
      </c>
      <c r="O446" s="272"/>
      <c r="P446" s="207" t="s">
        <v>560</v>
      </c>
      <c r="Q446" s="116">
        <f>IF(P446="G",M446,IF(P446="PT",0,ERR))</f>
        <v>0</v>
      </c>
      <c r="R446" s="116">
        <f>IF(P446="PT",M446,IF(P446="G",0,ERR))</f>
        <v>0</v>
      </c>
      <c r="S446" s="240" t="s">
        <v>560</v>
      </c>
      <c r="T446" s="116">
        <f>IF(S446="G",N446,IF(S446="PT",0,ERR))</f>
        <v>0</v>
      </c>
      <c r="U446" s="116">
        <f>IF(S446="PT",N446,IF(S446="G",0,ERR))</f>
        <v>0</v>
      </c>
      <c r="V446" s="273"/>
      <c r="W446" s="116">
        <f>HLOOKUP($W$9,'ROR-Model'!$Q$10:$U$1263,Y446)</f>
        <v>0</v>
      </c>
      <c r="X446" s="118"/>
      <c r="Y446" s="577">
        <f t="shared" si="22"/>
        <v>437</v>
      </c>
      <c r="AA446" s="116">
        <v>0</v>
      </c>
      <c r="AB446" s="116">
        <f t="shared" si="23"/>
        <v>0</v>
      </c>
    </row>
    <row r="447" spans="1:28">
      <c r="A447" s="134"/>
      <c r="B447" s="106"/>
      <c r="C447" s="106" t="s">
        <v>170</v>
      </c>
      <c r="D447" s="106"/>
      <c r="E447" s="131"/>
      <c r="F447" s="131">
        <f>SUM(F445:F446)</f>
        <v>0</v>
      </c>
      <c r="G447" s="131">
        <f>SUM(G445:G446)</f>
        <v>0</v>
      </c>
      <c r="H447" s="131">
        <f>SUM(H445:H446)</f>
        <v>0</v>
      </c>
      <c r="I447" s="131">
        <f>SUM(I445:I446)</f>
        <v>0</v>
      </c>
      <c r="J447" s="116"/>
      <c r="K447" s="116"/>
      <c r="L447" s="131"/>
      <c r="M447" s="131">
        <f>SUM(M445:M446)</f>
        <v>0</v>
      </c>
      <c r="N447" s="131">
        <f>SUM(N445:N446)</f>
        <v>0</v>
      </c>
      <c r="O447" s="272"/>
      <c r="P447" s="207"/>
      <c r="Q447" s="131">
        <f>SUM(Q445:Q446)</f>
        <v>0</v>
      </c>
      <c r="R447" s="131">
        <f>SUM(R445:R446)</f>
        <v>0</v>
      </c>
      <c r="S447" s="257"/>
      <c r="T447" s="131">
        <f>SUM(T445:T446)</f>
        <v>0</v>
      </c>
      <c r="U447" s="131">
        <f>SUM(U445:U446)</f>
        <v>0</v>
      </c>
      <c r="V447" s="273"/>
      <c r="W447" s="131">
        <f>HLOOKUP($W$9,'ROR-Model'!$Q$10:$U$1263,Y447)</f>
        <v>0</v>
      </c>
      <c r="X447" s="118"/>
      <c r="Y447" s="577">
        <f t="shared" si="22"/>
        <v>438</v>
      </c>
      <c r="AA447" s="131">
        <v>0</v>
      </c>
      <c r="AB447" s="116">
        <f t="shared" si="23"/>
        <v>0</v>
      </c>
    </row>
    <row r="448" spans="1:28">
      <c r="A448" s="134"/>
      <c r="B448" s="106"/>
      <c r="C448" s="106"/>
      <c r="D448" s="10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272"/>
      <c r="P448" s="207"/>
      <c r="Q448" s="116"/>
      <c r="R448" s="116"/>
      <c r="S448" s="240"/>
      <c r="T448" s="116"/>
      <c r="U448" s="116"/>
      <c r="V448" s="273"/>
      <c r="W448" s="116"/>
      <c r="X448" s="118"/>
      <c r="Y448" s="577">
        <f t="shared" si="22"/>
        <v>439</v>
      </c>
      <c r="AA448" s="116"/>
      <c r="AB448" s="116">
        <f t="shared" si="23"/>
        <v>0</v>
      </c>
    </row>
    <row r="449" spans="1:28">
      <c r="A449" s="134" t="s">
        <v>421</v>
      </c>
      <c r="B449" s="106" t="s">
        <v>326</v>
      </c>
      <c r="C449" s="106"/>
      <c r="D449" s="10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272"/>
      <c r="P449" s="207"/>
      <c r="Q449" s="116"/>
      <c r="R449" s="116"/>
      <c r="S449" s="240"/>
      <c r="T449" s="116"/>
      <c r="U449" s="116"/>
      <c r="V449" s="273"/>
      <c r="W449" s="116"/>
      <c r="X449" s="118"/>
      <c r="Y449" s="577">
        <f t="shared" si="22"/>
        <v>440</v>
      </c>
      <c r="AA449" s="116"/>
      <c r="AB449" s="116">
        <f t="shared" si="23"/>
        <v>0</v>
      </c>
    </row>
    <row r="450" spans="1:28">
      <c r="A450" s="134"/>
      <c r="B450" s="106"/>
      <c r="C450" s="106" t="s">
        <v>14</v>
      </c>
      <c r="D450" s="106"/>
      <c r="E450" s="116" t="s">
        <v>560</v>
      </c>
      <c r="F450" s="116">
        <f>'Other Rev'!$H$85</f>
        <v>0</v>
      </c>
      <c r="G450" s="116">
        <f>+Adjustments!AW450</f>
        <v>0</v>
      </c>
      <c r="H450" s="116"/>
      <c r="I450" s="116">
        <f>SUM($F$450:$H$450)</f>
        <v>0</v>
      </c>
      <c r="J450" s="116"/>
      <c r="K450" s="116"/>
      <c r="L450" s="116" t="s">
        <v>14</v>
      </c>
      <c r="M450" s="116">
        <f>VLOOKUP($L450,$L$2:$N$7,2,FALSE)*I450</f>
        <v>0</v>
      </c>
      <c r="N450" s="116">
        <f>VLOOKUP($L450,$L$2:$N$7,3,FALSE)*I450</f>
        <v>0</v>
      </c>
      <c r="O450" s="272"/>
      <c r="P450" s="207" t="s">
        <v>560</v>
      </c>
      <c r="Q450" s="116">
        <f>IF(P450="G",M450,IF(P450="PT",0,ERR))</f>
        <v>0</v>
      </c>
      <c r="R450" s="116">
        <f>IF(P450="PT",M450,IF(P450="G",0,ERR))</f>
        <v>0</v>
      </c>
      <c r="S450" s="240" t="s">
        <v>560</v>
      </c>
      <c r="T450" s="116">
        <f>IF(S450="G",N450,IF(S450="PT",0,ERR))</f>
        <v>0</v>
      </c>
      <c r="U450" s="116">
        <f>IF(S450="PT",N450,IF(S450="G",0,ERR))</f>
        <v>0</v>
      </c>
      <c r="V450" s="273"/>
      <c r="W450" s="116">
        <f>HLOOKUP($W$9,'ROR-Model'!$Q$10:$U$1263,Y450)</f>
        <v>0</v>
      </c>
      <c r="X450" s="118"/>
      <c r="Y450" s="577">
        <f t="shared" si="22"/>
        <v>441</v>
      </c>
      <c r="AA450" s="116">
        <v>0</v>
      </c>
      <c r="AB450" s="116">
        <f t="shared" si="23"/>
        <v>0</v>
      </c>
    </row>
    <row r="451" spans="1:28">
      <c r="A451" s="134"/>
      <c r="B451" s="106"/>
      <c r="C451" s="106" t="s">
        <v>24</v>
      </c>
      <c r="D451" s="106"/>
      <c r="E451" s="116" t="s">
        <v>560</v>
      </c>
      <c r="F451" s="116">
        <f>'Other Rev'!$H$86</f>
        <v>0</v>
      </c>
      <c r="G451" s="116">
        <f>+Adjustments!AW451</f>
        <v>0</v>
      </c>
      <c r="H451" s="116"/>
      <c r="I451" s="116">
        <f>SUM($F$451:$H$451)</f>
        <v>0</v>
      </c>
      <c r="J451" s="116"/>
      <c r="K451" s="116"/>
      <c r="L451" s="116" t="s">
        <v>24</v>
      </c>
      <c r="M451" s="116">
        <f>VLOOKUP($L451,$L$2:$N$7,2,FALSE)*I451</f>
        <v>0</v>
      </c>
      <c r="N451" s="116">
        <f>VLOOKUP($L451,$L$2:$N$7,3,FALSE)*I451</f>
        <v>0</v>
      </c>
      <c r="O451" s="272"/>
      <c r="P451" s="207" t="s">
        <v>560</v>
      </c>
      <c r="Q451" s="116">
        <f>IF(P451="G",M451,IF(P451="PT",0,ERR))</f>
        <v>0</v>
      </c>
      <c r="R451" s="116">
        <f>IF(P451="PT",M451,IF(P451="G",0,ERR))</f>
        <v>0</v>
      </c>
      <c r="S451" s="240" t="s">
        <v>560</v>
      </c>
      <c r="T451" s="116">
        <f>IF(S451="G",N451,IF(S451="PT",0,ERR))</f>
        <v>0</v>
      </c>
      <c r="U451" s="116">
        <f>IF(S451="PT",N451,IF(S451="G",0,ERR))</f>
        <v>0</v>
      </c>
      <c r="V451" s="273"/>
      <c r="W451" s="116">
        <f>HLOOKUP($W$9,'ROR-Model'!$Q$10:$U$1263,Y451)</f>
        <v>0</v>
      </c>
      <c r="X451" s="118"/>
      <c r="Y451" s="577">
        <f t="shared" si="22"/>
        <v>442</v>
      </c>
      <c r="AA451" s="116">
        <v>0</v>
      </c>
      <c r="AB451" s="116">
        <f t="shared" si="23"/>
        <v>0</v>
      </c>
    </row>
    <row r="452" spans="1:28">
      <c r="A452" s="134"/>
      <c r="B452" s="106"/>
      <c r="C452" s="106" t="s">
        <v>170</v>
      </c>
      <c r="D452" s="106"/>
      <c r="E452" s="131"/>
      <c r="F452" s="131">
        <f>SUM(F450:F451)</f>
        <v>0</v>
      </c>
      <c r="G452" s="131">
        <f>SUM(G450:G451)</f>
        <v>0</v>
      </c>
      <c r="H452" s="131">
        <f>SUM(H450:H451)</f>
        <v>0</v>
      </c>
      <c r="I452" s="131">
        <f>SUM(I450:I451)</f>
        <v>0</v>
      </c>
      <c r="J452" s="116"/>
      <c r="K452" s="116"/>
      <c r="L452" s="131"/>
      <c r="M452" s="131">
        <f>SUM(M450:M451)</f>
        <v>0</v>
      </c>
      <c r="N452" s="131">
        <f>SUM(N450:N451)</f>
        <v>0</v>
      </c>
      <c r="O452" s="272"/>
      <c r="P452" s="207"/>
      <c r="Q452" s="131">
        <f>SUM(Q450:Q451)</f>
        <v>0</v>
      </c>
      <c r="R452" s="131">
        <f>SUM(R450:R451)</f>
        <v>0</v>
      </c>
      <c r="S452" s="257"/>
      <c r="T452" s="131">
        <f>SUM(T450:T451)</f>
        <v>0</v>
      </c>
      <c r="U452" s="131">
        <f>SUM(U450:U451)</f>
        <v>0</v>
      </c>
      <c r="V452" s="273"/>
      <c r="W452" s="131">
        <f>HLOOKUP($W$9,'ROR-Model'!$Q$10:$U$1263,Y452)</f>
        <v>0</v>
      </c>
      <c r="X452" s="118"/>
      <c r="Y452" s="577">
        <f t="shared" si="22"/>
        <v>443</v>
      </c>
      <c r="AA452" s="131">
        <v>0</v>
      </c>
      <c r="AB452" s="116">
        <f t="shared" si="23"/>
        <v>0</v>
      </c>
    </row>
    <row r="453" spans="1:28">
      <c r="A453" s="136"/>
      <c r="B453" s="102"/>
      <c r="C453" s="102"/>
      <c r="D453" s="102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272"/>
      <c r="P453" s="207"/>
      <c r="Q453" s="116"/>
      <c r="R453" s="116"/>
      <c r="S453" s="240"/>
      <c r="T453" s="116"/>
      <c r="U453" s="116"/>
      <c r="V453" s="273"/>
      <c r="W453" s="116"/>
      <c r="X453" s="118"/>
      <c r="Y453" s="577">
        <f t="shared" si="22"/>
        <v>444</v>
      </c>
      <c r="AA453" s="116"/>
      <c r="AB453" s="116">
        <f t="shared" si="23"/>
        <v>0</v>
      </c>
    </row>
    <row r="454" spans="1:28">
      <c r="A454" s="136">
        <v>4891</v>
      </c>
      <c r="B454" s="119" t="s">
        <v>290</v>
      </c>
      <c r="C454" s="102"/>
      <c r="D454" s="102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272"/>
      <c r="P454" s="207"/>
      <c r="Q454" s="116"/>
      <c r="R454" s="116"/>
      <c r="S454" s="240"/>
      <c r="T454" s="116"/>
      <c r="U454" s="116"/>
      <c r="V454" s="273"/>
      <c r="W454" s="116"/>
      <c r="X454" s="118"/>
      <c r="Y454" s="577">
        <f t="shared" si="22"/>
        <v>445</v>
      </c>
      <c r="AA454" s="116"/>
      <c r="AB454" s="116">
        <f t="shared" si="23"/>
        <v>0</v>
      </c>
    </row>
    <row r="455" spans="1:28">
      <c r="A455" s="136"/>
      <c r="B455" s="102"/>
      <c r="C455" s="102" t="s">
        <v>14</v>
      </c>
      <c r="D455" s="102"/>
      <c r="E455" s="116" t="s">
        <v>560</v>
      </c>
      <c r="F455" s="116">
        <f>'Other Rev'!$H$90</f>
        <v>0</v>
      </c>
      <c r="G455" s="116">
        <f>+Adjustments!AW455</f>
        <v>0</v>
      </c>
      <c r="H455" s="116"/>
      <c r="I455" s="116">
        <f>SUM($F$455:$H$455)</f>
        <v>0</v>
      </c>
      <c r="J455" s="116"/>
      <c r="K455" s="116"/>
      <c r="L455" s="116" t="s">
        <v>14</v>
      </c>
      <c r="M455" s="116">
        <f>VLOOKUP($L455,$L$2:$N$7,2,FALSE)*I455</f>
        <v>0</v>
      </c>
      <c r="N455" s="116">
        <f>VLOOKUP($L455,$L$2:$N$7,3,FALSE)*I455</f>
        <v>0</v>
      </c>
      <c r="O455" s="272"/>
      <c r="P455" s="207" t="s">
        <v>560</v>
      </c>
      <c r="Q455" s="116">
        <f>IF(P455="G",M455,IF(P455="PT",0,ERR))</f>
        <v>0</v>
      </c>
      <c r="R455" s="116">
        <f>IF(P455="PT",M455,IF(P455="G",0,ERR))</f>
        <v>0</v>
      </c>
      <c r="S455" s="240" t="s">
        <v>560</v>
      </c>
      <c r="T455" s="116">
        <f>IF(S455="G",N455,IF(S455="PT",0,ERR))</f>
        <v>0</v>
      </c>
      <c r="U455" s="116">
        <f>IF(S455="PT",N455,IF(S455="G",0,ERR))</f>
        <v>0</v>
      </c>
      <c r="V455" s="273"/>
      <c r="W455" s="116">
        <f>HLOOKUP($W$9,'ROR-Model'!$Q$10:$U$1263,Y455)</f>
        <v>0</v>
      </c>
      <c r="X455" s="118"/>
      <c r="Y455" s="577">
        <f t="shared" si="22"/>
        <v>446</v>
      </c>
      <c r="AA455" s="116">
        <v>0</v>
      </c>
      <c r="AB455" s="116">
        <f t="shared" si="23"/>
        <v>0</v>
      </c>
    </row>
    <row r="456" spans="1:28">
      <c r="A456" s="136"/>
      <c r="B456" s="102"/>
      <c r="C456" s="102" t="s">
        <v>24</v>
      </c>
      <c r="D456" s="102"/>
      <c r="E456" s="116" t="s">
        <v>560</v>
      </c>
      <c r="F456" s="116">
        <f>'Other Rev'!$H$91</f>
        <v>0</v>
      </c>
      <c r="G456" s="116">
        <f>+Adjustments!AW456</f>
        <v>0</v>
      </c>
      <c r="H456" s="116"/>
      <c r="I456" s="116">
        <f>SUM($F$456:$H$456)</f>
        <v>0</v>
      </c>
      <c r="J456" s="116"/>
      <c r="K456" s="116"/>
      <c r="L456" s="116" t="s">
        <v>24</v>
      </c>
      <c r="M456" s="116">
        <f>VLOOKUP($L456,$L$2:$N$7,2,FALSE)*I456</f>
        <v>0</v>
      </c>
      <c r="N456" s="116">
        <f>VLOOKUP($L456,$L$2:$N$7,3,FALSE)*I456</f>
        <v>0</v>
      </c>
      <c r="O456" s="272"/>
      <c r="P456" s="207" t="s">
        <v>560</v>
      </c>
      <c r="Q456" s="116">
        <f>IF(P456="G",M456,IF(P456="PT",0,ERR))</f>
        <v>0</v>
      </c>
      <c r="R456" s="116">
        <f>IF(P456="PT",M456,IF(P456="G",0,ERR))</f>
        <v>0</v>
      </c>
      <c r="S456" s="240" t="s">
        <v>560</v>
      </c>
      <c r="T456" s="116">
        <f>IF(S456="G",N456,IF(S456="PT",0,ERR))</f>
        <v>0</v>
      </c>
      <c r="U456" s="116">
        <f>IF(S456="PT",N456,IF(S456="G",0,ERR))</f>
        <v>0</v>
      </c>
      <c r="V456" s="273"/>
      <c r="W456" s="116">
        <f>HLOOKUP($W$9,'ROR-Model'!$Q$10:$U$1263,Y456)</f>
        <v>0</v>
      </c>
      <c r="X456" s="118"/>
      <c r="Y456" s="577">
        <f t="shared" si="22"/>
        <v>447</v>
      </c>
      <c r="AA456" s="116">
        <v>0</v>
      </c>
      <c r="AB456" s="116">
        <f t="shared" si="23"/>
        <v>0</v>
      </c>
    </row>
    <row r="457" spans="1:28">
      <c r="A457" s="136"/>
      <c r="B457" s="102"/>
      <c r="C457" s="102" t="s">
        <v>170</v>
      </c>
      <c r="D457" s="102"/>
      <c r="E457" s="131"/>
      <c r="F457" s="131">
        <f>SUM(F455:F456)</f>
        <v>0</v>
      </c>
      <c r="G457" s="131">
        <f>SUM(G455:G456)</f>
        <v>0</v>
      </c>
      <c r="H457" s="131">
        <f>SUM(H455:H456)</f>
        <v>0</v>
      </c>
      <c r="I457" s="131">
        <f>SUM(I455:I456)</f>
        <v>0</v>
      </c>
      <c r="J457" s="116"/>
      <c r="K457" s="116"/>
      <c r="L457" s="131"/>
      <c r="M457" s="131">
        <f>SUM(M455:M456)</f>
        <v>0</v>
      </c>
      <c r="N457" s="131">
        <f>SUM(N455:N456)</f>
        <v>0</v>
      </c>
      <c r="O457" s="272"/>
      <c r="P457" s="207"/>
      <c r="Q457" s="131">
        <f>SUM(Q455:Q456)</f>
        <v>0</v>
      </c>
      <c r="R457" s="131">
        <f>SUM(R455:R456)</f>
        <v>0</v>
      </c>
      <c r="S457" s="257"/>
      <c r="T457" s="131">
        <f>SUM(T455:T456)</f>
        <v>0</v>
      </c>
      <c r="U457" s="131">
        <f>SUM(U455:U456)</f>
        <v>0</v>
      </c>
      <c r="V457" s="273"/>
      <c r="W457" s="131">
        <f>HLOOKUP($W$9,'ROR-Model'!$Q$10:$U$1263,Y457)</f>
        <v>0</v>
      </c>
      <c r="X457" s="118"/>
      <c r="Y457" s="577">
        <f t="shared" si="22"/>
        <v>448</v>
      </c>
      <c r="AA457" s="131">
        <v>0</v>
      </c>
      <c r="AB457" s="116">
        <f t="shared" si="23"/>
        <v>0</v>
      </c>
    </row>
    <row r="458" spans="1:28">
      <c r="A458" s="136"/>
      <c r="B458" s="102"/>
      <c r="C458" s="102"/>
      <c r="D458" s="102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272"/>
      <c r="P458" s="207"/>
      <c r="Q458" s="116"/>
      <c r="R458" s="116"/>
      <c r="S458" s="240"/>
      <c r="T458" s="116"/>
      <c r="U458" s="116"/>
      <c r="V458" s="273"/>
      <c r="W458" s="116"/>
      <c r="X458" s="118"/>
      <c r="Y458" s="577">
        <f t="shared" si="22"/>
        <v>449</v>
      </c>
      <c r="AA458" s="116"/>
      <c r="AB458" s="116">
        <f t="shared" si="23"/>
        <v>0</v>
      </c>
    </row>
    <row r="459" spans="1:28">
      <c r="A459" s="136">
        <v>490</v>
      </c>
      <c r="B459" s="102" t="s">
        <v>328</v>
      </c>
      <c r="C459" s="102"/>
      <c r="D459" s="102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272"/>
      <c r="P459" s="207"/>
      <c r="Q459" s="116"/>
      <c r="R459" s="116"/>
      <c r="S459" s="240"/>
      <c r="T459" s="116"/>
      <c r="U459" s="116"/>
      <c r="V459" s="273"/>
      <c r="W459" s="116"/>
      <c r="X459" s="118"/>
      <c r="Y459" s="577">
        <f t="shared" si="22"/>
        <v>450</v>
      </c>
      <c r="AA459" s="116"/>
      <c r="AB459" s="116">
        <f t="shared" si="23"/>
        <v>0</v>
      </c>
    </row>
    <row r="460" spans="1:28">
      <c r="A460" s="136"/>
      <c r="B460" s="102"/>
      <c r="C460" s="102" t="s">
        <v>14</v>
      </c>
      <c r="D460" s="102"/>
      <c r="E460" s="116" t="s">
        <v>559</v>
      </c>
      <c r="F460" s="116">
        <f>'Other Rev'!$H$95</f>
        <v>5277157.1893031001</v>
      </c>
      <c r="G460" s="116">
        <f>+Adjustments!AW460</f>
        <v>0</v>
      </c>
      <c r="H460" s="116"/>
      <c r="I460" s="116">
        <f>SUM($F$460:$H$460)</f>
        <v>5277157.1893031001</v>
      </c>
      <c r="J460" s="116"/>
      <c r="K460" s="116"/>
      <c r="L460" s="116" t="s">
        <v>14</v>
      </c>
      <c r="M460" s="116">
        <f>VLOOKUP($L460,$L$2:$N$7,2,FALSE)*I460</f>
        <v>5277157.1893031001</v>
      </c>
      <c r="N460" s="116">
        <f>VLOOKUP($L460,$L$2:$N$7,3,FALSE)*I460</f>
        <v>0</v>
      </c>
      <c r="O460" s="272"/>
      <c r="P460" s="207" t="s">
        <v>559</v>
      </c>
      <c r="Q460" s="116">
        <f>IF(P460="G",M460,IF(P460="PT",0,ERR))</f>
        <v>0</v>
      </c>
      <c r="R460" s="116">
        <f>IF(P460="PT",M460,IF(P460="G",0,ERR))</f>
        <v>5277157.1893031001</v>
      </c>
      <c r="S460" s="240" t="s">
        <v>559</v>
      </c>
      <c r="T460" s="116">
        <f>IF(S460="G",N460,IF(S460="PT",0,ERR))</f>
        <v>0</v>
      </c>
      <c r="U460" s="116">
        <f>IF(S460="PT",N460,IF(S460="G",0,ERR))</f>
        <v>0</v>
      </c>
      <c r="V460" s="273"/>
      <c r="W460" s="116">
        <f>HLOOKUP($W$9,'ROR-Model'!$Q$10:$U$1263,Y460)</f>
        <v>0</v>
      </c>
      <c r="X460" s="118"/>
      <c r="Y460" s="577">
        <f t="shared" si="22"/>
        <v>451</v>
      </c>
      <c r="AA460" s="116">
        <v>0</v>
      </c>
      <c r="AB460" s="116">
        <f t="shared" si="23"/>
        <v>0</v>
      </c>
    </row>
    <row r="461" spans="1:28">
      <c r="A461" s="136"/>
      <c r="B461" s="102"/>
      <c r="C461" s="102" t="s">
        <v>24</v>
      </c>
      <c r="D461" s="102"/>
      <c r="E461" s="116" t="s">
        <v>559</v>
      </c>
      <c r="F461" s="116">
        <f>'Other Rev'!$H$96</f>
        <v>179117.15069690009</v>
      </c>
      <c r="G461" s="116">
        <f>+Adjustments!AW461</f>
        <v>0</v>
      </c>
      <c r="H461" s="116"/>
      <c r="I461" s="116">
        <f>SUM($F$461:$H$461)</f>
        <v>179117.15069690009</v>
      </c>
      <c r="J461" s="116"/>
      <c r="K461" s="116"/>
      <c r="L461" s="116" t="s">
        <v>24</v>
      </c>
      <c r="M461" s="116">
        <f>VLOOKUP($L461,$L$2:$N$7,2,FALSE)*I461</f>
        <v>0</v>
      </c>
      <c r="N461" s="116">
        <f>VLOOKUP($L461,$L$2:$N$7,3,FALSE)*I461</f>
        <v>179117.15069690009</v>
      </c>
      <c r="O461" s="272"/>
      <c r="P461" s="207" t="s">
        <v>559</v>
      </c>
      <c r="Q461" s="116">
        <f>IF(P461="G",M461,IF(P461="PT",0,ERR))</f>
        <v>0</v>
      </c>
      <c r="R461" s="116">
        <f>IF(P461="PT",M461,IF(P461="G",0,ERR))</f>
        <v>0</v>
      </c>
      <c r="S461" s="207" t="s">
        <v>559</v>
      </c>
      <c r="T461" s="116">
        <f>IF(S461="G",N461,IF(S461="PT",0,ERR))</f>
        <v>0</v>
      </c>
      <c r="U461" s="116">
        <f>IF(S461="PT",N461,IF(S461="G",0,ERR))</f>
        <v>179117.15069690009</v>
      </c>
      <c r="V461" s="273"/>
      <c r="W461" s="116">
        <f>HLOOKUP($W$9,'ROR-Model'!$Q$10:$U$1263,Y461)</f>
        <v>0</v>
      </c>
      <c r="X461" s="118"/>
      <c r="Y461" s="577">
        <f t="shared" si="22"/>
        <v>452</v>
      </c>
      <c r="AA461" s="116">
        <v>0</v>
      </c>
      <c r="AB461" s="116">
        <f t="shared" si="23"/>
        <v>0</v>
      </c>
    </row>
    <row r="462" spans="1:28">
      <c r="A462" s="136"/>
      <c r="B462" s="102"/>
      <c r="C462" s="102" t="s">
        <v>170</v>
      </c>
      <c r="D462" s="102"/>
      <c r="E462" s="131"/>
      <c r="F462" s="131">
        <f>SUM(F460:F461)</f>
        <v>5456274.3399999999</v>
      </c>
      <c r="G462" s="131">
        <f>SUM(G460:G461)</f>
        <v>0</v>
      </c>
      <c r="H462" s="131">
        <f>SUM(H460:H461)</f>
        <v>0</v>
      </c>
      <c r="I462" s="131">
        <f>SUM(I460:I461)</f>
        <v>5456274.3399999999</v>
      </c>
      <c r="J462" s="116"/>
      <c r="K462" s="116"/>
      <c r="L462" s="131"/>
      <c r="M462" s="131">
        <f>SUM(M460:M461)</f>
        <v>5277157.1893031001</v>
      </c>
      <c r="N462" s="131">
        <f>SUM(N460:N461)</f>
        <v>179117.15069690009</v>
      </c>
      <c r="O462" s="272"/>
      <c r="P462" s="207"/>
      <c r="Q462" s="131">
        <f>SUM(Q460:Q461)</f>
        <v>0</v>
      </c>
      <c r="R462" s="131">
        <f>SUM(R460:R461)</f>
        <v>5277157.1893031001</v>
      </c>
      <c r="S462" s="257"/>
      <c r="T462" s="131">
        <f>SUM(T460:T461)</f>
        <v>0</v>
      </c>
      <c r="U462" s="131">
        <f>SUM(U460:U461)</f>
        <v>179117.15069690009</v>
      </c>
      <c r="V462" s="273"/>
      <c r="W462" s="131">
        <f>HLOOKUP($W$9,'ROR-Model'!$Q$10:$U$1263,Y462)</f>
        <v>0</v>
      </c>
      <c r="X462" s="118"/>
      <c r="Y462" s="577">
        <f t="shared" ref="Y462:Y525" si="24">Y461+1</f>
        <v>453</v>
      </c>
      <c r="AA462" s="131">
        <v>0</v>
      </c>
      <c r="AB462" s="116">
        <f t="shared" si="23"/>
        <v>0</v>
      </c>
    </row>
    <row r="463" spans="1:28">
      <c r="A463" s="136"/>
      <c r="B463" s="102"/>
      <c r="C463" s="102"/>
      <c r="D463" s="102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272"/>
      <c r="P463" s="207"/>
      <c r="Q463" s="116"/>
      <c r="R463" s="116"/>
      <c r="S463" s="240"/>
      <c r="T463" s="116"/>
      <c r="U463" s="116"/>
      <c r="V463" s="273"/>
      <c r="W463" s="116"/>
      <c r="X463" s="118"/>
      <c r="Y463" s="577">
        <f t="shared" si="24"/>
        <v>454</v>
      </c>
      <c r="AA463" s="116"/>
      <c r="AB463" s="116">
        <f t="shared" si="23"/>
        <v>0</v>
      </c>
    </row>
    <row r="464" spans="1:28">
      <c r="A464" s="136">
        <v>491</v>
      </c>
      <c r="B464" s="102" t="s">
        <v>329</v>
      </c>
      <c r="C464" s="102"/>
      <c r="D464" s="102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272"/>
      <c r="P464" s="207"/>
      <c r="Q464" s="116"/>
      <c r="R464" s="116"/>
      <c r="S464" s="240"/>
      <c r="T464" s="116"/>
      <c r="U464" s="116"/>
      <c r="V464" s="273"/>
      <c r="W464" s="116"/>
      <c r="X464" s="118"/>
      <c r="Y464" s="577">
        <f t="shared" si="24"/>
        <v>455</v>
      </c>
      <c r="AA464" s="116"/>
      <c r="AB464" s="116">
        <f t="shared" si="23"/>
        <v>0</v>
      </c>
    </row>
    <row r="465" spans="1:28">
      <c r="A465" s="136"/>
      <c r="B465" s="102"/>
      <c r="C465" s="102" t="s">
        <v>14</v>
      </c>
      <c r="D465" s="102"/>
      <c r="E465" s="116" t="s">
        <v>559</v>
      </c>
      <c r="F465" s="116">
        <f>'Other Rev'!$H$100</f>
        <v>0</v>
      </c>
      <c r="G465" s="116">
        <f>+Adjustments!AW465</f>
        <v>0</v>
      </c>
      <c r="H465" s="116"/>
      <c r="I465" s="116">
        <f>SUM($F$465:$H$465)</f>
        <v>0</v>
      </c>
      <c r="J465" s="116"/>
      <c r="K465" s="116"/>
      <c r="L465" s="116" t="s">
        <v>14</v>
      </c>
      <c r="M465" s="116">
        <f>VLOOKUP($L465,$L$2:$N$7,2,FALSE)*I465</f>
        <v>0</v>
      </c>
      <c r="N465" s="116">
        <f>VLOOKUP($L465,$L$2:$N$7,3,FALSE)*I465</f>
        <v>0</v>
      </c>
      <c r="O465" s="272"/>
      <c r="P465" s="207" t="s">
        <v>559</v>
      </c>
      <c r="Q465" s="116">
        <f>IF(P465="G",M465,IF(P465="PT",0,ERR))</f>
        <v>0</v>
      </c>
      <c r="R465" s="116">
        <f>IF(P465="PT",M465,IF(P465="G",0,ERR))</f>
        <v>0</v>
      </c>
      <c r="S465" s="240" t="s">
        <v>559</v>
      </c>
      <c r="T465" s="116">
        <f>IF(S465="G",N465,IF(S465="PT",0,ERR))</f>
        <v>0</v>
      </c>
      <c r="U465" s="116">
        <f>IF(S465="PT",N465,IF(S465="G",0,ERR))</f>
        <v>0</v>
      </c>
      <c r="V465" s="273"/>
      <c r="W465" s="116">
        <f>HLOOKUP($W$9,'ROR-Model'!$Q$10:$U$1263,Y465)</f>
        <v>0</v>
      </c>
      <c r="X465" s="118"/>
      <c r="Y465" s="577">
        <f t="shared" si="24"/>
        <v>456</v>
      </c>
      <c r="AA465" s="116">
        <v>0</v>
      </c>
      <c r="AB465" s="116">
        <f t="shared" ref="AB465:AB528" si="25">W465-AA465</f>
        <v>0</v>
      </c>
    </row>
    <row r="466" spans="1:28">
      <c r="A466" s="136"/>
      <c r="B466" s="102"/>
      <c r="C466" s="102" t="s">
        <v>24</v>
      </c>
      <c r="D466" s="102"/>
      <c r="E466" s="116" t="s">
        <v>560</v>
      </c>
      <c r="F466" s="116">
        <f>'Other Rev'!$H$101</f>
        <v>0</v>
      </c>
      <c r="G466" s="116">
        <f>+Adjustments!AW466</f>
        <v>0</v>
      </c>
      <c r="H466" s="116"/>
      <c r="I466" s="116">
        <f>SUM($F$466:$H$466)</f>
        <v>0</v>
      </c>
      <c r="J466" s="116"/>
      <c r="K466" s="116"/>
      <c r="L466" s="116" t="s">
        <v>24</v>
      </c>
      <c r="M466" s="116">
        <f>VLOOKUP($L466,$L$2:$N$7,2,FALSE)*I466</f>
        <v>0</v>
      </c>
      <c r="N466" s="116">
        <f>VLOOKUP($L466,$L$2:$N$7,3,FALSE)*I466</f>
        <v>0</v>
      </c>
      <c r="O466" s="272"/>
      <c r="P466" s="207" t="s">
        <v>560</v>
      </c>
      <c r="Q466" s="116">
        <f>IF(P466="G",M466,IF(P466="PT",0,ERR))</f>
        <v>0</v>
      </c>
      <c r="R466" s="116">
        <f>IF(P466="PT",M466,IF(P466="G",0,ERR))</f>
        <v>0</v>
      </c>
      <c r="S466" s="240" t="s">
        <v>560</v>
      </c>
      <c r="T466" s="116">
        <f>IF(S466="G",N466,IF(S466="PT",0,ERR))</f>
        <v>0</v>
      </c>
      <c r="U466" s="116">
        <f>IF(S466="PT",N466,IF(S466="G",0,ERR))</f>
        <v>0</v>
      </c>
      <c r="V466" s="273"/>
      <c r="W466" s="116">
        <f>HLOOKUP($W$9,'ROR-Model'!$Q$10:$U$1263,Y466)</f>
        <v>0</v>
      </c>
      <c r="X466" s="118"/>
      <c r="Y466" s="577">
        <f t="shared" si="24"/>
        <v>457</v>
      </c>
      <c r="AA466" s="116">
        <v>0</v>
      </c>
      <c r="AB466" s="116">
        <f t="shared" si="25"/>
        <v>0</v>
      </c>
    </row>
    <row r="467" spans="1:28">
      <c r="A467" s="136"/>
      <c r="B467" s="102"/>
      <c r="C467" s="102" t="s">
        <v>170</v>
      </c>
      <c r="D467" s="102"/>
      <c r="E467" s="131"/>
      <c r="F467" s="131">
        <f>SUM(F465:F466)</f>
        <v>0</v>
      </c>
      <c r="G467" s="131">
        <f>SUM(G465:G466)</f>
        <v>0</v>
      </c>
      <c r="H467" s="131">
        <f>SUM(H465:H466)</f>
        <v>0</v>
      </c>
      <c r="I467" s="131">
        <f>SUM(I465:I466)</f>
        <v>0</v>
      </c>
      <c r="J467" s="116"/>
      <c r="K467" s="116"/>
      <c r="L467" s="131"/>
      <c r="M467" s="131">
        <f>SUM(M465:M466)</f>
        <v>0</v>
      </c>
      <c r="N467" s="131">
        <f>SUM(N465:N466)</f>
        <v>0</v>
      </c>
      <c r="O467" s="272"/>
      <c r="P467" s="207"/>
      <c r="Q467" s="131">
        <f>SUM(Q465:Q466)</f>
        <v>0</v>
      </c>
      <c r="R467" s="131">
        <f>SUM(R465:R466)</f>
        <v>0</v>
      </c>
      <c r="S467" s="257"/>
      <c r="T467" s="131">
        <f>SUM(T465:T466)</f>
        <v>0</v>
      </c>
      <c r="U467" s="131">
        <f>SUM(U465:U466)</f>
        <v>0</v>
      </c>
      <c r="V467" s="273"/>
      <c r="W467" s="131">
        <f>HLOOKUP($W$9,'ROR-Model'!$Q$10:$U$1263,Y467)</f>
        <v>0</v>
      </c>
      <c r="X467" s="118"/>
      <c r="Y467" s="577">
        <f t="shared" si="24"/>
        <v>458</v>
      </c>
      <c r="AA467" s="131">
        <v>0</v>
      </c>
      <c r="AB467" s="116">
        <f t="shared" si="25"/>
        <v>0</v>
      </c>
    </row>
    <row r="468" spans="1:28">
      <c r="A468" s="136"/>
      <c r="B468" s="102"/>
      <c r="C468" s="102"/>
      <c r="D468" s="102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272"/>
      <c r="P468" s="207"/>
      <c r="Q468" s="116"/>
      <c r="R468" s="116"/>
      <c r="S468" s="240"/>
      <c r="T468" s="116"/>
      <c r="U468" s="116"/>
      <c r="V468" s="273"/>
      <c r="W468" s="116"/>
      <c r="X468" s="118"/>
      <c r="Y468" s="577">
        <f t="shared" si="24"/>
        <v>459</v>
      </c>
      <c r="AA468" s="116"/>
      <c r="AB468" s="116">
        <f t="shared" si="25"/>
        <v>0</v>
      </c>
    </row>
    <row r="469" spans="1:28">
      <c r="A469" s="136">
        <v>492</v>
      </c>
      <c r="B469" s="102" t="s">
        <v>330</v>
      </c>
      <c r="C469" s="102"/>
      <c r="D469" s="102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272"/>
      <c r="P469" s="207"/>
      <c r="Q469" s="116"/>
      <c r="R469" s="116"/>
      <c r="S469" s="240"/>
      <c r="T469" s="116"/>
      <c r="U469" s="116"/>
      <c r="V469" s="273"/>
      <c r="W469" s="116"/>
      <c r="X469" s="118"/>
      <c r="Y469" s="577">
        <f t="shared" si="24"/>
        <v>460</v>
      </c>
      <c r="AA469" s="116"/>
      <c r="AB469" s="116">
        <f t="shared" si="25"/>
        <v>0</v>
      </c>
    </row>
    <row r="470" spans="1:28">
      <c r="A470" s="136"/>
      <c r="B470" s="102"/>
      <c r="C470" s="102" t="s">
        <v>14</v>
      </c>
      <c r="D470" s="102"/>
      <c r="E470" s="116" t="s">
        <v>559</v>
      </c>
      <c r="F470" s="116">
        <f>'Other Rev'!$H$105</f>
        <v>1746447.8848289</v>
      </c>
      <c r="G470" s="116">
        <f>+Adjustments!AW470</f>
        <v>0</v>
      </c>
      <c r="H470" s="116"/>
      <c r="I470" s="116">
        <f>SUM($F$470:$H$470)</f>
        <v>1746447.8848289</v>
      </c>
      <c r="J470" s="116"/>
      <c r="K470" s="116"/>
      <c r="L470" s="116" t="s">
        <v>14</v>
      </c>
      <c r="M470" s="116">
        <f>VLOOKUP($L470,$L$2:$N$7,2,FALSE)*I470</f>
        <v>1746447.8848289</v>
      </c>
      <c r="N470" s="116">
        <f>VLOOKUP($L470,$L$2:$N$7,3,FALSE)*I470</f>
        <v>0</v>
      </c>
      <c r="O470" s="272"/>
      <c r="P470" s="207" t="s">
        <v>559</v>
      </c>
      <c r="Q470" s="116">
        <f>IF(P470="G",M470,IF(P470="PT",0,ERR))</f>
        <v>0</v>
      </c>
      <c r="R470" s="116">
        <f>IF(P470="PT",M470,IF(P470="G",0,ERR))</f>
        <v>1746447.8848289</v>
      </c>
      <c r="S470" s="240" t="s">
        <v>559</v>
      </c>
      <c r="T470" s="116">
        <f>IF(S470="G",N470,IF(S470="PT",0,ERR))</f>
        <v>0</v>
      </c>
      <c r="U470" s="116">
        <f>IF(S470="PT",N470,IF(S470="G",0,ERR))</f>
        <v>0</v>
      </c>
      <c r="V470" s="273"/>
      <c r="W470" s="116">
        <f>HLOOKUP($W$9,'ROR-Model'!$Q$10:$U$1263,Y470)</f>
        <v>0</v>
      </c>
      <c r="X470" s="118"/>
      <c r="Y470" s="577">
        <f t="shared" si="24"/>
        <v>461</v>
      </c>
      <c r="AA470" s="116">
        <v>0</v>
      </c>
      <c r="AB470" s="116">
        <f t="shared" si="25"/>
        <v>0</v>
      </c>
    </row>
    <row r="471" spans="1:28">
      <c r="A471" s="136"/>
      <c r="B471" s="102"/>
      <c r="C471" s="102" t="s">
        <v>24</v>
      </c>
      <c r="D471" s="102"/>
      <c r="E471" s="116" t="s">
        <v>559</v>
      </c>
      <c r="F471" s="116">
        <f>'Other Rev'!$H$106</f>
        <v>62998.605171099989</v>
      </c>
      <c r="G471" s="116">
        <f>+Adjustments!AW471</f>
        <v>0</v>
      </c>
      <c r="H471" s="116"/>
      <c r="I471" s="116">
        <f>SUM($F$471:$H$471)</f>
        <v>62998.605171099989</v>
      </c>
      <c r="J471" s="116"/>
      <c r="K471" s="116"/>
      <c r="L471" s="116" t="s">
        <v>24</v>
      </c>
      <c r="M471" s="116">
        <f>VLOOKUP($L471,$L$2:$N$7,2,FALSE)*I471</f>
        <v>0</v>
      </c>
      <c r="N471" s="116">
        <f>VLOOKUP($L471,$L$2:$N$7,3,FALSE)*I471</f>
        <v>62998.605171099989</v>
      </c>
      <c r="O471" s="272"/>
      <c r="P471" s="207" t="s">
        <v>559</v>
      </c>
      <c r="Q471" s="116">
        <f>IF(P471="G",M471,IF(P471="PT",0,ERR))</f>
        <v>0</v>
      </c>
      <c r="R471" s="116">
        <f>IF(P471="PT",M471,IF(P471="G",0,ERR))</f>
        <v>0</v>
      </c>
      <c r="S471" s="207" t="s">
        <v>559</v>
      </c>
      <c r="T471" s="116">
        <f>IF(S471="G",N471,IF(S471="PT",0,ERR))</f>
        <v>0</v>
      </c>
      <c r="U471" s="116">
        <f>IF(S471="PT",N471,IF(S471="G",0,ERR))</f>
        <v>62998.605171099989</v>
      </c>
      <c r="V471" s="273"/>
      <c r="W471" s="116">
        <f>HLOOKUP($W$9,'ROR-Model'!$Q$10:$U$1263,Y471)</f>
        <v>0</v>
      </c>
      <c r="X471" s="118"/>
      <c r="Y471" s="577">
        <f t="shared" si="24"/>
        <v>462</v>
      </c>
      <c r="AA471" s="116">
        <v>0</v>
      </c>
      <c r="AB471" s="116">
        <f t="shared" si="25"/>
        <v>0</v>
      </c>
    </row>
    <row r="472" spans="1:28">
      <c r="A472" s="136"/>
      <c r="B472" s="102"/>
      <c r="C472" s="102" t="s">
        <v>170</v>
      </c>
      <c r="D472" s="102"/>
      <c r="E472" s="131"/>
      <c r="F472" s="131">
        <f>SUM(F470:F471)</f>
        <v>1809446.49</v>
      </c>
      <c r="G472" s="131">
        <f>SUM(G470:G471)</f>
        <v>0</v>
      </c>
      <c r="H472" s="131">
        <f>SUM(H470:H471)</f>
        <v>0</v>
      </c>
      <c r="I472" s="131">
        <f>SUM(I470:I471)</f>
        <v>1809446.49</v>
      </c>
      <c r="J472" s="116"/>
      <c r="K472" s="116"/>
      <c r="L472" s="131"/>
      <c r="M472" s="131">
        <f>SUM(M470:M471)</f>
        <v>1746447.8848289</v>
      </c>
      <c r="N472" s="131">
        <f>SUM(N470:N471)</f>
        <v>62998.605171099989</v>
      </c>
      <c r="O472" s="272"/>
      <c r="P472" s="207"/>
      <c r="Q472" s="131">
        <f>SUM(Q470:Q471)</f>
        <v>0</v>
      </c>
      <c r="R472" s="131">
        <f>SUM(R470:R471)</f>
        <v>1746447.8848289</v>
      </c>
      <c r="S472" s="257"/>
      <c r="T472" s="131">
        <f>SUM(T470:T471)</f>
        <v>0</v>
      </c>
      <c r="U472" s="131">
        <f>SUM(U470:U471)</f>
        <v>62998.605171099989</v>
      </c>
      <c r="V472" s="273"/>
      <c r="W472" s="131">
        <f>HLOOKUP($W$9,'ROR-Model'!$Q$10:$U$1263,Y472)</f>
        <v>0</v>
      </c>
      <c r="X472" s="118"/>
      <c r="Y472" s="577">
        <f t="shared" si="24"/>
        <v>463</v>
      </c>
      <c r="AA472" s="131">
        <v>0</v>
      </c>
      <c r="AB472" s="116">
        <f t="shared" si="25"/>
        <v>0</v>
      </c>
    </row>
    <row r="473" spans="1:28">
      <c r="A473" s="136"/>
      <c r="B473" s="102"/>
      <c r="C473" s="102"/>
      <c r="D473" s="102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272"/>
      <c r="P473" s="207"/>
      <c r="Q473" s="116"/>
      <c r="R473" s="116"/>
      <c r="S473" s="240"/>
      <c r="T473" s="116"/>
      <c r="U473" s="116"/>
      <c r="V473" s="273"/>
      <c r="W473" s="116"/>
      <c r="X473" s="118"/>
      <c r="Y473" s="577">
        <f t="shared" si="24"/>
        <v>464</v>
      </c>
      <c r="AA473" s="116"/>
      <c r="AB473" s="116">
        <f t="shared" si="25"/>
        <v>0</v>
      </c>
    </row>
    <row r="474" spans="1:28">
      <c r="A474" s="136">
        <v>493</v>
      </c>
      <c r="B474" s="102" t="s">
        <v>331</v>
      </c>
      <c r="C474" s="102"/>
      <c r="D474" s="102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272"/>
      <c r="P474" s="207"/>
      <c r="Q474" s="116"/>
      <c r="R474" s="116"/>
      <c r="S474" s="240"/>
      <c r="T474" s="116"/>
      <c r="U474" s="116"/>
      <c r="V474" s="273"/>
      <c r="W474" s="116"/>
      <c r="X474" s="118"/>
      <c r="Y474" s="577">
        <f t="shared" si="24"/>
        <v>465</v>
      </c>
      <c r="AA474" s="116"/>
      <c r="AB474" s="116">
        <f t="shared" si="25"/>
        <v>0</v>
      </c>
    </row>
    <row r="475" spans="1:28">
      <c r="A475" s="136"/>
      <c r="B475" s="102"/>
      <c r="C475" s="102" t="s">
        <v>14</v>
      </c>
      <c r="D475" s="102"/>
      <c r="E475" s="116" t="s">
        <v>559</v>
      </c>
      <c r="F475" s="116">
        <f>'Other Rev'!$H$110</f>
        <v>0</v>
      </c>
      <c r="G475" s="116">
        <f>+Adjustments!AW475</f>
        <v>0</v>
      </c>
      <c r="H475" s="116"/>
      <c r="I475" s="116">
        <f>SUM($F$475:$H$475)</f>
        <v>0</v>
      </c>
      <c r="J475" s="116"/>
      <c r="K475" s="116"/>
      <c r="L475" s="116" t="s">
        <v>14</v>
      </c>
      <c r="M475" s="116">
        <f>VLOOKUP($L475,$L$2:$N$7,2,FALSE)*I475</f>
        <v>0</v>
      </c>
      <c r="N475" s="116">
        <f>VLOOKUP($L475,$L$2:$N$7,3,FALSE)*I475</f>
        <v>0</v>
      </c>
      <c r="O475" s="272"/>
      <c r="P475" s="207" t="s">
        <v>559</v>
      </c>
      <c r="Q475" s="116">
        <f>IF(P475="G",M475,IF(P475="PT",0,ERR))</f>
        <v>0</v>
      </c>
      <c r="R475" s="116">
        <f>IF(P475="PT",M475,IF(P475="G",0,ERR))</f>
        <v>0</v>
      </c>
      <c r="S475" s="240" t="s">
        <v>559</v>
      </c>
      <c r="T475" s="116">
        <f>IF(S475="G",N475,IF(S475="PT",0,ERR))</f>
        <v>0</v>
      </c>
      <c r="U475" s="116">
        <f>IF(S475="PT",N475,IF(S475="G",0,ERR))</f>
        <v>0</v>
      </c>
      <c r="V475" s="273"/>
      <c r="W475" s="116">
        <f>HLOOKUP($W$9,'ROR-Model'!$Q$10:$U$1263,Y475)</f>
        <v>0</v>
      </c>
      <c r="X475" s="118"/>
      <c r="Y475" s="577">
        <f t="shared" si="24"/>
        <v>466</v>
      </c>
      <c r="AA475" s="116">
        <v>0</v>
      </c>
      <c r="AB475" s="116">
        <f t="shared" si="25"/>
        <v>0</v>
      </c>
    </row>
    <row r="476" spans="1:28">
      <c r="A476" s="136"/>
      <c r="B476" s="102"/>
      <c r="C476" s="102" t="s">
        <v>24</v>
      </c>
      <c r="D476" s="102"/>
      <c r="E476" s="116" t="s">
        <v>560</v>
      </c>
      <c r="F476" s="116">
        <f>'Other Rev'!$H$111</f>
        <v>0</v>
      </c>
      <c r="G476" s="116">
        <f>+Adjustments!AW476</f>
        <v>0</v>
      </c>
      <c r="H476" s="116"/>
      <c r="I476" s="116">
        <f>SUM($F$476:$H$476)</f>
        <v>0</v>
      </c>
      <c r="J476" s="116"/>
      <c r="K476" s="116"/>
      <c r="L476" s="116" t="s">
        <v>24</v>
      </c>
      <c r="M476" s="116">
        <f>VLOOKUP($L476,$L$2:$N$7,2,FALSE)*I476</f>
        <v>0</v>
      </c>
      <c r="N476" s="116">
        <f>VLOOKUP($L476,$L$2:$N$7,3,FALSE)*I476</f>
        <v>0</v>
      </c>
      <c r="O476" s="272"/>
      <c r="P476" s="207" t="s">
        <v>560</v>
      </c>
      <c r="Q476" s="116">
        <f>IF(P476="G",M476,IF(P476="PT",0,ERR))</f>
        <v>0</v>
      </c>
      <c r="R476" s="116">
        <f>IF(P476="PT",M476,IF(P476="G",0,ERR))</f>
        <v>0</v>
      </c>
      <c r="S476" s="240" t="s">
        <v>560</v>
      </c>
      <c r="T476" s="116">
        <f>IF(S476="G",N476,IF(S476="PT",0,ERR))</f>
        <v>0</v>
      </c>
      <c r="U476" s="116">
        <f>IF(S476="PT",N476,IF(S476="G",0,ERR))</f>
        <v>0</v>
      </c>
      <c r="V476" s="273"/>
      <c r="W476" s="116">
        <f>HLOOKUP($W$9,'ROR-Model'!$Q$10:$U$1263,Y476)</f>
        <v>0</v>
      </c>
      <c r="X476" s="118"/>
      <c r="Y476" s="577">
        <f t="shared" si="24"/>
        <v>467</v>
      </c>
      <c r="AA476" s="116">
        <v>0</v>
      </c>
      <c r="AB476" s="116">
        <f t="shared" si="25"/>
        <v>0</v>
      </c>
    </row>
    <row r="477" spans="1:28">
      <c r="A477" s="136"/>
      <c r="B477" s="102"/>
      <c r="C477" s="102" t="s">
        <v>170</v>
      </c>
      <c r="D477" s="102"/>
      <c r="E477" s="131"/>
      <c r="F477" s="131">
        <f>SUM(F475:F476)</f>
        <v>0</v>
      </c>
      <c r="G477" s="131">
        <f>SUM(G475:G476)</f>
        <v>0</v>
      </c>
      <c r="H477" s="131">
        <f>SUM(H475:H476)</f>
        <v>0</v>
      </c>
      <c r="I477" s="131">
        <f>SUM(I475:I476)</f>
        <v>0</v>
      </c>
      <c r="J477" s="116"/>
      <c r="K477" s="116"/>
      <c r="L477" s="131"/>
      <c r="M477" s="131">
        <f>SUM(M475:M476)</f>
        <v>0</v>
      </c>
      <c r="N477" s="131">
        <f>SUM(N475:N476)</f>
        <v>0</v>
      </c>
      <c r="O477" s="272"/>
      <c r="P477" s="207"/>
      <c r="Q477" s="131">
        <f>SUM(Q475:Q476)</f>
        <v>0</v>
      </c>
      <c r="R477" s="131">
        <f>SUM(R475:R476)</f>
        <v>0</v>
      </c>
      <c r="S477" s="257"/>
      <c r="T477" s="131">
        <f>SUM(T475:T476)</f>
        <v>0</v>
      </c>
      <c r="U477" s="131">
        <f>SUM(U475:U476)</f>
        <v>0</v>
      </c>
      <c r="V477" s="273"/>
      <c r="W477" s="131">
        <f>HLOOKUP($W$9,'ROR-Model'!$Q$10:$U$1263,Y477)</f>
        <v>0</v>
      </c>
      <c r="X477" s="118"/>
      <c r="Y477" s="577">
        <f t="shared" si="24"/>
        <v>468</v>
      </c>
      <c r="AA477" s="131">
        <v>0</v>
      </c>
      <c r="AB477" s="116">
        <f t="shared" si="25"/>
        <v>0</v>
      </c>
    </row>
    <row r="478" spans="1:28">
      <c r="A478" s="136"/>
      <c r="B478" s="102"/>
      <c r="C478" s="102"/>
      <c r="D478" s="102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272"/>
      <c r="P478" s="207"/>
      <c r="Q478" s="116"/>
      <c r="R478" s="116"/>
      <c r="S478" s="240"/>
      <c r="T478" s="116"/>
      <c r="U478" s="116"/>
      <c r="V478" s="273"/>
      <c r="W478" s="116"/>
      <c r="X478" s="118"/>
      <c r="Y478" s="577">
        <f t="shared" si="24"/>
        <v>469</v>
      </c>
      <c r="AA478" s="116"/>
      <c r="AB478" s="116">
        <f t="shared" si="25"/>
        <v>0</v>
      </c>
    </row>
    <row r="479" spans="1:28">
      <c r="A479" s="136">
        <v>495</v>
      </c>
      <c r="B479" s="102" t="s">
        <v>334</v>
      </c>
      <c r="C479" s="102"/>
      <c r="D479" s="102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272"/>
      <c r="P479" s="207"/>
      <c r="Q479" s="116"/>
      <c r="R479" s="116"/>
      <c r="S479" s="240"/>
      <c r="T479" s="116"/>
      <c r="U479" s="116"/>
      <c r="V479" s="273"/>
      <c r="W479" s="116"/>
      <c r="X479" s="118"/>
      <c r="Y479" s="577">
        <f t="shared" si="24"/>
        <v>470</v>
      </c>
      <c r="AA479" s="116"/>
      <c r="AB479" s="116">
        <f t="shared" si="25"/>
        <v>0</v>
      </c>
    </row>
    <row r="480" spans="1:28">
      <c r="A480" s="136"/>
      <c r="B480" s="102"/>
      <c r="C480" s="102" t="s">
        <v>14</v>
      </c>
      <c r="D480" s="102"/>
      <c r="E480" s="116" t="s">
        <v>559</v>
      </c>
      <c r="F480" s="116">
        <f>'Other Rev'!$H$115</f>
        <v>-263367.86752480001</v>
      </c>
      <c r="G480" s="116">
        <f>+Adjustments!AW480</f>
        <v>0</v>
      </c>
      <c r="H480" s="116"/>
      <c r="I480" s="116">
        <f>SUM($F$480:$H$480)</f>
        <v>-263367.86752480001</v>
      </c>
      <c r="J480" s="116"/>
      <c r="K480" s="116"/>
      <c r="L480" s="116" t="s">
        <v>14</v>
      </c>
      <c r="M480" s="116">
        <f>VLOOKUP($L480,$L$2:$N$7,2,FALSE)*I480</f>
        <v>-263367.86752480001</v>
      </c>
      <c r="N480" s="116">
        <f>VLOOKUP($L480,$L$2:$N$7,3,FALSE)*I480</f>
        <v>0</v>
      </c>
      <c r="O480" s="272"/>
      <c r="P480" s="207" t="s">
        <v>559</v>
      </c>
      <c r="Q480" s="116">
        <f>IF(P480="G",M480,IF(P480="PT",0,ERR))</f>
        <v>0</v>
      </c>
      <c r="R480" s="116">
        <f>IF(P480="PT",M480,IF(P480="G",0,ERR))</f>
        <v>-263367.86752480001</v>
      </c>
      <c r="S480" s="240" t="s">
        <v>559</v>
      </c>
      <c r="T480" s="116">
        <f>IF(S480="G",N480,IF(S480="PT",0,ERR))</f>
        <v>0</v>
      </c>
      <c r="U480" s="116">
        <f>IF(S480="PT",N480,IF(S480="G",0,ERR))</f>
        <v>0</v>
      </c>
      <c r="V480" s="273"/>
      <c r="W480" s="116">
        <f>HLOOKUP($W$9,'ROR-Model'!$Q$10:$U$1263,Y480)</f>
        <v>0</v>
      </c>
      <c r="X480" s="118"/>
      <c r="Y480" s="577">
        <f t="shared" si="24"/>
        <v>471</v>
      </c>
      <c r="AA480" s="116">
        <v>0</v>
      </c>
      <c r="AB480" s="116">
        <f t="shared" si="25"/>
        <v>0</v>
      </c>
    </row>
    <row r="481" spans="1:28">
      <c r="A481" s="136"/>
      <c r="B481" s="102"/>
      <c r="C481" s="102" t="s">
        <v>24</v>
      </c>
      <c r="D481" s="102"/>
      <c r="E481" s="116" t="s">
        <v>560</v>
      </c>
      <c r="F481" s="116">
        <f>'Other Rev'!$H$116</f>
        <v>-9909.1524752000041</v>
      </c>
      <c r="G481" s="116">
        <f>+Adjustments!AW481</f>
        <v>0</v>
      </c>
      <c r="H481" s="116"/>
      <c r="I481" s="116">
        <f>SUM($F$481:$H$481)</f>
        <v>-9909.1524752000041</v>
      </c>
      <c r="J481" s="116"/>
      <c r="K481" s="116"/>
      <c r="L481" s="116" t="s">
        <v>24</v>
      </c>
      <c r="M481" s="116">
        <f>VLOOKUP($L481,$L$2:$N$7,2,FALSE)*I481</f>
        <v>0</v>
      </c>
      <c r="N481" s="116">
        <f>VLOOKUP($L481,$L$2:$N$7,3,FALSE)*I481</f>
        <v>-9909.1524752000041</v>
      </c>
      <c r="O481" s="272"/>
      <c r="P481" s="207" t="s">
        <v>560</v>
      </c>
      <c r="Q481" s="116">
        <f>IF(P481="G",M481,IF(P481="PT",0,ERR))</f>
        <v>0</v>
      </c>
      <c r="R481" s="116">
        <f>IF(P481="PT",M481,IF(P481="G",0,ERR))</f>
        <v>0</v>
      </c>
      <c r="S481" s="240" t="s">
        <v>560</v>
      </c>
      <c r="T481" s="116">
        <f>IF(S481="G",N481,IF(S481="PT",0,ERR))</f>
        <v>-9909.1524752000041</v>
      </c>
      <c r="U481" s="116">
        <f>IF(S481="PT",N481,IF(S481="G",0,ERR))</f>
        <v>0</v>
      </c>
      <c r="V481" s="273"/>
      <c r="W481" s="116">
        <f>HLOOKUP($W$9,'ROR-Model'!$Q$10:$U$1263,Y481)</f>
        <v>0</v>
      </c>
      <c r="X481" s="118"/>
      <c r="Y481" s="577">
        <f t="shared" si="24"/>
        <v>472</v>
      </c>
      <c r="AA481" s="116">
        <v>0</v>
      </c>
      <c r="AB481" s="116">
        <f t="shared" si="25"/>
        <v>0</v>
      </c>
    </row>
    <row r="482" spans="1:28">
      <c r="A482" s="136"/>
      <c r="B482" s="102"/>
      <c r="C482" s="102" t="s">
        <v>170</v>
      </c>
      <c r="D482" s="102"/>
      <c r="E482" s="131"/>
      <c r="F482" s="131">
        <f>SUM(F480:F481)</f>
        <v>-273277.02</v>
      </c>
      <c r="G482" s="131">
        <f>SUM(G480:G481)</f>
        <v>0</v>
      </c>
      <c r="H482" s="131">
        <f>SUM(H480:H481)</f>
        <v>0</v>
      </c>
      <c r="I482" s="131">
        <f>SUM(I480:I481)</f>
        <v>-273277.02</v>
      </c>
      <c r="J482" s="116"/>
      <c r="K482" s="116"/>
      <c r="L482" s="131"/>
      <c r="M482" s="131">
        <f>SUM(M480:M481)</f>
        <v>-263367.86752480001</v>
      </c>
      <c r="N482" s="131">
        <f>SUM(N480:N481)</f>
        <v>-9909.1524752000041</v>
      </c>
      <c r="O482" s="272"/>
      <c r="P482" s="207"/>
      <c r="Q482" s="131">
        <f>SUM(Q480:Q481)</f>
        <v>0</v>
      </c>
      <c r="R482" s="131">
        <f>SUM(R480:R481)</f>
        <v>-263367.86752480001</v>
      </c>
      <c r="S482" s="257"/>
      <c r="T482" s="131">
        <f>SUM(T480:T481)</f>
        <v>-9909.1524752000041</v>
      </c>
      <c r="U482" s="131">
        <f>SUM(U480:U481)</f>
        <v>0</v>
      </c>
      <c r="V482" s="273"/>
      <c r="W482" s="131">
        <f>HLOOKUP($W$9,'ROR-Model'!$Q$10:$U$1263,Y482)</f>
        <v>0</v>
      </c>
      <c r="X482" s="118"/>
      <c r="Y482" s="577">
        <f t="shared" si="24"/>
        <v>473</v>
      </c>
      <c r="AA482" s="131">
        <v>0</v>
      </c>
      <c r="AB482" s="116">
        <f t="shared" si="25"/>
        <v>0</v>
      </c>
    </row>
    <row r="483" spans="1:28">
      <c r="A483" s="136"/>
      <c r="B483" s="102"/>
      <c r="C483" s="102"/>
      <c r="D483" s="102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272"/>
      <c r="P483" s="207"/>
      <c r="Q483" s="116"/>
      <c r="R483" s="116"/>
      <c r="S483" s="240"/>
      <c r="T483" s="116"/>
      <c r="U483" s="116"/>
      <c r="V483" s="273"/>
      <c r="W483" s="116"/>
      <c r="X483" s="118"/>
      <c r="Y483" s="577">
        <f t="shared" si="24"/>
        <v>474</v>
      </c>
      <c r="AA483" s="116"/>
      <c r="AB483" s="116">
        <f t="shared" si="25"/>
        <v>0</v>
      </c>
    </row>
    <row r="484" spans="1:28">
      <c r="A484" s="136">
        <v>4951</v>
      </c>
      <c r="B484" s="102" t="s">
        <v>335</v>
      </c>
      <c r="C484" s="102"/>
      <c r="D484" s="102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272"/>
      <c r="P484" s="207"/>
      <c r="Q484" s="116"/>
      <c r="R484" s="116"/>
      <c r="S484" s="240"/>
      <c r="T484" s="116"/>
      <c r="U484" s="116"/>
      <c r="V484" s="273"/>
      <c r="W484" s="116"/>
      <c r="X484" s="118"/>
      <c r="Y484" s="577">
        <f t="shared" si="24"/>
        <v>475</v>
      </c>
      <c r="AA484" s="116"/>
      <c r="AB484" s="116">
        <f t="shared" si="25"/>
        <v>0</v>
      </c>
    </row>
    <row r="485" spans="1:28">
      <c r="A485" s="136"/>
      <c r="B485" s="102"/>
      <c r="C485" s="102" t="s">
        <v>14</v>
      </c>
      <c r="D485" s="102"/>
      <c r="E485" s="116" t="s">
        <v>559</v>
      </c>
      <c r="F485" s="116">
        <f>'Other Rev'!$H$120</f>
        <v>10370524.584048901</v>
      </c>
      <c r="G485" s="116">
        <f>+Adjustments!AW485</f>
        <v>0</v>
      </c>
      <c r="H485" s="116"/>
      <c r="I485" s="116">
        <f>SUM($F$485:$H$485)</f>
        <v>10370524.584048901</v>
      </c>
      <c r="J485" s="116"/>
      <c r="K485" s="116"/>
      <c r="L485" s="116" t="s">
        <v>14</v>
      </c>
      <c r="M485" s="116">
        <f>VLOOKUP($L485,$L$2:$N$7,2,FALSE)*I485</f>
        <v>10370524.584048901</v>
      </c>
      <c r="N485" s="116">
        <f>VLOOKUP($L485,$L$2:$N$7,3,FALSE)*I485</f>
        <v>0</v>
      </c>
      <c r="O485" s="272"/>
      <c r="P485" s="207" t="s">
        <v>559</v>
      </c>
      <c r="Q485" s="116">
        <f>IF(P485="G",M485,IF(P485="PT",0,ERR))</f>
        <v>0</v>
      </c>
      <c r="R485" s="116">
        <f>IF(P485="PT",M485,IF(P485="G",0,ERR))</f>
        <v>10370524.584048901</v>
      </c>
      <c r="S485" s="240" t="s">
        <v>559</v>
      </c>
      <c r="T485" s="116">
        <f>IF(S485="G",N485,IF(S485="PT",0,ERR))</f>
        <v>0</v>
      </c>
      <c r="U485" s="116">
        <f>IF(S485="PT",N485,IF(S485="G",0,ERR))</f>
        <v>0</v>
      </c>
      <c r="V485" s="273"/>
      <c r="W485" s="116">
        <f>HLOOKUP($W$9,'ROR-Model'!$Q$10:$U$1263,Y485)</f>
        <v>0</v>
      </c>
      <c r="X485" s="118"/>
      <c r="Y485" s="577">
        <f t="shared" si="24"/>
        <v>476</v>
      </c>
      <c r="AA485" s="116">
        <v>0</v>
      </c>
      <c r="AB485" s="116">
        <f t="shared" si="25"/>
        <v>0</v>
      </c>
    </row>
    <row r="486" spans="1:28">
      <c r="A486" s="136"/>
      <c r="B486" s="102"/>
      <c r="C486" s="102" t="s">
        <v>24</v>
      </c>
      <c r="D486" s="102"/>
      <c r="E486" s="116" t="s">
        <v>559</v>
      </c>
      <c r="F486" s="116">
        <f>'Other Rev'!$H$121</f>
        <v>375650.00595109991</v>
      </c>
      <c r="G486" s="116">
        <f>+Adjustments!AW486</f>
        <v>0</v>
      </c>
      <c r="H486" s="116"/>
      <c r="I486" s="116">
        <f>SUM($F$486:$H$486)</f>
        <v>375650.00595109991</v>
      </c>
      <c r="J486" s="116"/>
      <c r="K486" s="116"/>
      <c r="L486" s="116" t="s">
        <v>24</v>
      </c>
      <c r="M486" s="116">
        <f>VLOOKUP($L486,$L$2:$N$7,2,FALSE)*I486</f>
        <v>0</v>
      </c>
      <c r="N486" s="116">
        <f>VLOOKUP($L486,$L$2:$N$7,3,FALSE)*I486</f>
        <v>375650.00595109991</v>
      </c>
      <c r="O486" s="272"/>
      <c r="P486" s="207" t="s">
        <v>559</v>
      </c>
      <c r="Q486" s="116">
        <f>IF(P486="G",M486,IF(P486="PT",0,ERR))</f>
        <v>0</v>
      </c>
      <c r="R486" s="116">
        <f>IF(P486="PT",M486,IF(P486="G",0,ERR))</f>
        <v>0</v>
      </c>
      <c r="S486" s="240" t="s">
        <v>559</v>
      </c>
      <c r="T486" s="116">
        <f>IF(S486="G",N486,IF(S486="PT",0,ERR))</f>
        <v>0</v>
      </c>
      <c r="U486" s="116">
        <f>IF(S486="PT",N486,IF(S486="G",0,ERR))</f>
        <v>375650.00595109991</v>
      </c>
      <c r="V486" s="273"/>
      <c r="W486" s="116">
        <f>HLOOKUP($W$9,'ROR-Model'!$Q$10:$U$1263,Y486)</f>
        <v>0</v>
      </c>
      <c r="X486" s="118"/>
      <c r="Y486" s="577">
        <f t="shared" si="24"/>
        <v>477</v>
      </c>
      <c r="AA486" s="116">
        <v>0</v>
      </c>
      <c r="AB486" s="116">
        <f t="shared" si="25"/>
        <v>0</v>
      </c>
    </row>
    <row r="487" spans="1:28">
      <c r="A487" s="136"/>
      <c r="B487" s="102"/>
      <c r="C487" s="102" t="s">
        <v>170</v>
      </c>
      <c r="D487" s="102"/>
      <c r="E487" s="131"/>
      <c r="F487" s="131">
        <f>SUM(F485:F486)</f>
        <v>10746174.59</v>
      </c>
      <c r="G487" s="131">
        <f>SUM(G485:G486)</f>
        <v>0</v>
      </c>
      <c r="H487" s="131">
        <f>SUM(H485:H486)</f>
        <v>0</v>
      </c>
      <c r="I487" s="131">
        <f>SUM(I485:I486)</f>
        <v>10746174.59</v>
      </c>
      <c r="J487" s="116"/>
      <c r="K487" s="116"/>
      <c r="L487" s="131"/>
      <c r="M487" s="131">
        <f>SUM(M485:M486)</f>
        <v>10370524.584048901</v>
      </c>
      <c r="N487" s="131">
        <f>SUM(N485:N486)</f>
        <v>375650.00595109991</v>
      </c>
      <c r="O487" s="272"/>
      <c r="P487" s="207"/>
      <c r="Q487" s="131">
        <f>SUM(Q485:Q486)</f>
        <v>0</v>
      </c>
      <c r="R487" s="131">
        <f>SUM(R485:R486)</f>
        <v>10370524.584048901</v>
      </c>
      <c r="S487" s="257"/>
      <c r="T487" s="131">
        <f>SUM(T485:T486)</f>
        <v>0</v>
      </c>
      <c r="U487" s="131">
        <f>SUM(U485:U486)</f>
        <v>375650.00595109991</v>
      </c>
      <c r="V487" s="273"/>
      <c r="W487" s="131">
        <f>HLOOKUP($W$9,'ROR-Model'!$Q$10:$U$1263,Y487)</f>
        <v>0</v>
      </c>
      <c r="X487" s="118"/>
      <c r="Y487" s="577">
        <f t="shared" si="24"/>
        <v>478</v>
      </c>
      <c r="AA487" s="131">
        <v>0</v>
      </c>
      <c r="AB487" s="116">
        <f t="shared" si="25"/>
        <v>0</v>
      </c>
    </row>
    <row r="488" spans="1:28">
      <c r="A488" s="136"/>
      <c r="B488" s="102"/>
      <c r="C488" s="102"/>
      <c r="D488" s="102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272"/>
      <c r="P488" s="207"/>
      <c r="Q488" s="116"/>
      <c r="R488" s="116"/>
      <c r="S488" s="240"/>
      <c r="T488" s="116"/>
      <c r="U488" s="116"/>
      <c r="V488" s="273"/>
      <c r="W488" s="116"/>
      <c r="X488" s="118"/>
      <c r="Y488" s="577">
        <f t="shared" si="24"/>
        <v>479</v>
      </c>
      <c r="AA488" s="116"/>
      <c r="AB488" s="116">
        <f t="shared" si="25"/>
        <v>0</v>
      </c>
    </row>
    <row r="489" spans="1:28">
      <c r="A489" s="136">
        <v>4952</v>
      </c>
      <c r="B489" s="102" t="s">
        <v>336</v>
      </c>
      <c r="C489" s="102"/>
      <c r="D489" s="102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272"/>
      <c r="P489" s="207"/>
      <c r="Q489" s="116"/>
      <c r="R489" s="116"/>
      <c r="S489" s="240"/>
      <c r="T489" s="116"/>
      <c r="U489" s="116"/>
      <c r="V489" s="273"/>
      <c r="W489" s="116"/>
      <c r="X489" s="118"/>
      <c r="Y489" s="577">
        <f t="shared" si="24"/>
        <v>480</v>
      </c>
      <c r="AA489" s="116"/>
      <c r="AB489" s="116">
        <f t="shared" si="25"/>
        <v>0</v>
      </c>
    </row>
    <row r="490" spans="1:28">
      <c r="A490" s="136"/>
      <c r="B490" s="102"/>
      <c r="C490" s="102" t="s">
        <v>14</v>
      </c>
      <c r="D490" s="102"/>
      <c r="E490" s="116" t="s">
        <v>559</v>
      </c>
      <c r="F490" s="116">
        <f>'Other Rev'!$H$125</f>
        <v>118657.68864000001</v>
      </c>
      <c r="G490" s="116">
        <f>+Adjustments!AW490</f>
        <v>0</v>
      </c>
      <c r="H490" s="116"/>
      <c r="I490" s="116">
        <f>SUM($F$490:$H$490)</f>
        <v>118657.68864000001</v>
      </c>
      <c r="J490" s="116"/>
      <c r="K490" s="116"/>
      <c r="L490" s="116" t="s">
        <v>14</v>
      </c>
      <c r="M490" s="116">
        <f>VLOOKUP($L490,$L$2:$N$7,2,FALSE)*I490</f>
        <v>118657.68864000001</v>
      </c>
      <c r="N490" s="116">
        <f>VLOOKUP($L490,$L$2:$N$7,3,FALSE)*I490</f>
        <v>0</v>
      </c>
      <c r="O490" s="272"/>
      <c r="P490" s="207" t="s">
        <v>559</v>
      </c>
      <c r="Q490" s="116">
        <f>IF(P490="G",M490,IF(P490="PT",0,ERR))</f>
        <v>0</v>
      </c>
      <c r="R490" s="116">
        <f>IF(P490="PT",M490,IF(P490="G",0,ERR))</f>
        <v>118657.68864000001</v>
      </c>
      <c r="S490" s="240" t="s">
        <v>559</v>
      </c>
      <c r="T490" s="116">
        <f>IF(S490="G",N490,IF(S490="PT",0,ERR))</f>
        <v>0</v>
      </c>
      <c r="U490" s="116">
        <f>IF(S490="PT",N490,IF(S490="G",0,ERR))</f>
        <v>0</v>
      </c>
      <c r="V490" s="273"/>
      <c r="W490" s="116">
        <f>HLOOKUP($W$9,'ROR-Model'!$Q$10:$U$1263,Y490)</f>
        <v>0</v>
      </c>
      <c r="X490" s="118"/>
      <c r="Y490" s="577">
        <f t="shared" si="24"/>
        <v>481</v>
      </c>
      <c r="AA490" s="116">
        <v>0</v>
      </c>
      <c r="AB490" s="116">
        <f t="shared" si="25"/>
        <v>0</v>
      </c>
    </row>
    <row r="491" spans="1:28">
      <c r="A491" s="136"/>
      <c r="B491" s="102"/>
      <c r="C491" s="102" t="s">
        <v>24</v>
      </c>
      <c r="D491" s="102"/>
      <c r="E491" s="116" t="s">
        <v>559</v>
      </c>
      <c r="F491" s="116">
        <f>'Other Rev'!$H$126</f>
        <v>4187.3113599999997</v>
      </c>
      <c r="G491" s="116">
        <f>+Adjustments!AW491</f>
        <v>0</v>
      </c>
      <c r="H491" s="116"/>
      <c r="I491" s="116">
        <f>SUM($F$491:$H$491)</f>
        <v>4187.3113599999997</v>
      </c>
      <c r="J491" s="116"/>
      <c r="K491" s="116"/>
      <c r="L491" s="116" t="s">
        <v>24</v>
      </c>
      <c r="M491" s="116">
        <f>VLOOKUP($L491,$L$2:$N$7,2,FALSE)*I491</f>
        <v>0</v>
      </c>
      <c r="N491" s="116">
        <f>VLOOKUP($L491,$L$2:$N$7,3,FALSE)*I491</f>
        <v>4187.3113599999997</v>
      </c>
      <c r="O491" s="272"/>
      <c r="P491" s="207" t="s">
        <v>559</v>
      </c>
      <c r="Q491" s="116">
        <f>IF(P491="G",M491,IF(P491="PT",0,ERR))</f>
        <v>0</v>
      </c>
      <c r="R491" s="116">
        <f>IF(P491="PT",M491,IF(P491="G",0,ERR))</f>
        <v>0</v>
      </c>
      <c r="S491" s="240" t="s">
        <v>559</v>
      </c>
      <c r="T491" s="116">
        <f>IF(S491="G",N491,IF(S491="PT",0,ERR))</f>
        <v>0</v>
      </c>
      <c r="U491" s="116">
        <f>IF(S491="PT",N491,IF(S491="G",0,ERR))</f>
        <v>4187.3113599999997</v>
      </c>
      <c r="V491" s="273"/>
      <c r="W491" s="116">
        <f>HLOOKUP($W$9,'ROR-Model'!$Q$10:$U$1263,Y491)</f>
        <v>0</v>
      </c>
      <c r="X491" s="118"/>
      <c r="Y491" s="577">
        <f t="shared" si="24"/>
        <v>482</v>
      </c>
      <c r="AA491" s="116">
        <v>0</v>
      </c>
      <c r="AB491" s="116">
        <f t="shared" si="25"/>
        <v>0</v>
      </c>
    </row>
    <row r="492" spans="1:28">
      <c r="A492" s="136"/>
      <c r="B492" s="102"/>
      <c r="C492" s="102" t="s">
        <v>170</v>
      </c>
      <c r="D492" s="102"/>
      <c r="E492" s="131"/>
      <c r="F492" s="131">
        <f>SUM(F490:F491)</f>
        <v>122845</v>
      </c>
      <c r="G492" s="131">
        <f>SUM(G490:G491)</f>
        <v>0</v>
      </c>
      <c r="H492" s="131">
        <f>SUM(H490:H491)</f>
        <v>0</v>
      </c>
      <c r="I492" s="131">
        <f>SUM(I490:I491)</f>
        <v>122845</v>
      </c>
      <c r="J492" s="116"/>
      <c r="K492" s="116"/>
      <c r="L492" s="131"/>
      <c r="M492" s="131">
        <f>SUM(M490:M491)</f>
        <v>118657.68864000001</v>
      </c>
      <c r="N492" s="131">
        <f>SUM(N490:N491)</f>
        <v>4187.3113599999997</v>
      </c>
      <c r="O492" s="272"/>
      <c r="P492" s="207"/>
      <c r="Q492" s="131">
        <f>SUM(Q490:Q491)</f>
        <v>0</v>
      </c>
      <c r="R492" s="131">
        <f>SUM(R490:R491)</f>
        <v>118657.68864000001</v>
      </c>
      <c r="S492" s="257"/>
      <c r="T492" s="131">
        <f>SUM(T490:T491)</f>
        <v>0</v>
      </c>
      <c r="U492" s="131">
        <f>SUM(U490:U491)</f>
        <v>4187.3113599999997</v>
      </c>
      <c r="V492" s="273"/>
      <c r="W492" s="131">
        <f>HLOOKUP($W$9,'ROR-Model'!$Q$10:$U$1263,Y492)</f>
        <v>0</v>
      </c>
      <c r="X492" s="118"/>
      <c r="Y492" s="577">
        <f t="shared" si="24"/>
        <v>483</v>
      </c>
      <c r="AA492" s="131">
        <v>0</v>
      </c>
      <c r="AB492" s="116">
        <f t="shared" si="25"/>
        <v>0</v>
      </c>
    </row>
    <row r="493" spans="1:28">
      <c r="A493" s="136"/>
      <c r="B493" s="102"/>
      <c r="C493" s="102"/>
      <c r="D493" s="102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272"/>
      <c r="P493" s="207"/>
      <c r="Q493" s="116"/>
      <c r="R493" s="116"/>
      <c r="S493" s="240"/>
      <c r="T493" s="116"/>
      <c r="U493" s="116"/>
      <c r="V493" s="273"/>
      <c r="W493" s="116"/>
      <c r="X493" s="118"/>
      <c r="Y493" s="577">
        <f t="shared" si="24"/>
        <v>484</v>
      </c>
      <c r="AA493" s="116"/>
      <c r="AB493" s="116">
        <f t="shared" si="25"/>
        <v>0</v>
      </c>
    </row>
    <row r="494" spans="1:28">
      <c r="A494" s="136">
        <v>4974</v>
      </c>
      <c r="B494" s="102" t="s">
        <v>340</v>
      </c>
      <c r="C494" s="102"/>
      <c r="D494" s="102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272"/>
      <c r="P494" s="207"/>
      <c r="Q494" s="116"/>
      <c r="R494" s="116"/>
      <c r="S494" s="240"/>
      <c r="T494" s="116"/>
      <c r="U494" s="116"/>
      <c r="V494" s="273"/>
      <c r="W494" s="116"/>
      <c r="X494" s="118"/>
      <c r="Y494" s="577">
        <f t="shared" si="24"/>
        <v>485</v>
      </c>
      <c r="AA494" s="116"/>
      <c r="AB494" s="116">
        <f t="shared" si="25"/>
        <v>0</v>
      </c>
    </row>
    <row r="495" spans="1:28">
      <c r="A495" s="227"/>
      <c r="B495" s="102"/>
      <c r="C495" s="102" t="s">
        <v>14</v>
      </c>
      <c r="D495" s="102"/>
      <c r="E495" s="116" t="s">
        <v>560</v>
      </c>
      <c r="F495" s="116">
        <f>'Other Rev'!$H$130</f>
        <v>0</v>
      </c>
      <c r="G495" s="116">
        <f>+Adjustments!AW495</f>
        <v>0</v>
      </c>
      <c r="H495" s="116"/>
      <c r="I495" s="116">
        <f>SUM($F$495:$H$495)</f>
        <v>0</v>
      </c>
      <c r="J495" s="116"/>
      <c r="K495" s="116"/>
      <c r="L495" s="116" t="s">
        <v>14</v>
      </c>
      <c r="M495" s="116">
        <f>VLOOKUP($L495,$L$2:$N$7,2,FALSE)*I495</f>
        <v>0</v>
      </c>
      <c r="N495" s="116">
        <f>VLOOKUP($L495,$L$2:$N$7,3,FALSE)*I495</f>
        <v>0</v>
      </c>
      <c r="O495" s="272"/>
      <c r="P495" s="207" t="s">
        <v>560</v>
      </c>
      <c r="Q495" s="116">
        <f>IF(P495="G",M495,IF(P495="PT",0,ERR))</f>
        <v>0</v>
      </c>
      <c r="R495" s="116">
        <f>IF(P495="PT",M495,IF(P495="G",0,ERR))</f>
        <v>0</v>
      </c>
      <c r="S495" s="240" t="s">
        <v>560</v>
      </c>
      <c r="T495" s="116">
        <f>IF(S495="G",N495,IF(S495="PT",0,ERR))</f>
        <v>0</v>
      </c>
      <c r="U495" s="116">
        <f>IF(S495="PT",N495,IF(S495="G",0,ERR))</f>
        <v>0</v>
      </c>
      <c r="V495" s="273"/>
      <c r="W495" s="116">
        <f>HLOOKUP($W$9,'ROR-Model'!$Q$10:$U$1263,Y495)</f>
        <v>0</v>
      </c>
      <c r="X495" s="118"/>
      <c r="Y495" s="577">
        <f t="shared" si="24"/>
        <v>486</v>
      </c>
      <c r="AA495" s="116">
        <v>0</v>
      </c>
      <c r="AB495" s="116">
        <f t="shared" si="25"/>
        <v>0</v>
      </c>
    </row>
    <row r="496" spans="1:28">
      <c r="A496" s="227"/>
      <c r="B496" s="102"/>
      <c r="C496" s="102" t="s">
        <v>24</v>
      </c>
      <c r="D496" s="102"/>
      <c r="E496" s="116" t="s">
        <v>560</v>
      </c>
      <c r="F496" s="116">
        <f>'Other Rev'!$H$131</f>
        <v>0</v>
      </c>
      <c r="G496" s="116">
        <f>+Adjustments!AW496</f>
        <v>0</v>
      </c>
      <c r="H496" s="116"/>
      <c r="I496" s="116">
        <f>SUM($F$496:$H$496)</f>
        <v>0</v>
      </c>
      <c r="J496" s="116"/>
      <c r="K496" s="116"/>
      <c r="L496" s="116" t="s">
        <v>24</v>
      </c>
      <c r="M496" s="116">
        <f>VLOOKUP($L496,$L$2:$N$7,2,FALSE)*I496</f>
        <v>0</v>
      </c>
      <c r="N496" s="116">
        <f>VLOOKUP($L496,$L$2:$N$7,3,FALSE)*I496</f>
        <v>0</v>
      </c>
      <c r="O496" s="272"/>
      <c r="P496" s="207" t="s">
        <v>560</v>
      </c>
      <c r="Q496" s="116">
        <f>IF(P496="G",M496,IF(P496="PT",0,ERR))</f>
        <v>0</v>
      </c>
      <c r="R496" s="116">
        <f>IF(P496="PT",M496,IF(P496="G",0,ERR))</f>
        <v>0</v>
      </c>
      <c r="S496" s="240" t="s">
        <v>560</v>
      </c>
      <c r="T496" s="116">
        <f>IF(S496="G",N496,IF(S496="PT",0,ERR))</f>
        <v>0</v>
      </c>
      <c r="U496" s="116">
        <f>IF(S496="PT",N496,IF(S496="G",0,ERR))</f>
        <v>0</v>
      </c>
      <c r="V496" s="273"/>
      <c r="W496" s="116">
        <f>HLOOKUP($W$9,'ROR-Model'!$Q$10:$U$1263,Y496)</f>
        <v>0</v>
      </c>
      <c r="X496" s="118"/>
      <c r="Y496" s="577">
        <f t="shared" si="24"/>
        <v>487</v>
      </c>
      <c r="AA496" s="116">
        <v>0</v>
      </c>
      <c r="AB496" s="116">
        <f t="shared" si="25"/>
        <v>0</v>
      </c>
    </row>
    <row r="497" spans="1:28">
      <c r="A497" s="227"/>
      <c r="B497" s="102"/>
      <c r="C497" s="102" t="s">
        <v>170</v>
      </c>
      <c r="D497" s="102"/>
      <c r="E497" s="131"/>
      <c r="F497" s="131">
        <f>SUM(F495:F496)</f>
        <v>0</v>
      </c>
      <c r="G497" s="131">
        <f>SUM(G495:G496)</f>
        <v>0</v>
      </c>
      <c r="H497" s="131">
        <f>SUM(H495:H496)</f>
        <v>0</v>
      </c>
      <c r="I497" s="131">
        <f>SUM(I495:I496)</f>
        <v>0</v>
      </c>
      <c r="J497" s="116"/>
      <c r="K497" s="116"/>
      <c r="L497" s="131"/>
      <c r="M497" s="131">
        <f>SUM(M495:M496)</f>
        <v>0</v>
      </c>
      <c r="N497" s="131">
        <f>SUM(N495:N496)</f>
        <v>0</v>
      </c>
      <c r="O497" s="272"/>
      <c r="P497" s="257"/>
      <c r="Q497" s="131">
        <f>SUM(Q495:Q496)</f>
        <v>0</v>
      </c>
      <c r="R497" s="131">
        <f>SUM(R495:R496)</f>
        <v>0</v>
      </c>
      <c r="S497" s="257"/>
      <c r="T497" s="131">
        <f>SUM(T495:T496)</f>
        <v>0</v>
      </c>
      <c r="U497" s="131">
        <f>SUM(U495:U496)</f>
        <v>0</v>
      </c>
      <c r="V497" s="273"/>
      <c r="W497" s="131">
        <f>HLOOKUP($W$9,'ROR-Model'!$Q$10:$U$1263,Y497)</f>
        <v>0</v>
      </c>
      <c r="X497" s="118"/>
      <c r="Y497" s="577">
        <f t="shared" si="24"/>
        <v>488</v>
      </c>
      <c r="AA497" s="131">
        <v>0</v>
      </c>
      <c r="AB497" s="116">
        <f t="shared" si="25"/>
        <v>0</v>
      </c>
    </row>
    <row r="498" spans="1:28" ht="13.5" thickBot="1">
      <c r="A498" s="227"/>
      <c r="B498" s="102"/>
      <c r="C498" s="102"/>
      <c r="D498" s="102"/>
      <c r="E498" s="235"/>
      <c r="F498" s="235"/>
      <c r="G498" s="235"/>
      <c r="H498" s="235"/>
      <c r="I498" s="235"/>
      <c r="J498" s="116"/>
      <c r="K498" s="116"/>
      <c r="L498" s="235"/>
      <c r="M498" s="235"/>
      <c r="N498" s="235"/>
      <c r="O498" s="272"/>
      <c r="P498" s="613"/>
      <c r="Q498" s="235"/>
      <c r="R498" s="235"/>
      <c r="S498" s="613"/>
      <c r="T498" s="235"/>
      <c r="U498" s="235"/>
      <c r="V498" s="273"/>
      <c r="W498" s="235"/>
      <c r="X498" s="118"/>
      <c r="Y498" s="577">
        <f t="shared" si="24"/>
        <v>489</v>
      </c>
      <c r="AA498" s="235"/>
      <c r="AB498" s="116">
        <f t="shared" si="25"/>
        <v>0</v>
      </c>
    </row>
    <row r="499" spans="1:28" ht="25.5" customHeight="1" thickTop="1">
      <c r="A499" s="36" t="s">
        <v>549</v>
      </c>
      <c r="B499" s="102"/>
      <c r="C499" s="102"/>
      <c r="D499" s="102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272"/>
      <c r="P499" s="240"/>
      <c r="Q499" s="116"/>
      <c r="R499" s="116"/>
      <c r="S499" s="240"/>
      <c r="T499" s="116"/>
      <c r="U499" s="116"/>
      <c r="V499" s="273"/>
      <c r="W499" s="116"/>
      <c r="X499" s="118"/>
      <c r="Y499" s="577">
        <f t="shared" si="24"/>
        <v>490</v>
      </c>
      <c r="AA499" s="116"/>
      <c r="AB499" s="116">
        <f t="shared" si="25"/>
        <v>0</v>
      </c>
    </row>
    <row r="500" spans="1:28">
      <c r="A500" s="227"/>
      <c r="B500" s="14" t="s">
        <v>552</v>
      </c>
      <c r="C500" s="102"/>
      <c r="D500" s="102"/>
      <c r="E500" s="239"/>
      <c r="F500" s="239"/>
      <c r="G500" s="116"/>
      <c r="H500" s="116"/>
      <c r="I500" s="116"/>
      <c r="J500" s="116"/>
      <c r="K500" s="116"/>
      <c r="L500" s="116"/>
      <c r="M500" s="116"/>
      <c r="N500" s="116"/>
      <c r="O500" s="272"/>
      <c r="P500" s="240"/>
      <c r="Q500" s="116"/>
      <c r="R500" s="116"/>
      <c r="S500" s="240"/>
      <c r="T500" s="116"/>
      <c r="U500" s="116"/>
      <c r="V500" s="273"/>
      <c r="W500" s="116"/>
      <c r="X500" s="118"/>
      <c r="Y500" s="577">
        <f t="shared" si="24"/>
        <v>491</v>
      </c>
      <c r="AA500" s="116"/>
      <c r="AB500" s="116">
        <f t="shared" si="25"/>
        <v>0</v>
      </c>
    </row>
    <row r="501" spans="1:28">
      <c r="A501" s="227"/>
      <c r="B501" s="102"/>
      <c r="C501" s="102" t="s">
        <v>553</v>
      </c>
      <c r="D501" s="102"/>
      <c r="E501" s="116"/>
      <c r="F501" s="116">
        <f>F380+F460+F465+F470+F475+F480+F485+F490</f>
        <v>19172138.340773702</v>
      </c>
      <c r="G501" s="116">
        <f>G380+G460+G465+G470+G475+G480+G485+G490</f>
        <v>0</v>
      </c>
      <c r="H501" s="116">
        <f>H380+H460+H465+H470+H475+H480+H485+H490</f>
        <v>0</v>
      </c>
      <c r="I501" s="116">
        <f>I380+I460+I465+I470+I475+I480+I485+I490</f>
        <v>19172138.340773702</v>
      </c>
      <c r="J501" s="116"/>
      <c r="K501" s="116"/>
      <c r="L501" s="116"/>
      <c r="M501" s="116">
        <f>M380+M460+M465+M470+M475+M480+M485+M490</f>
        <v>19172138.340773702</v>
      </c>
      <c r="N501" s="116">
        <f>N380+N460+N465+N470+N475+N480+N485+N490</f>
        <v>0</v>
      </c>
      <c r="O501" s="272"/>
      <c r="P501" s="240"/>
      <c r="Q501" s="116">
        <f>Q380+Q460+Q465+Q470+Q475+Q480+Q485+Q490</f>
        <v>0</v>
      </c>
      <c r="R501" s="116">
        <f>R380+R460+R465+R470+R475+R480+R485+R490</f>
        <v>19172138.340773702</v>
      </c>
      <c r="S501" s="240"/>
      <c r="T501" s="116">
        <f>T380+T460+T465+T470+T475+T480+T485+T490</f>
        <v>0</v>
      </c>
      <c r="U501" s="116">
        <f>U380+U460+U465+U470+U475+U480+U485+U490</f>
        <v>0</v>
      </c>
      <c r="V501" s="273"/>
      <c r="W501" s="116">
        <f>HLOOKUP($W$9,'ROR-Model'!$Q$10:$U$1263,Y501)</f>
        <v>0</v>
      </c>
      <c r="X501" s="118"/>
      <c r="Y501" s="577">
        <f t="shared" si="24"/>
        <v>492</v>
      </c>
      <c r="AA501" s="116">
        <v>0</v>
      </c>
      <c r="AB501" s="116">
        <f t="shared" si="25"/>
        <v>0</v>
      </c>
    </row>
    <row r="502" spans="1:28">
      <c r="A502" s="227"/>
      <c r="B502" s="102"/>
      <c r="C502" s="102" t="s">
        <v>554</v>
      </c>
      <c r="D502" s="102"/>
      <c r="E502" s="117"/>
      <c r="F502" s="117">
        <f>+F495+F455+F450+F445+F440+F435+F430+F425+F420+F415+F410+F405+F400+F395+F390+F385</f>
        <v>4697009.42</v>
      </c>
      <c r="G502" s="117">
        <f>+G495+G455+G450+G445+G440+G435+G430+G425+G420+G415+G410+G405+G400+G395+G390+G385</f>
        <v>0</v>
      </c>
      <c r="H502" s="117">
        <f>+H495+H455+H450+H445+H440+H435+H430+H425+H420+H415+H410+H405+H400+H395+H390+H385</f>
        <v>0</v>
      </c>
      <c r="I502" s="117">
        <f>+I495+I455+I450+I445+I440+I435+I430+I425+I420+I415+I410+I405+I400+I395+I390+I385</f>
        <v>4697009.42</v>
      </c>
      <c r="J502" s="116"/>
      <c r="K502" s="116"/>
      <c r="L502" s="116"/>
      <c r="M502" s="117">
        <f>+M495+M455+M450+M445+M440+M435+M430+M425+M420+M415+M410+M405+M400+M395+M390+M385</f>
        <v>4697009.42</v>
      </c>
      <c r="N502" s="117">
        <f>+N495+N455+N450+N445+N440+N435+N430+N425+N420+N415+N410+N405+N400+N395+N390+N385</f>
        <v>0</v>
      </c>
      <c r="O502" s="272"/>
      <c r="P502" s="240"/>
      <c r="Q502" s="117">
        <f>+Q495+Q455+Q450+Q445+Q440+Q435+Q430+Q425+Q420+Q415+Q410+Q405+Q400+Q395+Q390+Q385</f>
        <v>4697009.42</v>
      </c>
      <c r="R502" s="117">
        <f>+R495+R455+R450+R445+R440+R435+R430+R425+R420+R415+R410+R405+R400+R395+R390+R385</f>
        <v>0</v>
      </c>
      <c r="S502" s="240"/>
      <c r="T502" s="117">
        <f>+T495+T455+T450+T445+T440+T435+T430+T425+T420+T415+T410+T405+T400+T395+T390+T385</f>
        <v>0</v>
      </c>
      <c r="U502" s="117">
        <f>+U495+U455+U450+U445+U440+U435+U430+U425+U420+U415+U410+U405+U400+U395+U390+U385</f>
        <v>0</v>
      </c>
      <c r="V502" s="273"/>
      <c r="W502" s="116">
        <f>HLOOKUP($W$9,'ROR-Model'!$Q$10:$U$1263,Y502)</f>
        <v>4697009.42</v>
      </c>
      <c r="X502" s="118"/>
      <c r="Y502" s="577">
        <f t="shared" si="24"/>
        <v>493</v>
      </c>
      <c r="AA502" s="116">
        <v>4697009.42</v>
      </c>
      <c r="AB502" s="116">
        <f t="shared" si="25"/>
        <v>0</v>
      </c>
    </row>
    <row r="503" spans="1:28">
      <c r="A503" s="227"/>
      <c r="B503" s="102"/>
      <c r="C503" s="14" t="s">
        <v>555</v>
      </c>
      <c r="D503" s="102"/>
      <c r="E503" s="131"/>
      <c r="F503" s="131">
        <f>F380+F385+F390+F395+F400+F405+F410+F415+F420+F425+F430+F435+F440+F445+F450+F455+F460+F465+F470+F475+F480+F485+F490+F495</f>
        <v>23869147.760773696</v>
      </c>
      <c r="G503" s="131">
        <f>G380+G385+G390+G395+G400+G405+G410+G415+G420+G425+G430+G435+G440+G445+G450+G455+G460+G465+G470+G475+G480+G485+G490+G495</f>
        <v>0</v>
      </c>
      <c r="H503" s="131">
        <f>H380+H385+H390+H395+H400+H405+H410+H415+H420+H425+H430+H435+H440+H445+H450+H455+H460+H465+H470+H475+H480+H485+H490+H495</f>
        <v>0</v>
      </c>
      <c r="I503" s="131">
        <f>I380+I385+I390+I395+I400+I405+I410+I415+I420+I425+I430+I435+I440+I445+I450+I455+I460+I465+I470+I475+I480+I485+I490+I495</f>
        <v>23869147.760773696</v>
      </c>
      <c r="J503" s="116"/>
      <c r="K503" s="116"/>
      <c r="L503" s="131"/>
      <c r="M503" s="131">
        <f>M380+M385+M390+M395+M400+M405+M410+M415+M420+M425+M430+M435+M440+M445+M450+M455+M460+M465+M470+M475+M480+M485+M490+M495</f>
        <v>23869147.760773696</v>
      </c>
      <c r="N503" s="131">
        <f>N380+N385+N390+N395+N400+N405+N410+N415+N420+N425+N430+N435+N440+N445+N450+N455+N460+N465+N470+N475+N480+N485+N490+N495</f>
        <v>0</v>
      </c>
      <c r="O503" s="272"/>
      <c r="P503" s="257"/>
      <c r="Q503" s="131">
        <f>Q380+Q385+Q390+Q395+Q400+Q405+Q410+Q415+Q420+Q425+Q430+Q435+Q440+Q445+Q450+Q455+Q460+Q465+Q470+Q475+Q480+Q485+Q490+Q495</f>
        <v>4697009.42</v>
      </c>
      <c r="R503" s="131">
        <f>R380+R385+R390+R395+R400+R405+R410+R415+R420+R425+R430+R435+R440+R445+R450+R455+R460+R465+R470+R475+R480+R485+R490+R495</f>
        <v>19172138.340773702</v>
      </c>
      <c r="S503" s="257"/>
      <c r="T503" s="131">
        <f>T380+T385+T390+T395+T400+T405+T410+T415+T420+T425+T430+T435+T440+T445+T450+T455+T460+T465+T470+T475+T480+T485+T490+T495</f>
        <v>0</v>
      </c>
      <c r="U503" s="131">
        <f>U380+U385+U390+U395+U400+U405+U410+U415+U420+U425+U430+U435+U440+U445+U450+U455+U460+U465+U470+U475+U480+U485+U490+U495</f>
        <v>0</v>
      </c>
      <c r="V503" s="273"/>
      <c r="W503" s="131">
        <f>HLOOKUP($W$9,'ROR-Model'!$Q$10:$U$1263,Y503)</f>
        <v>4697009.42</v>
      </c>
      <c r="X503" s="118"/>
      <c r="Y503" s="577">
        <f t="shared" si="24"/>
        <v>494</v>
      </c>
      <c r="AA503" s="131">
        <v>4697009.42</v>
      </c>
      <c r="AB503" s="116">
        <f t="shared" si="25"/>
        <v>0</v>
      </c>
    </row>
    <row r="504" spans="1:28">
      <c r="A504" s="227"/>
      <c r="B504" s="14" t="s">
        <v>556</v>
      </c>
      <c r="C504" s="102"/>
      <c r="D504" s="102"/>
      <c r="E504" s="239"/>
      <c r="F504" s="239"/>
      <c r="G504" s="239"/>
      <c r="H504" s="239"/>
      <c r="I504" s="239"/>
      <c r="J504" s="116"/>
      <c r="K504" s="116"/>
      <c r="L504" s="116"/>
      <c r="M504" s="239"/>
      <c r="N504" s="239"/>
      <c r="O504" s="272"/>
      <c r="P504" s="240"/>
      <c r="Q504" s="239"/>
      <c r="R504" s="239"/>
      <c r="S504" s="240"/>
      <c r="T504" s="239"/>
      <c r="U504" s="239"/>
      <c r="V504" s="273"/>
      <c r="W504" s="116"/>
      <c r="X504" s="118"/>
      <c r="Y504" s="577">
        <f t="shared" si="24"/>
        <v>495</v>
      </c>
      <c r="AA504" s="116"/>
      <c r="AB504" s="116">
        <f t="shared" si="25"/>
        <v>0</v>
      </c>
    </row>
    <row r="505" spans="1:28">
      <c r="A505" s="227"/>
      <c r="B505" s="102"/>
      <c r="C505" s="102" t="s">
        <v>553</v>
      </c>
      <c r="D505" s="102"/>
      <c r="E505" s="117"/>
      <c r="F505" s="117">
        <f>+F491+F486+F471+F461+F381</f>
        <v>693513.06170149997</v>
      </c>
      <c r="G505" s="117">
        <f>+G491+G486+G471+G461+G381</f>
        <v>0</v>
      </c>
      <c r="H505" s="117">
        <f>+H491+H486+H471+H461+H381</f>
        <v>0</v>
      </c>
      <c r="I505" s="117">
        <f>+I491+I486+I471+I461+I381</f>
        <v>693513.06170149997</v>
      </c>
      <c r="J505" s="116"/>
      <c r="K505" s="116"/>
      <c r="L505" s="116"/>
      <c r="M505" s="117">
        <f>+M491+M486+M471+M461+M381</f>
        <v>0</v>
      </c>
      <c r="N505" s="117">
        <f>+N491+N486+N471+N461+N381</f>
        <v>693513.06170149997</v>
      </c>
      <c r="O505" s="272"/>
      <c r="P505" s="240"/>
      <c r="Q505" s="117">
        <f>+Q491+Q486+Q471+Q461+Q381</f>
        <v>0</v>
      </c>
      <c r="R505" s="117">
        <f>+R491+R486+R471+R461+R381</f>
        <v>0</v>
      </c>
      <c r="S505" s="240"/>
      <c r="T505" s="117">
        <f>+T491+T486+T471+T461+T381</f>
        <v>0</v>
      </c>
      <c r="U505" s="117">
        <f>+U491+U486+U471+U461+U381</f>
        <v>693513.06170149997</v>
      </c>
      <c r="V505" s="273"/>
      <c r="W505" s="116">
        <f>HLOOKUP($W$9,'ROR-Model'!$Q$10:$U$1263,Y505)</f>
        <v>0</v>
      </c>
      <c r="X505" s="118"/>
      <c r="Y505" s="577">
        <f t="shared" si="24"/>
        <v>496</v>
      </c>
      <c r="AA505" s="116">
        <v>0</v>
      </c>
      <c r="AB505" s="116">
        <f t="shared" si="25"/>
        <v>0</v>
      </c>
    </row>
    <row r="506" spans="1:28">
      <c r="A506" s="227"/>
      <c r="B506" s="102"/>
      <c r="C506" s="102" t="s">
        <v>554</v>
      </c>
      <c r="D506" s="102"/>
      <c r="E506" s="117"/>
      <c r="F506" s="117">
        <f>+F496+F481+F476+F466+F456+F451+F446+F431+F426+F421+F416+F411+F406+F401+F396+F391+F386</f>
        <v>107530.9575248</v>
      </c>
      <c r="G506" s="117">
        <f>+G496+G481+G476+G466+G456+G451+G446+G431+G426+G421+G416+G411+G406+G401+G396+G391+G386</f>
        <v>0</v>
      </c>
      <c r="H506" s="117">
        <f>+H496+H481+H476+H466+H456+H451+H446+H431+H426+H421+H416+H411+H406+H401+H396+H391+H386</f>
        <v>0</v>
      </c>
      <c r="I506" s="117">
        <f>+I496+I481+I476+I466+I456+I451+I446+I431+I426+I421+I416+I411+I406+I401+I396+I391+I386</f>
        <v>107530.9575248</v>
      </c>
      <c r="J506" s="116"/>
      <c r="K506" s="116"/>
      <c r="L506" s="116"/>
      <c r="M506" s="117">
        <f>+M496+M481+M476+M466+M456+M451+M446+M431+M426+M421+M416+M411+M406+M401+M396+M391+M386</f>
        <v>0</v>
      </c>
      <c r="N506" s="117">
        <f>+N496+N481+N476+N466+N456+N451+N446+N431+N426+N421+N416+N411+N406+N401+N396+N391+N386</f>
        <v>107530.9575248</v>
      </c>
      <c r="O506" s="272"/>
      <c r="P506" s="240"/>
      <c r="Q506" s="117">
        <f>+Q496+Q481+Q476+Q466+Q456+Q451+Q446+Q431+Q426+Q421+Q416+Q411+Q406+Q401+Q396+Q391+Q386</f>
        <v>0</v>
      </c>
      <c r="R506" s="117">
        <f>+R496+R481+R476+R466+R456+R451+R446+R431+R426+R421+R416+R411+R406+R401+R396+R391+R386</f>
        <v>0</v>
      </c>
      <c r="S506" s="240"/>
      <c r="T506" s="117">
        <f>+T496+T481+T476+T466+T456+T451+T446+T431+T426+T421+T416+T411+T406+T401+T396+T391+T386</f>
        <v>107530.9575248</v>
      </c>
      <c r="U506" s="117">
        <f>+U496+U481+U476+U466+U456+U451+U446+U431+U426+U421+U416+U411+U406+U401+U396+U391+U386</f>
        <v>0</v>
      </c>
      <c r="V506" s="273"/>
      <c r="W506" s="116">
        <f>HLOOKUP($W$9,'ROR-Model'!$Q$10:$U$1263,Y506)</f>
        <v>0</v>
      </c>
      <c r="X506" s="118"/>
      <c r="Y506" s="577">
        <f t="shared" si="24"/>
        <v>497</v>
      </c>
      <c r="AA506" s="116">
        <v>0</v>
      </c>
      <c r="AB506" s="116">
        <f t="shared" si="25"/>
        <v>0</v>
      </c>
    </row>
    <row r="507" spans="1:28">
      <c r="A507" s="227"/>
      <c r="B507" s="102"/>
      <c r="C507" s="14" t="s">
        <v>557</v>
      </c>
      <c r="D507" s="102"/>
      <c r="E507" s="131"/>
      <c r="F507" s="131">
        <f>F381+F386+F391+F396+F401+F406+F411+F416+F421+F426+F431+F436+F441+F446+F451+F456+F461+F466+F471+F476+F481+F486+F491+F496</f>
        <v>801044.01922630006</v>
      </c>
      <c r="G507" s="131">
        <f>G381+G386+G391+G396+G401+G406+G411+G416+G421+G426+G431+G436+G441+G446+G451+G456+G461+G466+G471+G476+G481+G486+G491+G496</f>
        <v>0</v>
      </c>
      <c r="H507" s="131">
        <f>H381+H386+H391+H396+H401+H406+H411+H416+H421+H426+H431+H436+H441+H446+H451+H456+H461+H466+H471+H476+H481+H486+H491+H496</f>
        <v>0</v>
      </c>
      <c r="I507" s="131">
        <f>I381+I386+I391+I396+I401+I406+I411+I416+I421+I426+I431+I436+I441+I446+I451+I456+I461+I466+I471+I476+I481+I486+I491+I496</f>
        <v>801044.01922630006</v>
      </c>
      <c r="J507" s="116"/>
      <c r="K507" s="116"/>
      <c r="L507" s="131"/>
      <c r="M507" s="131">
        <f>M381+M386+M391+M396+M401+M406+M411+M416+M421+M426+M431+M436+M441+M446+M451+M456+M461+M466+M471+M476+M481+M486+M491+M496</f>
        <v>0</v>
      </c>
      <c r="N507" s="131">
        <f>N381+N386+N391+N396+N401+N406+N411+N416+N421+N426+N431+N436+N441+N446+N451+N456+N461+N466+N471+N476+N481+N486+N491+N496</f>
        <v>801044.01922630006</v>
      </c>
      <c r="O507" s="272"/>
      <c r="P507" s="257"/>
      <c r="Q507" s="131">
        <f>Q381+Q386+Q391+Q396+Q401+Q406+Q411+Q416+Q421+Q426+Q431+Q436+Q441+Q446+Q451+Q456+Q461+Q466+Q471+Q476+Q481+Q486+Q491+Q496</f>
        <v>0</v>
      </c>
      <c r="R507" s="131">
        <f>R381+R386+R391+R396+R401+R406+R411+R416+R421+R426+R431+R436+R441+R446+R451+R456+R461+R466+R471+R476+R481+R486+R491+R496</f>
        <v>0</v>
      </c>
      <c r="S507" s="257"/>
      <c r="T507" s="131">
        <f>T381+T386+T391+T396+T401+T406+T411+T416+T421+T426+T431+T436+T441+T446+T451+T456+T461+T466+T471+T476+T481+T486+T491+T496</f>
        <v>107530.9575248</v>
      </c>
      <c r="U507" s="131">
        <f>U381+U386+U391+U396+U401+U406+U411+U416+U421+U426+U431+U436+U441+U446+U451+U456+U461+U466+U471+U476+U481+U486+U491+U496</f>
        <v>693513.06170150009</v>
      </c>
      <c r="V507" s="273"/>
      <c r="W507" s="131">
        <f>HLOOKUP($W$9,'ROR-Model'!$Q$10:$U$1263,Y507)</f>
        <v>0</v>
      </c>
      <c r="X507" s="118"/>
      <c r="Y507" s="577">
        <f t="shared" si="24"/>
        <v>498</v>
      </c>
      <c r="AA507" s="131">
        <v>0</v>
      </c>
      <c r="AB507" s="116">
        <f t="shared" si="25"/>
        <v>0</v>
      </c>
    </row>
    <row r="508" spans="1:28" ht="13.5" thickBot="1">
      <c r="A508" s="227"/>
      <c r="B508" s="102"/>
      <c r="C508" s="102"/>
      <c r="D508" s="102"/>
      <c r="E508" s="236"/>
      <c r="F508" s="236"/>
      <c r="G508" s="236"/>
      <c r="H508" s="236"/>
      <c r="I508" s="236"/>
      <c r="J508" s="116"/>
      <c r="K508" s="116"/>
      <c r="L508" s="236"/>
      <c r="M508" s="236"/>
      <c r="N508" s="236"/>
      <c r="O508" s="272"/>
      <c r="P508" s="731"/>
      <c r="Q508" s="236"/>
      <c r="R508" s="236"/>
      <c r="S508" s="731"/>
      <c r="T508" s="236"/>
      <c r="U508" s="236"/>
      <c r="V508" s="273"/>
      <c r="W508" s="236"/>
      <c r="X508" s="118"/>
      <c r="Y508" s="577">
        <f t="shared" si="24"/>
        <v>499</v>
      </c>
      <c r="AA508" s="236"/>
      <c r="AB508" s="116">
        <f t="shared" si="25"/>
        <v>0</v>
      </c>
    </row>
    <row r="509" spans="1:28">
      <c r="A509" s="227"/>
      <c r="B509" s="49" t="s">
        <v>558</v>
      </c>
      <c r="C509" s="102"/>
      <c r="D509" s="102"/>
      <c r="E509" s="116"/>
      <c r="F509" s="116">
        <f>F382+F387+F392+F397+F402+F407+F412+F417+F422+F427+F432+F437+F442+F447+F452+F457+F462+F467+F472+F477+F482+F487+F492+F497</f>
        <v>24670191.780000001</v>
      </c>
      <c r="G509" s="116">
        <f>G382+G387+G392+G397+G402+G407+G412+G417+G422+G427+G432+G437+G442+G447+G452+G457+G462+G467+G472+G477+G482+G487+G492+G497</f>
        <v>0</v>
      </c>
      <c r="H509" s="116">
        <f>H382+H387+H392+H397+H402+H407+H412+H417+H422+H427+H432+H437+H442+H447+H452+H457+H462+H467+H472+H477+H482+H487+H492+H497</f>
        <v>0</v>
      </c>
      <c r="I509" s="116">
        <f>I382+I387+I392+I397+I402+I407+I412+I417+I422+I427+I432+I437+I442+I447+I452+I457+I462+I467+I472+I477+I482+I487+I492+I497</f>
        <v>24670191.780000001</v>
      </c>
      <c r="J509" s="116"/>
      <c r="K509" s="116"/>
      <c r="L509" s="116"/>
      <c r="M509" s="116">
        <f>M382+M387+M392+M397+M402+M407+M412+M417+M422+M427+M432+M437+M442+M447+M452+M457+M462+M467+M472+M477+M482+M487+M492+M497</f>
        <v>23869147.760773696</v>
      </c>
      <c r="N509" s="116">
        <f>N382+N387+N392+N397+N402+N407+N412+N417+N422+N427+N432+N437+N442+N447+N452+N457+N462+N467+N472+N477+N482+N487+N492+N497</f>
        <v>801044.01922630006</v>
      </c>
      <c r="O509" s="272"/>
      <c r="P509" s="240"/>
      <c r="Q509" s="116">
        <f>Q382+Q387+Q392+Q397+Q402+Q407+Q412+Q417+Q422+Q427+Q432+Q437+Q442+Q447+Q452+Q457+Q462+Q467+Q472+Q477+Q482+Q487+Q492+Q497</f>
        <v>4697009.42</v>
      </c>
      <c r="R509" s="116">
        <f>R382+R387+R392+R397+R402+R407+R412+R417+R422+R427+R432+R437+R442+R447+R452+R457+R462+R467+R472+R477+R482+R487+R492+R497</f>
        <v>19172138.340773702</v>
      </c>
      <c r="S509" s="240"/>
      <c r="T509" s="116">
        <f>T382+T387+T392+T397+T402+T407+T412+T417+T422+T427+T432+T437+T442+T447+T452+T457+T462+T467+T472+T477+T482+T487+T492+T497</f>
        <v>107530.9575248</v>
      </c>
      <c r="U509" s="116">
        <f>U382+U387+U392+U397+U402+U407+U412+U417+U422+U427+U432+U437+U442+U447+U452+U457+U462+U467+U472+U477+U482+U487+U492+U497</f>
        <v>693513.06170150009</v>
      </c>
      <c r="V509" s="273"/>
      <c r="W509" s="116">
        <f>HLOOKUP($W$9,'ROR-Model'!$Q$10:$U$1263,Y509)</f>
        <v>4697009.42</v>
      </c>
      <c r="X509" s="118"/>
      <c r="Y509" s="577">
        <f t="shared" si="24"/>
        <v>500</v>
      </c>
      <c r="AA509" s="116">
        <v>4697009.42</v>
      </c>
      <c r="AB509" s="116">
        <f t="shared" si="25"/>
        <v>0</v>
      </c>
    </row>
    <row r="510" spans="1:28" ht="13.5" thickBot="1">
      <c r="A510" s="106"/>
      <c r="B510" s="106"/>
      <c r="C510" s="106"/>
      <c r="D510" s="102">
        <f>+F502+F506</f>
        <v>4804540.3775247997</v>
      </c>
      <c r="E510" s="235"/>
      <c r="F510" s="235"/>
      <c r="G510" s="235"/>
      <c r="H510" s="235"/>
      <c r="I510" s="235"/>
      <c r="J510" s="116"/>
      <c r="K510" s="116"/>
      <c r="L510" s="235"/>
      <c r="M510" s="732"/>
      <c r="N510" s="732"/>
      <c r="O510" s="272"/>
      <c r="P510" s="613"/>
      <c r="Q510" s="235"/>
      <c r="R510" s="235"/>
      <c r="S510" s="613"/>
      <c r="T510" s="235"/>
      <c r="U510" s="235"/>
      <c r="V510" s="273"/>
      <c r="W510" s="235"/>
      <c r="X510" s="118"/>
      <c r="Y510" s="577">
        <f t="shared" si="24"/>
        <v>501</v>
      </c>
      <c r="AA510" s="235"/>
      <c r="AB510" s="116">
        <f t="shared" si="25"/>
        <v>0</v>
      </c>
    </row>
    <row r="511" spans="1:28" ht="13.5" thickTop="1">
      <c r="A511" s="106"/>
      <c r="B511" s="106"/>
      <c r="C511" s="106"/>
      <c r="D511" s="102"/>
      <c r="E511" s="116"/>
      <c r="F511" s="116"/>
      <c r="G511" s="116"/>
      <c r="H511" s="116"/>
      <c r="I511" s="116"/>
      <c r="J511" s="116"/>
      <c r="K511" s="116"/>
      <c r="L511" s="116"/>
      <c r="M511" s="733"/>
      <c r="N511" s="733"/>
      <c r="O511" s="272"/>
      <c r="P511" s="240"/>
      <c r="Q511" s="116"/>
      <c r="R511" s="116"/>
      <c r="S511" s="240"/>
      <c r="T511" s="116"/>
      <c r="U511" s="116"/>
      <c r="V511" s="273"/>
      <c r="W511" s="116"/>
      <c r="X511" s="118"/>
      <c r="Y511" s="577">
        <f t="shared" si="24"/>
        <v>502</v>
      </c>
      <c r="AA511" s="116"/>
      <c r="AB511" s="116">
        <f t="shared" si="25"/>
        <v>0</v>
      </c>
    </row>
    <row r="512" spans="1:28">
      <c r="A512" s="36" t="s">
        <v>341</v>
      </c>
      <c r="B512" s="102"/>
      <c r="C512" s="102"/>
      <c r="D512" s="102"/>
      <c r="E512" s="116"/>
      <c r="F512" s="116">
        <f>F368+F509</f>
        <v>940309865.89999998</v>
      </c>
      <c r="G512" s="116">
        <f>G368+G509</f>
        <v>-17298837.530282199</v>
      </c>
      <c r="H512" s="116">
        <f>H368+H509</f>
        <v>0</v>
      </c>
      <c r="I512" s="116">
        <f>I368+I509</f>
        <v>923011028.36971784</v>
      </c>
      <c r="J512" s="116"/>
      <c r="K512" s="116"/>
      <c r="L512" s="116"/>
      <c r="M512" s="116">
        <f>M368+M509</f>
        <v>891663235.87817156</v>
      </c>
      <c r="N512" s="116">
        <f>N368+N509</f>
        <v>31347792.491546299</v>
      </c>
      <c r="O512" s="272"/>
      <c r="P512" s="240"/>
      <c r="Q512" s="116">
        <f>Q368+Q509</f>
        <v>365251709.14739782</v>
      </c>
      <c r="R512" s="116">
        <f>R368+R509</f>
        <v>526411526.73077369</v>
      </c>
      <c r="S512" s="240"/>
      <c r="T512" s="116">
        <f>T368+T509</f>
        <v>12972533.837524801</v>
      </c>
      <c r="U512" s="116">
        <f>U368+U509</f>
        <v>18375258.654021502</v>
      </c>
      <c r="V512" s="273"/>
      <c r="W512" s="116">
        <f>HLOOKUP($W$9,'ROR-Model'!$Q$10:$U$1263,Y512)</f>
        <v>365251709.14739782</v>
      </c>
      <c r="X512" s="118"/>
      <c r="Y512" s="577">
        <f t="shared" si="24"/>
        <v>503</v>
      </c>
      <c r="AA512" s="116">
        <v>350332383.83683169</v>
      </c>
      <c r="AB512" s="116">
        <f t="shared" si="25"/>
        <v>14919325.310566127</v>
      </c>
    </row>
    <row r="513" spans="1:28">
      <c r="A513" s="227"/>
      <c r="B513" s="102"/>
      <c r="C513" s="102"/>
      <c r="D513" s="102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272"/>
      <c r="P513" s="240"/>
      <c r="Q513" s="116"/>
      <c r="R513" s="116"/>
      <c r="S513" s="240"/>
      <c r="T513" s="116"/>
      <c r="U513" s="116"/>
      <c r="V513" s="273"/>
      <c r="W513" s="116"/>
      <c r="X513" s="118"/>
      <c r="Y513" s="577">
        <f t="shared" si="24"/>
        <v>504</v>
      </c>
      <c r="AA513" s="116"/>
      <c r="AB513" s="116">
        <f t="shared" si="25"/>
        <v>0</v>
      </c>
    </row>
    <row r="514" spans="1:28">
      <c r="A514" s="227"/>
      <c r="B514" s="102"/>
      <c r="C514" s="102"/>
      <c r="D514" s="102"/>
      <c r="E514" s="239"/>
      <c r="F514" s="239"/>
      <c r="G514" s="116"/>
      <c r="H514" s="116"/>
      <c r="I514" s="116"/>
      <c r="J514" s="116"/>
      <c r="K514" s="116"/>
      <c r="L514" s="116"/>
      <c r="M514" s="116"/>
      <c r="N514" s="116"/>
      <c r="O514" s="272"/>
      <c r="P514" s="240"/>
      <c r="Q514" s="116"/>
      <c r="R514" s="116"/>
      <c r="S514" s="240"/>
      <c r="T514" s="116"/>
      <c r="U514" s="116"/>
      <c r="V514" s="273"/>
      <c r="W514" s="116"/>
      <c r="X514" s="118"/>
      <c r="Y514" s="577">
        <f t="shared" si="24"/>
        <v>505</v>
      </c>
      <c r="AA514" s="116"/>
      <c r="AB514" s="116">
        <f t="shared" si="25"/>
        <v>0</v>
      </c>
    </row>
    <row r="515" spans="1:28">
      <c r="A515" s="1549" t="s">
        <v>342</v>
      </c>
      <c r="B515" s="1549"/>
      <c r="C515" s="1549"/>
      <c r="D515" s="1549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272"/>
      <c r="P515" s="240"/>
      <c r="Q515" s="116"/>
      <c r="R515" s="116"/>
      <c r="S515" s="240"/>
      <c r="T515" s="116"/>
      <c r="U515" s="116"/>
      <c r="V515" s="273"/>
      <c r="W515" s="116"/>
      <c r="X515" s="118"/>
      <c r="Y515" s="577">
        <f t="shared" si="24"/>
        <v>506</v>
      </c>
      <c r="AA515" s="116"/>
      <c r="AB515" s="116">
        <f t="shared" si="25"/>
        <v>0</v>
      </c>
    </row>
    <row r="516" spans="1:28">
      <c r="A516" s="565"/>
      <c r="B516" s="194"/>
      <c r="C516" s="194"/>
      <c r="D516" s="194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272"/>
      <c r="P516" s="240"/>
      <c r="Q516" s="116"/>
      <c r="R516" s="116"/>
      <c r="S516" s="240"/>
      <c r="T516" s="116"/>
      <c r="U516" s="116"/>
      <c r="V516" s="273"/>
      <c r="W516" s="116"/>
      <c r="X516" s="118"/>
      <c r="Y516" s="577">
        <f t="shared" si="24"/>
        <v>507</v>
      </c>
      <c r="AA516" s="116"/>
      <c r="AB516" s="116">
        <f t="shared" si="25"/>
        <v>0</v>
      </c>
    </row>
    <row r="517" spans="1:28">
      <c r="A517" s="36" t="s">
        <v>343</v>
      </c>
      <c r="B517" s="102"/>
      <c r="C517" s="102"/>
      <c r="D517" s="102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272"/>
      <c r="P517" s="240"/>
      <c r="Q517" s="116"/>
      <c r="R517" s="116"/>
      <c r="S517" s="240"/>
      <c r="T517" s="116"/>
      <c r="U517" s="116"/>
      <c r="V517" s="273"/>
      <c r="W517" s="116"/>
      <c r="X517" s="118"/>
      <c r="Y517" s="577">
        <f t="shared" si="24"/>
        <v>508</v>
      </c>
      <c r="AA517" s="116"/>
      <c r="AB517" s="116">
        <f t="shared" si="25"/>
        <v>0</v>
      </c>
    </row>
    <row r="518" spans="1:28">
      <c r="A518" s="227"/>
      <c r="B518" s="102"/>
      <c r="C518" s="102"/>
      <c r="D518" s="102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272"/>
      <c r="P518" s="240"/>
      <c r="Q518" s="116"/>
      <c r="R518" s="116"/>
      <c r="S518" s="240"/>
      <c r="T518" s="116"/>
      <c r="U518" s="116"/>
      <c r="V518" s="273"/>
      <c r="W518" s="116"/>
      <c r="X518" s="118"/>
      <c r="Y518" s="577">
        <f t="shared" si="24"/>
        <v>509</v>
      </c>
      <c r="AA518" s="116"/>
      <c r="AB518" s="116">
        <f t="shared" si="25"/>
        <v>0</v>
      </c>
    </row>
    <row r="519" spans="1:28">
      <c r="A519" s="136"/>
      <c r="B519" s="102" t="s">
        <v>168</v>
      </c>
      <c r="C519" s="102"/>
      <c r="D519" s="102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272"/>
      <c r="P519" s="240"/>
      <c r="Q519" s="116"/>
      <c r="R519" s="116"/>
      <c r="S519" s="240"/>
      <c r="T519" s="116"/>
      <c r="U519" s="116"/>
      <c r="V519" s="273"/>
      <c r="W519" s="116"/>
      <c r="X519" s="118"/>
      <c r="Y519" s="577">
        <f t="shared" si="24"/>
        <v>510</v>
      </c>
      <c r="AA519" s="116"/>
      <c r="AB519" s="116">
        <f t="shared" si="25"/>
        <v>0</v>
      </c>
    </row>
    <row r="520" spans="1:28">
      <c r="A520" s="136"/>
      <c r="B520" s="102"/>
      <c r="C520" s="102"/>
      <c r="D520" s="102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272"/>
      <c r="P520" s="240"/>
      <c r="Q520" s="116"/>
      <c r="R520" s="116"/>
      <c r="S520" s="240"/>
      <c r="T520" s="116"/>
      <c r="U520" s="116"/>
      <c r="V520" s="273"/>
      <c r="W520" s="116"/>
      <c r="X520" s="118"/>
      <c r="Y520" s="577">
        <f t="shared" si="24"/>
        <v>511</v>
      </c>
      <c r="AA520" s="116"/>
      <c r="AB520" s="116">
        <f t="shared" si="25"/>
        <v>0</v>
      </c>
    </row>
    <row r="521" spans="1:28">
      <c r="A521" s="136">
        <v>758</v>
      </c>
      <c r="B521" s="102" t="s">
        <v>344</v>
      </c>
      <c r="C521" s="102"/>
      <c r="D521" s="102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272"/>
      <c r="P521" s="240"/>
      <c r="Q521" s="116"/>
      <c r="R521" s="116"/>
      <c r="S521" s="240"/>
      <c r="T521" s="116"/>
      <c r="U521" s="116"/>
      <c r="V521" s="273"/>
      <c r="W521" s="116"/>
      <c r="X521" s="118"/>
      <c r="Y521" s="577">
        <f t="shared" si="24"/>
        <v>512</v>
      </c>
      <c r="AA521" s="116"/>
      <c r="AB521" s="116">
        <f t="shared" si="25"/>
        <v>0</v>
      </c>
    </row>
    <row r="522" spans="1:28">
      <c r="A522" s="136"/>
      <c r="B522" s="102"/>
      <c r="C522" s="102" t="s">
        <v>14</v>
      </c>
      <c r="D522" s="102"/>
      <c r="E522" s="116" t="s">
        <v>559</v>
      </c>
      <c r="F522" s="116">
        <f>EXPENSES!G16</f>
        <v>20573059.9417121</v>
      </c>
      <c r="G522" s="116">
        <f>+Adjustments!AW521</f>
        <v>0</v>
      </c>
      <c r="H522" s="116"/>
      <c r="I522" s="116">
        <f>SUM($F$522:$H$522)</f>
        <v>20573059.9417121</v>
      </c>
      <c r="J522" s="116"/>
      <c r="K522" s="116"/>
      <c r="L522" s="116" t="s">
        <v>14</v>
      </c>
      <c r="M522" s="116">
        <f>VLOOKUP($L522,$L$2:$N$7,2,FALSE)*I522</f>
        <v>20573059.9417121</v>
      </c>
      <c r="N522" s="116">
        <f>VLOOKUP($L522,$L$2:$N$7,3,FALSE)*I522</f>
        <v>0</v>
      </c>
      <c r="O522" s="272"/>
      <c r="P522" s="207" t="s">
        <v>559</v>
      </c>
      <c r="Q522" s="116">
        <f>IF(P522="G",M522,IF(P522="PT",0,ERR))</f>
        <v>0</v>
      </c>
      <c r="R522" s="116">
        <f>IF(P522="PT",M522,IF(P522="G",0,ERR))</f>
        <v>20573059.9417121</v>
      </c>
      <c r="S522" s="240" t="s">
        <v>559</v>
      </c>
      <c r="T522" s="116">
        <f>IF(S522="G",N522,IF(S522="PT",0,ERR))</f>
        <v>0</v>
      </c>
      <c r="U522" s="116">
        <f>IF(S522="PT",N522,IF(S522="G",0,ERR))</f>
        <v>0</v>
      </c>
      <c r="V522" s="273"/>
      <c r="W522" s="116">
        <f>HLOOKUP($W$9,'ROR-Model'!$Q$10:$U$1263,Y522)</f>
        <v>0</v>
      </c>
      <c r="X522" s="118"/>
      <c r="Y522" s="577">
        <f t="shared" si="24"/>
        <v>513</v>
      </c>
      <c r="AA522" s="116">
        <v>0</v>
      </c>
      <c r="AB522" s="116">
        <f t="shared" si="25"/>
        <v>0</v>
      </c>
    </row>
    <row r="523" spans="1:28">
      <c r="A523" s="136"/>
      <c r="B523" s="102"/>
      <c r="C523" s="102" t="s">
        <v>24</v>
      </c>
      <c r="D523" s="102"/>
      <c r="E523" s="116" t="s">
        <v>559</v>
      </c>
      <c r="F523" s="116">
        <f>EXPENSES!G17</f>
        <v>751115.9782879008</v>
      </c>
      <c r="G523" s="116">
        <f>+Adjustments!AW522</f>
        <v>0</v>
      </c>
      <c r="H523" s="116"/>
      <c r="I523" s="116">
        <f>SUM($F$523:$H$523)</f>
        <v>751115.9782879008</v>
      </c>
      <c r="J523" s="116"/>
      <c r="K523" s="116"/>
      <c r="L523" s="116" t="s">
        <v>24</v>
      </c>
      <c r="M523" s="116">
        <f>VLOOKUP($L523,$L$2:$N$7,2,FALSE)*I523</f>
        <v>0</v>
      </c>
      <c r="N523" s="116">
        <f>VLOOKUP($L523,$L$2:$N$7,3,FALSE)*I523</f>
        <v>751115.9782879008</v>
      </c>
      <c r="O523" s="272"/>
      <c r="P523" s="207" t="s">
        <v>559</v>
      </c>
      <c r="Q523" s="116">
        <f>IF(P523="G",M523,IF(P523="PT",0,ERR))</f>
        <v>0</v>
      </c>
      <c r="R523" s="116">
        <f>IF(P523="PT",M523,IF(P523="G",0,ERR))</f>
        <v>0</v>
      </c>
      <c r="S523" s="240" t="s">
        <v>559</v>
      </c>
      <c r="T523" s="116">
        <f>IF(S523="G",N523,IF(S523="PT",0,ERR))</f>
        <v>0</v>
      </c>
      <c r="U523" s="116">
        <f>IF(S523="PT",N523,IF(S523="G",0,ERR))</f>
        <v>751115.9782879008</v>
      </c>
      <c r="V523" s="273"/>
      <c r="W523" s="116">
        <f>HLOOKUP($W$9,'ROR-Model'!$Q$10:$U$1263,Y523)</f>
        <v>0</v>
      </c>
      <c r="X523" s="118"/>
      <c r="Y523" s="577">
        <f t="shared" si="24"/>
        <v>514</v>
      </c>
      <c r="AA523" s="116">
        <v>0</v>
      </c>
      <c r="AB523" s="116">
        <f t="shared" si="25"/>
        <v>0</v>
      </c>
    </row>
    <row r="524" spans="1:28">
      <c r="A524" s="136"/>
      <c r="B524" s="102"/>
      <c r="C524" s="102" t="s">
        <v>170</v>
      </c>
      <c r="D524" s="102"/>
      <c r="E524" s="131"/>
      <c r="F524" s="131">
        <f>SUM(F522:F523)</f>
        <v>21324175.920000002</v>
      </c>
      <c r="G524" s="131">
        <f>SUM(G522:G523)</f>
        <v>0</v>
      </c>
      <c r="H524" s="131">
        <f>SUM(H522:H523)</f>
        <v>0</v>
      </c>
      <c r="I524" s="131">
        <f>SUM(I522:I523)</f>
        <v>21324175.920000002</v>
      </c>
      <c r="J524" s="116"/>
      <c r="K524" s="116"/>
      <c r="L524" s="131"/>
      <c r="M524" s="131">
        <f>SUM(M522:M523)</f>
        <v>20573059.9417121</v>
      </c>
      <c r="N524" s="131">
        <f>SUM(N522:N523)</f>
        <v>751115.9782879008</v>
      </c>
      <c r="O524" s="272"/>
      <c r="P524" s="207"/>
      <c r="Q524" s="131">
        <f>SUM(Q522:Q523)</f>
        <v>0</v>
      </c>
      <c r="R524" s="131">
        <f>SUM(R522:R523)</f>
        <v>20573059.9417121</v>
      </c>
      <c r="S524" s="257"/>
      <c r="T524" s="131">
        <f>SUM(T522:T523)</f>
        <v>0</v>
      </c>
      <c r="U524" s="131">
        <f>SUM(U522:U523)</f>
        <v>751115.9782879008</v>
      </c>
      <c r="V524" s="273"/>
      <c r="W524" s="131">
        <f>HLOOKUP($W$9,'ROR-Model'!$Q$10:$U$1263,Y524)</f>
        <v>0</v>
      </c>
      <c r="X524" s="118"/>
      <c r="Y524" s="577">
        <f t="shared" si="24"/>
        <v>515</v>
      </c>
      <c r="AA524" s="131">
        <v>0</v>
      </c>
      <c r="AB524" s="116">
        <f t="shared" si="25"/>
        <v>0</v>
      </c>
    </row>
    <row r="525" spans="1:28">
      <c r="A525" s="136"/>
      <c r="B525" s="102"/>
      <c r="C525" s="102"/>
      <c r="D525" s="102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272"/>
      <c r="P525" s="207"/>
      <c r="Q525" s="116"/>
      <c r="R525" s="116"/>
      <c r="S525" s="240"/>
      <c r="T525" s="116"/>
      <c r="U525" s="116"/>
      <c r="V525" s="273"/>
      <c r="W525" s="116"/>
      <c r="X525" s="118"/>
      <c r="Y525" s="577">
        <f t="shared" si="24"/>
        <v>516</v>
      </c>
      <c r="AA525" s="116"/>
      <c r="AB525" s="116">
        <f t="shared" si="25"/>
        <v>0</v>
      </c>
    </row>
    <row r="526" spans="1:28">
      <c r="A526" s="136" t="s">
        <v>702</v>
      </c>
      <c r="B526" s="102" t="s">
        <v>345</v>
      </c>
      <c r="C526" s="102"/>
      <c r="D526" s="102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272"/>
      <c r="P526" s="207"/>
      <c r="Q526" s="116"/>
      <c r="R526" s="116"/>
      <c r="S526" s="240"/>
      <c r="T526" s="116"/>
      <c r="U526" s="116"/>
      <c r="V526" s="273"/>
      <c r="W526" s="116"/>
      <c r="X526" s="118"/>
      <c r="Y526" s="577">
        <f t="shared" ref="Y526:Y589" si="26">Y525+1</f>
        <v>517</v>
      </c>
      <c r="AA526" s="116"/>
      <c r="AB526" s="116">
        <f t="shared" si="25"/>
        <v>0</v>
      </c>
    </row>
    <row r="527" spans="1:28">
      <c r="A527" s="136"/>
      <c r="B527" s="102"/>
      <c r="C527" s="102" t="s">
        <v>14</v>
      </c>
      <c r="D527" s="102"/>
      <c r="E527" s="116" t="s">
        <v>559</v>
      </c>
      <c r="F527" s="116">
        <f>EXPENSES!G21</f>
        <v>311269.64999999997</v>
      </c>
      <c r="G527" s="116">
        <f>+Adjustments!AW526</f>
        <v>0</v>
      </c>
      <c r="H527" s="116"/>
      <c r="I527" s="116">
        <f>SUM($F$527:$H$527)</f>
        <v>311269.64999999997</v>
      </c>
      <c r="J527" s="116"/>
      <c r="K527" s="116"/>
      <c r="L527" s="116" t="s">
        <v>14</v>
      </c>
      <c r="M527" s="116">
        <f>VLOOKUP($L527,$L$2:$N$7,2,FALSE)*I527</f>
        <v>311269.64999999997</v>
      </c>
      <c r="N527" s="116">
        <f>VLOOKUP($L527,$L$2:$N$7,3,FALSE)*I527</f>
        <v>0</v>
      </c>
      <c r="O527" s="272"/>
      <c r="P527" s="207" t="s">
        <v>559</v>
      </c>
      <c r="Q527" s="116">
        <f>IF(P527="G",M527,IF(P527="PT",0,ERR))</f>
        <v>0</v>
      </c>
      <c r="R527" s="116">
        <f>IF(P527="PT",M527,IF(P527="G",0,ERR))</f>
        <v>311269.64999999997</v>
      </c>
      <c r="S527" s="240" t="s">
        <v>559</v>
      </c>
      <c r="T527" s="116">
        <f>IF(S527="G",N527,IF(S527="PT",0,ERR))</f>
        <v>0</v>
      </c>
      <c r="U527" s="116">
        <f>IF(S527="PT",N527,IF(S527="G",0,ERR))</f>
        <v>0</v>
      </c>
      <c r="V527" s="273"/>
      <c r="W527" s="116">
        <f>HLOOKUP($W$9,'ROR-Model'!$Q$10:$U$1263,Y527)</f>
        <v>0</v>
      </c>
      <c r="X527" s="118"/>
      <c r="Y527" s="577">
        <f t="shared" si="26"/>
        <v>518</v>
      </c>
      <c r="AA527" s="116">
        <v>0</v>
      </c>
      <c r="AB527" s="116">
        <f t="shared" si="25"/>
        <v>0</v>
      </c>
    </row>
    <row r="528" spans="1:28">
      <c r="A528" s="136"/>
      <c r="B528" s="102"/>
      <c r="C528" s="102" t="s">
        <v>24</v>
      </c>
      <c r="D528" s="102"/>
      <c r="E528" s="116" t="s">
        <v>559</v>
      </c>
      <c r="F528" s="116">
        <f>EXPENSES!G22</f>
        <v>0</v>
      </c>
      <c r="G528" s="116">
        <f>+Adjustments!AW527</f>
        <v>0</v>
      </c>
      <c r="H528" s="116"/>
      <c r="I528" s="116">
        <f>SUM($F$528:$H$528)</f>
        <v>0</v>
      </c>
      <c r="J528" s="116"/>
      <c r="K528" s="116"/>
      <c r="L528" s="116" t="s">
        <v>24</v>
      </c>
      <c r="M528" s="116">
        <f>VLOOKUP($L528,$L$2:$N$7,2,FALSE)*I528</f>
        <v>0</v>
      </c>
      <c r="N528" s="116">
        <f>VLOOKUP($L528,$L$2:$N$7,3,FALSE)*I528</f>
        <v>0</v>
      </c>
      <c r="O528" s="272"/>
      <c r="P528" s="207" t="s">
        <v>559</v>
      </c>
      <c r="Q528" s="116">
        <f>IF(P528="G",M528,IF(P528="PT",0,ERR))</f>
        <v>0</v>
      </c>
      <c r="R528" s="116">
        <f>IF(P528="PT",M528,IF(P528="G",0,ERR))</f>
        <v>0</v>
      </c>
      <c r="S528" s="240" t="s">
        <v>559</v>
      </c>
      <c r="T528" s="116">
        <f>IF(S528="G",N528,IF(S528="PT",0,ERR))</f>
        <v>0</v>
      </c>
      <c r="U528" s="116">
        <f>IF(S528="PT",N528,IF(S528="G",0,ERR))</f>
        <v>0</v>
      </c>
      <c r="V528" s="273"/>
      <c r="W528" s="116">
        <f>HLOOKUP($W$9,'ROR-Model'!$Q$10:$U$1263,Y528)</f>
        <v>0</v>
      </c>
      <c r="X528" s="118"/>
      <c r="Y528" s="577">
        <f t="shared" si="26"/>
        <v>519</v>
      </c>
      <c r="AA528" s="116">
        <v>0</v>
      </c>
      <c r="AB528" s="116">
        <f t="shared" si="25"/>
        <v>0</v>
      </c>
    </row>
    <row r="529" spans="1:28">
      <c r="A529" s="136"/>
      <c r="B529" s="102"/>
      <c r="C529" s="102" t="s">
        <v>170</v>
      </c>
      <c r="D529" s="102"/>
      <c r="E529" s="131"/>
      <c r="F529" s="131">
        <f>SUM(F527:F528)</f>
        <v>311269.64999999997</v>
      </c>
      <c r="G529" s="131">
        <f>SUM(G527:G528)</f>
        <v>0</v>
      </c>
      <c r="H529" s="131">
        <f>SUM(H527:H528)</f>
        <v>0</v>
      </c>
      <c r="I529" s="131">
        <f>SUM(I527:I528)</f>
        <v>311269.64999999997</v>
      </c>
      <c r="J529" s="116"/>
      <c r="K529" s="116"/>
      <c r="L529" s="131"/>
      <c r="M529" s="131">
        <f>SUM(M527:M528)</f>
        <v>311269.64999999997</v>
      </c>
      <c r="N529" s="131">
        <f>SUM(N527:N528)</f>
        <v>0</v>
      </c>
      <c r="O529" s="272"/>
      <c r="P529" s="207"/>
      <c r="Q529" s="131">
        <f>SUM(Q527:Q528)</f>
        <v>0</v>
      </c>
      <c r="R529" s="131">
        <f>SUM(R527:R528)</f>
        <v>311269.64999999997</v>
      </c>
      <c r="S529" s="257"/>
      <c r="T529" s="131">
        <f>SUM(T527:T528)</f>
        <v>0</v>
      </c>
      <c r="U529" s="131">
        <f>SUM(U527:U528)</f>
        <v>0</v>
      </c>
      <c r="V529" s="273"/>
      <c r="W529" s="131">
        <f>HLOOKUP($W$9,'ROR-Model'!$Q$10:$U$1263,Y529)</f>
        <v>0</v>
      </c>
      <c r="X529" s="118"/>
      <c r="Y529" s="577">
        <f t="shared" si="26"/>
        <v>520</v>
      </c>
      <c r="AA529" s="131">
        <v>0</v>
      </c>
      <c r="AB529" s="116">
        <f t="shared" ref="AB529:AB592" si="27">W529-AA529</f>
        <v>0</v>
      </c>
    </row>
    <row r="530" spans="1:28">
      <c r="A530" s="136"/>
      <c r="B530" s="102"/>
      <c r="C530" s="102"/>
      <c r="D530" s="102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272"/>
      <c r="P530" s="207"/>
      <c r="Q530" s="116"/>
      <c r="R530" s="116"/>
      <c r="S530" s="240"/>
      <c r="T530" s="116"/>
      <c r="U530" s="116"/>
      <c r="V530" s="273"/>
      <c r="W530" s="116"/>
      <c r="X530" s="118"/>
      <c r="Y530" s="577">
        <f t="shared" si="26"/>
        <v>521</v>
      </c>
      <c r="AA530" s="116"/>
      <c r="AB530" s="116">
        <f t="shared" si="27"/>
        <v>0</v>
      </c>
    </row>
    <row r="531" spans="1:28">
      <c r="A531" s="136">
        <v>759</v>
      </c>
      <c r="B531" s="102" t="s">
        <v>727</v>
      </c>
      <c r="C531" s="102"/>
      <c r="D531" s="102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272"/>
      <c r="P531" s="207"/>
      <c r="Q531" s="116"/>
      <c r="R531" s="116"/>
      <c r="S531" s="240"/>
      <c r="T531" s="116"/>
      <c r="U531" s="116"/>
      <c r="V531" s="273"/>
      <c r="W531" s="116"/>
      <c r="X531" s="118"/>
      <c r="Y531" s="577">
        <f t="shared" si="26"/>
        <v>522</v>
      </c>
      <c r="AA531" s="116"/>
      <c r="AB531" s="116">
        <f t="shared" si="27"/>
        <v>0</v>
      </c>
    </row>
    <row r="532" spans="1:28">
      <c r="A532" s="136"/>
      <c r="B532" s="102"/>
      <c r="C532" s="102" t="s">
        <v>14</v>
      </c>
      <c r="D532" s="102"/>
      <c r="E532" s="116" t="s">
        <v>559</v>
      </c>
      <c r="F532" s="116">
        <f>EXPENSES!G26</f>
        <v>24917407.16</v>
      </c>
      <c r="G532" s="116">
        <f>+Adjustments!AW531</f>
        <v>0</v>
      </c>
      <c r="H532" s="116"/>
      <c r="I532" s="116">
        <f>SUM($F$532:$H$532)</f>
        <v>24917407.16</v>
      </c>
      <c r="J532" s="116"/>
      <c r="K532" s="116"/>
      <c r="L532" s="116" t="s">
        <v>14</v>
      </c>
      <c r="M532" s="116">
        <f>VLOOKUP($L532,$L$2:$N$7,2,FALSE)*I532</f>
        <v>24917407.16</v>
      </c>
      <c r="N532" s="116">
        <f>VLOOKUP($L532,$L$2:$N$7,3,FALSE)*I532</f>
        <v>0</v>
      </c>
      <c r="O532" s="272"/>
      <c r="P532" s="207" t="s">
        <v>559</v>
      </c>
      <c r="Q532" s="116">
        <f>IF(P532="G",M532,IF(P532="PT",0,ERR))</f>
        <v>0</v>
      </c>
      <c r="R532" s="116">
        <f>IF(P532="PT",M532,IF(P532="G",0,ERR))</f>
        <v>24917407.16</v>
      </c>
      <c r="S532" s="240" t="s">
        <v>559</v>
      </c>
      <c r="T532" s="116">
        <f>IF(S532="G",N532,IF(S532="PT",0,ERR))</f>
        <v>0</v>
      </c>
      <c r="U532" s="116">
        <f>IF(S532="PT",N532,IF(S532="G",0,ERR))</f>
        <v>0</v>
      </c>
      <c r="V532" s="273"/>
      <c r="W532" s="116">
        <f>HLOOKUP($W$9,'ROR-Model'!$Q$10:$U$1263,Y532)</f>
        <v>0</v>
      </c>
      <c r="X532" s="118"/>
      <c r="Y532" s="577">
        <f t="shared" si="26"/>
        <v>523</v>
      </c>
      <c r="AA532" s="116">
        <v>0</v>
      </c>
      <c r="AB532" s="116">
        <f t="shared" si="27"/>
        <v>0</v>
      </c>
    </row>
    <row r="533" spans="1:28">
      <c r="A533" s="136"/>
      <c r="B533" s="102"/>
      <c r="C533" s="102" t="s">
        <v>24</v>
      </c>
      <c r="D533" s="102"/>
      <c r="E533" s="116" t="s">
        <v>559</v>
      </c>
      <c r="F533" s="116">
        <f>EXPENSES!G27</f>
        <v>0</v>
      </c>
      <c r="G533" s="116">
        <f>+Adjustments!AW532</f>
        <v>0</v>
      </c>
      <c r="H533" s="116"/>
      <c r="I533" s="116">
        <f>SUM($F$533:$H$533)</f>
        <v>0</v>
      </c>
      <c r="J533" s="116"/>
      <c r="K533" s="116"/>
      <c r="L533" s="116" t="s">
        <v>24</v>
      </c>
      <c r="M533" s="116">
        <f>VLOOKUP($L533,$L$2:$N$7,2,FALSE)*I533</f>
        <v>0</v>
      </c>
      <c r="N533" s="116">
        <f>VLOOKUP($L533,$L$2:$N$7,3,FALSE)*I533</f>
        <v>0</v>
      </c>
      <c r="O533" s="272"/>
      <c r="P533" s="207" t="s">
        <v>559</v>
      </c>
      <c r="Q533" s="116">
        <f>IF(P533="G",M533,IF(P533="PT",0,ERR))</f>
        <v>0</v>
      </c>
      <c r="R533" s="116">
        <f>IF(P533="PT",M533,IF(P533="G",0,ERR))</f>
        <v>0</v>
      </c>
      <c r="S533" s="240" t="s">
        <v>559</v>
      </c>
      <c r="T533" s="116">
        <f>IF(S533="G",N533,IF(S533="PT",0,ERR))</f>
        <v>0</v>
      </c>
      <c r="U533" s="116">
        <f>IF(S533="PT",N533,IF(S533="G",0,ERR))</f>
        <v>0</v>
      </c>
      <c r="V533" s="273"/>
      <c r="W533" s="116">
        <f>HLOOKUP($W$9,'ROR-Model'!$Q$10:$U$1263,Y533)</f>
        <v>0</v>
      </c>
      <c r="X533" s="118"/>
      <c r="Y533" s="577">
        <f t="shared" si="26"/>
        <v>524</v>
      </c>
      <c r="AA533" s="116">
        <v>0</v>
      </c>
      <c r="AB533" s="116">
        <f t="shared" si="27"/>
        <v>0</v>
      </c>
    </row>
    <row r="534" spans="1:28">
      <c r="A534" s="136"/>
      <c r="B534" s="102"/>
      <c r="C534" s="102" t="s">
        <v>170</v>
      </c>
      <c r="D534" s="102"/>
      <c r="E534" s="131"/>
      <c r="F534" s="131">
        <f>SUM(F532:F533)</f>
        <v>24917407.16</v>
      </c>
      <c r="G534" s="131">
        <f>SUM(G532:G533)</f>
        <v>0</v>
      </c>
      <c r="H534" s="131">
        <f>SUM(H532:H533)</f>
        <v>0</v>
      </c>
      <c r="I534" s="131">
        <f>SUM(I532:I533)</f>
        <v>24917407.16</v>
      </c>
      <c r="J534" s="116"/>
      <c r="K534" s="116"/>
      <c r="L534" s="131"/>
      <c r="M534" s="131">
        <f>SUM(M532:M533)</f>
        <v>24917407.16</v>
      </c>
      <c r="N534" s="131">
        <f>SUM(N532:N533)</f>
        <v>0</v>
      </c>
      <c r="O534" s="272"/>
      <c r="P534" s="207"/>
      <c r="Q534" s="131">
        <f>SUM(Q532:Q533)</f>
        <v>0</v>
      </c>
      <c r="R534" s="131">
        <f>SUM(R532:R533)</f>
        <v>24917407.16</v>
      </c>
      <c r="S534" s="257"/>
      <c r="T534" s="131">
        <f>SUM(T532:T533)</f>
        <v>0</v>
      </c>
      <c r="U534" s="131">
        <f>SUM(U532:U533)</f>
        <v>0</v>
      </c>
      <c r="V534" s="273"/>
      <c r="W534" s="131">
        <f>HLOOKUP($W$9,'ROR-Model'!$Q$10:$U$1263,Y534)</f>
        <v>0</v>
      </c>
      <c r="X534" s="118"/>
      <c r="Y534" s="577">
        <f t="shared" si="26"/>
        <v>525</v>
      </c>
      <c r="AA534" s="131">
        <v>0</v>
      </c>
      <c r="AB534" s="116">
        <f t="shared" si="27"/>
        <v>0</v>
      </c>
    </row>
    <row r="535" spans="1:28">
      <c r="A535" s="136"/>
      <c r="B535" s="102"/>
      <c r="C535" s="102"/>
      <c r="D535" s="102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272"/>
      <c r="P535" s="207"/>
      <c r="Q535" s="116"/>
      <c r="R535" s="116"/>
      <c r="S535" s="240"/>
      <c r="T535" s="116"/>
      <c r="U535" s="116"/>
      <c r="V535" s="273"/>
      <c r="W535" s="116"/>
      <c r="X535" s="118"/>
      <c r="Y535" s="577">
        <f t="shared" si="26"/>
        <v>526</v>
      </c>
      <c r="AA535" s="116"/>
      <c r="AB535" s="116">
        <f t="shared" si="27"/>
        <v>0</v>
      </c>
    </row>
    <row r="536" spans="1:28">
      <c r="A536" s="136">
        <v>759</v>
      </c>
      <c r="B536" s="102" t="s">
        <v>348</v>
      </c>
      <c r="C536" s="102"/>
      <c r="D536" s="102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272"/>
      <c r="P536" s="207"/>
      <c r="Q536" s="116"/>
      <c r="R536" s="116"/>
      <c r="S536" s="240"/>
      <c r="T536" s="116"/>
      <c r="U536" s="116"/>
      <c r="V536" s="273"/>
      <c r="W536" s="116"/>
      <c r="X536" s="118"/>
      <c r="Y536" s="577">
        <f t="shared" si="26"/>
        <v>527</v>
      </c>
      <c r="AA536" s="116"/>
      <c r="AB536" s="116">
        <f t="shared" si="27"/>
        <v>0</v>
      </c>
    </row>
    <row r="537" spans="1:28">
      <c r="A537" s="136"/>
      <c r="B537" s="102"/>
      <c r="C537" s="102" t="s">
        <v>14</v>
      </c>
      <c r="D537" s="102"/>
      <c r="E537" s="116" t="s">
        <v>560</v>
      </c>
      <c r="F537" s="116">
        <f>EXPENSES!G31</f>
        <v>0</v>
      </c>
      <c r="G537" s="116">
        <f>+Adjustments!AW536</f>
        <v>0</v>
      </c>
      <c r="H537" s="116"/>
      <c r="I537" s="116">
        <f>SUM($F$537:$H$537)</f>
        <v>0</v>
      </c>
      <c r="J537" s="116"/>
      <c r="K537" s="116"/>
      <c r="L537" s="116" t="s">
        <v>14</v>
      </c>
      <c r="M537" s="116">
        <f>VLOOKUP($L537,$L$2:$N$7,2,FALSE)*I537</f>
        <v>0</v>
      </c>
      <c r="N537" s="116">
        <f>VLOOKUP($L537,$L$2:$N$7,3,FALSE)*I537</f>
        <v>0</v>
      </c>
      <c r="O537" s="272"/>
      <c r="P537" s="207" t="s">
        <v>560</v>
      </c>
      <c r="Q537" s="116">
        <f>IF(P537="G",M537,IF(P537="PT",0,ERR))</f>
        <v>0</v>
      </c>
      <c r="R537" s="116">
        <f>IF(P537="PT",M537,IF(P537="G",0,ERR))</f>
        <v>0</v>
      </c>
      <c r="S537" s="240" t="s">
        <v>560</v>
      </c>
      <c r="T537" s="116">
        <f>IF(S537="G",N537,IF(S537="PT",0,ERR))</f>
        <v>0</v>
      </c>
      <c r="U537" s="116">
        <f>IF(S537="PT",N537,IF(S537="G",0,ERR))</f>
        <v>0</v>
      </c>
      <c r="V537" s="273"/>
      <c r="W537" s="116">
        <f>HLOOKUP($W$9,'ROR-Model'!$Q$10:$U$1263,Y537)</f>
        <v>0</v>
      </c>
      <c r="X537" s="118"/>
      <c r="Y537" s="577">
        <f t="shared" si="26"/>
        <v>528</v>
      </c>
      <c r="AA537" s="116">
        <v>0</v>
      </c>
      <c r="AB537" s="116">
        <f t="shared" si="27"/>
        <v>0</v>
      </c>
    </row>
    <row r="538" spans="1:28">
      <c r="A538" s="136"/>
      <c r="B538" s="102"/>
      <c r="C538" s="102" t="s">
        <v>24</v>
      </c>
      <c r="D538" s="102"/>
      <c r="E538" s="116" t="s">
        <v>559</v>
      </c>
      <c r="F538" s="116">
        <f>EXPENSES!G34</f>
        <v>0</v>
      </c>
      <c r="G538" s="116">
        <f>+Adjustments!AW537</f>
        <v>0</v>
      </c>
      <c r="H538" s="116"/>
      <c r="I538" s="116">
        <f>SUM($F$538:$H$538)</f>
        <v>0</v>
      </c>
      <c r="J538" s="116"/>
      <c r="K538" s="116"/>
      <c r="L538" s="116" t="s">
        <v>24</v>
      </c>
      <c r="M538" s="116">
        <f>VLOOKUP($L538,$L$2:$N$7,2,FALSE)*I538</f>
        <v>0</v>
      </c>
      <c r="N538" s="116">
        <f>VLOOKUP($L538,$L$2:$N$7,3,FALSE)*I538</f>
        <v>0</v>
      </c>
      <c r="O538" s="272"/>
      <c r="P538" s="207" t="s">
        <v>560</v>
      </c>
      <c r="Q538" s="116">
        <f>IF(P538="G",M538,IF(P538="PT",0,ERR))</f>
        <v>0</v>
      </c>
      <c r="R538" s="116">
        <f>IF(P538="PT",M538,IF(P538="G",0,ERR))</f>
        <v>0</v>
      </c>
      <c r="S538" s="240" t="s">
        <v>559</v>
      </c>
      <c r="T538" s="116">
        <f>IF(S538="G",N538,IF(S538="PT",0,ERR))</f>
        <v>0</v>
      </c>
      <c r="U538" s="116">
        <f>IF(S538="PT",N538,IF(S538="G",0,ERR))</f>
        <v>0</v>
      </c>
      <c r="V538" s="273"/>
      <c r="W538" s="116">
        <f>HLOOKUP($W$9,'ROR-Model'!$Q$10:$U$1263,Y538)</f>
        <v>0</v>
      </c>
      <c r="X538" s="118"/>
      <c r="Y538" s="577">
        <f t="shared" si="26"/>
        <v>529</v>
      </c>
      <c r="AA538" s="116">
        <v>0</v>
      </c>
      <c r="AB538" s="116">
        <f t="shared" si="27"/>
        <v>0</v>
      </c>
    </row>
    <row r="539" spans="1:28">
      <c r="A539" s="136"/>
      <c r="B539" s="102"/>
      <c r="C539" s="102" t="s">
        <v>170</v>
      </c>
      <c r="D539" s="102"/>
      <c r="E539" s="131"/>
      <c r="F539" s="131">
        <f>SUM(F537:F538)</f>
        <v>0</v>
      </c>
      <c r="G539" s="131">
        <f>SUM(G537:G538)</f>
        <v>0</v>
      </c>
      <c r="H539" s="131">
        <f>SUM(H537:H538)</f>
        <v>0</v>
      </c>
      <c r="I539" s="131">
        <f>SUM(I537:I538)</f>
        <v>0</v>
      </c>
      <c r="J539" s="116"/>
      <c r="K539" s="116"/>
      <c r="L539" s="131"/>
      <c r="M539" s="131">
        <f>SUM(M537:M538)</f>
        <v>0</v>
      </c>
      <c r="N539" s="131">
        <f>SUM(N537:N538)</f>
        <v>0</v>
      </c>
      <c r="O539" s="272"/>
      <c r="P539" s="207"/>
      <c r="Q539" s="131">
        <f>SUM(Q537:Q538)</f>
        <v>0</v>
      </c>
      <c r="R539" s="131">
        <f>SUM(R537:R538)</f>
        <v>0</v>
      </c>
      <c r="S539" s="257"/>
      <c r="T539" s="131">
        <f>SUM(T537:T538)</f>
        <v>0</v>
      </c>
      <c r="U539" s="131">
        <f>SUM(U537:U538)</f>
        <v>0</v>
      </c>
      <c r="V539" s="273"/>
      <c r="W539" s="131">
        <f>HLOOKUP($W$9,'ROR-Model'!$Q$10:$U$1263,Y539)</f>
        <v>0</v>
      </c>
      <c r="X539" s="118"/>
      <c r="Y539" s="577">
        <f t="shared" si="26"/>
        <v>530</v>
      </c>
      <c r="AA539" s="131">
        <v>0</v>
      </c>
      <c r="AB539" s="116">
        <f t="shared" si="27"/>
        <v>0</v>
      </c>
    </row>
    <row r="540" spans="1:28">
      <c r="A540" s="136"/>
      <c r="B540" s="102"/>
      <c r="C540" s="102"/>
      <c r="D540" s="102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272"/>
      <c r="P540" s="207"/>
      <c r="Q540" s="116"/>
      <c r="R540" s="116"/>
      <c r="S540" s="240"/>
      <c r="T540" s="116"/>
      <c r="U540" s="116"/>
      <c r="V540" s="273"/>
      <c r="W540" s="116"/>
      <c r="X540" s="118"/>
      <c r="Y540" s="577">
        <f t="shared" si="26"/>
        <v>531</v>
      </c>
      <c r="AA540" s="116"/>
      <c r="AB540" s="116">
        <f t="shared" si="27"/>
        <v>0</v>
      </c>
    </row>
    <row r="541" spans="1:28">
      <c r="A541" s="136">
        <v>800</v>
      </c>
      <c r="B541" s="102" t="s">
        <v>349</v>
      </c>
      <c r="C541" s="102"/>
      <c r="D541" s="102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272"/>
      <c r="P541" s="207"/>
      <c r="Q541" s="116"/>
      <c r="R541" s="116"/>
      <c r="S541" s="240"/>
      <c r="T541" s="116"/>
      <c r="U541" s="116"/>
      <c r="V541" s="273"/>
      <c r="W541" s="116"/>
      <c r="X541" s="118"/>
      <c r="Y541" s="577">
        <f t="shared" si="26"/>
        <v>532</v>
      </c>
      <c r="AA541" s="116"/>
      <c r="AB541" s="116">
        <f t="shared" si="27"/>
        <v>0</v>
      </c>
    </row>
    <row r="542" spans="1:28">
      <c r="A542" s="136"/>
      <c r="B542" s="102"/>
      <c r="C542" s="102" t="s">
        <v>14</v>
      </c>
      <c r="D542" s="102"/>
      <c r="E542" s="116" t="s">
        <v>559</v>
      </c>
      <c r="F542" s="116">
        <f>EXPENSES!G38</f>
        <v>501.32868340000005</v>
      </c>
      <c r="G542" s="116">
        <f>+Adjustments!AW541</f>
        <v>0</v>
      </c>
      <c r="H542" s="116"/>
      <c r="I542" s="116">
        <f>SUM($F$542:$H$542)</f>
        <v>501.32868340000005</v>
      </c>
      <c r="J542" s="116"/>
      <c r="K542" s="116"/>
      <c r="L542" s="116" t="s">
        <v>14</v>
      </c>
      <c r="M542" s="116">
        <f>VLOOKUP($L542,$L$2:$N$7,2,FALSE)*I542</f>
        <v>501.32868340000005</v>
      </c>
      <c r="N542" s="116">
        <f>VLOOKUP($L542,$L$2:$N$7,3,FALSE)*I542</f>
        <v>0</v>
      </c>
      <c r="O542" s="272"/>
      <c r="P542" s="207" t="s">
        <v>559</v>
      </c>
      <c r="Q542" s="116">
        <f>IF(P542="G",M542,IF(P542="PT",0,ERR))</f>
        <v>0</v>
      </c>
      <c r="R542" s="116">
        <f>IF(P542="PT",M542,IF(P542="G",0,ERR))</f>
        <v>501.32868340000005</v>
      </c>
      <c r="S542" s="240" t="s">
        <v>559</v>
      </c>
      <c r="T542" s="116">
        <f>IF(S542="G",N542,IF(S542="PT",0,ERR))</f>
        <v>0</v>
      </c>
      <c r="U542" s="116">
        <f>IF(S542="PT",N542,IF(S542="G",0,ERR))</f>
        <v>0</v>
      </c>
      <c r="V542" s="273"/>
      <c r="W542" s="116">
        <f>HLOOKUP($W$9,'ROR-Model'!$Q$10:$U$1263,Y542)</f>
        <v>0</v>
      </c>
      <c r="X542" s="118"/>
      <c r="Y542" s="577">
        <f t="shared" si="26"/>
        <v>533</v>
      </c>
      <c r="AA542" s="116">
        <v>0</v>
      </c>
      <c r="AB542" s="116">
        <f t="shared" si="27"/>
        <v>0</v>
      </c>
    </row>
    <row r="543" spans="1:28">
      <c r="A543" s="136"/>
      <c r="B543" s="102"/>
      <c r="C543" s="102" t="s">
        <v>24</v>
      </c>
      <c r="D543" s="102"/>
      <c r="E543" s="116" t="s">
        <v>559</v>
      </c>
      <c r="F543" s="116">
        <f>EXPENSES!G39</f>
        <v>16.661316600000021</v>
      </c>
      <c r="G543" s="116">
        <f>+Adjustments!AW542</f>
        <v>0</v>
      </c>
      <c r="H543" s="116"/>
      <c r="I543" s="116">
        <f>SUM($F$543:$H$543)</f>
        <v>16.661316600000021</v>
      </c>
      <c r="J543" s="116"/>
      <c r="K543" s="116"/>
      <c r="L543" s="116" t="s">
        <v>24</v>
      </c>
      <c r="M543" s="116">
        <f>VLOOKUP($L543,$L$2:$N$7,2,FALSE)*I543</f>
        <v>0</v>
      </c>
      <c r="N543" s="116">
        <f>VLOOKUP($L543,$L$2:$N$7,3,FALSE)*I543</f>
        <v>16.661316600000021</v>
      </c>
      <c r="O543" s="272"/>
      <c r="P543" s="207" t="s">
        <v>559</v>
      </c>
      <c r="Q543" s="116">
        <f>IF(P543="G",M543,IF(P543="PT",0,ERR))</f>
        <v>0</v>
      </c>
      <c r="R543" s="116">
        <f>IF(P543="PT",M543,IF(P543="G",0,ERR))</f>
        <v>0</v>
      </c>
      <c r="S543" s="240" t="s">
        <v>559</v>
      </c>
      <c r="T543" s="116">
        <f>IF(S543="G",N543,IF(S543="PT",0,ERR))</f>
        <v>0</v>
      </c>
      <c r="U543" s="116">
        <f>IF(S543="PT",N543,IF(S543="G",0,ERR))</f>
        <v>16.661316600000021</v>
      </c>
      <c r="V543" s="273"/>
      <c r="W543" s="116">
        <f>HLOOKUP($W$9,'ROR-Model'!$Q$10:$U$1263,Y543)</f>
        <v>0</v>
      </c>
      <c r="X543" s="118"/>
      <c r="Y543" s="577">
        <f t="shared" si="26"/>
        <v>534</v>
      </c>
      <c r="AA543" s="116">
        <v>0</v>
      </c>
      <c r="AB543" s="116">
        <f t="shared" si="27"/>
        <v>0</v>
      </c>
    </row>
    <row r="544" spans="1:28">
      <c r="A544" s="136"/>
      <c r="B544" s="102"/>
      <c r="C544" s="102" t="s">
        <v>170</v>
      </c>
      <c r="D544" s="102"/>
      <c r="E544" s="131"/>
      <c r="F544" s="131">
        <f>SUM(F542:F543)</f>
        <v>517.99</v>
      </c>
      <c r="G544" s="131">
        <f>SUM(G542:G543)</f>
        <v>0</v>
      </c>
      <c r="H544" s="131">
        <f>SUM(H542:H543)</f>
        <v>0</v>
      </c>
      <c r="I544" s="131">
        <f>SUM(I542:I543)</f>
        <v>517.99</v>
      </c>
      <c r="J544" s="116"/>
      <c r="K544" s="116"/>
      <c r="L544" s="131"/>
      <c r="M544" s="131">
        <f>SUM(M542:M543)</f>
        <v>501.32868340000005</v>
      </c>
      <c r="N544" s="131">
        <f>SUM(N542:N543)</f>
        <v>16.661316600000021</v>
      </c>
      <c r="O544" s="272"/>
      <c r="P544" s="207"/>
      <c r="Q544" s="131">
        <f>SUM(Q542:Q543)</f>
        <v>0</v>
      </c>
      <c r="R544" s="131">
        <f>SUM(R542:R543)</f>
        <v>501.32868340000005</v>
      </c>
      <c r="S544" s="257"/>
      <c r="T544" s="131">
        <f>SUM(T542:T543)</f>
        <v>0</v>
      </c>
      <c r="U544" s="131">
        <f>SUM(U542:U543)</f>
        <v>16.661316600000021</v>
      </c>
      <c r="V544" s="273"/>
      <c r="W544" s="131">
        <f>HLOOKUP($W$9,'ROR-Model'!$Q$10:$U$1263,Y544)</f>
        <v>0</v>
      </c>
      <c r="X544" s="118"/>
      <c r="Y544" s="577">
        <f t="shared" si="26"/>
        <v>535</v>
      </c>
      <c r="AA544" s="131">
        <v>0</v>
      </c>
      <c r="AB544" s="116">
        <f t="shared" si="27"/>
        <v>0</v>
      </c>
    </row>
    <row r="545" spans="1:28">
      <c r="A545" s="136"/>
      <c r="B545" s="102"/>
      <c r="C545" s="102"/>
      <c r="D545" s="102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272"/>
      <c r="P545" s="207"/>
      <c r="Q545" s="116"/>
      <c r="R545" s="116"/>
      <c r="S545" s="240"/>
      <c r="T545" s="116"/>
      <c r="U545" s="116"/>
      <c r="V545" s="273"/>
      <c r="W545" s="116"/>
      <c r="X545" s="118"/>
      <c r="Y545" s="577">
        <f t="shared" si="26"/>
        <v>536</v>
      </c>
      <c r="AA545" s="116"/>
      <c r="AB545" s="116">
        <f t="shared" si="27"/>
        <v>0</v>
      </c>
    </row>
    <row r="546" spans="1:28">
      <c r="A546" s="136">
        <v>801</v>
      </c>
      <c r="B546" s="102" t="s">
        <v>350</v>
      </c>
      <c r="C546" s="102"/>
      <c r="D546" s="102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272"/>
      <c r="P546" s="207"/>
      <c r="Q546" s="116"/>
      <c r="R546" s="116"/>
      <c r="S546" s="240"/>
      <c r="T546" s="116"/>
      <c r="U546" s="116"/>
      <c r="V546" s="273"/>
      <c r="W546" s="116"/>
      <c r="X546" s="118"/>
      <c r="Y546" s="577">
        <f t="shared" si="26"/>
        <v>537</v>
      </c>
      <c r="AA546" s="116"/>
      <c r="AB546" s="116">
        <f t="shared" si="27"/>
        <v>0</v>
      </c>
    </row>
    <row r="547" spans="1:28">
      <c r="A547" s="136"/>
      <c r="B547" s="102"/>
      <c r="C547" s="102" t="s">
        <v>14</v>
      </c>
      <c r="D547" s="102"/>
      <c r="E547" s="116" t="s">
        <v>559</v>
      </c>
      <c r="F547" s="116">
        <f>EXPENSES!G43</f>
        <v>0</v>
      </c>
      <c r="G547" s="116">
        <f>+Adjustments!AW546</f>
        <v>0</v>
      </c>
      <c r="H547" s="116"/>
      <c r="I547" s="116">
        <f>SUM($F$547:$H$547)</f>
        <v>0</v>
      </c>
      <c r="J547" s="116"/>
      <c r="K547" s="116"/>
      <c r="L547" s="116" t="s">
        <v>14</v>
      </c>
      <c r="M547" s="116">
        <f>VLOOKUP($L547,$L$2:$N$7,2,FALSE)*I547</f>
        <v>0</v>
      </c>
      <c r="N547" s="116">
        <f>VLOOKUP($L547,$L$2:$N$7,3,FALSE)*I547</f>
        <v>0</v>
      </c>
      <c r="O547" s="272"/>
      <c r="P547" s="207" t="s">
        <v>559</v>
      </c>
      <c r="Q547" s="116">
        <f>IF(P547="G",M547,IF(P547="PT",0,ERR))</f>
        <v>0</v>
      </c>
      <c r="R547" s="116">
        <f>IF(P547="PT",M547,IF(P547="G",0,ERR))</f>
        <v>0</v>
      </c>
      <c r="S547" s="240" t="s">
        <v>559</v>
      </c>
      <c r="T547" s="116">
        <f>IF(S547="G",N547,IF(S547="PT",0,ERR))</f>
        <v>0</v>
      </c>
      <c r="U547" s="116">
        <f>IF(S547="PT",N547,IF(S547="G",0,ERR))</f>
        <v>0</v>
      </c>
      <c r="V547" s="273"/>
      <c r="W547" s="116">
        <f>HLOOKUP($W$9,'ROR-Model'!$Q$10:$U$1263,Y547)</f>
        <v>0</v>
      </c>
      <c r="X547" s="118"/>
      <c r="Y547" s="577">
        <f t="shared" si="26"/>
        <v>538</v>
      </c>
      <c r="AA547" s="116">
        <v>0</v>
      </c>
      <c r="AB547" s="116">
        <f t="shared" si="27"/>
        <v>0</v>
      </c>
    </row>
    <row r="548" spans="1:28">
      <c r="A548" s="136"/>
      <c r="B548" s="102"/>
      <c r="C548" s="102" t="s">
        <v>24</v>
      </c>
      <c r="D548" s="102"/>
      <c r="E548" s="116" t="s">
        <v>559</v>
      </c>
      <c r="F548" s="116">
        <f>EXPENSES!G44</f>
        <v>0</v>
      </c>
      <c r="G548" s="116">
        <f>+Adjustments!AW547</f>
        <v>0</v>
      </c>
      <c r="H548" s="116"/>
      <c r="I548" s="116">
        <f>SUM($F$548:$H$548)</f>
        <v>0</v>
      </c>
      <c r="J548" s="116"/>
      <c r="K548" s="116"/>
      <c r="L548" s="116" t="s">
        <v>24</v>
      </c>
      <c r="M548" s="116">
        <f>VLOOKUP($L548,$L$2:$N$7,2,FALSE)*I548</f>
        <v>0</v>
      </c>
      <c r="N548" s="116">
        <f>VLOOKUP($L548,$L$2:$N$7,3,FALSE)*I548</f>
        <v>0</v>
      </c>
      <c r="O548" s="272"/>
      <c r="P548" s="207" t="s">
        <v>559</v>
      </c>
      <c r="Q548" s="116">
        <f>IF(P548="G",M548,IF(P548="PT",0,ERR))</f>
        <v>0</v>
      </c>
      <c r="R548" s="116">
        <f>IF(P548="PT",M548,IF(P548="G",0,ERR))</f>
        <v>0</v>
      </c>
      <c r="S548" s="240" t="s">
        <v>559</v>
      </c>
      <c r="T548" s="116">
        <f>IF(S548="G",N548,IF(S548="PT",0,ERR))</f>
        <v>0</v>
      </c>
      <c r="U548" s="116">
        <f>IF(S548="PT",N548,IF(S548="G",0,ERR))</f>
        <v>0</v>
      </c>
      <c r="V548" s="273"/>
      <c r="W548" s="116">
        <f>HLOOKUP($W$9,'ROR-Model'!$Q$10:$U$1263,Y548)</f>
        <v>0</v>
      </c>
      <c r="X548" s="118"/>
      <c r="Y548" s="577">
        <f t="shared" si="26"/>
        <v>539</v>
      </c>
      <c r="AA548" s="116">
        <v>0</v>
      </c>
      <c r="AB548" s="116">
        <f t="shared" si="27"/>
        <v>0</v>
      </c>
    </row>
    <row r="549" spans="1:28">
      <c r="A549" s="136"/>
      <c r="B549" s="102"/>
      <c r="C549" s="102" t="s">
        <v>170</v>
      </c>
      <c r="D549" s="102"/>
      <c r="E549" s="131"/>
      <c r="F549" s="131">
        <f>SUM(F547:F548)</f>
        <v>0</v>
      </c>
      <c r="G549" s="131">
        <f>SUM(G547:G548)</f>
        <v>0</v>
      </c>
      <c r="H549" s="131">
        <f>SUM(H547:H548)</f>
        <v>0</v>
      </c>
      <c r="I549" s="131">
        <f>SUM(I547:I548)</f>
        <v>0</v>
      </c>
      <c r="J549" s="116"/>
      <c r="K549" s="116"/>
      <c r="L549" s="131"/>
      <c r="M549" s="131">
        <f>SUM(M547:M548)</f>
        <v>0</v>
      </c>
      <c r="N549" s="131">
        <f>SUM(N547:N548)</f>
        <v>0</v>
      </c>
      <c r="O549" s="272"/>
      <c r="P549" s="207"/>
      <c r="Q549" s="131">
        <f>SUM(Q547:Q548)</f>
        <v>0</v>
      </c>
      <c r="R549" s="131">
        <f>SUM(R547:R548)</f>
        <v>0</v>
      </c>
      <c r="S549" s="257"/>
      <c r="T549" s="131">
        <f>SUM(T547:T548)</f>
        <v>0</v>
      </c>
      <c r="U549" s="131">
        <f>SUM(U547:U548)</f>
        <v>0</v>
      </c>
      <c r="V549" s="273"/>
      <c r="W549" s="131">
        <f>HLOOKUP($W$9,'ROR-Model'!$Q$10:$U$1263,Y549)</f>
        <v>0</v>
      </c>
      <c r="X549" s="118"/>
      <c r="Y549" s="577">
        <f t="shared" si="26"/>
        <v>540</v>
      </c>
      <c r="AA549" s="131">
        <v>0</v>
      </c>
      <c r="AB549" s="116">
        <f t="shared" si="27"/>
        <v>0</v>
      </c>
    </row>
    <row r="550" spans="1:28">
      <c r="A550" s="136"/>
      <c r="B550" s="102"/>
      <c r="C550" s="102"/>
      <c r="D550" s="102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272"/>
      <c r="P550" s="207"/>
      <c r="Q550" s="116"/>
      <c r="R550" s="116"/>
      <c r="S550" s="240"/>
      <c r="T550" s="116"/>
      <c r="U550" s="116"/>
      <c r="V550" s="273"/>
      <c r="W550" s="116"/>
      <c r="X550" s="118"/>
      <c r="Y550" s="577">
        <f t="shared" si="26"/>
        <v>541</v>
      </c>
      <c r="AA550" s="116"/>
      <c r="AB550" s="116">
        <f t="shared" si="27"/>
        <v>0</v>
      </c>
    </row>
    <row r="551" spans="1:28">
      <c r="A551" s="136">
        <v>802</v>
      </c>
      <c r="B551" s="102" t="s">
        <v>726</v>
      </c>
      <c r="C551" s="102"/>
      <c r="D551" s="102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272"/>
      <c r="P551" s="207"/>
      <c r="Q551" s="116"/>
      <c r="R551" s="116"/>
      <c r="S551" s="240"/>
      <c r="T551" s="116"/>
      <c r="U551" s="116"/>
      <c r="V551" s="273"/>
      <c r="W551" s="116"/>
      <c r="X551" s="118"/>
      <c r="Y551" s="577">
        <f t="shared" si="26"/>
        <v>542</v>
      </c>
      <c r="AA551" s="116"/>
      <c r="AB551" s="116">
        <f t="shared" si="27"/>
        <v>0</v>
      </c>
    </row>
    <row r="552" spans="1:28">
      <c r="A552" s="136"/>
      <c r="B552" s="102"/>
      <c r="C552" s="102" t="s">
        <v>14</v>
      </c>
      <c r="D552" s="102"/>
      <c r="E552" s="116" t="s">
        <v>559</v>
      </c>
      <c r="F552" s="116">
        <f>EXPENSES!G48</f>
        <v>0</v>
      </c>
      <c r="G552" s="116">
        <f>+Adjustments!AW551</f>
        <v>0</v>
      </c>
      <c r="H552" s="116"/>
      <c r="I552" s="116">
        <f>SUM($F$552:$H$552)</f>
        <v>0</v>
      </c>
      <c r="J552" s="116"/>
      <c r="K552" s="116"/>
      <c r="L552" s="116" t="s">
        <v>14</v>
      </c>
      <c r="M552" s="116">
        <f>VLOOKUP($L552,$L$2:$N$7,2,FALSE)*I552</f>
        <v>0</v>
      </c>
      <c r="N552" s="116">
        <f>VLOOKUP($L552,$L$2:$N$7,3,FALSE)*I552</f>
        <v>0</v>
      </c>
      <c r="O552" s="272"/>
      <c r="P552" s="207" t="s">
        <v>559</v>
      </c>
      <c r="Q552" s="116">
        <f>IF(P552="G",M552,IF(P552="PT",0,ERR))</f>
        <v>0</v>
      </c>
      <c r="R552" s="116">
        <f>IF(P552="PT",M552,IF(P552="G",0,ERR))</f>
        <v>0</v>
      </c>
      <c r="S552" s="240" t="s">
        <v>559</v>
      </c>
      <c r="T552" s="116">
        <f>IF(S552="G",N552,IF(S552="PT",0,ERR))</f>
        <v>0</v>
      </c>
      <c r="U552" s="116">
        <f>IF(S552="PT",N552,IF(S552="G",0,ERR))</f>
        <v>0</v>
      </c>
      <c r="V552" s="273"/>
      <c r="W552" s="116">
        <f>HLOOKUP($W$9,'ROR-Model'!$Q$10:$U$1263,Y552)</f>
        <v>0</v>
      </c>
      <c r="X552" s="118"/>
      <c r="Y552" s="577">
        <f t="shared" si="26"/>
        <v>543</v>
      </c>
      <c r="AA552" s="116">
        <v>0</v>
      </c>
      <c r="AB552" s="116">
        <f t="shared" si="27"/>
        <v>0</v>
      </c>
    </row>
    <row r="553" spans="1:28">
      <c r="A553" s="136"/>
      <c r="B553" s="102"/>
      <c r="C553" s="102" t="s">
        <v>24</v>
      </c>
      <c r="D553" s="102"/>
      <c r="E553" s="116" t="s">
        <v>559</v>
      </c>
      <c r="F553" s="116">
        <f>EXPENSES!G49</f>
        <v>0</v>
      </c>
      <c r="G553" s="116">
        <f>+Adjustments!AW552</f>
        <v>0</v>
      </c>
      <c r="H553" s="116"/>
      <c r="I553" s="116">
        <f>SUM($F$553:$H$553)</f>
        <v>0</v>
      </c>
      <c r="J553" s="116"/>
      <c r="K553" s="116"/>
      <c r="L553" s="116" t="s">
        <v>24</v>
      </c>
      <c r="M553" s="116">
        <f>VLOOKUP($L553,$L$2:$N$7,2,FALSE)*I553</f>
        <v>0</v>
      </c>
      <c r="N553" s="116">
        <f>VLOOKUP($L553,$L$2:$N$7,3,FALSE)*I553</f>
        <v>0</v>
      </c>
      <c r="O553" s="272"/>
      <c r="P553" s="207" t="s">
        <v>559</v>
      </c>
      <c r="Q553" s="116">
        <f>IF(P553="G",M553,IF(P553="PT",0,ERR))</f>
        <v>0</v>
      </c>
      <c r="R553" s="116">
        <f>IF(P553="PT",M553,IF(P553="G",0,ERR))</f>
        <v>0</v>
      </c>
      <c r="S553" s="240" t="s">
        <v>559</v>
      </c>
      <c r="T553" s="116">
        <f>IF(S553="G",N553,IF(S553="PT",0,ERR))</f>
        <v>0</v>
      </c>
      <c r="U553" s="116">
        <f>IF(S553="PT",N553,IF(S553="G",0,ERR))</f>
        <v>0</v>
      </c>
      <c r="V553" s="273"/>
      <c r="W553" s="116">
        <f>HLOOKUP($W$9,'ROR-Model'!$Q$10:$U$1263,Y553)</f>
        <v>0</v>
      </c>
      <c r="X553" s="118"/>
      <c r="Y553" s="577">
        <f t="shared" si="26"/>
        <v>544</v>
      </c>
      <c r="AA553" s="116">
        <v>0</v>
      </c>
      <c r="AB553" s="116">
        <f t="shared" si="27"/>
        <v>0</v>
      </c>
    </row>
    <row r="554" spans="1:28">
      <c r="A554" s="136"/>
      <c r="B554" s="102"/>
      <c r="C554" s="102" t="s">
        <v>170</v>
      </c>
      <c r="D554" s="102"/>
      <c r="E554" s="131"/>
      <c r="F554" s="131">
        <f>SUM(F552:F553)</f>
        <v>0</v>
      </c>
      <c r="G554" s="131">
        <f>SUM(G552:G553)</f>
        <v>0</v>
      </c>
      <c r="H554" s="131">
        <f>SUM(H552:H553)</f>
        <v>0</v>
      </c>
      <c r="I554" s="131">
        <f>SUM(I552:I553)</f>
        <v>0</v>
      </c>
      <c r="J554" s="116"/>
      <c r="K554" s="116"/>
      <c r="L554" s="131"/>
      <c r="M554" s="131">
        <f>SUM(M552:M553)</f>
        <v>0</v>
      </c>
      <c r="N554" s="131">
        <f>SUM(N552:N553)</f>
        <v>0</v>
      </c>
      <c r="O554" s="272"/>
      <c r="P554" s="207"/>
      <c r="Q554" s="131">
        <f>SUM(Q552:Q553)</f>
        <v>0</v>
      </c>
      <c r="R554" s="131">
        <f>SUM(R552:R553)</f>
        <v>0</v>
      </c>
      <c r="S554" s="257"/>
      <c r="T554" s="131">
        <f>SUM(T552:T553)</f>
        <v>0</v>
      </c>
      <c r="U554" s="131">
        <f>SUM(U552:U553)</f>
        <v>0</v>
      </c>
      <c r="V554" s="273"/>
      <c r="W554" s="131">
        <f>HLOOKUP($W$9,'ROR-Model'!$Q$10:$U$1263,Y554)</f>
        <v>0</v>
      </c>
      <c r="X554" s="118"/>
      <c r="Y554" s="577">
        <f t="shared" si="26"/>
        <v>545</v>
      </c>
      <c r="AA554" s="131">
        <v>0</v>
      </c>
      <c r="AB554" s="116">
        <f t="shared" si="27"/>
        <v>0</v>
      </c>
    </row>
    <row r="555" spans="1:28">
      <c r="A555" s="136"/>
      <c r="B555" s="102"/>
      <c r="C555" s="102"/>
      <c r="D555" s="102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272"/>
      <c r="P555" s="207"/>
      <c r="Q555" s="116"/>
      <c r="R555" s="116"/>
      <c r="S555" s="240"/>
      <c r="T555" s="116"/>
      <c r="U555" s="116"/>
      <c r="V555" s="273"/>
      <c r="W555" s="116"/>
      <c r="X555" s="118"/>
      <c r="Y555" s="577">
        <f t="shared" si="26"/>
        <v>546</v>
      </c>
      <c r="AA555" s="116"/>
      <c r="AB555" s="116">
        <f t="shared" si="27"/>
        <v>0</v>
      </c>
    </row>
    <row r="556" spans="1:28">
      <c r="A556" s="136">
        <v>803</v>
      </c>
      <c r="B556" s="102" t="s">
        <v>710</v>
      </c>
      <c r="C556" s="102"/>
      <c r="D556" s="102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272"/>
      <c r="P556" s="207"/>
      <c r="Q556" s="116"/>
      <c r="R556" s="116"/>
      <c r="S556" s="240"/>
      <c r="T556" s="116"/>
      <c r="U556" s="116"/>
      <c r="V556" s="273"/>
      <c r="W556" s="116"/>
      <c r="X556" s="118"/>
      <c r="Y556" s="577">
        <f t="shared" si="26"/>
        <v>547</v>
      </c>
      <c r="AA556" s="116"/>
      <c r="AB556" s="116">
        <f t="shared" si="27"/>
        <v>0</v>
      </c>
    </row>
    <row r="557" spans="1:28">
      <c r="A557" s="136"/>
      <c r="B557" s="102"/>
      <c r="C557" s="102" t="s">
        <v>14</v>
      </c>
      <c r="D557" s="102"/>
      <c r="E557" s="116" t="s">
        <v>559</v>
      </c>
      <c r="F557" s="116">
        <f>EXPENSES!G53</f>
        <v>119925534.29720469</v>
      </c>
      <c r="G557" s="116">
        <f>+Adjustments!AW556</f>
        <v>0</v>
      </c>
      <c r="H557" s="116"/>
      <c r="I557" s="116">
        <f>SUM($F$557:$H$557)</f>
        <v>119925534.29720469</v>
      </c>
      <c r="J557" s="116"/>
      <c r="K557" s="116"/>
      <c r="L557" s="116" t="s">
        <v>14</v>
      </c>
      <c r="M557" s="116">
        <f>VLOOKUP($L557,$L$2:$N$7,2,FALSE)*I557</f>
        <v>119925534.29720469</v>
      </c>
      <c r="N557" s="116">
        <f>VLOOKUP($L557,$L$2:$N$7,3,FALSE)*I557</f>
        <v>0</v>
      </c>
      <c r="O557" s="272"/>
      <c r="P557" s="207" t="s">
        <v>559</v>
      </c>
      <c r="Q557" s="116">
        <f>IF(P557="G",M557,IF(P557="PT",0,ERR))</f>
        <v>0</v>
      </c>
      <c r="R557" s="116">
        <f>IF(P557="PT",M557,IF(P557="G",0,ERR))</f>
        <v>119925534.29720469</v>
      </c>
      <c r="S557" s="240" t="s">
        <v>559</v>
      </c>
      <c r="T557" s="116">
        <f>IF(S557="G",N557,IF(S557="PT",0,ERR))</f>
        <v>0</v>
      </c>
      <c r="U557" s="116">
        <f>IF(S557="PT",N557,IF(S557="G",0,ERR))</f>
        <v>0</v>
      </c>
      <c r="V557" s="273"/>
      <c r="W557" s="116">
        <f>HLOOKUP($W$9,'ROR-Model'!$Q$10:$U$1263,Y557)</f>
        <v>0</v>
      </c>
      <c r="X557" s="118"/>
      <c r="Y557" s="577">
        <f t="shared" si="26"/>
        <v>548</v>
      </c>
      <c r="AA557" s="116">
        <v>0</v>
      </c>
      <c r="AB557" s="116">
        <f t="shared" si="27"/>
        <v>0</v>
      </c>
    </row>
    <row r="558" spans="1:28">
      <c r="A558" s="136"/>
      <c r="B558" s="102"/>
      <c r="C558" s="102" t="s">
        <v>24</v>
      </c>
      <c r="D558" s="102"/>
      <c r="E558" s="116" t="s">
        <v>559</v>
      </c>
      <c r="F558" s="116">
        <f>EXPENSES!G54</f>
        <v>4247459.4927952997</v>
      </c>
      <c r="G558" s="116">
        <f>+Adjustments!AW557</f>
        <v>0</v>
      </c>
      <c r="H558" s="116"/>
      <c r="I558" s="116">
        <f>SUM($F$558:$H$558)</f>
        <v>4247459.4927952997</v>
      </c>
      <c r="J558" s="116"/>
      <c r="K558" s="116"/>
      <c r="L558" s="116" t="s">
        <v>24</v>
      </c>
      <c r="M558" s="116">
        <f>VLOOKUP($L558,$L$2:$N$7,2,FALSE)*I558</f>
        <v>0</v>
      </c>
      <c r="N558" s="116">
        <f>VLOOKUP($L558,$L$2:$N$7,3,FALSE)*I558</f>
        <v>4247459.4927952997</v>
      </c>
      <c r="O558" s="272"/>
      <c r="P558" s="207" t="s">
        <v>559</v>
      </c>
      <c r="Q558" s="116">
        <f>IF(P558="G",M558,IF(P558="PT",0,ERR))</f>
        <v>0</v>
      </c>
      <c r="R558" s="116">
        <f>IF(P558="PT",M558,IF(P558="G",0,ERR))</f>
        <v>0</v>
      </c>
      <c r="S558" s="240" t="s">
        <v>559</v>
      </c>
      <c r="T558" s="116">
        <f>IF(S558="G",N558,IF(S558="PT",0,ERR))</f>
        <v>0</v>
      </c>
      <c r="U558" s="116">
        <f>IF(S558="PT",N558,IF(S558="G",0,ERR))</f>
        <v>4247459.4927952997</v>
      </c>
      <c r="V558" s="273"/>
      <c r="W558" s="116">
        <f>HLOOKUP($W$9,'ROR-Model'!$Q$10:$U$1263,Y558)</f>
        <v>0</v>
      </c>
      <c r="X558" s="118"/>
      <c r="Y558" s="577">
        <f t="shared" si="26"/>
        <v>549</v>
      </c>
      <c r="AA558" s="116">
        <v>0</v>
      </c>
      <c r="AB558" s="116">
        <f t="shared" si="27"/>
        <v>0</v>
      </c>
    </row>
    <row r="559" spans="1:28">
      <c r="A559" s="136"/>
      <c r="B559" s="102"/>
      <c r="C559" s="102" t="s">
        <v>170</v>
      </c>
      <c r="D559" s="102"/>
      <c r="E559" s="131"/>
      <c r="F559" s="131">
        <f>SUM(F557:F558)</f>
        <v>124172993.78999999</v>
      </c>
      <c r="G559" s="131">
        <f>SUM(G557:G558)</f>
        <v>0</v>
      </c>
      <c r="H559" s="131">
        <f>SUM(H557:H558)</f>
        <v>0</v>
      </c>
      <c r="I559" s="131">
        <f>SUM(I557:I558)</f>
        <v>124172993.78999999</v>
      </c>
      <c r="J559" s="116"/>
      <c r="K559" s="116"/>
      <c r="L559" s="131"/>
      <c r="M559" s="131">
        <f>SUM(M557:M558)</f>
        <v>119925534.29720469</v>
      </c>
      <c r="N559" s="131">
        <f>SUM(N557:N558)</f>
        <v>4247459.4927952997</v>
      </c>
      <c r="O559" s="272"/>
      <c r="P559" s="207"/>
      <c r="Q559" s="131">
        <f>SUM(Q557:Q558)</f>
        <v>0</v>
      </c>
      <c r="R559" s="131">
        <f>SUM(R557:R558)</f>
        <v>119925534.29720469</v>
      </c>
      <c r="S559" s="257"/>
      <c r="T559" s="131">
        <f>SUM(T557:T558)</f>
        <v>0</v>
      </c>
      <c r="U559" s="131">
        <f>SUM(U557:U558)</f>
        <v>4247459.4927952997</v>
      </c>
      <c r="V559" s="273"/>
      <c r="W559" s="131">
        <f>HLOOKUP($W$9,'ROR-Model'!$Q$10:$U$1263,Y559)</f>
        <v>0</v>
      </c>
      <c r="X559" s="118"/>
      <c r="Y559" s="577">
        <f t="shared" si="26"/>
        <v>550</v>
      </c>
      <c r="AA559" s="131">
        <v>0</v>
      </c>
      <c r="AB559" s="116">
        <f t="shared" si="27"/>
        <v>0</v>
      </c>
    </row>
    <row r="560" spans="1:28">
      <c r="A560" s="136"/>
      <c r="B560" s="102"/>
      <c r="C560" s="102"/>
      <c r="D560" s="102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272"/>
      <c r="P560" s="207"/>
      <c r="Q560" s="116"/>
      <c r="R560" s="116"/>
      <c r="S560" s="240"/>
      <c r="T560" s="116"/>
      <c r="U560" s="116"/>
      <c r="V560" s="273"/>
      <c r="W560" s="116"/>
      <c r="X560" s="118"/>
      <c r="Y560" s="577">
        <f t="shared" si="26"/>
        <v>551</v>
      </c>
      <c r="AA560" s="116"/>
      <c r="AB560" s="116">
        <f t="shared" si="27"/>
        <v>0</v>
      </c>
    </row>
    <row r="561" spans="1:28">
      <c r="A561" s="136">
        <v>804</v>
      </c>
      <c r="B561" s="102" t="s">
        <v>712</v>
      </c>
      <c r="C561" s="102"/>
      <c r="D561" s="102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272"/>
      <c r="P561" s="207"/>
      <c r="Q561" s="116"/>
      <c r="R561" s="116"/>
      <c r="S561" s="240"/>
      <c r="T561" s="116"/>
      <c r="U561" s="116"/>
      <c r="V561" s="273"/>
      <c r="W561" s="116"/>
      <c r="X561" s="118"/>
      <c r="Y561" s="577">
        <f t="shared" si="26"/>
        <v>552</v>
      </c>
      <c r="AA561" s="116"/>
      <c r="AB561" s="116">
        <f t="shared" si="27"/>
        <v>0</v>
      </c>
    </row>
    <row r="562" spans="1:28">
      <c r="A562" s="136"/>
      <c r="B562" s="102"/>
      <c r="C562" s="102" t="s">
        <v>14</v>
      </c>
      <c r="D562" s="102"/>
      <c r="E562" s="116" t="s">
        <v>559</v>
      </c>
      <c r="F562" s="116">
        <f>EXPENSES!G58</f>
        <v>0</v>
      </c>
      <c r="G562" s="116">
        <f>+Adjustments!AW561</f>
        <v>0</v>
      </c>
      <c r="H562" s="116">
        <v>0</v>
      </c>
      <c r="I562" s="116">
        <f>SUM($F$562:$H$562)</f>
        <v>0</v>
      </c>
      <c r="J562" s="116"/>
      <c r="K562" s="116"/>
      <c r="L562" s="116" t="s">
        <v>14</v>
      </c>
      <c r="M562" s="116">
        <f>VLOOKUP($L562,$L$2:$N$7,2,FALSE)*I562</f>
        <v>0</v>
      </c>
      <c r="N562" s="116">
        <f>VLOOKUP($L562,$L$2:$N$7,3,FALSE)*I562</f>
        <v>0</v>
      </c>
      <c r="O562" s="272"/>
      <c r="P562" s="207" t="s">
        <v>559</v>
      </c>
      <c r="Q562" s="116">
        <f>IF(P562="G",M562,IF(P562="PT",0,ERR))</f>
        <v>0</v>
      </c>
      <c r="R562" s="116">
        <f>IF(P562="PT",M562,IF(P562="G",0,ERR))</f>
        <v>0</v>
      </c>
      <c r="S562" s="240" t="s">
        <v>559</v>
      </c>
      <c r="T562" s="116">
        <f>IF(S562="G",N562,IF(S562="PT",0,ERR))</f>
        <v>0</v>
      </c>
      <c r="U562" s="116">
        <f>IF(S562="PT",N562,IF(S562="G",0,ERR))</f>
        <v>0</v>
      </c>
      <c r="V562" s="273"/>
      <c r="W562" s="116">
        <f>HLOOKUP($W$9,'ROR-Model'!$Q$10:$U$1263,Y562)</f>
        <v>0</v>
      </c>
      <c r="X562" s="118"/>
      <c r="Y562" s="577">
        <f t="shared" si="26"/>
        <v>553</v>
      </c>
      <c r="AA562" s="116">
        <v>0</v>
      </c>
      <c r="AB562" s="116">
        <f t="shared" si="27"/>
        <v>0</v>
      </c>
    </row>
    <row r="563" spans="1:28">
      <c r="A563" s="136"/>
      <c r="B563" s="102"/>
      <c r="C563" s="102" t="s">
        <v>24</v>
      </c>
      <c r="D563" s="102"/>
      <c r="E563" s="116" t="s">
        <v>559</v>
      </c>
      <c r="F563" s="116">
        <f>EXPENSES!G59</f>
        <v>0</v>
      </c>
      <c r="G563" s="116">
        <f>+Adjustments!AW562</f>
        <v>0</v>
      </c>
      <c r="H563" s="116">
        <v>0</v>
      </c>
      <c r="I563" s="116">
        <f>SUM($F$563:$H$563)</f>
        <v>0</v>
      </c>
      <c r="J563" s="116"/>
      <c r="K563" s="116"/>
      <c r="L563" s="116" t="s">
        <v>24</v>
      </c>
      <c r="M563" s="116">
        <f>VLOOKUP($L563,$L$2:$N$7,2,FALSE)*I563</f>
        <v>0</v>
      </c>
      <c r="N563" s="116">
        <f>VLOOKUP($L563,$L$2:$N$7,3,FALSE)*I563</f>
        <v>0</v>
      </c>
      <c r="O563" s="272"/>
      <c r="P563" s="207" t="s">
        <v>559</v>
      </c>
      <c r="Q563" s="116">
        <f>IF(P563="G",M563,IF(P563="PT",0,ERR))</f>
        <v>0</v>
      </c>
      <c r="R563" s="116">
        <f>IF(P563="PT",M563,IF(P563="G",0,ERR))</f>
        <v>0</v>
      </c>
      <c r="S563" s="240" t="s">
        <v>559</v>
      </c>
      <c r="T563" s="116">
        <f>IF(S563="G",N563,IF(S563="PT",0,ERR))</f>
        <v>0</v>
      </c>
      <c r="U563" s="116">
        <f>IF(S563="PT",N563,IF(S563="G",0,ERR))</f>
        <v>0</v>
      </c>
      <c r="V563" s="273"/>
      <c r="W563" s="116">
        <f>HLOOKUP($W$9,'ROR-Model'!$Q$10:$U$1263,Y563)</f>
        <v>0</v>
      </c>
      <c r="X563" s="118"/>
      <c r="Y563" s="577">
        <f t="shared" si="26"/>
        <v>554</v>
      </c>
      <c r="AA563" s="116">
        <v>0</v>
      </c>
      <c r="AB563" s="116">
        <f t="shared" si="27"/>
        <v>0</v>
      </c>
    </row>
    <row r="564" spans="1:28">
      <c r="A564" s="136"/>
      <c r="B564" s="102"/>
      <c r="C564" s="102" t="s">
        <v>170</v>
      </c>
      <c r="D564" s="102"/>
      <c r="E564" s="131"/>
      <c r="F564" s="131">
        <f>SUM(F562:F563)</f>
        <v>0</v>
      </c>
      <c r="G564" s="131">
        <f>SUM(G562:G563)</f>
        <v>0</v>
      </c>
      <c r="H564" s="131">
        <f>SUM(H562:H563)</f>
        <v>0</v>
      </c>
      <c r="I564" s="131">
        <f>SUM(I562:I563)</f>
        <v>0</v>
      </c>
      <c r="J564" s="116"/>
      <c r="K564" s="116"/>
      <c r="L564" s="131"/>
      <c r="M564" s="131">
        <f>SUM(M562:M563)</f>
        <v>0</v>
      </c>
      <c r="N564" s="131">
        <f>SUM(N562:N563)</f>
        <v>0</v>
      </c>
      <c r="O564" s="272"/>
      <c r="P564" s="207"/>
      <c r="Q564" s="131">
        <f>SUM(Q562:Q563)</f>
        <v>0</v>
      </c>
      <c r="R564" s="131">
        <f>SUM(R562:R563)</f>
        <v>0</v>
      </c>
      <c r="S564" s="257"/>
      <c r="T564" s="131">
        <f>SUM(T562:T563)</f>
        <v>0</v>
      </c>
      <c r="U564" s="131">
        <f>SUM(U562:U563)</f>
        <v>0</v>
      </c>
      <c r="V564" s="273"/>
      <c r="W564" s="131">
        <f>HLOOKUP($W$9,'ROR-Model'!$Q$10:$U$1263,Y564)</f>
        <v>0</v>
      </c>
      <c r="X564" s="118"/>
      <c r="Y564" s="577">
        <f t="shared" si="26"/>
        <v>555</v>
      </c>
      <c r="AA564" s="131">
        <v>0</v>
      </c>
      <c r="AB564" s="116">
        <f t="shared" si="27"/>
        <v>0</v>
      </c>
    </row>
    <row r="565" spans="1:28">
      <c r="A565" s="136"/>
      <c r="B565" s="102"/>
      <c r="C565" s="102"/>
      <c r="D565" s="102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272"/>
      <c r="P565" s="207"/>
      <c r="Q565" s="116"/>
      <c r="R565" s="116"/>
      <c r="S565" s="240"/>
      <c r="T565" s="116"/>
      <c r="U565" s="116"/>
      <c r="V565" s="273"/>
      <c r="W565" s="116"/>
      <c r="X565" s="118"/>
      <c r="Y565" s="577">
        <f t="shared" si="26"/>
        <v>556</v>
      </c>
      <c r="AA565" s="116"/>
      <c r="AB565" s="116">
        <f t="shared" si="27"/>
        <v>0</v>
      </c>
    </row>
    <row r="566" spans="1:28">
      <c r="A566" s="136" t="s">
        <v>703</v>
      </c>
      <c r="B566" s="102" t="s">
        <v>718</v>
      </c>
      <c r="C566" s="102"/>
      <c r="D566" s="102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272"/>
      <c r="P566" s="207"/>
      <c r="Q566" s="116"/>
      <c r="R566" s="116"/>
      <c r="S566" s="240"/>
      <c r="T566" s="116"/>
      <c r="U566" s="116"/>
      <c r="V566" s="273"/>
      <c r="W566" s="116"/>
      <c r="X566" s="118"/>
      <c r="Y566" s="577">
        <f t="shared" si="26"/>
        <v>557</v>
      </c>
      <c r="AA566" s="116"/>
      <c r="AB566" s="116">
        <f t="shared" si="27"/>
        <v>0</v>
      </c>
    </row>
    <row r="567" spans="1:28">
      <c r="A567" s="136"/>
      <c r="B567" s="102"/>
      <c r="C567" s="102" t="s">
        <v>14</v>
      </c>
      <c r="D567" s="102"/>
      <c r="E567" s="116" t="s">
        <v>559</v>
      </c>
      <c r="F567" s="116">
        <f>EXPENSES!G63</f>
        <v>1280667.5965049998</v>
      </c>
      <c r="G567" s="116">
        <f>+Adjustments!AW566</f>
        <v>0</v>
      </c>
      <c r="H567" s="116"/>
      <c r="I567" s="116">
        <f>SUM($F$567:$H$567)</f>
        <v>1280667.5965049998</v>
      </c>
      <c r="J567" s="116"/>
      <c r="K567" s="116"/>
      <c r="L567" s="116" t="s">
        <v>14</v>
      </c>
      <c r="M567" s="116">
        <f>VLOOKUP($L567,$L$2:$N$7,2,FALSE)*I567</f>
        <v>1280667.5965049998</v>
      </c>
      <c r="N567" s="116">
        <f>VLOOKUP($L567,$L$2:$N$7,3,FALSE)*I567</f>
        <v>0</v>
      </c>
      <c r="O567" s="272"/>
      <c r="P567" s="207" t="s">
        <v>559</v>
      </c>
      <c r="Q567" s="116">
        <f>IF(P567="G",M567,IF(P567="PT",0,ERR))</f>
        <v>0</v>
      </c>
      <c r="R567" s="116">
        <f>IF(P567="PT",M567,IF(P567="G",0,ERR))</f>
        <v>1280667.5965049998</v>
      </c>
      <c r="S567" s="240" t="s">
        <v>559</v>
      </c>
      <c r="T567" s="116">
        <f>IF(S567="G",N567,IF(S567="PT",0,ERR))</f>
        <v>0</v>
      </c>
      <c r="U567" s="116">
        <f>IF(S567="PT",N567,IF(S567="G",0,ERR))</f>
        <v>0</v>
      </c>
      <c r="V567" s="273"/>
      <c r="W567" s="116">
        <f>HLOOKUP($W$9,'ROR-Model'!$Q$10:$U$1263,Y567)</f>
        <v>0</v>
      </c>
      <c r="X567" s="118"/>
      <c r="Y567" s="577">
        <f t="shared" si="26"/>
        <v>558</v>
      </c>
      <c r="AA567" s="116">
        <v>0</v>
      </c>
      <c r="AB567" s="116">
        <f t="shared" si="27"/>
        <v>0</v>
      </c>
    </row>
    <row r="568" spans="1:28">
      <c r="A568" s="136"/>
      <c r="B568" s="102"/>
      <c r="C568" s="102" t="s">
        <v>24</v>
      </c>
      <c r="D568" s="102"/>
      <c r="E568" s="116" t="s">
        <v>559</v>
      </c>
      <c r="F568" s="116">
        <f>EXPENSES!G64</f>
        <v>47189.803495000058</v>
      </c>
      <c r="G568" s="116">
        <f>+Adjustments!AW567</f>
        <v>0</v>
      </c>
      <c r="H568" s="116"/>
      <c r="I568" s="116">
        <f>SUM($F$568:$H$568)</f>
        <v>47189.803495000058</v>
      </c>
      <c r="J568" s="116"/>
      <c r="K568" s="116"/>
      <c r="L568" s="116" t="s">
        <v>24</v>
      </c>
      <c r="M568" s="116">
        <f>VLOOKUP($L568,$L$2:$N$7,2,FALSE)*I568</f>
        <v>0</v>
      </c>
      <c r="N568" s="116">
        <f>VLOOKUP($L568,$L$2:$N$7,3,FALSE)*I568</f>
        <v>47189.803495000058</v>
      </c>
      <c r="O568" s="272"/>
      <c r="P568" s="207" t="s">
        <v>559</v>
      </c>
      <c r="Q568" s="116">
        <f>IF(P568="G",M568,IF(P568="PT",0,ERR))</f>
        <v>0</v>
      </c>
      <c r="R568" s="116">
        <f>IF(P568="PT",M568,IF(P568="G",0,ERR))</f>
        <v>0</v>
      </c>
      <c r="S568" s="240" t="s">
        <v>559</v>
      </c>
      <c r="T568" s="116">
        <f>IF(S568="G",N568,IF(S568="PT",0,ERR))</f>
        <v>0</v>
      </c>
      <c r="U568" s="116">
        <f>IF(S568="PT",N568,IF(S568="G",0,ERR))</f>
        <v>47189.803495000058</v>
      </c>
      <c r="V568" s="273"/>
      <c r="W568" s="116">
        <f>HLOOKUP($W$9,'ROR-Model'!$Q$10:$U$1263,Y568)</f>
        <v>0</v>
      </c>
      <c r="X568" s="118"/>
      <c r="Y568" s="577">
        <f t="shared" si="26"/>
        <v>559</v>
      </c>
      <c r="AA568" s="116">
        <v>0</v>
      </c>
      <c r="AB568" s="116">
        <f t="shared" si="27"/>
        <v>0</v>
      </c>
    </row>
    <row r="569" spans="1:28">
      <c r="A569" s="136"/>
      <c r="B569" s="102"/>
      <c r="C569" s="102" t="s">
        <v>170</v>
      </c>
      <c r="D569" s="102"/>
      <c r="E569" s="131"/>
      <c r="F569" s="131">
        <f>SUM(F567:F568)</f>
        <v>1327857.3999999999</v>
      </c>
      <c r="G569" s="131">
        <f>SUM(G567:G568)</f>
        <v>0</v>
      </c>
      <c r="H569" s="131">
        <f>SUM(H567:H568)</f>
        <v>0</v>
      </c>
      <c r="I569" s="131">
        <f>SUM(I567:I568)</f>
        <v>1327857.3999999999</v>
      </c>
      <c r="J569" s="116"/>
      <c r="K569" s="116"/>
      <c r="L569" s="131"/>
      <c r="M569" s="131">
        <f>SUM(M567:M568)</f>
        <v>1280667.5965049998</v>
      </c>
      <c r="N569" s="131">
        <f>SUM(N567:N568)</f>
        <v>47189.803495000058</v>
      </c>
      <c r="O569" s="272"/>
      <c r="P569" s="207"/>
      <c r="Q569" s="131">
        <f>SUM(Q567:Q568)</f>
        <v>0</v>
      </c>
      <c r="R569" s="131">
        <f>SUM(R567:R568)</f>
        <v>1280667.5965049998</v>
      </c>
      <c r="S569" s="257"/>
      <c r="T569" s="131">
        <f>SUM(T567:T568)</f>
        <v>0</v>
      </c>
      <c r="U569" s="131">
        <f>SUM(U567:U568)</f>
        <v>47189.803495000058</v>
      </c>
      <c r="V569" s="273"/>
      <c r="W569" s="131">
        <f>HLOOKUP($W$9,'ROR-Model'!$Q$10:$U$1263,Y569)</f>
        <v>0</v>
      </c>
      <c r="X569" s="118"/>
      <c r="Y569" s="577">
        <f t="shared" si="26"/>
        <v>560</v>
      </c>
      <c r="AA569" s="131">
        <v>0</v>
      </c>
      <c r="AB569" s="116">
        <f t="shared" si="27"/>
        <v>0</v>
      </c>
    </row>
    <row r="570" spans="1:28">
      <c r="A570" s="136"/>
      <c r="B570" s="102"/>
      <c r="C570" s="102"/>
      <c r="D570" s="102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272"/>
      <c r="P570" s="207"/>
      <c r="Q570" s="116"/>
      <c r="R570" s="116"/>
      <c r="S570" s="240"/>
      <c r="T570" s="116"/>
      <c r="U570" s="116"/>
      <c r="V570" s="273"/>
      <c r="W570" s="116"/>
      <c r="X570" s="118"/>
      <c r="Y570" s="577">
        <f t="shared" si="26"/>
        <v>561</v>
      </c>
      <c r="AA570" s="116"/>
      <c r="AB570" s="116">
        <f t="shared" si="27"/>
        <v>0</v>
      </c>
    </row>
    <row r="571" spans="1:28">
      <c r="A571" s="136">
        <v>805</v>
      </c>
      <c r="B571" s="102" t="s">
        <v>721</v>
      </c>
      <c r="C571" s="102"/>
      <c r="D571" s="102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272"/>
      <c r="P571" s="207"/>
      <c r="Q571" s="116"/>
      <c r="R571" s="116"/>
      <c r="S571" s="240"/>
      <c r="T571" s="116"/>
      <c r="U571" s="116"/>
      <c r="V571" s="273"/>
      <c r="W571" s="116"/>
      <c r="X571" s="118"/>
      <c r="Y571" s="577">
        <f t="shared" si="26"/>
        <v>562</v>
      </c>
      <c r="AA571" s="116"/>
      <c r="AB571" s="116">
        <f t="shared" si="27"/>
        <v>0</v>
      </c>
    </row>
    <row r="572" spans="1:28">
      <c r="A572" s="136"/>
      <c r="B572" s="102"/>
      <c r="C572" s="102" t="s">
        <v>14</v>
      </c>
      <c r="D572" s="102"/>
      <c r="E572" s="116" t="s">
        <v>559</v>
      </c>
      <c r="F572" s="116">
        <f>EXPENSES!G68</f>
        <v>0</v>
      </c>
      <c r="G572" s="116">
        <f>+Adjustments!AW571</f>
        <v>0</v>
      </c>
      <c r="H572" s="116"/>
      <c r="I572" s="116">
        <f>SUM($F$572:$H$572)</f>
        <v>0</v>
      </c>
      <c r="J572" s="116"/>
      <c r="K572" s="116"/>
      <c r="L572" s="116" t="s">
        <v>14</v>
      </c>
      <c r="M572" s="116">
        <f>VLOOKUP($L572,$L$2:$N$7,2,FALSE)*I572</f>
        <v>0</v>
      </c>
      <c r="N572" s="116">
        <f>VLOOKUP($L572,$L$2:$N$7,3,FALSE)*I572</f>
        <v>0</v>
      </c>
      <c r="O572" s="272"/>
      <c r="P572" s="207" t="s">
        <v>559</v>
      </c>
      <c r="Q572" s="116">
        <f>IF(P572="G",M572,IF(P572="PT",0,ERR))</f>
        <v>0</v>
      </c>
      <c r="R572" s="116">
        <f>IF(P572="PT",M572,IF(P572="G",0,ERR))</f>
        <v>0</v>
      </c>
      <c r="S572" s="240" t="s">
        <v>559</v>
      </c>
      <c r="T572" s="116">
        <f>IF(S572="G",N572,IF(S572="PT",0,ERR))</f>
        <v>0</v>
      </c>
      <c r="U572" s="116">
        <f>IF(S572="PT",N572,IF(S572="G",0,ERR))</f>
        <v>0</v>
      </c>
      <c r="V572" s="273"/>
      <c r="W572" s="116">
        <f>HLOOKUP($W$9,'ROR-Model'!$Q$10:$U$1263,Y572)</f>
        <v>0</v>
      </c>
      <c r="X572" s="118"/>
      <c r="Y572" s="577">
        <f t="shared" si="26"/>
        <v>563</v>
      </c>
      <c r="AA572" s="116">
        <v>0</v>
      </c>
      <c r="AB572" s="116">
        <f t="shared" si="27"/>
        <v>0</v>
      </c>
    </row>
    <row r="573" spans="1:28">
      <c r="A573" s="136"/>
      <c r="B573" s="102"/>
      <c r="C573" s="102" t="s">
        <v>24</v>
      </c>
      <c r="D573" s="102"/>
      <c r="E573" s="116" t="s">
        <v>559</v>
      </c>
      <c r="F573" s="116">
        <f>EXPENSES!G69</f>
        <v>0</v>
      </c>
      <c r="G573" s="116">
        <f>+Adjustments!AW572</f>
        <v>0</v>
      </c>
      <c r="H573" s="116"/>
      <c r="I573" s="116">
        <f>SUM($F$573:$H$573)</f>
        <v>0</v>
      </c>
      <c r="J573" s="116"/>
      <c r="K573" s="116"/>
      <c r="L573" s="116" t="s">
        <v>24</v>
      </c>
      <c r="M573" s="116">
        <f>VLOOKUP($L573,$L$2:$N$7,2,FALSE)*I573</f>
        <v>0</v>
      </c>
      <c r="N573" s="116">
        <f>VLOOKUP($L573,$L$2:$N$7,3,FALSE)*I573</f>
        <v>0</v>
      </c>
      <c r="O573" s="272"/>
      <c r="P573" s="207" t="s">
        <v>559</v>
      </c>
      <c r="Q573" s="116">
        <f>IF(P573="G",M573,IF(P573="PT",0,ERR))</f>
        <v>0</v>
      </c>
      <c r="R573" s="116">
        <f>IF(P573="PT",M573,IF(P573="G",0,ERR))</f>
        <v>0</v>
      </c>
      <c r="S573" s="240" t="s">
        <v>559</v>
      </c>
      <c r="T573" s="116">
        <f>IF(S573="G",N573,IF(S573="PT",0,ERR))</f>
        <v>0</v>
      </c>
      <c r="U573" s="116">
        <f>IF(S573="PT",N573,IF(S573="G",0,ERR))</f>
        <v>0</v>
      </c>
      <c r="V573" s="273"/>
      <c r="W573" s="116">
        <f>HLOOKUP($W$9,'ROR-Model'!$Q$10:$U$1263,Y573)</f>
        <v>0</v>
      </c>
      <c r="X573" s="118"/>
      <c r="Y573" s="577">
        <f t="shared" si="26"/>
        <v>564</v>
      </c>
      <c r="AA573" s="116">
        <v>0</v>
      </c>
      <c r="AB573" s="116">
        <f t="shared" si="27"/>
        <v>0</v>
      </c>
    </row>
    <row r="574" spans="1:28">
      <c r="A574" s="136"/>
      <c r="B574" s="102"/>
      <c r="C574" s="102" t="s">
        <v>170</v>
      </c>
      <c r="D574" s="102"/>
      <c r="E574" s="131"/>
      <c r="F574" s="131">
        <f>SUM(F572:F573)</f>
        <v>0</v>
      </c>
      <c r="G574" s="131">
        <f>SUM(G572:G573)</f>
        <v>0</v>
      </c>
      <c r="H574" s="131">
        <f>SUM(H572:H573)</f>
        <v>0</v>
      </c>
      <c r="I574" s="131">
        <f>SUM(I572:I573)</f>
        <v>0</v>
      </c>
      <c r="J574" s="116"/>
      <c r="K574" s="116"/>
      <c r="L574" s="131"/>
      <c r="M574" s="131">
        <f>SUM(M572:M573)</f>
        <v>0</v>
      </c>
      <c r="N574" s="131">
        <f>SUM(N572:N573)</f>
        <v>0</v>
      </c>
      <c r="O574" s="272"/>
      <c r="P574" s="207"/>
      <c r="Q574" s="131">
        <f>SUM(Q572:Q573)</f>
        <v>0</v>
      </c>
      <c r="R574" s="131">
        <f>SUM(R572:R573)</f>
        <v>0</v>
      </c>
      <c r="S574" s="257"/>
      <c r="T574" s="131">
        <f>SUM(T572:T573)</f>
        <v>0</v>
      </c>
      <c r="U574" s="131">
        <f>SUM(U572:U573)</f>
        <v>0</v>
      </c>
      <c r="V574" s="273"/>
      <c r="W574" s="131">
        <f>HLOOKUP($W$9,'ROR-Model'!$Q$10:$U$1263,Y574)</f>
        <v>0</v>
      </c>
      <c r="X574" s="118"/>
      <c r="Y574" s="577">
        <f t="shared" si="26"/>
        <v>565</v>
      </c>
      <c r="AA574" s="131">
        <v>0</v>
      </c>
      <c r="AB574" s="116">
        <f t="shared" si="27"/>
        <v>0</v>
      </c>
    </row>
    <row r="575" spans="1:28">
      <c r="A575" s="136"/>
      <c r="B575" s="102"/>
      <c r="C575" s="102"/>
      <c r="D575" s="102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272"/>
      <c r="P575" s="207"/>
      <c r="Q575" s="116"/>
      <c r="R575" s="116"/>
      <c r="S575" s="240"/>
      <c r="T575" s="116"/>
      <c r="U575" s="116"/>
      <c r="V575" s="273"/>
      <c r="W575" s="116"/>
      <c r="X575" s="118"/>
      <c r="Y575" s="577">
        <f t="shared" si="26"/>
        <v>566</v>
      </c>
      <c r="AA575" s="116"/>
      <c r="AB575" s="116">
        <f t="shared" si="27"/>
        <v>0</v>
      </c>
    </row>
    <row r="576" spans="1:28">
      <c r="A576" s="136" t="s">
        <v>704</v>
      </c>
      <c r="B576" s="102" t="s">
        <v>724</v>
      </c>
      <c r="C576" s="102"/>
      <c r="D576" s="102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272"/>
      <c r="P576" s="207"/>
      <c r="Q576" s="116"/>
      <c r="R576" s="116"/>
      <c r="S576" s="240"/>
      <c r="T576" s="116"/>
      <c r="U576" s="116"/>
      <c r="V576" s="273"/>
      <c r="W576" s="116"/>
      <c r="X576" s="118"/>
      <c r="Y576" s="577">
        <f t="shared" si="26"/>
        <v>567</v>
      </c>
      <c r="AA576" s="116"/>
      <c r="AB576" s="116">
        <f t="shared" si="27"/>
        <v>0</v>
      </c>
    </row>
    <row r="577" spans="1:28">
      <c r="A577" s="136"/>
      <c r="B577" s="102"/>
      <c r="C577" s="102" t="s">
        <v>14</v>
      </c>
      <c r="D577" s="102"/>
      <c r="E577" s="116" t="s">
        <v>559</v>
      </c>
      <c r="F577" s="116">
        <f>EXPENSES!G73</f>
        <v>-6988002.4825362936</v>
      </c>
      <c r="G577" s="116">
        <f>+Adjustments!AW576</f>
        <v>0</v>
      </c>
      <c r="H577" s="116"/>
      <c r="I577" s="116">
        <f>SUM($F$577:$H$577)</f>
        <v>-6988002.4825362936</v>
      </c>
      <c r="J577" s="116"/>
      <c r="K577" s="116"/>
      <c r="L577" s="116" t="s">
        <v>14</v>
      </c>
      <c r="M577" s="116">
        <f>VLOOKUP($L577,$L$2:$N$7,2,FALSE)*I577</f>
        <v>-6988002.4825362936</v>
      </c>
      <c r="N577" s="116">
        <f>VLOOKUP($L577,$L$2:$N$7,3,FALSE)*I577</f>
        <v>0</v>
      </c>
      <c r="O577" s="272"/>
      <c r="P577" s="207" t="s">
        <v>559</v>
      </c>
      <c r="Q577" s="116">
        <f>IF(P577="G",M577,IF(P577="PT",0,ERR))</f>
        <v>0</v>
      </c>
      <c r="R577" s="116">
        <f>IF(P577="PT",M577,IF(P577="G",0,ERR))</f>
        <v>-6988002.4825362936</v>
      </c>
      <c r="S577" s="240" t="s">
        <v>559</v>
      </c>
      <c r="T577" s="116">
        <f>IF(S577="G",N577,IF(S577="PT",0,ERR))</f>
        <v>0</v>
      </c>
      <c r="U577" s="116">
        <f>IF(S577="PT",N577,IF(S577="G",0,ERR))</f>
        <v>0</v>
      </c>
      <c r="V577" s="273"/>
      <c r="W577" s="116">
        <f>HLOOKUP($W$9,'ROR-Model'!$Q$10:$U$1263,Y577)</f>
        <v>0</v>
      </c>
      <c r="X577" s="118"/>
      <c r="Y577" s="577">
        <f t="shared" si="26"/>
        <v>568</v>
      </c>
      <c r="AA577" s="116">
        <v>0</v>
      </c>
      <c r="AB577" s="116">
        <f t="shared" si="27"/>
        <v>0</v>
      </c>
    </row>
    <row r="578" spans="1:28">
      <c r="A578" s="136"/>
      <c r="B578" s="102"/>
      <c r="C578" s="102" t="s">
        <v>24</v>
      </c>
      <c r="D578" s="102"/>
      <c r="E578" s="116" t="s">
        <v>559</v>
      </c>
      <c r="F578" s="116">
        <f>EXPENSES!G74</f>
        <v>-333710.48746370198</v>
      </c>
      <c r="G578" s="116">
        <f>+Adjustments!AW577</f>
        <v>0</v>
      </c>
      <c r="H578" s="116"/>
      <c r="I578" s="116">
        <f>SUM($F$578:$H$578)</f>
        <v>-333710.48746370198</v>
      </c>
      <c r="J578" s="116"/>
      <c r="K578" s="116"/>
      <c r="L578" s="116" t="s">
        <v>24</v>
      </c>
      <c r="M578" s="116">
        <f>VLOOKUP($L578,$L$2:$N$7,2,FALSE)*I578</f>
        <v>0</v>
      </c>
      <c r="N578" s="116">
        <f>VLOOKUP($L578,$L$2:$N$7,3,FALSE)*I578</f>
        <v>-333710.48746370198</v>
      </c>
      <c r="O578" s="272"/>
      <c r="P578" s="207" t="s">
        <v>559</v>
      </c>
      <c r="Q578" s="116">
        <f>IF(P578="G",M578,IF(P578="PT",0,ERR))</f>
        <v>0</v>
      </c>
      <c r="R578" s="116">
        <f>IF(P578="PT",M578,IF(P578="G",0,ERR))</f>
        <v>0</v>
      </c>
      <c r="S578" s="240" t="s">
        <v>559</v>
      </c>
      <c r="T578" s="116">
        <f>IF(S578="G",N578,IF(S578="PT",0,ERR))</f>
        <v>0</v>
      </c>
      <c r="U578" s="116">
        <f>IF(S578="PT",N578,IF(S578="G",0,ERR))</f>
        <v>-333710.48746370198</v>
      </c>
      <c r="V578" s="273"/>
      <c r="W578" s="116">
        <f>HLOOKUP($W$9,'ROR-Model'!$Q$10:$U$1263,Y578)</f>
        <v>0</v>
      </c>
      <c r="X578" s="118"/>
      <c r="Y578" s="577">
        <f t="shared" si="26"/>
        <v>569</v>
      </c>
      <c r="AA578" s="116">
        <v>0</v>
      </c>
      <c r="AB578" s="116">
        <f t="shared" si="27"/>
        <v>0</v>
      </c>
    </row>
    <row r="579" spans="1:28">
      <c r="A579" s="136"/>
      <c r="B579" s="102"/>
      <c r="C579" s="102" t="s">
        <v>170</v>
      </c>
      <c r="D579" s="102"/>
      <c r="E579" s="131"/>
      <c r="F579" s="131">
        <f>SUM(F577:F578)</f>
        <v>-7321712.9699999951</v>
      </c>
      <c r="G579" s="131">
        <f>SUM(G577:G578)</f>
        <v>0</v>
      </c>
      <c r="H579" s="131">
        <f>SUM(H577:H578)</f>
        <v>0</v>
      </c>
      <c r="I579" s="131">
        <f>SUM(I577:I578)</f>
        <v>-7321712.9699999951</v>
      </c>
      <c r="J579" s="116"/>
      <c r="K579" s="116"/>
      <c r="L579" s="131"/>
      <c r="M579" s="131">
        <f>SUM(M577:M578)</f>
        <v>-6988002.4825362936</v>
      </c>
      <c r="N579" s="131">
        <f>SUM(N577:N578)</f>
        <v>-333710.48746370198</v>
      </c>
      <c r="O579" s="272"/>
      <c r="P579" s="207"/>
      <c r="Q579" s="131">
        <f>SUM(Q577:Q578)</f>
        <v>0</v>
      </c>
      <c r="R579" s="131">
        <f>SUM(R577:R578)</f>
        <v>-6988002.4825362936</v>
      </c>
      <c r="S579" s="257"/>
      <c r="T579" s="131">
        <f>SUM(T577:T578)</f>
        <v>0</v>
      </c>
      <c r="U579" s="131">
        <f>SUM(U577:U578)</f>
        <v>-333710.48746370198</v>
      </c>
      <c r="V579" s="273"/>
      <c r="W579" s="131">
        <f>HLOOKUP($W$9,'ROR-Model'!$Q$10:$U$1263,Y579)</f>
        <v>0</v>
      </c>
      <c r="X579" s="118"/>
      <c r="Y579" s="577">
        <f t="shared" si="26"/>
        <v>570</v>
      </c>
      <c r="AA579" s="131">
        <v>0</v>
      </c>
      <c r="AB579" s="116">
        <f t="shared" si="27"/>
        <v>0</v>
      </c>
    </row>
    <row r="580" spans="1:28">
      <c r="A580" s="136"/>
      <c r="B580" s="102"/>
      <c r="C580" s="102"/>
      <c r="D580" s="102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272"/>
      <c r="P580" s="207"/>
      <c r="Q580" s="116"/>
      <c r="R580" s="116"/>
      <c r="S580" s="240"/>
      <c r="T580" s="116"/>
      <c r="U580" s="116"/>
      <c r="V580" s="273"/>
      <c r="W580" s="116"/>
      <c r="X580" s="118"/>
      <c r="Y580" s="577">
        <f t="shared" si="26"/>
        <v>571</v>
      </c>
      <c r="AA580" s="116"/>
      <c r="AB580" s="116">
        <f t="shared" si="27"/>
        <v>0</v>
      </c>
    </row>
    <row r="581" spans="1:28">
      <c r="A581" s="136">
        <v>806</v>
      </c>
      <c r="B581" s="102" t="s">
        <v>359</v>
      </c>
      <c r="C581" s="102"/>
      <c r="D581" s="102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272"/>
      <c r="P581" s="207"/>
      <c r="Q581" s="116"/>
      <c r="R581" s="116"/>
      <c r="S581" s="240"/>
      <c r="T581" s="116"/>
      <c r="U581" s="116"/>
      <c r="V581" s="273"/>
      <c r="W581" s="116"/>
      <c r="X581" s="118"/>
      <c r="Y581" s="577">
        <f t="shared" si="26"/>
        <v>572</v>
      </c>
      <c r="AA581" s="116"/>
      <c r="AB581" s="116">
        <f t="shared" si="27"/>
        <v>0</v>
      </c>
    </row>
    <row r="582" spans="1:28">
      <c r="A582" s="136"/>
      <c r="B582" s="102"/>
      <c r="C582" s="102" t="s">
        <v>14</v>
      </c>
      <c r="D582" s="102"/>
      <c r="E582" s="116" t="s">
        <v>559</v>
      </c>
      <c r="F582" s="116">
        <f>EXPENSES!G78</f>
        <v>0</v>
      </c>
      <c r="G582" s="116">
        <f>+Adjustments!AW581</f>
        <v>0</v>
      </c>
      <c r="H582" s="116"/>
      <c r="I582" s="116">
        <f>SUM($F$582:$H$582)</f>
        <v>0</v>
      </c>
      <c r="J582" s="116"/>
      <c r="K582" s="116"/>
      <c r="L582" s="116" t="s">
        <v>14</v>
      </c>
      <c r="M582" s="116">
        <f>VLOOKUP($L582,$L$2:$N$7,2,FALSE)*I582</f>
        <v>0</v>
      </c>
      <c r="N582" s="116">
        <f>VLOOKUP($L582,$L$2:$N$7,3,FALSE)*I582</f>
        <v>0</v>
      </c>
      <c r="O582" s="272"/>
      <c r="P582" s="207" t="s">
        <v>559</v>
      </c>
      <c r="Q582" s="116">
        <f>IF(P582="G",M582,IF(P582="PT",0,ERR))</f>
        <v>0</v>
      </c>
      <c r="R582" s="116">
        <f>IF(P582="PT",M582,IF(P582="G",0,ERR))</f>
        <v>0</v>
      </c>
      <c r="S582" s="240" t="s">
        <v>559</v>
      </c>
      <c r="T582" s="116">
        <f>IF(S582="G",N582,IF(S582="PT",0,ERR))</f>
        <v>0</v>
      </c>
      <c r="U582" s="116">
        <f>IF(S582="PT",N582,IF(S582="G",0,ERR))</f>
        <v>0</v>
      </c>
      <c r="V582" s="273"/>
      <c r="W582" s="116">
        <f>HLOOKUP($W$9,'ROR-Model'!$Q$10:$U$1263,Y582)</f>
        <v>0</v>
      </c>
      <c r="X582" s="118"/>
      <c r="Y582" s="577">
        <f t="shared" si="26"/>
        <v>573</v>
      </c>
      <c r="AA582" s="116">
        <v>0</v>
      </c>
      <c r="AB582" s="116">
        <f t="shared" si="27"/>
        <v>0</v>
      </c>
    </row>
    <row r="583" spans="1:28">
      <c r="A583" s="136"/>
      <c r="B583" s="102"/>
      <c r="C583" s="102" t="s">
        <v>24</v>
      </c>
      <c r="D583" s="102"/>
      <c r="E583" s="116" t="s">
        <v>559</v>
      </c>
      <c r="F583" s="116">
        <f>EXPENSES!G79</f>
        <v>0</v>
      </c>
      <c r="G583" s="116">
        <f>+Adjustments!AW582</f>
        <v>0</v>
      </c>
      <c r="H583" s="116"/>
      <c r="I583" s="116">
        <f>SUM($F$583:$H$583)</f>
        <v>0</v>
      </c>
      <c r="J583" s="116"/>
      <c r="K583" s="116"/>
      <c r="L583" s="116" t="s">
        <v>24</v>
      </c>
      <c r="M583" s="116">
        <f>VLOOKUP($L583,$L$2:$N$7,2,FALSE)*I583</f>
        <v>0</v>
      </c>
      <c r="N583" s="116">
        <f>VLOOKUP($L583,$L$2:$N$7,3,FALSE)*I583</f>
        <v>0</v>
      </c>
      <c r="O583" s="272"/>
      <c r="P583" s="207" t="s">
        <v>559</v>
      </c>
      <c r="Q583" s="116">
        <f>IF(P583="G",M583,IF(P583="PT",0,ERR))</f>
        <v>0</v>
      </c>
      <c r="R583" s="116">
        <f>IF(P583="PT",M583,IF(P583="G",0,ERR))</f>
        <v>0</v>
      </c>
      <c r="S583" s="240" t="s">
        <v>559</v>
      </c>
      <c r="T583" s="116">
        <f>IF(S583="G",N583,IF(S583="PT",0,ERR))</f>
        <v>0</v>
      </c>
      <c r="U583" s="116">
        <f>IF(S583="PT",N583,IF(S583="G",0,ERR))</f>
        <v>0</v>
      </c>
      <c r="V583" s="273"/>
      <c r="W583" s="116">
        <f>HLOOKUP($W$9,'ROR-Model'!$Q$10:$U$1263,Y583)</f>
        <v>0</v>
      </c>
      <c r="X583" s="118"/>
      <c r="Y583" s="577">
        <f t="shared" si="26"/>
        <v>574</v>
      </c>
      <c r="AA583" s="116">
        <v>0</v>
      </c>
      <c r="AB583" s="116">
        <f t="shared" si="27"/>
        <v>0</v>
      </c>
    </row>
    <row r="584" spans="1:28">
      <c r="A584" s="136"/>
      <c r="B584" s="102"/>
      <c r="C584" s="102" t="s">
        <v>170</v>
      </c>
      <c r="D584" s="102"/>
      <c r="E584" s="131"/>
      <c r="F584" s="131">
        <f>SUM(F582:F583)</f>
        <v>0</v>
      </c>
      <c r="G584" s="131">
        <f>SUM(G582:G583)</f>
        <v>0</v>
      </c>
      <c r="H584" s="131">
        <f>SUM(H582:H583)</f>
        <v>0</v>
      </c>
      <c r="I584" s="131">
        <f>SUM(I582:I583)</f>
        <v>0</v>
      </c>
      <c r="J584" s="116"/>
      <c r="K584" s="116"/>
      <c r="L584" s="131"/>
      <c r="M584" s="131">
        <f>SUM(M582:M583)</f>
        <v>0</v>
      </c>
      <c r="N584" s="131">
        <f>SUM(N582:N583)</f>
        <v>0</v>
      </c>
      <c r="O584" s="272"/>
      <c r="P584" s="207"/>
      <c r="Q584" s="131">
        <f>SUM(Q582:Q583)</f>
        <v>0</v>
      </c>
      <c r="R584" s="131">
        <f>SUM(R582:R583)</f>
        <v>0</v>
      </c>
      <c r="S584" s="257"/>
      <c r="T584" s="131">
        <f>SUM(T582:T583)</f>
        <v>0</v>
      </c>
      <c r="U584" s="131">
        <f>SUM(U582:U583)</f>
        <v>0</v>
      </c>
      <c r="V584" s="273"/>
      <c r="W584" s="131">
        <f>HLOOKUP($W$9,'ROR-Model'!$Q$10:$U$1263,Y584)</f>
        <v>0</v>
      </c>
      <c r="X584" s="118"/>
      <c r="Y584" s="577">
        <f t="shared" si="26"/>
        <v>575</v>
      </c>
      <c r="AA584" s="131">
        <v>0</v>
      </c>
      <c r="AB584" s="116">
        <f t="shared" si="27"/>
        <v>0</v>
      </c>
    </row>
    <row r="585" spans="1:28">
      <c r="A585" s="136"/>
      <c r="B585" s="102"/>
      <c r="C585" s="102"/>
      <c r="D585" s="102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272"/>
      <c r="P585" s="207"/>
      <c r="Q585" s="116"/>
      <c r="R585" s="116"/>
      <c r="S585" s="240"/>
      <c r="T585" s="116"/>
      <c r="U585" s="116"/>
      <c r="V585" s="273"/>
      <c r="W585" s="116"/>
      <c r="X585" s="118"/>
      <c r="Y585" s="577">
        <f t="shared" si="26"/>
        <v>576</v>
      </c>
      <c r="AA585" s="116"/>
      <c r="AB585" s="116">
        <f t="shared" si="27"/>
        <v>0</v>
      </c>
    </row>
    <row r="586" spans="1:28">
      <c r="A586" s="136" t="s">
        <v>705</v>
      </c>
      <c r="B586" s="102" t="s">
        <v>725</v>
      </c>
      <c r="C586" s="102"/>
      <c r="D586" s="102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272"/>
      <c r="P586" s="207"/>
      <c r="Q586" s="116"/>
      <c r="R586" s="116"/>
      <c r="S586" s="240"/>
      <c r="T586" s="116"/>
      <c r="U586" s="116"/>
      <c r="V586" s="273"/>
      <c r="W586" s="116"/>
      <c r="X586" s="118"/>
      <c r="Y586" s="577">
        <f t="shared" si="26"/>
        <v>577</v>
      </c>
      <c r="AA586" s="116"/>
      <c r="AB586" s="116">
        <f t="shared" si="27"/>
        <v>0</v>
      </c>
    </row>
    <row r="587" spans="1:28">
      <c r="A587" s="136"/>
      <c r="B587" s="102"/>
      <c r="C587" s="102" t="s">
        <v>14</v>
      </c>
      <c r="D587" s="102"/>
      <c r="E587" s="116" t="s">
        <v>559</v>
      </c>
      <c r="F587" s="116">
        <f>EXPENSES!G83</f>
        <v>70911454.520070195</v>
      </c>
      <c r="G587" s="116">
        <f>+Adjustments!AW586</f>
        <v>0</v>
      </c>
      <c r="H587" s="116"/>
      <c r="I587" s="116">
        <f>SUM($F$587:$H$587)</f>
        <v>70911454.520070195</v>
      </c>
      <c r="J587" s="116"/>
      <c r="K587" s="116"/>
      <c r="L587" s="116" t="s">
        <v>14</v>
      </c>
      <c r="M587" s="116">
        <f>VLOOKUP($L587,$L$2:$N$7,2,FALSE)*I587</f>
        <v>70911454.520070195</v>
      </c>
      <c r="N587" s="116">
        <f>VLOOKUP($L587,$L$2:$N$7,3,FALSE)*I587</f>
        <v>0</v>
      </c>
      <c r="O587" s="272"/>
      <c r="P587" s="207" t="s">
        <v>559</v>
      </c>
      <c r="Q587" s="116">
        <f>IF(P587="G",M587,IF(P587="PT",0,ERR))</f>
        <v>0</v>
      </c>
      <c r="R587" s="116">
        <f>IF(P587="PT",M587,IF(P587="G",0,ERR))</f>
        <v>70911454.520070195</v>
      </c>
      <c r="S587" s="240" t="s">
        <v>559</v>
      </c>
      <c r="T587" s="116">
        <f>IF(S587="G",N587,IF(S587="PT",0,ERR))</f>
        <v>0</v>
      </c>
      <c r="U587" s="116">
        <f>IF(S587="PT",N587,IF(S587="G",0,ERR))</f>
        <v>0</v>
      </c>
      <c r="V587" s="273"/>
      <c r="W587" s="116">
        <f>HLOOKUP($W$9,'ROR-Model'!$Q$10:$U$1263,Y587)</f>
        <v>0</v>
      </c>
      <c r="X587" s="118"/>
      <c r="Y587" s="577">
        <f t="shared" si="26"/>
        <v>578</v>
      </c>
      <c r="AA587" s="116">
        <v>0</v>
      </c>
      <c r="AB587" s="116">
        <f t="shared" si="27"/>
        <v>0</v>
      </c>
    </row>
    <row r="588" spans="1:28">
      <c r="A588" s="136"/>
      <c r="B588" s="102"/>
      <c r="C588" s="102" t="s">
        <v>24</v>
      </c>
      <c r="D588" s="102"/>
      <c r="E588" s="116" t="s">
        <v>559</v>
      </c>
      <c r="F588" s="116">
        <f>EXPENSES!G84</f>
        <v>2569744.0599297993</v>
      </c>
      <c r="G588" s="116">
        <f>+Adjustments!AW587</f>
        <v>0</v>
      </c>
      <c r="H588" s="116"/>
      <c r="I588" s="116">
        <f>SUM($F$588:$H$588)</f>
        <v>2569744.0599297993</v>
      </c>
      <c r="J588" s="116"/>
      <c r="K588" s="116"/>
      <c r="L588" s="116" t="s">
        <v>24</v>
      </c>
      <c r="M588" s="116">
        <f>VLOOKUP($L588,$L$2:$N$7,2,FALSE)*I588</f>
        <v>0</v>
      </c>
      <c r="N588" s="116">
        <f>VLOOKUP($L588,$L$2:$N$7,3,FALSE)*I588</f>
        <v>2569744.0599297993</v>
      </c>
      <c r="O588" s="272"/>
      <c r="P588" s="207" t="s">
        <v>559</v>
      </c>
      <c r="Q588" s="116">
        <f>IF(P588="G",M588,IF(P588="PT",0,ERR))</f>
        <v>0</v>
      </c>
      <c r="R588" s="116">
        <f>IF(P588="PT",M588,IF(P588="G",0,ERR))</f>
        <v>0</v>
      </c>
      <c r="S588" s="240" t="s">
        <v>559</v>
      </c>
      <c r="T588" s="116">
        <f>IF(S588="G",N588,IF(S588="PT",0,ERR))</f>
        <v>0</v>
      </c>
      <c r="U588" s="116">
        <f>IF(S588="PT",N588,IF(S588="G",0,ERR))</f>
        <v>2569744.0599297993</v>
      </c>
      <c r="V588" s="273"/>
      <c r="W588" s="116">
        <f>HLOOKUP($W$9,'ROR-Model'!$Q$10:$U$1263,Y588)</f>
        <v>0</v>
      </c>
      <c r="X588" s="118"/>
      <c r="Y588" s="577">
        <f t="shared" si="26"/>
        <v>579</v>
      </c>
      <c r="AA588" s="116">
        <v>0</v>
      </c>
      <c r="AB588" s="116">
        <f t="shared" si="27"/>
        <v>0</v>
      </c>
    </row>
    <row r="589" spans="1:28">
      <c r="A589" s="136"/>
      <c r="B589" s="102"/>
      <c r="C589" s="102" t="s">
        <v>170</v>
      </c>
      <c r="D589" s="102"/>
      <c r="E589" s="131"/>
      <c r="F589" s="131">
        <f>SUM(F587:F588)</f>
        <v>73481198.579999998</v>
      </c>
      <c r="G589" s="131">
        <f>SUM(G587:G588)</f>
        <v>0</v>
      </c>
      <c r="H589" s="131">
        <f>SUM(H587:H588)</f>
        <v>0</v>
      </c>
      <c r="I589" s="131">
        <f>SUM(I587:I588)</f>
        <v>73481198.579999998</v>
      </c>
      <c r="J589" s="116"/>
      <c r="K589" s="116"/>
      <c r="L589" s="131"/>
      <c r="M589" s="131">
        <f>SUM(M587:M588)</f>
        <v>70911454.520070195</v>
      </c>
      <c r="N589" s="131">
        <f>SUM(N587:N588)</f>
        <v>2569744.0599297993</v>
      </c>
      <c r="O589" s="272"/>
      <c r="P589" s="207"/>
      <c r="Q589" s="131">
        <f>SUM(Q587:Q588)</f>
        <v>0</v>
      </c>
      <c r="R589" s="131">
        <f>SUM(R587:R588)</f>
        <v>70911454.520070195</v>
      </c>
      <c r="S589" s="257"/>
      <c r="T589" s="131">
        <f>SUM(T587:T588)</f>
        <v>0</v>
      </c>
      <c r="U589" s="131">
        <f>SUM(U587:U588)</f>
        <v>2569744.0599297993</v>
      </c>
      <c r="V589" s="273"/>
      <c r="W589" s="131">
        <f>HLOOKUP($W$9,'ROR-Model'!$Q$10:$U$1263,Y589)</f>
        <v>0</v>
      </c>
      <c r="X589" s="118"/>
      <c r="Y589" s="577">
        <f t="shared" si="26"/>
        <v>580</v>
      </c>
      <c r="AA589" s="131">
        <v>0</v>
      </c>
      <c r="AB589" s="116">
        <f t="shared" si="27"/>
        <v>0</v>
      </c>
    </row>
    <row r="590" spans="1:28">
      <c r="A590" s="136"/>
      <c r="B590" s="102"/>
      <c r="C590" s="102"/>
      <c r="D590" s="102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272"/>
      <c r="P590" s="207"/>
      <c r="Q590" s="116"/>
      <c r="R590" s="116"/>
      <c r="S590" s="240"/>
      <c r="T590" s="116"/>
      <c r="U590" s="116"/>
      <c r="V590" s="273"/>
      <c r="W590" s="116"/>
      <c r="X590" s="118"/>
      <c r="Y590" s="577">
        <f t="shared" ref="Y590:Y653" si="28">Y589+1</f>
        <v>581</v>
      </c>
      <c r="AA590" s="116"/>
      <c r="AB590" s="116">
        <f t="shared" si="27"/>
        <v>0</v>
      </c>
    </row>
    <row r="591" spans="1:28">
      <c r="A591" s="136" t="s">
        <v>706</v>
      </c>
      <c r="B591" s="102" t="s">
        <v>361</v>
      </c>
      <c r="C591" s="102"/>
      <c r="D591" s="102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272"/>
      <c r="P591" s="207"/>
      <c r="Q591" s="116"/>
      <c r="R591" s="116"/>
      <c r="S591" s="240"/>
      <c r="T591" s="116"/>
      <c r="U591" s="116"/>
      <c r="V591" s="273"/>
      <c r="W591" s="116"/>
      <c r="X591" s="118"/>
      <c r="Y591" s="577">
        <f t="shared" si="28"/>
        <v>582</v>
      </c>
      <c r="AA591" s="116"/>
      <c r="AB591" s="116">
        <f t="shared" si="27"/>
        <v>0</v>
      </c>
    </row>
    <row r="592" spans="1:28">
      <c r="A592" s="136"/>
      <c r="B592" s="102"/>
      <c r="C592" s="102" t="s">
        <v>14</v>
      </c>
      <c r="D592" s="102"/>
      <c r="E592" s="116" t="s">
        <v>559</v>
      </c>
      <c r="F592" s="116">
        <f>EXPENSES!G88</f>
        <v>-74590296.669899002</v>
      </c>
      <c r="G592" s="116">
        <f>+Adjustments!AW591</f>
        <v>0</v>
      </c>
      <c r="H592" s="116"/>
      <c r="I592" s="116">
        <f>SUM($F$592:$H$592)</f>
        <v>-74590296.669899002</v>
      </c>
      <c r="J592" s="116"/>
      <c r="K592" s="116"/>
      <c r="L592" s="116" t="s">
        <v>14</v>
      </c>
      <c r="M592" s="116">
        <f>VLOOKUP($L592,$L$2:$N$7,2,FALSE)*I592</f>
        <v>-74590296.669899002</v>
      </c>
      <c r="N592" s="116">
        <f>VLOOKUP($L592,$L$2:$N$7,3,FALSE)*I592</f>
        <v>0</v>
      </c>
      <c r="O592" s="272"/>
      <c r="P592" s="207" t="s">
        <v>559</v>
      </c>
      <c r="Q592" s="116">
        <f>IF(P592="G",M592,IF(P592="PT",0,ERR))</f>
        <v>0</v>
      </c>
      <c r="R592" s="116">
        <f>IF(P592="PT",M592,IF(P592="G",0,ERR))</f>
        <v>-74590296.669899002</v>
      </c>
      <c r="S592" s="240" t="s">
        <v>559</v>
      </c>
      <c r="T592" s="116">
        <f>IF(S592="G",N592,IF(S592="PT",0,ERR))</f>
        <v>0</v>
      </c>
      <c r="U592" s="116">
        <f>IF(S592="PT",N592,IF(S592="G",0,ERR))</f>
        <v>0</v>
      </c>
      <c r="V592" s="273"/>
      <c r="W592" s="116">
        <f>HLOOKUP($W$9,'ROR-Model'!$Q$10:$U$1263,Y592)</f>
        <v>0</v>
      </c>
      <c r="X592" s="118"/>
      <c r="Y592" s="577">
        <f t="shared" si="28"/>
        <v>583</v>
      </c>
      <c r="AA592" s="116">
        <v>0</v>
      </c>
      <c r="AB592" s="116">
        <f t="shared" si="27"/>
        <v>0</v>
      </c>
    </row>
    <row r="593" spans="1:28">
      <c r="A593" s="136"/>
      <c r="B593" s="102"/>
      <c r="C593" s="102" t="s">
        <v>24</v>
      </c>
      <c r="D593" s="102"/>
      <c r="E593" s="116" t="s">
        <v>559</v>
      </c>
      <c r="F593" s="116">
        <f>EXPENSES!G89</f>
        <v>-2447988.1101010013</v>
      </c>
      <c r="G593" s="116">
        <f>+Adjustments!AW592</f>
        <v>0</v>
      </c>
      <c r="H593" s="116"/>
      <c r="I593" s="116">
        <f>SUM($F$593:$H$593)</f>
        <v>-2447988.1101010013</v>
      </c>
      <c r="J593" s="116"/>
      <c r="K593" s="116"/>
      <c r="L593" s="116" t="s">
        <v>24</v>
      </c>
      <c r="M593" s="116">
        <f>VLOOKUP($L593,$L$2:$N$7,2,FALSE)*I593</f>
        <v>0</v>
      </c>
      <c r="N593" s="116">
        <f>VLOOKUP($L593,$L$2:$N$7,3,FALSE)*I593</f>
        <v>-2447988.1101010013</v>
      </c>
      <c r="O593" s="272"/>
      <c r="P593" s="207" t="s">
        <v>559</v>
      </c>
      <c r="Q593" s="116">
        <f>IF(P593="G",M593,IF(P593="PT",0,ERR))</f>
        <v>0</v>
      </c>
      <c r="R593" s="116">
        <f>IF(P593="PT",M593,IF(P593="G",0,ERR))</f>
        <v>0</v>
      </c>
      <c r="S593" s="240" t="s">
        <v>559</v>
      </c>
      <c r="T593" s="116">
        <f>IF(S593="G",N593,IF(S593="PT",0,ERR))</f>
        <v>0</v>
      </c>
      <c r="U593" s="116">
        <f>IF(S593="PT",N593,IF(S593="G",0,ERR))</f>
        <v>-2447988.1101010013</v>
      </c>
      <c r="V593" s="273"/>
      <c r="W593" s="116">
        <f>HLOOKUP($W$9,'ROR-Model'!$Q$10:$U$1263,Y593)</f>
        <v>0</v>
      </c>
      <c r="X593" s="118"/>
      <c r="Y593" s="577">
        <f t="shared" si="28"/>
        <v>584</v>
      </c>
      <c r="AA593" s="116">
        <v>0</v>
      </c>
      <c r="AB593" s="116">
        <f t="shared" ref="AB593:AB656" si="29">W593-AA593</f>
        <v>0</v>
      </c>
    </row>
    <row r="594" spans="1:28">
      <c r="A594" s="136"/>
      <c r="B594" s="102"/>
      <c r="C594" s="102" t="s">
        <v>170</v>
      </c>
      <c r="D594" s="102"/>
      <c r="E594" s="131"/>
      <c r="F594" s="131">
        <f>SUM(F592:F593)</f>
        <v>-77038284.780000001</v>
      </c>
      <c r="G594" s="131">
        <f>SUM(G592:G593)</f>
        <v>0</v>
      </c>
      <c r="H594" s="131">
        <f>SUM(H592:H593)</f>
        <v>0</v>
      </c>
      <c r="I594" s="131">
        <f>SUM(I592:I593)</f>
        <v>-77038284.780000001</v>
      </c>
      <c r="J594" s="116"/>
      <c r="K594" s="116"/>
      <c r="L594" s="131"/>
      <c r="M594" s="131">
        <f>SUM(M592:M593)</f>
        <v>-74590296.669899002</v>
      </c>
      <c r="N594" s="131">
        <f>SUM(N592:N593)</f>
        <v>-2447988.1101010013</v>
      </c>
      <c r="O594" s="272"/>
      <c r="P594" s="207"/>
      <c r="Q594" s="131">
        <f>SUM(Q592:Q593)</f>
        <v>0</v>
      </c>
      <c r="R594" s="131">
        <f>SUM(R592:R593)</f>
        <v>-74590296.669899002</v>
      </c>
      <c r="S594" s="257"/>
      <c r="T594" s="131">
        <f>SUM(T592:T593)</f>
        <v>0</v>
      </c>
      <c r="U594" s="131">
        <f>SUM(U592:U593)</f>
        <v>-2447988.1101010013</v>
      </c>
      <c r="V594" s="273"/>
      <c r="W594" s="131">
        <f>HLOOKUP($W$9,'ROR-Model'!$Q$10:$U$1263,Y594)</f>
        <v>0</v>
      </c>
      <c r="X594" s="118"/>
      <c r="Y594" s="577">
        <f t="shared" si="28"/>
        <v>585</v>
      </c>
      <c r="AA594" s="131">
        <v>0</v>
      </c>
      <c r="AB594" s="116">
        <f t="shared" si="29"/>
        <v>0</v>
      </c>
    </row>
    <row r="595" spans="1:28">
      <c r="A595" s="136"/>
      <c r="B595" s="102"/>
      <c r="C595" s="102"/>
      <c r="D595" s="102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272"/>
      <c r="P595" s="207"/>
      <c r="Q595" s="116"/>
      <c r="R595" s="116"/>
      <c r="S595" s="240"/>
      <c r="T595" s="116"/>
      <c r="U595" s="116"/>
      <c r="V595" s="273"/>
      <c r="W595" s="116"/>
      <c r="X595" s="118"/>
      <c r="Y595" s="577">
        <f t="shared" si="28"/>
        <v>586</v>
      </c>
      <c r="AA595" s="116"/>
      <c r="AB595" s="116">
        <f t="shared" si="29"/>
        <v>0</v>
      </c>
    </row>
    <row r="596" spans="1:28">
      <c r="A596" s="136" t="s">
        <v>707</v>
      </c>
      <c r="B596" s="102" t="s">
        <v>359</v>
      </c>
      <c r="C596" s="102"/>
      <c r="D596" s="102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272"/>
      <c r="P596" s="207"/>
      <c r="Q596" s="116"/>
      <c r="R596" s="116"/>
      <c r="S596" s="240"/>
      <c r="T596" s="116"/>
      <c r="U596" s="116"/>
      <c r="V596" s="273"/>
      <c r="W596" s="116"/>
      <c r="X596" s="118"/>
      <c r="Y596" s="577">
        <f t="shared" si="28"/>
        <v>587</v>
      </c>
      <c r="AA596" s="116"/>
      <c r="AB596" s="116">
        <f t="shared" si="29"/>
        <v>0</v>
      </c>
    </row>
    <row r="597" spans="1:28">
      <c r="A597" s="136"/>
      <c r="B597" s="102"/>
      <c r="C597" s="102" t="s">
        <v>14</v>
      </c>
      <c r="D597" s="102"/>
      <c r="E597" s="116" t="s">
        <v>559</v>
      </c>
      <c r="F597" s="116">
        <f>EXPENSES!G93</f>
        <v>3829995.61668</v>
      </c>
      <c r="G597" s="116">
        <f>+Adjustments!AW596</f>
        <v>0</v>
      </c>
      <c r="H597" s="116"/>
      <c r="I597" s="116">
        <f>SUM($F$597:$H$597)</f>
        <v>3829995.61668</v>
      </c>
      <c r="J597" s="116"/>
      <c r="K597" s="116"/>
      <c r="L597" s="116" t="s">
        <v>14</v>
      </c>
      <c r="M597" s="116">
        <f>VLOOKUP($L597,$L$2:$N$7,2,FALSE)*I597</f>
        <v>3829995.61668</v>
      </c>
      <c r="N597" s="116">
        <f>VLOOKUP($L597,$L$2:$N$7,3,FALSE)*I597</f>
        <v>0</v>
      </c>
      <c r="O597" s="272"/>
      <c r="P597" s="207" t="s">
        <v>559</v>
      </c>
      <c r="Q597" s="116">
        <f>IF(P597="G",M597,IF(P597="PT",0,ERR))</f>
        <v>0</v>
      </c>
      <c r="R597" s="116">
        <f>IF(P597="PT",M597,IF(P597="G",0,ERR))</f>
        <v>3829995.61668</v>
      </c>
      <c r="S597" s="240" t="s">
        <v>559</v>
      </c>
      <c r="T597" s="116">
        <f>IF(S597="G",N597,IF(S597="PT",0,ERR))</f>
        <v>0</v>
      </c>
      <c r="U597" s="116">
        <f>IF(S597="PT",N597,IF(S597="G",0,ERR))</f>
        <v>0</v>
      </c>
      <c r="V597" s="273"/>
      <c r="W597" s="116">
        <f>HLOOKUP($W$9,'ROR-Model'!$Q$10:$U$1263,Y597)</f>
        <v>0</v>
      </c>
      <c r="X597" s="118"/>
      <c r="Y597" s="577">
        <f t="shared" si="28"/>
        <v>588</v>
      </c>
      <c r="AA597" s="116">
        <v>0</v>
      </c>
      <c r="AB597" s="116">
        <f t="shared" si="29"/>
        <v>0</v>
      </c>
    </row>
    <row r="598" spans="1:28">
      <c r="A598" s="136"/>
      <c r="B598" s="102"/>
      <c r="C598" s="102" t="s">
        <v>24</v>
      </c>
      <c r="D598" s="102"/>
      <c r="E598" s="116" t="s">
        <v>559</v>
      </c>
      <c r="F598" s="116">
        <f>EXPENSES!G94</f>
        <v>138806.38331999991</v>
      </c>
      <c r="G598" s="116">
        <f>+Adjustments!AW597</f>
        <v>0</v>
      </c>
      <c r="H598" s="116"/>
      <c r="I598" s="116">
        <f>SUM($F$598:$H$598)</f>
        <v>138806.38331999991</v>
      </c>
      <c r="J598" s="116"/>
      <c r="K598" s="116"/>
      <c r="L598" s="116" t="s">
        <v>24</v>
      </c>
      <c r="M598" s="116">
        <f>VLOOKUP($L598,$L$2:$N$7,2,FALSE)*I598</f>
        <v>0</v>
      </c>
      <c r="N598" s="116">
        <f>VLOOKUP($L598,$L$2:$N$7,3,FALSE)*I598</f>
        <v>138806.38331999991</v>
      </c>
      <c r="O598" s="272"/>
      <c r="P598" s="207" t="s">
        <v>559</v>
      </c>
      <c r="Q598" s="116">
        <f>IF(P598="G",M598,IF(P598="PT",0,ERR))</f>
        <v>0</v>
      </c>
      <c r="R598" s="116">
        <f>IF(P598="PT",M598,IF(P598="G",0,ERR))</f>
        <v>0</v>
      </c>
      <c r="S598" s="240" t="s">
        <v>559</v>
      </c>
      <c r="T598" s="116">
        <f>IF(S598="G",N598,IF(S598="PT",0,ERR))</f>
        <v>0</v>
      </c>
      <c r="U598" s="116">
        <f>IF(S598="PT",N598,IF(S598="G",0,ERR))</f>
        <v>138806.38331999991</v>
      </c>
      <c r="V598" s="273"/>
      <c r="W598" s="116">
        <f>HLOOKUP($W$9,'ROR-Model'!$Q$10:$U$1263,Y598)</f>
        <v>0</v>
      </c>
      <c r="X598" s="118"/>
      <c r="Y598" s="577">
        <f t="shared" si="28"/>
        <v>589</v>
      </c>
      <c r="AA598" s="116">
        <v>0</v>
      </c>
      <c r="AB598" s="116">
        <f t="shared" si="29"/>
        <v>0</v>
      </c>
    </row>
    <row r="599" spans="1:28">
      <c r="A599" s="136"/>
      <c r="B599" s="102"/>
      <c r="C599" s="102" t="s">
        <v>170</v>
      </c>
      <c r="D599" s="102"/>
      <c r="E599" s="131"/>
      <c r="F599" s="131">
        <f>SUM(F597:F598)</f>
        <v>3968802</v>
      </c>
      <c r="G599" s="131">
        <f>SUM(G597:G598)</f>
        <v>0</v>
      </c>
      <c r="H599" s="131">
        <f>SUM(H597:H598)</f>
        <v>0</v>
      </c>
      <c r="I599" s="131">
        <f>SUM(I597:I598)</f>
        <v>3968802</v>
      </c>
      <c r="J599" s="116"/>
      <c r="K599" s="116"/>
      <c r="L599" s="131"/>
      <c r="M599" s="131">
        <f>SUM(M597:M598)</f>
        <v>3829995.61668</v>
      </c>
      <c r="N599" s="131">
        <f>SUM(N597:N598)</f>
        <v>138806.38331999991</v>
      </c>
      <c r="O599" s="272"/>
      <c r="P599" s="207"/>
      <c r="Q599" s="131">
        <f>SUM(Q597:Q598)</f>
        <v>0</v>
      </c>
      <c r="R599" s="131">
        <f>SUM(R597:R598)</f>
        <v>3829995.61668</v>
      </c>
      <c r="S599" s="257"/>
      <c r="T599" s="131">
        <f>SUM(T597:T598)</f>
        <v>0</v>
      </c>
      <c r="U599" s="131">
        <f>SUM(U597:U598)</f>
        <v>138806.38331999991</v>
      </c>
      <c r="V599" s="273"/>
      <c r="W599" s="131">
        <f>HLOOKUP($W$9,'ROR-Model'!$Q$10:$U$1263,Y599)</f>
        <v>0</v>
      </c>
      <c r="X599" s="118"/>
      <c r="Y599" s="577">
        <f t="shared" si="28"/>
        <v>590</v>
      </c>
      <c r="AA599" s="131">
        <v>0</v>
      </c>
      <c r="AB599" s="116">
        <f t="shared" si="29"/>
        <v>0</v>
      </c>
    </row>
    <row r="600" spans="1:28">
      <c r="A600" s="136"/>
      <c r="B600" s="102"/>
      <c r="C600" s="102"/>
      <c r="D600" s="102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272"/>
      <c r="P600" s="207"/>
      <c r="Q600" s="116"/>
      <c r="R600" s="116"/>
      <c r="S600" s="240"/>
      <c r="T600" s="116"/>
      <c r="U600" s="116"/>
      <c r="V600" s="273"/>
      <c r="W600" s="116"/>
      <c r="X600" s="118"/>
      <c r="Y600" s="577">
        <f t="shared" si="28"/>
        <v>591</v>
      </c>
      <c r="AA600" s="116"/>
      <c r="AB600" s="116">
        <f t="shared" si="29"/>
        <v>0</v>
      </c>
    </row>
    <row r="601" spans="1:28">
      <c r="A601" s="136">
        <v>813</v>
      </c>
      <c r="B601" s="102" t="s">
        <v>362</v>
      </c>
      <c r="C601" s="102"/>
      <c r="D601" s="102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272"/>
      <c r="P601" s="207"/>
      <c r="Q601" s="116"/>
      <c r="R601" s="116"/>
      <c r="S601" s="240"/>
      <c r="T601" s="116"/>
      <c r="U601" s="116"/>
      <c r="V601" s="273"/>
      <c r="W601" s="116"/>
      <c r="X601" s="118"/>
      <c r="Y601" s="577">
        <f t="shared" si="28"/>
        <v>592</v>
      </c>
      <c r="AA601" s="116"/>
      <c r="AB601" s="116">
        <f t="shared" si="29"/>
        <v>0</v>
      </c>
    </row>
    <row r="602" spans="1:28">
      <c r="A602" s="136"/>
      <c r="B602" s="102"/>
      <c r="C602" s="102" t="s">
        <v>14</v>
      </c>
      <c r="D602" s="102"/>
      <c r="E602" s="116" t="s">
        <v>559</v>
      </c>
      <c r="F602" s="116">
        <f>EXPENSES!G98</f>
        <v>310247092.58867115</v>
      </c>
      <c r="G602" s="116">
        <f>+Adjustments!AW601</f>
        <v>0</v>
      </c>
      <c r="H602" s="116"/>
      <c r="I602" s="116">
        <f>SUM($F$602:$H$602)</f>
        <v>310247092.58867115</v>
      </c>
      <c r="J602" s="116"/>
      <c r="K602" s="116"/>
      <c r="L602" s="116" t="s">
        <v>14</v>
      </c>
      <c r="M602" s="116">
        <f>VLOOKUP($L602,$L$2:$N$7,2,FALSE)*I602</f>
        <v>310247092.58867115</v>
      </c>
      <c r="N602" s="116">
        <f>VLOOKUP($L602,$L$2:$N$7,3,FALSE)*I602</f>
        <v>0</v>
      </c>
      <c r="O602" s="272"/>
      <c r="P602" s="207" t="s">
        <v>559</v>
      </c>
      <c r="Q602" s="116">
        <f>IF(P602="G",M602,IF(P602="PT",0,ERR))</f>
        <v>0</v>
      </c>
      <c r="R602" s="116">
        <f>IF(P602="PT",M602,IF(P602="G",0,ERR))</f>
        <v>310247092.58867115</v>
      </c>
      <c r="S602" s="240" t="s">
        <v>559</v>
      </c>
      <c r="T602" s="116">
        <f>IF(S602="G",N602,IF(S602="PT",0,ERR))</f>
        <v>0</v>
      </c>
      <c r="U602" s="116">
        <f>IF(S602="PT",N602,IF(S602="G",0,ERR))</f>
        <v>0</v>
      </c>
      <c r="V602" s="273"/>
      <c r="W602" s="116">
        <f>HLOOKUP($W$9,'ROR-Model'!$Q$10:$U$1263,Y602)</f>
        <v>0</v>
      </c>
      <c r="X602" s="118"/>
      <c r="Y602" s="577">
        <f t="shared" si="28"/>
        <v>593</v>
      </c>
      <c r="AA602" s="116">
        <v>0</v>
      </c>
      <c r="AB602" s="116">
        <f t="shared" si="29"/>
        <v>0</v>
      </c>
    </row>
    <row r="603" spans="1:28">
      <c r="A603" s="136"/>
      <c r="B603" s="102"/>
      <c r="C603" s="102" t="s">
        <v>24</v>
      </c>
      <c r="D603" s="102"/>
      <c r="E603" s="116" t="s">
        <v>559</v>
      </c>
      <c r="F603" s="116">
        <f>EXPENSES!G99</f>
        <v>11198142.051328894</v>
      </c>
      <c r="G603" s="116">
        <f>+Adjustments!AW602</f>
        <v>0</v>
      </c>
      <c r="H603" s="116"/>
      <c r="I603" s="116">
        <f>SUM($F$603:$H$603)</f>
        <v>11198142.051328894</v>
      </c>
      <c r="J603" s="116"/>
      <c r="K603" s="116"/>
      <c r="L603" s="116" t="s">
        <v>24</v>
      </c>
      <c r="M603" s="116">
        <f>VLOOKUP($L603,$L$2:$N$7,2,FALSE)*I603</f>
        <v>0</v>
      </c>
      <c r="N603" s="116">
        <f>VLOOKUP($L603,$L$2:$N$7,3,FALSE)*I603</f>
        <v>11198142.051328894</v>
      </c>
      <c r="O603" s="272"/>
      <c r="P603" s="207" t="s">
        <v>559</v>
      </c>
      <c r="Q603" s="116">
        <f>IF(P603="G",M603,IF(P603="PT",0,ERR))</f>
        <v>0</v>
      </c>
      <c r="R603" s="116">
        <f>IF(P603="PT",M603,IF(P603="G",0,ERR))</f>
        <v>0</v>
      </c>
      <c r="S603" s="240" t="s">
        <v>559</v>
      </c>
      <c r="T603" s="116">
        <f>IF(S603="G",N603,IF(S603="PT",0,ERR))</f>
        <v>0</v>
      </c>
      <c r="U603" s="116">
        <f>IF(S603="PT",N603,IF(S603="G",0,ERR))</f>
        <v>11198142.051328894</v>
      </c>
      <c r="V603" s="273"/>
      <c r="W603" s="116">
        <f>HLOOKUP($W$9,'ROR-Model'!$Q$10:$U$1263,Y603)</f>
        <v>0</v>
      </c>
      <c r="X603" s="118"/>
      <c r="Y603" s="577">
        <f t="shared" si="28"/>
        <v>594</v>
      </c>
      <c r="AA603" s="116">
        <v>0</v>
      </c>
      <c r="AB603" s="116">
        <f t="shared" si="29"/>
        <v>0</v>
      </c>
    </row>
    <row r="604" spans="1:28">
      <c r="A604" s="136"/>
      <c r="B604" s="102"/>
      <c r="C604" s="102" t="s">
        <v>170</v>
      </c>
      <c r="D604" s="102"/>
      <c r="E604" s="131"/>
      <c r="F604" s="131">
        <f>SUM(F602:F603)</f>
        <v>321445234.64000005</v>
      </c>
      <c r="G604" s="131">
        <f>SUM(G602:G603)</f>
        <v>0</v>
      </c>
      <c r="H604" s="131">
        <f>SUM(H602:H603)</f>
        <v>0</v>
      </c>
      <c r="I604" s="131">
        <f>SUM(I602:I603)</f>
        <v>321445234.64000005</v>
      </c>
      <c r="J604" s="116"/>
      <c r="K604" s="116"/>
      <c r="L604" s="131"/>
      <c r="M604" s="131">
        <f>SUM(M602:M603)</f>
        <v>310247092.58867115</v>
      </c>
      <c r="N604" s="131">
        <f>SUM(N602:N603)</f>
        <v>11198142.051328894</v>
      </c>
      <c r="O604" s="272"/>
      <c r="P604" s="207"/>
      <c r="Q604" s="131">
        <f>SUM(Q602:Q603)</f>
        <v>0</v>
      </c>
      <c r="R604" s="131">
        <f>SUM(R602:R603)</f>
        <v>310247092.58867115</v>
      </c>
      <c r="S604" s="257"/>
      <c r="T604" s="131">
        <f>SUM(T602:T603)</f>
        <v>0</v>
      </c>
      <c r="U604" s="131">
        <f>SUM(U602:U603)</f>
        <v>11198142.051328894</v>
      </c>
      <c r="V604" s="273"/>
      <c r="W604" s="131">
        <f>HLOOKUP($W$9,'ROR-Model'!$Q$10:$U$1263,Y604)</f>
        <v>0</v>
      </c>
      <c r="X604" s="118"/>
      <c r="Y604" s="577">
        <f t="shared" si="28"/>
        <v>595</v>
      </c>
      <c r="AA604" s="131">
        <v>0</v>
      </c>
      <c r="AB604" s="116">
        <f t="shared" si="29"/>
        <v>0</v>
      </c>
    </row>
    <row r="605" spans="1:28">
      <c r="A605" s="136"/>
      <c r="B605" s="102"/>
      <c r="C605" s="102"/>
      <c r="D605" s="102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272"/>
      <c r="P605" s="207"/>
      <c r="Q605" s="116"/>
      <c r="R605" s="116"/>
      <c r="S605" s="240"/>
      <c r="T605" s="116"/>
      <c r="U605" s="116"/>
      <c r="V605" s="273"/>
      <c r="W605" s="116"/>
      <c r="X605" s="118"/>
      <c r="Y605" s="577">
        <f t="shared" si="28"/>
        <v>596</v>
      </c>
      <c r="AA605" s="116"/>
      <c r="AB605" s="116">
        <f t="shared" si="29"/>
        <v>0</v>
      </c>
    </row>
    <row r="606" spans="1:28">
      <c r="A606" s="136">
        <v>813</v>
      </c>
      <c r="B606" s="102" t="s">
        <v>363</v>
      </c>
      <c r="C606" s="102"/>
      <c r="D606" s="102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272"/>
      <c r="P606" s="207"/>
      <c r="Q606" s="116"/>
      <c r="R606" s="116"/>
      <c r="S606" s="240"/>
      <c r="T606" s="116"/>
      <c r="U606" s="116"/>
      <c r="V606" s="273"/>
      <c r="W606" s="116"/>
      <c r="X606" s="118"/>
      <c r="Y606" s="577">
        <f t="shared" si="28"/>
        <v>597</v>
      </c>
      <c r="AA606" s="116"/>
      <c r="AB606" s="116">
        <f t="shared" si="29"/>
        <v>0</v>
      </c>
    </row>
    <row r="607" spans="1:28">
      <c r="A607" s="136"/>
      <c r="B607" s="102"/>
      <c r="C607" s="102" t="s">
        <v>14</v>
      </c>
      <c r="D607" s="102"/>
      <c r="E607" s="116" t="s">
        <v>559</v>
      </c>
      <c r="F607" s="116">
        <f>EXPENSES!G103</f>
        <v>0</v>
      </c>
      <c r="G607" s="116">
        <f>+Adjustments!AW606</f>
        <v>0</v>
      </c>
      <c r="H607" s="116"/>
      <c r="I607" s="116">
        <f>SUM($F$607:$H$607)</f>
        <v>0</v>
      </c>
      <c r="J607" s="116"/>
      <c r="K607" s="116"/>
      <c r="L607" s="116" t="s">
        <v>14</v>
      </c>
      <c r="M607" s="116">
        <f>VLOOKUP($L607,$L$2:$N$7,2,FALSE)*I607</f>
        <v>0</v>
      </c>
      <c r="N607" s="116">
        <f>VLOOKUP($L607,$L$2:$N$7,3,FALSE)*I607</f>
        <v>0</v>
      </c>
      <c r="O607" s="272"/>
      <c r="P607" s="207" t="s">
        <v>559</v>
      </c>
      <c r="Q607" s="116">
        <f>IF(P607="G",M607,IF(P607="PT",0,ERR))</f>
        <v>0</v>
      </c>
      <c r="R607" s="116">
        <f>IF(P607="PT",M607,IF(P607="G",0,ERR))</f>
        <v>0</v>
      </c>
      <c r="S607" s="240" t="s">
        <v>559</v>
      </c>
      <c r="T607" s="116">
        <f>IF(S607="G",N607,IF(S607="PT",0,ERR))</f>
        <v>0</v>
      </c>
      <c r="U607" s="116">
        <f>IF(S607="PT",N607,IF(S607="G",0,ERR))</f>
        <v>0</v>
      </c>
      <c r="V607" s="273"/>
      <c r="W607" s="116">
        <f>HLOOKUP($W$9,'ROR-Model'!$Q$10:$U$1263,Y607)</f>
        <v>0</v>
      </c>
      <c r="X607" s="118"/>
      <c r="Y607" s="577">
        <f t="shared" si="28"/>
        <v>598</v>
      </c>
      <c r="AA607" s="116">
        <v>0</v>
      </c>
      <c r="AB607" s="116">
        <f t="shared" si="29"/>
        <v>0</v>
      </c>
    </row>
    <row r="608" spans="1:28">
      <c r="A608" s="136"/>
      <c r="B608" s="102"/>
      <c r="C608" s="102" t="s">
        <v>24</v>
      </c>
      <c r="D608" s="102"/>
      <c r="E608" s="116" t="s">
        <v>559</v>
      </c>
      <c r="F608" s="116">
        <f>EXPENSES!G104</f>
        <v>0</v>
      </c>
      <c r="G608" s="116">
        <f>+Adjustments!AW607</f>
        <v>0</v>
      </c>
      <c r="H608" s="116"/>
      <c r="I608" s="116">
        <f>SUM($F$608:$H$608)</f>
        <v>0</v>
      </c>
      <c r="J608" s="116"/>
      <c r="K608" s="116"/>
      <c r="L608" s="116" t="s">
        <v>24</v>
      </c>
      <c r="M608" s="116">
        <f>VLOOKUP($L608,$L$2:$N$7,2,FALSE)*I608</f>
        <v>0</v>
      </c>
      <c r="N608" s="116">
        <f>VLOOKUP($L608,$L$2:$N$7,3,FALSE)*I608</f>
        <v>0</v>
      </c>
      <c r="O608" s="272"/>
      <c r="P608" s="207" t="s">
        <v>559</v>
      </c>
      <c r="Q608" s="116">
        <f>IF(P608="G",M608,IF(P608="PT",0,ERR))</f>
        <v>0</v>
      </c>
      <c r="R608" s="116">
        <f>IF(P608="PT",M608,IF(P608="G",0,ERR))</f>
        <v>0</v>
      </c>
      <c r="S608" s="240" t="s">
        <v>559</v>
      </c>
      <c r="T608" s="116">
        <f>IF(S608="G",N608,IF(S608="PT",0,ERR))</f>
        <v>0</v>
      </c>
      <c r="U608" s="116">
        <f>IF(S608="PT",N608,IF(S608="G",0,ERR))</f>
        <v>0</v>
      </c>
      <c r="V608" s="273"/>
      <c r="W608" s="116">
        <f>HLOOKUP($W$9,'ROR-Model'!$Q$10:$U$1263,Y608)</f>
        <v>0</v>
      </c>
      <c r="X608" s="118"/>
      <c r="Y608" s="577">
        <f t="shared" si="28"/>
        <v>599</v>
      </c>
      <c r="AA608" s="116">
        <v>0</v>
      </c>
      <c r="AB608" s="116">
        <f t="shared" si="29"/>
        <v>0</v>
      </c>
    </row>
    <row r="609" spans="1:28">
      <c r="A609" s="136"/>
      <c r="B609" s="102"/>
      <c r="C609" s="102" t="s">
        <v>170</v>
      </c>
      <c r="D609" s="102"/>
      <c r="E609" s="131"/>
      <c r="F609" s="131">
        <f>SUM(F607:F608)</f>
        <v>0</v>
      </c>
      <c r="G609" s="131">
        <f>SUM(G607:G608)</f>
        <v>0</v>
      </c>
      <c r="H609" s="131">
        <f>SUM(H607:H608)</f>
        <v>0</v>
      </c>
      <c r="I609" s="131">
        <f>SUM(I607:I608)</f>
        <v>0</v>
      </c>
      <c r="J609" s="116"/>
      <c r="K609" s="116"/>
      <c r="L609" s="131"/>
      <c r="M609" s="131">
        <f>SUM(M607:M608)</f>
        <v>0</v>
      </c>
      <c r="N609" s="131">
        <f>SUM(N607:N608)</f>
        <v>0</v>
      </c>
      <c r="O609" s="272"/>
      <c r="P609" s="207"/>
      <c r="Q609" s="131">
        <f>SUM(Q607:Q608)</f>
        <v>0</v>
      </c>
      <c r="R609" s="131">
        <f>SUM(R607:R608)</f>
        <v>0</v>
      </c>
      <c r="S609" s="257"/>
      <c r="T609" s="131">
        <f>SUM(T607:T608)</f>
        <v>0</v>
      </c>
      <c r="U609" s="131">
        <f>SUM(U607:U608)</f>
        <v>0</v>
      </c>
      <c r="V609" s="273"/>
      <c r="W609" s="131">
        <f>HLOOKUP($W$9,'ROR-Model'!$Q$10:$U$1263,Y609)</f>
        <v>0</v>
      </c>
      <c r="X609" s="118"/>
      <c r="Y609" s="577">
        <f t="shared" si="28"/>
        <v>600</v>
      </c>
      <c r="AA609" s="131">
        <v>0</v>
      </c>
      <c r="AB609" s="116">
        <f t="shared" si="29"/>
        <v>0</v>
      </c>
    </row>
    <row r="610" spans="1:28">
      <c r="A610" s="136"/>
      <c r="B610" s="102"/>
      <c r="C610" s="102"/>
      <c r="D610" s="102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272"/>
      <c r="P610" s="207"/>
      <c r="Q610" s="116"/>
      <c r="R610" s="116"/>
      <c r="S610" s="240"/>
      <c r="T610" s="116"/>
      <c r="U610" s="116"/>
      <c r="V610" s="273"/>
      <c r="W610" s="116"/>
      <c r="X610" s="118"/>
      <c r="Y610" s="577">
        <f t="shared" si="28"/>
        <v>601</v>
      </c>
      <c r="AA610" s="116"/>
      <c r="AB610" s="116">
        <f t="shared" si="29"/>
        <v>0</v>
      </c>
    </row>
    <row r="611" spans="1:28">
      <c r="A611" s="136" t="s">
        <v>708</v>
      </c>
      <c r="B611" s="102" t="s">
        <v>364</v>
      </c>
      <c r="C611" s="102"/>
      <c r="D611" s="102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272"/>
      <c r="P611" s="207"/>
      <c r="Q611" s="116"/>
      <c r="R611" s="116"/>
      <c r="S611" s="240"/>
      <c r="T611" s="116"/>
      <c r="U611" s="116"/>
      <c r="V611" s="273"/>
      <c r="W611" s="116"/>
      <c r="X611" s="118"/>
      <c r="Y611" s="577">
        <f t="shared" si="28"/>
        <v>602</v>
      </c>
      <c r="AA611" s="116"/>
      <c r="AB611" s="116">
        <f t="shared" si="29"/>
        <v>0</v>
      </c>
    </row>
    <row r="612" spans="1:28">
      <c r="A612" s="116"/>
      <c r="B612" s="102"/>
      <c r="C612" s="102" t="s">
        <v>14</v>
      </c>
      <c r="D612" s="102"/>
      <c r="E612" s="116" t="s">
        <v>559</v>
      </c>
      <c r="F612" s="116">
        <f>EXPENSES!G108</f>
        <v>0</v>
      </c>
      <c r="G612" s="116">
        <f>+Adjustments!AW611</f>
        <v>0</v>
      </c>
      <c r="H612" s="116"/>
      <c r="I612" s="116">
        <f>SUM($F$612:$H$612)</f>
        <v>0</v>
      </c>
      <c r="J612" s="116"/>
      <c r="K612" s="116"/>
      <c r="L612" s="116" t="s">
        <v>14</v>
      </c>
      <c r="M612" s="116">
        <f>VLOOKUP($L612,$L$2:$N$7,2,FALSE)*I612</f>
        <v>0</v>
      </c>
      <c r="N612" s="116">
        <f>VLOOKUP($L612,$L$2:$N$7,3,FALSE)*I612</f>
        <v>0</v>
      </c>
      <c r="O612" s="272"/>
      <c r="P612" s="207" t="s">
        <v>559</v>
      </c>
      <c r="Q612" s="116">
        <f>IF(P612="G",M612,IF(P612="PT",0,ERR))</f>
        <v>0</v>
      </c>
      <c r="R612" s="116">
        <f>IF(P612="PT",M612,IF(P612="G",0,ERR))</f>
        <v>0</v>
      </c>
      <c r="S612" s="240" t="s">
        <v>559</v>
      </c>
      <c r="T612" s="116">
        <f>IF(S612="G",N612,IF(S612="PT",0,ERR))</f>
        <v>0</v>
      </c>
      <c r="U612" s="116">
        <f>IF(S612="PT",N612,IF(S612="G",0,ERR))</f>
        <v>0</v>
      </c>
      <c r="V612" s="273"/>
      <c r="W612" s="116">
        <f>HLOOKUP($W$9,'ROR-Model'!$Q$10:$U$1263,Y612)</f>
        <v>0</v>
      </c>
      <c r="X612" s="118"/>
      <c r="Y612" s="577">
        <f t="shared" si="28"/>
        <v>603</v>
      </c>
      <c r="AA612" s="116">
        <v>0</v>
      </c>
      <c r="AB612" s="116">
        <f t="shared" si="29"/>
        <v>0</v>
      </c>
    </row>
    <row r="613" spans="1:28">
      <c r="A613" s="116"/>
      <c r="B613" s="102"/>
      <c r="C613" s="102" t="s">
        <v>24</v>
      </c>
      <c r="D613" s="102"/>
      <c r="E613" s="116" t="s">
        <v>560</v>
      </c>
      <c r="F613" s="116">
        <f>EXPENSES!G109</f>
        <v>0</v>
      </c>
      <c r="G613" s="116">
        <f>+Adjustments!AW612</f>
        <v>0</v>
      </c>
      <c r="H613" s="116"/>
      <c r="I613" s="116">
        <f>SUM($F$613:$H$613)</f>
        <v>0</v>
      </c>
      <c r="J613" s="116"/>
      <c r="K613" s="116"/>
      <c r="L613" s="116" t="s">
        <v>24</v>
      </c>
      <c r="M613" s="116">
        <f>VLOOKUP($L613,$L$2:$N$7,2,FALSE)*I613</f>
        <v>0</v>
      </c>
      <c r="N613" s="116">
        <f>VLOOKUP($L613,$L$2:$N$7,3,FALSE)*I613</f>
        <v>0</v>
      </c>
      <c r="O613" s="272"/>
      <c r="P613" s="118" t="s">
        <v>559</v>
      </c>
      <c r="Q613" s="116">
        <f>IF(P613="G",M613,IF(P613="PT",0,ERR))</f>
        <v>0</v>
      </c>
      <c r="R613" s="116">
        <f>IF(P613="PT",M613,IF(P613="G",0,ERR))</f>
        <v>0</v>
      </c>
      <c r="S613" s="240" t="s">
        <v>559</v>
      </c>
      <c r="T613" s="116">
        <f>IF(S613="G",N613,IF(S613="PT",0,ERR))</f>
        <v>0</v>
      </c>
      <c r="U613" s="116">
        <f>IF(S613="PT",N613,IF(S613="G",0,ERR))</f>
        <v>0</v>
      </c>
      <c r="V613" s="273"/>
      <c r="W613" s="116">
        <f>HLOOKUP($W$9,'ROR-Model'!$Q$10:$U$1263,Y613)</f>
        <v>0</v>
      </c>
      <c r="X613" s="118"/>
      <c r="Y613" s="577">
        <f t="shared" si="28"/>
        <v>604</v>
      </c>
      <c r="AA613" s="116">
        <v>0</v>
      </c>
      <c r="AB613" s="116">
        <f t="shared" si="29"/>
        <v>0</v>
      </c>
    </row>
    <row r="614" spans="1:28">
      <c r="A614" s="136"/>
      <c r="B614" s="102"/>
      <c r="C614" s="102" t="s">
        <v>170</v>
      </c>
      <c r="D614" s="102"/>
      <c r="E614" s="131"/>
      <c r="F614" s="131">
        <f>SUM(F612:F613)</f>
        <v>0</v>
      </c>
      <c r="G614" s="131">
        <f>SUM(G612:G613)</f>
        <v>0</v>
      </c>
      <c r="H614" s="131">
        <f>SUM(H612:H613)</f>
        <v>0</v>
      </c>
      <c r="I614" s="131">
        <f>SUM(I612:I613)</f>
        <v>0</v>
      </c>
      <c r="J614" s="116"/>
      <c r="K614" s="116"/>
      <c r="L614" s="131"/>
      <c r="M614" s="131">
        <f>SUM(M612:M613)</f>
        <v>0</v>
      </c>
      <c r="N614" s="131">
        <f>SUM(N612:N613)</f>
        <v>0</v>
      </c>
      <c r="O614" s="272"/>
      <c r="P614" s="207"/>
      <c r="Q614" s="131">
        <f>SUM(Q612:Q613)</f>
        <v>0</v>
      </c>
      <c r="R614" s="131">
        <f>SUM(R612:R613)</f>
        <v>0</v>
      </c>
      <c r="S614" s="257"/>
      <c r="T614" s="131">
        <f>SUM(T612:T613)</f>
        <v>0</v>
      </c>
      <c r="U614" s="131">
        <f>SUM(U612:U613)</f>
        <v>0</v>
      </c>
      <c r="V614" s="273"/>
      <c r="W614" s="131">
        <f>HLOOKUP($W$9,'ROR-Model'!$Q$10:$U$1263,Y614)</f>
        <v>0</v>
      </c>
      <c r="X614" s="118"/>
      <c r="Y614" s="577">
        <f t="shared" si="28"/>
        <v>605</v>
      </c>
      <c r="AA614" s="131">
        <v>0</v>
      </c>
      <c r="AB614" s="116">
        <f t="shared" si="29"/>
        <v>0</v>
      </c>
    </row>
    <row r="615" spans="1:28">
      <c r="A615" s="136"/>
      <c r="B615" s="102"/>
      <c r="C615" s="102"/>
      <c r="D615" s="102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272"/>
      <c r="P615" s="207"/>
      <c r="Q615" s="116"/>
      <c r="R615" s="116"/>
      <c r="S615" s="240"/>
      <c r="T615" s="116"/>
      <c r="U615" s="116"/>
      <c r="V615" s="273"/>
      <c r="W615" s="116"/>
      <c r="X615" s="118"/>
      <c r="Y615" s="577">
        <f t="shared" si="28"/>
        <v>606</v>
      </c>
      <c r="AA615" s="116"/>
      <c r="AB615" s="116">
        <f t="shared" si="29"/>
        <v>0</v>
      </c>
    </row>
    <row r="616" spans="1:28">
      <c r="A616" s="136">
        <v>858</v>
      </c>
      <c r="B616" s="102" t="s">
        <v>365</v>
      </c>
      <c r="C616" s="102"/>
      <c r="D616" s="102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272"/>
      <c r="P616" s="207"/>
      <c r="Q616" s="116"/>
      <c r="R616" s="116"/>
      <c r="S616" s="240"/>
      <c r="T616" s="116"/>
      <c r="U616" s="116"/>
      <c r="V616" s="273"/>
      <c r="W616" s="116"/>
      <c r="X616" s="118"/>
      <c r="Y616" s="577">
        <f t="shared" si="28"/>
        <v>607</v>
      </c>
      <c r="AA616" s="116"/>
      <c r="AB616" s="116">
        <f t="shared" si="29"/>
        <v>0</v>
      </c>
    </row>
    <row r="617" spans="1:28">
      <c r="A617" s="136"/>
      <c r="B617" s="102"/>
      <c r="C617" s="102" t="s">
        <v>14</v>
      </c>
      <c r="D617" s="102"/>
      <c r="E617" s="116" t="s">
        <v>559</v>
      </c>
      <c r="F617" s="116">
        <f>EXPENSES!G113</f>
        <v>66406271.801191397</v>
      </c>
      <c r="G617" s="116">
        <f>+Adjustments!AW616</f>
        <v>0</v>
      </c>
      <c r="H617" s="116"/>
      <c r="I617" s="116">
        <f>SUM($F$617:$H$617)</f>
        <v>66406271.801191397</v>
      </c>
      <c r="J617" s="116"/>
      <c r="K617" s="116"/>
      <c r="L617" s="116" t="s">
        <v>14</v>
      </c>
      <c r="M617" s="116">
        <f>VLOOKUP($L617,$L$2:$N$7,2,FALSE)*I617</f>
        <v>66406271.801191397</v>
      </c>
      <c r="N617" s="116">
        <f>VLOOKUP($L617,$L$2:$N$7,3,FALSE)*I617</f>
        <v>0</v>
      </c>
      <c r="O617" s="272"/>
      <c r="P617" s="207" t="s">
        <v>559</v>
      </c>
      <c r="Q617" s="116">
        <f>IF(P617="G",M617,IF(P617="PT",0,ERR))</f>
        <v>0</v>
      </c>
      <c r="R617" s="116">
        <f>IF(P617="PT",M617,IF(P617="G",0,ERR))</f>
        <v>66406271.801191397</v>
      </c>
      <c r="S617" s="240" t="s">
        <v>559</v>
      </c>
      <c r="T617" s="116">
        <f>IF(S617="G",N617,IF(S617="PT",0,ERR))</f>
        <v>0</v>
      </c>
      <c r="U617" s="116">
        <f>IF(S617="PT",N617,IF(S617="G",0,ERR))</f>
        <v>0</v>
      </c>
      <c r="V617" s="273"/>
      <c r="W617" s="116">
        <f>HLOOKUP($W$9,'ROR-Model'!$Q$10:$U$1263,Y617)</f>
        <v>0</v>
      </c>
      <c r="X617" s="118"/>
      <c r="Y617" s="577">
        <f t="shared" si="28"/>
        <v>608</v>
      </c>
      <c r="AA617" s="116">
        <v>0</v>
      </c>
      <c r="AB617" s="116">
        <f t="shared" si="29"/>
        <v>0</v>
      </c>
    </row>
    <row r="618" spans="1:28">
      <c r="A618" s="136"/>
      <c r="B618" s="102"/>
      <c r="C618" s="102" t="s">
        <v>24</v>
      </c>
      <c r="D618" s="102"/>
      <c r="E618" s="116" t="s">
        <v>559</v>
      </c>
      <c r="F618" s="116">
        <f>EXPENSES!G114</f>
        <v>2404857.5888085989</v>
      </c>
      <c r="G618" s="116">
        <f>+Adjustments!AW617</f>
        <v>0</v>
      </c>
      <c r="H618" s="116"/>
      <c r="I618" s="116">
        <f>SUM($F$618:$H$618)</f>
        <v>2404857.5888085989</v>
      </c>
      <c r="J618" s="116"/>
      <c r="K618" s="116"/>
      <c r="L618" s="116" t="s">
        <v>24</v>
      </c>
      <c r="M618" s="116">
        <f>VLOOKUP($L618,$L$2:$N$7,2,FALSE)*I618</f>
        <v>0</v>
      </c>
      <c r="N618" s="116">
        <f>VLOOKUP($L618,$L$2:$N$7,3,FALSE)*I618</f>
        <v>2404857.5888085989</v>
      </c>
      <c r="O618" s="272"/>
      <c r="P618" s="207" t="s">
        <v>559</v>
      </c>
      <c r="Q618" s="116">
        <f>IF(P618="G",M618,IF(P618="PT",0,ERR))</f>
        <v>0</v>
      </c>
      <c r="R618" s="116">
        <f>IF(P618="PT",M618,IF(P618="G",0,ERR))</f>
        <v>0</v>
      </c>
      <c r="S618" s="240" t="s">
        <v>559</v>
      </c>
      <c r="T618" s="116">
        <f>IF(S618="G",N618,IF(S618="PT",0,ERR))</f>
        <v>0</v>
      </c>
      <c r="U618" s="116">
        <f>IF(S618="PT",N618,IF(S618="G",0,ERR))</f>
        <v>2404857.5888085989</v>
      </c>
      <c r="V618" s="273"/>
      <c r="W618" s="116">
        <f>HLOOKUP($W$9,'ROR-Model'!$Q$10:$U$1263,Y618)</f>
        <v>0</v>
      </c>
      <c r="X618" s="118"/>
      <c r="Y618" s="577">
        <f t="shared" si="28"/>
        <v>609</v>
      </c>
      <c r="AA618" s="116">
        <v>0</v>
      </c>
      <c r="AB618" s="116">
        <f t="shared" si="29"/>
        <v>0</v>
      </c>
    </row>
    <row r="619" spans="1:28">
      <c r="A619" s="136"/>
      <c r="B619" s="102"/>
      <c r="C619" s="102" t="s">
        <v>170</v>
      </c>
      <c r="D619" s="102"/>
      <c r="E619" s="131"/>
      <c r="F619" s="131">
        <f>SUM(F617:F618)</f>
        <v>68811129.390000001</v>
      </c>
      <c r="G619" s="131">
        <f>SUM(G617:G618)</f>
        <v>0</v>
      </c>
      <c r="H619" s="131">
        <f>SUM(H617:H618)</f>
        <v>0</v>
      </c>
      <c r="I619" s="131">
        <f>SUM(I617:I618)</f>
        <v>68811129.390000001</v>
      </c>
      <c r="J619" s="116"/>
      <c r="K619" s="116"/>
      <c r="L619" s="131"/>
      <c r="M619" s="131">
        <f>SUM(M617:M618)</f>
        <v>66406271.801191397</v>
      </c>
      <c r="N619" s="131">
        <f>SUM(N617:N618)</f>
        <v>2404857.5888085989</v>
      </c>
      <c r="O619" s="272"/>
      <c r="P619" s="207"/>
      <c r="Q619" s="131">
        <f>SUM(Q617:Q618)</f>
        <v>0</v>
      </c>
      <c r="R619" s="131">
        <f>SUM(R617:R618)</f>
        <v>66406271.801191397</v>
      </c>
      <c r="S619" s="257"/>
      <c r="T619" s="131">
        <f>SUM(T617:T618)</f>
        <v>0</v>
      </c>
      <c r="U619" s="131">
        <f>SUM(U617:U618)</f>
        <v>2404857.5888085989</v>
      </c>
      <c r="V619" s="273"/>
      <c r="W619" s="131">
        <f>HLOOKUP($W$9,'ROR-Model'!$Q$10:$U$1263,Y619)</f>
        <v>0</v>
      </c>
      <c r="X619" s="118"/>
      <c r="Y619" s="577">
        <f t="shared" si="28"/>
        <v>610</v>
      </c>
      <c r="AA619" s="131">
        <v>0</v>
      </c>
      <c r="AB619" s="116">
        <f t="shared" si="29"/>
        <v>0</v>
      </c>
    </row>
    <row r="620" spans="1:28">
      <c r="A620" s="136"/>
      <c r="B620" s="102"/>
      <c r="C620" s="102"/>
      <c r="D620" s="102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272"/>
      <c r="P620" s="207"/>
      <c r="Q620" s="116"/>
      <c r="R620" s="116"/>
      <c r="S620" s="240"/>
      <c r="T620" s="116"/>
      <c r="U620" s="116"/>
      <c r="V620" s="273"/>
      <c r="W620" s="116"/>
      <c r="X620" s="118"/>
      <c r="Y620" s="577">
        <f t="shared" si="28"/>
        <v>611</v>
      </c>
      <c r="AA620" s="116"/>
      <c r="AB620" s="116">
        <f t="shared" si="29"/>
        <v>0</v>
      </c>
    </row>
    <row r="621" spans="1:28">
      <c r="A621" s="136">
        <v>858</v>
      </c>
      <c r="B621" s="102" t="s">
        <v>709</v>
      </c>
      <c r="C621" s="102"/>
      <c r="D621" s="102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272"/>
      <c r="P621" s="207"/>
      <c r="Q621" s="116"/>
      <c r="R621" s="116"/>
      <c r="S621" s="240"/>
      <c r="T621" s="116"/>
      <c r="U621" s="116"/>
      <c r="V621" s="273"/>
      <c r="W621" s="116"/>
      <c r="X621" s="118"/>
      <c r="Y621" s="577">
        <f t="shared" si="28"/>
        <v>612</v>
      </c>
      <c r="AA621" s="116"/>
      <c r="AB621" s="116">
        <f t="shared" si="29"/>
        <v>0</v>
      </c>
    </row>
    <row r="622" spans="1:28">
      <c r="A622" s="227"/>
      <c r="B622" s="102"/>
      <c r="C622" s="102" t="s">
        <v>14</v>
      </c>
      <c r="D622" s="102"/>
      <c r="E622" s="116" t="s">
        <v>559</v>
      </c>
      <c r="F622" s="116">
        <f>EXPENSES!G118</f>
        <v>0</v>
      </c>
      <c r="G622" s="116">
        <f>+Adjustments!AW621</f>
        <v>0</v>
      </c>
      <c r="H622" s="116"/>
      <c r="I622" s="116">
        <f>SUM($F$622:$H$622)</f>
        <v>0</v>
      </c>
      <c r="J622" s="116"/>
      <c r="K622" s="116"/>
      <c r="L622" s="116" t="s">
        <v>14</v>
      </c>
      <c r="M622" s="116">
        <f>VLOOKUP($L622,$L$2:$N$7,2,FALSE)*I622</f>
        <v>0</v>
      </c>
      <c r="N622" s="116">
        <f>VLOOKUP($L622,$L$2:$N$7,3,FALSE)*I622</f>
        <v>0</v>
      </c>
      <c r="O622" s="272"/>
      <c r="P622" s="207" t="s">
        <v>559</v>
      </c>
      <c r="Q622" s="116">
        <f>IF(P622="G",M622,IF(P622="PT",0,ERR))</f>
        <v>0</v>
      </c>
      <c r="R622" s="116">
        <f>IF(P622="PT",M622,IF(P622="G",0,ERR))</f>
        <v>0</v>
      </c>
      <c r="S622" s="240" t="s">
        <v>559</v>
      </c>
      <c r="T622" s="116">
        <f>IF(S622="G",N622,IF(S622="PT",0,ERR))</f>
        <v>0</v>
      </c>
      <c r="U622" s="116">
        <f>IF(S622="PT",N622,IF(S622="G",0,ERR))</f>
        <v>0</v>
      </c>
      <c r="V622" s="273"/>
      <c r="W622" s="116">
        <f>HLOOKUP($W$9,'ROR-Model'!$Q$10:$U$1263,Y622)</f>
        <v>0</v>
      </c>
      <c r="X622" s="118"/>
      <c r="Y622" s="577">
        <f t="shared" si="28"/>
        <v>613</v>
      </c>
      <c r="AA622" s="116">
        <v>0</v>
      </c>
      <c r="AB622" s="116">
        <f t="shared" si="29"/>
        <v>0</v>
      </c>
    </row>
    <row r="623" spans="1:28">
      <c r="A623" s="227"/>
      <c r="B623" s="102"/>
      <c r="C623" s="102" t="s">
        <v>24</v>
      </c>
      <c r="D623" s="102"/>
      <c r="E623" s="116" t="s">
        <v>559</v>
      </c>
      <c r="F623" s="116">
        <f>EXPENSES!G119</f>
        <v>0</v>
      </c>
      <c r="G623" s="116">
        <f>+Adjustments!AW622</f>
        <v>0</v>
      </c>
      <c r="H623" s="116"/>
      <c r="I623" s="116">
        <f>SUM($F$623:$H$623)</f>
        <v>0</v>
      </c>
      <c r="J623" s="116"/>
      <c r="K623" s="116"/>
      <c r="L623" s="116" t="s">
        <v>24</v>
      </c>
      <c r="M623" s="116">
        <f>VLOOKUP($L623,$L$2:$N$7,2,FALSE)*I623</f>
        <v>0</v>
      </c>
      <c r="N623" s="116">
        <f>VLOOKUP($L623,$L$2:$N$7,3,FALSE)*I623</f>
        <v>0</v>
      </c>
      <c r="O623" s="272"/>
      <c r="P623" s="207" t="s">
        <v>559</v>
      </c>
      <c r="Q623" s="116">
        <f>IF(P623="G",M623,IF(P623="PT",0,ERR))</f>
        <v>0</v>
      </c>
      <c r="R623" s="116">
        <f>IF(P623="PT",M623,IF(P623="G",0,ERR))</f>
        <v>0</v>
      </c>
      <c r="S623" s="240" t="s">
        <v>559</v>
      </c>
      <c r="T623" s="116">
        <f>IF(S623="G",N623,IF(S623="PT",0,ERR))</f>
        <v>0</v>
      </c>
      <c r="U623" s="116">
        <f>IF(S623="PT",N623,IF(S623="G",0,ERR))</f>
        <v>0</v>
      </c>
      <c r="V623" s="273"/>
      <c r="W623" s="116">
        <f>HLOOKUP($W$9,'ROR-Model'!$Q$10:$U$1263,Y623)</f>
        <v>0</v>
      </c>
      <c r="X623" s="118"/>
      <c r="Y623" s="577">
        <f t="shared" si="28"/>
        <v>614</v>
      </c>
      <c r="AA623" s="116">
        <v>0</v>
      </c>
      <c r="AB623" s="116">
        <f t="shared" si="29"/>
        <v>0</v>
      </c>
    </row>
    <row r="624" spans="1:28">
      <c r="A624" s="227"/>
      <c r="B624" s="102"/>
      <c r="C624" s="102" t="s">
        <v>170</v>
      </c>
      <c r="D624" s="102"/>
      <c r="E624" s="131"/>
      <c r="F624" s="131">
        <f>SUM(F622:F623)</f>
        <v>0</v>
      </c>
      <c r="G624" s="131">
        <f>SUM(G622:G623)</f>
        <v>0</v>
      </c>
      <c r="H624" s="131">
        <f>SUM(H622:H623)</f>
        <v>0</v>
      </c>
      <c r="I624" s="131">
        <f>SUM(I622:I623)</f>
        <v>0</v>
      </c>
      <c r="J624" s="116"/>
      <c r="K624" s="116"/>
      <c r="L624" s="131"/>
      <c r="M624" s="131">
        <f>SUM(M622:M623)</f>
        <v>0</v>
      </c>
      <c r="N624" s="131">
        <f>SUM(N622:N623)</f>
        <v>0</v>
      </c>
      <c r="O624" s="272"/>
      <c r="P624" s="257"/>
      <c r="Q624" s="131">
        <f>SUM(Q622:Q623)</f>
        <v>0</v>
      </c>
      <c r="R624" s="131">
        <f>SUM(R622:R623)</f>
        <v>0</v>
      </c>
      <c r="S624" s="257"/>
      <c r="T624" s="131">
        <f>SUM(T622:T623)</f>
        <v>0</v>
      </c>
      <c r="U624" s="131">
        <f>SUM(U622:U623)</f>
        <v>0</v>
      </c>
      <c r="V624" s="273"/>
      <c r="W624" s="131">
        <f>HLOOKUP($W$9,'ROR-Model'!$Q$10:$U$1263,Y624)</f>
        <v>0</v>
      </c>
      <c r="X624" s="118"/>
      <c r="Y624" s="577">
        <f t="shared" si="28"/>
        <v>615</v>
      </c>
      <c r="AA624" s="131">
        <v>0</v>
      </c>
      <c r="AB624" s="116">
        <f t="shared" si="29"/>
        <v>0</v>
      </c>
    </row>
    <row r="625" spans="1:28">
      <c r="A625" s="227"/>
      <c r="B625" s="102"/>
      <c r="C625" s="102"/>
      <c r="D625" s="102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272"/>
      <c r="P625" s="240"/>
      <c r="Q625" s="116"/>
      <c r="R625" s="116"/>
      <c r="S625" s="240"/>
      <c r="T625" s="116"/>
      <c r="U625" s="116"/>
      <c r="V625" s="273"/>
      <c r="W625" s="116"/>
      <c r="X625" s="118"/>
      <c r="Y625" s="577">
        <f t="shared" si="28"/>
        <v>616</v>
      </c>
      <c r="AA625" s="116"/>
      <c r="AB625" s="116">
        <f t="shared" si="29"/>
        <v>0</v>
      </c>
    </row>
    <row r="626" spans="1:28">
      <c r="A626" s="227"/>
      <c r="B626" s="119" t="s">
        <v>289</v>
      </c>
      <c r="C626" s="102"/>
      <c r="D626" s="102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272"/>
      <c r="P626" s="240"/>
      <c r="Q626" s="116"/>
      <c r="R626" s="116"/>
      <c r="S626" s="240"/>
      <c r="T626" s="116"/>
      <c r="U626" s="116"/>
      <c r="V626" s="273"/>
      <c r="W626" s="116"/>
      <c r="X626" s="118"/>
      <c r="Y626" s="577">
        <f t="shared" si="28"/>
        <v>617</v>
      </c>
      <c r="AA626" s="116"/>
      <c r="AB626" s="116">
        <f t="shared" si="29"/>
        <v>0</v>
      </c>
    </row>
    <row r="627" spans="1:28">
      <c r="A627" s="227"/>
      <c r="B627" s="102"/>
      <c r="C627" s="102" t="s">
        <v>287</v>
      </c>
      <c r="D627" s="102"/>
      <c r="E627" s="116" t="s">
        <v>560</v>
      </c>
      <c r="F627" s="116">
        <v>0</v>
      </c>
      <c r="G627" s="116">
        <f>+Adjustments!AW626</f>
        <v>0</v>
      </c>
      <c r="H627" s="116"/>
      <c r="I627" s="116">
        <f>SUM($F$627:$H$627)</f>
        <v>0</v>
      </c>
      <c r="J627" s="116"/>
      <c r="K627" s="116"/>
      <c r="L627" s="116" t="s">
        <v>14</v>
      </c>
      <c r="M627" s="116">
        <f>VLOOKUP($L627,$L$2:$N$7,2,FALSE)*I627</f>
        <v>0</v>
      </c>
      <c r="N627" s="116">
        <f>VLOOKUP($L627,$L$2:$N$7,3,FALSE)*I627</f>
        <v>0</v>
      </c>
      <c r="O627" s="272"/>
      <c r="P627" s="207" t="s">
        <v>560</v>
      </c>
      <c r="Q627" s="116">
        <f>IF(P627="G",M627,IF(P627="PT",0,ERR))</f>
        <v>0</v>
      </c>
      <c r="R627" s="116">
        <f>IF(P627="PT",M627,IF(P627="G",0,ERR))</f>
        <v>0</v>
      </c>
      <c r="S627" s="207" t="s">
        <v>560</v>
      </c>
      <c r="T627" s="116">
        <f>IF(S627="G",N627,IF(S627="PT",0,ERR))</f>
        <v>0</v>
      </c>
      <c r="U627" s="116">
        <f>IF(S627="PT",N627,IF(S627="G",0,ERR))</f>
        <v>0</v>
      </c>
      <c r="V627" s="273"/>
      <c r="W627" s="116">
        <f>HLOOKUP($W$9,'ROR-Model'!$Q$10:$U$1263,Y627)</f>
        <v>0</v>
      </c>
      <c r="X627" s="118"/>
      <c r="Y627" s="577">
        <f t="shared" si="28"/>
        <v>618</v>
      </c>
      <c r="AA627" s="116">
        <v>0</v>
      </c>
      <c r="AB627" s="116">
        <f t="shared" si="29"/>
        <v>0</v>
      </c>
    </row>
    <row r="628" spans="1:28">
      <c r="A628" s="227"/>
      <c r="B628" s="102"/>
      <c r="C628" s="102" t="s">
        <v>288</v>
      </c>
      <c r="D628" s="102"/>
      <c r="E628" s="116" t="s">
        <v>560</v>
      </c>
      <c r="F628" s="116">
        <v>0</v>
      </c>
      <c r="G628" s="116">
        <f>+Adjustments!AW627</f>
        <v>0</v>
      </c>
      <c r="H628" s="116"/>
      <c r="I628" s="116">
        <f>SUM($F$628:$H$628)</f>
        <v>0</v>
      </c>
      <c r="J628" s="116"/>
      <c r="K628" s="116"/>
      <c r="L628" s="116" t="s">
        <v>24</v>
      </c>
      <c r="M628" s="116">
        <f>VLOOKUP($L628,$L$2:$N$7,2,FALSE)*I628</f>
        <v>0</v>
      </c>
      <c r="N628" s="116">
        <f>VLOOKUP($L628,$L$2:$N$7,3,FALSE)*I628</f>
        <v>0</v>
      </c>
      <c r="O628" s="272"/>
      <c r="P628" s="207" t="s">
        <v>560</v>
      </c>
      <c r="Q628" s="116">
        <f>IF(P628="G",M628,IF(P628="PT",0,ERR))</f>
        <v>0</v>
      </c>
      <c r="R628" s="116">
        <f>IF(P628="PT",M628,IF(P628="G",0,ERR))</f>
        <v>0</v>
      </c>
      <c r="S628" s="207" t="s">
        <v>560</v>
      </c>
      <c r="T628" s="116">
        <f>IF(S628="G",N628,IF(S628="PT",0,ERR))</f>
        <v>0</v>
      </c>
      <c r="U628" s="116">
        <f>IF(S628="PT",N628,IF(S628="G",0,ERR))</f>
        <v>0</v>
      </c>
      <c r="V628" s="273"/>
      <c r="W628" s="116">
        <f>HLOOKUP($W$9,'ROR-Model'!$Q$10:$U$1263,Y628)</f>
        <v>0</v>
      </c>
      <c r="X628" s="118"/>
      <c r="Y628" s="577">
        <f t="shared" si="28"/>
        <v>619</v>
      </c>
      <c r="AA628" s="116">
        <v>0</v>
      </c>
      <c r="AB628" s="116">
        <f t="shared" si="29"/>
        <v>0</v>
      </c>
    </row>
    <row r="629" spans="1:28">
      <c r="A629" s="227"/>
      <c r="B629" s="102"/>
      <c r="C629" s="102" t="s">
        <v>170</v>
      </c>
      <c r="D629" s="102"/>
      <c r="E629" s="131"/>
      <c r="F629" s="131">
        <f>SUM(F627:F628)</f>
        <v>0</v>
      </c>
      <c r="G629" s="131">
        <f>SUM(G627:G628)</f>
        <v>0</v>
      </c>
      <c r="H629" s="131">
        <f>SUM(H627:H628)</f>
        <v>0</v>
      </c>
      <c r="I629" s="131">
        <f>SUM(I627:I628)</f>
        <v>0</v>
      </c>
      <c r="J629" s="116"/>
      <c r="K629" s="116"/>
      <c r="L629" s="131"/>
      <c r="M629" s="131">
        <f>SUM(M627:M628)</f>
        <v>0</v>
      </c>
      <c r="N629" s="131">
        <f>SUM(N627:N628)</f>
        <v>0</v>
      </c>
      <c r="O629" s="272"/>
      <c r="P629" s="257"/>
      <c r="Q629" s="131">
        <f>SUM(Q627:Q628)</f>
        <v>0</v>
      </c>
      <c r="R629" s="131">
        <f>SUM(R627:R628)</f>
        <v>0</v>
      </c>
      <c r="S629" s="257"/>
      <c r="T629" s="131">
        <f>SUM(T627:T628)</f>
        <v>0</v>
      </c>
      <c r="U629" s="131">
        <f>SUM(U627:U628)</f>
        <v>0</v>
      </c>
      <c r="V629" s="273"/>
      <c r="W629" s="131">
        <f>HLOOKUP($W$9,'ROR-Model'!$Q$10:$U$1263,Y629)</f>
        <v>0</v>
      </c>
      <c r="X629" s="118"/>
      <c r="Y629" s="577">
        <f t="shared" si="28"/>
        <v>620</v>
      </c>
      <c r="AA629" s="131">
        <v>0</v>
      </c>
      <c r="AB629" s="116">
        <f t="shared" si="29"/>
        <v>0</v>
      </c>
    </row>
    <row r="630" spans="1:28" ht="13.5" thickBot="1">
      <c r="A630" s="227"/>
      <c r="B630" s="102"/>
      <c r="C630" s="102"/>
      <c r="D630" s="102"/>
      <c r="E630" s="235"/>
      <c r="F630" s="235"/>
      <c r="G630" s="235"/>
      <c r="H630" s="235"/>
      <c r="I630" s="235"/>
      <c r="J630" s="116"/>
      <c r="K630" s="116"/>
      <c r="L630" s="235"/>
      <c r="M630" s="235"/>
      <c r="N630" s="235"/>
      <c r="O630" s="272"/>
      <c r="P630" s="613"/>
      <c r="Q630" s="235"/>
      <c r="R630" s="235"/>
      <c r="S630" s="613"/>
      <c r="T630" s="235"/>
      <c r="U630" s="235"/>
      <c r="V630" s="273"/>
      <c r="W630" s="235"/>
      <c r="X630" s="118"/>
      <c r="Y630" s="577">
        <f t="shared" si="28"/>
        <v>621</v>
      </c>
      <c r="AA630" s="235"/>
      <c r="AB630" s="116">
        <f t="shared" si="29"/>
        <v>0</v>
      </c>
    </row>
    <row r="631" spans="1:28" ht="13.5" thickTop="1">
      <c r="A631" s="59" t="s">
        <v>561</v>
      </c>
      <c r="B631" s="106"/>
      <c r="C631" s="106"/>
      <c r="D631" s="102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272"/>
      <c r="P631" s="240"/>
      <c r="Q631" s="116"/>
      <c r="R631" s="116"/>
      <c r="S631" s="240"/>
      <c r="T631" s="116"/>
      <c r="U631" s="116"/>
      <c r="V631" s="273"/>
      <c r="W631" s="116"/>
      <c r="X631" s="118"/>
      <c r="Y631" s="577">
        <f t="shared" si="28"/>
        <v>622</v>
      </c>
      <c r="AA631" s="116"/>
      <c r="AB631" s="116">
        <f t="shared" si="29"/>
        <v>0</v>
      </c>
    </row>
    <row r="632" spans="1:28">
      <c r="B632" s="106" t="s">
        <v>696</v>
      </c>
      <c r="C632" s="106"/>
      <c r="D632" s="102"/>
      <c r="E632" s="116"/>
      <c r="F632" s="116">
        <f>F537+F629</f>
        <v>0</v>
      </c>
      <c r="G632" s="116">
        <f>G537+G629</f>
        <v>0</v>
      </c>
      <c r="H632" s="116">
        <f>H537+H629</f>
        <v>0</v>
      </c>
      <c r="I632" s="116">
        <f>I537+I629</f>
        <v>0</v>
      </c>
      <c r="J632" s="116"/>
      <c r="K632" s="116"/>
      <c r="L632" s="116"/>
      <c r="M632" s="116">
        <f>M537+M629</f>
        <v>0</v>
      </c>
      <c r="N632" s="116">
        <f>N537+N629</f>
        <v>0</v>
      </c>
      <c r="O632" s="272"/>
      <c r="P632" s="240"/>
      <c r="Q632" s="116">
        <f>Q537+Q629</f>
        <v>0</v>
      </c>
      <c r="R632" s="116">
        <f>R537+R629</f>
        <v>0</v>
      </c>
      <c r="S632" s="116"/>
      <c r="T632" s="116">
        <f>T537+T629</f>
        <v>0</v>
      </c>
      <c r="U632" s="116">
        <f>U537+U629</f>
        <v>0</v>
      </c>
      <c r="V632" s="273"/>
      <c r="W632" s="116">
        <f>HLOOKUP($W$9,'ROR-Model'!$Q$10:$U$1263,Y632)</f>
        <v>0</v>
      </c>
      <c r="X632" s="118"/>
      <c r="Y632" s="577">
        <f t="shared" si="28"/>
        <v>623</v>
      </c>
      <c r="AA632" s="116">
        <v>0</v>
      </c>
      <c r="AB632" s="116">
        <f t="shared" si="29"/>
        <v>0</v>
      </c>
    </row>
    <row r="633" spans="1:28">
      <c r="B633" s="106" t="s">
        <v>697</v>
      </c>
      <c r="C633" s="106"/>
      <c r="D633" s="102"/>
      <c r="E633" s="116"/>
      <c r="F633" s="116">
        <f>F522+F527+F532+F542+F547+F552+F557+F562+F567+F572+F577+F582+F587+F592+F597+F602+F607+F612+F617+F622</f>
        <v>536824955.34828264</v>
      </c>
      <c r="G633" s="116">
        <f>G522+G527+G532+G542+G547+G552+G557+G562+G567+G572+G577+G582+G587+G592+G597+G602+G607+G612+G617+G622</f>
        <v>0</v>
      </c>
      <c r="H633" s="116">
        <f>H522+H527+H532+H542+H547+H552+H557+H562+H567+H572+H577+H582+H587+H592+H597+H602+H607+H612+H617+H622</f>
        <v>0</v>
      </c>
      <c r="I633" s="116">
        <f>I522+I527+I532+I542+I547+I552+I557+I562+I567+I572+I577+I582+I587+I592+I597+I602+I607+I612+I617+I622</f>
        <v>536824955.34828264</v>
      </c>
      <c r="J633" s="116"/>
      <c r="K633" s="116"/>
      <c r="L633" s="116"/>
      <c r="M633" s="116">
        <f>M522+M527+M532+M542+M547+M552+M557+M562+M567+M572+M577+M582+M587+M592+M597+M602+M607+M612+M617+M622</f>
        <v>536824955.34828264</v>
      </c>
      <c r="N633" s="116">
        <f>N522+N527+N532+N542+N547+N552+N557+N562+N567+N572+N577+N582+N587+N592+N597+N602+N607+N612+N617+N622</f>
        <v>0</v>
      </c>
      <c r="O633" s="272"/>
      <c r="P633" s="240"/>
      <c r="Q633" s="116">
        <f>Q522+Q527+Q532+Q542+Q547+Q552+Q557+Q562+Q567+Q572+Q577+Q582+Q587+Q592+Q597+Q602+Q607+Q612+Q617+Q622</f>
        <v>0</v>
      </c>
      <c r="R633" s="116">
        <f>R522+R527+R532+R542+R547+R552+R557+R562+R567+R572+R577+R582+R587+R592+R597+R602+R607+R612+R617+R622</f>
        <v>536824955.34828264</v>
      </c>
      <c r="S633" s="116"/>
      <c r="T633" s="116">
        <f>T522+T527+T532+T542+T547+T552+T557+T562+T567+T572+T577+T582+T587+T592+T597+T602+T607+T612+T617+T622</f>
        <v>0</v>
      </c>
      <c r="U633" s="116">
        <f>U522+U527+U532+U542+U547+U552+U557+U562+U567+U572+U577+U582+U587+U592+U597+U602+U607+U612+U617+U622</f>
        <v>0</v>
      </c>
      <c r="V633" s="273"/>
      <c r="W633" s="116">
        <f>HLOOKUP($W$9,'ROR-Model'!$Q$10:$U$1263,Y633)</f>
        <v>0</v>
      </c>
      <c r="X633" s="118"/>
      <c r="Y633" s="577">
        <f t="shared" si="28"/>
        <v>624</v>
      </c>
      <c r="AA633" s="116">
        <v>0</v>
      </c>
      <c r="AB633" s="116">
        <f t="shared" si="29"/>
        <v>0</v>
      </c>
    </row>
    <row r="634" spans="1:28">
      <c r="B634" s="106"/>
      <c r="C634" s="106"/>
      <c r="D634" s="102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272"/>
      <c r="P634" s="240"/>
      <c r="Q634" s="116"/>
      <c r="R634" s="116"/>
      <c r="S634" s="116"/>
      <c r="T634" s="116"/>
      <c r="U634" s="116"/>
      <c r="V634" s="273"/>
      <c r="W634" s="116"/>
      <c r="X634" s="118"/>
      <c r="Y634" s="577">
        <f t="shared" si="28"/>
        <v>625</v>
      </c>
      <c r="AA634" s="116"/>
      <c r="AB634" s="116">
        <f t="shared" si="29"/>
        <v>0</v>
      </c>
    </row>
    <row r="635" spans="1:28">
      <c r="B635" s="106" t="s">
        <v>701</v>
      </c>
      <c r="C635" s="106"/>
      <c r="D635" s="102"/>
      <c r="E635" s="116"/>
      <c r="F635" s="116">
        <f>F523+F528+F533+F538+F543+F548+F553+F558+F563+F568+F573+F578+F583+F588+F593+F598+F603+F608+F618+F623+F613</f>
        <v>18575633.42171739</v>
      </c>
      <c r="G635" s="116">
        <f>G523+G528+G533+G538+G543+G548+G553+G558+G563+G568+G573+G578+G583+G588+G593+G598+G603+G608+G618+G623+G613</f>
        <v>0</v>
      </c>
      <c r="H635" s="116">
        <f>H523+H528+H533+H538+H543+H548+H553+H558+H563+H568+H573+H578+H583+H588+H593+H598+H603+H608+H618+H623+H613</f>
        <v>0</v>
      </c>
      <c r="I635" s="116">
        <f>I523+I528+I533+I538+I543+I548+I553+I558+I563+I568+I573+I578+I583+I588+I593+I598+I603+I608+I618+I623+I613</f>
        <v>18575633.42171739</v>
      </c>
      <c r="J635" s="116"/>
      <c r="K635" s="116"/>
      <c r="L635" s="116"/>
      <c r="M635" s="116">
        <f>M523+M528+M533+M538+M543+M548+M553+M558+M563+M568+M573+M578+M583+M588+M593+M598+M603+M608+M618+M623+M613</f>
        <v>0</v>
      </c>
      <c r="N635" s="116">
        <f>N523+N528+N533+N538+N543+N548+N553+N558+N563+N568+N573+N578+N583+N588+N593+N598+N603+N608+N618+N623+N613</f>
        <v>18575633.42171739</v>
      </c>
      <c r="O635" s="272"/>
      <c r="P635" s="240"/>
      <c r="Q635" s="116">
        <f>Q523+Q528+Q533+Q538+Q543+Q548+Q553+Q558+Q563+Q568+Q573+Q578+Q583+Q588+Q593+Q598+Q603+Q608+Q618+Q623+Q613</f>
        <v>0</v>
      </c>
      <c r="R635" s="116">
        <f>R523+R528+R533+R538+R543+R548+R553+R558+R563+R568+R573+R578+R583+R588+R593+R598+R603+R608+R618+R623+R613</f>
        <v>0</v>
      </c>
      <c r="S635" s="116"/>
      <c r="T635" s="116">
        <f>T523+T528+T533+T538+T543+T548+T553+T558+T563+T568+T573+T578+T583+T588+T593+T598+T603+T608+T618+T623+T613</f>
        <v>0</v>
      </c>
      <c r="U635" s="116">
        <f>U523+U528+U533+U538+U543+U548+U553+U558+U563+U568+U573+U578+U583+U588+U593+U598+U603+U608+U618+U623+U613</f>
        <v>18575633.42171739</v>
      </c>
      <c r="V635" s="273"/>
      <c r="W635" s="116">
        <f>HLOOKUP($W$9,'ROR-Model'!$Q$10:$U$1263,Y635)</f>
        <v>0</v>
      </c>
      <c r="X635" s="118"/>
      <c r="Y635" s="577">
        <f t="shared" si="28"/>
        <v>626</v>
      </c>
      <c r="AA635" s="116">
        <v>0</v>
      </c>
      <c r="AB635" s="116">
        <f t="shared" si="29"/>
        <v>0</v>
      </c>
    </row>
    <row r="636" spans="1:28">
      <c r="B636" s="106" t="s">
        <v>698</v>
      </c>
      <c r="C636" s="106"/>
      <c r="D636" s="102"/>
      <c r="E636" s="116"/>
      <c r="F636" s="116">
        <f>+(F201+F202+F230+F231+F501)-F633</f>
        <v>-360521.46434062719</v>
      </c>
      <c r="G636" s="116">
        <f>+(G201+G202+G230+G231+G501)-G633</f>
        <v>-10052907.153168358</v>
      </c>
      <c r="H636" s="116">
        <f>+(H201+H202+H230+H231+H501)-H633</f>
        <v>0</v>
      </c>
      <c r="I636" s="116">
        <f>+(I201+I202+I230+I231+I501)-I633</f>
        <v>-10413428.617509067</v>
      </c>
      <c r="J636" s="116"/>
      <c r="K636" s="116"/>
      <c r="L636" s="116"/>
      <c r="M636" s="116">
        <f>+(M201+M202+M230+M231+M501)-M633</f>
        <v>-10413428.617509067</v>
      </c>
      <c r="N636" s="116">
        <f>+(N201+N202+N230+N231+N501)-N633</f>
        <v>0</v>
      </c>
      <c r="O636" s="272"/>
      <c r="P636" s="240"/>
      <c r="Q636" s="116">
        <f>+(Q201+Q202+Q230+Q231+Q501)-Q633</f>
        <v>0</v>
      </c>
      <c r="R636" s="116">
        <f>+(R201+R202+R230+R231+R501)-R633</f>
        <v>-10413428.617509067</v>
      </c>
      <c r="S636" s="116"/>
      <c r="T636" s="116">
        <f>+(T201+T202+T230+T231+T501)-T633</f>
        <v>0</v>
      </c>
      <c r="U636" s="116">
        <f>+(U201+U202+U230+U231+U501)-U633</f>
        <v>0</v>
      </c>
      <c r="V636" s="273"/>
      <c r="W636" s="116">
        <f>HLOOKUP($W$9,'ROR-Model'!$Q$10:$U$1263,Y636)</f>
        <v>0</v>
      </c>
      <c r="X636" s="118"/>
      <c r="Y636" s="577">
        <f t="shared" si="28"/>
        <v>627</v>
      </c>
      <c r="AA636" s="116">
        <v>0</v>
      </c>
      <c r="AB636" s="116">
        <f t="shared" si="29"/>
        <v>0</v>
      </c>
    </row>
    <row r="637" spans="1:28">
      <c r="B637" s="106" t="s">
        <v>699</v>
      </c>
      <c r="C637" s="106"/>
      <c r="D637" s="102"/>
      <c r="E637" s="116"/>
      <c r="F637" s="116">
        <f>+(F324+F326+F354+F505)-F635</f>
        <v>909617.26029350981</v>
      </c>
      <c r="G637" s="116">
        <f>+(G324+G326+G354+G505)-G635</f>
        <v>-1280249.7503094005</v>
      </c>
      <c r="H637" s="116">
        <f>+(H324+H326+H354+H505)-H635</f>
        <v>0</v>
      </c>
      <c r="I637" s="116">
        <f>+(I324+I326+I354+I505)-I635</f>
        <v>-370632.49001589045</v>
      </c>
      <c r="J637" s="116"/>
      <c r="K637" s="116"/>
      <c r="L637" s="116"/>
      <c r="M637" s="116">
        <f>+(M324+M326+M354+M505)-M635</f>
        <v>0</v>
      </c>
      <c r="N637" s="116">
        <f>+(N324+N326+N354+N505)-N635</f>
        <v>-370632.49001589045</v>
      </c>
      <c r="O637" s="272"/>
      <c r="P637" s="240"/>
      <c r="Q637" s="116">
        <f>+(Q324+Q326+Q354+Q505)-Q635</f>
        <v>0</v>
      </c>
      <c r="R637" s="116">
        <f>+(R324+R326+R354+R505)-R635</f>
        <v>0</v>
      </c>
      <c r="S637" s="116"/>
      <c r="T637" s="116">
        <f>+(T324+T326+T354+T505)-T635</f>
        <v>0</v>
      </c>
      <c r="U637" s="116">
        <f>+(U324+U326+U354+U505)-U635</f>
        <v>-370632.49001589045</v>
      </c>
      <c r="V637" s="273"/>
      <c r="W637" s="116">
        <f>HLOOKUP($W$9,'ROR-Model'!$Q$10:$U$1263,Y637)</f>
        <v>0</v>
      </c>
      <c r="X637" s="118"/>
      <c r="Y637" s="577">
        <f t="shared" si="28"/>
        <v>628</v>
      </c>
      <c r="AA637" s="116">
        <v>0</v>
      </c>
      <c r="AB637" s="116">
        <f t="shared" si="29"/>
        <v>0</v>
      </c>
    </row>
    <row r="638" spans="1:28" ht="13.5" thickBot="1">
      <c r="A638" s="106"/>
      <c r="B638" s="106"/>
      <c r="C638" s="106"/>
      <c r="D638" s="102"/>
      <c r="E638" s="235"/>
      <c r="F638" s="235"/>
      <c r="G638" s="235"/>
      <c r="H638" s="235"/>
      <c r="I638" s="235"/>
      <c r="J638" s="116"/>
      <c r="K638" s="116"/>
      <c r="L638" s="235"/>
      <c r="M638" s="732"/>
      <c r="N638" s="732"/>
      <c r="O638" s="272"/>
      <c r="P638" s="613"/>
      <c r="Q638" s="235"/>
      <c r="R638" s="235"/>
      <c r="S638" s="613"/>
      <c r="T638" s="235"/>
      <c r="U638" s="235"/>
      <c r="V638" s="273"/>
      <c r="W638" s="235"/>
      <c r="X638" s="118"/>
      <c r="Y638" s="577">
        <f t="shared" si="28"/>
        <v>629</v>
      </c>
      <c r="AA638" s="235"/>
      <c r="AB638" s="116">
        <f t="shared" si="29"/>
        <v>0</v>
      </c>
    </row>
    <row r="639" spans="1:28" ht="13.5" thickTop="1">
      <c r="A639" s="106"/>
      <c r="B639" s="106"/>
      <c r="C639" s="106"/>
      <c r="D639" s="102"/>
      <c r="E639" s="116"/>
      <c r="F639" s="116"/>
      <c r="G639" s="116"/>
      <c r="H639" s="116"/>
      <c r="I639" s="116"/>
      <c r="J639" s="116"/>
      <c r="K639" s="116"/>
      <c r="L639" s="116"/>
      <c r="M639" s="733"/>
      <c r="N639" s="733"/>
      <c r="O639" s="272"/>
      <c r="P639" s="240"/>
      <c r="Q639" s="116"/>
      <c r="R639" s="116"/>
      <c r="S639" s="240"/>
      <c r="T639" s="116"/>
      <c r="U639" s="116"/>
      <c r="V639" s="273"/>
      <c r="W639" s="116"/>
      <c r="X639" s="118"/>
      <c r="Y639" s="577">
        <f t="shared" si="28"/>
        <v>630</v>
      </c>
      <c r="AA639" s="116"/>
      <c r="AB639" s="116">
        <f t="shared" si="29"/>
        <v>0</v>
      </c>
    </row>
    <row r="640" spans="1:28">
      <c r="A640" s="61" t="s">
        <v>561</v>
      </c>
      <c r="B640" s="106"/>
      <c r="C640" s="106"/>
      <c r="D640" s="102"/>
      <c r="E640" s="116"/>
      <c r="F640" s="116">
        <f>SUM(F632:F638)</f>
        <v>555949684.56595278</v>
      </c>
      <c r="G640" s="116">
        <f>G524+G529+G534+G539+G544+G549+G554+G559+G564+G569+G574+G579+G584+G589+G594+G599+G604+G609+G614+G619+G624+G636+G637</f>
        <v>-11333156.903477758</v>
      </c>
      <c r="H640" s="116">
        <f>H524+H529+H534+H539+H544+H549+H554+H559+H564+H569+H574+H579+H584+H589+H594+H599+H604+H609+H614+H619+H624+H636+H637</f>
        <v>0</v>
      </c>
      <c r="I640" s="116">
        <f>I524+I529+I534+I539+I544+I549+I554+I559+I564+I569+I574+I579+I584+I589+I594+I599+I604+I609+I614+I619+I624+I636+I637</f>
        <v>544616527.66247499</v>
      </c>
      <c r="J640" s="116"/>
      <c r="K640" s="116"/>
      <c r="L640" s="116"/>
      <c r="M640" s="116">
        <f>M524+M529+M534+M539+M544+M549+M554+M559+M564+M569+M574+M579+M584+M589+M594+M599+M604+M609+M614+M619+M624+M636+M637</f>
        <v>526411526.73077357</v>
      </c>
      <c r="N640" s="116">
        <f>N524+N529+N534+N539+N544+N549+N554+N559+N564+N569+N574+N579+N584+N589+N594+N599+N604+N609+N614+N619+N624+N636+N637</f>
        <v>18205000.9317015</v>
      </c>
      <c r="O640" s="272"/>
      <c r="P640" s="240"/>
      <c r="Q640" s="116">
        <f>Q524+Q529+Q534+Q539+Q544+Q549+Q554+Q559+Q564+Q569+Q574+Q579+Q584+Q589+Q594+Q599+Q604+Q609+Q614+Q619+Q624+Q636+Q637</f>
        <v>0</v>
      </c>
      <c r="R640" s="116">
        <f>R524+R529+R534+R539+R544+R549+R554+R559+R564+R569+R574+R579+R584+R589+R594+R599+R604+R609+R614+R619+R624+R636+R637</f>
        <v>526411526.73077357</v>
      </c>
      <c r="S640" s="240"/>
      <c r="T640" s="116">
        <f>T524+T529+T534+T539+T544+T549+T554+T559+T564+T569+T574+T579+T584+T589+T594+T599+T604+T609+T614+T619+T624+T636+T637</f>
        <v>0</v>
      </c>
      <c r="U640" s="116">
        <f>U524+U529+U534+U539+U544+U549+U554+U559+U564+U569+U574+U579+U584+U589+U594+U599+U604+U609+U614+U619+U624+U636+U637</f>
        <v>18205000.9317015</v>
      </c>
      <c r="V640" s="273"/>
      <c r="W640" s="116">
        <f>HLOOKUP($W$9,'ROR-Model'!$Q$10:$U$1263,Y640)</f>
        <v>0</v>
      </c>
      <c r="X640" s="118"/>
      <c r="Y640" s="577">
        <f t="shared" si="28"/>
        <v>631</v>
      </c>
      <c r="AA640" s="116">
        <v>0</v>
      </c>
      <c r="AB640" s="116">
        <f t="shared" si="29"/>
        <v>0</v>
      </c>
    </row>
    <row r="641" spans="1:28">
      <c r="A641" s="227"/>
      <c r="B641" s="102"/>
      <c r="C641" s="102"/>
      <c r="D641" s="102"/>
      <c r="E641" s="116"/>
      <c r="F641" s="116">
        <f>+F524+F529+F534+F539+F544+F549+F554+F559+F564+F569+F574+F579+F584+F589+F594+F599+F604+F609+F614+F619+F624+F629</f>
        <v>555400588.76999998</v>
      </c>
      <c r="G641" s="116"/>
      <c r="H641" s="116"/>
      <c r="I641" s="116"/>
      <c r="J641" s="116"/>
      <c r="K641" s="116"/>
      <c r="L641" s="116"/>
      <c r="M641" s="116"/>
      <c r="N641" s="116"/>
      <c r="O641" s="272"/>
      <c r="P641" s="240"/>
      <c r="Q641" s="116"/>
      <c r="R641" s="116"/>
      <c r="S641" s="240"/>
      <c r="T641" s="116"/>
      <c r="U641" s="116"/>
      <c r="V641" s="273"/>
      <c r="W641" s="116"/>
      <c r="X641" s="118"/>
      <c r="Y641" s="577">
        <f t="shared" si="28"/>
        <v>632</v>
      </c>
      <c r="AA641" s="116"/>
      <c r="AB641" s="116">
        <f t="shared" si="29"/>
        <v>0</v>
      </c>
    </row>
    <row r="642" spans="1:28">
      <c r="A642" s="227"/>
      <c r="B642" s="102"/>
      <c r="C642" s="102"/>
      <c r="D642" s="102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272"/>
      <c r="P642" s="240"/>
      <c r="Q642" s="116"/>
      <c r="R642" s="116"/>
      <c r="S642" s="240"/>
      <c r="T642" s="116"/>
      <c r="U642" s="116"/>
      <c r="V642" s="273"/>
      <c r="W642" s="116"/>
      <c r="X642" s="118"/>
      <c r="Y642" s="577">
        <f t="shared" si="28"/>
        <v>633</v>
      </c>
      <c r="AA642" s="116"/>
      <c r="AB642" s="116">
        <f t="shared" si="29"/>
        <v>0</v>
      </c>
    </row>
    <row r="643" spans="1:28">
      <c r="A643" s="36" t="s">
        <v>367</v>
      </c>
      <c r="B643" s="102"/>
      <c r="C643" s="102"/>
      <c r="D643" s="102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272"/>
      <c r="P643" s="240"/>
      <c r="Q643" s="116"/>
      <c r="R643" s="116"/>
      <c r="S643" s="240"/>
      <c r="T643" s="116"/>
      <c r="U643" s="116"/>
      <c r="V643" s="273"/>
      <c r="W643" s="116"/>
      <c r="X643" s="118"/>
      <c r="Y643" s="577">
        <f t="shared" si="28"/>
        <v>634</v>
      </c>
      <c r="AA643" s="116"/>
      <c r="AB643" s="116">
        <f t="shared" si="29"/>
        <v>0</v>
      </c>
    </row>
    <row r="644" spans="1:28">
      <c r="A644" s="227"/>
      <c r="B644" s="102"/>
      <c r="C644" s="102"/>
      <c r="D644" s="102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272"/>
      <c r="P644" s="240"/>
      <c r="Q644" s="116"/>
      <c r="R644" s="116"/>
      <c r="S644" s="240"/>
      <c r="T644" s="116"/>
      <c r="U644" s="116"/>
      <c r="V644" s="273"/>
      <c r="W644" s="116"/>
      <c r="X644" s="118"/>
      <c r="Y644" s="577">
        <f t="shared" si="28"/>
        <v>635</v>
      </c>
      <c r="AA644" s="116"/>
      <c r="AB644" s="116">
        <f t="shared" si="29"/>
        <v>0</v>
      </c>
    </row>
    <row r="645" spans="1:28">
      <c r="A645" s="36" t="s">
        <v>368</v>
      </c>
      <c r="B645" s="102"/>
      <c r="C645" s="102"/>
      <c r="D645" s="102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272"/>
      <c r="P645" s="240"/>
      <c r="Q645" s="116"/>
      <c r="R645" s="116"/>
      <c r="S645" s="240"/>
      <c r="T645" s="116"/>
      <c r="U645" s="116"/>
      <c r="V645" s="273"/>
      <c r="W645" s="116"/>
      <c r="X645" s="118"/>
      <c r="Y645" s="577">
        <f t="shared" si="28"/>
        <v>636</v>
      </c>
      <c r="AA645" s="116"/>
      <c r="AB645" s="116">
        <f t="shared" si="29"/>
        <v>0</v>
      </c>
    </row>
    <row r="646" spans="1:28">
      <c r="A646" s="227"/>
      <c r="B646" s="102"/>
      <c r="C646" s="102"/>
      <c r="D646" s="102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272"/>
      <c r="P646" s="240"/>
      <c r="Q646" s="116"/>
      <c r="R646" s="116"/>
      <c r="S646" s="240"/>
      <c r="T646" s="116"/>
      <c r="U646" s="116"/>
      <c r="V646" s="273"/>
      <c r="W646" s="116"/>
      <c r="X646" s="118"/>
      <c r="Y646" s="577">
        <f t="shared" si="28"/>
        <v>637</v>
      </c>
      <c r="AA646" s="116"/>
      <c r="AB646" s="116">
        <f t="shared" si="29"/>
        <v>0</v>
      </c>
    </row>
    <row r="647" spans="1:28">
      <c r="A647" s="136">
        <v>810</v>
      </c>
      <c r="B647" s="102" t="s">
        <v>369</v>
      </c>
      <c r="C647" s="102"/>
      <c r="D647" s="102"/>
      <c r="E647" s="116">
        <f>+G647-Adjustments!H647</f>
        <v>-589.50239399999919</v>
      </c>
      <c r="F647" s="116">
        <f>EXPENSES!G138</f>
        <v>-14233</v>
      </c>
      <c r="G647" s="116">
        <f>+Adjustments!AW646</f>
        <v>-589.50239399999919</v>
      </c>
      <c r="H647" s="116"/>
      <c r="I647" s="116">
        <f>SUM($F$647:$H$647)</f>
        <v>-14822.502393999999</v>
      </c>
      <c r="J647" s="116"/>
      <c r="K647" s="116"/>
      <c r="L647" s="116" t="s">
        <v>693</v>
      </c>
      <c r="M647" s="116">
        <f>VLOOKUP($L647,$L$2:$N$7,2,FALSE)*I647</f>
        <v>-14300.744038828152</v>
      </c>
      <c r="N647" s="116">
        <f>VLOOKUP($L647,$L$2:$N$7,3,FALSE)*I647</f>
        <v>-521.75835517184521</v>
      </c>
      <c r="O647" s="272"/>
      <c r="P647" s="207" t="s">
        <v>560</v>
      </c>
      <c r="Q647" s="116">
        <f>IF(P647="G",M647,IF(P647="PT",0,ERR))</f>
        <v>-14300.744038828152</v>
      </c>
      <c r="R647" s="116">
        <f>IF(P647="PT",M647,IF(P647="G",0,ERR))</f>
        <v>0</v>
      </c>
      <c r="S647" s="240" t="s">
        <v>560</v>
      </c>
      <c r="T647" s="116">
        <f>IF(S647="G",N647,IF(S647="PT",0,ERR))</f>
        <v>-521.75835517184521</v>
      </c>
      <c r="U647" s="116">
        <f>IF(S647="PT",N647,IF(S647="G",0,ERR))</f>
        <v>0</v>
      </c>
      <c r="V647" s="273"/>
      <c r="W647" s="116">
        <f>HLOOKUP($W$9,'ROR-Model'!$Q$10:$U$1263,Y647)</f>
        <v>-14300.744038828152</v>
      </c>
      <c r="X647" s="118"/>
      <c r="Y647" s="577">
        <f t="shared" si="28"/>
        <v>638</v>
      </c>
      <c r="AA647" s="116">
        <v>-13731.992378495621</v>
      </c>
      <c r="AB647" s="116">
        <f t="shared" si="29"/>
        <v>-568.75166033253117</v>
      </c>
    </row>
    <row r="648" spans="1:28">
      <c r="A648" s="136">
        <v>812</v>
      </c>
      <c r="B648" s="102" t="s">
        <v>372</v>
      </c>
      <c r="C648" s="102"/>
      <c r="D648" s="102"/>
      <c r="E648" s="116">
        <f>+G648-Adjustments!H648</f>
        <v>-36990.0815567401</v>
      </c>
      <c r="F648" s="116">
        <f>EXPENSES!G139</f>
        <v>-893091.92999999993</v>
      </c>
      <c r="G648" s="116">
        <f>+Adjustments!AW647</f>
        <v>-36990.0815567401</v>
      </c>
      <c r="H648" s="116"/>
      <c r="I648" s="116">
        <f>SUM($F$648:$H$648)</f>
        <v>-930082.01155674004</v>
      </c>
      <c r="J648" s="116"/>
      <c r="K648" s="116"/>
      <c r="L648" s="116" t="s">
        <v>693</v>
      </c>
      <c r="M648" s="116">
        <f>VLOOKUP($L648,$L$2:$N$7,2,FALSE)*I648</f>
        <v>-897342.73126347444</v>
      </c>
      <c r="N648" s="116">
        <f>VLOOKUP($L648,$L$2:$N$7,3,FALSE)*I648</f>
        <v>-32739.280293265561</v>
      </c>
      <c r="O648" s="272"/>
      <c r="P648" s="207" t="s">
        <v>560</v>
      </c>
      <c r="Q648" s="116">
        <f>IF(P648="G",M648,IF(P648="PT",0,ERR))</f>
        <v>-897342.73126347444</v>
      </c>
      <c r="R648" s="116">
        <f>IF(P648="PT",M648,IF(P648="G",0,ERR))</f>
        <v>0</v>
      </c>
      <c r="S648" s="240" t="s">
        <v>560</v>
      </c>
      <c r="T648" s="116">
        <f>IF(S648="G",N648,IF(S648="PT",0,ERR))</f>
        <v>-32739.280293265561</v>
      </c>
      <c r="U648" s="116">
        <f>IF(S648="PT",N648,IF(S648="G",0,ERR))</f>
        <v>0</v>
      </c>
      <c r="V648" s="273"/>
      <c r="W648" s="116">
        <f>HLOOKUP($W$9,'ROR-Model'!$Q$10:$U$1263,Y648)</f>
        <v>-897342.73126347444</v>
      </c>
      <c r="X648" s="118"/>
      <c r="Y648" s="577">
        <f t="shared" si="28"/>
        <v>639</v>
      </c>
      <c r="AA648" s="116">
        <v>-861654.71622679301</v>
      </c>
      <c r="AB648" s="116">
        <f t="shared" si="29"/>
        <v>-35688.015036681434</v>
      </c>
    </row>
    <row r="649" spans="1:28">
      <c r="A649" s="227"/>
      <c r="B649" s="102"/>
      <c r="C649" s="102"/>
      <c r="D649" s="102"/>
      <c r="E649" s="116">
        <f>+G649-Adjustments!H649</f>
        <v>0</v>
      </c>
      <c r="F649" s="116"/>
      <c r="G649" s="116"/>
      <c r="H649" s="116"/>
      <c r="I649" s="116"/>
      <c r="J649" s="116"/>
      <c r="K649" s="116"/>
      <c r="L649" s="116"/>
      <c r="M649" s="116"/>
      <c r="N649" s="116"/>
      <c r="O649" s="272"/>
      <c r="P649" s="240"/>
      <c r="Q649" s="116"/>
      <c r="R649" s="116"/>
      <c r="S649" s="240"/>
      <c r="T649" s="116"/>
      <c r="U649" s="116"/>
      <c r="V649" s="273"/>
      <c r="W649" s="116">
        <f>HLOOKUP($W$9,'ROR-Model'!$Q$10:$U$1263,Y649)</f>
        <v>0</v>
      </c>
      <c r="X649" s="207"/>
      <c r="Y649" s="577">
        <f t="shared" si="28"/>
        <v>640</v>
      </c>
      <c r="AA649" s="116">
        <v>0</v>
      </c>
      <c r="AB649" s="116">
        <f t="shared" si="29"/>
        <v>0</v>
      </c>
    </row>
    <row r="650" spans="1:28">
      <c r="A650" s="227"/>
      <c r="B650" s="49" t="s">
        <v>373</v>
      </c>
      <c r="C650" s="102"/>
      <c r="D650" s="102"/>
      <c r="E650" s="116">
        <f>+G650-Adjustments!H650</f>
        <v>-37579.583950740096</v>
      </c>
      <c r="F650" s="116">
        <f>SUM(F647:F648)</f>
        <v>-907324.92999999993</v>
      </c>
      <c r="G650" s="116">
        <f>SUM(G647:G648)</f>
        <v>-37579.583950740096</v>
      </c>
      <c r="H650" s="116">
        <f>SUM(H647:H648)</f>
        <v>0</v>
      </c>
      <c r="I650" s="116">
        <f>SUM(I647:I648)</f>
        <v>-944904.51395073999</v>
      </c>
      <c r="J650" s="116"/>
      <c r="K650" s="116"/>
      <c r="L650" s="116"/>
      <c r="M650" s="116">
        <f>SUM(M647:M648)</f>
        <v>-911643.47530230263</v>
      </c>
      <c r="N650" s="116">
        <f>SUM(N647:N648)</f>
        <v>-33261.038648437403</v>
      </c>
      <c r="O650" s="272"/>
      <c r="P650" s="240"/>
      <c r="Q650" s="116">
        <f>SUM(Q647:Q648)</f>
        <v>-911643.47530230263</v>
      </c>
      <c r="R650" s="116">
        <f>SUM(R647:R648)</f>
        <v>0</v>
      </c>
      <c r="S650" s="240"/>
      <c r="T650" s="116">
        <f>SUM(T647:T648)</f>
        <v>-33261.038648437403</v>
      </c>
      <c r="U650" s="116">
        <f>SUM(U647:U648)</f>
        <v>0</v>
      </c>
      <c r="V650" s="273"/>
      <c r="W650" s="116">
        <f>HLOOKUP($W$9,'ROR-Model'!$Q$10:$U$1263,Y650)</f>
        <v>-911643.47530230263</v>
      </c>
      <c r="X650" s="118"/>
      <c r="Y650" s="577">
        <f t="shared" si="28"/>
        <v>641</v>
      </c>
      <c r="AA650" s="116">
        <v>-875386.70860528864</v>
      </c>
      <c r="AB650" s="116">
        <f t="shared" si="29"/>
        <v>-36256.766697013984</v>
      </c>
    </row>
    <row r="651" spans="1:28">
      <c r="A651" s="227"/>
      <c r="B651" s="102"/>
      <c r="C651" s="102"/>
      <c r="D651" s="102"/>
      <c r="E651" s="116">
        <f>+G651-Adjustments!H651</f>
        <v>0</v>
      </c>
      <c r="F651" s="116"/>
      <c r="G651" s="116"/>
      <c r="H651" s="116"/>
      <c r="I651" s="116"/>
      <c r="J651" s="116"/>
      <c r="K651" s="116"/>
      <c r="L651" s="116"/>
      <c r="M651" s="116"/>
      <c r="N651" s="116"/>
      <c r="O651" s="272"/>
      <c r="P651" s="240"/>
      <c r="Q651" s="116"/>
      <c r="R651" s="116"/>
      <c r="S651" s="240"/>
      <c r="T651" s="116"/>
      <c r="U651" s="116"/>
      <c r="V651" s="273"/>
      <c r="W651" s="116"/>
      <c r="X651" s="118"/>
      <c r="Y651" s="577">
        <f t="shared" si="28"/>
        <v>642</v>
      </c>
      <c r="AA651" s="116"/>
      <c r="AB651" s="116">
        <f t="shared" si="29"/>
        <v>0</v>
      </c>
    </row>
    <row r="652" spans="1:28">
      <c r="A652" s="36" t="s">
        <v>374</v>
      </c>
      <c r="B652" s="102"/>
      <c r="C652" s="102"/>
      <c r="D652" s="102"/>
      <c r="E652" s="116">
        <f>+G652-Adjustments!H652</f>
        <v>0</v>
      </c>
      <c r="F652" s="116"/>
      <c r="G652" s="116"/>
      <c r="H652" s="116"/>
      <c r="I652" s="116"/>
      <c r="J652" s="116"/>
      <c r="K652" s="116"/>
      <c r="L652" s="116"/>
      <c r="M652" s="116"/>
      <c r="N652" s="116"/>
      <c r="O652" s="272"/>
      <c r="P652" s="240"/>
      <c r="Q652" s="116"/>
      <c r="R652" s="116"/>
      <c r="S652" s="240"/>
      <c r="T652" s="116"/>
      <c r="U652" s="116"/>
      <c r="V652" s="273"/>
      <c r="W652" s="116"/>
      <c r="X652" s="118"/>
      <c r="Y652" s="577">
        <f t="shared" si="28"/>
        <v>643</v>
      </c>
      <c r="AA652" s="116"/>
      <c r="AB652" s="116">
        <f t="shared" si="29"/>
        <v>0</v>
      </c>
    </row>
    <row r="653" spans="1:28">
      <c r="A653" s="227"/>
      <c r="B653" s="102" t="s">
        <v>838</v>
      </c>
      <c r="C653" s="102"/>
      <c r="D653" s="102"/>
      <c r="E653" s="116">
        <f>+G653-Adjustments!H653</f>
        <v>0</v>
      </c>
      <c r="F653" s="116"/>
      <c r="G653" s="116"/>
      <c r="H653" s="116"/>
      <c r="I653" s="116"/>
      <c r="J653" s="116"/>
      <c r="K653" s="116"/>
      <c r="L653" s="116"/>
      <c r="M653" s="116"/>
      <c r="N653" s="116"/>
      <c r="O653" s="272"/>
      <c r="P653" s="240"/>
      <c r="Q653" s="116"/>
      <c r="R653" s="116"/>
      <c r="S653" s="240"/>
      <c r="T653" s="116"/>
      <c r="U653" s="116"/>
      <c r="V653" s="273"/>
      <c r="W653" s="116"/>
      <c r="X653" s="118"/>
      <c r="Y653" s="577">
        <f t="shared" si="28"/>
        <v>644</v>
      </c>
      <c r="AA653" s="116"/>
      <c r="AB653" s="116">
        <f t="shared" si="29"/>
        <v>0</v>
      </c>
    </row>
    <row r="654" spans="1:28">
      <c r="A654" s="136">
        <v>870</v>
      </c>
      <c r="B654" s="102" t="s">
        <v>375</v>
      </c>
      <c r="C654" s="102"/>
      <c r="D654" s="102"/>
      <c r="E654" s="116">
        <f>+G654-Adjustments!H654</f>
        <v>0</v>
      </c>
      <c r="F654" s="116"/>
      <c r="G654" s="116"/>
      <c r="H654" s="116"/>
      <c r="I654" s="116"/>
      <c r="J654" s="116"/>
      <c r="K654" s="116"/>
      <c r="L654" s="116"/>
      <c r="M654" s="116"/>
      <c r="N654" s="116"/>
      <c r="O654" s="272"/>
      <c r="P654" s="240"/>
      <c r="Q654" s="116"/>
      <c r="R654" s="116"/>
      <c r="S654" s="240"/>
      <c r="T654" s="116"/>
      <c r="U654" s="116"/>
      <c r="V654" s="273"/>
      <c r="W654" s="116"/>
      <c r="X654" s="118"/>
      <c r="Y654" s="577">
        <f t="shared" ref="Y654:Y717" si="30">Y653+1</f>
        <v>645</v>
      </c>
      <c r="AA654" s="116"/>
      <c r="AB654" s="116">
        <f t="shared" si="29"/>
        <v>0</v>
      </c>
    </row>
    <row r="655" spans="1:28">
      <c r="A655" s="136"/>
      <c r="B655" s="102"/>
      <c r="C655" s="102" t="s">
        <v>14</v>
      </c>
      <c r="D655" s="102"/>
      <c r="E655" s="116">
        <f>+G655-Adjustments!H655</f>
        <v>-248241.66211456433</v>
      </c>
      <c r="F655" s="116">
        <f>EXPENSES!G146</f>
        <v>11130355.119999999</v>
      </c>
      <c r="G655" s="116">
        <f>+Adjustments!AW654</f>
        <v>-248241.66211456433</v>
      </c>
      <c r="H655" s="116"/>
      <c r="I655" s="116">
        <f>SUM($F$655:$H$655)</f>
        <v>10882113.457885435</v>
      </c>
      <c r="J655" s="116"/>
      <c r="K655" s="116"/>
      <c r="L655" s="116" t="s">
        <v>14</v>
      </c>
      <c r="M655" s="116">
        <f>VLOOKUP($L655,$L$2:$N$7,2,FALSE)*I655</f>
        <v>10882113.457885435</v>
      </c>
      <c r="N655" s="116">
        <f>VLOOKUP($L655,$L$2:$N$7,3,FALSE)*I655</f>
        <v>0</v>
      </c>
      <c r="O655" s="272"/>
      <c r="P655" s="207" t="s">
        <v>560</v>
      </c>
      <c r="Q655" s="116">
        <f>IF(P655="G",M655,IF(P655="PT",0,ERR))</f>
        <v>10882113.457885435</v>
      </c>
      <c r="R655" s="116">
        <f>IF(P655="PT",M655,IF(P655="G",0,ERR))</f>
        <v>0</v>
      </c>
      <c r="S655" s="240" t="s">
        <v>560</v>
      </c>
      <c r="T655" s="116">
        <f>IF(S655="G",N655,IF(S655="PT",0,ERR))</f>
        <v>0</v>
      </c>
      <c r="U655" s="116">
        <f>IF(S655="PT",N655,IF(S655="G",0,ERR))</f>
        <v>0</v>
      </c>
      <c r="V655" s="273"/>
      <c r="W655" s="116">
        <f>HLOOKUP($W$9,'ROR-Model'!$Q$10:$U$1263,Y655)</f>
        <v>10882113.457885435</v>
      </c>
      <c r="X655" s="118"/>
      <c r="Y655" s="577">
        <f t="shared" si="30"/>
        <v>646</v>
      </c>
      <c r="AA655" s="116">
        <v>11130355.119999999</v>
      </c>
      <c r="AB655" s="116">
        <f t="shared" si="29"/>
        <v>-248241.66211456433</v>
      </c>
    </row>
    <row r="656" spans="1:28">
      <c r="A656" s="136"/>
      <c r="B656" s="102"/>
      <c r="C656" s="102" t="s">
        <v>24</v>
      </c>
      <c r="D656" s="102"/>
      <c r="E656" s="116">
        <f>+G656-Adjustments!H656</f>
        <v>383.59928913740441</v>
      </c>
      <c r="F656" s="116">
        <f>EXPENSES!G147</f>
        <v>643277.56000000017</v>
      </c>
      <c r="G656" s="116">
        <f>+Adjustments!AW655</f>
        <v>383.59928913740441</v>
      </c>
      <c r="H656" s="116"/>
      <c r="I656" s="116">
        <f>SUM($F$656:$H$656)</f>
        <v>643661.15928913758</v>
      </c>
      <c r="J656" s="116"/>
      <c r="K656" s="116"/>
      <c r="L656" s="116" t="s">
        <v>24</v>
      </c>
      <c r="M656" s="116">
        <f>VLOOKUP($L656,$L$2:$N$7,2,FALSE)*I656</f>
        <v>0</v>
      </c>
      <c r="N656" s="116">
        <f>VLOOKUP($L656,$L$2:$N$7,3,FALSE)*I656</f>
        <v>643661.15928913758</v>
      </c>
      <c r="O656" s="272"/>
      <c r="P656" s="207" t="s">
        <v>560</v>
      </c>
      <c r="Q656" s="116">
        <f>IF(P656="G",M656,IF(P656="PT",0,ERR))</f>
        <v>0</v>
      </c>
      <c r="R656" s="116">
        <f>IF(P656="PT",M656,IF(P656="G",0,ERR))</f>
        <v>0</v>
      </c>
      <c r="S656" s="240" t="s">
        <v>560</v>
      </c>
      <c r="T656" s="116">
        <f>IF(S656="G",N656,IF(S656="PT",0,ERR))</f>
        <v>643661.15928913758</v>
      </c>
      <c r="U656" s="116">
        <f>IF(S656="PT",N656,IF(S656="G",0,ERR))</f>
        <v>0</v>
      </c>
      <c r="V656" s="273"/>
      <c r="W656" s="116">
        <f>HLOOKUP($W$9,'ROR-Model'!$Q$10:$U$1263,Y656)</f>
        <v>0</v>
      </c>
      <c r="X656" s="118"/>
      <c r="Y656" s="577">
        <f t="shared" si="30"/>
        <v>647</v>
      </c>
      <c r="AA656" s="116">
        <v>0</v>
      </c>
      <c r="AB656" s="116">
        <f t="shared" si="29"/>
        <v>0</v>
      </c>
    </row>
    <row r="657" spans="1:28">
      <c r="A657" s="136"/>
      <c r="B657" s="102"/>
      <c r="C657" s="102" t="s">
        <v>170</v>
      </c>
      <c r="D657" s="102"/>
      <c r="E657" s="131">
        <f>+G657-Adjustments!H657</f>
        <v>-247858.06282542692</v>
      </c>
      <c r="F657" s="131">
        <f>SUM(F655:F656)</f>
        <v>11773632.68</v>
      </c>
      <c r="G657" s="131">
        <f>SUM(G655:G656)</f>
        <v>-247858.06282542692</v>
      </c>
      <c r="H657" s="131">
        <f>SUM(H655:H656)</f>
        <v>0</v>
      </c>
      <c r="I657" s="131">
        <f>SUM(I655:I656)</f>
        <v>11525774.617174573</v>
      </c>
      <c r="J657" s="116"/>
      <c r="K657" s="116"/>
      <c r="L657" s="131"/>
      <c r="M657" s="131">
        <f>SUM(M655:M656)</f>
        <v>10882113.457885435</v>
      </c>
      <c r="N657" s="131">
        <f>SUM(N655:N656)</f>
        <v>643661.15928913758</v>
      </c>
      <c r="O657" s="272"/>
      <c r="P657" s="257"/>
      <c r="Q657" s="131">
        <f>SUM(Q655:Q656)</f>
        <v>10882113.457885435</v>
      </c>
      <c r="R657" s="131">
        <f>SUM(R655:R656)</f>
        <v>0</v>
      </c>
      <c r="S657" s="257"/>
      <c r="T657" s="131">
        <f>SUM(T655:T656)</f>
        <v>643661.15928913758</v>
      </c>
      <c r="U657" s="131">
        <f>SUM(U655:U656)</f>
        <v>0</v>
      </c>
      <c r="V657" s="273"/>
      <c r="W657" s="131">
        <f>HLOOKUP($W$9,'ROR-Model'!$Q$10:$U$1263,Y657)</f>
        <v>10882113.457885435</v>
      </c>
      <c r="X657" s="118"/>
      <c r="Y657" s="577">
        <f t="shared" si="30"/>
        <v>648</v>
      </c>
      <c r="AA657" s="131">
        <v>11130355.119999999</v>
      </c>
      <c r="AB657" s="116">
        <f t="shared" ref="AB657:AB720" si="31">W657-AA657</f>
        <v>-248241.66211456433</v>
      </c>
    </row>
    <row r="658" spans="1:28">
      <c r="A658" s="136"/>
      <c r="B658" s="102"/>
      <c r="C658" s="102"/>
      <c r="D658" s="102"/>
      <c r="E658" s="116">
        <f>+G658-Adjustments!H658</f>
        <v>0</v>
      </c>
      <c r="F658" s="116"/>
      <c r="G658" s="116"/>
      <c r="H658" s="116"/>
      <c r="I658" s="116"/>
      <c r="J658" s="116"/>
      <c r="K658" s="116"/>
      <c r="L658" s="116"/>
      <c r="M658" s="116"/>
      <c r="N658" s="116"/>
      <c r="O658" s="272"/>
      <c r="P658" s="240"/>
      <c r="Q658" s="116"/>
      <c r="R658" s="116"/>
      <c r="S658" s="240"/>
      <c r="T658" s="116"/>
      <c r="U658" s="116"/>
      <c r="V658" s="273"/>
      <c r="W658" s="116"/>
      <c r="X658" s="118"/>
      <c r="Y658" s="577">
        <f t="shared" si="30"/>
        <v>649</v>
      </c>
      <c r="AA658" s="116"/>
      <c r="AB658" s="116">
        <f t="shared" si="31"/>
        <v>0</v>
      </c>
    </row>
    <row r="659" spans="1:28">
      <c r="A659" s="136">
        <v>871</v>
      </c>
      <c r="B659" s="102" t="s">
        <v>376</v>
      </c>
      <c r="C659" s="102"/>
      <c r="D659" s="102"/>
      <c r="E659" s="116">
        <f>+G659-Adjustments!H659</f>
        <v>0</v>
      </c>
      <c r="F659" s="116"/>
      <c r="G659" s="116"/>
      <c r="H659" s="116"/>
      <c r="I659" s="116"/>
      <c r="J659" s="116"/>
      <c r="K659" s="116"/>
      <c r="L659" s="116"/>
      <c r="M659" s="116"/>
      <c r="N659" s="116"/>
      <c r="O659" s="272"/>
      <c r="P659" s="240"/>
      <c r="Q659" s="116"/>
      <c r="R659" s="116"/>
      <c r="S659" s="240"/>
      <c r="T659" s="116"/>
      <c r="U659" s="116"/>
      <c r="V659" s="273"/>
      <c r="W659" s="116"/>
      <c r="X659" s="118"/>
      <c r="Y659" s="577">
        <f t="shared" si="30"/>
        <v>650</v>
      </c>
      <c r="AA659" s="116"/>
      <c r="AB659" s="116">
        <f t="shared" si="31"/>
        <v>0</v>
      </c>
    </row>
    <row r="660" spans="1:28">
      <c r="A660" s="136"/>
      <c r="B660" s="102"/>
      <c r="C660" s="102" t="s">
        <v>14</v>
      </c>
      <c r="D660" s="102"/>
      <c r="E660" s="116">
        <f>+G660-Adjustments!H660</f>
        <v>-68675.011910663452</v>
      </c>
      <c r="F660" s="116">
        <f>EXPENSES!G151</f>
        <v>1879996.2199999997</v>
      </c>
      <c r="G660" s="116">
        <f>+Adjustments!AW659</f>
        <v>-68675.011910663452</v>
      </c>
      <c r="H660" s="116"/>
      <c r="I660" s="116">
        <f>SUM($F$660:$H$660)</f>
        <v>1811321.2080893363</v>
      </c>
      <c r="J660" s="116"/>
      <c r="K660" s="116"/>
      <c r="L660" s="116" t="s">
        <v>14</v>
      </c>
      <c r="M660" s="116">
        <f>VLOOKUP($L660,$L$2:$N$7,2,FALSE)*I660</f>
        <v>1811321.2080893363</v>
      </c>
      <c r="N660" s="116">
        <f>VLOOKUP($L660,$L$2:$N$7,3,FALSE)*I660</f>
        <v>0</v>
      </c>
      <c r="O660" s="272"/>
      <c r="P660" s="207" t="s">
        <v>560</v>
      </c>
      <c r="Q660" s="116">
        <f>IF(P660="G",M660,IF(P660="PT",0,ERR))</f>
        <v>1811321.2080893363</v>
      </c>
      <c r="R660" s="116">
        <f>IF(P660="PT",M660,IF(P660="G",0,ERR))</f>
        <v>0</v>
      </c>
      <c r="S660" s="240" t="s">
        <v>560</v>
      </c>
      <c r="T660" s="116">
        <f>IF(S660="G",N660,IF(S660="PT",0,ERR))</f>
        <v>0</v>
      </c>
      <c r="U660" s="116">
        <f>IF(S660="PT",N660,IF(S660="G",0,ERR))</f>
        <v>0</v>
      </c>
      <c r="V660" s="273"/>
      <c r="W660" s="116">
        <f>HLOOKUP($W$9,'ROR-Model'!$Q$10:$U$1263,Y660)</f>
        <v>1811321.2080893363</v>
      </c>
      <c r="X660" s="118"/>
      <c r="Y660" s="577">
        <f t="shared" si="30"/>
        <v>651</v>
      </c>
      <c r="AA660" s="116">
        <v>1879996.2199999997</v>
      </c>
      <c r="AB660" s="116">
        <f t="shared" si="31"/>
        <v>-68675.011910663452</v>
      </c>
    </row>
    <row r="661" spans="1:28">
      <c r="A661" s="136"/>
      <c r="B661" s="102"/>
      <c r="C661" s="102" t="s">
        <v>24</v>
      </c>
      <c r="D661" s="102"/>
      <c r="E661" s="116">
        <f>+G661-Adjustments!H661</f>
        <v>961.77612019999651</v>
      </c>
      <c r="F661" s="116">
        <f>EXPENSES!G152</f>
        <v>30806.410000000003</v>
      </c>
      <c r="G661" s="116">
        <f>+Adjustments!AW660</f>
        <v>961.77612019999651</v>
      </c>
      <c r="H661" s="116"/>
      <c r="I661" s="116">
        <f>SUM($F$661:$H$661)</f>
        <v>31768.1861202</v>
      </c>
      <c r="J661" s="116"/>
      <c r="K661" s="116"/>
      <c r="L661" s="116" t="s">
        <v>24</v>
      </c>
      <c r="M661" s="116">
        <f>VLOOKUP($L661,$L$2:$N$7,2,FALSE)*I661</f>
        <v>0</v>
      </c>
      <c r="N661" s="116">
        <f>VLOOKUP($L661,$L$2:$N$7,3,FALSE)*I661</f>
        <v>31768.1861202</v>
      </c>
      <c r="O661" s="272"/>
      <c r="P661" s="207" t="s">
        <v>560</v>
      </c>
      <c r="Q661" s="116">
        <f>IF(P661="G",M661,IF(P661="PT",0,ERR))</f>
        <v>0</v>
      </c>
      <c r="R661" s="116">
        <f>IF(P661="PT",M661,IF(P661="G",0,ERR))</f>
        <v>0</v>
      </c>
      <c r="S661" s="240" t="s">
        <v>560</v>
      </c>
      <c r="T661" s="116">
        <f>IF(S661="G",N661,IF(S661="PT",0,ERR))</f>
        <v>31768.1861202</v>
      </c>
      <c r="U661" s="116">
        <f>IF(S661="PT",N661,IF(S661="G",0,ERR))</f>
        <v>0</v>
      </c>
      <c r="V661" s="273"/>
      <c r="W661" s="116">
        <f>HLOOKUP($W$9,'ROR-Model'!$Q$10:$U$1263,Y661)</f>
        <v>0</v>
      </c>
      <c r="X661" s="118"/>
      <c r="Y661" s="577">
        <f t="shared" si="30"/>
        <v>652</v>
      </c>
      <c r="AA661" s="116">
        <v>0</v>
      </c>
      <c r="AB661" s="116">
        <f t="shared" si="31"/>
        <v>0</v>
      </c>
    </row>
    <row r="662" spans="1:28">
      <c r="A662" s="136"/>
      <c r="B662" s="102"/>
      <c r="C662" s="102" t="s">
        <v>170</v>
      </c>
      <c r="D662" s="102"/>
      <c r="E662" s="131">
        <f>+G662-Adjustments!H662</f>
        <v>-67713.235790463455</v>
      </c>
      <c r="F662" s="131">
        <f>SUM(F660:F661)</f>
        <v>1910802.6299999997</v>
      </c>
      <c r="G662" s="131">
        <f>SUM(G660:G661)</f>
        <v>-67713.235790463455</v>
      </c>
      <c r="H662" s="131">
        <f>SUM(H660:H661)</f>
        <v>0</v>
      </c>
      <c r="I662" s="131">
        <f>SUM(I660:I661)</f>
        <v>1843089.3942095363</v>
      </c>
      <c r="J662" s="116"/>
      <c r="K662" s="116"/>
      <c r="L662" s="131"/>
      <c r="M662" s="131">
        <f>SUM(M660:M661)</f>
        <v>1811321.2080893363</v>
      </c>
      <c r="N662" s="131">
        <f>SUM(N660:N661)</f>
        <v>31768.1861202</v>
      </c>
      <c r="O662" s="272"/>
      <c r="P662" s="257"/>
      <c r="Q662" s="131">
        <f>SUM(Q660:Q661)</f>
        <v>1811321.2080893363</v>
      </c>
      <c r="R662" s="131">
        <f>SUM(R660:R661)</f>
        <v>0</v>
      </c>
      <c r="S662" s="257"/>
      <c r="T662" s="131">
        <f>SUM(T660:T661)</f>
        <v>31768.1861202</v>
      </c>
      <c r="U662" s="131">
        <f>SUM(U660:U661)</f>
        <v>0</v>
      </c>
      <c r="V662" s="273"/>
      <c r="W662" s="131">
        <f>HLOOKUP($W$9,'ROR-Model'!$Q$10:$U$1263,Y662)</f>
        <v>1811321.2080893363</v>
      </c>
      <c r="X662" s="118"/>
      <c r="Y662" s="577">
        <f t="shared" si="30"/>
        <v>653</v>
      </c>
      <c r="AA662" s="131">
        <v>1879996.2199999997</v>
      </c>
      <c r="AB662" s="116">
        <f t="shared" si="31"/>
        <v>-68675.011910663452</v>
      </c>
    </row>
    <row r="663" spans="1:28">
      <c r="A663" s="136"/>
      <c r="B663" s="102"/>
      <c r="C663" s="102"/>
      <c r="D663" s="102"/>
      <c r="E663" s="116">
        <f>+G663-Adjustments!H663</f>
        <v>0</v>
      </c>
      <c r="F663" s="116"/>
      <c r="G663" s="116"/>
      <c r="H663" s="116"/>
      <c r="I663" s="116"/>
      <c r="J663" s="116"/>
      <c r="K663" s="116"/>
      <c r="L663" s="116"/>
      <c r="M663" s="116"/>
      <c r="N663" s="116"/>
      <c r="O663" s="272"/>
      <c r="P663" s="240"/>
      <c r="Q663" s="116"/>
      <c r="R663" s="116"/>
      <c r="S663" s="240"/>
      <c r="T663" s="116"/>
      <c r="U663" s="116"/>
      <c r="V663" s="273"/>
      <c r="W663" s="116"/>
      <c r="X663" s="118"/>
      <c r="Y663" s="577">
        <f t="shared" si="30"/>
        <v>654</v>
      </c>
      <c r="AA663" s="116"/>
      <c r="AB663" s="116">
        <f t="shared" si="31"/>
        <v>0</v>
      </c>
    </row>
    <row r="664" spans="1:28">
      <c r="A664" s="136">
        <v>872</v>
      </c>
      <c r="B664" s="102" t="s">
        <v>378</v>
      </c>
      <c r="C664" s="102"/>
      <c r="D664" s="102"/>
      <c r="E664" s="116">
        <f>+G664-Adjustments!H664</f>
        <v>0</v>
      </c>
      <c r="F664" s="116"/>
      <c r="G664" s="116"/>
      <c r="H664" s="116"/>
      <c r="I664" s="116"/>
      <c r="J664" s="116"/>
      <c r="K664" s="116"/>
      <c r="L664" s="116"/>
      <c r="M664" s="116"/>
      <c r="N664" s="116"/>
      <c r="O664" s="272"/>
      <c r="P664" s="240"/>
      <c r="Q664" s="116"/>
      <c r="R664" s="116"/>
      <c r="S664" s="240"/>
      <c r="T664" s="116"/>
      <c r="U664" s="116"/>
      <c r="V664" s="273"/>
      <c r="W664" s="116"/>
      <c r="X664" s="118"/>
      <c r="Y664" s="577">
        <f t="shared" si="30"/>
        <v>655</v>
      </c>
      <c r="AA664" s="116"/>
      <c r="AB664" s="116">
        <f t="shared" si="31"/>
        <v>0</v>
      </c>
    </row>
    <row r="665" spans="1:28">
      <c r="A665" s="136"/>
      <c r="B665" s="102"/>
      <c r="C665" s="102" t="s">
        <v>14</v>
      </c>
      <c r="D665" s="102"/>
      <c r="E665" s="116">
        <f>+G665-Adjustments!H665</f>
        <v>0</v>
      </c>
      <c r="F665" s="116">
        <f>EXPENSES!G156</f>
        <v>0</v>
      </c>
      <c r="G665" s="116">
        <f>+Adjustments!AW664</f>
        <v>0</v>
      </c>
      <c r="H665" s="116"/>
      <c r="I665" s="116">
        <f>SUM($F$665:$H$665)</f>
        <v>0</v>
      </c>
      <c r="J665" s="116"/>
      <c r="K665" s="116"/>
      <c r="L665" s="116" t="s">
        <v>14</v>
      </c>
      <c r="M665" s="116">
        <f>VLOOKUP($L665,$L$2:$N$7,2,FALSE)*I665</f>
        <v>0</v>
      </c>
      <c r="N665" s="116">
        <f>VLOOKUP($L665,$L$2:$N$7,3,FALSE)*I665</f>
        <v>0</v>
      </c>
      <c r="O665" s="272"/>
      <c r="P665" s="207" t="s">
        <v>560</v>
      </c>
      <c r="Q665" s="116">
        <f>IF(P665="G",M665,IF(P665="PT",0,ERR))</f>
        <v>0</v>
      </c>
      <c r="R665" s="116">
        <f>IF(P665="PT",M665,IF(P665="G",0,ERR))</f>
        <v>0</v>
      </c>
      <c r="S665" s="240" t="s">
        <v>560</v>
      </c>
      <c r="T665" s="116">
        <f>IF(S665="G",N665,IF(S665="PT",0,ERR))</f>
        <v>0</v>
      </c>
      <c r="U665" s="116">
        <f>IF(S665="PT",N665,IF(S665="G",0,ERR))</f>
        <v>0</v>
      </c>
      <c r="V665" s="273"/>
      <c r="W665" s="116">
        <f>HLOOKUP($W$9,'ROR-Model'!$Q$10:$U$1263,Y665)</f>
        <v>0</v>
      </c>
      <c r="X665" s="118"/>
      <c r="Y665" s="577">
        <f t="shared" si="30"/>
        <v>656</v>
      </c>
      <c r="AA665" s="116">
        <v>0</v>
      </c>
      <c r="AB665" s="116">
        <f t="shared" si="31"/>
        <v>0</v>
      </c>
    </row>
    <row r="666" spans="1:28">
      <c r="A666" s="136"/>
      <c r="B666" s="102"/>
      <c r="C666" s="102" t="s">
        <v>24</v>
      </c>
      <c r="D666" s="102"/>
      <c r="E666" s="116">
        <f>+G666-Adjustments!H666</f>
        <v>0</v>
      </c>
      <c r="F666" s="116">
        <f>EXPENSES!G157</f>
        <v>0</v>
      </c>
      <c r="G666" s="116">
        <f>+Adjustments!AW665</f>
        <v>0</v>
      </c>
      <c r="H666" s="116"/>
      <c r="I666" s="116">
        <f>SUM($F$666:$H$666)</f>
        <v>0</v>
      </c>
      <c r="J666" s="116"/>
      <c r="K666" s="116"/>
      <c r="L666" s="116" t="s">
        <v>24</v>
      </c>
      <c r="M666" s="116">
        <f>VLOOKUP($L666,$L$2:$N$7,2,FALSE)*I666</f>
        <v>0</v>
      </c>
      <c r="N666" s="116">
        <f>VLOOKUP($L666,$L$2:$N$7,3,FALSE)*I666</f>
        <v>0</v>
      </c>
      <c r="O666" s="272"/>
      <c r="P666" s="207" t="s">
        <v>560</v>
      </c>
      <c r="Q666" s="116">
        <f>IF(P666="G",M666,IF(P666="PT",0,ERR))</f>
        <v>0</v>
      </c>
      <c r="R666" s="116">
        <f>IF(P666="PT",M666,IF(P666="G",0,ERR))</f>
        <v>0</v>
      </c>
      <c r="S666" s="240" t="s">
        <v>560</v>
      </c>
      <c r="T666" s="116">
        <f>IF(S666="G",N666,IF(S666="PT",0,ERR))</f>
        <v>0</v>
      </c>
      <c r="U666" s="116">
        <f>IF(S666="PT",N666,IF(S666="G",0,ERR))</f>
        <v>0</v>
      </c>
      <c r="V666" s="273"/>
      <c r="W666" s="116">
        <f>HLOOKUP($W$9,'ROR-Model'!$Q$10:$U$1263,Y666)</f>
        <v>0</v>
      </c>
      <c r="X666" s="118"/>
      <c r="Y666" s="577">
        <f t="shared" si="30"/>
        <v>657</v>
      </c>
      <c r="AA666" s="116">
        <v>0</v>
      </c>
      <c r="AB666" s="116">
        <f t="shared" si="31"/>
        <v>0</v>
      </c>
    </row>
    <row r="667" spans="1:28">
      <c r="A667" s="136"/>
      <c r="B667" s="102"/>
      <c r="C667" s="102" t="s">
        <v>170</v>
      </c>
      <c r="D667" s="102"/>
      <c r="E667" s="131">
        <f>+G667-Adjustments!H667</f>
        <v>0</v>
      </c>
      <c r="F667" s="131">
        <f>SUM(F665:F666)</f>
        <v>0</v>
      </c>
      <c r="G667" s="131">
        <f>SUM(G665:G666)</f>
        <v>0</v>
      </c>
      <c r="H667" s="131">
        <f>SUM(H665:H666)</f>
        <v>0</v>
      </c>
      <c r="I667" s="131">
        <f>SUM(I665:I666)</f>
        <v>0</v>
      </c>
      <c r="J667" s="116"/>
      <c r="K667" s="116"/>
      <c r="L667" s="131"/>
      <c r="M667" s="131">
        <f>SUM(M665:M666)</f>
        <v>0</v>
      </c>
      <c r="N667" s="131">
        <f>SUM(N665:N666)</f>
        <v>0</v>
      </c>
      <c r="O667" s="272"/>
      <c r="P667" s="257"/>
      <c r="Q667" s="131">
        <f>SUM(Q665:Q666)</f>
        <v>0</v>
      </c>
      <c r="R667" s="131">
        <f>SUM(R665:R666)</f>
        <v>0</v>
      </c>
      <c r="S667" s="257"/>
      <c r="T667" s="131">
        <f>SUM(T665:T666)</f>
        <v>0</v>
      </c>
      <c r="U667" s="131">
        <f>SUM(U665:U666)</f>
        <v>0</v>
      </c>
      <c r="V667" s="273"/>
      <c r="W667" s="131">
        <f>HLOOKUP($W$9,'ROR-Model'!$Q$10:$U$1263,Y667)</f>
        <v>0</v>
      </c>
      <c r="X667" s="118"/>
      <c r="Y667" s="577">
        <f t="shared" si="30"/>
        <v>658</v>
      </c>
      <c r="AA667" s="131">
        <v>0</v>
      </c>
      <c r="AB667" s="116">
        <f t="shared" si="31"/>
        <v>0</v>
      </c>
    </row>
    <row r="668" spans="1:28">
      <c r="A668" s="136"/>
      <c r="B668" s="102"/>
      <c r="C668" s="102"/>
      <c r="D668" s="102"/>
      <c r="E668" s="116">
        <f>+G668-Adjustments!H668</f>
        <v>0</v>
      </c>
      <c r="F668" s="116"/>
      <c r="G668" s="116"/>
      <c r="H668" s="116"/>
      <c r="I668" s="116"/>
      <c r="J668" s="116"/>
      <c r="K668" s="116"/>
      <c r="L668" s="116"/>
      <c r="M668" s="116"/>
      <c r="N668" s="116"/>
      <c r="O668" s="272"/>
      <c r="P668" s="240"/>
      <c r="Q668" s="116"/>
      <c r="R668" s="116"/>
      <c r="S668" s="240"/>
      <c r="T668" s="116"/>
      <c r="U668" s="116"/>
      <c r="V668" s="273"/>
      <c r="W668" s="116"/>
      <c r="X668" s="118"/>
      <c r="Y668" s="577">
        <f t="shared" si="30"/>
        <v>659</v>
      </c>
      <c r="AA668" s="116"/>
      <c r="AB668" s="116">
        <f t="shared" si="31"/>
        <v>0</v>
      </c>
    </row>
    <row r="669" spans="1:28">
      <c r="A669" s="136">
        <v>873</v>
      </c>
      <c r="B669" s="102" t="s">
        <v>379</v>
      </c>
      <c r="C669" s="102"/>
      <c r="D669" s="102"/>
      <c r="E669" s="116">
        <f>+G669-Adjustments!H669</f>
        <v>0</v>
      </c>
      <c r="F669" s="116"/>
      <c r="G669" s="116"/>
      <c r="H669" s="116"/>
      <c r="I669" s="116"/>
      <c r="J669" s="116"/>
      <c r="K669" s="116"/>
      <c r="L669" s="116"/>
      <c r="M669" s="116"/>
      <c r="N669" s="116"/>
      <c r="O669" s="272"/>
      <c r="P669" s="240"/>
      <c r="Q669" s="116"/>
      <c r="R669" s="116"/>
      <c r="S669" s="240"/>
      <c r="T669" s="116"/>
      <c r="U669" s="116"/>
      <c r="V669" s="273"/>
      <c r="W669" s="116"/>
      <c r="X669" s="118"/>
      <c r="Y669" s="577">
        <f t="shared" si="30"/>
        <v>660</v>
      </c>
      <c r="AA669" s="116"/>
      <c r="AB669" s="116">
        <f t="shared" si="31"/>
        <v>0</v>
      </c>
    </row>
    <row r="670" spans="1:28">
      <c r="A670" s="136"/>
      <c r="B670" s="102"/>
      <c r="C670" s="102" t="s">
        <v>14</v>
      </c>
      <c r="D670" s="102"/>
      <c r="E670" s="116">
        <f>+G670-Adjustments!H670</f>
        <v>589.50239399999919</v>
      </c>
      <c r="F670" s="116">
        <f>EXPENSES!G161</f>
        <v>14233</v>
      </c>
      <c r="G670" s="116">
        <f>+Adjustments!AW669</f>
        <v>589.50239399999919</v>
      </c>
      <c r="H670" s="116"/>
      <c r="I670" s="116">
        <f>SUM($F$670:$H$670)</f>
        <v>14822.502393999999</v>
      </c>
      <c r="J670" s="116"/>
      <c r="K670" s="116"/>
      <c r="L670" s="116" t="s">
        <v>14</v>
      </c>
      <c r="M670" s="116">
        <f>VLOOKUP($L670,$L$2:$N$7,2,FALSE)*I670</f>
        <v>14822.502393999999</v>
      </c>
      <c r="N670" s="116">
        <f>VLOOKUP($L670,$L$2:$N$7,3,FALSE)*I670</f>
        <v>0</v>
      </c>
      <c r="O670" s="272"/>
      <c r="P670" s="207" t="s">
        <v>560</v>
      </c>
      <c r="Q670" s="116">
        <f>IF(P670="G",M670,IF(P670="PT",0,ERR))</f>
        <v>14822.502393999999</v>
      </c>
      <c r="R670" s="116">
        <f>IF(P670="PT",M670,IF(P670="G",0,ERR))</f>
        <v>0</v>
      </c>
      <c r="S670" s="240" t="s">
        <v>560</v>
      </c>
      <c r="T670" s="116">
        <f>IF(S670="G",N670,IF(S670="PT",0,ERR))</f>
        <v>0</v>
      </c>
      <c r="U670" s="116">
        <f>IF(S670="PT",N670,IF(S670="G",0,ERR))</f>
        <v>0</v>
      </c>
      <c r="V670" s="273"/>
      <c r="W670" s="116">
        <f>HLOOKUP($W$9,'ROR-Model'!$Q$10:$U$1263,Y670)</f>
        <v>14822.502393999999</v>
      </c>
      <c r="X670" s="118"/>
      <c r="Y670" s="577">
        <f t="shared" si="30"/>
        <v>661</v>
      </c>
      <c r="AA670" s="116">
        <v>14233</v>
      </c>
      <c r="AB670" s="116">
        <f t="shared" si="31"/>
        <v>589.50239399999919</v>
      </c>
    </row>
    <row r="671" spans="1:28">
      <c r="A671" s="136"/>
      <c r="B671" s="102"/>
      <c r="C671" s="102" t="s">
        <v>24</v>
      </c>
      <c r="D671" s="102"/>
      <c r="E671" s="116">
        <f>+G671-Adjustments!H671</f>
        <v>0</v>
      </c>
      <c r="F671" s="116">
        <f>EXPENSES!G162</f>
        <v>0</v>
      </c>
      <c r="G671" s="116">
        <f>+Adjustments!AW670</f>
        <v>0</v>
      </c>
      <c r="H671" s="116"/>
      <c r="I671" s="116">
        <f>SUM($F$671:$H$671)</f>
        <v>0</v>
      </c>
      <c r="J671" s="116"/>
      <c r="K671" s="116"/>
      <c r="L671" s="116" t="s">
        <v>24</v>
      </c>
      <c r="M671" s="116">
        <f>VLOOKUP($L671,$L$2:$N$7,2,FALSE)*I671</f>
        <v>0</v>
      </c>
      <c r="N671" s="116">
        <f>VLOOKUP($L671,$L$2:$N$7,3,FALSE)*I671</f>
        <v>0</v>
      </c>
      <c r="O671" s="272"/>
      <c r="P671" s="207" t="s">
        <v>560</v>
      </c>
      <c r="Q671" s="116">
        <f>IF(P671="G",M671,IF(P671="PT",0,ERR))</f>
        <v>0</v>
      </c>
      <c r="R671" s="116">
        <f>IF(P671="PT",M671,IF(P671="G",0,ERR))</f>
        <v>0</v>
      </c>
      <c r="S671" s="240" t="s">
        <v>560</v>
      </c>
      <c r="T671" s="116">
        <f>IF(S671="G",N671,IF(S671="PT",0,ERR))</f>
        <v>0</v>
      </c>
      <c r="U671" s="116">
        <f>IF(S671="PT",N671,IF(S671="G",0,ERR))</f>
        <v>0</v>
      </c>
      <c r="V671" s="273"/>
      <c r="W671" s="116">
        <f>HLOOKUP($W$9,'ROR-Model'!$Q$10:$U$1263,Y671)</f>
        <v>0</v>
      </c>
      <c r="X671" s="118"/>
      <c r="Y671" s="577">
        <f t="shared" si="30"/>
        <v>662</v>
      </c>
      <c r="AA671" s="116">
        <v>0</v>
      </c>
      <c r="AB671" s="116">
        <f t="shared" si="31"/>
        <v>0</v>
      </c>
    </row>
    <row r="672" spans="1:28">
      <c r="A672" s="136"/>
      <c r="B672" s="102"/>
      <c r="C672" s="102" t="s">
        <v>170</v>
      </c>
      <c r="D672" s="102"/>
      <c r="E672" s="131">
        <f>+G672-Adjustments!H672</f>
        <v>589.50239399999919</v>
      </c>
      <c r="F672" s="131">
        <f>SUM(F670:F671)</f>
        <v>14233</v>
      </c>
      <c r="G672" s="131">
        <f>SUM(G670:G671)</f>
        <v>589.50239399999919</v>
      </c>
      <c r="H672" s="131">
        <f>SUM(H670:H671)</f>
        <v>0</v>
      </c>
      <c r="I672" s="131">
        <f>SUM(I670:I671)</f>
        <v>14822.502393999999</v>
      </c>
      <c r="J672" s="116"/>
      <c r="K672" s="116"/>
      <c r="L672" s="131"/>
      <c r="M672" s="131">
        <f>SUM(M670:M671)</f>
        <v>14822.502393999999</v>
      </c>
      <c r="N672" s="131">
        <f>SUM(N670:N671)</f>
        <v>0</v>
      </c>
      <c r="O672" s="272"/>
      <c r="P672" s="257"/>
      <c r="Q672" s="131">
        <f>SUM(Q670:Q671)</f>
        <v>14822.502393999999</v>
      </c>
      <c r="R672" s="131">
        <f>SUM(R670:R671)</f>
        <v>0</v>
      </c>
      <c r="S672" s="257"/>
      <c r="T672" s="131">
        <f>SUM(T670:T671)</f>
        <v>0</v>
      </c>
      <c r="U672" s="131">
        <f>SUM(U670:U671)</f>
        <v>0</v>
      </c>
      <c r="V672" s="273"/>
      <c r="W672" s="131">
        <f>HLOOKUP($W$9,'ROR-Model'!$Q$10:$U$1263,Y672)</f>
        <v>14822.502393999999</v>
      </c>
      <c r="X672" s="118"/>
      <c r="Y672" s="577">
        <f t="shared" si="30"/>
        <v>663</v>
      </c>
      <c r="AA672" s="131">
        <v>14233</v>
      </c>
      <c r="AB672" s="116">
        <f t="shared" si="31"/>
        <v>589.50239399999919</v>
      </c>
    </row>
    <row r="673" spans="1:28">
      <c r="A673" s="136"/>
      <c r="B673" s="102"/>
      <c r="C673" s="102"/>
      <c r="D673" s="102"/>
      <c r="E673" s="116">
        <f>+G673-Adjustments!H673</f>
        <v>0</v>
      </c>
      <c r="F673" s="116"/>
      <c r="G673" s="116"/>
      <c r="H673" s="116"/>
      <c r="I673" s="116"/>
      <c r="J673" s="116"/>
      <c r="K673" s="116"/>
      <c r="L673" s="116"/>
      <c r="M673" s="116"/>
      <c r="N673" s="116"/>
      <c r="O673" s="272"/>
      <c r="P673" s="240"/>
      <c r="Q673" s="116"/>
      <c r="R673" s="116"/>
      <c r="S673" s="240"/>
      <c r="T673" s="116"/>
      <c r="U673" s="116"/>
      <c r="V673" s="273"/>
      <c r="W673" s="116"/>
      <c r="X673" s="118"/>
      <c r="Y673" s="577">
        <f t="shared" si="30"/>
        <v>664</v>
      </c>
      <c r="AA673" s="116"/>
      <c r="AB673" s="116">
        <f t="shared" si="31"/>
        <v>0</v>
      </c>
    </row>
    <row r="674" spans="1:28">
      <c r="A674" s="136">
        <v>874</v>
      </c>
      <c r="B674" s="102" t="s">
        <v>380</v>
      </c>
      <c r="C674" s="102"/>
      <c r="D674" s="102"/>
      <c r="E674" s="116">
        <f>+G674-Adjustments!H674</f>
        <v>0</v>
      </c>
      <c r="F674" s="116"/>
      <c r="G674" s="116"/>
      <c r="H674" s="116"/>
      <c r="I674" s="116"/>
      <c r="J674" s="116"/>
      <c r="K674" s="116"/>
      <c r="L674" s="116"/>
      <c r="M674" s="116"/>
      <c r="N674" s="116"/>
      <c r="O674" s="272"/>
      <c r="P674" s="240"/>
      <c r="Q674" s="116"/>
      <c r="R674" s="116"/>
      <c r="S674" s="240"/>
      <c r="T674" s="116"/>
      <c r="U674" s="116"/>
      <c r="V674" s="273"/>
      <c r="W674" s="116"/>
      <c r="X674" s="118"/>
      <c r="Y674" s="577">
        <f t="shared" si="30"/>
        <v>665</v>
      </c>
      <c r="AA674" s="116"/>
      <c r="AB674" s="116">
        <f t="shared" si="31"/>
        <v>0</v>
      </c>
    </row>
    <row r="675" spans="1:28">
      <c r="A675" s="136"/>
      <c r="B675" s="102"/>
      <c r="C675" s="102" t="s">
        <v>14</v>
      </c>
      <c r="D675" s="102"/>
      <c r="E675" s="116">
        <f>+G675-Adjustments!H675</f>
        <v>133992.37169618532</v>
      </c>
      <c r="F675" s="116">
        <f>EXPENSES!G166</f>
        <v>12278206.640000001</v>
      </c>
      <c r="G675" s="116">
        <f>+Adjustments!AW674</f>
        <v>133992.37169618532</v>
      </c>
      <c r="H675" s="116"/>
      <c r="I675" s="116">
        <f>SUM($F$675:$H$675)</f>
        <v>12412199.011696186</v>
      </c>
      <c r="J675" s="116"/>
      <c r="K675" s="116"/>
      <c r="L675" s="116" t="s">
        <v>14</v>
      </c>
      <c r="M675" s="116">
        <f>VLOOKUP($L675,$L$2:$N$7,2,FALSE)*I675</f>
        <v>12412199.011696186</v>
      </c>
      <c r="N675" s="116">
        <f>VLOOKUP($L675,$L$2:$N$7,3,FALSE)*I675</f>
        <v>0</v>
      </c>
      <c r="O675" s="272"/>
      <c r="P675" s="207" t="s">
        <v>560</v>
      </c>
      <c r="Q675" s="116">
        <f>IF(P675="G",M675,IF(P675="PT",0,ERR))</f>
        <v>12412199.011696186</v>
      </c>
      <c r="R675" s="116">
        <f>IF(P675="PT",M675,IF(P675="G",0,ERR))</f>
        <v>0</v>
      </c>
      <c r="S675" s="240" t="s">
        <v>560</v>
      </c>
      <c r="T675" s="116">
        <f>IF(S675="G",N675,IF(S675="PT",0,ERR))</f>
        <v>0</v>
      </c>
      <c r="U675" s="116">
        <f>IF(S675="PT",N675,IF(S675="G",0,ERR))</f>
        <v>0</v>
      </c>
      <c r="V675" s="273"/>
      <c r="W675" s="116">
        <f>HLOOKUP($W$9,'ROR-Model'!$Q$10:$U$1263,Y675)</f>
        <v>12412199.011696186</v>
      </c>
      <c r="X675" s="118"/>
      <c r="Y675" s="577">
        <f t="shared" si="30"/>
        <v>666</v>
      </c>
      <c r="AA675" s="116">
        <v>12278206.640000001</v>
      </c>
      <c r="AB675" s="116">
        <f t="shared" si="31"/>
        <v>133992.37169618532</v>
      </c>
    </row>
    <row r="676" spans="1:28">
      <c r="A676" s="136"/>
      <c r="B676" s="102"/>
      <c r="C676" s="102" t="s">
        <v>24</v>
      </c>
      <c r="D676" s="102"/>
      <c r="E676" s="116">
        <f>+G676-Adjustments!H676</f>
        <v>8849.8354983116733</v>
      </c>
      <c r="F676" s="116">
        <f>EXPENSES!G167</f>
        <v>451742.14</v>
      </c>
      <c r="G676" s="116">
        <f>+Adjustments!AW675</f>
        <v>8849.8354983116733</v>
      </c>
      <c r="H676" s="116"/>
      <c r="I676" s="116">
        <f>SUM($F$676:$H$676)</f>
        <v>460591.97549831169</v>
      </c>
      <c r="J676" s="116"/>
      <c r="K676" s="116"/>
      <c r="L676" s="116" t="s">
        <v>24</v>
      </c>
      <c r="M676" s="116">
        <f>VLOOKUP($L676,$L$2:$N$7,2,FALSE)*I676</f>
        <v>0</v>
      </c>
      <c r="N676" s="116">
        <f>VLOOKUP($L676,$L$2:$N$7,3,FALSE)*I676</f>
        <v>460591.97549831169</v>
      </c>
      <c r="O676" s="272"/>
      <c r="P676" s="207" t="s">
        <v>560</v>
      </c>
      <c r="Q676" s="116">
        <f>IF(P676="G",M676,IF(P676="PT",0,ERR))</f>
        <v>0</v>
      </c>
      <c r="R676" s="116">
        <f>IF(P676="PT",M676,IF(P676="G",0,ERR))</f>
        <v>0</v>
      </c>
      <c r="S676" s="240" t="s">
        <v>560</v>
      </c>
      <c r="T676" s="116">
        <f>IF(S676="G",N676,IF(S676="PT",0,ERR))</f>
        <v>460591.97549831169</v>
      </c>
      <c r="U676" s="116">
        <f>IF(S676="PT",N676,IF(S676="G",0,ERR))</f>
        <v>0</v>
      </c>
      <c r="V676" s="273"/>
      <c r="W676" s="116">
        <f>HLOOKUP($W$9,'ROR-Model'!$Q$10:$U$1263,Y676)</f>
        <v>0</v>
      </c>
      <c r="X676" s="118"/>
      <c r="Y676" s="577">
        <f t="shared" si="30"/>
        <v>667</v>
      </c>
      <c r="AA676" s="116">
        <v>0</v>
      </c>
      <c r="AB676" s="116">
        <f t="shared" si="31"/>
        <v>0</v>
      </c>
    </row>
    <row r="677" spans="1:28">
      <c r="A677" s="136"/>
      <c r="B677" s="102"/>
      <c r="C677" s="102" t="s">
        <v>170</v>
      </c>
      <c r="D677" s="102"/>
      <c r="E677" s="131">
        <f>+G677-Adjustments!H677</f>
        <v>142842.20719449699</v>
      </c>
      <c r="F677" s="131">
        <f>SUM(F675:F676)</f>
        <v>12729948.780000001</v>
      </c>
      <c r="G677" s="131">
        <f>SUM(G675:G676)</f>
        <v>142842.20719449699</v>
      </c>
      <c r="H677" s="131">
        <f>SUM(H675:H676)</f>
        <v>0</v>
      </c>
      <c r="I677" s="131">
        <f>SUM(I675:I676)</f>
        <v>12872790.987194497</v>
      </c>
      <c r="J677" s="116"/>
      <c r="K677" s="116"/>
      <c r="L677" s="131"/>
      <c r="M677" s="131">
        <f>SUM(M675:M676)</f>
        <v>12412199.011696186</v>
      </c>
      <c r="N677" s="131">
        <f>SUM(N675:N676)</f>
        <v>460591.97549831169</v>
      </c>
      <c r="O677" s="272"/>
      <c r="P677" s="257"/>
      <c r="Q677" s="131">
        <f>SUM(Q675:Q676)</f>
        <v>12412199.011696186</v>
      </c>
      <c r="R677" s="131">
        <f>SUM(R675:R676)</f>
        <v>0</v>
      </c>
      <c r="S677" s="257"/>
      <c r="T677" s="131">
        <f>SUM(T675:T676)</f>
        <v>460591.97549831169</v>
      </c>
      <c r="U677" s="131">
        <f>SUM(U675:U676)</f>
        <v>0</v>
      </c>
      <c r="V677" s="273"/>
      <c r="W677" s="131">
        <f>HLOOKUP($W$9,'ROR-Model'!$Q$10:$U$1263,Y677)</f>
        <v>12412199.011696186</v>
      </c>
      <c r="X677" s="118"/>
      <c r="Y677" s="577">
        <f t="shared" si="30"/>
        <v>668</v>
      </c>
      <c r="AA677" s="131">
        <v>12278206.640000001</v>
      </c>
      <c r="AB677" s="116">
        <f t="shared" si="31"/>
        <v>133992.37169618532</v>
      </c>
    </row>
    <row r="678" spans="1:28">
      <c r="A678" s="136"/>
      <c r="B678" s="102"/>
      <c r="C678" s="102"/>
      <c r="D678" s="102"/>
      <c r="E678" s="116">
        <f>+G678-Adjustments!H678</f>
        <v>0</v>
      </c>
      <c r="F678" s="116"/>
      <c r="G678" s="116"/>
      <c r="H678" s="116"/>
      <c r="I678" s="116"/>
      <c r="J678" s="116"/>
      <c r="K678" s="116"/>
      <c r="L678" s="116"/>
      <c r="M678" s="116"/>
      <c r="N678" s="116"/>
      <c r="O678" s="272"/>
      <c r="P678" s="240"/>
      <c r="Q678" s="116"/>
      <c r="R678" s="116"/>
      <c r="S678" s="240"/>
      <c r="T678" s="116"/>
      <c r="U678" s="116"/>
      <c r="V678" s="273"/>
      <c r="W678" s="116"/>
      <c r="X678" s="118"/>
      <c r="Y678" s="577">
        <f t="shared" si="30"/>
        <v>669</v>
      </c>
      <c r="AA678" s="116"/>
      <c r="AB678" s="116">
        <f t="shared" si="31"/>
        <v>0</v>
      </c>
    </row>
    <row r="679" spans="1:28">
      <c r="A679" s="136">
        <v>875</v>
      </c>
      <c r="B679" s="102" t="s">
        <v>381</v>
      </c>
      <c r="C679" s="102"/>
      <c r="D679" s="102"/>
      <c r="E679" s="116">
        <f>+G679-Adjustments!H679</f>
        <v>0</v>
      </c>
      <c r="F679" s="116"/>
      <c r="G679" s="116"/>
      <c r="H679" s="116"/>
      <c r="I679" s="116"/>
      <c r="J679" s="116"/>
      <c r="K679" s="116"/>
      <c r="L679" s="116"/>
      <c r="M679" s="116"/>
      <c r="N679" s="116"/>
      <c r="O679" s="272"/>
      <c r="P679" s="240"/>
      <c r="Q679" s="116"/>
      <c r="R679" s="116"/>
      <c r="S679" s="240"/>
      <c r="T679" s="116"/>
      <c r="U679" s="116"/>
      <c r="V679" s="273"/>
      <c r="W679" s="116"/>
      <c r="X679" s="118"/>
      <c r="Y679" s="577">
        <f t="shared" si="30"/>
        <v>670</v>
      </c>
      <c r="AA679" s="116"/>
      <c r="AB679" s="116">
        <f t="shared" si="31"/>
        <v>0</v>
      </c>
    </row>
    <row r="680" spans="1:28">
      <c r="A680" s="136"/>
      <c r="B680" s="102"/>
      <c r="C680" s="102" t="s">
        <v>14</v>
      </c>
      <c r="D680" s="102"/>
      <c r="E680" s="116">
        <f>+G680-Adjustments!H680</f>
        <v>-30646.189446337987</v>
      </c>
      <c r="F680" s="116">
        <f>EXPENSES!G171</f>
        <v>2204987.8800000004</v>
      </c>
      <c r="G680" s="116">
        <f>+Adjustments!AW679</f>
        <v>-30646.189446337987</v>
      </c>
      <c r="H680" s="116"/>
      <c r="I680" s="116">
        <f>SUM($F$680:$H$680)</f>
        <v>2174341.6905536624</v>
      </c>
      <c r="J680" s="116"/>
      <c r="K680" s="116"/>
      <c r="L680" s="116" t="s">
        <v>14</v>
      </c>
      <c r="M680" s="116">
        <f>VLOOKUP($L680,$L$2:$N$7,2,FALSE)*I680</f>
        <v>2174341.6905536624</v>
      </c>
      <c r="N680" s="116">
        <f>VLOOKUP($L680,$L$2:$N$7,3,FALSE)*I680</f>
        <v>0</v>
      </c>
      <c r="O680" s="272"/>
      <c r="P680" s="207" t="s">
        <v>560</v>
      </c>
      <c r="Q680" s="116">
        <f>IF(P680="G",M680,IF(P680="PT",0,ERR))</f>
        <v>2174341.6905536624</v>
      </c>
      <c r="R680" s="116">
        <f>IF(P680="PT",M680,IF(P680="G",0,ERR))</f>
        <v>0</v>
      </c>
      <c r="S680" s="240" t="s">
        <v>560</v>
      </c>
      <c r="T680" s="116">
        <f>IF(S680="G",N680,IF(S680="PT",0,ERR))</f>
        <v>0</v>
      </c>
      <c r="U680" s="116">
        <f>IF(S680="PT",N680,IF(S680="G",0,ERR))</f>
        <v>0</v>
      </c>
      <c r="V680" s="273"/>
      <c r="W680" s="116">
        <f>HLOOKUP($W$9,'ROR-Model'!$Q$10:$U$1263,Y680)</f>
        <v>2174341.6905536624</v>
      </c>
      <c r="X680" s="118"/>
      <c r="Y680" s="577">
        <f t="shared" si="30"/>
        <v>671</v>
      </c>
      <c r="AA680" s="116">
        <v>2204987.8800000004</v>
      </c>
      <c r="AB680" s="116">
        <f t="shared" si="31"/>
        <v>-30646.189446337987</v>
      </c>
    </row>
    <row r="681" spans="1:28">
      <c r="A681" s="136"/>
      <c r="B681" s="102"/>
      <c r="C681" s="102" t="s">
        <v>24</v>
      </c>
      <c r="D681" s="102"/>
      <c r="E681" s="116">
        <f>+G681-Adjustments!H681</f>
        <v>418.22390783406445</v>
      </c>
      <c r="F681" s="116">
        <f>EXPENSES!G172</f>
        <v>139069.87000000002</v>
      </c>
      <c r="G681" s="116">
        <f>+Adjustments!AW680</f>
        <v>418.22390783406445</v>
      </c>
      <c r="H681" s="116"/>
      <c r="I681" s="116">
        <f>SUM($F$681:$H$681)</f>
        <v>139488.09390783409</v>
      </c>
      <c r="J681" s="116"/>
      <c r="K681" s="116"/>
      <c r="L681" s="116" t="s">
        <v>24</v>
      </c>
      <c r="M681" s="116">
        <f>VLOOKUP($L681,$L$2:$N$7,2,FALSE)*I681</f>
        <v>0</v>
      </c>
      <c r="N681" s="116">
        <f>VLOOKUP($L681,$L$2:$N$7,3,FALSE)*I681</f>
        <v>139488.09390783409</v>
      </c>
      <c r="O681" s="272"/>
      <c r="P681" s="207" t="s">
        <v>560</v>
      </c>
      <c r="Q681" s="116">
        <f>IF(P681="G",M681,IF(P681="PT",0,ERR))</f>
        <v>0</v>
      </c>
      <c r="R681" s="116">
        <f>IF(P681="PT",M681,IF(P681="G",0,ERR))</f>
        <v>0</v>
      </c>
      <c r="S681" s="240" t="s">
        <v>560</v>
      </c>
      <c r="T681" s="116">
        <f>IF(S681="G",N681,IF(S681="PT",0,ERR))</f>
        <v>139488.09390783409</v>
      </c>
      <c r="U681" s="116">
        <f>IF(S681="PT",N681,IF(S681="G",0,ERR))</f>
        <v>0</v>
      </c>
      <c r="V681" s="273"/>
      <c r="W681" s="116">
        <f>HLOOKUP($W$9,'ROR-Model'!$Q$10:$U$1263,Y681)</f>
        <v>0</v>
      </c>
      <c r="X681" s="118"/>
      <c r="Y681" s="577">
        <f t="shared" si="30"/>
        <v>672</v>
      </c>
      <c r="AA681" s="116">
        <v>0</v>
      </c>
      <c r="AB681" s="116">
        <f t="shared" si="31"/>
        <v>0</v>
      </c>
    </row>
    <row r="682" spans="1:28">
      <c r="A682" s="136"/>
      <c r="B682" s="102"/>
      <c r="C682" s="102" t="s">
        <v>170</v>
      </c>
      <c r="D682" s="102"/>
      <c r="E682" s="131">
        <f>+G682-Adjustments!H682</f>
        <v>-30227.965538503922</v>
      </c>
      <c r="F682" s="131">
        <f>SUM(F680:F681)</f>
        <v>2344057.7500000005</v>
      </c>
      <c r="G682" s="131">
        <f>SUM(G680:G681)</f>
        <v>-30227.965538503922</v>
      </c>
      <c r="H682" s="131">
        <f>SUM(H680:H681)</f>
        <v>0</v>
      </c>
      <c r="I682" s="131">
        <f>SUM(I680:I681)</f>
        <v>2313829.7844614964</v>
      </c>
      <c r="J682" s="116"/>
      <c r="K682" s="116"/>
      <c r="L682" s="131"/>
      <c r="M682" s="131">
        <f>SUM(M680:M681)</f>
        <v>2174341.6905536624</v>
      </c>
      <c r="N682" s="131">
        <f>SUM(N680:N681)</f>
        <v>139488.09390783409</v>
      </c>
      <c r="O682" s="272"/>
      <c r="P682" s="257"/>
      <c r="Q682" s="131">
        <f>SUM(Q680:Q681)</f>
        <v>2174341.6905536624</v>
      </c>
      <c r="R682" s="131">
        <f>SUM(R680:R681)</f>
        <v>0</v>
      </c>
      <c r="S682" s="257"/>
      <c r="T682" s="131">
        <f>SUM(T680:T681)</f>
        <v>139488.09390783409</v>
      </c>
      <c r="U682" s="131">
        <f>SUM(U680:U681)</f>
        <v>0</v>
      </c>
      <c r="V682" s="273"/>
      <c r="W682" s="131">
        <f>HLOOKUP($W$9,'ROR-Model'!$Q$10:$U$1263,Y682)</f>
        <v>2174341.6905536624</v>
      </c>
      <c r="X682" s="118"/>
      <c r="Y682" s="577">
        <f t="shared" si="30"/>
        <v>673</v>
      </c>
      <c r="AA682" s="131">
        <v>2204987.8800000004</v>
      </c>
      <c r="AB682" s="116">
        <f t="shared" si="31"/>
        <v>-30646.189446337987</v>
      </c>
    </row>
    <row r="683" spans="1:28">
      <c r="A683" s="136"/>
      <c r="B683" s="102"/>
      <c r="C683" s="102"/>
      <c r="D683" s="102"/>
      <c r="E683" s="116">
        <f>+G683-Adjustments!H683</f>
        <v>0</v>
      </c>
      <c r="F683" s="116"/>
      <c r="G683" s="116"/>
      <c r="H683" s="116"/>
      <c r="I683" s="116"/>
      <c r="J683" s="116"/>
      <c r="K683" s="116"/>
      <c r="L683" s="116"/>
      <c r="M683" s="116"/>
      <c r="N683" s="116"/>
      <c r="O683" s="272"/>
      <c r="P683" s="240"/>
      <c r="Q683" s="116"/>
      <c r="R683" s="116"/>
      <c r="S683" s="240"/>
      <c r="T683" s="116"/>
      <c r="U683" s="116"/>
      <c r="V683" s="273"/>
      <c r="W683" s="116"/>
      <c r="X683" s="118"/>
      <c r="Y683" s="577">
        <f t="shared" si="30"/>
        <v>674</v>
      </c>
      <c r="AA683" s="116"/>
      <c r="AB683" s="116">
        <f t="shared" si="31"/>
        <v>0</v>
      </c>
    </row>
    <row r="684" spans="1:28">
      <c r="A684" s="136">
        <v>878</v>
      </c>
      <c r="B684" s="102" t="s">
        <v>382</v>
      </c>
      <c r="C684" s="102"/>
      <c r="D684" s="102"/>
      <c r="E684" s="116">
        <f>+G684-Adjustments!H684</f>
        <v>0</v>
      </c>
      <c r="F684" s="116"/>
      <c r="G684" s="116"/>
      <c r="H684" s="116"/>
      <c r="I684" s="116"/>
      <c r="J684" s="116"/>
      <c r="K684" s="116"/>
      <c r="L684" s="116"/>
      <c r="M684" s="116"/>
      <c r="N684" s="116"/>
      <c r="O684" s="272"/>
      <c r="P684" s="240"/>
      <c r="Q684" s="116"/>
      <c r="R684" s="116"/>
      <c r="S684" s="240"/>
      <c r="T684" s="116"/>
      <c r="U684" s="116"/>
      <c r="V684" s="273"/>
      <c r="W684" s="116"/>
      <c r="X684" s="118"/>
      <c r="Y684" s="577">
        <f t="shared" si="30"/>
        <v>675</v>
      </c>
      <c r="AA684" s="116"/>
      <c r="AB684" s="116">
        <f t="shared" si="31"/>
        <v>0</v>
      </c>
    </row>
    <row r="685" spans="1:28">
      <c r="A685" s="136"/>
      <c r="B685" s="102"/>
      <c r="C685" s="102" t="s">
        <v>14</v>
      </c>
      <c r="D685" s="102"/>
      <c r="E685" s="116">
        <f>+G685-Adjustments!H685</f>
        <v>-73519.496413615067</v>
      </c>
      <c r="F685" s="116">
        <f>EXPENSES!G176</f>
        <v>2725264.3499999996</v>
      </c>
      <c r="G685" s="116">
        <f>+Adjustments!AW684</f>
        <v>-73519.496413615067</v>
      </c>
      <c r="H685" s="116"/>
      <c r="I685" s="116">
        <f>SUM($F$685:$H$685)</f>
        <v>2651744.8535863846</v>
      </c>
      <c r="J685" s="116"/>
      <c r="K685" s="116"/>
      <c r="L685" s="116" t="s">
        <v>14</v>
      </c>
      <c r="M685" s="116">
        <f>VLOOKUP($L685,$L$2:$N$7,2,FALSE)*I685</f>
        <v>2651744.8535863846</v>
      </c>
      <c r="N685" s="116">
        <f>VLOOKUP($L685,$L$2:$N$7,3,FALSE)*I685</f>
        <v>0</v>
      </c>
      <c r="O685" s="272"/>
      <c r="P685" s="207" t="s">
        <v>560</v>
      </c>
      <c r="Q685" s="116">
        <f>IF(P685="G",M685,IF(P685="PT",0,ERR))</f>
        <v>2651744.8535863846</v>
      </c>
      <c r="R685" s="116">
        <f>IF(P685="PT",M685,IF(P685="G",0,ERR))</f>
        <v>0</v>
      </c>
      <c r="S685" s="240" t="s">
        <v>560</v>
      </c>
      <c r="T685" s="116">
        <f>IF(S685="G",N685,IF(S685="PT",0,ERR))</f>
        <v>0</v>
      </c>
      <c r="U685" s="116">
        <f>IF(S685="PT",N685,IF(S685="G",0,ERR))</f>
        <v>0</v>
      </c>
      <c r="V685" s="273"/>
      <c r="W685" s="116">
        <f>HLOOKUP($W$9,'ROR-Model'!$Q$10:$U$1263,Y685)</f>
        <v>2651744.8535863846</v>
      </c>
      <c r="X685" s="118"/>
      <c r="Y685" s="577">
        <f t="shared" si="30"/>
        <v>676</v>
      </c>
      <c r="AA685" s="116">
        <v>2725264.3499999996</v>
      </c>
      <c r="AB685" s="116">
        <f t="shared" si="31"/>
        <v>-73519.496413615067</v>
      </c>
    </row>
    <row r="686" spans="1:28">
      <c r="A686" s="136"/>
      <c r="B686" s="102"/>
      <c r="C686" s="102" t="s">
        <v>24</v>
      </c>
      <c r="D686" s="102"/>
      <c r="E686" s="116">
        <f>+G686-Adjustments!H686</f>
        <v>-6184.8497864376113</v>
      </c>
      <c r="F686" s="116">
        <f>EXPENSES!G177</f>
        <v>214421.77</v>
      </c>
      <c r="G686" s="116">
        <f>+Adjustments!AW685</f>
        <v>-6184.8497864376113</v>
      </c>
      <c r="H686" s="116"/>
      <c r="I686" s="116">
        <f>SUM($F$686:$H$686)</f>
        <v>208236.92021356238</v>
      </c>
      <c r="J686" s="116"/>
      <c r="K686" s="116"/>
      <c r="L686" s="116" t="s">
        <v>24</v>
      </c>
      <c r="M686" s="116">
        <f>VLOOKUP($L686,$L$2:$N$7,2,FALSE)*I686</f>
        <v>0</v>
      </c>
      <c r="N686" s="116">
        <f>VLOOKUP($L686,$L$2:$N$7,3,FALSE)*I686</f>
        <v>208236.92021356238</v>
      </c>
      <c r="O686" s="272"/>
      <c r="P686" s="207" t="s">
        <v>560</v>
      </c>
      <c r="Q686" s="116">
        <f>IF(P686="G",M686,IF(P686="PT",0,ERR))</f>
        <v>0</v>
      </c>
      <c r="R686" s="116">
        <f>IF(P686="PT",M686,IF(P686="G",0,ERR))</f>
        <v>0</v>
      </c>
      <c r="S686" s="240" t="s">
        <v>560</v>
      </c>
      <c r="T686" s="116">
        <f>IF(S686="G",N686,IF(S686="PT",0,ERR))</f>
        <v>208236.92021356238</v>
      </c>
      <c r="U686" s="116">
        <f>IF(S686="PT",N686,IF(S686="G",0,ERR))</f>
        <v>0</v>
      </c>
      <c r="V686" s="273"/>
      <c r="W686" s="116">
        <f>HLOOKUP($W$9,'ROR-Model'!$Q$10:$U$1263,Y686)</f>
        <v>0</v>
      </c>
      <c r="X686" s="118"/>
      <c r="Y686" s="577">
        <f t="shared" si="30"/>
        <v>677</v>
      </c>
      <c r="AA686" s="116">
        <v>0</v>
      </c>
      <c r="AB686" s="116">
        <f t="shared" si="31"/>
        <v>0</v>
      </c>
    </row>
    <row r="687" spans="1:28">
      <c r="A687" s="136"/>
      <c r="B687" s="102"/>
      <c r="C687" s="102" t="s">
        <v>170</v>
      </c>
      <c r="D687" s="102"/>
      <c r="E687" s="131">
        <f>+G687-Adjustments!H687</f>
        <v>-79704.346200052678</v>
      </c>
      <c r="F687" s="131">
        <f>SUM(F685:F686)</f>
        <v>2939686.1199999996</v>
      </c>
      <c r="G687" s="131">
        <f>SUM(G685:G686)</f>
        <v>-79704.346200052678</v>
      </c>
      <c r="H687" s="131">
        <f>SUM(H685:H686)</f>
        <v>0</v>
      </c>
      <c r="I687" s="131">
        <f>SUM(I685:I686)</f>
        <v>2859981.773799947</v>
      </c>
      <c r="J687" s="116"/>
      <c r="K687" s="116"/>
      <c r="L687" s="131"/>
      <c r="M687" s="131">
        <f>SUM(M685:M686)</f>
        <v>2651744.8535863846</v>
      </c>
      <c r="N687" s="131">
        <f>SUM(N685:N686)</f>
        <v>208236.92021356238</v>
      </c>
      <c r="O687" s="272"/>
      <c r="P687" s="257"/>
      <c r="Q687" s="131">
        <f>SUM(Q685:Q686)</f>
        <v>2651744.8535863846</v>
      </c>
      <c r="R687" s="131">
        <f>SUM(R685:R686)</f>
        <v>0</v>
      </c>
      <c r="S687" s="257"/>
      <c r="T687" s="131">
        <f>SUM(T685:T686)</f>
        <v>208236.92021356238</v>
      </c>
      <c r="U687" s="131">
        <f>SUM(U685:U686)</f>
        <v>0</v>
      </c>
      <c r="V687" s="273"/>
      <c r="W687" s="131">
        <f>HLOOKUP($W$9,'ROR-Model'!$Q$10:$U$1263,Y687)</f>
        <v>2651744.8535863846</v>
      </c>
      <c r="X687" s="118"/>
      <c r="Y687" s="577">
        <f t="shared" si="30"/>
        <v>678</v>
      </c>
      <c r="AA687" s="131">
        <v>2725264.3499999996</v>
      </c>
      <c r="AB687" s="116">
        <f t="shared" si="31"/>
        <v>-73519.496413615067</v>
      </c>
    </row>
    <row r="688" spans="1:28">
      <c r="A688" s="136"/>
      <c r="B688" s="102"/>
      <c r="C688" s="102"/>
      <c r="D688" s="102"/>
      <c r="E688" s="116">
        <f>+G688-Adjustments!H688</f>
        <v>0</v>
      </c>
      <c r="F688" s="116"/>
      <c r="G688" s="116"/>
      <c r="H688" s="116"/>
      <c r="I688" s="116"/>
      <c r="J688" s="116"/>
      <c r="K688" s="116"/>
      <c r="L688" s="116"/>
      <c r="M688" s="116"/>
      <c r="N688" s="116"/>
      <c r="O688" s="272"/>
      <c r="P688" s="240"/>
      <c r="Q688" s="116"/>
      <c r="R688" s="116"/>
      <c r="S688" s="240"/>
      <c r="T688" s="116"/>
      <c r="U688" s="116"/>
      <c r="V688" s="273"/>
      <c r="W688" s="116"/>
      <c r="X688" s="118"/>
      <c r="Y688" s="577">
        <f t="shared" si="30"/>
        <v>679</v>
      </c>
      <c r="AA688" s="116"/>
      <c r="AB688" s="116">
        <f t="shared" si="31"/>
        <v>0</v>
      </c>
    </row>
    <row r="689" spans="1:28">
      <c r="A689" s="136">
        <v>879</v>
      </c>
      <c r="B689" s="102" t="s">
        <v>383</v>
      </c>
      <c r="C689" s="102"/>
      <c r="D689" s="102"/>
      <c r="E689" s="116">
        <f>+G689-Adjustments!H689</f>
        <v>0</v>
      </c>
      <c r="F689" s="116"/>
      <c r="G689" s="116"/>
      <c r="H689" s="116"/>
      <c r="I689" s="116"/>
      <c r="J689" s="116"/>
      <c r="K689" s="116"/>
      <c r="L689" s="116"/>
      <c r="M689" s="116"/>
      <c r="N689" s="116"/>
      <c r="O689" s="272"/>
      <c r="P689" s="240"/>
      <c r="Q689" s="116"/>
      <c r="R689" s="116"/>
      <c r="S689" s="240"/>
      <c r="T689" s="116"/>
      <c r="U689" s="116"/>
      <c r="V689" s="273"/>
      <c r="W689" s="116"/>
      <c r="X689" s="118"/>
      <c r="Y689" s="577">
        <f t="shared" si="30"/>
        <v>680</v>
      </c>
      <c r="AA689" s="116"/>
      <c r="AB689" s="116">
        <f t="shared" si="31"/>
        <v>0</v>
      </c>
    </row>
    <row r="690" spans="1:28">
      <c r="A690" s="136"/>
      <c r="B690" s="102"/>
      <c r="C690" s="102" t="s">
        <v>14</v>
      </c>
      <c r="D690" s="102"/>
      <c r="E690" s="116">
        <f>+G690-Adjustments!H690</f>
        <v>-86664.959067521617</v>
      </c>
      <c r="F690" s="116">
        <f>EXPENSES!G181</f>
        <v>2960079.4000000004</v>
      </c>
      <c r="G690" s="116">
        <f>+Adjustments!AW689</f>
        <v>-86664.959067521617</v>
      </c>
      <c r="H690" s="116"/>
      <c r="I690" s="116">
        <f>SUM($F$690:$H$690)</f>
        <v>2873414.4409324788</v>
      </c>
      <c r="J690" s="116"/>
      <c r="K690" s="116"/>
      <c r="L690" s="116" t="s">
        <v>14</v>
      </c>
      <c r="M690" s="116">
        <f>VLOOKUP($L690,$L$2:$N$7,2,FALSE)*I690</f>
        <v>2873414.4409324788</v>
      </c>
      <c r="N690" s="116">
        <f>VLOOKUP($L690,$L$2:$N$7,3,FALSE)*I690</f>
        <v>0</v>
      </c>
      <c r="O690" s="272"/>
      <c r="P690" s="207" t="s">
        <v>560</v>
      </c>
      <c r="Q690" s="116">
        <f>IF(P690="G",M690,IF(P690="PT",0,ERR))</f>
        <v>2873414.4409324788</v>
      </c>
      <c r="R690" s="116">
        <f>IF(P690="PT",M690,IF(P690="G",0,ERR))</f>
        <v>0</v>
      </c>
      <c r="S690" s="240" t="s">
        <v>560</v>
      </c>
      <c r="T690" s="116">
        <f>IF(S690="G",N690,IF(S690="PT",0,ERR))</f>
        <v>0</v>
      </c>
      <c r="U690" s="116">
        <f>IF(S690="PT",N690,IF(S690="G",0,ERR))</f>
        <v>0</v>
      </c>
      <c r="V690" s="273"/>
      <c r="W690" s="116">
        <f>HLOOKUP($W$9,'ROR-Model'!$Q$10:$U$1263,Y690)</f>
        <v>2873414.4409324788</v>
      </c>
      <c r="X690" s="118"/>
      <c r="Y690" s="577">
        <f t="shared" si="30"/>
        <v>681</v>
      </c>
      <c r="AA690" s="116">
        <v>2960079.4000000004</v>
      </c>
      <c r="AB690" s="116">
        <f t="shared" si="31"/>
        <v>-86664.959067521617</v>
      </c>
    </row>
    <row r="691" spans="1:28">
      <c r="A691" s="136"/>
      <c r="B691" s="102"/>
      <c r="C691" s="102" t="s">
        <v>24</v>
      </c>
      <c r="D691" s="102"/>
      <c r="E691" s="116">
        <f>+G691-Adjustments!H691</f>
        <v>-2851.6980095797626</v>
      </c>
      <c r="F691" s="116">
        <f>EXPENSES!G182</f>
        <v>118847.07999999999</v>
      </c>
      <c r="G691" s="116">
        <f>+Adjustments!AW690</f>
        <v>-2851.6980095797626</v>
      </c>
      <c r="H691" s="116"/>
      <c r="I691" s="116">
        <f>SUM($F$691:$H$691)</f>
        <v>115995.38199042022</v>
      </c>
      <c r="J691" s="116"/>
      <c r="K691" s="116"/>
      <c r="L691" s="116" t="s">
        <v>24</v>
      </c>
      <c r="M691" s="116">
        <f>VLOOKUP($L691,$L$2:$N$7,2,FALSE)*I691</f>
        <v>0</v>
      </c>
      <c r="N691" s="116">
        <f>VLOOKUP($L691,$L$2:$N$7,3,FALSE)*I691</f>
        <v>115995.38199042022</v>
      </c>
      <c r="O691" s="272"/>
      <c r="P691" s="207" t="s">
        <v>560</v>
      </c>
      <c r="Q691" s="116">
        <f>IF(P691="G",M691,IF(P691="PT",0,ERR))</f>
        <v>0</v>
      </c>
      <c r="R691" s="116">
        <f>IF(P691="PT",M691,IF(P691="G",0,ERR))</f>
        <v>0</v>
      </c>
      <c r="S691" s="240" t="s">
        <v>560</v>
      </c>
      <c r="T691" s="116">
        <f>IF(S691="G",N691,IF(S691="PT",0,ERR))</f>
        <v>115995.38199042022</v>
      </c>
      <c r="U691" s="116">
        <f>IF(S691="PT",N691,IF(S691="G",0,ERR))</f>
        <v>0</v>
      </c>
      <c r="V691" s="273"/>
      <c r="W691" s="116">
        <f>HLOOKUP($W$9,'ROR-Model'!$Q$10:$U$1263,Y691)</f>
        <v>0</v>
      </c>
      <c r="X691" s="118"/>
      <c r="Y691" s="577">
        <f t="shared" si="30"/>
        <v>682</v>
      </c>
      <c r="AA691" s="116">
        <v>0</v>
      </c>
      <c r="AB691" s="116">
        <f t="shared" si="31"/>
        <v>0</v>
      </c>
    </row>
    <row r="692" spans="1:28">
      <c r="A692" s="136"/>
      <c r="B692" s="102"/>
      <c r="C692" s="102" t="s">
        <v>170</v>
      </c>
      <c r="D692" s="102"/>
      <c r="E692" s="131">
        <f>+G692-Adjustments!H692</f>
        <v>-89516.657077101379</v>
      </c>
      <c r="F692" s="131">
        <f>SUM(F690:F691)</f>
        <v>3078926.4800000004</v>
      </c>
      <c r="G692" s="131">
        <f>SUM(G690:G691)</f>
        <v>-89516.657077101379</v>
      </c>
      <c r="H692" s="131">
        <f>SUM(H690:H691)</f>
        <v>0</v>
      </c>
      <c r="I692" s="131">
        <f>SUM(I690:I691)</f>
        <v>2989409.8229228989</v>
      </c>
      <c r="J692" s="116"/>
      <c r="K692" s="116"/>
      <c r="L692" s="131"/>
      <c r="M692" s="131">
        <f>SUM(M690:M691)</f>
        <v>2873414.4409324788</v>
      </c>
      <c r="N692" s="131">
        <f>SUM(N690:N691)</f>
        <v>115995.38199042022</v>
      </c>
      <c r="O692" s="272"/>
      <c r="P692" s="257"/>
      <c r="Q692" s="131">
        <f>SUM(Q690:Q691)</f>
        <v>2873414.4409324788</v>
      </c>
      <c r="R692" s="131">
        <f>SUM(R690:R691)</f>
        <v>0</v>
      </c>
      <c r="S692" s="257"/>
      <c r="T692" s="131">
        <f>SUM(T690:T691)</f>
        <v>115995.38199042022</v>
      </c>
      <c r="U692" s="131">
        <f>SUM(U690:U691)</f>
        <v>0</v>
      </c>
      <c r="V692" s="273"/>
      <c r="W692" s="131">
        <f>HLOOKUP($W$9,'ROR-Model'!$Q$10:$U$1263,Y692)</f>
        <v>2873414.4409324788</v>
      </c>
      <c r="X692" s="118"/>
      <c r="Y692" s="577">
        <f t="shared" si="30"/>
        <v>683</v>
      </c>
      <c r="AA692" s="131">
        <v>2960079.4000000004</v>
      </c>
      <c r="AB692" s="116">
        <f t="shared" si="31"/>
        <v>-86664.959067521617</v>
      </c>
    </row>
    <row r="693" spans="1:28">
      <c r="A693" s="136"/>
      <c r="B693" s="102"/>
      <c r="C693" s="102"/>
      <c r="D693" s="102"/>
      <c r="E693" s="116">
        <f>+G693-Adjustments!H693</f>
        <v>0</v>
      </c>
      <c r="F693" s="116"/>
      <c r="G693" s="116"/>
      <c r="H693" s="116"/>
      <c r="I693" s="116"/>
      <c r="J693" s="116"/>
      <c r="K693" s="116"/>
      <c r="L693" s="116"/>
      <c r="M693" s="116"/>
      <c r="N693" s="116"/>
      <c r="O693" s="272"/>
      <c r="P693" s="240"/>
      <c r="Q693" s="116"/>
      <c r="R693" s="116"/>
      <c r="S693" s="240"/>
      <c r="T693" s="116"/>
      <c r="U693" s="116"/>
      <c r="V693" s="273"/>
      <c r="W693" s="116"/>
      <c r="X693" s="118"/>
      <c r="Y693" s="577">
        <f t="shared" si="30"/>
        <v>684</v>
      </c>
      <c r="AA693" s="116"/>
      <c r="AB693" s="116">
        <f t="shared" si="31"/>
        <v>0</v>
      </c>
    </row>
    <row r="694" spans="1:28">
      <c r="A694" s="136">
        <v>880</v>
      </c>
      <c r="B694" s="102" t="s">
        <v>384</v>
      </c>
      <c r="C694" s="102"/>
      <c r="D694" s="102"/>
      <c r="E694" s="116">
        <f>+G694-Adjustments!H694</f>
        <v>0</v>
      </c>
      <c r="F694" s="116"/>
      <c r="G694" s="116"/>
      <c r="H694" s="116"/>
      <c r="I694" s="116"/>
      <c r="J694" s="116"/>
      <c r="K694" s="116"/>
      <c r="L694" s="116"/>
      <c r="M694" s="116"/>
      <c r="N694" s="116"/>
      <c r="O694" s="272"/>
      <c r="P694" s="240"/>
      <c r="Q694" s="116"/>
      <c r="R694" s="116"/>
      <c r="S694" s="240"/>
      <c r="T694" s="116"/>
      <c r="U694" s="116"/>
      <c r="V694" s="273"/>
      <c r="W694" s="116"/>
      <c r="X694" s="118"/>
      <c r="Y694" s="577">
        <f t="shared" si="30"/>
        <v>685</v>
      </c>
      <c r="AA694" s="116"/>
      <c r="AB694" s="116">
        <f t="shared" si="31"/>
        <v>0</v>
      </c>
    </row>
    <row r="695" spans="1:28">
      <c r="A695" s="136"/>
      <c r="B695" s="102"/>
      <c r="C695" s="102" t="s">
        <v>14</v>
      </c>
      <c r="D695" s="102"/>
      <c r="E695" s="116">
        <f>+G695-Adjustments!H695</f>
        <v>-171665.41547992267</v>
      </c>
      <c r="F695" s="116">
        <f>EXPENSES!G186</f>
        <v>7913746.8099999987</v>
      </c>
      <c r="G695" s="116">
        <f>+Adjustments!AW694</f>
        <v>-171665.41547992267</v>
      </c>
      <c r="H695" s="116"/>
      <c r="I695" s="116">
        <f>SUM($F$695:$H$695)</f>
        <v>7742081.394520076</v>
      </c>
      <c r="J695" s="116"/>
      <c r="K695" s="116"/>
      <c r="L695" s="116" t="s">
        <v>14</v>
      </c>
      <c r="M695" s="116">
        <f>VLOOKUP($L695,$L$2:$N$7,2,FALSE)*I695</f>
        <v>7742081.394520076</v>
      </c>
      <c r="N695" s="116">
        <f>VLOOKUP($L695,$L$2:$N$7,3,FALSE)*I695</f>
        <v>0</v>
      </c>
      <c r="O695" s="272"/>
      <c r="P695" s="207" t="s">
        <v>560</v>
      </c>
      <c r="Q695" s="116">
        <f>IF(P695="G",M695,IF(P695="PT",0,ERR))</f>
        <v>7742081.394520076</v>
      </c>
      <c r="R695" s="116">
        <f>IF(P695="PT",M695,IF(P695="G",0,ERR))</f>
        <v>0</v>
      </c>
      <c r="S695" s="240" t="s">
        <v>560</v>
      </c>
      <c r="T695" s="116">
        <f>IF(S695="G",N695,IF(S695="PT",0,ERR))</f>
        <v>0</v>
      </c>
      <c r="U695" s="116">
        <f>IF(S695="PT",N695,IF(S695="G",0,ERR))</f>
        <v>0</v>
      </c>
      <c r="V695" s="273"/>
      <c r="W695" s="116">
        <f>HLOOKUP($W$9,'ROR-Model'!$Q$10:$U$1263,Y695)</f>
        <v>7742081.394520076</v>
      </c>
      <c r="X695" s="118"/>
      <c r="Y695" s="577">
        <f t="shared" si="30"/>
        <v>686</v>
      </c>
      <c r="AA695" s="116">
        <v>7913746.8099999987</v>
      </c>
      <c r="AB695" s="116">
        <f t="shared" si="31"/>
        <v>-171665.41547992267</v>
      </c>
    </row>
    <row r="696" spans="1:28">
      <c r="A696" s="136"/>
      <c r="B696" s="102"/>
      <c r="C696" s="102" t="s">
        <v>24</v>
      </c>
      <c r="D696" s="102"/>
      <c r="E696" s="116">
        <f>+G696-Adjustments!H696</f>
        <v>-14026.391142270761</v>
      </c>
      <c r="F696" s="116">
        <f>EXPENSES!G187</f>
        <v>652900.72000000009</v>
      </c>
      <c r="G696" s="116">
        <f>+Adjustments!AW695</f>
        <v>-14026.391142270761</v>
      </c>
      <c r="H696" s="116"/>
      <c r="I696" s="116">
        <f>SUM($F$696:$H$696)</f>
        <v>638874.32885772933</v>
      </c>
      <c r="J696" s="116"/>
      <c r="K696" s="116"/>
      <c r="L696" s="116" t="s">
        <v>24</v>
      </c>
      <c r="M696" s="116">
        <f>VLOOKUP($L696,$L$2:$N$7,2,FALSE)*I696</f>
        <v>0</v>
      </c>
      <c r="N696" s="116">
        <f>VLOOKUP($L696,$L$2:$N$7,3,FALSE)*I696</f>
        <v>638874.32885772933</v>
      </c>
      <c r="O696" s="272"/>
      <c r="P696" s="207" t="s">
        <v>560</v>
      </c>
      <c r="Q696" s="116">
        <f>IF(P696="G",M696,IF(P696="PT",0,ERR))</f>
        <v>0</v>
      </c>
      <c r="R696" s="116">
        <f>IF(P696="PT",M696,IF(P696="G",0,ERR))</f>
        <v>0</v>
      </c>
      <c r="S696" s="240" t="s">
        <v>560</v>
      </c>
      <c r="T696" s="116">
        <f>IF(S696="G",N696,IF(S696="PT",0,ERR))</f>
        <v>638874.32885772933</v>
      </c>
      <c r="U696" s="116">
        <f>IF(S696="PT",N696,IF(S696="G",0,ERR))</f>
        <v>0</v>
      </c>
      <c r="V696" s="273"/>
      <c r="W696" s="116">
        <f>HLOOKUP($W$9,'ROR-Model'!$Q$10:$U$1263,Y696)</f>
        <v>0</v>
      </c>
      <c r="X696" s="118"/>
      <c r="Y696" s="577">
        <f t="shared" si="30"/>
        <v>687</v>
      </c>
      <c r="AA696" s="116">
        <v>0</v>
      </c>
      <c r="AB696" s="116">
        <f t="shared" si="31"/>
        <v>0</v>
      </c>
    </row>
    <row r="697" spans="1:28">
      <c r="A697" s="136"/>
      <c r="B697" s="102"/>
      <c r="C697" s="102" t="s">
        <v>170</v>
      </c>
      <c r="D697" s="102"/>
      <c r="E697" s="131">
        <f>+G697-Adjustments!H697</f>
        <v>-185691.80662219343</v>
      </c>
      <c r="F697" s="131">
        <f>SUM(F695:F696)</f>
        <v>8566647.5299999993</v>
      </c>
      <c r="G697" s="131">
        <f>SUM(G695:G696)</f>
        <v>-185691.80662219343</v>
      </c>
      <c r="H697" s="131">
        <f>SUM(H695:H696)</f>
        <v>0</v>
      </c>
      <c r="I697" s="131">
        <f>SUM(I695:I696)</f>
        <v>8380955.7233778052</v>
      </c>
      <c r="J697" s="116"/>
      <c r="K697" s="116"/>
      <c r="L697" s="131"/>
      <c r="M697" s="131">
        <f>SUM(M695:M696)</f>
        <v>7742081.394520076</v>
      </c>
      <c r="N697" s="131">
        <f>SUM(N695:N696)</f>
        <v>638874.32885772933</v>
      </c>
      <c r="O697" s="272"/>
      <c r="P697" s="257"/>
      <c r="Q697" s="131">
        <f>SUM(Q695:Q696)</f>
        <v>7742081.394520076</v>
      </c>
      <c r="R697" s="131">
        <f>SUM(R695:R696)</f>
        <v>0</v>
      </c>
      <c r="S697" s="257"/>
      <c r="T697" s="131">
        <f>SUM(T695:T696)</f>
        <v>638874.32885772933</v>
      </c>
      <c r="U697" s="131">
        <f>SUM(U695:U696)</f>
        <v>0</v>
      </c>
      <c r="V697" s="273"/>
      <c r="W697" s="131">
        <f>HLOOKUP($W$9,'ROR-Model'!$Q$10:$U$1263,Y697)</f>
        <v>7742081.394520076</v>
      </c>
      <c r="X697" s="118"/>
      <c r="Y697" s="577">
        <f t="shared" si="30"/>
        <v>688</v>
      </c>
      <c r="AA697" s="131">
        <v>7913746.8099999987</v>
      </c>
      <c r="AB697" s="116">
        <f t="shared" si="31"/>
        <v>-171665.41547992267</v>
      </c>
    </row>
    <row r="698" spans="1:28">
      <c r="A698" s="136"/>
      <c r="B698" s="102"/>
      <c r="C698" s="102"/>
      <c r="D698" s="102"/>
      <c r="E698" s="116">
        <f>+G698-Adjustments!H698</f>
        <v>0</v>
      </c>
      <c r="F698" s="116"/>
      <c r="G698" s="116"/>
      <c r="H698" s="116"/>
      <c r="I698" s="116"/>
      <c r="J698" s="116"/>
      <c r="K698" s="116"/>
      <c r="L698" s="116"/>
      <c r="M698" s="116"/>
      <c r="N698" s="116"/>
      <c r="O698" s="272"/>
      <c r="P698" s="240"/>
      <c r="Q698" s="116"/>
      <c r="R698" s="116"/>
      <c r="S698" s="240"/>
      <c r="T698" s="116"/>
      <c r="U698" s="116"/>
      <c r="V698" s="273"/>
      <c r="W698" s="116"/>
      <c r="X698" s="118"/>
      <c r="Y698" s="577">
        <f t="shared" si="30"/>
        <v>689</v>
      </c>
      <c r="AA698" s="116"/>
      <c r="AB698" s="116">
        <f t="shared" si="31"/>
        <v>0</v>
      </c>
    </row>
    <row r="699" spans="1:28">
      <c r="A699" s="136">
        <v>881</v>
      </c>
      <c r="B699" s="102" t="s">
        <v>385</v>
      </c>
      <c r="C699" s="102"/>
      <c r="D699" s="102"/>
      <c r="E699" s="116">
        <f>+G699-Adjustments!H699</f>
        <v>0</v>
      </c>
      <c r="F699" s="116"/>
      <c r="G699" s="116"/>
      <c r="H699" s="116"/>
      <c r="I699" s="116"/>
      <c r="J699" s="116"/>
      <c r="K699" s="116"/>
      <c r="L699" s="116"/>
      <c r="M699" s="116"/>
      <c r="N699" s="116"/>
      <c r="O699" s="272"/>
      <c r="P699" s="240"/>
      <c r="Q699" s="116"/>
      <c r="R699" s="116"/>
      <c r="S699" s="240"/>
      <c r="T699" s="116"/>
      <c r="U699" s="116"/>
      <c r="V699" s="273"/>
      <c r="W699" s="116"/>
      <c r="X699" s="118"/>
      <c r="Y699" s="577">
        <f t="shared" si="30"/>
        <v>690</v>
      </c>
      <c r="AA699" s="116"/>
      <c r="AB699" s="116">
        <f t="shared" si="31"/>
        <v>0</v>
      </c>
    </row>
    <row r="700" spans="1:28">
      <c r="A700" s="136"/>
      <c r="B700" s="102"/>
      <c r="C700" s="102" t="s">
        <v>14</v>
      </c>
      <c r="D700" s="102"/>
      <c r="E700" s="116">
        <f>+G700-Adjustments!H700</f>
        <v>1508.0530649999928</v>
      </c>
      <c r="F700" s="116">
        <f>EXPENSES!G191</f>
        <v>42721.05</v>
      </c>
      <c r="G700" s="116">
        <f>+Adjustments!AW699</f>
        <v>1508.0530649999928</v>
      </c>
      <c r="H700" s="116"/>
      <c r="I700" s="116">
        <f>SUM($F$700:$H$700)</f>
        <v>44229.103064999996</v>
      </c>
      <c r="J700" s="116"/>
      <c r="K700" s="116"/>
      <c r="L700" s="116" t="s">
        <v>14</v>
      </c>
      <c r="M700" s="116">
        <f>VLOOKUP($L700,$L$2:$N$7,2,FALSE)*I700</f>
        <v>44229.103064999996</v>
      </c>
      <c r="N700" s="116">
        <f>VLOOKUP($L700,$L$2:$N$7,3,FALSE)*I700</f>
        <v>0</v>
      </c>
      <c r="O700" s="272"/>
      <c r="P700" s="207" t="s">
        <v>560</v>
      </c>
      <c r="Q700" s="116">
        <f>IF(P700="G",M700,IF(P700="PT",0,ERR))</f>
        <v>44229.103064999996</v>
      </c>
      <c r="R700" s="116">
        <f>IF(P700="PT",M700,IF(P700="G",0,ERR))</f>
        <v>0</v>
      </c>
      <c r="S700" s="240" t="s">
        <v>560</v>
      </c>
      <c r="T700" s="116">
        <f>IF(S700="G",N700,IF(S700="PT",0,ERR))</f>
        <v>0</v>
      </c>
      <c r="U700" s="116">
        <f>IF(S700="PT",N700,IF(S700="G",0,ERR))</f>
        <v>0</v>
      </c>
      <c r="V700" s="273"/>
      <c r="W700" s="116">
        <f>HLOOKUP($W$9,'ROR-Model'!$Q$10:$U$1263,Y700)</f>
        <v>44229.103064999996</v>
      </c>
      <c r="X700" s="118"/>
      <c r="Y700" s="577">
        <f t="shared" si="30"/>
        <v>691</v>
      </c>
      <c r="AA700" s="116">
        <v>42721.05</v>
      </c>
      <c r="AB700" s="116">
        <f t="shared" si="31"/>
        <v>1508.0530649999928</v>
      </c>
    </row>
    <row r="701" spans="1:28">
      <c r="A701" s="136"/>
      <c r="B701" s="102"/>
      <c r="C701" s="102" t="s">
        <v>24</v>
      </c>
      <c r="D701" s="102"/>
      <c r="E701" s="116">
        <f>+G701-Adjustments!H701</f>
        <v>49.553786999999829</v>
      </c>
      <c r="F701" s="116">
        <f>EXPENSES!G192</f>
        <v>1403.7900000000002</v>
      </c>
      <c r="G701" s="116">
        <f>+Adjustments!AW700</f>
        <v>49.553786999999829</v>
      </c>
      <c r="H701" s="116"/>
      <c r="I701" s="116">
        <f>SUM($F$701:$H$701)</f>
        <v>1453.343787</v>
      </c>
      <c r="J701" s="116"/>
      <c r="K701" s="116"/>
      <c r="L701" s="116" t="s">
        <v>24</v>
      </c>
      <c r="M701" s="116">
        <f>VLOOKUP($L701,$L$2:$N$7,2,FALSE)*I701</f>
        <v>0</v>
      </c>
      <c r="N701" s="116">
        <f>VLOOKUP($L701,$L$2:$N$7,3,FALSE)*I701</f>
        <v>1453.343787</v>
      </c>
      <c r="O701" s="272"/>
      <c r="P701" s="207" t="s">
        <v>560</v>
      </c>
      <c r="Q701" s="116">
        <f>IF(P701="G",M701,IF(P701="PT",0,ERR))</f>
        <v>0</v>
      </c>
      <c r="R701" s="116">
        <f>IF(P701="PT",M701,IF(P701="G",0,ERR))</f>
        <v>0</v>
      </c>
      <c r="S701" s="240" t="s">
        <v>560</v>
      </c>
      <c r="T701" s="116">
        <f>IF(S701="G",N701,IF(S701="PT",0,ERR))</f>
        <v>1453.343787</v>
      </c>
      <c r="U701" s="116">
        <f>IF(S701="PT",N701,IF(S701="G",0,ERR))</f>
        <v>0</v>
      </c>
      <c r="V701" s="273"/>
      <c r="W701" s="116">
        <f>HLOOKUP($W$9,'ROR-Model'!$Q$10:$U$1263,Y701)</f>
        <v>0</v>
      </c>
      <c r="X701" s="118"/>
      <c r="Y701" s="577">
        <f t="shared" si="30"/>
        <v>692</v>
      </c>
      <c r="AA701" s="116">
        <v>0</v>
      </c>
      <c r="AB701" s="116">
        <f t="shared" si="31"/>
        <v>0</v>
      </c>
    </row>
    <row r="702" spans="1:28">
      <c r="A702" s="136"/>
      <c r="B702" s="102"/>
      <c r="C702" s="102" t="s">
        <v>170</v>
      </c>
      <c r="D702" s="102"/>
      <c r="E702" s="131">
        <f>+G702-Adjustments!H702</f>
        <v>1557.6068519999926</v>
      </c>
      <c r="F702" s="131">
        <f>SUM(F700:F701)</f>
        <v>44124.840000000004</v>
      </c>
      <c r="G702" s="131">
        <f>SUM(G700:G701)</f>
        <v>1557.6068519999926</v>
      </c>
      <c r="H702" s="131">
        <f>SUM(H700:H701)</f>
        <v>0</v>
      </c>
      <c r="I702" s="131">
        <f>SUM(I700:I701)</f>
        <v>45682.446851999994</v>
      </c>
      <c r="J702" s="116"/>
      <c r="K702" s="116"/>
      <c r="L702" s="131"/>
      <c r="M702" s="131">
        <f>SUM(M700:M701)</f>
        <v>44229.103064999996</v>
      </c>
      <c r="N702" s="131">
        <f>SUM(N700:N701)</f>
        <v>1453.343787</v>
      </c>
      <c r="O702" s="272"/>
      <c r="P702" s="257"/>
      <c r="Q702" s="131">
        <f>SUM(Q700:Q701)</f>
        <v>44229.103064999996</v>
      </c>
      <c r="R702" s="131">
        <f>SUM(R700:R701)</f>
        <v>0</v>
      </c>
      <c r="S702" s="257"/>
      <c r="T702" s="131">
        <f>SUM(T700:T701)</f>
        <v>1453.343787</v>
      </c>
      <c r="U702" s="131">
        <f>SUM(U700:U701)</f>
        <v>0</v>
      </c>
      <c r="V702" s="273"/>
      <c r="W702" s="131">
        <f>HLOOKUP($W$9,'ROR-Model'!$Q$10:$U$1263,Y702)</f>
        <v>44229.103064999996</v>
      </c>
      <c r="X702" s="118"/>
      <c r="Y702" s="577">
        <f t="shared" si="30"/>
        <v>693</v>
      </c>
      <c r="AA702" s="131">
        <v>42721.05</v>
      </c>
      <c r="AB702" s="116">
        <f t="shared" si="31"/>
        <v>1508.0530649999928</v>
      </c>
    </row>
    <row r="703" spans="1:28">
      <c r="A703" s="136"/>
      <c r="B703" s="102"/>
      <c r="C703" s="102"/>
      <c r="D703" s="102"/>
      <c r="E703" s="116">
        <f>+G703-Adjustments!H703</f>
        <v>0</v>
      </c>
      <c r="F703" s="116"/>
      <c r="G703" s="116"/>
      <c r="H703" s="116"/>
      <c r="I703" s="116"/>
      <c r="J703" s="116"/>
      <c r="K703" s="116"/>
      <c r="L703" s="116"/>
      <c r="M703" s="116"/>
      <c r="N703" s="116"/>
      <c r="O703" s="272"/>
      <c r="P703" s="240"/>
      <c r="Q703" s="116"/>
      <c r="R703" s="116"/>
      <c r="S703" s="240"/>
      <c r="T703" s="116"/>
      <c r="U703" s="116"/>
      <c r="V703" s="273"/>
      <c r="W703" s="116"/>
      <c r="X703" s="118"/>
      <c r="Y703" s="577">
        <f t="shared" si="30"/>
        <v>694</v>
      </c>
      <c r="AA703" s="116"/>
      <c r="AB703" s="116">
        <f t="shared" si="31"/>
        <v>0</v>
      </c>
    </row>
    <row r="704" spans="1:28">
      <c r="A704" s="136">
        <v>885</v>
      </c>
      <c r="B704" s="102" t="s">
        <v>386</v>
      </c>
      <c r="C704" s="102"/>
      <c r="D704" s="102"/>
      <c r="E704" s="116">
        <f>+G704-Adjustments!H704</f>
        <v>0</v>
      </c>
      <c r="F704" s="116"/>
      <c r="G704" s="116"/>
      <c r="H704" s="116"/>
      <c r="I704" s="116"/>
      <c r="J704" s="116"/>
      <c r="K704" s="116"/>
      <c r="L704" s="116"/>
      <c r="M704" s="116"/>
      <c r="N704" s="116"/>
      <c r="O704" s="272"/>
      <c r="P704" s="240"/>
      <c r="Q704" s="116"/>
      <c r="R704" s="116"/>
      <c r="S704" s="240"/>
      <c r="T704" s="116"/>
      <c r="U704" s="116"/>
      <c r="V704" s="273"/>
      <c r="W704" s="116"/>
      <c r="X704" s="118"/>
      <c r="Y704" s="577">
        <f t="shared" si="30"/>
        <v>695</v>
      </c>
      <c r="AA704" s="116"/>
      <c r="AB704" s="116">
        <f t="shared" si="31"/>
        <v>0</v>
      </c>
    </row>
    <row r="705" spans="1:28">
      <c r="A705" s="136"/>
      <c r="B705" s="102"/>
      <c r="C705" s="102" t="s">
        <v>14</v>
      </c>
      <c r="D705" s="102"/>
      <c r="E705" s="116">
        <f>+G705-Adjustments!H705</f>
        <v>23006.584073129925</v>
      </c>
      <c r="F705" s="116">
        <f>EXPENSES!G196</f>
        <v>542083.92999999993</v>
      </c>
      <c r="G705" s="116">
        <f>+Adjustments!AW704</f>
        <v>23006.584073129925</v>
      </c>
      <c r="H705" s="116"/>
      <c r="I705" s="116">
        <f>SUM($F$705:$H$705)</f>
        <v>565090.51407312986</v>
      </c>
      <c r="J705" s="116"/>
      <c r="K705" s="116"/>
      <c r="L705" s="116" t="s">
        <v>14</v>
      </c>
      <c r="M705" s="116">
        <f>VLOOKUP($L705,$L$2:$N$7,2,FALSE)*I705</f>
        <v>565090.51407312986</v>
      </c>
      <c r="N705" s="116">
        <f>VLOOKUP($L705,$L$2:$N$7,3,FALSE)*I705</f>
        <v>0</v>
      </c>
      <c r="O705" s="272"/>
      <c r="P705" s="207" t="s">
        <v>560</v>
      </c>
      <c r="Q705" s="116">
        <f>IF(P705="G",M705,IF(P705="PT",0,ERR))</f>
        <v>565090.51407312986</v>
      </c>
      <c r="R705" s="116">
        <f>IF(P705="PT",M705,IF(P705="G",0,ERR))</f>
        <v>0</v>
      </c>
      <c r="S705" s="240" t="s">
        <v>560</v>
      </c>
      <c r="T705" s="116">
        <f>IF(S705="G",N705,IF(S705="PT",0,ERR))</f>
        <v>0</v>
      </c>
      <c r="U705" s="116">
        <f>IF(S705="PT",N705,IF(S705="G",0,ERR))</f>
        <v>0</v>
      </c>
      <c r="V705" s="273"/>
      <c r="W705" s="116">
        <f>HLOOKUP($W$9,'ROR-Model'!$Q$10:$U$1263,Y705)</f>
        <v>565090.51407312986</v>
      </c>
      <c r="X705" s="118"/>
      <c r="Y705" s="577">
        <f t="shared" si="30"/>
        <v>696</v>
      </c>
      <c r="AA705" s="116">
        <v>542083.92999999993</v>
      </c>
      <c r="AB705" s="116">
        <f t="shared" si="31"/>
        <v>23006.584073129925</v>
      </c>
    </row>
    <row r="706" spans="1:28">
      <c r="A706" s="136"/>
      <c r="B706" s="102"/>
      <c r="C706" s="102" t="s">
        <v>24</v>
      </c>
      <c r="D706" s="102"/>
      <c r="E706" s="116">
        <f>+G706-Adjustments!H706</f>
        <v>693.71851667999726</v>
      </c>
      <c r="F706" s="116">
        <f>EXPENSES!G197</f>
        <v>16345.48</v>
      </c>
      <c r="G706" s="116">
        <f>+Adjustments!AW705</f>
        <v>693.71851667999726</v>
      </c>
      <c r="H706" s="116"/>
      <c r="I706" s="116">
        <f>SUM($F$706:$H$706)</f>
        <v>17039.198516679997</v>
      </c>
      <c r="J706" s="116"/>
      <c r="K706" s="116"/>
      <c r="L706" s="116" t="s">
        <v>24</v>
      </c>
      <c r="M706" s="116">
        <f>VLOOKUP($L706,$L$2:$N$7,2,FALSE)*I706</f>
        <v>0</v>
      </c>
      <c r="N706" s="116">
        <f>VLOOKUP($L706,$L$2:$N$7,3,FALSE)*I706</f>
        <v>17039.198516679997</v>
      </c>
      <c r="O706" s="272"/>
      <c r="P706" s="207" t="s">
        <v>560</v>
      </c>
      <c r="Q706" s="116">
        <f>IF(P706="G",M706,IF(P706="PT",0,ERR))</f>
        <v>0</v>
      </c>
      <c r="R706" s="116">
        <f>IF(P706="PT",M706,IF(P706="G",0,ERR))</f>
        <v>0</v>
      </c>
      <c r="S706" s="240" t="s">
        <v>560</v>
      </c>
      <c r="T706" s="116">
        <f>IF(S706="G",N706,IF(S706="PT",0,ERR))</f>
        <v>17039.198516679997</v>
      </c>
      <c r="U706" s="116">
        <f>IF(S706="PT",N706,IF(S706="G",0,ERR))</f>
        <v>0</v>
      </c>
      <c r="V706" s="273"/>
      <c r="W706" s="116">
        <f>HLOOKUP($W$9,'ROR-Model'!$Q$10:$U$1263,Y706)</f>
        <v>0</v>
      </c>
      <c r="X706" s="118"/>
      <c r="Y706" s="577">
        <f t="shared" si="30"/>
        <v>697</v>
      </c>
      <c r="AA706" s="116">
        <v>0</v>
      </c>
      <c r="AB706" s="116">
        <f t="shared" si="31"/>
        <v>0</v>
      </c>
    </row>
    <row r="707" spans="1:28">
      <c r="A707" s="136"/>
      <c r="B707" s="102"/>
      <c r="C707" s="102" t="s">
        <v>170</v>
      </c>
      <c r="D707" s="102"/>
      <c r="E707" s="131">
        <f>+G707-Adjustments!H707</f>
        <v>23700.302589809922</v>
      </c>
      <c r="F707" s="131">
        <f>SUM(F705:F706)</f>
        <v>558429.40999999992</v>
      </c>
      <c r="G707" s="131">
        <f>SUM(G705:G706)</f>
        <v>23700.302589809922</v>
      </c>
      <c r="H707" s="131">
        <f>SUM(H705:H706)</f>
        <v>0</v>
      </c>
      <c r="I707" s="131">
        <f>SUM(I705:I706)</f>
        <v>582129.7125898099</v>
      </c>
      <c r="J707" s="116"/>
      <c r="K707" s="116"/>
      <c r="L707" s="131"/>
      <c r="M707" s="131">
        <f>SUM(M705:M706)</f>
        <v>565090.51407312986</v>
      </c>
      <c r="N707" s="131">
        <f>SUM(N705:N706)</f>
        <v>17039.198516679997</v>
      </c>
      <c r="O707" s="272"/>
      <c r="P707" s="257"/>
      <c r="Q707" s="131">
        <f>SUM(Q705:Q706)</f>
        <v>565090.51407312986</v>
      </c>
      <c r="R707" s="131">
        <f>SUM(R705:R706)</f>
        <v>0</v>
      </c>
      <c r="S707" s="257"/>
      <c r="T707" s="131">
        <f>SUM(T705:T706)</f>
        <v>17039.198516679997</v>
      </c>
      <c r="U707" s="131">
        <f>SUM(U705:U706)</f>
        <v>0</v>
      </c>
      <c r="V707" s="273"/>
      <c r="W707" s="131">
        <f>HLOOKUP($W$9,'ROR-Model'!$Q$10:$U$1263,Y707)</f>
        <v>565090.51407312986</v>
      </c>
      <c r="X707" s="118"/>
      <c r="Y707" s="577">
        <f t="shared" si="30"/>
        <v>698</v>
      </c>
      <c r="AA707" s="131">
        <v>542083.92999999993</v>
      </c>
      <c r="AB707" s="116">
        <f t="shared" si="31"/>
        <v>23006.584073129925</v>
      </c>
    </row>
    <row r="708" spans="1:28">
      <c r="A708" s="136"/>
      <c r="B708" s="102"/>
      <c r="C708" s="102"/>
      <c r="D708" s="102"/>
      <c r="E708" s="116">
        <f>+G708-Adjustments!H708</f>
        <v>0</v>
      </c>
      <c r="F708" s="116"/>
      <c r="G708" s="116"/>
      <c r="H708" s="116"/>
      <c r="I708" s="116"/>
      <c r="J708" s="116"/>
      <c r="K708" s="116"/>
      <c r="L708" s="116"/>
      <c r="M708" s="116"/>
      <c r="N708" s="116"/>
      <c r="O708" s="272"/>
      <c r="P708" s="240"/>
      <c r="Q708" s="116"/>
      <c r="R708" s="116"/>
      <c r="S708" s="240"/>
      <c r="T708" s="116"/>
      <c r="U708" s="116"/>
      <c r="V708" s="273"/>
      <c r="W708" s="116"/>
      <c r="X708" s="118"/>
      <c r="Y708" s="577">
        <f t="shared" si="30"/>
        <v>699</v>
      </c>
      <c r="AA708" s="116"/>
      <c r="AB708" s="116">
        <f t="shared" si="31"/>
        <v>0</v>
      </c>
    </row>
    <row r="709" spans="1:28">
      <c r="A709" s="136">
        <v>886</v>
      </c>
      <c r="B709" s="102" t="s">
        <v>387</v>
      </c>
      <c r="C709" s="102"/>
      <c r="D709" s="102"/>
      <c r="E709" s="116">
        <f>+G709-Adjustments!H709</f>
        <v>0</v>
      </c>
      <c r="F709" s="116"/>
      <c r="G709" s="116"/>
      <c r="H709" s="116"/>
      <c r="I709" s="116"/>
      <c r="J709" s="116"/>
      <c r="K709" s="116"/>
      <c r="L709" s="116"/>
      <c r="M709" s="116"/>
      <c r="N709" s="116"/>
      <c r="O709" s="272"/>
      <c r="P709" s="240"/>
      <c r="Q709" s="116"/>
      <c r="R709" s="116"/>
      <c r="S709" s="240"/>
      <c r="T709" s="116"/>
      <c r="U709" s="116"/>
      <c r="V709" s="273"/>
      <c r="W709" s="116"/>
      <c r="X709" s="118"/>
      <c r="Y709" s="577">
        <f t="shared" si="30"/>
        <v>700</v>
      </c>
      <c r="AA709" s="116"/>
      <c r="AB709" s="116">
        <f t="shared" si="31"/>
        <v>0</v>
      </c>
    </row>
    <row r="710" spans="1:28">
      <c r="A710" s="136"/>
      <c r="B710" s="102"/>
      <c r="C710" s="165" t="s">
        <v>14</v>
      </c>
      <c r="D710" s="102"/>
      <c r="E710" s="116">
        <f>+G710-Adjustments!H710</f>
        <v>6985.9187275000149</v>
      </c>
      <c r="F710" s="116">
        <f>EXPENSES!G201</f>
        <v>88322.179999999978</v>
      </c>
      <c r="G710" s="116">
        <f>+Adjustments!AW709</f>
        <v>6985.9187275000149</v>
      </c>
      <c r="H710" s="116"/>
      <c r="I710" s="116">
        <f>SUM($F$710:$H$710)</f>
        <v>95308.098727499993</v>
      </c>
      <c r="J710" s="116"/>
      <c r="K710" s="116"/>
      <c r="L710" s="116" t="s">
        <v>14</v>
      </c>
      <c r="M710" s="116">
        <f>VLOOKUP($L710,$L$2:$N$7,2,FALSE)*I710</f>
        <v>95308.098727499993</v>
      </c>
      <c r="N710" s="116">
        <f>VLOOKUP($L710,$L$2:$N$7,3,FALSE)*I710</f>
        <v>0</v>
      </c>
      <c r="O710" s="272"/>
      <c r="P710" s="207" t="s">
        <v>560</v>
      </c>
      <c r="Q710" s="116">
        <f>IF(P710="G",M710,IF(P710="PT",0,ERR))</f>
        <v>95308.098727499993</v>
      </c>
      <c r="R710" s="116">
        <f>IF(P710="PT",M710,IF(P710="G",0,ERR))</f>
        <v>0</v>
      </c>
      <c r="S710" s="240" t="s">
        <v>560</v>
      </c>
      <c r="T710" s="116">
        <f>IF(S710="G",N710,IF(S710="PT",0,ERR))</f>
        <v>0</v>
      </c>
      <c r="U710" s="116">
        <f>IF(S710="PT",N710,IF(S710="G",0,ERR))</f>
        <v>0</v>
      </c>
      <c r="V710" s="273"/>
      <c r="W710" s="116">
        <f>HLOOKUP($W$9,'ROR-Model'!$Q$10:$U$1263,Y710)</f>
        <v>95308.098727499993</v>
      </c>
      <c r="X710" s="118"/>
      <c r="Y710" s="577">
        <f t="shared" si="30"/>
        <v>701</v>
      </c>
      <c r="AA710" s="116">
        <v>88322.179999999978</v>
      </c>
      <c r="AB710" s="116">
        <f t="shared" si="31"/>
        <v>6985.9187275000149</v>
      </c>
    </row>
    <row r="711" spans="1:28">
      <c r="A711" s="136"/>
      <c r="B711" s="102"/>
      <c r="C711" s="102" t="s">
        <v>24</v>
      </c>
      <c r="D711" s="102"/>
      <c r="E711" s="116">
        <f>+G711-Adjustments!H711</f>
        <v>-23.91250952000064</v>
      </c>
      <c r="F711" s="116">
        <f>EXPENSES!G202</f>
        <v>2954.09</v>
      </c>
      <c r="G711" s="116">
        <f>+Adjustments!AW710</f>
        <v>-23.91250952000064</v>
      </c>
      <c r="H711" s="116"/>
      <c r="I711" s="116">
        <f>SUM($F$711:$H$711)</f>
        <v>2930.1774904799995</v>
      </c>
      <c r="J711" s="116"/>
      <c r="K711" s="116"/>
      <c r="L711" s="116" t="s">
        <v>24</v>
      </c>
      <c r="M711" s="116">
        <f>VLOOKUP($L711,$L$2:$N$7,2,FALSE)*I711</f>
        <v>0</v>
      </c>
      <c r="N711" s="116">
        <f>VLOOKUP($L711,$L$2:$N$7,3,FALSE)*I711</f>
        <v>2930.1774904799995</v>
      </c>
      <c r="O711" s="272"/>
      <c r="P711" s="207" t="s">
        <v>560</v>
      </c>
      <c r="Q711" s="116">
        <f>IF(P711="G",M711,IF(P711="PT",0,ERR))</f>
        <v>0</v>
      </c>
      <c r="R711" s="116">
        <f>IF(P711="PT",M711,IF(P711="G",0,ERR))</f>
        <v>0</v>
      </c>
      <c r="S711" s="240" t="s">
        <v>560</v>
      </c>
      <c r="T711" s="116">
        <f>IF(S711="G",N711,IF(S711="PT",0,ERR))</f>
        <v>2930.1774904799995</v>
      </c>
      <c r="U711" s="116">
        <f>IF(S711="PT",N711,IF(S711="G",0,ERR))</f>
        <v>0</v>
      </c>
      <c r="V711" s="273"/>
      <c r="W711" s="116">
        <f>HLOOKUP($W$9,'ROR-Model'!$Q$10:$U$1263,Y711)</f>
        <v>0</v>
      </c>
      <c r="X711" s="118"/>
      <c r="Y711" s="577">
        <f t="shared" si="30"/>
        <v>702</v>
      </c>
      <c r="AA711" s="116">
        <v>0</v>
      </c>
      <c r="AB711" s="116">
        <f t="shared" si="31"/>
        <v>0</v>
      </c>
    </row>
    <row r="712" spans="1:28">
      <c r="A712" s="136"/>
      <c r="B712" s="102"/>
      <c r="C712" s="102" t="s">
        <v>170</v>
      </c>
      <c r="D712" s="102"/>
      <c r="E712" s="131">
        <f>+G712-Adjustments!H712</f>
        <v>6962.0062179800143</v>
      </c>
      <c r="F712" s="131">
        <f>SUM(F710:F711)</f>
        <v>91276.269999999975</v>
      </c>
      <c r="G712" s="131">
        <f>SUM(G710:G711)</f>
        <v>6962.0062179800143</v>
      </c>
      <c r="H712" s="131">
        <f>SUM(H710:H711)</f>
        <v>0</v>
      </c>
      <c r="I712" s="131">
        <f>SUM(I710:I711)</f>
        <v>98238.27621797999</v>
      </c>
      <c r="J712" s="116"/>
      <c r="K712" s="116"/>
      <c r="L712" s="131"/>
      <c r="M712" s="131">
        <f>SUM(M710:M711)</f>
        <v>95308.098727499993</v>
      </c>
      <c r="N712" s="131">
        <f>SUM(N710:N711)</f>
        <v>2930.1774904799995</v>
      </c>
      <c r="O712" s="272"/>
      <c r="P712" s="257"/>
      <c r="Q712" s="131">
        <f>SUM(Q710:Q711)</f>
        <v>95308.098727499993</v>
      </c>
      <c r="R712" s="131">
        <f>SUM(R710:R711)</f>
        <v>0</v>
      </c>
      <c r="S712" s="257"/>
      <c r="T712" s="131">
        <f>SUM(T710:T711)</f>
        <v>2930.1774904799995</v>
      </c>
      <c r="U712" s="131">
        <f>SUM(U710:U711)</f>
        <v>0</v>
      </c>
      <c r="V712" s="273"/>
      <c r="W712" s="131">
        <f>HLOOKUP($W$9,'ROR-Model'!$Q$10:$U$1263,Y712)</f>
        <v>95308.098727499993</v>
      </c>
      <c r="X712" s="118"/>
      <c r="Y712" s="577">
        <f t="shared" si="30"/>
        <v>703</v>
      </c>
      <c r="AA712" s="131">
        <v>88322.179999999978</v>
      </c>
      <c r="AB712" s="116">
        <f t="shared" si="31"/>
        <v>6985.9187275000149</v>
      </c>
    </row>
    <row r="713" spans="1:28">
      <c r="A713" s="136"/>
      <c r="B713" s="102"/>
      <c r="C713" s="102"/>
      <c r="D713" s="102"/>
      <c r="E713" s="116">
        <f>+G713-Adjustments!H713</f>
        <v>0</v>
      </c>
      <c r="F713" s="116"/>
      <c r="G713" s="116"/>
      <c r="H713" s="116"/>
      <c r="I713" s="116"/>
      <c r="J713" s="116"/>
      <c r="K713" s="116"/>
      <c r="L713" s="116"/>
      <c r="M713" s="116"/>
      <c r="N713" s="116"/>
      <c r="O713" s="272"/>
      <c r="P713" s="240"/>
      <c r="Q713" s="116"/>
      <c r="R713" s="116"/>
      <c r="S713" s="240"/>
      <c r="T713" s="116"/>
      <c r="U713" s="116"/>
      <c r="V713" s="273"/>
      <c r="W713" s="116"/>
      <c r="X713" s="118"/>
      <c r="Y713" s="577">
        <f t="shared" si="30"/>
        <v>704</v>
      </c>
      <c r="AA713" s="116"/>
      <c r="AB713" s="116">
        <f t="shared" si="31"/>
        <v>0</v>
      </c>
    </row>
    <row r="714" spans="1:28">
      <c r="A714" s="136">
        <v>887</v>
      </c>
      <c r="B714" s="102" t="s">
        <v>388</v>
      </c>
      <c r="C714" s="102"/>
      <c r="D714" s="102"/>
      <c r="E714" s="116">
        <f>+G714-Adjustments!H714</f>
        <v>0</v>
      </c>
      <c r="F714" s="116"/>
      <c r="G714" s="116"/>
      <c r="H714" s="116"/>
      <c r="I714" s="116"/>
      <c r="J714" s="116"/>
      <c r="K714" s="116"/>
      <c r="L714" s="116"/>
      <c r="M714" s="116"/>
      <c r="N714" s="116"/>
      <c r="O714" s="272"/>
      <c r="P714" s="240"/>
      <c r="Q714" s="116"/>
      <c r="R714" s="116"/>
      <c r="S714" s="240"/>
      <c r="T714" s="116"/>
      <c r="U714" s="116"/>
      <c r="V714" s="273"/>
      <c r="W714" s="116"/>
      <c r="X714" s="118"/>
      <c r="Y714" s="577">
        <f t="shared" si="30"/>
        <v>705</v>
      </c>
      <c r="AA714" s="116"/>
      <c r="AB714" s="116">
        <f t="shared" si="31"/>
        <v>0</v>
      </c>
    </row>
    <row r="715" spans="1:28">
      <c r="A715" s="136"/>
      <c r="B715" s="102"/>
      <c r="C715" s="102" t="s">
        <v>14</v>
      </c>
      <c r="D715" s="102"/>
      <c r="E715" s="116">
        <f>+G715-Adjustments!H715</f>
        <v>352846.66751114652</v>
      </c>
      <c r="F715" s="116">
        <f>EXPENSES!G206</f>
        <v>8401730.8399999999</v>
      </c>
      <c r="G715" s="116">
        <f>+Adjustments!AW714</f>
        <v>352846.66751114652</v>
      </c>
      <c r="H715" s="116"/>
      <c r="I715" s="116">
        <f>SUM($F$715:$H$715)</f>
        <v>8754577.5075111464</v>
      </c>
      <c r="J715" s="116"/>
      <c r="K715" s="116"/>
      <c r="L715" s="116" t="s">
        <v>14</v>
      </c>
      <c r="M715" s="116">
        <f>VLOOKUP($L715,$L$2:$N$7,2,FALSE)*I715</f>
        <v>8754577.5075111464</v>
      </c>
      <c r="N715" s="116">
        <f>VLOOKUP($L715,$L$2:$N$7,3,FALSE)*I715</f>
        <v>0</v>
      </c>
      <c r="O715" s="272"/>
      <c r="P715" s="207" t="s">
        <v>560</v>
      </c>
      <c r="Q715" s="116">
        <f>IF(P715="G",M715,IF(P715="PT",0,ERR))</f>
        <v>8754577.5075111464</v>
      </c>
      <c r="R715" s="116">
        <f>IF(P715="PT",M715,IF(P715="G",0,ERR))</f>
        <v>0</v>
      </c>
      <c r="S715" s="240" t="s">
        <v>560</v>
      </c>
      <c r="T715" s="116">
        <f>IF(S715="G",N715,IF(S715="PT",0,ERR))</f>
        <v>0</v>
      </c>
      <c r="U715" s="116">
        <f>IF(S715="PT",N715,IF(S715="G",0,ERR))</f>
        <v>0</v>
      </c>
      <c r="V715" s="273"/>
      <c r="W715" s="116">
        <f>HLOOKUP($W$9,'ROR-Model'!$Q$10:$U$1263,Y715)</f>
        <v>8754577.5075111464</v>
      </c>
      <c r="X715" s="118"/>
      <c r="Y715" s="577">
        <f t="shared" si="30"/>
        <v>706</v>
      </c>
      <c r="AA715" s="116">
        <v>8401730.8399999999</v>
      </c>
      <c r="AB715" s="116">
        <f t="shared" si="31"/>
        <v>352846.66751114652</v>
      </c>
    </row>
    <row r="716" spans="1:28">
      <c r="A716" s="136"/>
      <c r="B716" s="102"/>
      <c r="C716" s="102" t="s">
        <v>24</v>
      </c>
      <c r="D716" s="102"/>
      <c r="E716" s="116">
        <f>+G716-Adjustments!H716</f>
        <v>-2886.732533869028</v>
      </c>
      <c r="F716" s="116">
        <f>EXPENSES!G207</f>
        <v>133672.81999999998</v>
      </c>
      <c r="G716" s="116">
        <f>+Adjustments!AW715</f>
        <v>-2886.732533869028</v>
      </c>
      <c r="H716" s="116"/>
      <c r="I716" s="116">
        <f>SUM($F$716:$H$716)</f>
        <v>130786.08746613095</v>
      </c>
      <c r="J716" s="116"/>
      <c r="K716" s="116"/>
      <c r="L716" s="116" t="s">
        <v>24</v>
      </c>
      <c r="M716" s="116">
        <f>VLOOKUP($L716,$L$2:$N$7,2,FALSE)*I716</f>
        <v>0</v>
      </c>
      <c r="N716" s="116">
        <f>VLOOKUP($L716,$L$2:$N$7,3,FALSE)*I716</f>
        <v>130786.08746613095</v>
      </c>
      <c r="O716" s="272"/>
      <c r="P716" s="207" t="s">
        <v>560</v>
      </c>
      <c r="Q716" s="116">
        <f>IF(P716="G",M716,IF(P716="PT",0,ERR))</f>
        <v>0</v>
      </c>
      <c r="R716" s="116">
        <f>IF(P716="PT",M716,IF(P716="G",0,ERR))</f>
        <v>0</v>
      </c>
      <c r="S716" s="240" t="s">
        <v>560</v>
      </c>
      <c r="T716" s="116">
        <f>IF(S716="G",N716,IF(S716="PT",0,ERR))</f>
        <v>130786.08746613095</v>
      </c>
      <c r="U716" s="116">
        <f>IF(S716="PT",N716,IF(S716="G",0,ERR))</f>
        <v>0</v>
      </c>
      <c r="V716" s="273"/>
      <c r="W716" s="116">
        <f>HLOOKUP($W$9,'ROR-Model'!$Q$10:$U$1263,Y716)</f>
        <v>0</v>
      </c>
      <c r="X716" s="118"/>
      <c r="Y716" s="577">
        <f t="shared" si="30"/>
        <v>707</v>
      </c>
      <c r="AA716" s="116">
        <v>0</v>
      </c>
      <c r="AB716" s="116">
        <f t="shared" si="31"/>
        <v>0</v>
      </c>
    </row>
    <row r="717" spans="1:28">
      <c r="A717" s="136"/>
      <c r="B717" s="102"/>
      <c r="C717" s="102" t="s">
        <v>170</v>
      </c>
      <c r="D717" s="102"/>
      <c r="E717" s="131">
        <f>+G717-Adjustments!H717</f>
        <v>349959.93497727747</v>
      </c>
      <c r="F717" s="131">
        <f>SUM(F715:F716)</f>
        <v>8535403.6600000001</v>
      </c>
      <c r="G717" s="131">
        <f>SUM(G715:G716)</f>
        <v>349959.93497727747</v>
      </c>
      <c r="H717" s="131">
        <f>SUM(H715:H716)</f>
        <v>0</v>
      </c>
      <c r="I717" s="131">
        <f>SUM(I715:I716)</f>
        <v>8885363.5949772764</v>
      </c>
      <c r="J717" s="116"/>
      <c r="K717" s="116"/>
      <c r="L717" s="131"/>
      <c r="M717" s="131">
        <f>SUM(M715:M716)</f>
        <v>8754577.5075111464</v>
      </c>
      <c r="N717" s="131">
        <f>SUM(N715:N716)</f>
        <v>130786.08746613095</v>
      </c>
      <c r="O717" s="272"/>
      <c r="P717" s="257"/>
      <c r="Q717" s="131">
        <f>SUM(Q715:Q716)</f>
        <v>8754577.5075111464</v>
      </c>
      <c r="R717" s="131">
        <f>SUM(R715:R716)</f>
        <v>0</v>
      </c>
      <c r="S717" s="257"/>
      <c r="T717" s="131">
        <f>SUM(T715:T716)</f>
        <v>130786.08746613095</v>
      </c>
      <c r="U717" s="131">
        <f>SUM(U715:U716)</f>
        <v>0</v>
      </c>
      <c r="V717" s="273"/>
      <c r="W717" s="131">
        <f>HLOOKUP($W$9,'ROR-Model'!$Q$10:$U$1263,Y717)</f>
        <v>8754577.5075111464</v>
      </c>
      <c r="X717" s="118"/>
      <c r="Y717" s="577">
        <f t="shared" si="30"/>
        <v>708</v>
      </c>
      <c r="AA717" s="131">
        <v>8401730.8399999999</v>
      </c>
      <c r="AB717" s="116">
        <f t="shared" si="31"/>
        <v>352846.66751114652</v>
      </c>
    </row>
    <row r="718" spans="1:28">
      <c r="A718" s="136"/>
      <c r="B718" s="102"/>
      <c r="C718" s="102"/>
      <c r="D718" s="102"/>
      <c r="E718" s="116">
        <f>+G718-Adjustments!H718</f>
        <v>0</v>
      </c>
      <c r="F718" s="116"/>
      <c r="G718" s="116"/>
      <c r="H718" s="116"/>
      <c r="I718" s="116"/>
      <c r="J718" s="116"/>
      <c r="K718" s="116"/>
      <c r="L718" s="116"/>
      <c r="M718" s="116"/>
      <c r="N718" s="116"/>
      <c r="O718" s="272"/>
      <c r="P718" s="240"/>
      <c r="Q718" s="116"/>
      <c r="R718" s="116"/>
      <c r="S718" s="240"/>
      <c r="T718" s="116"/>
      <c r="U718" s="116"/>
      <c r="V718" s="273"/>
      <c r="W718" s="116"/>
      <c r="X718" s="118"/>
      <c r="Y718" s="577">
        <f t="shared" ref="Y718:Y781" si="32">Y717+1</f>
        <v>709</v>
      </c>
      <c r="AA718" s="116"/>
      <c r="AB718" s="116">
        <f t="shared" si="31"/>
        <v>0</v>
      </c>
    </row>
    <row r="719" spans="1:28">
      <c r="A719" s="136">
        <v>888</v>
      </c>
      <c r="B719" s="102" t="s">
        <v>389</v>
      </c>
      <c r="C719" s="102"/>
      <c r="D719" s="102"/>
      <c r="E719" s="116">
        <f>+G719-Adjustments!H719</f>
        <v>0</v>
      </c>
      <c r="F719" s="116"/>
      <c r="G719" s="116"/>
      <c r="H719" s="116"/>
      <c r="I719" s="116"/>
      <c r="J719" s="116"/>
      <c r="K719" s="116"/>
      <c r="L719" s="116"/>
      <c r="M719" s="116"/>
      <c r="N719" s="116"/>
      <c r="O719" s="272"/>
      <c r="P719" s="240"/>
      <c r="Q719" s="116"/>
      <c r="R719" s="116"/>
      <c r="S719" s="240"/>
      <c r="T719" s="116"/>
      <c r="U719" s="116"/>
      <c r="V719" s="273"/>
      <c r="W719" s="116"/>
      <c r="X719" s="118"/>
      <c r="Y719" s="577">
        <f t="shared" si="32"/>
        <v>710</v>
      </c>
      <c r="AA719" s="116"/>
      <c r="AB719" s="116">
        <f t="shared" si="31"/>
        <v>0</v>
      </c>
    </row>
    <row r="720" spans="1:28">
      <c r="A720" s="136"/>
      <c r="B720" s="102"/>
      <c r="C720" s="102" t="s">
        <v>14</v>
      </c>
      <c r="D720" s="102"/>
      <c r="E720" s="116">
        <f>+G720-Adjustments!H720</f>
        <v>54015.280864617787</v>
      </c>
      <c r="F720" s="116">
        <f>EXPENSES!G211</f>
        <v>973056.72</v>
      </c>
      <c r="G720" s="116">
        <f>+Adjustments!AW719</f>
        <v>54015.280864617787</v>
      </c>
      <c r="H720" s="116"/>
      <c r="I720" s="116">
        <f>SUM($F$720:$H$720)</f>
        <v>1027072.0008646178</v>
      </c>
      <c r="J720" s="116"/>
      <c r="K720" s="116"/>
      <c r="L720" s="116" t="s">
        <v>14</v>
      </c>
      <c r="M720" s="116">
        <f>VLOOKUP($L720,$L$2:$N$7,2,FALSE)*I720</f>
        <v>1027072.0008646178</v>
      </c>
      <c r="N720" s="116">
        <f>VLOOKUP($L720,$L$2:$N$7,3,FALSE)*I720</f>
        <v>0</v>
      </c>
      <c r="O720" s="272"/>
      <c r="P720" s="207" t="s">
        <v>560</v>
      </c>
      <c r="Q720" s="116">
        <f>IF(P720="G",M720,IF(P720="PT",0,ERR))</f>
        <v>1027072.0008646178</v>
      </c>
      <c r="R720" s="116">
        <f>IF(P720="PT",M720,IF(P720="G",0,ERR))</f>
        <v>0</v>
      </c>
      <c r="S720" s="240" t="s">
        <v>560</v>
      </c>
      <c r="T720" s="116">
        <f>IF(S720="G",N720,IF(S720="PT",0,ERR))</f>
        <v>0</v>
      </c>
      <c r="U720" s="116">
        <f>IF(S720="PT",N720,IF(S720="G",0,ERR))</f>
        <v>0</v>
      </c>
      <c r="V720" s="273"/>
      <c r="W720" s="116">
        <f>HLOOKUP($W$9,'ROR-Model'!$Q$10:$U$1263,Y720)</f>
        <v>1027072.0008646178</v>
      </c>
      <c r="X720" s="118"/>
      <c r="Y720" s="577">
        <f t="shared" si="32"/>
        <v>711</v>
      </c>
      <c r="AA720" s="116">
        <v>973056.72</v>
      </c>
      <c r="AB720" s="116">
        <f t="shared" si="31"/>
        <v>54015.280864617787</v>
      </c>
    </row>
    <row r="721" spans="1:28">
      <c r="A721" s="136"/>
      <c r="B721" s="102"/>
      <c r="C721" s="102" t="s">
        <v>24</v>
      </c>
      <c r="D721" s="102"/>
      <c r="E721" s="116">
        <f>+G721-Adjustments!H721</f>
        <v>1420.4636332799855</v>
      </c>
      <c r="F721" s="116">
        <f>EXPENSES!G212</f>
        <v>102474.85</v>
      </c>
      <c r="G721" s="116">
        <f>+Adjustments!AW720</f>
        <v>1420.4636332799855</v>
      </c>
      <c r="H721" s="116"/>
      <c r="I721" s="116">
        <f>SUM($F$721:$H$721)</f>
        <v>103895.31363327999</v>
      </c>
      <c r="J721" s="116"/>
      <c r="K721" s="116"/>
      <c r="L721" s="116" t="s">
        <v>24</v>
      </c>
      <c r="M721" s="116">
        <f>VLOOKUP($L721,$L$2:$N$7,2,FALSE)*I721</f>
        <v>0</v>
      </c>
      <c r="N721" s="116">
        <f>VLOOKUP($L721,$L$2:$N$7,3,FALSE)*I721</f>
        <v>103895.31363327999</v>
      </c>
      <c r="O721" s="272"/>
      <c r="P721" s="207" t="s">
        <v>560</v>
      </c>
      <c r="Q721" s="116">
        <f>IF(P721="G",M721,IF(P721="PT",0,ERR))</f>
        <v>0</v>
      </c>
      <c r="R721" s="116">
        <f>IF(P721="PT",M721,IF(P721="G",0,ERR))</f>
        <v>0</v>
      </c>
      <c r="S721" s="240" t="s">
        <v>560</v>
      </c>
      <c r="T721" s="116">
        <f>IF(S721="G",N721,IF(S721="PT",0,ERR))</f>
        <v>103895.31363327999</v>
      </c>
      <c r="U721" s="116">
        <f>IF(S721="PT",N721,IF(S721="G",0,ERR))</f>
        <v>0</v>
      </c>
      <c r="V721" s="273"/>
      <c r="W721" s="116">
        <f>HLOOKUP($W$9,'ROR-Model'!$Q$10:$U$1263,Y721)</f>
        <v>0</v>
      </c>
      <c r="X721" s="118"/>
      <c r="Y721" s="577">
        <f t="shared" si="32"/>
        <v>712</v>
      </c>
      <c r="AA721" s="116">
        <v>0</v>
      </c>
      <c r="AB721" s="116">
        <f t="shared" ref="AB721:AB784" si="33">W721-AA721</f>
        <v>0</v>
      </c>
    </row>
    <row r="722" spans="1:28">
      <c r="A722" s="136"/>
      <c r="B722" s="102"/>
      <c r="C722" s="102" t="s">
        <v>170</v>
      </c>
      <c r="D722" s="102"/>
      <c r="E722" s="131">
        <f>+G722-Adjustments!H722</f>
        <v>55435.744497897773</v>
      </c>
      <c r="F722" s="131">
        <f>SUM(F720:F721)</f>
        <v>1075531.57</v>
      </c>
      <c r="G722" s="131">
        <f>SUM(G720:G721)</f>
        <v>55435.744497897773</v>
      </c>
      <c r="H722" s="131">
        <f>SUM(H720:H721)</f>
        <v>0</v>
      </c>
      <c r="I722" s="131">
        <f>SUM(I720:I721)</f>
        <v>1130967.3144978979</v>
      </c>
      <c r="J722" s="116"/>
      <c r="K722" s="116"/>
      <c r="L722" s="131"/>
      <c r="M722" s="131">
        <f>SUM(M720:M721)</f>
        <v>1027072.0008646178</v>
      </c>
      <c r="N722" s="131">
        <f>SUM(N720:N721)</f>
        <v>103895.31363327999</v>
      </c>
      <c r="O722" s="272"/>
      <c r="P722" s="257"/>
      <c r="Q722" s="131">
        <f>SUM(Q720:Q721)</f>
        <v>1027072.0008646178</v>
      </c>
      <c r="R722" s="131">
        <f>SUM(R720:R721)</f>
        <v>0</v>
      </c>
      <c r="S722" s="257"/>
      <c r="T722" s="131">
        <f>SUM(T720:T721)</f>
        <v>103895.31363327999</v>
      </c>
      <c r="U722" s="131">
        <f>SUM(U720:U721)</f>
        <v>0</v>
      </c>
      <c r="V722" s="273"/>
      <c r="W722" s="131">
        <f>HLOOKUP($W$9,'ROR-Model'!$Q$10:$U$1263,Y722)</f>
        <v>1027072.0008646178</v>
      </c>
      <c r="X722" s="118"/>
      <c r="Y722" s="577">
        <f t="shared" si="32"/>
        <v>713</v>
      </c>
      <c r="AA722" s="131">
        <v>973056.72</v>
      </c>
      <c r="AB722" s="116">
        <f t="shared" si="33"/>
        <v>54015.280864617787</v>
      </c>
    </row>
    <row r="723" spans="1:28">
      <c r="A723" s="136"/>
      <c r="B723" s="102"/>
      <c r="C723" s="102"/>
      <c r="D723" s="102"/>
      <c r="E723" s="116">
        <f>+G723-Adjustments!H723</f>
        <v>0</v>
      </c>
      <c r="F723" s="116"/>
      <c r="G723" s="116"/>
      <c r="H723" s="116"/>
      <c r="I723" s="116"/>
      <c r="J723" s="116"/>
      <c r="K723" s="116"/>
      <c r="L723" s="116"/>
      <c r="M723" s="116"/>
      <c r="N723" s="116"/>
      <c r="O723" s="272"/>
      <c r="P723" s="240"/>
      <c r="Q723" s="116"/>
      <c r="R723" s="116"/>
      <c r="S723" s="240"/>
      <c r="T723" s="116"/>
      <c r="U723" s="116"/>
      <c r="V723" s="273"/>
      <c r="W723" s="116"/>
      <c r="X723" s="118"/>
      <c r="Y723" s="577">
        <f t="shared" si="32"/>
        <v>714</v>
      </c>
      <c r="AA723" s="116"/>
      <c r="AB723" s="116">
        <f t="shared" si="33"/>
        <v>0</v>
      </c>
    </row>
    <row r="724" spans="1:28">
      <c r="A724" s="136">
        <v>889</v>
      </c>
      <c r="B724" s="102" t="s">
        <v>391</v>
      </c>
      <c r="C724" s="102"/>
      <c r="D724" s="102"/>
      <c r="E724" s="116">
        <f>+G724-Adjustments!H724</f>
        <v>0</v>
      </c>
      <c r="F724" s="116"/>
      <c r="G724" s="116"/>
      <c r="H724" s="116"/>
      <c r="I724" s="116"/>
      <c r="J724" s="116"/>
      <c r="K724" s="116"/>
      <c r="L724" s="116"/>
      <c r="M724" s="116"/>
      <c r="N724" s="116"/>
      <c r="O724" s="272"/>
      <c r="P724" s="240"/>
      <c r="Q724" s="116"/>
      <c r="R724" s="116"/>
      <c r="S724" s="240"/>
      <c r="T724" s="116"/>
      <c r="U724" s="116"/>
      <c r="V724" s="273"/>
      <c r="W724" s="116"/>
      <c r="X724" s="118"/>
      <c r="Y724" s="577">
        <f t="shared" si="32"/>
        <v>715</v>
      </c>
      <c r="AA724" s="116"/>
      <c r="AB724" s="116">
        <f t="shared" si="33"/>
        <v>0</v>
      </c>
    </row>
    <row r="725" spans="1:28">
      <c r="A725" s="136"/>
      <c r="B725" s="102"/>
      <c r="C725" s="102" t="s">
        <v>14</v>
      </c>
      <c r="D725" s="102"/>
      <c r="E725" s="116">
        <f>+G725-Adjustments!H725</f>
        <v>3958.6874047691672</v>
      </c>
      <c r="F725" s="116">
        <f>EXPENSES!G216</f>
        <v>89094.399999999994</v>
      </c>
      <c r="G725" s="116">
        <f>+Adjustments!AW724</f>
        <v>3958.6874047691672</v>
      </c>
      <c r="H725" s="116"/>
      <c r="I725" s="116">
        <f>SUM($F$725:$H$725)</f>
        <v>93053.087404769161</v>
      </c>
      <c r="J725" s="116"/>
      <c r="K725" s="116"/>
      <c r="L725" s="116" t="s">
        <v>14</v>
      </c>
      <c r="M725" s="116">
        <f>VLOOKUP($L725,$L$2:$N$7,2,FALSE)*I725</f>
        <v>93053.087404769161</v>
      </c>
      <c r="N725" s="116">
        <f>VLOOKUP($L725,$L$2:$N$7,3,FALSE)*I725</f>
        <v>0</v>
      </c>
      <c r="O725" s="272"/>
      <c r="P725" s="207" t="s">
        <v>560</v>
      </c>
      <c r="Q725" s="116">
        <f>IF(P725="G",M725,IF(P725="PT",0,ERR))</f>
        <v>93053.087404769161</v>
      </c>
      <c r="R725" s="116">
        <f>IF(P725="PT",M725,IF(P725="G",0,ERR))</f>
        <v>0</v>
      </c>
      <c r="S725" s="240" t="s">
        <v>560</v>
      </c>
      <c r="T725" s="116">
        <f>IF(S725="G",N725,IF(S725="PT",0,ERR))</f>
        <v>0</v>
      </c>
      <c r="U725" s="116">
        <f>IF(S725="PT",N725,IF(S725="G",0,ERR))</f>
        <v>0</v>
      </c>
      <c r="V725" s="273"/>
      <c r="W725" s="116">
        <f>HLOOKUP($W$9,'ROR-Model'!$Q$10:$U$1263,Y725)</f>
        <v>93053.087404769161</v>
      </c>
      <c r="X725" s="118"/>
      <c r="Y725" s="577">
        <f t="shared" si="32"/>
        <v>716</v>
      </c>
      <c r="AA725" s="116">
        <v>89094.399999999994</v>
      </c>
      <c r="AB725" s="116">
        <f t="shared" si="33"/>
        <v>3958.6874047691672</v>
      </c>
    </row>
    <row r="726" spans="1:28">
      <c r="A726" s="136"/>
      <c r="B726" s="102"/>
      <c r="C726" s="102" t="s">
        <v>24</v>
      </c>
      <c r="D726" s="102"/>
      <c r="E726" s="116">
        <f>+G726-Adjustments!H726</f>
        <v>-3047.5045642176847</v>
      </c>
      <c r="F726" s="116">
        <f>EXPENSES!G217</f>
        <v>81722.52</v>
      </c>
      <c r="G726" s="116">
        <f>+Adjustments!AW725</f>
        <v>-3047.5045642176847</v>
      </c>
      <c r="H726" s="116"/>
      <c r="I726" s="116">
        <f>SUM($F$726:$H$726)</f>
        <v>78675.015435782319</v>
      </c>
      <c r="J726" s="116"/>
      <c r="K726" s="116"/>
      <c r="L726" s="116" t="s">
        <v>24</v>
      </c>
      <c r="M726" s="116">
        <f>VLOOKUP($L726,$L$2:$N$7,2,FALSE)*I726</f>
        <v>0</v>
      </c>
      <c r="N726" s="116">
        <f>VLOOKUP($L726,$L$2:$N$7,3,FALSE)*I726</f>
        <v>78675.015435782319</v>
      </c>
      <c r="O726" s="272"/>
      <c r="P726" s="207" t="s">
        <v>560</v>
      </c>
      <c r="Q726" s="116">
        <f>IF(P726="G",M726,IF(P726="PT",0,ERR))</f>
        <v>0</v>
      </c>
      <c r="R726" s="116">
        <f>IF(P726="PT",M726,IF(P726="G",0,ERR))</f>
        <v>0</v>
      </c>
      <c r="S726" s="240" t="s">
        <v>560</v>
      </c>
      <c r="T726" s="116">
        <f>IF(S726="G",N726,IF(S726="PT",0,ERR))</f>
        <v>78675.015435782319</v>
      </c>
      <c r="U726" s="116">
        <f>IF(S726="PT",N726,IF(S726="G",0,ERR))</f>
        <v>0</v>
      </c>
      <c r="V726" s="273"/>
      <c r="W726" s="116">
        <f>HLOOKUP($W$9,'ROR-Model'!$Q$10:$U$1263,Y726)</f>
        <v>0</v>
      </c>
      <c r="X726" s="118"/>
      <c r="Y726" s="577">
        <f t="shared" si="32"/>
        <v>717</v>
      </c>
      <c r="AA726" s="116">
        <v>0</v>
      </c>
      <c r="AB726" s="116">
        <f t="shared" si="33"/>
        <v>0</v>
      </c>
    </row>
    <row r="727" spans="1:28">
      <c r="A727" s="136"/>
      <c r="B727" s="102"/>
      <c r="C727" s="102" t="s">
        <v>170</v>
      </c>
      <c r="D727" s="102"/>
      <c r="E727" s="131">
        <f>+G727-Adjustments!H727</f>
        <v>911.18284055148251</v>
      </c>
      <c r="F727" s="131">
        <f>SUM(F725:F726)</f>
        <v>170816.91999999998</v>
      </c>
      <c r="G727" s="131">
        <f>SUM(G725:G726)</f>
        <v>911.18284055148251</v>
      </c>
      <c r="H727" s="131">
        <f>SUM(H725:H726)</f>
        <v>0</v>
      </c>
      <c r="I727" s="131">
        <f>SUM(I725:I726)</f>
        <v>171728.10284055147</v>
      </c>
      <c r="J727" s="116"/>
      <c r="K727" s="116"/>
      <c r="L727" s="131"/>
      <c r="M727" s="131">
        <f>SUM(M725:M726)</f>
        <v>93053.087404769161</v>
      </c>
      <c r="N727" s="131">
        <f>SUM(N725:N726)</f>
        <v>78675.015435782319</v>
      </c>
      <c r="O727" s="272"/>
      <c r="P727" s="257"/>
      <c r="Q727" s="131">
        <f>SUM(Q725:Q726)</f>
        <v>93053.087404769161</v>
      </c>
      <c r="R727" s="131">
        <f>SUM(R725:R726)</f>
        <v>0</v>
      </c>
      <c r="S727" s="257"/>
      <c r="T727" s="131">
        <f>SUM(T725:T726)</f>
        <v>78675.015435782319</v>
      </c>
      <c r="U727" s="131">
        <f>SUM(U725:U726)</f>
        <v>0</v>
      </c>
      <c r="V727" s="273"/>
      <c r="W727" s="131">
        <f>HLOOKUP($W$9,'ROR-Model'!$Q$10:$U$1263,Y727)</f>
        <v>93053.087404769161</v>
      </c>
      <c r="X727" s="118"/>
      <c r="Y727" s="577">
        <f t="shared" si="32"/>
        <v>718</v>
      </c>
      <c r="AA727" s="131">
        <v>89094.399999999994</v>
      </c>
      <c r="AB727" s="116">
        <f t="shared" si="33"/>
        <v>3958.6874047691672</v>
      </c>
    </row>
    <row r="728" spans="1:28">
      <c r="A728" s="136"/>
      <c r="B728" s="102"/>
      <c r="C728" s="102"/>
      <c r="D728" s="102"/>
      <c r="E728" s="116">
        <f>+G728-Adjustments!H728</f>
        <v>0</v>
      </c>
      <c r="F728" s="116"/>
      <c r="G728" s="116"/>
      <c r="H728" s="116"/>
      <c r="I728" s="116"/>
      <c r="J728" s="116"/>
      <c r="K728" s="116"/>
      <c r="L728" s="116"/>
      <c r="M728" s="116"/>
      <c r="N728" s="116"/>
      <c r="O728" s="272"/>
      <c r="P728" s="240"/>
      <c r="Q728" s="116"/>
      <c r="R728" s="116"/>
      <c r="S728" s="240"/>
      <c r="T728" s="116"/>
      <c r="U728" s="116"/>
      <c r="V728" s="273"/>
      <c r="W728" s="116"/>
      <c r="X728" s="118"/>
      <c r="Y728" s="577">
        <f t="shared" si="32"/>
        <v>719</v>
      </c>
      <c r="AA728" s="116"/>
      <c r="AB728" s="116">
        <f t="shared" si="33"/>
        <v>0</v>
      </c>
    </row>
    <row r="729" spans="1:28">
      <c r="A729" s="136">
        <v>892</v>
      </c>
      <c r="B729" s="102" t="s">
        <v>392</v>
      </c>
      <c r="C729" s="102"/>
      <c r="D729" s="102"/>
      <c r="E729" s="116">
        <f>+G729-Adjustments!H729</f>
        <v>0</v>
      </c>
      <c r="F729" s="116"/>
      <c r="G729" s="116"/>
      <c r="H729" s="116"/>
      <c r="I729" s="116"/>
      <c r="J729" s="116"/>
      <c r="K729" s="116"/>
      <c r="L729" s="116"/>
      <c r="M729" s="116"/>
      <c r="N729" s="116"/>
      <c r="O729" s="272"/>
      <c r="P729" s="240"/>
      <c r="Q729" s="116"/>
      <c r="R729" s="116"/>
      <c r="S729" s="240"/>
      <c r="T729" s="116"/>
      <c r="U729" s="116"/>
      <c r="V729" s="273"/>
      <c r="W729" s="116"/>
      <c r="X729" s="118"/>
      <c r="Y729" s="577">
        <f t="shared" si="32"/>
        <v>720</v>
      </c>
      <c r="AA729" s="116"/>
      <c r="AB729" s="116">
        <f t="shared" si="33"/>
        <v>0</v>
      </c>
    </row>
    <row r="730" spans="1:28">
      <c r="A730" s="136"/>
      <c r="B730" s="102"/>
      <c r="C730" s="102" t="s">
        <v>14</v>
      </c>
      <c r="D730" s="102"/>
      <c r="E730" s="116">
        <f>+G730-Adjustments!H730</f>
        <v>-40697.375276978186</v>
      </c>
      <c r="F730" s="116">
        <f>EXPENSES!G221</f>
        <v>472098.05</v>
      </c>
      <c r="G730" s="116">
        <f>+Adjustments!AW729</f>
        <v>-40697.375276978186</v>
      </c>
      <c r="H730" s="116"/>
      <c r="I730" s="116">
        <f>SUM($F$730:$H$730)</f>
        <v>431400.6747230218</v>
      </c>
      <c r="J730" s="116"/>
      <c r="K730" s="116"/>
      <c r="L730" s="116" t="s">
        <v>14</v>
      </c>
      <c r="M730" s="116">
        <f>VLOOKUP($L730,$L$2:$N$7,2,FALSE)*I730</f>
        <v>431400.6747230218</v>
      </c>
      <c r="N730" s="116">
        <f>VLOOKUP($L730,$L$2:$N$7,3,FALSE)*I730</f>
        <v>0</v>
      </c>
      <c r="O730" s="272"/>
      <c r="P730" s="207" t="s">
        <v>560</v>
      </c>
      <c r="Q730" s="116">
        <f>IF(P730="G",M730,IF(P730="PT",0,ERR))</f>
        <v>431400.6747230218</v>
      </c>
      <c r="R730" s="116">
        <f>IF(P730="PT",M730,IF(P730="G",0,ERR))</f>
        <v>0</v>
      </c>
      <c r="S730" s="240" t="s">
        <v>560</v>
      </c>
      <c r="T730" s="116">
        <f>IF(S730="G",N730,IF(S730="PT",0,ERR))</f>
        <v>0</v>
      </c>
      <c r="U730" s="116">
        <f>IF(S730="PT",N730,IF(S730="G",0,ERR))</f>
        <v>0</v>
      </c>
      <c r="V730" s="273"/>
      <c r="W730" s="116">
        <f>HLOOKUP($W$9,'ROR-Model'!$Q$10:$U$1263,Y730)</f>
        <v>431400.6747230218</v>
      </c>
      <c r="X730" s="118"/>
      <c r="Y730" s="577">
        <f t="shared" si="32"/>
        <v>721</v>
      </c>
      <c r="AA730" s="116">
        <v>472098.05</v>
      </c>
      <c r="AB730" s="116">
        <f t="shared" si="33"/>
        <v>-40697.375276978186</v>
      </c>
    </row>
    <row r="731" spans="1:28">
      <c r="A731" s="136"/>
      <c r="B731" s="102"/>
      <c r="C731" s="102" t="s">
        <v>24</v>
      </c>
      <c r="D731" s="102"/>
      <c r="E731" s="116">
        <f>+G731-Adjustments!H731</f>
        <v>-2328.3488120941329</v>
      </c>
      <c r="F731" s="116">
        <f>EXPENSES!G222</f>
        <v>72587.44</v>
      </c>
      <c r="G731" s="116">
        <f>+Adjustments!AW730</f>
        <v>-2328.3488120941329</v>
      </c>
      <c r="H731" s="116"/>
      <c r="I731" s="116">
        <f>SUM($F$731:$H$731)</f>
        <v>70259.091187905869</v>
      </c>
      <c r="J731" s="116"/>
      <c r="K731" s="116"/>
      <c r="L731" s="116" t="s">
        <v>24</v>
      </c>
      <c r="M731" s="116">
        <f>VLOOKUP($L731,$L$2:$N$7,2,FALSE)*I731</f>
        <v>0</v>
      </c>
      <c r="N731" s="116">
        <f>VLOOKUP($L731,$L$2:$N$7,3,FALSE)*I731</f>
        <v>70259.091187905869</v>
      </c>
      <c r="O731" s="272"/>
      <c r="P731" s="207" t="s">
        <v>560</v>
      </c>
      <c r="Q731" s="116">
        <f>IF(P731="G",M731,IF(P731="PT",0,ERR))</f>
        <v>0</v>
      </c>
      <c r="R731" s="116">
        <f>IF(P731="PT",M731,IF(P731="G",0,ERR))</f>
        <v>0</v>
      </c>
      <c r="S731" s="240" t="s">
        <v>560</v>
      </c>
      <c r="T731" s="116">
        <f>IF(S731="G",N731,IF(S731="PT",0,ERR))</f>
        <v>70259.091187905869</v>
      </c>
      <c r="U731" s="116">
        <f>IF(S731="PT",N731,IF(S731="G",0,ERR))</f>
        <v>0</v>
      </c>
      <c r="V731" s="273"/>
      <c r="W731" s="116">
        <f>HLOOKUP($W$9,'ROR-Model'!$Q$10:$U$1263,Y731)</f>
        <v>0</v>
      </c>
      <c r="X731" s="118"/>
      <c r="Y731" s="577">
        <f t="shared" si="32"/>
        <v>722</v>
      </c>
      <c r="AA731" s="116">
        <v>0</v>
      </c>
      <c r="AB731" s="116">
        <f t="shared" si="33"/>
        <v>0</v>
      </c>
    </row>
    <row r="732" spans="1:28">
      <c r="A732" s="136"/>
      <c r="B732" s="102"/>
      <c r="C732" s="102" t="s">
        <v>170</v>
      </c>
      <c r="D732" s="102"/>
      <c r="E732" s="131">
        <f>+G732-Adjustments!H732</f>
        <v>-43025.724089072319</v>
      </c>
      <c r="F732" s="131">
        <f>SUM(F730:F731)</f>
        <v>544685.49</v>
      </c>
      <c r="G732" s="131">
        <f>SUM(G730:G731)</f>
        <v>-43025.724089072319</v>
      </c>
      <c r="H732" s="131">
        <f>SUM(H730:H731)</f>
        <v>0</v>
      </c>
      <c r="I732" s="131">
        <f>SUM(I730:I731)</f>
        <v>501659.76591092767</v>
      </c>
      <c r="J732" s="116"/>
      <c r="K732" s="116"/>
      <c r="L732" s="131"/>
      <c r="M732" s="131">
        <f>SUM(M730:M731)</f>
        <v>431400.6747230218</v>
      </c>
      <c r="N732" s="131">
        <f>SUM(N730:N731)</f>
        <v>70259.091187905869</v>
      </c>
      <c r="O732" s="272"/>
      <c r="P732" s="257"/>
      <c r="Q732" s="131">
        <f>SUM(Q730:Q731)</f>
        <v>431400.6747230218</v>
      </c>
      <c r="R732" s="131">
        <f>SUM(R730:R731)</f>
        <v>0</v>
      </c>
      <c r="S732" s="257"/>
      <c r="T732" s="131">
        <f>SUM(T730:T731)</f>
        <v>70259.091187905869</v>
      </c>
      <c r="U732" s="131">
        <f>SUM(U730:U731)</f>
        <v>0</v>
      </c>
      <c r="V732" s="273"/>
      <c r="W732" s="131">
        <f>HLOOKUP($W$9,'ROR-Model'!$Q$10:$U$1263,Y732)</f>
        <v>431400.6747230218</v>
      </c>
      <c r="X732" s="118"/>
      <c r="Y732" s="577">
        <f t="shared" si="32"/>
        <v>723</v>
      </c>
      <c r="AA732" s="131">
        <v>472098.05</v>
      </c>
      <c r="AB732" s="116">
        <f t="shared" si="33"/>
        <v>-40697.375276978186</v>
      </c>
    </row>
    <row r="733" spans="1:28">
      <c r="A733" s="136"/>
      <c r="B733" s="102"/>
      <c r="C733" s="102"/>
      <c r="D733" s="102"/>
      <c r="E733" s="116">
        <f>+G733-Adjustments!H733</f>
        <v>0</v>
      </c>
      <c r="F733" s="116"/>
      <c r="G733" s="116"/>
      <c r="H733" s="116"/>
      <c r="I733" s="116"/>
      <c r="J733" s="116"/>
      <c r="K733" s="116"/>
      <c r="L733" s="116"/>
      <c r="M733" s="116"/>
      <c r="N733" s="116"/>
      <c r="O733" s="272"/>
      <c r="P733" s="240"/>
      <c r="Q733" s="116"/>
      <c r="R733" s="116"/>
      <c r="S733" s="240"/>
      <c r="T733" s="116"/>
      <c r="U733" s="116"/>
      <c r="V733" s="273"/>
      <c r="W733" s="116"/>
      <c r="X733" s="118"/>
      <c r="Y733" s="577">
        <f t="shared" si="32"/>
        <v>724</v>
      </c>
      <c r="AA733" s="116"/>
      <c r="AB733" s="116">
        <f t="shared" si="33"/>
        <v>0</v>
      </c>
    </row>
    <row r="734" spans="1:28">
      <c r="A734" s="136">
        <v>893</v>
      </c>
      <c r="B734" s="102" t="s">
        <v>395</v>
      </c>
      <c r="C734" s="102"/>
      <c r="D734" s="102"/>
      <c r="E734" s="116">
        <f>+G734-Adjustments!H734</f>
        <v>0</v>
      </c>
      <c r="F734" s="116"/>
      <c r="G734" s="116"/>
      <c r="H734" s="116"/>
      <c r="I734" s="116"/>
      <c r="J734" s="116"/>
      <c r="K734" s="116"/>
      <c r="L734" s="116"/>
      <c r="M734" s="116"/>
      <c r="N734" s="116"/>
      <c r="O734" s="272"/>
      <c r="P734" s="240"/>
      <c r="Q734" s="116"/>
      <c r="R734" s="116"/>
      <c r="S734" s="240"/>
      <c r="T734" s="116"/>
      <c r="U734" s="116"/>
      <c r="V734" s="273"/>
      <c r="W734" s="116"/>
      <c r="X734" s="118"/>
      <c r="Y734" s="577">
        <f t="shared" si="32"/>
        <v>725</v>
      </c>
      <c r="AA734" s="116"/>
      <c r="AB734" s="116">
        <f t="shared" si="33"/>
        <v>0</v>
      </c>
    </row>
    <row r="735" spans="1:28">
      <c r="A735" s="136"/>
      <c r="B735" s="102"/>
      <c r="C735" s="102" t="s">
        <v>14</v>
      </c>
      <c r="D735" s="102"/>
      <c r="E735" s="116">
        <f>+G735-Adjustments!H735</f>
        <v>-16121.716024318594</v>
      </c>
      <c r="F735" s="116">
        <f>EXPENSES!G226</f>
        <v>569715.0199999999</v>
      </c>
      <c r="G735" s="116">
        <f>+Adjustments!AW734</f>
        <v>-16121.716024318594</v>
      </c>
      <c r="H735" s="116"/>
      <c r="I735" s="116">
        <f>SUM($F$735:$H$735)</f>
        <v>553593.30397568131</v>
      </c>
      <c r="J735" s="116"/>
      <c r="K735" s="116"/>
      <c r="L735" s="116" t="s">
        <v>14</v>
      </c>
      <c r="M735" s="116">
        <f>VLOOKUP($L735,$L$2:$N$7,2,FALSE)*I735</f>
        <v>553593.30397568131</v>
      </c>
      <c r="N735" s="116">
        <f>VLOOKUP($L735,$L$2:$N$7,3,FALSE)*I735</f>
        <v>0</v>
      </c>
      <c r="O735" s="272"/>
      <c r="P735" s="207" t="s">
        <v>560</v>
      </c>
      <c r="Q735" s="116">
        <f>IF(P735="G",M735,IF(P735="PT",0,ERR))</f>
        <v>553593.30397568131</v>
      </c>
      <c r="R735" s="116">
        <f>IF(P735="PT",M735,IF(P735="G",0,ERR))</f>
        <v>0</v>
      </c>
      <c r="S735" s="240" t="s">
        <v>560</v>
      </c>
      <c r="T735" s="116">
        <f>IF(S735="G",N735,IF(S735="PT",0,ERR))</f>
        <v>0</v>
      </c>
      <c r="U735" s="116">
        <f>IF(S735="PT",N735,IF(S735="G",0,ERR))</f>
        <v>0</v>
      </c>
      <c r="V735" s="273"/>
      <c r="W735" s="116">
        <f>HLOOKUP($W$9,'ROR-Model'!$Q$10:$U$1263,Y735)</f>
        <v>553593.30397568131</v>
      </c>
      <c r="X735" s="118"/>
      <c r="Y735" s="577">
        <f t="shared" si="32"/>
        <v>726</v>
      </c>
      <c r="AA735" s="116">
        <v>569715.0199999999</v>
      </c>
      <c r="AB735" s="116">
        <f t="shared" si="33"/>
        <v>-16121.716024318594</v>
      </c>
    </row>
    <row r="736" spans="1:28">
      <c r="A736" s="136"/>
      <c r="B736" s="102"/>
      <c r="C736" s="102" t="s">
        <v>24</v>
      </c>
      <c r="D736" s="102"/>
      <c r="E736" s="116">
        <f>+G736-Adjustments!H736</f>
        <v>101.0081204399994</v>
      </c>
      <c r="F736" s="116">
        <f>EXPENSES!G227</f>
        <v>1965.9800000000005</v>
      </c>
      <c r="G736" s="116">
        <f>+Adjustments!AW735</f>
        <v>101.0081204399994</v>
      </c>
      <c r="H736" s="116"/>
      <c r="I736" s="116">
        <f>SUM($F$736:$H$736)</f>
        <v>2066.9881204399999</v>
      </c>
      <c r="J736" s="116"/>
      <c r="K736" s="116"/>
      <c r="L736" s="116" t="s">
        <v>24</v>
      </c>
      <c r="M736" s="116">
        <f>VLOOKUP($L736,$L$2:$N$7,2,FALSE)*I736</f>
        <v>0</v>
      </c>
      <c r="N736" s="116">
        <f>VLOOKUP($L736,$L$2:$N$7,3,FALSE)*I736</f>
        <v>2066.9881204399999</v>
      </c>
      <c r="O736" s="272"/>
      <c r="P736" s="207" t="s">
        <v>560</v>
      </c>
      <c r="Q736" s="116">
        <f>IF(P736="G",M736,IF(P736="PT",0,ERR))</f>
        <v>0</v>
      </c>
      <c r="R736" s="116">
        <f>IF(P736="PT",M736,IF(P736="G",0,ERR))</f>
        <v>0</v>
      </c>
      <c r="S736" s="240" t="s">
        <v>560</v>
      </c>
      <c r="T736" s="116">
        <f>IF(S736="G",N736,IF(S736="PT",0,ERR))</f>
        <v>2066.9881204399999</v>
      </c>
      <c r="U736" s="116">
        <f>IF(S736="PT",N736,IF(S736="G",0,ERR))</f>
        <v>0</v>
      </c>
      <c r="V736" s="273"/>
      <c r="W736" s="116">
        <f>HLOOKUP($W$9,'ROR-Model'!$Q$10:$U$1263,Y736)</f>
        <v>0</v>
      </c>
      <c r="X736" s="118"/>
      <c r="Y736" s="577">
        <f t="shared" si="32"/>
        <v>727</v>
      </c>
      <c r="AA736" s="116">
        <v>0</v>
      </c>
      <c r="AB736" s="116">
        <f t="shared" si="33"/>
        <v>0</v>
      </c>
    </row>
    <row r="737" spans="1:28">
      <c r="A737" s="136"/>
      <c r="B737" s="102"/>
      <c r="C737" s="102" t="s">
        <v>170</v>
      </c>
      <c r="D737" s="102"/>
      <c r="E737" s="131">
        <f>+G737-Adjustments!H737</f>
        <v>-16020.707903878594</v>
      </c>
      <c r="F737" s="131">
        <f>SUM(F735:F736)</f>
        <v>571680.99999999988</v>
      </c>
      <c r="G737" s="131">
        <f>SUM(G735:G736)</f>
        <v>-16020.707903878594</v>
      </c>
      <c r="H737" s="131">
        <f>SUM(H735:H736)</f>
        <v>0</v>
      </c>
      <c r="I737" s="131">
        <f>SUM(I735:I736)</f>
        <v>555660.29209612135</v>
      </c>
      <c r="J737" s="116"/>
      <c r="K737" s="116"/>
      <c r="L737" s="131"/>
      <c r="M737" s="131">
        <f>SUM(M735:M736)</f>
        <v>553593.30397568131</v>
      </c>
      <c r="N737" s="131">
        <f>SUM(N735:N736)</f>
        <v>2066.9881204399999</v>
      </c>
      <c r="O737" s="272"/>
      <c r="P737" s="257"/>
      <c r="Q737" s="131">
        <f>SUM(Q735:Q736)</f>
        <v>553593.30397568131</v>
      </c>
      <c r="R737" s="131">
        <f>SUM(R735:R736)</f>
        <v>0</v>
      </c>
      <c r="S737" s="257"/>
      <c r="T737" s="131">
        <f>SUM(T735:T736)</f>
        <v>2066.9881204399999</v>
      </c>
      <c r="U737" s="131">
        <f>SUM(U735:U736)</f>
        <v>0</v>
      </c>
      <c r="V737" s="273"/>
      <c r="W737" s="131">
        <f>HLOOKUP($W$9,'ROR-Model'!$Q$10:$U$1263,Y737)</f>
        <v>553593.30397568131</v>
      </c>
      <c r="X737" s="118"/>
      <c r="Y737" s="577">
        <f t="shared" si="32"/>
        <v>728</v>
      </c>
      <c r="AA737" s="131">
        <v>569715.0199999999</v>
      </c>
      <c r="AB737" s="116">
        <f t="shared" si="33"/>
        <v>-16121.716024318594</v>
      </c>
    </row>
    <row r="738" spans="1:28">
      <c r="A738" s="136"/>
      <c r="B738" s="102"/>
      <c r="C738" s="102"/>
      <c r="D738" s="102"/>
      <c r="E738" s="116">
        <f>+G738-Adjustments!H738</f>
        <v>0</v>
      </c>
      <c r="F738" s="116"/>
      <c r="G738" s="116"/>
      <c r="H738" s="116"/>
      <c r="I738" s="116"/>
      <c r="J738" s="116"/>
      <c r="K738" s="116"/>
      <c r="L738" s="116"/>
      <c r="M738" s="116"/>
      <c r="N738" s="116"/>
      <c r="O738" s="272"/>
      <c r="P738" s="240"/>
      <c r="Q738" s="116"/>
      <c r="R738" s="116"/>
      <c r="S738" s="240"/>
      <c r="T738" s="116"/>
      <c r="U738" s="116"/>
      <c r="V738" s="273"/>
      <c r="W738" s="116"/>
      <c r="X738" s="118"/>
      <c r="Y738" s="577">
        <f t="shared" si="32"/>
        <v>729</v>
      </c>
      <c r="AA738" s="116"/>
      <c r="AB738" s="116">
        <f t="shared" si="33"/>
        <v>0</v>
      </c>
    </row>
    <row r="739" spans="1:28">
      <c r="A739" s="136">
        <v>8941</v>
      </c>
      <c r="B739" s="102" t="s">
        <v>397</v>
      </c>
      <c r="C739" s="102"/>
      <c r="D739" s="102"/>
      <c r="E739" s="116">
        <f>+G739-Adjustments!H739</f>
        <v>0</v>
      </c>
      <c r="F739" s="116"/>
      <c r="G739" s="116"/>
      <c r="H739" s="116"/>
      <c r="I739" s="116"/>
      <c r="J739" s="116"/>
      <c r="K739" s="116"/>
      <c r="L739" s="116"/>
      <c r="M739" s="116"/>
      <c r="N739" s="116"/>
      <c r="O739" s="272"/>
      <c r="P739" s="240"/>
      <c r="Q739" s="116"/>
      <c r="R739" s="116"/>
      <c r="S739" s="240"/>
      <c r="T739" s="116"/>
      <c r="U739" s="116"/>
      <c r="V739" s="273"/>
      <c r="W739" s="116"/>
      <c r="X739" s="118"/>
      <c r="Y739" s="577">
        <f t="shared" si="32"/>
        <v>730</v>
      </c>
      <c r="AA739" s="116"/>
      <c r="AB739" s="116">
        <f t="shared" si="33"/>
        <v>0</v>
      </c>
    </row>
    <row r="740" spans="1:28">
      <c r="A740" s="136"/>
      <c r="B740" s="102"/>
      <c r="C740" s="102" t="s">
        <v>14</v>
      </c>
      <c r="D740" s="102"/>
      <c r="E740" s="116">
        <f>+G740-Adjustments!H740</f>
        <v>0</v>
      </c>
      <c r="F740" s="116">
        <f>EXPENSES!G231</f>
        <v>0</v>
      </c>
      <c r="G740" s="116">
        <f>+Adjustments!AW739</f>
        <v>0</v>
      </c>
      <c r="H740" s="116"/>
      <c r="I740" s="116">
        <f>SUM($F$740:$H$740)</f>
        <v>0</v>
      </c>
      <c r="J740" s="116"/>
      <c r="K740" s="116"/>
      <c r="L740" s="116" t="s">
        <v>14</v>
      </c>
      <c r="M740" s="116">
        <f>VLOOKUP($L740,$L$2:$N$7,2,FALSE)*I740</f>
        <v>0</v>
      </c>
      <c r="N740" s="116">
        <f>VLOOKUP($L740,$L$2:$N$7,3,FALSE)*I740</f>
        <v>0</v>
      </c>
      <c r="O740" s="272"/>
      <c r="P740" s="207" t="s">
        <v>560</v>
      </c>
      <c r="Q740" s="116">
        <f>IF(P740="G",M740,IF(P740="PT",0,ERR))</f>
        <v>0</v>
      </c>
      <c r="R740" s="116">
        <f>IF(P740="PT",M740,IF(P740="G",0,ERR))</f>
        <v>0</v>
      </c>
      <c r="S740" s="240" t="s">
        <v>560</v>
      </c>
      <c r="T740" s="116">
        <f>IF(S740="G",N740,IF(S740="PT",0,ERR))</f>
        <v>0</v>
      </c>
      <c r="U740" s="116">
        <f>IF(S740="PT",N740,IF(S740="G",0,ERR))</f>
        <v>0</v>
      </c>
      <c r="V740" s="273"/>
      <c r="W740" s="116">
        <f>HLOOKUP($W$9,'ROR-Model'!$Q$10:$U$1263,Y740)</f>
        <v>0</v>
      </c>
      <c r="X740" s="118"/>
      <c r="Y740" s="577">
        <f t="shared" si="32"/>
        <v>731</v>
      </c>
      <c r="AA740" s="116">
        <v>0</v>
      </c>
      <c r="AB740" s="116">
        <f t="shared" si="33"/>
        <v>0</v>
      </c>
    </row>
    <row r="741" spans="1:28">
      <c r="A741" s="136"/>
      <c r="B741" s="102"/>
      <c r="C741" s="102" t="s">
        <v>24</v>
      </c>
      <c r="D741" s="102"/>
      <c r="E741" s="116">
        <f>+G741-Adjustments!H741</f>
        <v>0</v>
      </c>
      <c r="F741" s="116">
        <f>EXPENSES!G232</f>
        <v>0</v>
      </c>
      <c r="G741" s="116">
        <f>+Adjustments!AW740</f>
        <v>0</v>
      </c>
      <c r="H741" s="116"/>
      <c r="I741" s="116">
        <f>SUM($F$741:$H$741)</f>
        <v>0</v>
      </c>
      <c r="J741" s="116"/>
      <c r="K741" s="116"/>
      <c r="L741" s="116" t="s">
        <v>24</v>
      </c>
      <c r="M741" s="116">
        <f>VLOOKUP($L741,$L$2:$N$7,2,FALSE)*I741</f>
        <v>0</v>
      </c>
      <c r="N741" s="116">
        <f>VLOOKUP($L741,$L$2:$N$7,3,FALSE)*I741</f>
        <v>0</v>
      </c>
      <c r="O741" s="272"/>
      <c r="P741" s="207" t="s">
        <v>560</v>
      </c>
      <c r="Q741" s="116">
        <f>IF(P741="G",M741,IF(P741="PT",0,ERR))</f>
        <v>0</v>
      </c>
      <c r="R741" s="116">
        <f>IF(P741="PT",M741,IF(P741="G",0,ERR))</f>
        <v>0</v>
      </c>
      <c r="S741" s="240" t="s">
        <v>560</v>
      </c>
      <c r="T741" s="116">
        <f>IF(S741="G",N741,IF(S741="PT",0,ERR))</f>
        <v>0</v>
      </c>
      <c r="U741" s="116">
        <f>IF(S741="PT",N741,IF(S741="G",0,ERR))</f>
        <v>0</v>
      </c>
      <c r="V741" s="273"/>
      <c r="W741" s="116">
        <f>HLOOKUP($W$9,'ROR-Model'!$Q$10:$U$1263,Y741)</f>
        <v>0</v>
      </c>
      <c r="X741" s="118"/>
      <c r="Y741" s="577">
        <f t="shared" si="32"/>
        <v>732</v>
      </c>
      <c r="AA741" s="116">
        <v>0</v>
      </c>
      <c r="AB741" s="116">
        <f t="shared" si="33"/>
        <v>0</v>
      </c>
    </row>
    <row r="742" spans="1:28">
      <c r="A742" s="136"/>
      <c r="B742" s="102"/>
      <c r="C742" s="102" t="s">
        <v>170</v>
      </c>
      <c r="D742" s="102"/>
      <c r="E742" s="131">
        <f>+G742-Adjustments!H742</f>
        <v>0</v>
      </c>
      <c r="F742" s="131">
        <f>SUM(F740:F741)</f>
        <v>0</v>
      </c>
      <c r="G742" s="131">
        <f>SUM(G740:G741)</f>
        <v>0</v>
      </c>
      <c r="H742" s="131">
        <f>SUM(H740:H741)</f>
        <v>0</v>
      </c>
      <c r="I742" s="131">
        <f>SUM(I740:I741)</f>
        <v>0</v>
      </c>
      <c r="J742" s="116"/>
      <c r="K742" s="116"/>
      <c r="L742" s="131"/>
      <c r="M742" s="131">
        <f>SUM(M740:M741)</f>
        <v>0</v>
      </c>
      <c r="N742" s="131">
        <f>SUM(N740:N741)</f>
        <v>0</v>
      </c>
      <c r="O742" s="272"/>
      <c r="P742" s="257"/>
      <c r="Q742" s="131">
        <f>SUM(Q740:Q741)</f>
        <v>0</v>
      </c>
      <c r="R742" s="131">
        <f>SUM(R740:R741)</f>
        <v>0</v>
      </c>
      <c r="S742" s="257"/>
      <c r="T742" s="131">
        <f>SUM(T740:T741)</f>
        <v>0</v>
      </c>
      <c r="U742" s="131">
        <f>SUM(U740:U741)</f>
        <v>0</v>
      </c>
      <c r="V742" s="273"/>
      <c r="W742" s="131">
        <f>HLOOKUP($W$9,'ROR-Model'!$Q$10:$U$1263,Y742)</f>
        <v>0</v>
      </c>
      <c r="X742" s="118"/>
      <c r="Y742" s="577">
        <f t="shared" si="32"/>
        <v>733</v>
      </c>
      <c r="AA742" s="131">
        <v>0</v>
      </c>
      <c r="AB742" s="116">
        <f t="shared" si="33"/>
        <v>0</v>
      </c>
    </row>
    <row r="743" spans="1:28">
      <c r="A743" s="136"/>
      <c r="B743" s="102"/>
      <c r="C743" s="102"/>
      <c r="D743" s="102"/>
      <c r="E743" s="116">
        <f>+G743-Adjustments!H743</f>
        <v>0</v>
      </c>
      <c r="F743" s="116"/>
      <c r="G743" s="116"/>
      <c r="H743" s="116"/>
      <c r="I743" s="116"/>
      <c r="J743" s="116"/>
      <c r="K743" s="116"/>
      <c r="L743" s="116"/>
      <c r="M743" s="116"/>
      <c r="N743" s="116"/>
      <c r="O743" s="272"/>
      <c r="P743" s="240"/>
      <c r="Q743" s="116"/>
      <c r="R743" s="116"/>
      <c r="S743" s="240"/>
      <c r="T743" s="116"/>
      <c r="U743" s="116"/>
      <c r="V743" s="273"/>
      <c r="W743" s="116"/>
      <c r="X743" s="118"/>
      <c r="Y743" s="577">
        <f t="shared" si="32"/>
        <v>734</v>
      </c>
      <c r="AA743" s="116"/>
      <c r="AB743" s="116">
        <f t="shared" si="33"/>
        <v>0</v>
      </c>
    </row>
    <row r="744" spans="1:28">
      <c r="A744" s="136">
        <v>8942</v>
      </c>
      <c r="B744" s="102" t="s">
        <v>399</v>
      </c>
      <c r="C744" s="102"/>
      <c r="D744" s="102"/>
      <c r="E744" s="116">
        <f>+G744-Adjustments!H744</f>
        <v>0</v>
      </c>
      <c r="F744" s="116"/>
      <c r="G744" s="116"/>
      <c r="H744" s="116"/>
      <c r="I744" s="116"/>
      <c r="J744" s="116"/>
      <c r="K744" s="116"/>
      <c r="L744" s="116"/>
      <c r="M744" s="116"/>
      <c r="N744" s="116"/>
      <c r="O744" s="272"/>
      <c r="P744" s="240"/>
      <c r="Q744" s="116"/>
      <c r="R744" s="116"/>
      <c r="S744" s="240"/>
      <c r="T744" s="116"/>
      <c r="U744" s="116"/>
      <c r="V744" s="273"/>
      <c r="W744" s="116"/>
      <c r="X744" s="118"/>
      <c r="Y744" s="577">
        <f t="shared" si="32"/>
        <v>735</v>
      </c>
      <c r="AA744" s="116"/>
      <c r="AB744" s="116">
        <f t="shared" si="33"/>
        <v>0</v>
      </c>
    </row>
    <row r="745" spans="1:28">
      <c r="A745" s="227"/>
      <c r="B745" s="102"/>
      <c r="C745" s="102" t="s">
        <v>14</v>
      </c>
      <c r="D745" s="102"/>
      <c r="E745" s="116">
        <f>+G745-Adjustments!H745</f>
        <v>0</v>
      </c>
      <c r="F745" s="116">
        <f>EXPENSES!G236</f>
        <v>0</v>
      </c>
      <c r="G745" s="116">
        <f>+Adjustments!AW744</f>
        <v>0</v>
      </c>
      <c r="H745" s="116"/>
      <c r="I745" s="116">
        <f>SUM($F$745:$H$745)</f>
        <v>0</v>
      </c>
      <c r="J745" s="116"/>
      <c r="K745" s="116"/>
      <c r="L745" s="116" t="s">
        <v>14</v>
      </c>
      <c r="M745" s="116">
        <f>VLOOKUP($L745,$L$2:$N$7,2,FALSE)*I745</f>
        <v>0</v>
      </c>
      <c r="N745" s="116">
        <f>VLOOKUP($L745,$L$2:$N$7,3,FALSE)*I745</f>
        <v>0</v>
      </c>
      <c r="O745" s="272"/>
      <c r="P745" s="207" t="s">
        <v>560</v>
      </c>
      <c r="Q745" s="116">
        <f>IF(P745="G",M745,IF(P745="PT",0,ERR))</f>
        <v>0</v>
      </c>
      <c r="R745" s="116">
        <f>IF(P745="PT",M745,IF(P745="G",0,ERR))</f>
        <v>0</v>
      </c>
      <c r="S745" s="240" t="s">
        <v>560</v>
      </c>
      <c r="T745" s="116">
        <f>IF(S745="G",N745,IF(S745="PT",0,ERR))</f>
        <v>0</v>
      </c>
      <c r="U745" s="116">
        <f>IF(S745="PT",N745,IF(S745="G",0,ERR))</f>
        <v>0</v>
      </c>
      <c r="V745" s="273"/>
      <c r="W745" s="116">
        <f>HLOOKUP($W$9,'ROR-Model'!$Q$10:$U$1263,Y745)</f>
        <v>0</v>
      </c>
      <c r="X745" s="118"/>
      <c r="Y745" s="577">
        <f t="shared" si="32"/>
        <v>736</v>
      </c>
      <c r="AA745" s="116">
        <v>0</v>
      </c>
      <c r="AB745" s="116">
        <f t="shared" si="33"/>
        <v>0</v>
      </c>
    </row>
    <row r="746" spans="1:28">
      <c r="A746" s="227"/>
      <c r="B746" s="102"/>
      <c r="C746" s="102" t="s">
        <v>24</v>
      </c>
      <c r="D746" s="102"/>
      <c r="E746" s="116">
        <f>+G746-Adjustments!H746</f>
        <v>0</v>
      </c>
      <c r="F746" s="116">
        <f>EXPENSES!G237</f>
        <v>0</v>
      </c>
      <c r="G746" s="116">
        <f>+Adjustments!AW745</f>
        <v>0</v>
      </c>
      <c r="H746" s="116"/>
      <c r="I746" s="116">
        <f>SUM($F$746:$H$746)</f>
        <v>0</v>
      </c>
      <c r="J746" s="116"/>
      <c r="K746" s="116"/>
      <c r="L746" s="116" t="s">
        <v>24</v>
      </c>
      <c r="M746" s="116">
        <f>VLOOKUP($L746,$L$2:$N$7,2,FALSE)*I746</f>
        <v>0</v>
      </c>
      <c r="N746" s="116">
        <f>VLOOKUP($L746,$L$2:$N$7,3,FALSE)*I746</f>
        <v>0</v>
      </c>
      <c r="O746" s="272"/>
      <c r="P746" s="207" t="s">
        <v>560</v>
      </c>
      <c r="Q746" s="116">
        <f>IF(P746="G",M746,IF(P746="PT",0,ERR))</f>
        <v>0</v>
      </c>
      <c r="R746" s="116">
        <f>IF(P746="PT",M746,IF(P746="G",0,ERR))</f>
        <v>0</v>
      </c>
      <c r="S746" s="240" t="s">
        <v>560</v>
      </c>
      <c r="T746" s="116">
        <f>IF(S746="G",N746,IF(S746="PT",0,ERR))</f>
        <v>0</v>
      </c>
      <c r="U746" s="116">
        <f>IF(S746="PT",N746,IF(S746="G",0,ERR))</f>
        <v>0</v>
      </c>
      <c r="V746" s="273"/>
      <c r="W746" s="116">
        <f>HLOOKUP($W$9,'ROR-Model'!$Q$10:$U$1263,Y746)</f>
        <v>0</v>
      </c>
      <c r="X746" s="118"/>
      <c r="Y746" s="577">
        <f t="shared" si="32"/>
        <v>737</v>
      </c>
      <c r="AA746" s="116">
        <v>0</v>
      </c>
      <c r="AB746" s="116">
        <f t="shared" si="33"/>
        <v>0</v>
      </c>
    </row>
    <row r="747" spans="1:28">
      <c r="A747" s="227"/>
      <c r="B747" s="102"/>
      <c r="C747" s="102" t="s">
        <v>170</v>
      </c>
      <c r="D747" s="102"/>
      <c r="E747" s="131">
        <f>+G747-Adjustments!H747</f>
        <v>0</v>
      </c>
      <c r="F747" s="131">
        <f>SUM(F745:F746)</f>
        <v>0</v>
      </c>
      <c r="G747" s="131">
        <f>SUM(G745:G746)</f>
        <v>0</v>
      </c>
      <c r="H747" s="131">
        <f>SUM(H745:H746)</f>
        <v>0</v>
      </c>
      <c r="I747" s="131">
        <f>SUM(I745:I746)</f>
        <v>0</v>
      </c>
      <c r="J747" s="116"/>
      <c r="K747" s="116"/>
      <c r="L747" s="131"/>
      <c r="M747" s="131">
        <f>SUM(M745:M746)</f>
        <v>0</v>
      </c>
      <c r="N747" s="131">
        <f>SUM(N745:N746)</f>
        <v>0</v>
      </c>
      <c r="O747" s="272"/>
      <c r="P747" s="257"/>
      <c r="Q747" s="131">
        <f>SUM(Q745:Q746)</f>
        <v>0</v>
      </c>
      <c r="R747" s="131">
        <f>SUM(R745:R746)</f>
        <v>0</v>
      </c>
      <c r="S747" s="257"/>
      <c r="T747" s="131">
        <f>SUM(T745:T746)</f>
        <v>0</v>
      </c>
      <c r="U747" s="131">
        <f>SUM(U745:U746)</f>
        <v>0</v>
      </c>
      <c r="V747" s="273"/>
      <c r="W747" s="131">
        <f>HLOOKUP($W$9,'ROR-Model'!$Q$10:$U$1263,Y747)</f>
        <v>0</v>
      </c>
      <c r="X747" s="118"/>
      <c r="Y747" s="577">
        <f t="shared" si="32"/>
        <v>738</v>
      </c>
      <c r="AA747" s="131">
        <v>0</v>
      </c>
      <c r="AB747" s="116">
        <f t="shared" si="33"/>
        <v>0</v>
      </c>
    </row>
    <row r="748" spans="1:28" ht="13.5" thickBot="1">
      <c r="A748" s="227"/>
      <c r="B748" s="102"/>
      <c r="C748" s="102"/>
      <c r="D748" s="102"/>
      <c r="E748" s="235">
        <f>+G748-Adjustments!H748</f>
        <v>0</v>
      </c>
      <c r="F748" s="235"/>
      <c r="G748" s="235"/>
      <c r="H748" s="235"/>
      <c r="I748" s="235"/>
      <c r="J748" s="116"/>
      <c r="K748" s="116"/>
      <c r="L748" s="235"/>
      <c r="M748" s="235"/>
      <c r="N748" s="235"/>
      <c r="O748" s="272"/>
      <c r="P748" s="613"/>
      <c r="Q748" s="235"/>
      <c r="R748" s="235"/>
      <c r="S748" s="613"/>
      <c r="T748" s="235"/>
      <c r="U748" s="235"/>
      <c r="V748" s="273"/>
      <c r="W748" s="235"/>
      <c r="X748" s="118"/>
      <c r="Y748" s="577">
        <f t="shared" si="32"/>
        <v>739</v>
      </c>
      <c r="AA748" s="235"/>
      <c r="AB748" s="116">
        <f t="shared" si="33"/>
        <v>0</v>
      </c>
    </row>
    <row r="749" spans="1:28" ht="13.5" thickTop="1">
      <c r="A749" s="36" t="s">
        <v>564</v>
      </c>
      <c r="B749" s="102"/>
      <c r="C749" s="102"/>
      <c r="D749" s="102"/>
      <c r="E749" s="116">
        <f>+G749-Adjustments!H749</f>
        <v>0</v>
      </c>
      <c r="F749" s="116"/>
      <c r="G749" s="116"/>
      <c r="H749" s="116"/>
      <c r="I749" s="116"/>
      <c r="J749" s="116"/>
      <c r="K749" s="116"/>
      <c r="L749" s="116"/>
      <c r="M749" s="116"/>
      <c r="N749" s="116"/>
      <c r="O749" s="272"/>
      <c r="P749" s="240"/>
      <c r="Q749" s="116"/>
      <c r="R749" s="116"/>
      <c r="S749" s="240"/>
      <c r="T749" s="116"/>
      <c r="U749" s="116"/>
      <c r="V749" s="273"/>
      <c r="W749" s="116"/>
      <c r="X749" s="118"/>
      <c r="Y749" s="577">
        <f t="shared" si="32"/>
        <v>740</v>
      </c>
      <c r="AA749" s="116"/>
      <c r="AB749" s="116">
        <f t="shared" si="33"/>
        <v>0</v>
      </c>
    </row>
    <row r="750" spans="1:28">
      <c r="A750" s="227"/>
      <c r="B750" s="102" t="s">
        <v>562</v>
      </c>
      <c r="C750" s="102"/>
      <c r="D750" s="102"/>
      <c r="E750" s="116">
        <f>+G750-Adjustments!H750</f>
        <v>-159328.7599975731</v>
      </c>
      <c r="F750" s="116">
        <f>F655+F660+F665+F670+F675+F680+F685+F690+F695+F700+F705+F710+F715+F720+F725+F730+F735+F740+F745</f>
        <v>52285691.609999999</v>
      </c>
      <c r="G750" s="116">
        <f t="shared" ref="G750:I751" si="34">G655+G660+G665+G670+G675+G680+G685+G690+G695+G700+G705+G710+G715+G720+G725+G730+G735+G740+G745</f>
        <v>-159328.7599975731</v>
      </c>
      <c r="H750" s="116">
        <f t="shared" si="34"/>
        <v>0</v>
      </c>
      <c r="I750" s="116">
        <f t="shared" si="34"/>
        <v>52126362.85000243</v>
      </c>
      <c r="J750" s="116"/>
      <c r="K750" s="116"/>
      <c r="L750" s="116"/>
      <c r="M750" s="116">
        <f>M655+M660+M665+M670+M675+M680+M685+M690+M695+M700+M705+M710+M715+M720+M725+M730+M735+M740+M745</f>
        <v>52126362.85000243</v>
      </c>
      <c r="N750" s="116">
        <f>N655+N660+N665+N670+N675+N680+N685+N690+N695+N700+N705+N710+N715+N720+N725+N730+N735+N740+N745</f>
        <v>0</v>
      </c>
      <c r="O750" s="272"/>
      <c r="P750" s="240"/>
      <c r="Q750" s="116">
        <f>Q655+Q660+Q665+Q670+Q675+Q680+Q685+Q690+Q695+Q700+Q705+Q710+Q715+Q720+Q725+Q730+Q735+Q740+Q745</f>
        <v>52126362.85000243</v>
      </c>
      <c r="R750" s="116">
        <f>R655+R660+R665+R670+R675+R680+R685+R690+R695+R700+R705+R710+R715+R720+R725+R730+R735+R740+R745</f>
        <v>0</v>
      </c>
      <c r="S750" s="240"/>
      <c r="T750" s="116">
        <f>T655+T660+T665+T670+T675+T680+T685+T690+T695+T700+T705+T710+T715+T720+T725+T730+T735+T740+T745</f>
        <v>0</v>
      </c>
      <c r="U750" s="116">
        <f>U655+U660+U665+U670+U675+U680+U685+U690+U695+U700+U705+U710+U715+U720+U725+U730+U735+U740+U745</f>
        <v>0</v>
      </c>
      <c r="V750" s="273"/>
      <c r="W750" s="116">
        <f>HLOOKUP($W$9,'ROR-Model'!$Q$10:$U$1263,Y750)</f>
        <v>52126362.85000243</v>
      </c>
      <c r="X750" s="118"/>
      <c r="Y750" s="577">
        <f t="shared" si="32"/>
        <v>741</v>
      </c>
      <c r="AA750" s="116">
        <v>52285691.609999999</v>
      </c>
      <c r="AB750" s="116">
        <f t="shared" si="33"/>
        <v>-159328.75999756902</v>
      </c>
    </row>
    <row r="751" spans="1:28">
      <c r="A751" s="227"/>
      <c r="B751" s="102" t="s">
        <v>563</v>
      </c>
      <c r="C751" s="102"/>
      <c r="D751" s="102"/>
      <c r="E751" s="116">
        <f>+G751-Adjustments!H751</f>
        <v>-18471.258485105856</v>
      </c>
      <c r="F751" s="116">
        <f>F656+F661+F666+F671+F676+F681+F686+F691+F696+F701+F706+F711+F716+F721+F726+F731+F736+F741+F746</f>
        <v>2664192.5200000005</v>
      </c>
      <c r="G751" s="116">
        <f t="shared" si="34"/>
        <v>-18471.258485105856</v>
      </c>
      <c r="H751" s="116">
        <f t="shared" si="34"/>
        <v>0</v>
      </c>
      <c r="I751" s="116">
        <f t="shared" si="34"/>
        <v>2645721.2615148937</v>
      </c>
      <c r="J751" s="116"/>
      <c r="K751" s="116"/>
      <c r="L751" s="116"/>
      <c r="M751" s="116">
        <f>M656+M661+M666+M671+M676+M681+M686+M691+M696+M701+M706+M711+M716+M721+M726+M731+M736+M741+M746</f>
        <v>0</v>
      </c>
      <c r="N751" s="116">
        <f>N656+N661+N666+N671+N676+N681+N686+N691+N696+N701+N706+N711+N716+N721+N726+N731+N736+N741+N746</f>
        <v>2645721.2615148937</v>
      </c>
      <c r="O751" s="272"/>
      <c r="P751" s="240"/>
      <c r="Q751" s="116">
        <f>Q656+Q661+Q666+Q671+Q676+Q681+Q686+Q691+Q696+Q701+Q706+Q711+Q716+Q721+Q726+Q731+Q736+Q741+Q746</f>
        <v>0</v>
      </c>
      <c r="R751" s="116">
        <f>R656+R661+R666+R671+R676+R681+R686+R691+R696+R701+R706+R711+R716+R721+R726+R731+R736+R741+R746</f>
        <v>0</v>
      </c>
      <c r="S751" s="240"/>
      <c r="T751" s="116">
        <f>T656+T661+T666+T671+T676+T681+T686+T691+T696+T701+T706+T711+T716+T721+T726+T731+T736+T741+T746</f>
        <v>2645721.2615148937</v>
      </c>
      <c r="U751" s="116">
        <f>U656+U661+U666+U671+U676+U681+U686+U691+U696+U701+U706+U711+U716+U721+U726+U731+U736+U741+U746</f>
        <v>0</v>
      </c>
      <c r="V751" s="273"/>
      <c r="W751" s="116">
        <f>HLOOKUP($W$9,'ROR-Model'!$Q$10:$U$1263,Y751)</f>
        <v>0</v>
      </c>
      <c r="X751" s="118"/>
      <c r="Y751" s="577">
        <f t="shared" si="32"/>
        <v>742</v>
      </c>
      <c r="AA751" s="116">
        <v>0</v>
      </c>
      <c r="AB751" s="116">
        <f t="shared" si="33"/>
        <v>0</v>
      </c>
    </row>
    <row r="752" spans="1:28" ht="13.5" thickBot="1">
      <c r="A752" s="227"/>
      <c r="B752" s="102"/>
      <c r="C752" s="102"/>
      <c r="D752" s="102"/>
      <c r="E752" s="236">
        <f>+G752-Adjustments!H752</f>
        <v>0</v>
      </c>
      <c r="F752" s="236"/>
      <c r="G752" s="236"/>
      <c r="H752" s="236"/>
      <c r="I752" s="236"/>
      <c r="J752" s="116"/>
      <c r="K752" s="116"/>
      <c r="L752" s="236"/>
      <c r="M752" s="236"/>
      <c r="N752" s="236"/>
      <c r="O752" s="272"/>
      <c r="P752" s="731"/>
      <c r="Q752" s="236"/>
      <c r="R752" s="236"/>
      <c r="S752" s="731"/>
      <c r="T752" s="236"/>
      <c r="U752" s="236"/>
      <c r="V752" s="273"/>
      <c r="W752" s="236">
        <f>HLOOKUP($W$9,'ROR-Model'!$Q$10:$U$1263,Y752)</f>
        <v>0</v>
      </c>
      <c r="X752" s="118"/>
      <c r="Y752" s="577">
        <f t="shared" si="32"/>
        <v>743</v>
      </c>
      <c r="AA752" s="236">
        <v>0</v>
      </c>
      <c r="AB752" s="116">
        <f t="shared" si="33"/>
        <v>0</v>
      </c>
    </row>
    <row r="753" spans="1:28">
      <c r="A753" s="227"/>
      <c r="B753" s="49" t="s">
        <v>564</v>
      </c>
      <c r="C753" s="102"/>
      <c r="D753" s="102"/>
      <c r="E753" s="116">
        <f>+G753-Adjustments!H753</f>
        <v>-177800.01848267906</v>
      </c>
      <c r="F753" s="116">
        <f>F657+F662+F667+F672+F677+F682+F687+F692+F697+F702+F707+F712+F717+F722+F727+F732+F737+F742+F747</f>
        <v>54949884.13000001</v>
      </c>
      <c r="G753" s="116">
        <f>G657+G662+G667+G672+G677+G682+G687+G692+G697+G702+G707+G712+G717+G722+G727+G732+G737+G742+G747</f>
        <v>-177800.01848267906</v>
      </c>
      <c r="H753" s="116">
        <f>H657+H662+H667+H672+H677+H682+H687+H692+H697+H702+H707+H712+H717+H722+H727+H732+H737+H742+H747</f>
        <v>0</v>
      </c>
      <c r="I753" s="116">
        <f>I657+I662+I667+I672+I677+I682+I687+I692+I697+I702+I707+I712+I717+I722+I727+I732+I737+I742+I747</f>
        <v>54772084.111517325</v>
      </c>
      <c r="J753" s="116"/>
      <c r="K753" s="116"/>
      <c r="L753" s="116"/>
      <c r="M753" s="116">
        <f>M657+M662+M667+M672+M677+M682+M687+M692+M697+M702+M707+M712+M717+M722+M727+M732+M737+M742+M747</f>
        <v>52126362.85000243</v>
      </c>
      <c r="N753" s="116">
        <f>N657+N662+N667+N672+N677+N682+N687+N692+N697+N702+N707+N712+N717+N722+N727+N732+N737+N742+N747</f>
        <v>2645721.2615148937</v>
      </c>
      <c r="O753" s="272"/>
      <c r="P753" s="240"/>
      <c r="Q753" s="116">
        <f>Q657+Q662+Q667+Q672+Q677+Q682+Q687+Q692+Q697+Q702+Q707+Q712+Q717+Q722+Q727+Q732+Q737+Q742+Q747</f>
        <v>52126362.85000243</v>
      </c>
      <c r="R753" s="116">
        <f>R657+R662+R667+R672+R677+R682+R687+R692+R697+R702+R707+R712+R717+R722+R727+R732+R737+R742+R747</f>
        <v>0</v>
      </c>
      <c r="S753" s="240"/>
      <c r="T753" s="116">
        <f>T657+T662+T667+T672+T677+T682+T687+T692+T697+T702+T707+T712+T717+T722+T727+T732+T737+T742+T747</f>
        <v>2645721.2615148937</v>
      </c>
      <c r="U753" s="116">
        <f>U657+U662+U667+U672+U677+U682+U687+U692+U697+U702+U707+U712+U717+U722+U727+U732+U737+U742+U747</f>
        <v>0</v>
      </c>
      <c r="V753" s="273"/>
      <c r="W753" s="116">
        <f>HLOOKUP($W$9,'ROR-Model'!$Q$10:$U$1263,Y753)</f>
        <v>52126362.85000243</v>
      </c>
      <c r="X753" s="118"/>
      <c r="Y753" s="577">
        <f t="shared" si="32"/>
        <v>744</v>
      </c>
      <c r="AA753" s="116">
        <v>52285691.609999999</v>
      </c>
      <c r="AB753" s="116">
        <f t="shared" si="33"/>
        <v>-159328.75999756902</v>
      </c>
    </row>
    <row r="754" spans="1:28">
      <c r="A754" s="227"/>
      <c r="B754" s="102"/>
      <c r="C754" s="102"/>
      <c r="D754" s="102"/>
      <c r="E754" s="116">
        <f>+G754-Adjustments!H754</f>
        <v>0</v>
      </c>
      <c r="F754" s="116"/>
      <c r="G754" s="116"/>
      <c r="H754" s="116"/>
      <c r="I754" s="116"/>
      <c r="J754" s="116"/>
      <c r="K754" s="116"/>
      <c r="L754" s="116"/>
      <c r="M754" s="116"/>
      <c r="N754" s="116"/>
      <c r="O754" s="272"/>
      <c r="P754" s="240"/>
      <c r="Q754" s="116"/>
      <c r="R754" s="116"/>
      <c r="S754" s="240"/>
      <c r="T754" s="116"/>
      <c r="U754" s="116"/>
      <c r="V754" s="273"/>
      <c r="W754" s="116"/>
      <c r="X754" s="118"/>
      <c r="Y754" s="577">
        <f t="shared" si="32"/>
        <v>745</v>
      </c>
      <c r="AA754" s="116"/>
      <c r="AB754" s="116">
        <f t="shared" si="33"/>
        <v>0</v>
      </c>
    </row>
    <row r="755" spans="1:28">
      <c r="A755" s="36" t="s">
        <v>400</v>
      </c>
      <c r="B755" s="102"/>
      <c r="C755" s="102"/>
      <c r="D755" s="102"/>
      <c r="E755" s="116">
        <f>+G755-Adjustments!H755</f>
        <v>0</v>
      </c>
      <c r="F755" s="116"/>
      <c r="G755" s="116"/>
      <c r="H755" s="116"/>
      <c r="I755" s="116"/>
      <c r="J755" s="116"/>
      <c r="K755" s="116"/>
      <c r="L755" s="116"/>
      <c r="M755" s="116"/>
      <c r="N755" s="116"/>
      <c r="O755" s="272"/>
      <c r="P755" s="240"/>
      <c r="Q755" s="116"/>
      <c r="R755" s="116"/>
      <c r="S755" s="240"/>
      <c r="T755" s="116"/>
      <c r="U755" s="116"/>
      <c r="V755" s="273"/>
      <c r="W755" s="116"/>
      <c r="X755" s="118"/>
      <c r="Y755" s="577">
        <f t="shared" si="32"/>
        <v>746</v>
      </c>
      <c r="AA755" s="116"/>
      <c r="AB755" s="116">
        <f t="shared" si="33"/>
        <v>0</v>
      </c>
    </row>
    <row r="756" spans="1:28">
      <c r="A756" s="227"/>
      <c r="B756" s="102"/>
      <c r="C756" s="102"/>
      <c r="D756" s="102"/>
      <c r="E756" s="116">
        <f>+G756-Adjustments!H756</f>
        <v>0</v>
      </c>
      <c r="F756" s="116"/>
      <c r="G756" s="116"/>
      <c r="H756" s="116"/>
      <c r="I756" s="116"/>
      <c r="J756" s="116"/>
      <c r="K756" s="116"/>
      <c r="L756" s="116"/>
      <c r="M756" s="116"/>
      <c r="N756" s="116"/>
      <c r="O756" s="272"/>
      <c r="P756" s="240"/>
      <c r="Q756" s="116"/>
      <c r="R756" s="116"/>
      <c r="S756" s="240"/>
      <c r="T756" s="116"/>
      <c r="U756" s="116"/>
      <c r="V756" s="273"/>
      <c r="W756" s="116"/>
      <c r="X756" s="118"/>
      <c r="Y756" s="577">
        <f t="shared" si="32"/>
        <v>747</v>
      </c>
      <c r="AA756" s="116"/>
      <c r="AB756" s="116">
        <f t="shared" si="33"/>
        <v>0</v>
      </c>
    </row>
    <row r="757" spans="1:28">
      <c r="A757" s="136">
        <v>901</v>
      </c>
      <c r="B757" s="102" t="s">
        <v>402</v>
      </c>
      <c r="C757" s="102"/>
      <c r="D757" s="102"/>
      <c r="E757" s="116">
        <f>+G757-Adjustments!H757</f>
        <v>0</v>
      </c>
      <c r="F757" s="116"/>
      <c r="G757" s="116"/>
      <c r="H757" s="116"/>
      <c r="I757" s="116"/>
      <c r="J757" s="116"/>
      <c r="K757" s="116"/>
      <c r="L757" s="116"/>
      <c r="M757" s="116"/>
      <c r="N757" s="116"/>
      <c r="O757" s="272"/>
      <c r="P757" s="240"/>
      <c r="Q757" s="116"/>
      <c r="R757" s="116"/>
      <c r="S757" s="240"/>
      <c r="T757" s="116"/>
      <c r="U757" s="116"/>
      <c r="V757" s="273"/>
      <c r="W757" s="116"/>
      <c r="X757" s="118"/>
      <c r="Y757" s="577">
        <f t="shared" si="32"/>
        <v>748</v>
      </c>
      <c r="AA757" s="116"/>
      <c r="AB757" s="116">
        <f t="shared" si="33"/>
        <v>0</v>
      </c>
    </row>
    <row r="758" spans="1:28">
      <c r="A758" s="136"/>
      <c r="B758" s="102"/>
      <c r="C758" s="102" t="s">
        <v>14</v>
      </c>
      <c r="D758" s="102"/>
      <c r="E758" s="116">
        <f>+G758-Adjustments!H758</f>
        <v>-7345.5088800529484</v>
      </c>
      <c r="F758" s="116">
        <f>EXPENSES!G249</f>
        <v>1123201.22</v>
      </c>
      <c r="G758" s="116">
        <f>+Adjustments!AW757</f>
        <v>-7345.5088800529484</v>
      </c>
      <c r="H758" s="116"/>
      <c r="I758" s="116">
        <f>SUM($F$758:$H$758)</f>
        <v>1115855.711119947</v>
      </c>
      <c r="J758" s="116"/>
      <c r="K758" s="116"/>
      <c r="L758" s="116" t="s">
        <v>14</v>
      </c>
      <c r="M758" s="116">
        <f>VLOOKUP($L758,$L$2:$N$7,2,FALSE)*I758</f>
        <v>1115855.711119947</v>
      </c>
      <c r="N758" s="116">
        <f>VLOOKUP($L758,$L$2:$N$7,3,FALSE)*I758</f>
        <v>0</v>
      </c>
      <c r="O758" s="272"/>
      <c r="P758" s="207" t="s">
        <v>560</v>
      </c>
      <c r="Q758" s="116">
        <f>IF(P758="G",M758,IF(P758="PT",0,ERR))</f>
        <v>1115855.711119947</v>
      </c>
      <c r="R758" s="116">
        <f>IF(P758="PT",M758,IF(P758="G",0,ERR))</f>
        <v>0</v>
      </c>
      <c r="S758" s="240" t="s">
        <v>560</v>
      </c>
      <c r="T758" s="116">
        <f>IF(S758="G",N758,IF(S758="PT",0,ERR))</f>
        <v>0</v>
      </c>
      <c r="U758" s="116">
        <f>IF(S758="PT",N758,IF(S758="G",0,ERR))</f>
        <v>0</v>
      </c>
      <c r="V758" s="273"/>
      <c r="W758" s="116">
        <f>HLOOKUP($W$9,'ROR-Model'!$Q$10:$U$1263,Y758)</f>
        <v>1115855.711119947</v>
      </c>
      <c r="X758" s="118"/>
      <c r="Y758" s="577">
        <f t="shared" si="32"/>
        <v>749</v>
      </c>
      <c r="AA758" s="116">
        <v>1123201.22</v>
      </c>
      <c r="AB758" s="116">
        <f t="shared" si="33"/>
        <v>-7345.5088800529484</v>
      </c>
    </row>
    <row r="759" spans="1:28">
      <c r="A759" s="136"/>
      <c r="B759" s="102"/>
      <c r="C759" s="102" t="s">
        <v>24</v>
      </c>
      <c r="D759" s="102"/>
      <c r="E759" s="116">
        <f>+G759-Adjustments!H759</f>
        <v>1041.9523379400016</v>
      </c>
      <c r="F759" s="116">
        <f>EXPENSES!G250</f>
        <v>23973.87</v>
      </c>
      <c r="G759" s="116">
        <f>+Adjustments!AW758</f>
        <v>1041.9523379400016</v>
      </c>
      <c r="H759" s="116"/>
      <c r="I759" s="116">
        <f>SUM($F$759:$H$759)</f>
        <v>25015.822337940001</v>
      </c>
      <c r="J759" s="116"/>
      <c r="K759" s="116"/>
      <c r="L759" s="116" t="s">
        <v>24</v>
      </c>
      <c r="M759" s="116">
        <f>VLOOKUP($L759,$L$2:$N$7,2,FALSE)*I759</f>
        <v>0</v>
      </c>
      <c r="N759" s="116">
        <f>VLOOKUP($L759,$L$2:$N$7,3,FALSE)*I759</f>
        <v>25015.822337940001</v>
      </c>
      <c r="O759" s="272"/>
      <c r="P759" s="207" t="s">
        <v>560</v>
      </c>
      <c r="Q759" s="116">
        <f>IF(P759="G",M759,IF(P759="PT",0,ERR))</f>
        <v>0</v>
      </c>
      <c r="R759" s="116">
        <f>IF(P759="PT",M759,IF(P759="G",0,ERR))</f>
        <v>0</v>
      </c>
      <c r="S759" s="240" t="s">
        <v>560</v>
      </c>
      <c r="T759" s="116">
        <f>IF(S759="G",N759,IF(S759="PT",0,ERR))</f>
        <v>25015.822337940001</v>
      </c>
      <c r="U759" s="116">
        <f>IF(S759="PT",N759,IF(S759="G",0,ERR))</f>
        <v>0</v>
      </c>
      <c r="V759" s="273"/>
      <c r="W759" s="116">
        <f>HLOOKUP($W$9,'ROR-Model'!$Q$10:$U$1263,Y759)</f>
        <v>0</v>
      </c>
      <c r="X759" s="118"/>
      <c r="Y759" s="577">
        <f t="shared" si="32"/>
        <v>750</v>
      </c>
      <c r="AA759" s="116">
        <v>0</v>
      </c>
      <c r="AB759" s="116">
        <f t="shared" si="33"/>
        <v>0</v>
      </c>
    </row>
    <row r="760" spans="1:28">
      <c r="A760" s="136"/>
      <c r="B760" s="102"/>
      <c r="C760" s="102" t="s">
        <v>170</v>
      </c>
      <c r="D760" s="102"/>
      <c r="E760" s="131">
        <f>+G760-Adjustments!H760</f>
        <v>-6303.5565421129468</v>
      </c>
      <c r="F760" s="131">
        <f>SUM(F758:F759)</f>
        <v>1147175.0900000001</v>
      </c>
      <c r="G760" s="131">
        <f>SUM(G758:G759)</f>
        <v>-6303.5565421129468</v>
      </c>
      <c r="H760" s="131">
        <f>SUM(H758:H759)</f>
        <v>0</v>
      </c>
      <c r="I760" s="131">
        <f>SUM(I758:I759)</f>
        <v>1140871.5334578871</v>
      </c>
      <c r="J760" s="116"/>
      <c r="K760" s="116"/>
      <c r="L760" s="131"/>
      <c r="M760" s="131">
        <f>SUM(M758:M759)</f>
        <v>1115855.711119947</v>
      </c>
      <c r="N760" s="131">
        <f>SUM(N758:N759)</f>
        <v>25015.822337940001</v>
      </c>
      <c r="O760" s="272"/>
      <c r="P760" s="257"/>
      <c r="Q760" s="131">
        <f>SUM(Q758:Q759)</f>
        <v>1115855.711119947</v>
      </c>
      <c r="R760" s="131">
        <f>SUM(R758:R759)</f>
        <v>0</v>
      </c>
      <c r="S760" s="257"/>
      <c r="T760" s="131">
        <f>SUM(T758:T759)</f>
        <v>25015.822337940001</v>
      </c>
      <c r="U760" s="131">
        <f>SUM(U758:U759)</f>
        <v>0</v>
      </c>
      <c r="V760" s="273"/>
      <c r="W760" s="131">
        <f>HLOOKUP($W$9,'ROR-Model'!$Q$10:$U$1263,Y760)</f>
        <v>1115855.711119947</v>
      </c>
      <c r="X760" s="118"/>
      <c r="Y760" s="577">
        <f t="shared" si="32"/>
        <v>751</v>
      </c>
      <c r="AA760" s="131">
        <v>1123201.22</v>
      </c>
      <c r="AB760" s="116">
        <f t="shared" si="33"/>
        <v>-7345.5088800529484</v>
      </c>
    </row>
    <row r="761" spans="1:28">
      <c r="A761" s="136"/>
      <c r="B761" s="102"/>
      <c r="C761" s="102"/>
      <c r="D761" s="102"/>
      <c r="E761" s="116">
        <f>+G761-Adjustments!H761</f>
        <v>0</v>
      </c>
      <c r="F761" s="116"/>
      <c r="G761" s="116"/>
      <c r="H761" s="116"/>
      <c r="I761" s="116"/>
      <c r="J761" s="116"/>
      <c r="K761" s="116"/>
      <c r="L761" s="116"/>
      <c r="M761" s="116"/>
      <c r="N761" s="116"/>
      <c r="O761" s="272"/>
      <c r="P761" s="240"/>
      <c r="Q761" s="116"/>
      <c r="R761" s="116"/>
      <c r="S761" s="240"/>
      <c r="T761" s="116"/>
      <c r="U761" s="116"/>
      <c r="V761" s="273"/>
      <c r="W761" s="116"/>
      <c r="X761" s="118"/>
      <c r="Y761" s="577">
        <f t="shared" si="32"/>
        <v>752</v>
      </c>
      <c r="AA761" s="116"/>
      <c r="AB761" s="116">
        <f t="shared" si="33"/>
        <v>0</v>
      </c>
    </row>
    <row r="762" spans="1:28">
      <c r="A762" s="136">
        <v>902</v>
      </c>
      <c r="B762" s="102" t="s">
        <v>403</v>
      </c>
      <c r="C762" s="102"/>
      <c r="D762" s="102"/>
      <c r="E762" s="116">
        <f>+G762-Adjustments!H762</f>
        <v>0</v>
      </c>
      <c r="F762" s="116"/>
      <c r="G762" s="116"/>
      <c r="H762" s="116"/>
      <c r="I762" s="116"/>
      <c r="J762" s="116"/>
      <c r="K762" s="116"/>
      <c r="L762" s="116"/>
      <c r="M762" s="116"/>
      <c r="N762" s="116"/>
      <c r="O762" s="272"/>
      <c r="P762" s="240"/>
      <c r="Q762" s="116"/>
      <c r="R762" s="116"/>
      <c r="S762" s="240"/>
      <c r="T762" s="116"/>
      <c r="U762" s="116"/>
      <c r="V762" s="273"/>
      <c r="W762" s="116"/>
      <c r="X762" s="118"/>
      <c r="Y762" s="577">
        <f t="shared" si="32"/>
        <v>753</v>
      </c>
      <c r="AA762" s="116"/>
      <c r="AB762" s="116">
        <f t="shared" si="33"/>
        <v>0</v>
      </c>
    </row>
    <row r="763" spans="1:28">
      <c r="A763" s="136"/>
      <c r="B763" s="102"/>
      <c r="C763" s="102" t="s">
        <v>14</v>
      </c>
      <c r="D763" s="102"/>
      <c r="E763" s="116">
        <f>+G763-Adjustments!H763</f>
        <v>-75678.182791742729</v>
      </c>
      <c r="F763" s="116">
        <f>EXPENSES!G254</f>
        <v>1931571.41</v>
      </c>
      <c r="G763" s="116">
        <f>+Adjustments!AW762</f>
        <v>-75678.182791742729</v>
      </c>
      <c r="H763" s="116"/>
      <c r="I763" s="116">
        <f>SUM($F$763:$H$763)</f>
        <v>1855893.2272082572</v>
      </c>
      <c r="J763" s="116"/>
      <c r="K763" s="116"/>
      <c r="L763" s="116" t="s">
        <v>14</v>
      </c>
      <c r="M763" s="116">
        <f>VLOOKUP($L763,$L$2:$N$7,2,FALSE)*I763</f>
        <v>1855893.2272082572</v>
      </c>
      <c r="N763" s="116">
        <f>VLOOKUP($L763,$L$2:$N$7,3,FALSE)*I763</f>
        <v>0</v>
      </c>
      <c r="O763" s="272"/>
      <c r="P763" s="207" t="s">
        <v>560</v>
      </c>
      <c r="Q763" s="116">
        <f>IF(P763="G",M763,IF(P763="PT",0,ERR))</f>
        <v>1855893.2272082572</v>
      </c>
      <c r="R763" s="116">
        <f>IF(P763="PT",M763,IF(P763="G",0,ERR))</f>
        <v>0</v>
      </c>
      <c r="S763" s="240" t="s">
        <v>560</v>
      </c>
      <c r="T763" s="116">
        <f>IF(S763="G",N763,IF(S763="PT",0,ERR))</f>
        <v>0</v>
      </c>
      <c r="U763" s="116">
        <f>IF(S763="PT",N763,IF(S763="G",0,ERR))</f>
        <v>0</v>
      </c>
      <c r="V763" s="273"/>
      <c r="W763" s="116">
        <f>HLOOKUP($W$9,'ROR-Model'!$Q$10:$U$1263,Y763)</f>
        <v>1855893.2272082572</v>
      </c>
      <c r="X763" s="118"/>
      <c r="Y763" s="577">
        <f t="shared" si="32"/>
        <v>754</v>
      </c>
      <c r="AA763" s="116">
        <v>1931571.41</v>
      </c>
      <c r="AB763" s="116">
        <f t="shared" si="33"/>
        <v>-75678.182791742729</v>
      </c>
    </row>
    <row r="764" spans="1:28">
      <c r="A764" s="136"/>
      <c r="B764" s="102"/>
      <c r="C764" s="102" t="s">
        <v>24</v>
      </c>
      <c r="D764" s="102"/>
      <c r="E764" s="116">
        <f>+G764-Adjustments!H764</f>
        <v>1541.3225143162999</v>
      </c>
      <c r="F764" s="116">
        <f>EXPENSES!G255</f>
        <v>66802.97</v>
      </c>
      <c r="G764" s="116">
        <f>+Adjustments!AW763</f>
        <v>1541.3225143162999</v>
      </c>
      <c r="H764" s="116"/>
      <c r="I764" s="116">
        <f>SUM($F$764:$H$764)</f>
        <v>68344.292514316301</v>
      </c>
      <c r="J764" s="116"/>
      <c r="K764" s="116"/>
      <c r="L764" s="116" t="s">
        <v>24</v>
      </c>
      <c r="M764" s="116">
        <f>VLOOKUP($L764,$L$2:$N$7,2,FALSE)*I764</f>
        <v>0</v>
      </c>
      <c r="N764" s="116">
        <f>VLOOKUP($L764,$L$2:$N$7,3,FALSE)*I764</f>
        <v>68344.292514316301</v>
      </c>
      <c r="O764" s="272"/>
      <c r="P764" s="207" t="s">
        <v>560</v>
      </c>
      <c r="Q764" s="116">
        <f>IF(P764="G",M764,IF(P764="PT",0,ERR))</f>
        <v>0</v>
      </c>
      <c r="R764" s="116">
        <f>IF(P764="PT",M764,IF(P764="G",0,ERR))</f>
        <v>0</v>
      </c>
      <c r="S764" s="240" t="s">
        <v>560</v>
      </c>
      <c r="T764" s="116">
        <f>IF(S764="G",N764,IF(S764="PT",0,ERR))</f>
        <v>68344.292514316301</v>
      </c>
      <c r="U764" s="116">
        <f>IF(S764="PT",N764,IF(S764="G",0,ERR))</f>
        <v>0</v>
      </c>
      <c r="V764" s="273"/>
      <c r="W764" s="116">
        <f>HLOOKUP($W$9,'ROR-Model'!$Q$10:$U$1263,Y764)</f>
        <v>0</v>
      </c>
      <c r="X764" s="118"/>
      <c r="Y764" s="577">
        <f t="shared" si="32"/>
        <v>755</v>
      </c>
      <c r="AA764" s="116">
        <v>0</v>
      </c>
      <c r="AB764" s="116">
        <f t="shared" si="33"/>
        <v>0</v>
      </c>
    </row>
    <row r="765" spans="1:28">
      <c r="A765" s="136"/>
      <c r="B765" s="102"/>
      <c r="C765" s="102" t="s">
        <v>170</v>
      </c>
      <c r="D765" s="102"/>
      <c r="E765" s="131">
        <f>+G765-Adjustments!H765</f>
        <v>-74136.860277426429</v>
      </c>
      <c r="F765" s="131">
        <f>SUM(F763:F764)</f>
        <v>1998374.38</v>
      </c>
      <c r="G765" s="131">
        <f>SUM(G763:G764)</f>
        <v>-74136.860277426429</v>
      </c>
      <c r="H765" s="131">
        <f>SUM(H763:H764)</f>
        <v>0</v>
      </c>
      <c r="I765" s="131">
        <f>SUM(I763:I764)</f>
        <v>1924237.5197225735</v>
      </c>
      <c r="J765" s="116"/>
      <c r="K765" s="116"/>
      <c r="L765" s="131"/>
      <c r="M765" s="131">
        <f>SUM(M763:M764)</f>
        <v>1855893.2272082572</v>
      </c>
      <c r="N765" s="131">
        <f>SUM(N763:N764)</f>
        <v>68344.292514316301</v>
      </c>
      <c r="O765" s="272"/>
      <c r="P765" s="257"/>
      <c r="Q765" s="131">
        <f>SUM(Q763:Q764)</f>
        <v>1855893.2272082572</v>
      </c>
      <c r="R765" s="131">
        <f>SUM(R763:R764)</f>
        <v>0</v>
      </c>
      <c r="S765" s="257"/>
      <c r="T765" s="131">
        <f>SUM(T763:T764)</f>
        <v>68344.292514316301</v>
      </c>
      <c r="U765" s="131">
        <f>SUM(U763:U764)</f>
        <v>0</v>
      </c>
      <c r="V765" s="273"/>
      <c r="W765" s="131">
        <f>HLOOKUP($W$9,'ROR-Model'!$Q$10:$U$1263,Y765)</f>
        <v>1855893.2272082572</v>
      </c>
      <c r="X765" s="118"/>
      <c r="Y765" s="577">
        <f t="shared" si="32"/>
        <v>756</v>
      </c>
      <c r="AA765" s="131">
        <v>1931571.41</v>
      </c>
      <c r="AB765" s="116">
        <f t="shared" si="33"/>
        <v>-75678.182791742729</v>
      </c>
    </row>
    <row r="766" spans="1:28">
      <c r="A766" s="136"/>
      <c r="B766" s="102"/>
      <c r="C766" s="102"/>
      <c r="D766" s="102"/>
      <c r="E766" s="116">
        <f>+G766-Adjustments!H766</f>
        <v>0</v>
      </c>
      <c r="F766" s="116"/>
      <c r="G766" s="116"/>
      <c r="H766" s="116"/>
      <c r="I766" s="116"/>
      <c r="J766" s="116"/>
      <c r="K766" s="116"/>
      <c r="L766" s="116"/>
      <c r="M766" s="116"/>
      <c r="N766" s="116"/>
      <c r="O766" s="272"/>
      <c r="P766" s="240"/>
      <c r="Q766" s="116"/>
      <c r="R766" s="116"/>
      <c r="S766" s="240"/>
      <c r="T766" s="116"/>
      <c r="U766" s="116"/>
      <c r="V766" s="273"/>
      <c r="W766" s="116"/>
      <c r="X766" s="118"/>
      <c r="Y766" s="577">
        <f t="shared" si="32"/>
        <v>757</v>
      </c>
      <c r="AA766" s="116"/>
      <c r="AB766" s="116">
        <f t="shared" si="33"/>
        <v>0</v>
      </c>
    </row>
    <row r="767" spans="1:28">
      <c r="A767" s="136">
        <v>9031</v>
      </c>
      <c r="B767" s="102" t="s">
        <v>404</v>
      </c>
      <c r="C767" s="102"/>
      <c r="D767" s="102"/>
      <c r="E767" s="116">
        <f>+G767-Adjustments!H767</f>
        <v>0</v>
      </c>
      <c r="F767" s="116"/>
      <c r="G767" s="116"/>
      <c r="H767" s="116"/>
      <c r="I767" s="116"/>
      <c r="J767" s="116"/>
      <c r="K767" s="116"/>
      <c r="L767" s="116"/>
      <c r="M767" s="116"/>
      <c r="N767" s="116"/>
      <c r="O767" s="272"/>
      <c r="P767" s="240"/>
      <c r="Q767" s="116"/>
      <c r="R767" s="116"/>
      <c r="S767" s="240"/>
      <c r="T767" s="116"/>
      <c r="U767" s="116"/>
      <c r="V767" s="273"/>
      <c r="W767" s="116"/>
      <c r="X767" s="118"/>
      <c r="Y767" s="577">
        <f t="shared" si="32"/>
        <v>758</v>
      </c>
      <c r="AA767" s="116"/>
      <c r="AB767" s="116">
        <f t="shared" si="33"/>
        <v>0</v>
      </c>
    </row>
    <row r="768" spans="1:28">
      <c r="A768" s="136"/>
      <c r="B768" s="102"/>
      <c r="C768" s="102" t="s">
        <v>14</v>
      </c>
      <c r="D768" s="102"/>
      <c r="E768" s="116">
        <f>+G768-Adjustments!H768</f>
        <v>-224418.32013933547</v>
      </c>
      <c r="F768" s="116">
        <f>EXPENSES!G259</f>
        <v>13163140.24</v>
      </c>
      <c r="G768" s="116">
        <f>+Adjustments!AW767</f>
        <v>-224418.32013933547</v>
      </c>
      <c r="H768" s="116"/>
      <c r="I768" s="116">
        <f>SUM($F$768:$H$768)</f>
        <v>12938721.919860665</v>
      </c>
      <c r="J768" s="116"/>
      <c r="K768" s="116"/>
      <c r="L768" s="116" t="s">
        <v>14</v>
      </c>
      <c r="M768" s="116">
        <f>VLOOKUP($L768,$L$2:$N$7,2,FALSE)*I768</f>
        <v>12938721.919860665</v>
      </c>
      <c r="N768" s="116">
        <f>VLOOKUP($L768,$L$2:$N$7,3,FALSE)*I768</f>
        <v>0</v>
      </c>
      <c r="O768" s="272"/>
      <c r="P768" s="207" t="s">
        <v>560</v>
      </c>
      <c r="Q768" s="116">
        <f>IF(P768="G",M768,IF(P768="PT",0,ERR))</f>
        <v>12938721.919860665</v>
      </c>
      <c r="R768" s="116">
        <f>IF(P768="PT",M768,IF(P768="G",0,ERR))</f>
        <v>0</v>
      </c>
      <c r="S768" s="240" t="s">
        <v>560</v>
      </c>
      <c r="T768" s="116">
        <f>IF(S768="G",N768,IF(S768="PT",0,ERR))</f>
        <v>0</v>
      </c>
      <c r="U768" s="116">
        <f>IF(S768="PT",N768,IF(S768="G",0,ERR))</f>
        <v>0</v>
      </c>
      <c r="V768" s="273"/>
      <c r="W768" s="116">
        <f>HLOOKUP($W$9,'ROR-Model'!$Q$10:$U$1263,Y768)</f>
        <v>12938721.919860665</v>
      </c>
      <c r="X768" s="118"/>
      <c r="Y768" s="577">
        <f t="shared" si="32"/>
        <v>759</v>
      </c>
      <c r="AA768" s="116">
        <v>13163140.24</v>
      </c>
      <c r="AB768" s="116">
        <f t="shared" si="33"/>
        <v>-224418.32013933547</v>
      </c>
    </row>
    <row r="769" spans="1:28">
      <c r="A769" s="136"/>
      <c r="B769" s="102"/>
      <c r="C769" s="102" t="s">
        <v>24</v>
      </c>
      <c r="D769" s="102"/>
      <c r="E769" s="116">
        <f>+G769-Adjustments!H769</f>
        <v>10194.979129489395</v>
      </c>
      <c r="F769" s="116">
        <f>EXPENSES!G260</f>
        <v>550191.44000000006</v>
      </c>
      <c r="G769" s="116">
        <f>+Adjustments!AW768</f>
        <v>10194.979129489395</v>
      </c>
      <c r="H769" s="116"/>
      <c r="I769" s="116">
        <f>SUM($F$769:$H$769)</f>
        <v>560386.41912948946</v>
      </c>
      <c r="J769" s="116"/>
      <c r="K769" s="116"/>
      <c r="L769" s="116" t="s">
        <v>24</v>
      </c>
      <c r="M769" s="116">
        <f>VLOOKUP($L769,$L$2:$N$7,2,FALSE)*I769</f>
        <v>0</v>
      </c>
      <c r="N769" s="116">
        <f>VLOOKUP($L769,$L$2:$N$7,3,FALSE)*I769</f>
        <v>560386.41912948946</v>
      </c>
      <c r="O769" s="272"/>
      <c r="P769" s="207" t="s">
        <v>560</v>
      </c>
      <c r="Q769" s="116">
        <f>IF(P769="G",M769,IF(P769="PT",0,ERR))</f>
        <v>0</v>
      </c>
      <c r="R769" s="116">
        <f>IF(P769="PT",M769,IF(P769="G",0,ERR))</f>
        <v>0</v>
      </c>
      <c r="S769" s="240" t="s">
        <v>560</v>
      </c>
      <c r="T769" s="116">
        <f>IF(S769="G",N769,IF(S769="PT",0,ERR))</f>
        <v>560386.41912948946</v>
      </c>
      <c r="U769" s="116">
        <f>IF(S769="PT",N769,IF(S769="G",0,ERR))</f>
        <v>0</v>
      </c>
      <c r="V769" s="273"/>
      <c r="W769" s="116">
        <f>HLOOKUP($W$9,'ROR-Model'!$Q$10:$U$1263,Y769)</f>
        <v>0</v>
      </c>
      <c r="X769" s="118"/>
      <c r="Y769" s="577">
        <f t="shared" si="32"/>
        <v>760</v>
      </c>
      <c r="AA769" s="116">
        <v>0</v>
      </c>
      <c r="AB769" s="116">
        <f t="shared" si="33"/>
        <v>0</v>
      </c>
    </row>
    <row r="770" spans="1:28">
      <c r="A770" s="136"/>
      <c r="B770" s="102"/>
      <c r="C770" s="102" t="s">
        <v>170</v>
      </c>
      <c r="D770" s="102"/>
      <c r="E770" s="131">
        <f>+G770-Adjustments!H770</f>
        <v>-214223.34100984607</v>
      </c>
      <c r="F770" s="131">
        <f>SUM(F768:F769)</f>
        <v>13713331.68</v>
      </c>
      <c r="G770" s="131">
        <f>SUM(G768:G769)</f>
        <v>-214223.34100984607</v>
      </c>
      <c r="H770" s="131">
        <f>SUM(H768:H769)</f>
        <v>0</v>
      </c>
      <c r="I770" s="131">
        <f>SUM(I768:I769)</f>
        <v>13499108.338990154</v>
      </c>
      <c r="J770" s="116"/>
      <c r="K770" s="116"/>
      <c r="L770" s="131"/>
      <c r="M770" s="131">
        <f>SUM(M768:M769)</f>
        <v>12938721.919860665</v>
      </c>
      <c r="N770" s="131">
        <f>SUM(N768:N769)</f>
        <v>560386.41912948946</v>
      </c>
      <c r="O770" s="272"/>
      <c r="P770" s="257"/>
      <c r="Q770" s="131">
        <f>SUM(Q768:Q769)</f>
        <v>12938721.919860665</v>
      </c>
      <c r="R770" s="131">
        <f>SUM(R768:R769)</f>
        <v>0</v>
      </c>
      <c r="S770" s="257"/>
      <c r="T770" s="131">
        <f>SUM(T768:T769)</f>
        <v>560386.41912948946</v>
      </c>
      <c r="U770" s="131">
        <f>SUM(U768:U769)</f>
        <v>0</v>
      </c>
      <c r="V770" s="273"/>
      <c r="W770" s="131">
        <f>HLOOKUP($W$9,'ROR-Model'!$Q$10:$U$1263,Y770)</f>
        <v>12938721.919860665</v>
      </c>
      <c r="X770" s="118"/>
      <c r="Y770" s="577">
        <f t="shared" si="32"/>
        <v>761</v>
      </c>
      <c r="AA770" s="131">
        <v>13163140.24</v>
      </c>
      <c r="AB770" s="116">
        <f t="shared" si="33"/>
        <v>-224418.32013933547</v>
      </c>
    </row>
    <row r="771" spans="1:28">
      <c r="A771" s="136"/>
      <c r="B771" s="102"/>
      <c r="C771" s="102"/>
      <c r="D771" s="102"/>
      <c r="E771" s="116">
        <f>+G771-Adjustments!H771</f>
        <v>0</v>
      </c>
      <c r="F771" s="116"/>
      <c r="G771" s="116"/>
      <c r="H771" s="116"/>
      <c r="I771" s="116"/>
      <c r="J771" s="116"/>
      <c r="K771" s="116"/>
      <c r="L771" s="116"/>
      <c r="M771" s="116"/>
      <c r="N771" s="116"/>
      <c r="O771" s="272"/>
      <c r="P771" s="240"/>
      <c r="Q771" s="116"/>
      <c r="R771" s="116"/>
      <c r="S771" s="240"/>
      <c r="T771" s="116"/>
      <c r="U771" s="116"/>
      <c r="V771" s="273"/>
      <c r="W771" s="116"/>
      <c r="X771" s="118"/>
      <c r="Y771" s="577">
        <f t="shared" si="32"/>
        <v>762</v>
      </c>
      <c r="AA771" s="116"/>
      <c r="AB771" s="116">
        <f t="shared" si="33"/>
        <v>0</v>
      </c>
    </row>
    <row r="772" spans="1:28">
      <c r="A772" s="136">
        <v>9032</v>
      </c>
      <c r="B772" s="102" t="s">
        <v>405</v>
      </c>
      <c r="C772" s="102"/>
      <c r="D772" s="102"/>
      <c r="E772" s="116">
        <f>+G772-Adjustments!H772</f>
        <v>0</v>
      </c>
      <c r="F772" s="116"/>
      <c r="G772" s="116"/>
      <c r="H772" s="116"/>
      <c r="I772" s="116"/>
      <c r="J772" s="116"/>
      <c r="K772" s="116"/>
      <c r="L772" s="116"/>
      <c r="M772" s="116"/>
      <c r="N772" s="116"/>
      <c r="O772" s="272"/>
      <c r="P772" s="240"/>
      <c r="Q772" s="116"/>
      <c r="R772" s="116"/>
      <c r="S772" s="240"/>
      <c r="T772" s="116"/>
      <c r="U772" s="116"/>
      <c r="V772" s="273"/>
      <c r="W772" s="116"/>
      <c r="X772" s="118"/>
      <c r="Y772" s="577">
        <f t="shared" si="32"/>
        <v>763</v>
      </c>
      <c r="AA772" s="116"/>
      <c r="AB772" s="116">
        <f t="shared" si="33"/>
        <v>0</v>
      </c>
    </row>
    <row r="773" spans="1:28">
      <c r="A773" s="136"/>
      <c r="B773" s="102"/>
      <c r="C773" s="102" t="s">
        <v>14</v>
      </c>
      <c r="D773" s="102"/>
      <c r="E773" s="116">
        <f>+G773-Adjustments!H773</f>
        <v>-32139.645040186442</v>
      </c>
      <c r="F773" s="116">
        <f>EXPENSES!G264</f>
        <v>139298.02000000002</v>
      </c>
      <c r="G773" s="116">
        <f>+Adjustments!AW772</f>
        <v>-32139.645040186442</v>
      </c>
      <c r="H773" s="116"/>
      <c r="I773" s="116">
        <f>SUM($F$773:$H$773)</f>
        <v>107158.37495981358</v>
      </c>
      <c r="J773" s="116"/>
      <c r="K773" s="116"/>
      <c r="L773" s="116" t="s">
        <v>14</v>
      </c>
      <c r="M773" s="116">
        <f>VLOOKUP($L773,$L$2:$N$7,2,FALSE)*I773</f>
        <v>107158.37495981358</v>
      </c>
      <c r="N773" s="116">
        <f>VLOOKUP($L773,$L$2:$N$7,3,FALSE)*I773</f>
        <v>0</v>
      </c>
      <c r="O773" s="272"/>
      <c r="P773" s="207" t="s">
        <v>560</v>
      </c>
      <c r="Q773" s="116">
        <f>IF(P773="G",M773,IF(P773="PT",0,ERR))</f>
        <v>107158.37495981358</v>
      </c>
      <c r="R773" s="116">
        <f>IF(P773="PT",M773,IF(P773="G",0,ERR))</f>
        <v>0</v>
      </c>
      <c r="S773" s="240" t="s">
        <v>560</v>
      </c>
      <c r="T773" s="116">
        <f>IF(S773="G",N773,IF(S773="PT",0,ERR))</f>
        <v>0</v>
      </c>
      <c r="U773" s="116">
        <f>IF(S773="PT",N773,IF(S773="G",0,ERR))</f>
        <v>0</v>
      </c>
      <c r="V773" s="273"/>
      <c r="W773" s="116">
        <f>HLOOKUP($W$9,'ROR-Model'!$Q$10:$U$1263,Y773)</f>
        <v>107158.37495981358</v>
      </c>
      <c r="X773" s="118"/>
      <c r="Y773" s="577">
        <f t="shared" si="32"/>
        <v>764</v>
      </c>
      <c r="AA773" s="116">
        <v>139298.02000000002</v>
      </c>
      <c r="AB773" s="116">
        <f t="shared" si="33"/>
        <v>-32139.645040186442</v>
      </c>
    </row>
    <row r="774" spans="1:28">
      <c r="A774" s="136"/>
      <c r="B774" s="102"/>
      <c r="C774" s="102" t="s">
        <v>24</v>
      </c>
      <c r="D774" s="102"/>
      <c r="E774" s="116">
        <f>+G774-Adjustments!H774</f>
        <v>-313.40732912064414</v>
      </c>
      <c r="F774" s="116">
        <f>EXPENSES!G265</f>
        <v>34517.85</v>
      </c>
      <c r="G774" s="116">
        <f>+Adjustments!AW773</f>
        <v>-313.40732912064414</v>
      </c>
      <c r="H774" s="116"/>
      <c r="I774" s="116">
        <f>SUM($F$774:$H$774)</f>
        <v>34204.442670879354</v>
      </c>
      <c r="J774" s="116"/>
      <c r="K774" s="116"/>
      <c r="L774" s="116" t="s">
        <v>24</v>
      </c>
      <c r="M774" s="116">
        <f>VLOOKUP($L774,$L$2:$N$7,2,FALSE)*I774</f>
        <v>0</v>
      </c>
      <c r="N774" s="116">
        <f>VLOOKUP($L774,$L$2:$N$7,3,FALSE)*I774</f>
        <v>34204.442670879354</v>
      </c>
      <c r="O774" s="272"/>
      <c r="P774" s="207" t="s">
        <v>560</v>
      </c>
      <c r="Q774" s="116">
        <f>IF(P774="G",M774,IF(P774="PT",0,ERR))</f>
        <v>0</v>
      </c>
      <c r="R774" s="116">
        <f>IF(P774="PT",M774,IF(P774="G",0,ERR))</f>
        <v>0</v>
      </c>
      <c r="S774" s="240" t="s">
        <v>560</v>
      </c>
      <c r="T774" s="116">
        <f>IF(S774="G",N774,IF(S774="PT",0,ERR))</f>
        <v>34204.442670879354</v>
      </c>
      <c r="U774" s="116">
        <f>IF(S774="PT",N774,IF(S774="G",0,ERR))</f>
        <v>0</v>
      </c>
      <c r="V774" s="273"/>
      <c r="W774" s="116">
        <f>HLOOKUP($W$9,'ROR-Model'!$Q$10:$U$1263,Y774)</f>
        <v>0</v>
      </c>
      <c r="X774" s="118"/>
      <c r="Y774" s="577">
        <f t="shared" si="32"/>
        <v>765</v>
      </c>
      <c r="AA774" s="116">
        <v>0</v>
      </c>
      <c r="AB774" s="116">
        <f t="shared" si="33"/>
        <v>0</v>
      </c>
    </row>
    <row r="775" spans="1:28">
      <c r="A775" s="136"/>
      <c r="B775" s="102"/>
      <c r="C775" s="102" t="s">
        <v>170</v>
      </c>
      <c r="D775" s="102"/>
      <c r="E775" s="131">
        <f>+G775-Adjustments!H775</f>
        <v>-32453.052369307086</v>
      </c>
      <c r="F775" s="131">
        <f>SUM(F773:F774)</f>
        <v>173815.87000000002</v>
      </c>
      <c r="G775" s="131">
        <f>SUM(G773:G774)</f>
        <v>-32453.052369307086</v>
      </c>
      <c r="H775" s="131">
        <f>SUM(H773:H774)</f>
        <v>0</v>
      </c>
      <c r="I775" s="131">
        <f>SUM(I773:I774)</f>
        <v>141362.81763069294</v>
      </c>
      <c r="J775" s="116"/>
      <c r="K775" s="116"/>
      <c r="L775" s="131"/>
      <c r="M775" s="131">
        <f>SUM(M773:M774)</f>
        <v>107158.37495981358</v>
      </c>
      <c r="N775" s="131">
        <f>SUM(N773:N774)</f>
        <v>34204.442670879354</v>
      </c>
      <c r="O775" s="272"/>
      <c r="P775" s="257"/>
      <c r="Q775" s="131">
        <f>SUM(Q773:Q774)</f>
        <v>107158.37495981358</v>
      </c>
      <c r="R775" s="131">
        <f>SUM(R773:R774)</f>
        <v>0</v>
      </c>
      <c r="S775" s="257"/>
      <c r="T775" s="131">
        <f>SUM(T773:T774)</f>
        <v>34204.442670879354</v>
      </c>
      <c r="U775" s="131">
        <f>SUM(U773:U774)</f>
        <v>0</v>
      </c>
      <c r="V775" s="273"/>
      <c r="W775" s="131">
        <f>HLOOKUP($W$9,'ROR-Model'!$Q$10:$U$1263,Y775)</f>
        <v>107158.37495981358</v>
      </c>
      <c r="X775" s="118"/>
      <c r="Y775" s="577">
        <f t="shared" si="32"/>
        <v>766</v>
      </c>
      <c r="AA775" s="131">
        <v>139298.02000000002</v>
      </c>
      <c r="AB775" s="116">
        <f t="shared" si="33"/>
        <v>-32139.645040186442</v>
      </c>
    </row>
    <row r="776" spans="1:28">
      <c r="A776" s="136"/>
      <c r="B776" s="102"/>
      <c r="C776" s="102"/>
      <c r="D776" s="102"/>
      <c r="E776" s="116">
        <f>+G776-Adjustments!H776</f>
        <v>0</v>
      </c>
      <c r="F776" s="116"/>
      <c r="G776" s="116"/>
      <c r="H776" s="116"/>
      <c r="I776" s="116"/>
      <c r="J776" s="116"/>
      <c r="K776" s="116"/>
      <c r="L776" s="116"/>
      <c r="M776" s="116"/>
      <c r="N776" s="116"/>
      <c r="O776" s="272"/>
      <c r="P776" s="240"/>
      <c r="Q776" s="116"/>
      <c r="R776" s="116"/>
      <c r="S776" s="240"/>
      <c r="T776" s="116"/>
      <c r="U776" s="116"/>
      <c r="V776" s="273"/>
      <c r="W776" s="116"/>
      <c r="X776" s="118"/>
      <c r="Y776" s="577">
        <f t="shared" si="32"/>
        <v>767</v>
      </c>
      <c r="AA776" s="116"/>
      <c r="AB776" s="116">
        <f t="shared" si="33"/>
        <v>0</v>
      </c>
    </row>
    <row r="777" spans="1:28">
      <c r="A777" s="136">
        <v>9033</v>
      </c>
      <c r="B777" s="102" t="s">
        <v>406</v>
      </c>
      <c r="C777" s="102"/>
      <c r="D777" s="102"/>
      <c r="E777" s="116">
        <f>+G777-Adjustments!H777</f>
        <v>0</v>
      </c>
      <c r="F777" s="116"/>
      <c r="G777" s="116"/>
      <c r="H777" s="116"/>
      <c r="I777" s="116"/>
      <c r="J777" s="116"/>
      <c r="K777" s="116"/>
      <c r="L777" s="116"/>
      <c r="M777" s="116"/>
      <c r="N777" s="116"/>
      <c r="O777" s="272"/>
      <c r="P777" s="240"/>
      <c r="Q777" s="116"/>
      <c r="R777" s="116"/>
      <c r="S777" s="240"/>
      <c r="T777" s="116"/>
      <c r="U777" s="116"/>
      <c r="V777" s="273"/>
      <c r="W777" s="116"/>
      <c r="X777" s="118"/>
      <c r="Y777" s="577">
        <f t="shared" si="32"/>
        <v>768</v>
      </c>
      <c r="AA777" s="116"/>
      <c r="AB777" s="116">
        <f t="shared" si="33"/>
        <v>0</v>
      </c>
    </row>
    <row r="778" spans="1:28">
      <c r="A778" s="136"/>
      <c r="B778" s="102"/>
      <c r="C778" s="102" t="s">
        <v>14</v>
      </c>
      <c r="D778" s="102"/>
      <c r="E778" s="116">
        <f>+G778-Adjustments!H778</f>
        <v>10500.208765200048</v>
      </c>
      <c r="F778" s="116">
        <f>EXPENSES!G269</f>
        <v>273728.07</v>
      </c>
      <c r="G778" s="116">
        <f>+Adjustments!AW777</f>
        <v>10500.208765200048</v>
      </c>
      <c r="H778" s="116"/>
      <c r="I778" s="116">
        <f>SUM($F$778:$H$778)</f>
        <v>284228.27876520006</v>
      </c>
      <c r="J778" s="116"/>
      <c r="K778" s="116"/>
      <c r="L778" s="116" t="s">
        <v>14</v>
      </c>
      <c r="M778" s="116">
        <f>VLOOKUP($L778,$L$2:$N$7,2,FALSE)*I778</f>
        <v>284228.27876520006</v>
      </c>
      <c r="N778" s="116">
        <f>VLOOKUP($L778,$L$2:$N$7,3,FALSE)*I778</f>
        <v>0</v>
      </c>
      <c r="O778" s="272"/>
      <c r="P778" s="207" t="s">
        <v>560</v>
      </c>
      <c r="Q778" s="116">
        <f>IF(P778="G",M778,IF(P778="PT",0,ERR))</f>
        <v>284228.27876520006</v>
      </c>
      <c r="R778" s="116">
        <f>IF(P778="PT",M778,IF(P778="G",0,ERR))</f>
        <v>0</v>
      </c>
      <c r="S778" s="240" t="s">
        <v>560</v>
      </c>
      <c r="T778" s="116">
        <f>IF(S778="G",N778,IF(S778="PT",0,ERR))</f>
        <v>0</v>
      </c>
      <c r="U778" s="116">
        <f>IF(S778="PT",N778,IF(S778="G",0,ERR))</f>
        <v>0</v>
      </c>
      <c r="V778" s="273"/>
      <c r="W778" s="116">
        <f>HLOOKUP($W$9,'ROR-Model'!$Q$10:$U$1263,Y778)</f>
        <v>284228.27876520006</v>
      </c>
      <c r="X778" s="118"/>
      <c r="Y778" s="577">
        <f t="shared" si="32"/>
        <v>769</v>
      </c>
      <c r="AA778" s="116">
        <v>273728.07</v>
      </c>
      <c r="AB778" s="116">
        <f t="shared" si="33"/>
        <v>10500.208765200048</v>
      </c>
    </row>
    <row r="779" spans="1:28">
      <c r="A779" s="136"/>
      <c r="B779" s="102"/>
      <c r="C779" s="102" t="s">
        <v>24</v>
      </c>
      <c r="D779" s="102"/>
      <c r="E779" s="116">
        <f>+G779-Adjustments!H779</f>
        <v>196.98281959999895</v>
      </c>
      <c r="F779" s="116">
        <f>EXPENSES!G270</f>
        <v>5135.1100000000006</v>
      </c>
      <c r="G779" s="116">
        <f>+Adjustments!AW778</f>
        <v>196.98281959999895</v>
      </c>
      <c r="H779" s="116"/>
      <c r="I779" s="116">
        <f>SUM($F$779:$H$779)</f>
        <v>5332.0928195999995</v>
      </c>
      <c r="J779" s="116"/>
      <c r="K779" s="116"/>
      <c r="L779" s="116" t="s">
        <v>24</v>
      </c>
      <c r="M779" s="116">
        <f>VLOOKUP($L779,$L$2:$N$7,2,FALSE)*I779</f>
        <v>0</v>
      </c>
      <c r="N779" s="116">
        <f>VLOOKUP($L779,$L$2:$N$7,3,FALSE)*I779</f>
        <v>5332.0928195999995</v>
      </c>
      <c r="O779" s="272"/>
      <c r="P779" s="207" t="s">
        <v>560</v>
      </c>
      <c r="Q779" s="116">
        <f>IF(P779="G",M779,IF(P779="PT",0,ERR))</f>
        <v>0</v>
      </c>
      <c r="R779" s="116">
        <f>IF(P779="PT",M779,IF(P779="G",0,ERR))</f>
        <v>0</v>
      </c>
      <c r="S779" s="240" t="s">
        <v>560</v>
      </c>
      <c r="T779" s="116">
        <f>IF(S779="G",N779,IF(S779="PT",0,ERR))</f>
        <v>5332.0928195999995</v>
      </c>
      <c r="U779" s="116">
        <f>IF(S779="PT",N779,IF(S779="G",0,ERR))</f>
        <v>0</v>
      </c>
      <c r="V779" s="273"/>
      <c r="W779" s="116">
        <f>HLOOKUP($W$9,'ROR-Model'!$Q$10:$U$1263,Y779)</f>
        <v>0</v>
      </c>
      <c r="X779" s="118"/>
      <c r="Y779" s="577">
        <f t="shared" si="32"/>
        <v>770</v>
      </c>
      <c r="AA779" s="116">
        <v>0</v>
      </c>
      <c r="AB779" s="116">
        <f t="shared" si="33"/>
        <v>0</v>
      </c>
    </row>
    <row r="780" spans="1:28">
      <c r="A780" s="136"/>
      <c r="B780" s="102"/>
      <c r="C780" s="102" t="s">
        <v>170</v>
      </c>
      <c r="D780" s="102"/>
      <c r="E780" s="131">
        <f>+G780-Adjustments!H780</f>
        <v>10697.191584800046</v>
      </c>
      <c r="F780" s="131">
        <f>SUM(F778:F779)</f>
        <v>278863.18</v>
      </c>
      <c r="G780" s="131">
        <f>SUM(G778:G779)</f>
        <v>10697.191584800046</v>
      </c>
      <c r="H780" s="131">
        <f>SUM(H778:H779)</f>
        <v>0</v>
      </c>
      <c r="I780" s="131">
        <f>SUM(I778:I779)</f>
        <v>289560.37158480007</v>
      </c>
      <c r="J780" s="116"/>
      <c r="K780" s="116"/>
      <c r="L780" s="131"/>
      <c r="M780" s="131">
        <f>SUM(M778:M779)</f>
        <v>284228.27876520006</v>
      </c>
      <c r="N780" s="131">
        <f>SUM(N778:N779)</f>
        <v>5332.0928195999995</v>
      </c>
      <c r="O780" s="272"/>
      <c r="P780" s="257"/>
      <c r="Q780" s="131">
        <f>SUM(Q778:Q779)</f>
        <v>284228.27876520006</v>
      </c>
      <c r="R780" s="131">
        <f>SUM(R778:R779)</f>
        <v>0</v>
      </c>
      <c r="S780" s="257"/>
      <c r="T780" s="131">
        <f>SUM(T778:T779)</f>
        <v>5332.0928195999995</v>
      </c>
      <c r="U780" s="131">
        <f>SUM(U778:U779)</f>
        <v>0</v>
      </c>
      <c r="V780" s="273"/>
      <c r="W780" s="131">
        <f>HLOOKUP($W$9,'ROR-Model'!$Q$10:$U$1263,Y780)</f>
        <v>284228.27876520006</v>
      </c>
      <c r="X780" s="118"/>
      <c r="Y780" s="577">
        <f t="shared" si="32"/>
        <v>771</v>
      </c>
      <c r="AA780" s="131">
        <v>273728.07</v>
      </c>
      <c r="AB780" s="116">
        <f t="shared" si="33"/>
        <v>10500.208765200048</v>
      </c>
    </row>
    <row r="781" spans="1:28">
      <c r="A781" s="136"/>
      <c r="B781" s="102"/>
      <c r="C781" s="102"/>
      <c r="D781" s="102"/>
      <c r="E781" s="116">
        <f>+G781-Adjustments!H781</f>
        <v>0</v>
      </c>
      <c r="F781" s="116"/>
      <c r="G781" s="116"/>
      <c r="H781" s="116"/>
      <c r="I781" s="116"/>
      <c r="J781" s="116"/>
      <c r="K781" s="116"/>
      <c r="L781" s="116"/>
      <c r="M781" s="116"/>
      <c r="N781" s="116"/>
      <c r="O781" s="272"/>
      <c r="P781" s="240"/>
      <c r="Q781" s="116"/>
      <c r="R781" s="116"/>
      <c r="S781" s="240"/>
      <c r="T781" s="116"/>
      <c r="U781" s="116"/>
      <c r="V781" s="273"/>
      <c r="W781" s="116"/>
      <c r="X781" s="118"/>
      <c r="Y781" s="577">
        <f t="shared" si="32"/>
        <v>772</v>
      </c>
      <c r="AA781" s="116"/>
      <c r="AB781" s="116">
        <f t="shared" si="33"/>
        <v>0</v>
      </c>
    </row>
    <row r="782" spans="1:28">
      <c r="A782" s="136" t="s">
        <v>0</v>
      </c>
      <c r="B782" s="102" t="s">
        <v>21</v>
      </c>
      <c r="C782" s="102"/>
      <c r="D782" s="102"/>
      <c r="E782" s="116">
        <f>+G782-Adjustments!H782</f>
        <v>0</v>
      </c>
      <c r="F782" s="116"/>
      <c r="G782" s="116"/>
      <c r="H782" s="116"/>
      <c r="I782" s="116"/>
      <c r="J782" s="116"/>
      <c r="K782" s="116"/>
      <c r="L782" s="116"/>
      <c r="M782" s="116"/>
      <c r="N782" s="116"/>
      <c r="O782" s="272"/>
      <c r="P782" s="240"/>
      <c r="Q782" s="116"/>
      <c r="R782" s="116"/>
      <c r="S782" s="240"/>
      <c r="T782" s="116"/>
      <c r="U782" s="116"/>
      <c r="V782" s="273"/>
      <c r="W782" s="116"/>
      <c r="X782" s="118"/>
      <c r="Y782" s="577">
        <f t="shared" ref="Y782:Y845" si="35">Y781+1</f>
        <v>773</v>
      </c>
      <c r="AA782" s="116"/>
      <c r="AB782" s="116">
        <f t="shared" si="33"/>
        <v>0</v>
      </c>
    </row>
    <row r="783" spans="1:28">
      <c r="A783" s="136"/>
      <c r="B783" s="102"/>
      <c r="C783" s="102" t="s">
        <v>14</v>
      </c>
      <c r="D783" s="102"/>
      <c r="E783" s="116">
        <f>+G783-Adjustments!H783</f>
        <v>92396.929226375534</v>
      </c>
      <c r="F783" s="116">
        <f>EXPENSES!G274</f>
        <v>656083.52999999991</v>
      </c>
      <c r="G783" s="116">
        <f>+Adjustments!AW782</f>
        <v>92396.929226375534</v>
      </c>
      <c r="H783" s="116"/>
      <c r="I783" s="116">
        <f>SUM($F$783:$H$783)</f>
        <v>748480.45922637545</v>
      </c>
      <c r="J783" s="116"/>
      <c r="K783" s="116"/>
      <c r="L783" s="116" t="s">
        <v>14</v>
      </c>
      <c r="M783" s="116">
        <f>VLOOKUP($L783,$L$2:$N$7,2,FALSE)*I783</f>
        <v>748480.45922637545</v>
      </c>
      <c r="N783" s="116">
        <f>VLOOKUP($L783,$L$2:$N$7,3,FALSE)*I783</f>
        <v>0</v>
      </c>
      <c r="O783" s="272"/>
      <c r="P783" s="207" t="s">
        <v>560</v>
      </c>
      <c r="Q783" s="116">
        <f>IF(P783="G",M783,IF(P783="PT",0,ERR))</f>
        <v>748480.45922637545</v>
      </c>
      <c r="R783" s="116">
        <f>IF(P783="PT",M783,IF(P783="G",0,ERR))</f>
        <v>0</v>
      </c>
      <c r="S783" s="240" t="s">
        <v>560</v>
      </c>
      <c r="T783" s="116">
        <f>IF(S783="G",N783,IF(S783="PT",0,ERR))</f>
        <v>0</v>
      </c>
      <c r="U783" s="116">
        <f>IF(S783="PT",N783,IF(S783="G",0,ERR))</f>
        <v>0</v>
      </c>
      <c r="V783" s="273"/>
      <c r="W783" s="116">
        <f>HLOOKUP($W$9,'ROR-Model'!$Q$10:$U$1263,Y783)</f>
        <v>748480.45922637545</v>
      </c>
      <c r="X783" s="118"/>
      <c r="Y783" s="577">
        <f t="shared" si="35"/>
        <v>774</v>
      </c>
      <c r="AA783" s="116">
        <v>747132.89810379106</v>
      </c>
      <c r="AB783" s="116">
        <f t="shared" si="33"/>
        <v>1347.5611225843895</v>
      </c>
    </row>
    <row r="784" spans="1:28">
      <c r="A784" s="136"/>
      <c r="B784" s="102"/>
      <c r="C784" s="102" t="s">
        <v>24</v>
      </c>
      <c r="D784" s="102"/>
      <c r="E784" s="116">
        <f>+G784-Adjustments!H784</f>
        <v>-63801.19999999999</v>
      </c>
      <c r="F784" s="116">
        <f>EXPENSES!G275</f>
        <v>63801.19999999999</v>
      </c>
      <c r="G784" s="116">
        <f>+Adjustments!AW783</f>
        <v>-63801.19999999999</v>
      </c>
      <c r="H784" s="116"/>
      <c r="I784" s="116">
        <f>SUM($F$784:$H$784)</f>
        <v>0</v>
      </c>
      <c r="J784" s="116"/>
      <c r="K784" s="116"/>
      <c r="L784" s="116" t="s">
        <v>24</v>
      </c>
      <c r="M784" s="116">
        <f>VLOOKUP($L784,$L$2:$N$7,2,FALSE)*I784</f>
        <v>0</v>
      </c>
      <c r="N784" s="116">
        <f>VLOOKUP($L784,$L$2:$N$7,3,FALSE)*I784</f>
        <v>0</v>
      </c>
      <c r="O784" s="272"/>
      <c r="P784" s="207" t="s">
        <v>560</v>
      </c>
      <c r="Q784" s="116">
        <f>IF(P784="G",M784,IF(P784="PT",0,ERR))</f>
        <v>0</v>
      </c>
      <c r="R784" s="116">
        <f>IF(P784="PT",M784,IF(P784="G",0,ERR))</f>
        <v>0</v>
      </c>
      <c r="S784" s="240" t="s">
        <v>560</v>
      </c>
      <c r="T784" s="116">
        <f>IF(S784="G",N784,IF(S784="PT",0,ERR))</f>
        <v>0</v>
      </c>
      <c r="U784" s="116">
        <f>IF(S784="PT",N784,IF(S784="G",0,ERR))</f>
        <v>0</v>
      </c>
      <c r="V784" s="273"/>
      <c r="W784" s="116">
        <f>HLOOKUP($W$9,'ROR-Model'!$Q$10:$U$1263,Y784)</f>
        <v>0</v>
      </c>
      <c r="X784" s="118"/>
      <c r="Y784" s="577">
        <f t="shared" si="35"/>
        <v>775</v>
      </c>
      <c r="AA784" s="116">
        <v>0</v>
      </c>
      <c r="AB784" s="116">
        <f t="shared" si="33"/>
        <v>0</v>
      </c>
    </row>
    <row r="785" spans="1:28">
      <c r="A785" s="136"/>
      <c r="B785" s="102"/>
      <c r="C785" s="102" t="s">
        <v>170</v>
      </c>
      <c r="D785" s="102"/>
      <c r="E785" s="131">
        <f>+G785-Adjustments!H785</f>
        <v>28595.729226375544</v>
      </c>
      <c r="F785" s="131">
        <f>SUM(F783:F784)</f>
        <v>719884.72999999986</v>
      </c>
      <c r="G785" s="131">
        <f>SUM(G783:G784)</f>
        <v>28595.729226375544</v>
      </c>
      <c r="H785" s="131">
        <f>SUM(H783:H784)</f>
        <v>0</v>
      </c>
      <c r="I785" s="131">
        <f>SUM(I783:I784)</f>
        <v>748480.45922637545</v>
      </c>
      <c r="J785" s="116"/>
      <c r="K785" s="116"/>
      <c r="L785" s="131"/>
      <c r="M785" s="131">
        <f>SUM(M783:M784)</f>
        <v>748480.45922637545</v>
      </c>
      <c r="N785" s="131">
        <f>SUM(N783:N784)</f>
        <v>0</v>
      </c>
      <c r="O785" s="272"/>
      <c r="P785" s="257"/>
      <c r="Q785" s="131">
        <f>SUM(Q783:Q784)</f>
        <v>748480.45922637545</v>
      </c>
      <c r="R785" s="131">
        <f>SUM(R783:R784)</f>
        <v>0</v>
      </c>
      <c r="S785" s="257"/>
      <c r="T785" s="131">
        <f>SUM(T783:T784)</f>
        <v>0</v>
      </c>
      <c r="U785" s="131">
        <f>SUM(U783:U784)</f>
        <v>0</v>
      </c>
      <c r="V785" s="273"/>
      <c r="W785" s="131">
        <f>HLOOKUP($W$9,'ROR-Model'!$Q$10:$U$1263,Y785)</f>
        <v>748480.45922637545</v>
      </c>
      <c r="X785" s="118"/>
      <c r="Y785" s="577">
        <f t="shared" si="35"/>
        <v>776</v>
      </c>
      <c r="AA785" s="131">
        <v>747132.89810379106</v>
      </c>
      <c r="AB785" s="116">
        <f t="shared" ref="AB785:AB848" si="36">W785-AA785</f>
        <v>1347.5611225843895</v>
      </c>
    </row>
    <row r="786" spans="1:28">
      <c r="A786" s="136"/>
      <c r="B786" s="102"/>
      <c r="C786" s="102"/>
      <c r="D786" s="102"/>
      <c r="E786" s="116">
        <f>+G786-Adjustments!H786</f>
        <v>0</v>
      </c>
      <c r="F786" s="116"/>
      <c r="G786" s="116"/>
      <c r="H786" s="116"/>
      <c r="I786" s="116"/>
      <c r="J786" s="116"/>
      <c r="K786" s="116"/>
      <c r="L786" s="116"/>
      <c r="M786" s="116"/>
      <c r="N786" s="116"/>
      <c r="O786" s="272"/>
      <c r="P786" s="240"/>
      <c r="Q786" s="116"/>
      <c r="R786" s="116"/>
      <c r="S786" s="240"/>
      <c r="T786" s="116"/>
      <c r="U786" s="116"/>
      <c r="V786" s="273"/>
      <c r="W786" s="116"/>
      <c r="X786" s="118"/>
      <c r="Y786" s="577">
        <f t="shared" si="35"/>
        <v>777</v>
      </c>
      <c r="AA786" s="116"/>
      <c r="AB786" s="116">
        <f t="shared" si="36"/>
        <v>0</v>
      </c>
    </row>
    <row r="787" spans="1:28">
      <c r="A787" s="136" t="s">
        <v>1</v>
      </c>
      <c r="B787" s="102" t="s">
        <v>22</v>
      </c>
      <c r="C787" s="102"/>
      <c r="D787" s="102"/>
      <c r="E787" s="116">
        <f>+G787-Adjustments!H787</f>
        <v>0</v>
      </c>
      <c r="F787" s="116"/>
      <c r="G787" s="116"/>
      <c r="H787" s="116"/>
      <c r="I787" s="116"/>
      <c r="J787" s="116"/>
      <c r="K787" s="116"/>
      <c r="L787" s="116"/>
      <c r="M787" s="116"/>
      <c r="N787" s="116"/>
      <c r="O787" s="272"/>
      <c r="P787" s="240"/>
      <c r="Q787" s="116"/>
      <c r="R787" s="116"/>
      <c r="S787" s="240"/>
      <c r="T787" s="116"/>
      <c r="U787" s="116"/>
      <c r="V787" s="273"/>
      <c r="W787" s="116"/>
      <c r="X787" s="118"/>
      <c r="Y787" s="577">
        <f t="shared" si="35"/>
        <v>778</v>
      </c>
      <c r="AA787" s="116"/>
      <c r="AB787" s="116">
        <f t="shared" si="36"/>
        <v>0</v>
      </c>
    </row>
    <row r="788" spans="1:28">
      <c r="A788" s="136"/>
      <c r="B788" s="102"/>
      <c r="C788" s="102" t="s">
        <v>14</v>
      </c>
      <c r="D788" s="102"/>
      <c r="E788" s="116">
        <f>+G788-Adjustments!H788</f>
        <v>-212317.07000000004</v>
      </c>
      <c r="F788" s="116">
        <f>EXPENSES!G279</f>
        <v>212317.07000000004</v>
      </c>
      <c r="G788" s="116">
        <f>+Adjustments!AW787</f>
        <v>-212317.07000000004</v>
      </c>
      <c r="H788" s="116"/>
      <c r="I788" s="116">
        <f>SUM(F788:H788)</f>
        <v>0</v>
      </c>
      <c r="J788" s="116"/>
      <c r="K788" s="116"/>
      <c r="L788" s="116" t="s">
        <v>14</v>
      </c>
      <c r="M788" s="116">
        <f>VLOOKUP($L788,$L$2:$N$7,2,FALSE)*I788</f>
        <v>0</v>
      </c>
      <c r="N788" s="116">
        <f>VLOOKUP($L788,$L$2:$N$7,3,FALSE)*I788</f>
        <v>0</v>
      </c>
      <c r="O788" s="272"/>
      <c r="P788" s="207" t="s">
        <v>559</v>
      </c>
      <c r="Q788" s="116">
        <f>IF(P788="G",M788,IF(P788="PT",0,ERR))</f>
        <v>0</v>
      </c>
      <c r="R788" s="116">
        <f>IF(P788="PT",M788,IF(P788="G",0,ERR))</f>
        <v>0</v>
      </c>
      <c r="S788" s="240" t="s">
        <v>559</v>
      </c>
      <c r="T788" s="116">
        <f>IF(S788="G",N788,IF(S788="PT",0,ERR))</f>
        <v>0</v>
      </c>
      <c r="U788" s="116">
        <f>IF(S788="PT",N788,IF(S788="G",0,ERR))</f>
        <v>0</v>
      </c>
      <c r="V788" s="273"/>
      <c r="W788" s="116">
        <f>HLOOKUP($W$9,'ROR-Model'!$Q$10:$U$1263,Y788)</f>
        <v>0</v>
      </c>
      <c r="X788" s="118"/>
      <c r="Y788" s="577">
        <f t="shared" si="35"/>
        <v>779</v>
      </c>
      <c r="AA788" s="116">
        <v>0</v>
      </c>
      <c r="AB788" s="116">
        <f t="shared" si="36"/>
        <v>0</v>
      </c>
    </row>
    <row r="789" spans="1:28">
      <c r="A789" s="136"/>
      <c r="B789" s="102"/>
      <c r="C789" s="102" t="s">
        <v>24</v>
      </c>
      <c r="D789" s="102"/>
      <c r="E789" s="116">
        <f>+G789-Adjustments!H789</f>
        <v>0</v>
      </c>
      <c r="F789" s="116">
        <f>EXPENSES!G280</f>
        <v>0</v>
      </c>
      <c r="G789" s="116">
        <f>+Adjustments!AW788</f>
        <v>0</v>
      </c>
      <c r="H789" s="116"/>
      <c r="I789" s="116">
        <f>SUM(F789:H789)</f>
        <v>0</v>
      </c>
      <c r="J789" s="116"/>
      <c r="K789" s="116"/>
      <c r="L789" s="116" t="s">
        <v>24</v>
      </c>
      <c r="M789" s="116">
        <f>VLOOKUP($L789,$L$2:$N$7,2,FALSE)*I789</f>
        <v>0</v>
      </c>
      <c r="N789" s="116">
        <f>VLOOKUP($L789,$L$2:$N$7,3,FALSE)*I789</f>
        <v>0</v>
      </c>
      <c r="O789" s="272"/>
      <c r="P789" s="207" t="s">
        <v>559</v>
      </c>
      <c r="Q789" s="116">
        <f>IF(P789="G",M789,IF(P789="PT",0,ERR))</f>
        <v>0</v>
      </c>
      <c r="R789" s="116">
        <f>IF(P789="PT",M789,IF(P789="G",0,ERR))</f>
        <v>0</v>
      </c>
      <c r="S789" s="240" t="s">
        <v>559</v>
      </c>
      <c r="T789" s="116">
        <f>IF(S789="G",N789,IF(S789="PT",0,ERR))</f>
        <v>0</v>
      </c>
      <c r="U789" s="116">
        <f>IF(S789="PT",N789,IF(S789="G",0,ERR))</f>
        <v>0</v>
      </c>
      <c r="V789" s="273"/>
      <c r="W789" s="116">
        <f>HLOOKUP($W$9,'ROR-Model'!$Q$10:$U$1263,Y789)</f>
        <v>0</v>
      </c>
      <c r="X789" s="118"/>
      <c r="Y789" s="577">
        <f t="shared" si="35"/>
        <v>780</v>
      </c>
      <c r="AA789" s="116">
        <v>0</v>
      </c>
      <c r="AB789" s="116">
        <f t="shared" si="36"/>
        <v>0</v>
      </c>
    </row>
    <row r="790" spans="1:28">
      <c r="A790" s="136"/>
      <c r="B790" s="102"/>
      <c r="C790" s="102" t="s">
        <v>170</v>
      </c>
      <c r="D790" s="102"/>
      <c r="E790" s="131">
        <f>+G790-Adjustments!H790</f>
        <v>-212317.07000000004</v>
      </c>
      <c r="F790" s="131">
        <f>SUM(F788:F789)</f>
        <v>212317.07000000004</v>
      </c>
      <c r="G790" s="131">
        <f>SUM(G788:G789)</f>
        <v>-212317.07000000004</v>
      </c>
      <c r="H790" s="131">
        <f>SUM(H788:H789)</f>
        <v>0</v>
      </c>
      <c r="I790" s="131">
        <f>SUM(I788:I789)</f>
        <v>0</v>
      </c>
      <c r="J790" s="116"/>
      <c r="K790" s="116"/>
      <c r="L790" s="131"/>
      <c r="M790" s="131">
        <f>SUM(M788:M789)</f>
        <v>0</v>
      </c>
      <c r="N790" s="131">
        <f>SUM(N788:N789)</f>
        <v>0</v>
      </c>
      <c r="O790" s="272"/>
      <c r="P790" s="257"/>
      <c r="Q790" s="131">
        <f>SUM(Q788:Q789)</f>
        <v>0</v>
      </c>
      <c r="R790" s="131">
        <f>SUM(R788:R789)</f>
        <v>0</v>
      </c>
      <c r="S790" s="257"/>
      <c r="T790" s="131">
        <f>SUM(T788:T789)</f>
        <v>0</v>
      </c>
      <c r="U790" s="131">
        <f>SUM(U788:U789)</f>
        <v>0</v>
      </c>
      <c r="V790" s="273"/>
      <c r="W790" s="131">
        <f>HLOOKUP($W$9,'ROR-Model'!$Q$10:$U$1263,Y790)</f>
        <v>0</v>
      </c>
      <c r="X790" s="118"/>
      <c r="Y790" s="577">
        <f t="shared" si="35"/>
        <v>781</v>
      </c>
      <c r="AA790" s="131">
        <v>0</v>
      </c>
      <c r="AB790" s="116">
        <f t="shared" si="36"/>
        <v>0</v>
      </c>
    </row>
    <row r="791" spans="1:28">
      <c r="A791" s="136"/>
      <c r="B791" s="102"/>
      <c r="C791" s="102"/>
      <c r="D791" s="102"/>
      <c r="E791" s="116">
        <f>+G791-Adjustments!H791</f>
        <v>0</v>
      </c>
      <c r="F791" s="116"/>
      <c r="G791" s="116"/>
      <c r="H791" s="116"/>
      <c r="I791" s="116"/>
      <c r="J791" s="116"/>
      <c r="K791" s="116"/>
      <c r="L791" s="116"/>
      <c r="M791" s="116"/>
      <c r="N791" s="116"/>
      <c r="O791" s="272"/>
      <c r="P791" s="240"/>
      <c r="Q791" s="116"/>
      <c r="R791" s="116"/>
      <c r="S791" s="240"/>
      <c r="T791" s="116"/>
      <c r="U791" s="116"/>
      <c r="V791" s="273"/>
      <c r="W791" s="116"/>
      <c r="X791" s="118"/>
      <c r="Y791" s="577">
        <f t="shared" si="35"/>
        <v>782</v>
      </c>
      <c r="AA791" s="116"/>
      <c r="AB791" s="116">
        <f t="shared" si="36"/>
        <v>0</v>
      </c>
    </row>
    <row r="792" spans="1:28">
      <c r="A792" s="136" t="s">
        <v>2</v>
      </c>
      <c r="B792" s="102" t="s">
        <v>23</v>
      </c>
      <c r="C792" s="102"/>
      <c r="D792" s="102"/>
      <c r="E792" s="116">
        <f>+G792-Adjustments!H792</f>
        <v>0</v>
      </c>
      <c r="F792" s="116"/>
      <c r="G792" s="116"/>
      <c r="H792" s="116"/>
      <c r="I792" s="116"/>
      <c r="J792" s="116"/>
      <c r="K792" s="116"/>
      <c r="L792" s="116"/>
      <c r="M792" s="116"/>
      <c r="N792" s="116"/>
      <c r="O792" s="272"/>
      <c r="P792" s="240"/>
      <c r="Q792" s="116"/>
      <c r="R792" s="116"/>
      <c r="S792" s="240"/>
      <c r="T792" s="116"/>
      <c r="U792" s="116"/>
      <c r="V792" s="273"/>
      <c r="W792" s="116"/>
      <c r="X792" s="118"/>
      <c r="Y792" s="577">
        <f t="shared" si="35"/>
        <v>783</v>
      </c>
      <c r="AA792" s="116"/>
      <c r="AB792" s="116">
        <f t="shared" si="36"/>
        <v>0</v>
      </c>
    </row>
    <row r="793" spans="1:28">
      <c r="A793" s="136"/>
      <c r="B793" s="102"/>
      <c r="C793" s="102" t="s">
        <v>14</v>
      </c>
      <c r="D793" s="102"/>
      <c r="E793" s="116">
        <f>+G793-Adjustments!H793</f>
        <v>-841817.97</v>
      </c>
      <c r="F793" s="116">
        <f>EXPENSES!G284</f>
        <v>841817.97</v>
      </c>
      <c r="G793" s="116">
        <f>+Adjustments!AW792</f>
        <v>-841817.97</v>
      </c>
      <c r="H793" s="116"/>
      <c r="I793" s="116">
        <f>SUM(F793:H793)</f>
        <v>0</v>
      </c>
      <c r="J793" s="116"/>
      <c r="K793" s="116"/>
      <c r="L793" s="116" t="s">
        <v>14</v>
      </c>
      <c r="M793" s="116">
        <f>VLOOKUP($L793,$L$2:$N$7,2,FALSE)*I793</f>
        <v>0</v>
      </c>
      <c r="N793" s="116">
        <f>VLOOKUP($L793,$L$2:$N$7,3,FALSE)*I793</f>
        <v>0</v>
      </c>
      <c r="O793" s="272"/>
      <c r="P793" s="207" t="s">
        <v>559</v>
      </c>
      <c r="Q793" s="116">
        <f>IF(P793="G",M793,IF(P793="PT",0,ERR))</f>
        <v>0</v>
      </c>
      <c r="R793" s="116">
        <f>IF(P793="PT",M793,IF(P793="G",0,ERR))</f>
        <v>0</v>
      </c>
      <c r="S793" s="240" t="s">
        <v>559</v>
      </c>
      <c r="T793" s="116">
        <f>IF(S793="G",N793,IF(S793="PT",0,ERR))</f>
        <v>0</v>
      </c>
      <c r="U793" s="116">
        <f>IF(S793="PT",N793,IF(S793="G",0,ERR))</f>
        <v>0</v>
      </c>
      <c r="V793" s="273"/>
      <c r="W793" s="116">
        <f>HLOOKUP($W$9,'ROR-Model'!$Q$10:$U$1263,Y793)</f>
        <v>0</v>
      </c>
      <c r="X793" s="118"/>
      <c r="Y793" s="577">
        <f t="shared" si="35"/>
        <v>784</v>
      </c>
      <c r="AA793" s="116">
        <v>0</v>
      </c>
      <c r="AB793" s="116">
        <f t="shared" si="36"/>
        <v>0</v>
      </c>
    </row>
    <row r="794" spans="1:28">
      <c r="A794" s="136"/>
      <c r="B794" s="102"/>
      <c r="C794" s="102" t="s">
        <v>24</v>
      </c>
      <c r="D794" s="102"/>
      <c r="E794" s="116">
        <f>+G794-Adjustments!H794</f>
        <v>0</v>
      </c>
      <c r="F794" s="116">
        <f>EXPENSES!G285</f>
        <v>0</v>
      </c>
      <c r="G794" s="116">
        <f>+Adjustments!AW793</f>
        <v>0</v>
      </c>
      <c r="H794" s="116"/>
      <c r="I794" s="116">
        <f>SUM(F794:H794)</f>
        <v>0</v>
      </c>
      <c r="J794" s="116"/>
      <c r="K794" s="116"/>
      <c r="L794" s="116" t="s">
        <v>24</v>
      </c>
      <c r="M794" s="116">
        <f>VLOOKUP($L794,$L$2:$N$7,2,FALSE)*I794</f>
        <v>0</v>
      </c>
      <c r="N794" s="116">
        <f>VLOOKUP($L794,$L$2:$N$7,3,FALSE)*I794</f>
        <v>0</v>
      </c>
      <c r="O794" s="272"/>
      <c r="P794" s="207" t="s">
        <v>559</v>
      </c>
      <c r="Q794" s="116">
        <f>IF(P794="G",M794,IF(P794="PT",0,ERR))</f>
        <v>0</v>
      </c>
      <c r="R794" s="116">
        <f>IF(P794="PT",M794,IF(P794="G",0,ERR))</f>
        <v>0</v>
      </c>
      <c r="S794" s="240" t="s">
        <v>559</v>
      </c>
      <c r="T794" s="116">
        <f>IF(S794="G",N794,IF(S794="PT",0,ERR))</f>
        <v>0</v>
      </c>
      <c r="U794" s="116">
        <f>IF(S794="PT",N794,IF(S794="G",0,ERR))</f>
        <v>0</v>
      </c>
      <c r="V794" s="273"/>
      <c r="W794" s="116">
        <f>HLOOKUP($W$9,'ROR-Model'!$Q$10:$U$1263,Y794)</f>
        <v>0</v>
      </c>
      <c r="X794" s="118"/>
      <c r="Y794" s="577">
        <f t="shared" si="35"/>
        <v>785</v>
      </c>
      <c r="AA794" s="116">
        <v>0</v>
      </c>
      <c r="AB794" s="116">
        <f t="shared" si="36"/>
        <v>0</v>
      </c>
    </row>
    <row r="795" spans="1:28">
      <c r="A795" s="136"/>
      <c r="B795" s="102"/>
      <c r="C795" s="102" t="s">
        <v>170</v>
      </c>
      <c r="D795" s="102"/>
      <c r="E795" s="131">
        <f>+G795-Adjustments!H795</f>
        <v>-841817.97</v>
      </c>
      <c r="F795" s="131">
        <f>SUM(F793:F794)</f>
        <v>841817.97</v>
      </c>
      <c r="G795" s="131">
        <f>SUM(G793:G794)</f>
        <v>-841817.97</v>
      </c>
      <c r="H795" s="131">
        <f>SUM(H793:H794)</f>
        <v>0</v>
      </c>
      <c r="I795" s="131">
        <f>SUM(I793:I794)</f>
        <v>0</v>
      </c>
      <c r="J795" s="116"/>
      <c r="K795" s="116"/>
      <c r="L795" s="131"/>
      <c r="M795" s="131">
        <f>SUM(M793:M794)</f>
        <v>0</v>
      </c>
      <c r="N795" s="131">
        <f>SUM(N793:N794)</f>
        <v>0</v>
      </c>
      <c r="O795" s="272"/>
      <c r="P795" s="257"/>
      <c r="Q795" s="131">
        <f>SUM(Q793:Q794)</f>
        <v>0</v>
      </c>
      <c r="R795" s="131">
        <f>SUM(R793:R794)</f>
        <v>0</v>
      </c>
      <c r="S795" s="257"/>
      <c r="T795" s="131">
        <f>SUM(T793:T794)</f>
        <v>0</v>
      </c>
      <c r="U795" s="131">
        <f>SUM(U793:U794)</f>
        <v>0</v>
      </c>
      <c r="V795" s="273"/>
      <c r="W795" s="131">
        <f>HLOOKUP($W$9,'ROR-Model'!$Q$10:$U$1263,Y795)</f>
        <v>0</v>
      </c>
      <c r="X795" s="118"/>
      <c r="Y795" s="577">
        <f t="shared" si="35"/>
        <v>786</v>
      </c>
      <c r="AA795" s="131">
        <v>0</v>
      </c>
      <c r="AB795" s="116">
        <f t="shared" si="36"/>
        <v>0</v>
      </c>
    </row>
    <row r="796" spans="1:28">
      <c r="A796" s="136"/>
      <c r="B796" s="102"/>
      <c r="C796" s="102"/>
      <c r="D796" s="102"/>
      <c r="E796" s="116">
        <f>+G796-Adjustments!H796</f>
        <v>0</v>
      </c>
      <c r="F796" s="116"/>
      <c r="G796" s="116"/>
      <c r="H796" s="116"/>
      <c r="I796" s="116"/>
      <c r="J796" s="116"/>
      <c r="K796" s="116"/>
      <c r="L796" s="116"/>
      <c r="M796" s="116"/>
      <c r="N796" s="116"/>
      <c r="O796" s="272"/>
      <c r="P796" s="240"/>
      <c r="Q796" s="116"/>
      <c r="R796" s="116"/>
      <c r="S796" s="240"/>
      <c r="T796" s="116"/>
      <c r="U796" s="116"/>
      <c r="V796" s="273"/>
      <c r="W796" s="116"/>
      <c r="X796" s="118"/>
      <c r="Y796" s="577">
        <f t="shared" si="35"/>
        <v>787</v>
      </c>
      <c r="AA796" s="116"/>
      <c r="AB796" s="116">
        <f t="shared" si="36"/>
        <v>0</v>
      </c>
    </row>
    <row r="797" spans="1:28">
      <c r="A797" s="136">
        <v>905</v>
      </c>
      <c r="B797" s="102" t="s">
        <v>408</v>
      </c>
      <c r="C797" s="102"/>
      <c r="D797" s="102"/>
      <c r="E797" s="116">
        <f>+G797-Adjustments!H797</f>
        <v>0</v>
      </c>
      <c r="F797" s="116"/>
      <c r="G797" s="116"/>
      <c r="H797" s="116"/>
      <c r="I797" s="116"/>
      <c r="J797" s="116"/>
      <c r="K797" s="116"/>
      <c r="L797" s="116"/>
      <c r="M797" s="116"/>
      <c r="N797" s="116"/>
      <c r="O797" s="272"/>
      <c r="P797" s="240"/>
      <c r="Q797" s="116"/>
      <c r="R797" s="116"/>
      <c r="S797" s="240"/>
      <c r="T797" s="116"/>
      <c r="U797" s="116"/>
      <c r="V797" s="273"/>
      <c r="W797" s="116"/>
      <c r="X797" s="118"/>
      <c r="Y797" s="577">
        <f t="shared" si="35"/>
        <v>788</v>
      </c>
      <c r="AA797" s="116"/>
      <c r="AB797" s="116">
        <f t="shared" si="36"/>
        <v>0</v>
      </c>
    </row>
    <row r="798" spans="1:28">
      <c r="A798" s="227"/>
      <c r="B798" s="102"/>
      <c r="C798" s="102" t="s">
        <v>14</v>
      </c>
      <c r="D798" s="102"/>
      <c r="E798" s="116">
        <f>+G798-Adjustments!H798</f>
        <v>0</v>
      </c>
      <c r="F798" s="116">
        <f>EXPENSES!G290</f>
        <v>0</v>
      </c>
      <c r="G798" s="116">
        <f>+Adjustments!AW797</f>
        <v>0</v>
      </c>
      <c r="H798" s="116"/>
      <c r="I798" s="116">
        <f>SUM($F$798:$H$798)</f>
        <v>0</v>
      </c>
      <c r="J798" s="116"/>
      <c r="K798" s="116"/>
      <c r="L798" s="116" t="s">
        <v>14</v>
      </c>
      <c r="M798" s="116">
        <f>VLOOKUP($L798,$L$2:$N$7,2,FALSE)*I798</f>
        <v>0</v>
      </c>
      <c r="N798" s="116">
        <f>VLOOKUP($L798,$L$2:$N$7,3,FALSE)*I798</f>
        <v>0</v>
      </c>
      <c r="O798" s="272"/>
      <c r="P798" s="207" t="s">
        <v>560</v>
      </c>
      <c r="Q798" s="116">
        <f>IF(P798="G",M798,IF(P798="PT",0,ERR))</f>
        <v>0</v>
      </c>
      <c r="R798" s="116">
        <f>IF(P798="PT",M798,IF(P798="G",0,ERR))</f>
        <v>0</v>
      </c>
      <c r="S798" s="240" t="s">
        <v>560</v>
      </c>
      <c r="T798" s="116">
        <f>IF(S798="G",N798,IF(S798="PT",0,ERR))</f>
        <v>0</v>
      </c>
      <c r="U798" s="116">
        <f>IF(S798="PT",N798,IF(S798="G",0,ERR))</f>
        <v>0</v>
      </c>
      <c r="V798" s="273"/>
      <c r="W798" s="116">
        <f>HLOOKUP($W$9,'ROR-Model'!$Q$10:$U$1263,Y798)</f>
        <v>0</v>
      </c>
      <c r="X798" s="118"/>
      <c r="Y798" s="577">
        <f t="shared" si="35"/>
        <v>789</v>
      </c>
      <c r="AA798" s="116">
        <v>0</v>
      </c>
      <c r="AB798" s="116">
        <f t="shared" si="36"/>
        <v>0</v>
      </c>
    </row>
    <row r="799" spans="1:28">
      <c r="A799" s="227"/>
      <c r="B799" s="102"/>
      <c r="C799" s="102" t="s">
        <v>24</v>
      </c>
      <c r="D799" s="102"/>
      <c r="E799" s="116">
        <f>+G799-Adjustments!H799</f>
        <v>0</v>
      </c>
      <c r="F799" s="116">
        <f>EXPENSES!G291</f>
        <v>0</v>
      </c>
      <c r="G799" s="116">
        <f>+Adjustments!AW798</f>
        <v>0</v>
      </c>
      <c r="H799" s="116"/>
      <c r="I799" s="116">
        <f>SUM($F$799:$H$799)</f>
        <v>0</v>
      </c>
      <c r="J799" s="116"/>
      <c r="K799" s="116"/>
      <c r="L799" s="116" t="s">
        <v>24</v>
      </c>
      <c r="M799" s="116">
        <f>VLOOKUP($L799,$L$2:$N$7,2,FALSE)*I799</f>
        <v>0</v>
      </c>
      <c r="N799" s="116">
        <f>VLOOKUP($L799,$L$2:$N$7,3,FALSE)*I799</f>
        <v>0</v>
      </c>
      <c r="O799" s="272"/>
      <c r="P799" s="207" t="s">
        <v>560</v>
      </c>
      <c r="Q799" s="116">
        <f>IF(P799="G",M799,IF(P799="PT",0,ERR))</f>
        <v>0</v>
      </c>
      <c r="R799" s="116">
        <f>IF(P799="PT",M799,IF(P799="G",0,ERR))</f>
        <v>0</v>
      </c>
      <c r="S799" s="240" t="s">
        <v>560</v>
      </c>
      <c r="T799" s="116">
        <f>IF(S799="G",N799,IF(S799="PT",0,ERR))</f>
        <v>0</v>
      </c>
      <c r="U799" s="116">
        <f>IF(S799="PT",N799,IF(S799="G",0,ERR))</f>
        <v>0</v>
      </c>
      <c r="V799" s="273"/>
      <c r="W799" s="116">
        <f>HLOOKUP($W$9,'ROR-Model'!$Q$10:$U$1263,Y799)</f>
        <v>0</v>
      </c>
      <c r="X799" s="118"/>
      <c r="Y799" s="577">
        <f t="shared" si="35"/>
        <v>790</v>
      </c>
      <c r="AA799" s="116">
        <v>0</v>
      </c>
      <c r="AB799" s="116">
        <f t="shared" si="36"/>
        <v>0</v>
      </c>
    </row>
    <row r="800" spans="1:28">
      <c r="A800" s="227"/>
      <c r="B800" s="102"/>
      <c r="C800" s="102" t="s">
        <v>170</v>
      </c>
      <c r="D800" s="102"/>
      <c r="E800" s="131">
        <f>+G800-Adjustments!H800</f>
        <v>0</v>
      </c>
      <c r="F800" s="131">
        <f>SUM(F798:F799)</f>
        <v>0</v>
      </c>
      <c r="G800" s="131">
        <f>SUM(G798:G799)</f>
        <v>0</v>
      </c>
      <c r="H800" s="131">
        <f>SUM(H798:H799)</f>
        <v>0</v>
      </c>
      <c r="I800" s="131">
        <f>SUM(I798:I799)</f>
        <v>0</v>
      </c>
      <c r="J800" s="116"/>
      <c r="K800" s="116"/>
      <c r="L800" s="131"/>
      <c r="M800" s="131">
        <f>SUM(M798:M799)</f>
        <v>0</v>
      </c>
      <c r="N800" s="131">
        <f>SUM(N798:N799)</f>
        <v>0</v>
      </c>
      <c r="O800" s="272"/>
      <c r="P800" s="257"/>
      <c r="Q800" s="131">
        <f>SUM(Q798:Q799)</f>
        <v>0</v>
      </c>
      <c r="R800" s="131">
        <f>SUM(R798:R799)</f>
        <v>0</v>
      </c>
      <c r="S800" s="257"/>
      <c r="T800" s="131">
        <f>SUM(T798:T799)</f>
        <v>0</v>
      </c>
      <c r="U800" s="131">
        <f>SUM(U798:U799)</f>
        <v>0</v>
      </c>
      <c r="V800" s="273"/>
      <c r="W800" s="131">
        <f>HLOOKUP($W$9,'ROR-Model'!$Q$10:$U$1263,Y800)</f>
        <v>0</v>
      </c>
      <c r="X800" s="118"/>
      <c r="Y800" s="577">
        <f t="shared" si="35"/>
        <v>791</v>
      </c>
      <c r="AA800" s="131">
        <v>0</v>
      </c>
      <c r="AB800" s="116">
        <f t="shared" si="36"/>
        <v>0</v>
      </c>
    </row>
    <row r="801" spans="1:28" ht="13.5" thickBot="1">
      <c r="A801" s="227"/>
      <c r="B801" s="102"/>
      <c r="C801" s="102"/>
      <c r="D801" s="102"/>
      <c r="E801" s="235">
        <f>+G801-Adjustments!H801</f>
        <v>0</v>
      </c>
      <c r="F801" s="235"/>
      <c r="G801" s="235"/>
      <c r="H801" s="235"/>
      <c r="I801" s="235"/>
      <c r="J801" s="116"/>
      <c r="K801" s="116"/>
      <c r="L801" s="235"/>
      <c r="M801" s="235"/>
      <c r="N801" s="235"/>
      <c r="O801" s="272"/>
      <c r="P801" s="613"/>
      <c r="Q801" s="235"/>
      <c r="R801" s="235"/>
      <c r="S801" s="613"/>
      <c r="T801" s="235"/>
      <c r="U801" s="235"/>
      <c r="V801" s="273"/>
      <c r="W801" s="235"/>
      <c r="X801" s="118"/>
      <c r="Y801" s="577">
        <f t="shared" si="35"/>
        <v>792</v>
      </c>
      <c r="AA801" s="235"/>
      <c r="AB801" s="116">
        <f t="shared" si="36"/>
        <v>0</v>
      </c>
    </row>
    <row r="802" spans="1:28" ht="13.5" thickTop="1">
      <c r="A802" s="36" t="s">
        <v>646</v>
      </c>
      <c r="B802" s="102"/>
      <c r="C802" s="102"/>
      <c r="D802" s="102"/>
      <c r="E802" s="116">
        <f>+G802-Adjustments!H802</f>
        <v>0</v>
      </c>
      <c r="F802" s="116"/>
      <c r="G802" s="116"/>
      <c r="H802" s="116"/>
      <c r="I802" s="116"/>
      <c r="J802" s="116"/>
      <c r="K802" s="116"/>
      <c r="L802" s="116"/>
      <c r="M802" s="116"/>
      <c r="N802" s="116"/>
      <c r="O802" s="272"/>
      <c r="P802" s="240"/>
      <c r="Q802" s="116"/>
      <c r="R802" s="116"/>
      <c r="S802" s="240"/>
      <c r="T802" s="116"/>
      <c r="U802" s="116"/>
      <c r="V802" s="273"/>
      <c r="W802" s="116"/>
      <c r="X802" s="118"/>
      <c r="Y802" s="577">
        <f t="shared" si="35"/>
        <v>793</v>
      </c>
      <c r="AA802" s="116"/>
      <c r="AB802" s="116">
        <f t="shared" si="36"/>
        <v>0</v>
      </c>
    </row>
    <row r="803" spans="1:28">
      <c r="A803" s="227"/>
      <c r="B803" s="102" t="s">
        <v>647</v>
      </c>
      <c r="C803" s="102"/>
      <c r="D803" s="102"/>
      <c r="E803" s="147">
        <f>+G803-Adjustments!H803</f>
        <v>-1290819.5588597422</v>
      </c>
      <c r="F803" s="147">
        <f t="shared" ref="F803:I804" si="37">F798+F793+F788+F783+F778+F773+F768+F763+F758</f>
        <v>18341157.529999997</v>
      </c>
      <c r="G803" s="147">
        <f t="shared" si="37"/>
        <v>-1290819.5588597422</v>
      </c>
      <c r="H803" s="147">
        <f t="shared" si="37"/>
        <v>0</v>
      </c>
      <c r="I803" s="147">
        <f t="shared" si="37"/>
        <v>17050337.971140258</v>
      </c>
      <c r="J803" s="116"/>
      <c r="K803" s="116"/>
      <c r="L803" s="116"/>
      <c r="M803" s="116">
        <f>M758+M763+M768+M773+M778+M783+M798+M788+M793</f>
        <v>17050337.971140258</v>
      </c>
      <c r="N803" s="116">
        <f>N758+N763+N768+N773+N778+N783+N798</f>
        <v>0</v>
      </c>
      <c r="O803" s="272"/>
      <c r="P803" s="240"/>
      <c r="Q803" s="116">
        <f>Q758+Q763+Q768+Q773+Q778+Q783+Q798+Q788+Q793</f>
        <v>17050337.971140258</v>
      </c>
      <c r="R803" s="116">
        <f>R758+R763+R768+R773+R778+R783+R798+R788+R793</f>
        <v>0</v>
      </c>
      <c r="S803" s="240"/>
      <c r="T803" s="116">
        <f>T758+T763+T768+T773+T778+T783+T798+T788+T793</f>
        <v>0</v>
      </c>
      <c r="U803" s="116">
        <f>U758+U763+U768+U773+U778+U783+U798+U788+U793</f>
        <v>0</v>
      </c>
      <c r="V803" s="273"/>
      <c r="W803" s="116">
        <f>W758+W763+W768+W773+W778+W783+W798+W788+W793</f>
        <v>17050337.971140258</v>
      </c>
      <c r="X803" s="118"/>
      <c r="Y803" s="577">
        <f t="shared" si="35"/>
        <v>794</v>
      </c>
      <c r="AA803" s="116">
        <v>17378071.858103793</v>
      </c>
      <c r="AB803" s="116">
        <f t="shared" si="36"/>
        <v>-327733.8869635351</v>
      </c>
    </row>
    <row r="804" spans="1:28">
      <c r="A804" s="227"/>
      <c r="B804" s="102" t="s">
        <v>649</v>
      </c>
      <c r="C804" s="102"/>
      <c r="D804" s="102"/>
      <c r="E804" s="147">
        <f>+G804-Adjustments!H804</f>
        <v>-51139.37052777494</v>
      </c>
      <c r="F804" s="147">
        <f t="shared" si="37"/>
        <v>744422.44000000006</v>
      </c>
      <c r="G804" s="147">
        <f t="shared" si="37"/>
        <v>-51139.37052777494</v>
      </c>
      <c r="H804" s="147">
        <f t="shared" si="37"/>
        <v>0</v>
      </c>
      <c r="I804" s="147">
        <f t="shared" si="37"/>
        <v>693283.06947222503</v>
      </c>
      <c r="J804" s="116"/>
      <c r="K804" s="116"/>
      <c r="L804" s="116"/>
      <c r="M804" s="116">
        <f>M759+M764+M769+M774+M779+M784+M799</f>
        <v>0</v>
      </c>
      <c r="N804" s="116">
        <f>N759+N764+N769+N774+N779+N784+N799</f>
        <v>693283.06947222503</v>
      </c>
      <c r="O804" s="272"/>
      <c r="P804" s="240"/>
      <c r="Q804" s="116">
        <f>Q759+Q764+Q769+Q774+Q779+Q784+Q799</f>
        <v>0</v>
      </c>
      <c r="R804" s="116">
        <f>R759+R764+R769+R774+R779+R784+R799</f>
        <v>0</v>
      </c>
      <c r="S804" s="240"/>
      <c r="T804" s="116">
        <f>T759+T764+T769+T774+T779+T784+T799</f>
        <v>693283.06947222503</v>
      </c>
      <c r="U804" s="116">
        <f>U759+U764+U769+U774+U779+U784+U799</f>
        <v>0</v>
      </c>
      <c r="V804" s="273"/>
      <c r="W804" s="116">
        <f>HLOOKUP($W$9,'ROR-Model'!$Q$10:$U$1263,Y804)</f>
        <v>0</v>
      </c>
      <c r="X804" s="118"/>
      <c r="Y804" s="577">
        <f t="shared" si="35"/>
        <v>795</v>
      </c>
      <c r="AA804" s="116">
        <v>0</v>
      </c>
      <c r="AB804" s="116">
        <f t="shared" si="36"/>
        <v>0</v>
      </c>
    </row>
    <row r="805" spans="1:28" ht="13.5" thickBot="1">
      <c r="A805" s="227"/>
      <c r="B805" s="102"/>
      <c r="C805" s="102"/>
      <c r="D805" s="102"/>
      <c r="E805" s="236">
        <f>+G805-Adjustments!H805</f>
        <v>0</v>
      </c>
      <c r="F805" s="236"/>
      <c r="G805" s="236"/>
      <c r="H805" s="236"/>
      <c r="I805" s="236"/>
      <c r="J805" s="116"/>
      <c r="K805" s="116"/>
      <c r="L805" s="236"/>
      <c r="M805" s="236"/>
      <c r="N805" s="236"/>
      <c r="O805" s="272"/>
      <c r="P805" s="731"/>
      <c r="Q805" s="236"/>
      <c r="R805" s="236"/>
      <c r="S805" s="731"/>
      <c r="T805" s="236"/>
      <c r="U805" s="236"/>
      <c r="V805" s="273"/>
      <c r="W805" s="236"/>
      <c r="X805" s="118"/>
      <c r="Y805" s="577">
        <f t="shared" si="35"/>
        <v>796</v>
      </c>
      <c r="AA805" s="236"/>
      <c r="AB805" s="116">
        <f t="shared" si="36"/>
        <v>0</v>
      </c>
    </row>
    <row r="806" spans="1:28">
      <c r="A806" s="227"/>
      <c r="B806" s="49" t="s">
        <v>646</v>
      </c>
      <c r="C806" s="102"/>
      <c r="D806" s="102"/>
      <c r="E806" s="116">
        <f>+G806-Adjustments!H806</f>
        <v>-1341958.9293875168</v>
      </c>
      <c r="F806" s="116">
        <f>F800+F795+F790+F785+F780+F775+F770+F765+F760</f>
        <v>19085579.969999999</v>
      </c>
      <c r="G806" s="116">
        <f>G800+G795+G790+G785+G780+G775+G770+G765+G760</f>
        <v>-1341958.9293875168</v>
      </c>
      <c r="H806" s="116">
        <f>H800+H795+H790+H785+H780+H775+H770+H765+H760</f>
        <v>0</v>
      </c>
      <c r="I806" s="116">
        <f>I800+I795+I790+I785+I780+I775+I770+I765+I760</f>
        <v>17743621.040612482</v>
      </c>
      <c r="J806" s="116"/>
      <c r="K806" s="116"/>
      <c r="L806" s="116"/>
      <c r="M806" s="116">
        <f>M800+M795+M790+M785+M780+M775+M770+M765+M760</f>
        <v>17050337.971140258</v>
      </c>
      <c r="N806" s="116">
        <f>N800+N795+N790+N785+N780+N775+N770+N765+N760</f>
        <v>693283.06947222503</v>
      </c>
      <c r="O806" s="272"/>
      <c r="P806" s="240"/>
      <c r="Q806" s="116">
        <f>Q800+Q795+Q790+Q785+Q780+Q775+Q770+Q765+Q760</f>
        <v>17050337.971140258</v>
      </c>
      <c r="R806" s="116">
        <f>R800+R795+R790+R785+R780+R775+R770+R765+R760</f>
        <v>0</v>
      </c>
      <c r="S806" s="240"/>
      <c r="T806" s="116">
        <f>T800+T795+T790+T785+T780+T775+T770+T765+T760</f>
        <v>693283.06947222503</v>
      </c>
      <c r="U806" s="116">
        <f>U800+U795+U790+U785+U780+U775+U770+U765+U760</f>
        <v>0</v>
      </c>
      <c r="V806" s="273"/>
      <c r="W806" s="116">
        <f>HLOOKUP($W$9,'ROR-Model'!$Q$10:$U$1263,Y806)</f>
        <v>17050337.971140258</v>
      </c>
      <c r="X806" s="118"/>
      <c r="Y806" s="577">
        <f t="shared" si="35"/>
        <v>797</v>
      </c>
      <c r="AA806" s="116">
        <v>17378071.858103789</v>
      </c>
      <c r="AB806" s="116">
        <f t="shared" si="36"/>
        <v>-327733.88696353137</v>
      </c>
    </row>
    <row r="807" spans="1:28">
      <c r="A807" s="227"/>
      <c r="B807" s="102"/>
      <c r="C807" s="102"/>
      <c r="D807" s="102"/>
      <c r="E807" s="116">
        <f>+G807-Adjustments!H807</f>
        <v>0</v>
      </c>
      <c r="F807" s="116"/>
      <c r="G807" s="116"/>
      <c r="H807" s="116"/>
      <c r="I807" s="116"/>
      <c r="J807" s="116"/>
      <c r="K807" s="116"/>
      <c r="L807" s="116"/>
      <c r="M807" s="116"/>
      <c r="N807" s="116"/>
      <c r="O807" s="272"/>
      <c r="P807" s="240"/>
      <c r="Q807" s="116"/>
      <c r="R807" s="116"/>
      <c r="S807" s="240"/>
      <c r="T807" s="116"/>
      <c r="U807" s="116"/>
      <c r="V807" s="273"/>
      <c r="W807" s="116"/>
      <c r="X807" s="118"/>
      <c r="Y807" s="577">
        <f t="shared" si="35"/>
        <v>798</v>
      </c>
      <c r="AA807" s="116"/>
      <c r="AB807" s="116">
        <f t="shared" si="36"/>
        <v>0</v>
      </c>
    </row>
    <row r="808" spans="1:28">
      <c r="A808" s="36" t="s">
        <v>409</v>
      </c>
      <c r="B808" s="102"/>
      <c r="C808" s="102"/>
      <c r="D808" s="102"/>
      <c r="E808" s="116">
        <f>+G808-Adjustments!H808</f>
        <v>0</v>
      </c>
      <c r="F808" s="116"/>
      <c r="G808" s="116"/>
      <c r="H808" s="116"/>
      <c r="I808" s="116"/>
      <c r="J808" s="116"/>
      <c r="K808" s="116"/>
      <c r="L808" s="116"/>
      <c r="M808" s="116"/>
      <c r="N808" s="116"/>
      <c r="O808" s="272"/>
      <c r="P808" s="240"/>
      <c r="Q808" s="116"/>
      <c r="R808" s="116"/>
      <c r="S808" s="240"/>
      <c r="T808" s="116"/>
      <c r="U808" s="116"/>
      <c r="V808" s="273"/>
      <c r="W808" s="116"/>
      <c r="X808" s="118"/>
      <c r="Y808" s="577">
        <f t="shared" si="35"/>
        <v>799</v>
      </c>
      <c r="AA808" s="116"/>
      <c r="AB808" s="116">
        <f t="shared" si="36"/>
        <v>0</v>
      </c>
    </row>
    <row r="809" spans="1:28">
      <c r="A809" s="227"/>
      <c r="B809" s="102"/>
      <c r="C809" s="102"/>
      <c r="D809" s="102"/>
      <c r="E809" s="116">
        <f>+G809-Adjustments!H809</f>
        <v>0</v>
      </c>
      <c r="F809" s="116"/>
      <c r="G809" s="116"/>
      <c r="H809" s="116"/>
      <c r="I809" s="116"/>
      <c r="J809" s="116"/>
      <c r="K809" s="116"/>
      <c r="L809" s="116"/>
      <c r="M809" s="116"/>
      <c r="N809" s="116"/>
      <c r="O809" s="272"/>
      <c r="P809" s="240"/>
      <c r="Q809" s="116"/>
      <c r="R809" s="116"/>
      <c r="S809" s="240"/>
      <c r="T809" s="116"/>
      <c r="U809" s="116"/>
      <c r="V809" s="273"/>
      <c r="W809" s="116"/>
      <c r="X809" s="118"/>
      <c r="Y809" s="577">
        <f t="shared" si="35"/>
        <v>800</v>
      </c>
      <c r="AA809" s="116"/>
      <c r="AB809" s="116">
        <f t="shared" si="36"/>
        <v>0</v>
      </c>
    </row>
    <row r="810" spans="1:28">
      <c r="A810" s="136">
        <v>907</v>
      </c>
      <c r="B810" s="102" t="s">
        <v>402</v>
      </c>
      <c r="C810" s="102"/>
      <c r="D810" s="102"/>
      <c r="E810" s="116">
        <f>+G810-Adjustments!H810</f>
        <v>0</v>
      </c>
      <c r="F810" s="116"/>
      <c r="G810" s="116"/>
      <c r="H810" s="116"/>
      <c r="I810" s="116"/>
      <c r="J810" s="116"/>
      <c r="K810" s="116"/>
      <c r="L810" s="116"/>
      <c r="M810" s="116"/>
      <c r="N810" s="116"/>
      <c r="O810" s="272"/>
      <c r="P810" s="240"/>
      <c r="Q810" s="116"/>
      <c r="R810" s="116"/>
      <c r="S810" s="240"/>
      <c r="T810" s="116"/>
      <c r="U810" s="116"/>
      <c r="V810" s="273"/>
      <c r="W810" s="116"/>
      <c r="X810" s="118"/>
      <c r="Y810" s="577">
        <f t="shared" si="35"/>
        <v>801</v>
      </c>
      <c r="AA810" s="116"/>
      <c r="AB810" s="116">
        <f t="shared" si="36"/>
        <v>0</v>
      </c>
    </row>
    <row r="811" spans="1:28">
      <c r="A811" s="136"/>
      <c r="B811" s="102"/>
      <c r="C811" s="102" t="s">
        <v>14</v>
      </c>
      <c r="D811" s="102"/>
      <c r="E811" s="116">
        <f>+G811-Adjustments!H811</f>
        <v>-5416.3896179322037</v>
      </c>
      <c r="F811" s="116">
        <f>EXPENSES!G303</f>
        <v>370305.81000000006</v>
      </c>
      <c r="G811" s="116">
        <f>+Adjustments!AW810</f>
        <v>-5416.3896179322037</v>
      </c>
      <c r="H811" s="116"/>
      <c r="I811" s="116">
        <f>SUM($F$811:$H$811)</f>
        <v>364889.42038206785</v>
      </c>
      <c r="J811" s="116"/>
      <c r="K811" s="116"/>
      <c r="L811" s="116" t="s">
        <v>14</v>
      </c>
      <c r="M811" s="116">
        <f>VLOOKUP($L811,$L$2:$N$7,2,FALSE)*I811</f>
        <v>364889.42038206785</v>
      </c>
      <c r="N811" s="116">
        <f>VLOOKUP($L811,$L$2:$N$7,3,FALSE)*I811</f>
        <v>0</v>
      </c>
      <c r="O811" s="272"/>
      <c r="P811" s="207" t="s">
        <v>560</v>
      </c>
      <c r="Q811" s="116">
        <f>IF(P811="G",M811,IF(P811="PT",0,ERR))</f>
        <v>364889.42038206785</v>
      </c>
      <c r="R811" s="116">
        <f>IF(P811="PT",M811,IF(P811="G",0,ERR))</f>
        <v>0</v>
      </c>
      <c r="S811" s="240" t="s">
        <v>560</v>
      </c>
      <c r="T811" s="116">
        <f>IF(S811="G",N811,IF(S811="PT",0,ERR))</f>
        <v>0</v>
      </c>
      <c r="U811" s="116">
        <f>IF(S811="PT",N811,IF(S811="G",0,ERR))</f>
        <v>0</v>
      </c>
      <c r="V811" s="273"/>
      <c r="W811" s="116">
        <f>HLOOKUP($W$9,'ROR-Model'!$Q$10:$U$1263,Y811)</f>
        <v>364889.42038206785</v>
      </c>
      <c r="X811" s="118"/>
      <c r="Y811" s="577">
        <f t="shared" si="35"/>
        <v>802</v>
      </c>
      <c r="AA811" s="116">
        <v>370305.81000000006</v>
      </c>
      <c r="AB811" s="116">
        <f t="shared" si="36"/>
        <v>-5416.3896179322037</v>
      </c>
    </row>
    <row r="812" spans="1:28">
      <c r="A812" s="136"/>
      <c r="B812" s="102"/>
      <c r="C812" s="102" t="s">
        <v>24</v>
      </c>
      <c r="D812" s="102"/>
      <c r="E812" s="116">
        <f>+G812-Adjustments!H812</f>
        <v>420.70477145999757</v>
      </c>
      <c r="F812" s="116">
        <f>EXPENSES!G304</f>
        <v>9679.8300000000017</v>
      </c>
      <c r="G812" s="116">
        <f>+Adjustments!AW811</f>
        <v>420.70477145999757</v>
      </c>
      <c r="H812" s="116"/>
      <c r="I812" s="116">
        <f>SUM($F$812:$H$812)</f>
        <v>10100.534771459999</v>
      </c>
      <c r="J812" s="116"/>
      <c r="K812" s="116"/>
      <c r="L812" s="116" t="s">
        <v>24</v>
      </c>
      <c r="M812" s="116">
        <f>VLOOKUP($L812,$L$2:$N$7,2,FALSE)*I812</f>
        <v>0</v>
      </c>
      <c r="N812" s="116">
        <f>VLOOKUP($L812,$L$2:$N$7,3,FALSE)*I812</f>
        <v>10100.534771459999</v>
      </c>
      <c r="O812" s="272"/>
      <c r="P812" s="207" t="s">
        <v>560</v>
      </c>
      <c r="Q812" s="116">
        <f>IF(P812="G",M812,IF(P812="PT",0,ERR))</f>
        <v>0</v>
      </c>
      <c r="R812" s="116">
        <f>IF(P812="PT",M812,IF(P812="G",0,ERR))</f>
        <v>0</v>
      </c>
      <c r="S812" s="240" t="s">
        <v>560</v>
      </c>
      <c r="T812" s="116">
        <f>IF(S812="G",N812,IF(S812="PT",0,ERR))</f>
        <v>10100.534771459999</v>
      </c>
      <c r="U812" s="116">
        <f>IF(S812="PT",N812,IF(S812="G",0,ERR))</f>
        <v>0</v>
      </c>
      <c r="V812" s="273"/>
      <c r="W812" s="116">
        <f>HLOOKUP($W$9,'ROR-Model'!$Q$10:$U$1263,Y812)</f>
        <v>0</v>
      </c>
      <c r="X812" s="118"/>
      <c r="Y812" s="577">
        <f t="shared" si="35"/>
        <v>803</v>
      </c>
      <c r="AA812" s="116">
        <v>0</v>
      </c>
      <c r="AB812" s="116">
        <f t="shared" si="36"/>
        <v>0</v>
      </c>
    </row>
    <row r="813" spans="1:28">
      <c r="A813" s="136"/>
      <c r="B813" s="102"/>
      <c r="C813" s="102" t="s">
        <v>170</v>
      </c>
      <c r="D813" s="102"/>
      <c r="E813" s="131">
        <f>+G813-Adjustments!H813</f>
        <v>-4995.6848464722061</v>
      </c>
      <c r="F813" s="131">
        <f>SUM(F811:F812)</f>
        <v>379985.64000000007</v>
      </c>
      <c r="G813" s="131">
        <f>SUM(G811:G812)</f>
        <v>-4995.6848464722061</v>
      </c>
      <c r="H813" s="131">
        <f>SUM(H811:H812)</f>
        <v>0</v>
      </c>
      <c r="I813" s="131">
        <f>SUM(I811:I812)</f>
        <v>374989.95515352784</v>
      </c>
      <c r="J813" s="116"/>
      <c r="K813" s="116"/>
      <c r="L813" s="131"/>
      <c r="M813" s="131">
        <f>SUM(M811:M812)</f>
        <v>364889.42038206785</v>
      </c>
      <c r="N813" s="131">
        <f>SUM(N811:N812)</f>
        <v>10100.534771459999</v>
      </c>
      <c r="O813" s="272"/>
      <c r="P813" s="257"/>
      <c r="Q813" s="131">
        <f>SUM(Q811:Q812)</f>
        <v>364889.42038206785</v>
      </c>
      <c r="R813" s="131">
        <f>SUM(R811:R812)</f>
        <v>0</v>
      </c>
      <c r="S813" s="257"/>
      <c r="T813" s="131">
        <f>SUM(T811:T812)</f>
        <v>10100.534771459999</v>
      </c>
      <c r="U813" s="131">
        <f>SUM(U811:U812)</f>
        <v>0</v>
      </c>
      <c r="V813" s="273"/>
      <c r="W813" s="131">
        <f>HLOOKUP($W$9,'ROR-Model'!$Q$10:$U$1263,Y813)</f>
        <v>364889.42038206785</v>
      </c>
      <c r="X813" s="118"/>
      <c r="Y813" s="577">
        <f t="shared" si="35"/>
        <v>804</v>
      </c>
      <c r="AA813" s="131">
        <v>370305.81000000006</v>
      </c>
      <c r="AB813" s="116">
        <f t="shared" si="36"/>
        <v>-5416.3896179322037</v>
      </c>
    </row>
    <row r="814" spans="1:28">
      <c r="A814" s="136"/>
      <c r="B814" s="102"/>
      <c r="C814" s="102"/>
      <c r="D814" s="102"/>
      <c r="E814" s="116">
        <f>+G814-Adjustments!H814</f>
        <v>0</v>
      </c>
      <c r="F814" s="116"/>
      <c r="G814" s="116"/>
      <c r="H814" s="116"/>
      <c r="I814" s="116"/>
      <c r="J814" s="116"/>
      <c r="K814" s="116"/>
      <c r="L814" s="116"/>
      <c r="M814" s="116"/>
      <c r="N814" s="116"/>
      <c r="O814" s="272"/>
      <c r="P814" s="240"/>
      <c r="Q814" s="116"/>
      <c r="R814" s="116"/>
      <c r="S814" s="240"/>
      <c r="T814" s="116"/>
      <c r="U814" s="116"/>
      <c r="V814" s="273"/>
      <c r="W814" s="116"/>
      <c r="X814" s="118"/>
      <c r="Y814" s="577">
        <f t="shared" si="35"/>
        <v>805</v>
      </c>
      <c r="AA814" s="116"/>
      <c r="AB814" s="116">
        <f t="shared" si="36"/>
        <v>0</v>
      </c>
    </row>
    <row r="815" spans="1:28">
      <c r="A815" s="136">
        <v>908</v>
      </c>
      <c r="B815" s="102" t="s">
        <v>410</v>
      </c>
      <c r="C815" s="102"/>
      <c r="D815" s="102"/>
      <c r="E815" s="116">
        <f>+G815-Adjustments!K815</f>
        <v>21393645.139439996</v>
      </c>
      <c r="F815" s="116"/>
      <c r="G815" s="116"/>
      <c r="H815" s="116"/>
      <c r="I815" s="116"/>
      <c r="J815" s="116"/>
      <c r="K815" s="116"/>
      <c r="L815" s="116"/>
      <c r="M815" s="116"/>
      <c r="N815" s="116"/>
      <c r="O815" s="272"/>
      <c r="P815" s="240"/>
      <c r="Q815" s="116"/>
      <c r="R815" s="116"/>
      <c r="S815" s="240"/>
      <c r="T815" s="116"/>
      <c r="U815" s="116"/>
      <c r="V815" s="273"/>
      <c r="W815" s="116"/>
      <c r="X815" s="118"/>
      <c r="Y815" s="577">
        <f t="shared" si="35"/>
        <v>806</v>
      </c>
      <c r="AA815" s="116"/>
      <c r="AB815" s="116">
        <f t="shared" si="36"/>
        <v>0</v>
      </c>
    </row>
    <row r="816" spans="1:28">
      <c r="A816" s="136"/>
      <c r="B816" s="102"/>
      <c r="C816" s="102" t="s">
        <v>14</v>
      </c>
      <c r="D816" s="102"/>
      <c r="E816" s="116">
        <f>+G816-Adjustments!K816</f>
        <v>-20766474.937410448</v>
      </c>
      <c r="F816" s="116">
        <f>EXPENSES!G308</f>
        <v>23269929.850000001</v>
      </c>
      <c r="G816" s="116">
        <f>+Adjustments!AW815</f>
        <v>-20934097.606670696</v>
      </c>
      <c r="H816" s="116"/>
      <c r="I816" s="116">
        <f>SUM($F$816:$H$816)</f>
        <v>2335832.2433293052</v>
      </c>
      <c r="J816" s="116"/>
      <c r="K816" s="116"/>
      <c r="L816" s="116" t="s">
        <v>14</v>
      </c>
      <c r="M816" s="116">
        <f>VLOOKUP($L816,$L$2:$N$7,2,FALSE)*I816</f>
        <v>2335832.2433293052</v>
      </c>
      <c r="N816" s="116">
        <f>VLOOKUP($L816,$L$2:$N$7,3,FALSE)*I816</f>
        <v>0</v>
      </c>
      <c r="O816" s="272"/>
      <c r="P816" s="207" t="s">
        <v>560</v>
      </c>
      <c r="Q816" s="116">
        <f>IF(P816="G",M816,IF(P816="PT",0,ERR))</f>
        <v>2335832.2433293052</v>
      </c>
      <c r="R816" s="116">
        <f>IF(P816="PT",M816,IF(P816="G",0,ERR))</f>
        <v>0</v>
      </c>
      <c r="S816" s="240" t="s">
        <v>560</v>
      </c>
      <c r="T816" s="116">
        <f>IF(S816="G",N816,IF(S816="PT",0,ERR))</f>
        <v>0</v>
      </c>
      <c r="U816" s="116">
        <f>IF(S816="PT",N816,IF(S816="G",0,ERR))</f>
        <v>0</v>
      </c>
      <c r="V816" s="273"/>
      <c r="W816" s="116">
        <f>HLOOKUP($W$9,'ROR-Model'!$Q$10:$U$1263,Y816)</f>
        <v>2335832.2433293052</v>
      </c>
      <c r="X816" s="118"/>
      <c r="Y816" s="577">
        <f t="shared" si="35"/>
        <v>807</v>
      </c>
      <c r="AA816" s="116">
        <v>2462937.8500000015</v>
      </c>
      <c r="AB816" s="116">
        <f t="shared" si="36"/>
        <v>-127105.60667069629</v>
      </c>
    </row>
    <row r="817" spans="1:28">
      <c r="A817" s="136"/>
      <c r="B817" s="102"/>
      <c r="C817" s="102" t="s">
        <v>24</v>
      </c>
      <c r="D817" s="102"/>
      <c r="E817" s="116">
        <f>+G817-Adjustments!H817</f>
        <v>-160934.74392689997</v>
      </c>
      <c r="F817" s="116">
        <f>EXPENSES!G309</f>
        <v>237202.52999999997</v>
      </c>
      <c r="G817" s="116">
        <f>+Adjustments!AW816</f>
        <v>-160934.74392689997</v>
      </c>
      <c r="H817" s="116"/>
      <c r="I817" s="116">
        <f>SUM($F$817:$H$817)</f>
        <v>76267.786073099996</v>
      </c>
      <c r="J817" s="116"/>
      <c r="K817" s="116"/>
      <c r="L817" s="116" t="s">
        <v>24</v>
      </c>
      <c r="M817" s="116">
        <f>VLOOKUP($L817,$L$2:$N$7,2,FALSE)*I817</f>
        <v>0</v>
      </c>
      <c r="N817" s="116">
        <f>VLOOKUP($L817,$L$2:$N$7,3,FALSE)*I817</f>
        <v>76267.786073099996</v>
      </c>
      <c r="O817" s="272"/>
      <c r="P817" s="207" t="s">
        <v>560</v>
      </c>
      <c r="Q817" s="116">
        <f>IF(P817="G",M817,IF(P817="PT",0,ERR))</f>
        <v>0</v>
      </c>
      <c r="R817" s="116">
        <f>IF(P817="PT",M817,IF(P817="G",0,ERR))</f>
        <v>0</v>
      </c>
      <c r="S817" s="240" t="s">
        <v>560</v>
      </c>
      <c r="T817" s="116">
        <f>IF(S817="G",N817,IF(S817="PT",0,ERR))</f>
        <v>76267.786073099996</v>
      </c>
      <c r="U817" s="116">
        <f>IF(S817="PT",N817,IF(S817="G",0,ERR))</f>
        <v>0</v>
      </c>
      <c r="V817" s="273"/>
      <c r="W817" s="116">
        <f>HLOOKUP($W$9,'ROR-Model'!$Q$10:$U$1263,Y817)</f>
        <v>0</v>
      </c>
      <c r="X817" s="118"/>
      <c r="Y817" s="577">
        <f t="shared" si="35"/>
        <v>808</v>
      </c>
      <c r="AA817" s="116">
        <v>0</v>
      </c>
      <c r="AB817" s="116">
        <f t="shared" si="36"/>
        <v>0</v>
      </c>
    </row>
    <row r="818" spans="1:28">
      <c r="A818" s="136"/>
      <c r="B818" s="102"/>
      <c r="C818" s="102" t="s">
        <v>170</v>
      </c>
      <c r="D818" s="102"/>
      <c r="E818" s="131">
        <f>+G818-Adjustments!H818</f>
        <v>-21095032.350597598</v>
      </c>
      <c r="F818" s="131">
        <f>SUM(F816:F817)</f>
        <v>23507132.380000003</v>
      </c>
      <c r="G818" s="131">
        <f>SUM(G816:G817)</f>
        <v>-21095032.350597598</v>
      </c>
      <c r="H818" s="131">
        <f>SUM(H816:H817)</f>
        <v>0</v>
      </c>
      <c r="I818" s="131">
        <f>SUM(I816:I817)</f>
        <v>2412100.029402405</v>
      </c>
      <c r="J818" s="116"/>
      <c r="K818" s="116"/>
      <c r="L818" s="131"/>
      <c r="M818" s="131">
        <f>SUM(M816:M817)</f>
        <v>2335832.2433293052</v>
      </c>
      <c r="N818" s="131">
        <f>SUM(N816:N817)</f>
        <v>76267.786073099996</v>
      </c>
      <c r="O818" s="272"/>
      <c r="P818" s="257"/>
      <c r="Q818" s="131">
        <f>SUM(Q816:Q817)</f>
        <v>2335832.2433293052</v>
      </c>
      <c r="R818" s="131">
        <f>SUM(R816:R817)</f>
        <v>0</v>
      </c>
      <c r="S818" s="257"/>
      <c r="T818" s="131">
        <f>SUM(T816:T817)</f>
        <v>76267.786073099996</v>
      </c>
      <c r="U818" s="131">
        <f>SUM(U816:U817)</f>
        <v>0</v>
      </c>
      <c r="V818" s="273"/>
      <c r="W818" s="131">
        <f>HLOOKUP($W$9,'ROR-Model'!$Q$10:$U$1263,Y818)</f>
        <v>2335832.2433293052</v>
      </c>
      <c r="X818" s="118"/>
      <c r="Y818" s="577">
        <f t="shared" si="35"/>
        <v>809</v>
      </c>
      <c r="AA818" s="131">
        <v>2462937.8500000015</v>
      </c>
      <c r="AB818" s="116">
        <f t="shared" si="36"/>
        <v>-127105.60667069629</v>
      </c>
    </row>
    <row r="819" spans="1:28">
      <c r="A819" s="136"/>
      <c r="B819" s="102"/>
      <c r="C819" s="102"/>
      <c r="D819" s="102"/>
      <c r="E819" s="116">
        <f>+G819-Adjustments!H819</f>
        <v>0</v>
      </c>
      <c r="F819" s="116"/>
      <c r="G819" s="116"/>
      <c r="H819" s="116"/>
      <c r="I819" s="116"/>
      <c r="J819" s="116"/>
      <c r="K819" s="116"/>
      <c r="L819" s="116"/>
      <c r="M819" s="116"/>
      <c r="N819" s="116"/>
      <c r="O819" s="272"/>
      <c r="P819" s="240"/>
      <c r="Q819" s="116"/>
      <c r="R819" s="116"/>
      <c r="S819" s="240"/>
      <c r="T819" s="116"/>
      <c r="U819" s="116"/>
      <c r="V819" s="273"/>
      <c r="W819" s="116"/>
      <c r="X819" s="118"/>
      <c r="Y819" s="577">
        <f t="shared" si="35"/>
        <v>810</v>
      </c>
      <c r="AA819" s="116"/>
      <c r="AB819" s="116">
        <f t="shared" si="36"/>
        <v>0</v>
      </c>
    </row>
    <row r="820" spans="1:28">
      <c r="A820" s="136">
        <v>909</v>
      </c>
      <c r="B820" s="102" t="s">
        <v>423</v>
      </c>
      <c r="C820" s="102"/>
      <c r="D820" s="102"/>
      <c r="E820" s="116">
        <f>+G820-Adjustments!H820</f>
        <v>0</v>
      </c>
      <c r="F820" s="116"/>
      <c r="G820" s="116"/>
      <c r="H820" s="116"/>
      <c r="I820" s="116"/>
      <c r="J820" s="116"/>
      <c r="K820" s="116"/>
      <c r="L820" s="116"/>
      <c r="M820" s="116"/>
      <c r="N820" s="116"/>
      <c r="O820" s="272"/>
      <c r="P820" s="240"/>
      <c r="Q820" s="116"/>
      <c r="R820" s="116"/>
      <c r="S820" s="240"/>
      <c r="T820" s="116"/>
      <c r="U820" s="116"/>
      <c r="V820" s="273"/>
      <c r="W820" s="116"/>
      <c r="X820" s="118"/>
      <c r="Y820" s="577">
        <f t="shared" si="35"/>
        <v>811</v>
      </c>
      <c r="AA820" s="116"/>
      <c r="AB820" s="116">
        <f t="shared" si="36"/>
        <v>0</v>
      </c>
    </row>
    <row r="821" spans="1:28">
      <c r="A821" s="136"/>
      <c r="B821" s="102"/>
      <c r="C821" s="102" t="s">
        <v>14</v>
      </c>
      <c r="D821" s="102"/>
      <c r="E821" s="116">
        <f ca="1">+G821-Adjustments!H821</f>
        <v>9916.2255169047821</v>
      </c>
      <c r="F821" s="116">
        <f>EXPENSES!G313</f>
        <v>745487.52</v>
      </c>
      <c r="G821" s="116">
        <f ca="1">+Adjustments!AW820</f>
        <v>9916.2255169047821</v>
      </c>
      <c r="H821" s="116"/>
      <c r="I821" s="116">
        <f ca="1">SUM($F$821:$H$821)</f>
        <v>755403.74551690475</v>
      </c>
      <c r="J821" s="116"/>
      <c r="K821" s="116"/>
      <c r="L821" s="116" t="s">
        <v>14</v>
      </c>
      <c r="M821" s="116">
        <f ca="1">VLOOKUP($L821,$L$2:$N$7,2,FALSE)*I821</f>
        <v>755403.74551690475</v>
      </c>
      <c r="N821" s="116">
        <f ca="1">VLOOKUP($L821,$L$2:$N$7,3,FALSE)*I821</f>
        <v>0</v>
      </c>
      <c r="O821" s="272"/>
      <c r="P821" s="207" t="s">
        <v>560</v>
      </c>
      <c r="Q821" s="116">
        <f ca="1">IF(P821="G",M821,IF(P821="PT",0,ERR))</f>
        <v>755403.74551690475</v>
      </c>
      <c r="R821" s="116">
        <f>IF(P821="PT",M821,IF(P821="G",0,ERR))</f>
        <v>0</v>
      </c>
      <c r="S821" s="240" t="s">
        <v>560</v>
      </c>
      <c r="T821" s="116">
        <f ca="1">IF(S821="G",N821,IF(S821="PT",0,ERR))</f>
        <v>0</v>
      </c>
      <c r="U821" s="116">
        <f>IF(S821="PT",N821,IF(S821="G",0,ERR))</f>
        <v>0</v>
      </c>
      <c r="V821" s="273"/>
      <c r="W821" s="116">
        <f ca="1">HLOOKUP($W$9,'ROR-Model'!$Q$10:$U$1263,Y821)</f>
        <v>755403.74551690475</v>
      </c>
      <c r="X821" s="118"/>
      <c r="Y821" s="577">
        <f t="shared" si="35"/>
        <v>812</v>
      </c>
      <c r="AA821" s="116">
        <v>739783.45500918757</v>
      </c>
      <c r="AB821" s="116">
        <f t="shared" ca="1" si="36"/>
        <v>15620.290507717174</v>
      </c>
    </row>
    <row r="822" spans="1:28">
      <c r="A822" s="136"/>
      <c r="B822" s="102"/>
      <c r="C822" s="102" t="s">
        <v>24</v>
      </c>
      <c r="D822" s="102"/>
      <c r="E822" s="116">
        <f ca="1">+G822-Adjustments!H822</f>
        <v>237.79243852283108</v>
      </c>
      <c r="F822" s="116">
        <f>EXPENSES!G314</f>
        <v>20519.680000000004</v>
      </c>
      <c r="G822" s="116">
        <f ca="1">+Adjustments!AW821</f>
        <v>237.79243852283108</v>
      </c>
      <c r="H822" s="116"/>
      <c r="I822" s="116">
        <f ca="1">SUM($F$822:$H$822)</f>
        <v>20757.472438522836</v>
      </c>
      <c r="J822" s="116"/>
      <c r="K822" s="116"/>
      <c r="L822" s="116" t="s">
        <v>24</v>
      </c>
      <c r="M822" s="116">
        <f ca="1">VLOOKUP($L822,$L$2:$N$7,2,FALSE)*I822</f>
        <v>0</v>
      </c>
      <c r="N822" s="116">
        <f ca="1">VLOOKUP($L822,$L$2:$N$7,3,FALSE)*I822</f>
        <v>20757.472438522836</v>
      </c>
      <c r="O822" s="272"/>
      <c r="P822" s="207" t="s">
        <v>560</v>
      </c>
      <c r="Q822" s="116">
        <f ca="1">IF(P822="G",M822,IF(P822="PT",0,ERR))</f>
        <v>0</v>
      </c>
      <c r="R822" s="116">
        <f>IF(P822="PT",M822,IF(P822="G",0,ERR))</f>
        <v>0</v>
      </c>
      <c r="S822" s="240" t="s">
        <v>560</v>
      </c>
      <c r="T822" s="116">
        <f ca="1">IF(S822="G",N822,IF(S822="PT",0,ERR))</f>
        <v>20757.472438522836</v>
      </c>
      <c r="U822" s="116">
        <f>IF(S822="PT",N822,IF(S822="G",0,ERR))</f>
        <v>0</v>
      </c>
      <c r="V822" s="273"/>
      <c r="W822" s="116">
        <f ca="1">HLOOKUP($W$9,'ROR-Model'!$Q$10:$U$1263,Y822)</f>
        <v>0</v>
      </c>
      <c r="X822" s="118"/>
      <c r="Y822" s="577">
        <f t="shared" si="35"/>
        <v>813</v>
      </c>
      <c r="AA822" s="116">
        <v>0</v>
      </c>
      <c r="AB822" s="116">
        <f t="shared" ca="1" si="36"/>
        <v>0</v>
      </c>
    </row>
    <row r="823" spans="1:28">
      <c r="A823" s="136"/>
      <c r="B823" s="102"/>
      <c r="C823" s="102" t="s">
        <v>170</v>
      </c>
      <c r="D823" s="102"/>
      <c r="E823" s="131">
        <f ca="1">+G823-Adjustments!H823</f>
        <v>10154.017955427613</v>
      </c>
      <c r="F823" s="131">
        <f>SUM(F821:F822)</f>
        <v>766007.20000000007</v>
      </c>
      <c r="G823" s="131">
        <f ca="1">SUM(G821:G822)</f>
        <v>10154.017955427613</v>
      </c>
      <c r="H823" s="131">
        <f>SUM(H821:H822)</f>
        <v>0</v>
      </c>
      <c r="I823" s="131">
        <f ca="1">SUM(I821:I822)</f>
        <v>776161.21795542759</v>
      </c>
      <c r="J823" s="116"/>
      <c r="K823" s="116"/>
      <c r="L823" s="131"/>
      <c r="M823" s="131">
        <f ca="1">SUM(M821:M822)</f>
        <v>755403.74551690475</v>
      </c>
      <c r="N823" s="131">
        <f ca="1">SUM(N821:N822)</f>
        <v>20757.472438522836</v>
      </c>
      <c r="O823" s="272"/>
      <c r="P823" s="257"/>
      <c r="Q823" s="131">
        <f ca="1">SUM(Q821:Q822)</f>
        <v>755403.74551690475</v>
      </c>
      <c r="R823" s="131">
        <f>SUM(R821:R822)</f>
        <v>0</v>
      </c>
      <c r="S823" s="257"/>
      <c r="T823" s="131">
        <f ca="1">SUM(T821:T822)</f>
        <v>20757.472438522836</v>
      </c>
      <c r="U823" s="131">
        <f>SUM(U821:U822)</f>
        <v>0</v>
      </c>
      <c r="V823" s="273"/>
      <c r="W823" s="131">
        <f ca="1">HLOOKUP($W$9,'ROR-Model'!$Q$10:$U$1263,Y823)</f>
        <v>755403.74551690475</v>
      </c>
      <c r="X823" s="118"/>
      <c r="Y823" s="577">
        <f t="shared" si="35"/>
        <v>814</v>
      </c>
      <c r="AA823" s="131">
        <v>739783.45500918757</v>
      </c>
      <c r="AB823" s="116">
        <f t="shared" ca="1" si="36"/>
        <v>15620.290507717174</v>
      </c>
    </row>
    <row r="824" spans="1:28">
      <c r="A824" s="136"/>
      <c r="B824" s="102"/>
      <c r="C824" s="102"/>
      <c r="D824" s="102"/>
      <c r="E824" s="116">
        <f>+G824-Adjustments!H824</f>
        <v>0</v>
      </c>
      <c r="F824" s="116"/>
      <c r="G824" s="116"/>
      <c r="H824" s="116"/>
      <c r="I824" s="116"/>
      <c r="J824" s="116"/>
      <c r="K824" s="116"/>
      <c r="L824" s="116"/>
      <c r="M824" s="116"/>
      <c r="N824" s="116"/>
      <c r="O824" s="272"/>
      <c r="P824" s="240"/>
      <c r="Q824" s="116"/>
      <c r="R824" s="116"/>
      <c r="S824" s="240"/>
      <c r="T824" s="116"/>
      <c r="U824" s="116"/>
      <c r="V824" s="273"/>
      <c r="W824" s="116"/>
      <c r="X824" s="118"/>
      <c r="Y824" s="577">
        <f t="shared" si="35"/>
        <v>815</v>
      </c>
      <c r="AA824" s="116"/>
      <c r="AB824" s="116">
        <f t="shared" si="36"/>
        <v>0</v>
      </c>
    </row>
    <row r="825" spans="1:28">
      <c r="A825" s="136">
        <v>910</v>
      </c>
      <c r="B825" s="102" t="s">
        <v>424</v>
      </c>
      <c r="C825" s="102"/>
      <c r="D825" s="102"/>
      <c r="E825" s="116">
        <f>+G825-Adjustments!H825</f>
        <v>0</v>
      </c>
      <c r="F825" s="116"/>
      <c r="G825" s="116"/>
      <c r="H825" s="116"/>
      <c r="I825" s="116"/>
      <c r="J825" s="116"/>
      <c r="K825" s="116"/>
      <c r="L825" s="116"/>
      <c r="M825" s="116"/>
      <c r="N825" s="116"/>
      <c r="O825" s="272"/>
      <c r="P825" s="240"/>
      <c r="Q825" s="116"/>
      <c r="R825" s="116"/>
      <c r="S825" s="240"/>
      <c r="T825" s="116"/>
      <c r="U825" s="116"/>
      <c r="V825" s="273"/>
      <c r="W825" s="116"/>
      <c r="X825" s="118"/>
      <c r="Y825" s="577">
        <f t="shared" si="35"/>
        <v>816</v>
      </c>
      <c r="AA825" s="116"/>
      <c r="AB825" s="116">
        <f t="shared" si="36"/>
        <v>0</v>
      </c>
    </row>
    <row r="826" spans="1:28">
      <c r="A826" s="227"/>
      <c r="B826" s="102"/>
      <c r="C826" s="102" t="s">
        <v>14</v>
      </c>
      <c r="D826" s="102"/>
      <c r="E826" s="116">
        <f>+G826-Adjustments!H826</f>
        <v>0</v>
      </c>
      <c r="F826" s="116">
        <f>EXPENSES!G318</f>
        <v>0</v>
      </c>
      <c r="G826" s="116">
        <f>+Adjustments!AW825</f>
        <v>0</v>
      </c>
      <c r="H826" s="116"/>
      <c r="I826" s="116">
        <f>SUM($F$826:$H$826)</f>
        <v>0</v>
      </c>
      <c r="J826" s="116"/>
      <c r="K826" s="116"/>
      <c r="L826" s="116" t="s">
        <v>14</v>
      </c>
      <c r="M826" s="116">
        <f>VLOOKUP($L826,$L$2:$N$7,2,FALSE)*I826</f>
        <v>0</v>
      </c>
      <c r="N826" s="116">
        <f>VLOOKUP($L826,$L$2:$N$7,3,FALSE)*I826</f>
        <v>0</v>
      </c>
      <c r="O826" s="272"/>
      <c r="P826" s="207" t="s">
        <v>560</v>
      </c>
      <c r="Q826" s="116">
        <f>IF(P826="G",M826,IF(P826="PT",0,ERR))</f>
        <v>0</v>
      </c>
      <c r="R826" s="116">
        <f>IF(P826="PT",M826,IF(P826="G",0,ERR))</f>
        <v>0</v>
      </c>
      <c r="S826" s="240" t="s">
        <v>560</v>
      </c>
      <c r="T826" s="116">
        <f>IF(S826="G",N826,IF(S826="PT",0,ERR))</f>
        <v>0</v>
      </c>
      <c r="U826" s="116">
        <f>IF(S826="PT",N826,IF(S826="G",0,ERR))</f>
        <v>0</v>
      </c>
      <c r="V826" s="273"/>
      <c r="W826" s="116">
        <f>HLOOKUP($W$9,'ROR-Model'!$Q$10:$U$1263,Y826)</f>
        <v>0</v>
      </c>
      <c r="X826" s="118"/>
      <c r="Y826" s="577">
        <f t="shared" si="35"/>
        <v>817</v>
      </c>
      <c r="AA826" s="116">
        <v>0</v>
      </c>
      <c r="AB826" s="116">
        <f t="shared" si="36"/>
        <v>0</v>
      </c>
    </row>
    <row r="827" spans="1:28">
      <c r="A827" s="227"/>
      <c r="B827" s="102"/>
      <c r="C827" s="102" t="s">
        <v>24</v>
      </c>
      <c r="D827" s="102"/>
      <c r="E827" s="116">
        <f>+G827-Adjustments!H827</f>
        <v>0</v>
      </c>
      <c r="F827" s="116">
        <f>EXPENSES!G319</f>
        <v>0</v>
      </c>
      <c r="G827" s="116">
        <f>+Adjustments!AW826</f>
        <v>0</v>
      </c>
      <c r="H827" s="116"/>
      <c r="I827" s="116">
        <f>SUM($F$827:$H$827)</f>
        <v>0</v>
      </c>
      <c r="J827" s="116"/>
      <c r="K827" s="116"/>
      <c r="L827" s="116" t="s">
        <v>24</v>
      </c>
      <c r="M827" s="116">
        <f>VLOOKUP($L827,$L$2:$N$7,2,FALSE)*I827</f>
        <v>0</v>
      </c>
      <c r="N827" s="116">
        <f>VLOOKUP($L827,$L$2:$N$7,3,FALSE)*I827</f>
        <v>0</v>
      </c>
      <c r="O827" s="272"/>
      <c r="P827" s="207" t="s">
        <v>560</v>
      </c>
      <c r="Q827" s="116">
        <f>IF(P827="G",M827,IF(P827="PT",0,ERR))</f>
        <v>0</v>
      </c>
      <c r="R827" s="116">
        <f>IF(P827="PT",M827,IF(P827="G",0,ERR))</f>
        <v>0</v>
      </c>
      <c r="S827" s="240" t="s">
        <v>560</v>
      </c>
      <c r="T827" s="116">
        <f>IF(S827="G",N827,IF(S827="PT",0,ERR))</f>
        <v>0</v>
      </c>
      <c r="U827" s="116">
        <f>IF(S827="PT",N827,IF(S827="G",0,ERR))</f>
        <v>0</v>
      </c>
      <c r="V827" s="273"/>
      <c r="W827" s="116">
        <f>HLOOKUP($W$9,'ROR-Model'!$Q$10:$U$1263,Y827)</f>
        <v>0</v>
      </c>
      <c r="X827" s="118"/>
      <c r="Y827" s="577">
        <f t="shared" si="35"/>
        <v>818</v>
      </c>
      <c r="AA827" s="116">
        <v>0</v>
      </c>
      <c r="AB827" s="116">
        <f t="shared" si="36"/>
        <v>0</v>
      </c>
    </row>
    <row r="828" spans="1:28">
      <c r="A828" s="227"/>
      <c r="B828" s="102"/>
      <c r="C828" s="102" t="s">
        <v>170</v>
      </c>
      <c r="D828" s="102"/>
      <c r="E828" s="131">
        <f>+G828-Adjustments!H828</f>
        <v>0</v>
      </c>
      <c r="F828" s="131">
        <f>SUM(F826:F827)</f>
        <v>0</v>
      </c>
      <c r="G828" s="131">
        <f>SUM(G826:G827)</f>
        <v>0</v>
      </c>
      <c r="H828" s="131">
        <f>SUM(H826:H827)</f>
        <v>0</v>
      </c>
      <c r="I828" s="131">
        <f>SUM(I826:I827)</f>
        <v>0</v>
      </c>
      <c r="J828" s="116"/>
      <c r="K828" s="116"/>
      <c r="L828" s="131"/>
      <c r="M828" s="131">
        <f>SUM(M826:M827)</f>
        <v>0</v>
      </c>
      <c r="N828" s="131">
        <f>SUM(N826:N827)</f>
        <v>0</v>
      </c>
      <c r="O828" s="272"/>
      <c r="P828" s="257"/>
      <c r="Q828" s="131">
        <f>SUM(Q826:Q827)</f>
        <v>0</v>
      </c>
      <c r="R828" s="131">
        <f>SUM(R826:R827)</f>
        <v>0</v>
      </c>
      <c r="S828" s="257"/>
      <c r="T828" s="131">
        <f>SUM(T826:T827)</f>
        <v>0</v>
      </c>
      <c r="U828" s="131">
        <f>SUM(U826:U827)</f>
        <v>0</v>
      </c>
      <c r="V828" s="273"/>
      <c r="W828" s="131">
        <f>HLOOKUP($W$9,'ROR-Model'!$Q$10:$U$1263,Y828)</f>
        <v>0</v>
      </c>
      <c r="X828" s="118"/>
      <c r="Y828" s="577">
        <f t="shared" si="35"/>
        <v>819</v>
      </c>
      <c r="AA828" s="131">
        <v>0</v>
      </c>
      <c r="AB828" s="116">
        <f t="shared" si="36"/>
        <v>0</v>
      </c>
    </row>
    <row r="829" spans="1:28" ht="13.5" thickBot="1">
      <c r="A829" s="227"/>
      <c r="B829" s="102"/>
      <c r="C829" s="102"/>
      <c r="D829" s="102"/>
      <c r="E829" s="235">
        <f>+G829-Adjustments!H829</f>
        <v>0</v>
      </c>
      <c r="F829" s="235"/>
      <c r="G829" s="235"/>
      <c r="H829" s="235"/>
      <c r="I829" s="235"/>
      <c r="J829" s="116"/>
      <c r="K829" s="116"/>
      <c r="L829" s="235"/>
      <c r="M829" s="235"/>
      <c r="N829" s="235"/>
      <c r="O829" s="272"/>
      <c r="P829" s="613"/>
      <c r="Q829" s="235"/>
      <c r="R829" s="235"/>
      <c r="S829" s="613"/>
      <c r="T829" s="235"/>
      <c r="U829" s="235"/>
      <c r="V829" s="273"/>
      <c r="W829" s="235"/>
      <c r="X829" s="118"/>
      <c r="Y829" s="577">
        <f t="shared" si="35"/>
        <v>820</v>
      </c>
      <c r="AA829" s="235"/>
      <c r="AB829" s="116">
        <f t="shared" si="36"/>
        <v>0</v>
      </c>
    </row>
    <row r="830" spans="1:28" ht="13.5" thickTop="1">
      <c r="A830" s="36" t="s">
        <v>650</v>
      </c>
      <c r="B830" s="102"/>
      <c r="C830" s="102"/>
      <c r="D830" s="102"/>
      <c r="E830" s="116">
        <f>+G830-Adjustments!H830</f>
        <v>0</v>
      </c>
      <c r="F830" s="116"/>
      <c r="G830" s="116"/>
      <c r="H830" s="116"/>
      <c r="I830" s="116"/>
      <c r="J830" s="116"/>
      <c r="K830" s="116"/>
      <c r="L830" s="116"/>
      <c r="M830" s="116"/>
      <c r="N830" s="116"/>
      <c r="O830" s="272"/>
      <c r="P830" s="240"/>
      <c r="Q830" s="116"/>
      <c r="R830" s="116"/>
      <c r="S830" s="240"/>
      <c r="T830" s="116"/>
      <c r="U830" s="116"/>
      <c r="V830" s="273"/>
      <c r="W830" s="116"/>
      <c r="X830" s="118"/>
      <c r="Y830" s="577">
        <f t="shared" si="35"/>
        <v>821</v>
      </c>
      <c r="AA830" s="116"/>
      <c r="AB830" s="116">
        <f t="shared" si="36"/>
        <v>0</v>
      </c>
    </row>
    <row r="831" spans="1:28">
      <c r="A831" s="227"/>
      <c r="B831" s="208" t="s">
        <v>651</v>
      </c>
      <c r="C831" s="102"/>
      <c r="D831" s="102"/>
      <c r="E831" s="116">
        <f ca="1">+G831-Adjustments!H831</f>
        <v>-20929597.770771723</v>
      </c>
      <c r="F831" s="116">
        <f>F811+F816+F821+F826</f>
        <v>24385723.18</v>
      </c>
      <c r="G831" s="116">
        <f t="shared" ref="G831:G832" ca="1" si="38">G811+G816+G821+G826</f>
        <v>-20929597.770771723</v>
      </c>
      <c r="H831" s="116">
        <f t="shared" ref="H831:I832" si="39">H811+H816+H821+H826</f>
        <v>0</v>
      </c>
      <c r="I831" s="116">
        <f t="shared" ca="1" si="39"/>
        <v>3456125.4092282779</v>
      </c>
      <c r="J831" s="116"/>
      <c r="K831" s="116"/>
      <c r="L831" s="116"/>
      <c r="M831" s="116">
        <f ca="1">M811+M816+M821+M826</f>
        <v>3456125.4092282779</v>
      </c>
      <c r="N831" s="116">
        <f ca="1">N811+N816+N821+N826</f>
        <v>0</v>
      </c>
      <c r="O831" s="272"/>
      <c r="P831" s="240"/>
      <c r="Q831" s="116">
        <f ca="1">Q811+Q816+Q821+Q826</f>
        <v>3456125.4092282779</v>
      </c>
      <c r="R831" s="116">
        <f>R811+R816+R821+R826</f>
        <v>0</v>
      </c>
      <c r="S831" s="240"/>
      <c r="T831" s="116">
        <f ca="1">T811+T816+T821+T826</f>
        <v>0</v>
      </c>
      <c r="U831" s="116">
        <f>U811+U816+U821+U826</f>
        <v>0</v>
      </c>
      <c r="V831" s="273"/>
      <c r="W831" s="116">
        <f ca="1">HLOOKUP($W$9,'ROR-Model'!$Q$10:$U$1263,Y831)</f>
        <v>3456125.4092282779</v>
      </c>
      <c r="X831" s="118"/>
      <c r="Y831" s="577">
        <f t="shared" si="35"/>
        <v>822</v>
      </c>
      <c r="AA831" s="116">
        <v>3573027.1150091891</v>
      </c>
      <c r="AB831" s="116">
        <f t="shared" ca="1" si="36"/>
        <v>-116901.70578091126</v>
      </c>
    </row>
    <row r="832" spans="1:28">
      <c r="A832" s="227"/>
      <c r="B832" s="208" t="s">
        <v>652</v>
      </c>
      <c r="C832" s="102"/>
      <c r="D832" s="102"/>
      <c r="E832" s="116">
        <f ca="1">+G832-Adjustments!H832</f>
        <v>-160276.24671691714</v>
      </c>
      <c r="F832" s="116">
        <f>F812+F817+F822+F827</f>
        <v>267402.03999999998</v>
      </c>
      <c r="G832" s="116">
        <f t="shared" ca="1" si="38"/>
        <v>-160276.24671691714</v>
      </c>
      <c r="H832" s="116">
        <f t="shared" si="39"/>
        <v>0</v>
      </c>
      <c r="I832" s="116">
        <f t="shared" ca="1" si="39"/>
        <v>107125.79328308282</v>
      </c>
      <c r="J832" s="116"/>
      <c r="K832" s="116"/>
      <c r="L832" s="116"/>
      <c r="M832" s="116">
        <f ca="1">M812+M817+M822+M827</f>
        <v>0</v>
      </c>
      <c r="N832" s="116">
        <f ca="1">N812+N817+N822+N827</f>
        <v>107125.79328308282</v>
      </c>
      <c r="O832" s="272"/>
      <c r="P832" s="240"/>
      <c r="Q832" s="116">
        <f ca="1">Q812+Q817+Q822+Q827</f>
        <v>0</v>
      </c>
      <c r="R832" s="116">
        <f>R812+R817+R822+R827</f>
        <v>0</v>
      </c>
      <c r="S832" s="240"/>
      <c r="T832" s="116">
        <f ca="1">T812+T817+T822+T827</f>
        <v>107125.79328308282</v>
      </c>
      <c r="U832" s="116">
        <f>U812+U817+U822+U827</f>
        <v>0</v>
      </c>
      <c r="V832" s="273"/>
      <c r="W832" s="116">
        <f ca="1">HLOOKUP($W$9,'ROR-Model'!$Q$10:$U$1263,Y832)</f>
        <v>0</v>
      </c>
      <c r="X832" s="118"/>
      <c r="Y832" s="577">
        <f t="shared" si="35"/>
        <v>823</v>
      </c>
      <c r="AA832" s="116">
        <v>0</v>
      </c>
      <c r="AB832" s="116">
        <f t="shared" ca="1" si="36"/>
        <v>0</v>
      </c>
    </row>
    <row r="833" spans="1:28" ht="13.5" thickBot="1">
      <c r="A833" s="227"/>
      <c r="B833" s="102"/>
      <c r="C833" s="102"/>
      <c r="D833" s="102"/>
      <c r="E833" s="236">
        <f>+G833-Adjustments!H833</f>
        <v>0</v>
      </c>
      <c r="F833" s="236"/>
      <c r="G833" s="236"/>
      <c r="H833" s="236"/>
      <c r="I833" s="236"/>
      <c r="J833" s="116"/>
      <c r="K833" s="116"/>
      <c r="L833" s="236"/>
      <c r="M833" s="236"/>
      <c r="N833" s="236"/>
      <c r="O833" s="272"/>
      <c r="P833" s="731"/>
      <c r="Q833" s="236"/>
      <c r="R833" s="236"/>
      <c r="S833" s="731"/>
      <c r="T833" s="236"/>
      <c r="U833" s="236"/>
      <c r="V833" s="273"/>
      <c r="W833" s="236"/>
      <c r="X833" s="118"/>
      <c r="Y833" s="577">
        <f t="shared" si="35"/>
        <v>824</v>
      </c>
      <c r="AA833" s="236"/>
      <c r="AB833" s="116">
        <f t="shared" si="36"/>
        <v>0</v>
      </c>
    </row>
    <row r="834" spans="1:28">
      <c r="A834" s="227"/>
      <c r="B834" s="49" t="s">
        <v>650</v>
      </c>
      <c r="C834" s="102"/>
      <c r="D834" s="102"/>
      <c r="E834" s="116">
        <f ca="1">+G834-Adjustments!H834</f>
        <v>-21089874.017488644</v>
      </c>
      <c r="F834" s="116">
        <f>F813+F818+F823+F828</f>
        <v>24653125.220000003</v>
      </c>
      <c r="G834" s="116">
        <f ca="1">G813+G818+G823+G828</f>
        <v>-21089874.017488644</v>
      </c>
      <c r="H834" s="116">
        <f>H813+H818+H823+H828</f>
        <v>0</v>
      </c>
      <c r="I834" s="116">
        <f ca="1">I813+I818+I823+I828</f>
        <v>3563251.2025113604</v>
      </c>
      <c r="J834" s="116"/>
      <c r="K834" s="116"/>
      <c r="L834" s="116"/>
      <c r="M834" s="116">
        <f ca="1">M813+M818+M823+M828</f>
        <v>3456125.4092282779</v>
      </c>
      <c r="N834" s="116">
        <f ca="1">N813+N818+N823+N828</f>
        <v>107125.79328308282</v>
      </c>
      <c r="O834" s="272"/>
      <c r="P834" s="240"/>
      <c r="Q834" s="116">
        <f ca="1">Q813+Q818+Q823+Q828</f>
        <v>3456125.4092282779</v>
      </c>
      <c r="R834" s="116">
        <f>R813+R818+R823+R828</f>
        <v>0</v>
      </c>
      <c r="S834" s="240"/>
      <c r="T834" s="116">
        <f ca="1">T813+T818+T823+T828</f>
        <v>107125.79328308282</v>
      </c>
      <c r="U834" s="116">
        <f>U813+U818+U823+U828</f>
        <v>0</v>
      </c>
      <c r="V834" s="273"/>
      <c r="W834" s="116">
        <f ca="1">HLOOKUP($W$9,'ROR-Model'!$Q$10:$U$1263,Y834)</f>
        <v>3456125.4092282779</v>
      </c>
      <c r="X834" s="118"/>
      <c r="Y834" s="577">
        <f t="shared" si="35"/>
        <v>825</v>
      </c>
      <c r="AA834" s="116">
        <v>3573027.1150091891</v>
      </c>
      <c r="AB834" s="116">
        <f t="shared" ca="1" si="36"/>
        <v>-116901.70578091126</v>
      </c>
    </row>
    <row r="835" spans="1:28">
      <c r="A835" s="227"/>
      <c r="B835" s="102"/>
      <c r="C835" s="102"/>
      <c r="D835" s="102"/>
      <c r="E835" s="116">
        <f>+G835-Adjustments!H835</f>
        <v>0</v>
      </c>
      <c r="F835" s="116"/>
      <c r="G835" s="116"/>
      <c r="H835" s="116"/>
      <c r="I835" s="116"/>
      <c r="J835" s="116"/>
      <c r="K835" s="116"/>
      <c r="L835" s="116"/>
      <c r="M835" s="116"/>
      <c r="N835" s="116"/>
      <c r="O835" s="272"/>
      <c r="P835" s="240"/>
      <c r="Q835" s="116"/>
      <c r="R835" s="116"/>
      <c r="S835" s="240"/>
      <c r="T835" s="116"/>
      <c r="U835" s="116"/>
      <c r="V835" s="273"/>
      <c r="W835" s="116"/>
      <c r="X835" s="118"/>
      <c r="Y835" s="577">
        <f t="shared" si="35"/>
        <v>826</v>
      </c>
      <c r="AA835" s="116"/>
      <c r="AB835" s="116">
        <f t="shared" si="36"/>
        <v>0</v>
      </c>
    </row>
    <row r="836" spans="1:28">
      <c r="A836" s="59" t="s">
        <v>425</v>
      </c>
      <c r="B836" s="106"/>
      <c r="C836" s="106"/>
      <c r="D836" s="106"/>
      <c r="E836" s="116">
        <f>+G836-Adjustments!H836</f>
        <v>0</v>
      </c>
      <c r="F836" s="116"/>
      <c r="G836" s="116"/>
      <c r="H836" s="116"/>
      <c r="I836" s="116"/>
      <c r="J836" s="116"/>
      <c r="K836" s="116"/>
      <c r="L836" s="734"/>
      <c r="M836" s="116"/>
      <c r="N836" s="116"/>
      <c r="O836" s="272"/>
      <c r="P836" s="240"/>
      <c r="Q836" s="116"/>
      <c r="R836" s="116"/>
      <c r="S836" s="240"/>
      <c r="T836" s="116"/>
      <c r="U836" s="116"/>
      <c r="V836" s="273"/>
      <c r="W836" s="116"/>
      <c r="X836" s="118"/>
      <c r="Y836" s="577">
        <f t="shared" si="35"/>
        <v>827</v>
      </c>
      <c r="AA836" s="116"/>
      <c r="AB836" s="116">
        <f t="shared" si="36"/>
        <v>0</v>
      </c>
    </row>
    <row r="837" spans="1:28">
      <c r="A837" s="330"/>
      <c r="B837" s="106"/>
      <c r="C837" s="106"/>
      <c r="D837" s="106"/>
      <c r="E837" s="116">
        <f>+G837-Adjustments!H837</f>
        <v>0</v>
      </c>
      <c r="F837" s="116"/>
      <c r="G837" s="116"/>
      <c r="H837" s="116"/>
      <c r="I837" s="116"/>
      <c r="J837" s="116"/>
      <c r="K837" s="116"/>
      <c r="L837" s="116"/>
      <c r="M837" s="116"/>
      <c r="N837" s="116"/>
      <c r="O837" s="272"/>
      <c r="P837" s="240"/>
      <c r="Q837" s="116"/>
      <c r="R837" s="116"/>
      <c r="S837" s="240"/>
      <c r="T837" s="116"/>
      <c r="U837" s="116"/>
      <c r="V837" s="273"/>
      <c r="W837" s="116"/>
      <c r="X837" s="118"/>
      <c r="Y837" s="577">
        <f t="shared" si="35"/>
        <v>828</v>
      </c>
      <c r="AA837" s="116"/>
      <c r="AB837" s="116">
        <f t="shared" si="36"/>
        <v>0</v>
      </c>
    </row>
    <row r="838" spans="1:28">
      <c r="A838" s="134">
        <v>920</v>
      </c>
      <c r="B838" s="106" t="s">
        <v>426</v>
      </c>
      <c r="C838" s="106"/>
      <c r="D838" s="106"/>
      <c r="E838" s="116">
        <f>+G838-Adjustments!H838</f>
        <v>0</v>
      </c>
      <c r="F838" s="116"/>
      <c r="G838" s="116"/>
      <c r="H838" s="116"/>
      <c r="I838" s="116"/>
      <c r="J838" s="116"/>
      <c r="K838" s="116"/>
      <c r="L838" s="116"/>
      <c r="M838" s="116"/>
      <c r="N838" s="116"/>
      <c r="O838" s="272"/>
      <c r="P838" s="240"/>
      <c r="Q838" s="116"/>
      <c r="R838" s="116"/>
      <c r="S838" s="240"/>
      <c r="T838" s="116"/>
      <c r="U838" s="116"/>
      <c r="V838" s="273"/>
      <c r="W838" s="116"/>
      <c r="X838" s="118"/>
      <c r="Y838" s="577">
        <f t="shared" si="35"/>
        <v>829</v>
      </c>
      <c r="AA838" s="116"/>
      <c r="AB838" s="116">
        <f t="shared" si="36"/>
        <v>0</v>
      </c>
    </row>
    <row r="839" spans="1:28">
      <c r="A839" s="330"/>
      <c r="C839" s="106" t="s">
        <v>14</v>
      </c>
      <c r="D839" s="106"/>
      <c r="E839" s="116">
        <f ca="1">+G839-Adjustments!H839</f>
        <v>-1109113.0693096039</v>
      </c>
      <c r="F839" s="116">
        <f>EXPENSES!G331</f>
        <v>4406724.58</v>
      </c>
      <c r="G839" s="116">
        <f ca="1">Adjustments!AW838</f>
        <v>-1109113.0693096039</v>
      </c>
      <c r="H839" s="116"/>
      <c r="I839" s="116">
        <f ca="1">SUM(F839:H839)</f>
        <v>3297611.5106903962</v>
      </c>
      <c r="J839" s="116"/>
      <c r="K839" s="116"/>
      <c r="L839" s="116" t="s">
        <v>14</v>
      </c>
      <c r="M839" s="116">
        <f ca="1">VLOOKUP($L839,$L$2:$N$7,2,FALSE)*I839</f>
        <v>3297611.5106903962</v>
      </c>
      <c r="N839" s="116">
        <f ca="1">VLOOKUP($L839,$L$2:$N$7,3,FALSE)*I839</f>
        <v>0</v>
      </c>
      <c r="O839" s="272"/>
      <c r="P839" s="207" t="s">
        <v>560</v>
      </c>
      <c r="Q839" s="116">
        <f ca="1">IF(P839="G",M839,IF(P839="PT",0,ERR))</f>
        <v>3297611.5106903962</v>
      </c>
      <c r="R839" s="116">
        <f>IF(P839="PT",M839,IF(P839="G",0,ERR))</f>
        <v>0</v>
      </c>
      <c r="S839" s="240" t="s">
        <v>560</v>
      </c>
      <c r="T839" s="116">
        <f ca="1">IF(S839="G",N839,IF(S839="PT",0,ERR))</f>
        <v>0</v>
      </c>
      <c r="U839" s="116">
        <f>IF(S839="PT",N839,IF(S839="G",0,ERR))</f>
        <v>0</v>
      </c>
      <c r="V839" s="273"/>
      <c r="W839" s="116">
        <f ca="1">HLOOKUP($W$9,'ROR-Model'!$Q$10:$U$1263,Y839)</f>
        <v>3297611.5106903962</v>
      </c>
      <c r="X839" s="118"/>
      <c r="Y839" s="577">
        <f t="shared" si="35"/>
        <v>830</v>
      </c>
      <c r="AA839" s="116">
        <v>5940163.352055409</v>
      </c>
      <c r="AB839" s="116">
        <f t="shared" ca="1" si="36"/>
        <v>-2642551.8413650128</v>
      </c>
    </row>
    <row r="840" spans="1:28">
      <c r="A840" s="330"/>
      <c r="C840" s="106" t="s">
        <v>24</v>
      </c>
      <c r="D840" s="106"/>
      <c r="E840" s="116">
        <f ca="1">+G840-Adjustments!H840</f>
        <v>-35569.458835466081</v>
      </c>
      <c r="F840" s="116">
        <f>EXPENSES!G332</f>
        <v>116002.97</v>
      </c>
      <c r="G840" s="116">
        <f ca="1">Adjustments!AW839</f>
        <v>-35569.458835466081</v>
      </c>
      <c r="H840" s="116"/>
      <c r="I840" s="116">
        <f ca="1">SUM(F840:H840)</f>
        <v>80433.51116453392</v>
      </c>
      <c r="J840" s="116"/>
      <c r="K840" s="116"/>
      <c r="L840" s="116" t="s">
        <v>24</v>
      </c>
      <c r="M840" s="116">
        <f ca="1">VLOOKUP($L840,$L$2:$N$7,2,FALSE)*I840</f>
        <v>0</v>
      </c>
      <c r="N840" s="116">
        <f ca="1">VLOOKUP($L840,$L$2:$N$7,3,FALSE)*I840</f>
        <v>80433.51116453392</v>
      </c>
      <c r="O840" s="272"/>
      <c r="P840" s="207" t="s">
        <v>560</v>
      </c>
      <c r="Q840" s="116">
        <f ca="1">IF(P840="G",M840,IF(P840="PT",0,ERR))</f>
        <v>0</v>
      </c>
      <c r="R840" s="116">
        <f>IF(P840="PT",M840,IF(P840="G",0,ERR))</f>
        <v>0</v>
      </c>
      <c r="S840" s="240" t="s">
        <v>560</v>
      </c>
      <c r="T840" s="116">
        <f ca="1">IF(S840="G",N840,IF(S840="PT",0,ERR))</f>
        <v>80433.51116453392</v>
      </c>
      <c r="U840" s="116">
        <f>IF(S840="PT",N840,IF(S840="G",0,ERR))</f>
        <v>0</v>
      </c>
      <c r="V840" s="273"/>
      <c r="W840" s="116">
        <f ca="1">HLOOKUP($W$9,'ROR-Model'!$Q$10:$U$1263,Y840)</f>
        <v>0</v>
      </c>
      <c r="X840" s="118"/>
      <c r="Y840" s="577">
        <f t="shared" si="35"/>
        <v>831</v>
      </c>
      <c r="AA840" s="116">
        <v>0</v>
      </c>
      <c r="AB840" s="116">
        <f t="shared" ca="1" si="36"/>
        <v>0</v>
      </c>
    </row>
    <row r="841" spans="1:28">
      <c r="A841" s="134"/>
      <c r="C841" s="106" t="s">
        <v>170</v>
      </c>
      <c r="D841" s="106"/>
      <c r="E841" s="131">
        <f ca="1">+G841-Adjustments!H841</f>
        <v>-1144682.52814507</v>
      </c>
      <c r="F841" s="131">
        <f>SUM(F839:F840)</f>
        <v>4522727.55</v>
      </c>
      <c r="G841" s="131">
        <f ca="1">Adjustments!AW840</f>
        <v>-1144682.52814507</v>
      </c>
      <c r="H841" s="131"/>
      <c r="I841" s="131">
        <f ca="1">SUM(I839:I840)</f>
        <v>3378045.0218549301</v>
      </c>
      <c r="J841" s="116"/>
      <c r="K841" s="116"/>
      <c r="L841" s="131"/>
      <c r="M841" s="131">
        <f ca="1">SUM(M839:M840)</f>
        <v>3297611.5106903962</v>
      </c>
      <c r="N841" s="131">
        <f ca="1">SUM(N839:N840)</f>
        <v>80433.51116453392</v>
      </c>
      <c r="O841" s="272"/>
      <c r="P841" s="257"/>
      <c r="Q841" s="131">
        <f ca="1">SUM(Q839:Q840)</f>
        <v>3297611.5106903962</v>
      </c>
      <c r="R841" s="131">
        <f>SUM(R839:R840)</f>
        <v>0</v>
      </c>
      <c r="S841" s="257"/>
      <c r="T841" s="131">
        <f ca="1">SUM(T839:T840)</f>
        <v>80433.51116453392</v>
      </c>
      <c r="U841" s="131">
        <f>SUM(U839:U840)</f>
        <v>0</v>
      </c>
      <c r="V841" s="273"/>
      <c r="W841" s="131">
        <f ca="1">HLOOKUP($W$9,'ROR-Model'!$Q$10:$U$1263,Y841)</f>
        <v>3297611.5106903962</v>
      </c>
      <c r="X841" s="118"/>
      <c r="Y841" s="577">
        <f t="shared" si="35"/>
        <v>832</v>
      </c>
      <c r="AA841" s="131">
        <v>5940163.352055409</v>
      </c>
      <c r="AB841" s="116">
        <f t="shared" ca="1" si="36"/>
        <v>-2642551.8413650128</v>
      </c>
    </row>
    <row r="842" spans="1:28">
      <c r="A842" s="134"/>
      <c r="B842" s="106"/>
      <c r="C842" s="106"/>
      <c r="D842" s="106"/>
      <c r="E842" s="116">
        <f>+G842-Adjustments!H842</f>
        <v>0</v>
      </c>
      <c r="F842" s="116"/>
      <c r="G842" s="116"/>
      <c r="H842" s="116"/>
      <c r="I842" s="116"/>
      <c r="J842" s="116"/>
      <c r="K842" s="118"/>
      <c r="L842" s="116"/>
      <c r="M842" s="116"/>
      <c r="N842" s="118"/>
      <c r="O842" s="272"/>
      <c r="P842" s="207"/>
      <c r="Q842" s="116"/>
      <c r="R842" s="116"/>
      <c r="S842" s="240"/>
      <c r="T842" s="116"/>
      <c r="U842" s="116"/>
      <c r="V842" s="273"/>
      <c r="W842" s="116"/>
      <c r="X842" s="118"/>
      <c r="Y842" s="577">
        <f t="shared" si="35"/>
        <v>833</v>
      </c>
      <c r="AA842" s="116"/>
      <c r="AB842" s="116">
        <f t="shared" si="36"/>
        <v>0</v>
      </c>
    </row>
    <row r="843" spans="1:28">
      <c r="A843" s="134">
        <v>921</v>
      </c>
      <c r="B843" s="106" t="s">
        <v>427</v>
      </c>
      <c r="C843" s="106"/>
      <c r="D843" s="106"/>
      <c r="E843" s="116">
        <f>+G843-Adjustments!H843</f>
        <v>0</v>
      </c>
      <c r="F843" s="116"/>
      <c r="G843" s="116"/>
      <c r="H843" s="116"/>
      <c r="I843" s="116"/>
      <c r="J843" s="116"/>
      <c r="K843" s="116"/>
      <c r="L843" s="116"/>
      <c r="M843" s="116"/>
      <c r="N843" s="116"/>
      <c r="O843" s="272"/>
      <c r="P843" s="240"/>
      <c r="Q843" s="116"/>
      <c r="R843" s="116"/>
      <c r="S843" s="240"/>
      <c r="T843" s="116"/>
      <c r="U843" s="116"/>
      <c r="V843" s="273"/>
      <c r="W843" s="116"/>
      <c r="X843" s="118"/>
      <c r="Y843" s="577">
        <f t="shared" si="35"/>
        <v>834</v>
      </c>
      <c r="AA843" s="116"/>
      <c r="AB843" s="116">
        <f t="shared" si="36"/>
        <v>0</v>
      </c>
    </row>
    <row r="844" spans="1:28">
      <c r="A844" s="134"/>
      <c r="C844" s="106" t="s">
        <v>14</v>
      </c>
      <c r="D844" s="106"/>
      <c r="E844" s="116">
        <f ca="1">+G844-Adjustments!H844</f>
        <v>13301522.228748471</v>
      </c>
      <c r="F844" s="116">
        <f>EXPENSES!G335</f>
        <v>32693295.829999998</v>
      </c>
      <c r="G844" s="116">
        <f ca="1">Adjustments!AW842</f>
        <v>13301522.228748471</v>
      </c>
      <c r="H844" s="116"/>
      <c r="I844" s="116">
        <f ca="1">SUM(F844:H844)</f>
        <v>45994818.058748469</v>
      </c>
      <c r="J844" s="116"/>
      <c r="K844" s="116"/>
      <c r="L844" s="116" t="s">
        <v>14</v>
      </c>
      <c r="M844" s="116">
        <f ca="1">VLOOKUP($L844,$L$2:$N$7,2,FALSE)*I844</f>
        <v>45994818.058748469</v>
      </c>
      <c r="N844" s="116">
        <f ca="1">VLOOKUP($L844,$L$2:$N$7,3,FALSE)*I844</f>
        <v>0</v>
      </c>
      <c r="O844" s="272"/>
      <c r="P844" s="207" t="s">
        <v>560</v>
      </c>
      <c r="Q844" s="116">
        <f ca="1">IF(P844="G",M844,IF(P844="PT",0,ERR))</f>
        <v>45994818.058748469</v>
      </c>
      <c r="R844" s="116">
        <f>IF(P844="PT",M844,IF(P844="G",0,ERR))</f>
        <v>0</v>
      </c>
      <c r="S844" s="240" t="s">
        <v>560</v>
      </c>
      <c r="T844" s="116">
        <f ca="1">IF(S844="G",N844,IF(S844="PT",0,ERR))</f>
        <v>0</v>
      </c>
      <c r="U844" s="116">
        <f>IF(S844="PT",N844,IF(S844="G",0,ERR))</f>
        <v>0</v>
      </c>
      <c r="V844" s="273"/>
      <c r="W844" s="116">
        <f ca="1">HLOOKUP($W$9,'ROR-Model'!$Q$10:$U$1263,Y844)</f>
        <v>45994818.058748469</v>
      </c>
      <c r="X844" s="118"/>
      <c r="Y844" s="577">
        <f t="shared" si="35"/>
        <v>835</v>
      </c>
      <c r="AA844" s="116">
        <v>51582263.863494277</v>
      </c>
      <c r="AB844" s="116">
        <f t="shared" ca="1" si="36"/>
        <v>-5587445.8047458082</v>
      </c>
    </row>
    <row r="845" spans="1:28">
      <c r="A845" s="134"/>
      <c r="C845" s="106" t="s">
        <v>24</v>
      </c>
      <c r="D845" s="106"/>
      <c r="E845" s="116">
        <f ca="1">+G845-Adjustments!H845</f>
        <v>600487.25893045892</v>
      </c>
      <c r="F845" s="116">
        <f>EXPENSES!G336</f>
        <v>1489434.61</v>
      </c>
      <c r="G845" s="116">
        <f ca="1">Adjustments!AW843</f>
        <v>600487.25893045892</v>
      </c>
      <c r="H845" s="116"/>
      <c r="I845" s="116">
        <f ca="1">SUM(F845:H845)</f>
        <v>2089921.868930459</v>
      </c>
      <c r="J845" s="116"/>
      <c r="K845" s="116"/>
      <c r="L845" s="116" t="s">
        <v>24</v>
      </c>
      <c r="M845" s="116">
        <f ca="1">VLOOKUP($L845,$L$2:$N$7,2,FALSE)*I845</f>
        <v>0</v>
      </c>
      <c r="N845" s="116">
        <f ca="1">VLOOKUP($L845,$L$2:$N$7,3,FALSE)*I845</f>
        <v>2089921.868930459</v>
      </c>
      <c r="O845" s="272"/>
      <c r="P845" s="207" t="s">
        <v>560</v>
      </c>
      <c r="Q845" s="116">
        <f ca="1">IF(P845="G",M845,IF(P845="PT",0,ERR))</f>
        <v>0</v>
      </c>
      <c r="R845" s="116">
        <f>IF(P845="PT",M845,IF(P845="G",0,ERR))</f>
        <v>0</v>
      </c>
      <c r="S845" s="240" t="s">
        <v>560</v>
      </c>
      <c r="T845" s="116">
        <f ca="1">IF(S845="G",N845,IF(S845="PT",0,ERR))</f>
        <v>2089921.868930459</v>
      </c>
      <c r="U845" s="116">
        <f>IF(S845="PT",N845,IF(S845="G",0,ERR))</f>
        <v>0</v>
      </c>
      <c r="V845" s="273"/>
      <c r="W845" s="116">
        <f ca="1">HLOOKUP($W$9,'ROR-Model'!$Q$10:$U$1263,Y845)</f>
        <v>0</v>
      </c>
      <c r="X845" s="118"/>
      <c r="Y845" s="577">
        <f t="shared" si="35"/>
        <v>836</v>
      </c>
      <c r="AA845" s="116">
        <v>0</v>
      </c>
      <c r="AB845" s="116">
        <f t="shared" ca="1" si="36"/>
        <v>0</v>
      </c>
    </row>
    <row r="846" spans="1:28">
      <c r="A846" s="134"/>
      <c r="C846" s="106" t="s">
        <v>170</v>
      </c>
      <c r="D846" s="106"/>
      <c r="E846" s="131">
        <f ca="1">+G846-Adjustments!H846</f>
        <v>13902009.487678928</v>
      </c>
      <c r="F846" s="131">
        <f>SUM(F844:F845)</f>
        <v>34182730.439999998</v>
      </c>
      <c r="G846" s="131">
        <f ca="1">Adjustments!AW844</f>
        <v>13902009.487678928</v>
      </c>
      <c r="H846" s="131"/>
      <c r="I846" s="131">
        <f ca="1">SUM(I844:I845)</f>
        <v>48084739.927678928</v>
      </c>
      <c r="J846" s="116"/>
      <c r="K846" s="116"/>
      <c r="L846" s="131"/>
      <c r="M846" s="131">
        <f ca="1">SUM(M844:M845)</f>
        <v>45994818.058748469</v>
      </c>
      <c r="N846" s="131">
        <f ca="1">SUM(N844:N845)</f>
        <v>2089921.868930459</v>
      </c>
      <c r="O846" s="272"/>
      <c r="P846" s="257"/>
      <c r="Q846" s="131">
        <f ca="1">SUM(Q844:Q845)</f>
        <v>45994818.058748469</v>
      </c>
      <c r="R846" s="131">
        <f>SUM(R844:R845)</f>
        <v>0</v>
      </c>
      <c r="S846" s="257"/>
      <c r="T846" s="131">
        <f ca="1">SUM(T844:T845)</f>
        <v>2089921.868930459</v>
      </c>
      <c r="U846" s="131">
        <f>SUM(U844:U845)</f>
        <v>0</v>
      </c>
      <c r="V846" s="273"/>
      <c r="W846" s="131">
        <f ca="1">HLOOKUP($W$9,'ROR-Model'!$Q$10:$U$1263,Y846)</f>
        <v>45994818.058748469</v>
      </c>
      <c r="X846" s="118"/>
      <c r="Y846" s="577">
        <f t="shared" ref="Y846:Y909" si="40">Y845+1</f>
        <v>837</v>
      </c>
      <c r="AA846" s="131">
        <v>51582263.863494277</v>
      </c>
      <c r="AB846" s="116">
        <f t="shared" ca="1" si="36"/>
        <v>-5587445.8047458082</v>
      </c>
    </row>
    <row r="847" spans="1:28">
      <c r="A847" s="134"/>
      <c r="B847" s="106"/>
      <c r="C847" s="106"/>
      <c r="D847" s="106"/>
      <c r="E847" s="116">
        <f>+G847-Adjustments!H847</f>
        <v>0</v>
      </c>
      <c r="F847" s="116"/>
      <c r="G847" s="116"/>
      <c r="H847" s="116"/>
      <c r="I847" s="116"/>
      <c r="J847" s="116"/>
      <c r="K847" s="118"/>
      <c r="L847" s="116"/>
      <c r="M847" s="116"/>
      <c r="N847" s="118"/>
      <c r="O847" s="272"/>
      <c r="P847" s="207"/>
      <c r="Q847" s="116"/>
      <c r="R847" s="116"/>
      <c r="S847" s="240"/>
      <c r="T847" s="116"/>
      <c r="U847" s="116"/>
      <c r="V847" s="273"/>
      <c r="W847" s="116"/>
      <c r="X847" s="118"/>
      <c r="Y847" s="577">
        <f t="shared" si="40"/>
        <v>838</v>
      </c>
      <c r="AA847" s="116"/>
      <c r="AB847" s="116">
        <f t="shared" si="36"/>
        <v>0</v>
      </c>
    </row>
    <row r="848" spans="1:28">
      <c r="A848" s="134">
        <v>922</v>
      </c>
      <c r="B848" s="106" t="s">
        <v>428</v>
      </c>
      <c r="C848" s="106"/>
      <c r="D848" s="106"/>
      <c r="E848" s="116">
        <f>+G848-Adjustments!H848</f>
        <v>0</v>
      </c>
      <c r="F848" s="116"/>
      <c r="G848" s="116"/>
      <c r="H848" s="116"/>
      <c r="I848" s="116"/>
      <c r="J848" s="116"/>
      <c r="K848" s="116"/>
      <c r="L848" s="116"/>
      <c r="M848" s="116"/>
      <c r="N848" s="116"/>
      <c r="O848" s="272"/>
      <c r="P848" s="240"/>
      <c r="Q848" s="116"/>
      <c r="R848" s="116"/>
      <c r="S848" s="240"/>
      <c r="T848" s="116"/>
      <c r="U848" s="116"/>
      <c r="V848" s="273"/>
      <c r="W848" s="116"/>
      <c r="X848" s="118"/>
      <c r="Y848" s="577">
        <f t="shared" si="40"/>
        <v>839</v>
      </c>
      <c r="AA848" s="116"/>
      <c r="AB848" s="116">
        <f t="shared" si="36"/>
        <v>0</v>
      </c>
    </row>
    <row r="849" spans="1:28">
      <c r="A849" s="134"/>
      <c r="C849" s="106" t="s">
        <v>14</v>
      </c>
      <c r="D849" s="106"/>
      <c r="E849" s="116">
        <f>+G849-Adjustments!H849</f>
        <v>0</v>
      </c>
      <c r="F849" s="116">
        <f>EXPENSES!G339</f>
        <v>-3802906.8900000006</v>
      </c>
      <c r="G849" s="116">
        <f>Adjustments!AW846</f>
        <v>0</v>
      </c>
      <c r="H849" s="116"/>
      <c r="I849" s="116">
        <f>SUM(F849:H849)</f>
        <v>-3802906.8900000006</v>
      </c>
      <c r="J849" s="116"/>
      <c r="K849" s="116"/>
      <c r="L849" s="116" t="s">
        <v>14</v>
      </c>
      <c r="M849" s="116">
        <f>VLOOKUP($L849,$L$2:$N$7,2,FALSE)*I849</f>
        <v>-3802906.8900000006</v>
      </c>
      <c r="N849" s="116">
        <f>VLOOKUP($L849,$L$2:$N$7,3,FALSE)*I849</f>
        <v>0</v>
      </c>
      <c r="O849" s="272"/>
      <c r="P849" s="207" t="s">
        <v>560</v>
      </c>
      <c r="Q849" s="116">
        <f>IF(P849="G",M849,IF(P849="PT",0,ERR))</f>
        <v>-3802906.8900000006</v>
      </c>
      <c r="R849" s="116">
        <f>IF(P849="PT",M849,IF(P849="G",0,ERR))</f>
        <v>0</v>
      </c>
      <c r="S849" s="240" t="s">
        <v>560</v>
      </c>
      <c r="T849" s="116">
        <f>IF(S849="G",N849,IF(S849="PT",0,ERR))</f>
        <v>0</v>
      </c>
      <c r="U849" s="116">
        <f>IF(S849="PT",N849,IF(S849="G",0,ERR))</f>
        <v>0</v>
      </c>
      <c r="V849" s="273"/>
      <c r="W849" s="116">
        <f>HLOOKUP($W$9,'ROR-Model'!$Q$10:$U$1263,Y849)</f>
        <v>-3802906.8900000006</v>
      </c>
      <c r="X849" s="118"/>
      <c r="Y849" s="577">
        <f t="shared" si="40"/>
        <v>840</v>
      </c>
      <c r="AA849" s="116">
        <v>-3802906.8900000006</v>
      </c>
      <c r="AB849" s="116">
        <f t="shared" ref="AB849:AB912" si="41">W849-AA849</f>
        <v>0</v>
      </c>
    </row>
    <row r="850" spans="1:28">
      <c r="A850" s="134"/>
      <c r="C850" s="106" t="s">
        <v>24</v>
      </c>
      <c r="D850" s="106"/>
      <c r="E850" s="116">
        <f>+G850-Adjustments!H850</f>
        <v>0</v>
      </c>
      <c r="F850" s="116">
        <f>EXPENSES!G340</f>
        <v>-125232.56</v>
      </c>
      <c r="G850" s="116">
        <f>Adjustments!AW847</f>
        <v>0</v>
      </c>
      <c r="H850" s="116"/>
      <c r="I850" s="116">
        <f>SUM(F850:H850)</f>
        <v>-125232.56</v>
      </c>
      <c r="J850" s="116"/>
      <c r="K850" s="116"/>
      <c r="L850" s="116" t="s">
        <v>24</v>
      </c>
      <c r="M850" s="116">
        <f>VLOOKUP($L850,$L$2:$N$7,2,FALSE)*I850</f>
        <v>0</v>
      </c>
      <c r="N850" s="116">
        <f>VLOOKUP($L850,$L$2:$N$7,3,FALSE)*I850</f>
        <v>-125232.56</v>
      </c>
      <c r="O850" s="272"/>
      <c r="P850" s="207" t="s">
        <v>560</v>
      </c>
      <c r="Q850" s="116">
        <f>IF(P850="G",M850,IF(P850="PT",0,ERR))</f>
        <v>0</v>
      </c>
      <c r="R850" s="116">
        <f>IF(P850="PT",M850,IF(P850="G",0,ERR))</f>
        <v>0</v>
      </c>
      <c r="S850" s="240" t="s">
        <v>560</v>
      </c>
      <c r="T850" s="116">
        <f>IF(S850="G",N850,IF(S850="PT",0,ERR))</f>
        <v>-125232.56</v>
      </c>
      <c r="U850" s="116">
        <f>IF(S850="PT",N850,IF(S850="G",0,ERR))</f>
        <v>0</v>
      </c>
      <c r="V850" s="273"/>
      <c r="W850" s="116">
        <f>HLOOKUP($W$9,'ROR-Model'!$Q$10:$U$1263,Y850)</f>
        <v>0</v>
      </c>
      <c r="X850" s="118"/>
      <c r="Y850" s="577">
        <f t="shared" si="40"/>
        <v>841</v>
      </c>
      <c r="AA850" s="116">
        <v>0</v>
      </c>
      <c r="AB850" s="116">
        <f t="shared" si="41"/>
        <v>0</v>
      </c>
    </row>
    <row r="851" spans="1:28">
      <c r="A851" s="134"/>
      <c r="C851" s="106" t="s">
        <v>170</v>
      </c>
      <c r="D851" s="106"/>
      <c r="E851" s="131">
        <f>+G851-Adjustments!H851</f>
        <v>0</v>
      </c>
      <c r="F851" s="131">
        <f>SUM(F849:F850)</f>
        <v>-3928139.4500000007</v>
      </c>
      <c r="G851" s="131">
        <f>Adjustments!AW848</f>
        <v>0</v>
      </c>
      <c r="H851" s="131"/>
      <c r="I851" s="131">
        <f>SUM(I849:I850)</f>
        <v>-3928139.4500000007</v>
      </c>
      <c r="J851" s="116"/>
      <c r="K851" s="116"/>
      <c r="L851" s="131"/>
      <c r="M851" s="131">
        <f>SUM(M849:M850)</f>
        <v>-3802906.8900000006</v>
      </c>
      <c r="N851" s="131">
        <f>SUM(N849:N850)</f>
        <v>-125232.56</v>
      </c>
      <c r="O851" s="272"/>
      <c r="P851" s="257"/>
      <c r="Q851" s="131">
        <f>SUM(Q849:Q850)</f>
        <v>-3802906.8900000006</v>
      </c>
      <c r="R851" s="131">
        <f>SUM(R849:R850)</f>
        <v>0</v>
      </c>
      <c r="S851" s="257"/>
      <c r="T851" s="131">
        <f>SUM(T849:T850)</f>
        <v>-125232.56</v>
      </c>
      <c r="U851" s="131">
        <f>SUM(U849:U850)</f>
        <v>0</v>
      </c>
      <c r="V851" s="273"/>
      <c r="W851" s="131">
        <f>HLOOKUP($W$9,'ROR-Model'!$Q$10:$U$1263,Y851)</f>
        <v>-3802906.8900000006</v>
      </c>
      <c r="X851" s="118"/>
      <c r="Y851" s="577">
        <f t="shared" si="40"/>
        <v>842</v>
      </c>
      <c r="AA851" s="131">
        <v>-3802906.8900000006</v>
      </c>
      <c r="AB851" s="116">
        <f t="shared" si="41"/>
        <v>0</v>
      </c>
    </row>
    <row r="852" spans="1:28">
      <c r="A852" s="134"/>
      <c r="B852" s="106"/>
      <c r="C852" s="106"/>
      <c r="D852" s="106"/>
      <c r="E852" s="116">
        <f>+G852-Adjustments!H852</f>
        <v>0</v>
      </c>
      <c r="F852" s="116"/>
      <c r="G852" s="116"/>
      <c r="H852" s="116"/>
      <c r="I852" s="116"/>
      <c r="J852" s="116"/>
      <c r="K852" s="118"/>
      <c r="L852" s="116"/>
      <c r="M852" s="116"/>
      <c r="N852" s="118"/>
      <c r="O852" s="272"/>
      <c r="P852" s="207"/>
      <c r="Q852" s="116"/>
      <c r="R852" s="116"/>
      <c r="S852" s="240"/>
      <c r="T852" s="116"/>
      <c r="U852" s="116"/>
      <c r="V852" s="273"/>
      <c r="W852" s="116"/>
      <c r="X852" s="118"/>
      <c r="Y852" s="577">
        <f t="shared" si="40"/>
        <v>843</v>
      </c>
      <c r="AA852" s="116"/>
      <c r="AB852" s="116">
        <f t="shared" si="41"/>
        <v>0</v>
      </c>
    </row>
    <row r="853" spans="1:28">
      <c r="A853" s="134">
        <v>923</v>
      </c>
      <c r="B853" s="106" t="s">
        <v>429</v>
      </c>
      <c r="C853" s="106"/>
      <c r="D853" s="106"/>
      <c r="E853" s="116">
        <f>+G853-Adjustments!H853</f>
        <v>0</v>
      </c>
      <c r="F853" s="116"/>
      <c r="G853" s="116"/>
      <c r="H853" s="116"/>
      <c r="I853" s="116"/>
      <c r="J853" s="116"/>
      <c r="K853" s="116"/>
      <c r="L853" s="116"/>
      <c r="M853" s="116"/>
      <c r="N853" s="116"/>
      <c r="O853" s="272"/>
      <c r="P853" s="240"/>
      <c r="Q853" s="116"/>
      <c r="R853" s="116"/>
      <c r="S853" s="240"/>
      <c r="T853" s="116"/>
      <c r="U853" s="116"/>
      <c r="V853" s="273"/>
      <c r="W853" s="116"/>
      <c r="X853" s="118"/>
      <c r="Y853" s="577">
        <f t="shared" si="40"/>
        <v>844</v>
      </c>
      <c r="AA853" s="116"/>
      <c r="AB853" s="116">
        <f t="shared" si="41"/>
        <v>0</v>
      </c>
    </row>
    <row r="854" spans="1:28">
      <c r="A854" s="134"/>
      <c r="C854" s="106" t="s">
        <v>14</v>
      </c>
      <c r="D854" s="106"/>
      <c r="E854" s="116">
        <f>+G854-Adjustments!H854</f>
        <v>45145.619441989809</v>
      </c>
      <c r="F854" s="116">
        <f>EXPENSES!G343</f>
        <v>1318004.83</v>
      </c>
      <c r="G854" s="116">
        <f>Adjustments!AW850</f>
        <v>45145.619441989809</v>
      </c>
      <c r="H854" s="116"/>
      <c r="I854" s="116">
        <f>SUM(F854:H854)</f>
        <v>1363150.4494419899</v>
      </c>
      <c r="J854" s="116"/>
      <c r="K854" s="116"/>
      <c r="L854" s="116" t="s">
        <v>14</v>
      </c>
      <c r="M854" s="116">
        <f>VLOOKUP($L854,$L$2:$N$7,2,FALSE)*I854</f>
        <v>1363150.4494419899</v>
      </c>
      <c r="N854" s="116">
        <f>VLOOKUP($L854,$L$2:$N$7,3,FALSE)*I854</f>
        <v>0</v>
      </c>
      <c r="O854" s="272"/>
      <c r="P854" s="207" t="s">
        <v>560</v>
      </c>
      <c r="Q854" s="116">
        <f>IF(P854="G",M854,IF(P854="PT",0,ERR))</f>
        <v>1363150.4494419899</v>
      </c>
      <c r="R854" s="116">
        <f>IF(P854="PT",M854,IF(P854="G",0,ERR))</f>
        <v>0</v>
      </c>
      <c r="S854" s="240" t="s">
        <v>560</v>
      </c>
      <c r="T854" s="116">
        <f>IF(S854="G",N854,IF(S854="PT",0,ERR))</f>
        <v>0</v>
      </c>
      <c r="U854" s="116">
        <f>IF(S854="PT",N854,IF(S854="G",0,ERR))</f>
        <v>0</v>
      </c>
      <c r="V854" s="273"/>
      <c r="W854" s="116">
        <f>HLOOKUP($W$9,'ROR-Model'!$Q$10:$U$1263,Y854)</f>
        <v>1363150.4494419899</v>
      </c>
      <c r="X854" s="118"/>
      <c r="Y854" s="577">
        <f t="shared" si="40"/>
        <v>845</v>
      </c>
      <c r="AA854" s="116">
        <v>1318004.83</v>
      </c>
      <c r="AB854" s="116">
        <f t="shared" si="41"/>
        <v>45145.619441989809</v>
      </c>
    </row>
    <row r="855" spans="1:28">
      <c r="A855" s="134"/>
      <c r="C855" s="106" t="s">
        <v>24</v>
      </c>
      <c r="D855" s="106"/>
      <c r="E855" s="116">
        <f>+G855-Adjustments!H855</f>
        <v>2796.8352043099876</v>
      </c>
      <c r="F855" s="116">
        <f>EXPENSES!G344</f>
        <v>81652.27</v>
      </c>
      <c r="G855" s="116">
        <f>Adjustments!AW851</f>
        <v>2796.8352043099876</v>
      </c>
      <c r="H855" s="116"/>
      <c r="I855" s="116">
        <f>SUM(F855:H855)</f>
        <v>84449.105204309992</v>
      </c>
      <c r="J855" s="116"/>
      <c r="K855" s="116"/>
      <c r="L855" s="116" t="s">
        <v>24</v>
      </c>
      <c r="M855" s="116">
        <f>VLOOKUP($L855,$L$2:$N$7,2,FALSE)*I855</f>
        <v>0</v>
      </c>
      <c r="N855" s="116">
        <f>VLOOKUP($L855,$L$2:$N$7,3,FALSE)*I855</f>
        <v>84449.105204309992</v>
      </c>
      <c r="O855" s="272"/>
      <c r="P855" s="207" t="s">
        <v>560</v>
      </c>
      <c r="Q855" s="116">
        <f>IF(P855="G",M855,IF(P855="PT",0,ERR))</f>
        <v>0</v>
      </c>
      <c r="R855" s="116">
        <f>IF(P855="PT",M855,IF(P855="G",0,ERR))</f>
        <v>0</v>
      </c>
      <c r="S855" s="240" t="s">
        <v>560</v>
      </c>
      <c r="T855" s="116">
        <f>IF(S855="G",N855,IF(S855="PT",0,ERR))</f>
        <v>84449.105204309992</v>
      </c>
      <c r="U855" s="116">
        <f>IF(S855="PT",N855,IF(S855="G",0,ERR))</f>
        <v>0</v>
      </c>
      <c r="V855" s="273"/>
      <c r="W855" s="116">
        <f>HLOOKUP($W$9,'ROR-Model'!$Q$10:$U$1263,Y855)</f>
        <v>0</v>
      </c>
      <c r="X855" s="118"/>
      <c r="Y855" s="577">
        <f t="shared" si="40"/>
        <v>846</v>
      </c>
      <c r="AA855" s="116">
        <v>0</v>
      </c>
      <c r="AB855" s="116">
        <f t="shared" si="41"/>
        <v>0</v>
      </c>
    </row>
    <row r="856" spans="1:28">
      <c r="A856" s="134"/>
      <c r="C856" s="106" t="s">
        <v>170</v>
      </c>
      <c r="D856" s="106"/>
      <c r="E856" s="131">
        <f>+G856-Adjustments!H856</f>
        <v>47942.454646299797</v>
      </c>
      <c r="F856" s="131">
        <f>SUM(F854:F855)</f>
        <v>1399657.1</v>
      </c>
      <c r="G856" s="131">
        <f>Adjustments!AW852</f>
        <v>47942.454646299797</v>
      </c>
      <c r="H856" s="131"/>
      <c r="I856" s="131">
        <f>SUM(I854:I855)</f>
        <v>1447599.5546462999</v>
      </c>
      <c r="J856" s="116"/>
      <c r="K856" s="116"/>
      <c r="L856" s="131"/>
      <c r="M856" s="131">
        <f>SUM(M854:M855)</f>
        <v>1363150.4494419899</v>
      </c>
      <c r="N856" s="131">
        <f>SUM(N854:N855)</f>
        <v>84449.105204309992</v>
      </c>
      <c r="O856" s="272"/>
      <c r="P856" s="257"/>
      <c r="Q856" s="131">
        <f>SUM(Q854:Q855)</f>
        <v>1363150.4494419899</v>
      </c>
      <c r="R856" s="131">
        <f>SUM(R854:R855)</f>
        <v>0</v>
      </c>
      <c r="S856" s="257"/>
      <c r="T856" s="131">
        <f>SUM(T854:T855)</f>
        <v>84449.105204309992</v>
      </c>
      <c r="U856" s="131">
        <f>SUM(U854:U855)</f>
        <v>0</v>
      </c>
      <c r="V856" s="273"/>
      <c r="W856" s="131">
        <f>HLOOKUP($W$9,'ROR-Model'!$Q$10:$U$1263,Y856)</f>
        <v>1363150.4494419899</v>
      </c>
      <c r="X856" s="118"/>
      <c r="Y856" s="577">
        <f t="shared" si="40"/>
        <v>847</v>
      </c>
      <c r="AA856" s="131">
        <v>1318004.83</v>
      </c>
      <c r="AB856" s="116">
        <f t="shared" si="41"/>
        <v>45145.619441989809</v>
      </c>
    </row>
    <row r="857" spans="1:28">
      <c r="A857" s="134"/>
      <c r="B857" s="106"/>
      <c r="C857" s="106"/>
      <c r="D857" s="106"/>
      <c r="E857" s="116">
        <f>+G857-Adjustments!H857</f>
        <v>0</v>
      </c>
      <c r="F857" s="116"/>
      <c r="G857" s="116"/>
      <c r="H857" s="116"/>
      <c r="I857" s="116"/>
      <c r="J857" s="116"/>
      <c r="K857" s="118"/>
      <c r="L857" s="116"/>
      <c r="M857" s="116"/>
      <c r="N857" s="118"/>
      <c r="O857" s="272"/>
      <c r="P857" s="207"/>
      <c r="Q857" s="116"/>
      <c r="R857" s="116"/>
      <c r="S857" s="240"/>
      <c r="T857" s="116"/>
      <c r="U857" s="116"/>
      <c r="V857" s="273"/>
      <c r="W857" s="116"/>
      <c r="X857" s="118"/>
      <c r="Y857" s="577">
        <f t="shared" si="40"/>
        <v>848</v>
      </c>
      <c r="AA857" s="116"/>
      <c r="AB857" s="116">
        <f t="shared" si="41"/>
        <v>0</v>
      </c>
    </row>
    <row r="858" spans="1:28">
      <c r="A858" s="134">
        <v>924</v>
      </c>
      <c r="B858" s="106" t="s">
        <v>430</v>
      </c>
      <c r="C858" s="106"/>
      <c r="D858" s="106"/>
      <c r="E858" s="116">
        <f>+G858-Adjustments!H858</f>
        <v>0</v>
      </c>
      <c r="F858" s="116"/>
      <c r="G858" s="116"/>
      <c r="H858" s="116"/>
      <c r="I858" s="116"/>
      <c r="J858" s="116"/>
      <c r="K858" s="116"/>
      <c r="L858" s="116"/>
      <c r="M858" s="116"/>
      <c r="N858" s="116"/>
      <c r="O858" s="272"/>
      <c r="P858" s="240"/>
      <c r="Q858" s="116"/>
      <c r="R858" s="116"/>
      <c r="S858" s="240"/>
      <c r="T858" s="116"/>
      <c r="U858" s="116"/>
      <c r="V858" s="273"/>
      <c r="W858" s="116"/>
      <c r="X858" s="118"/>
      <c r="Y858" s="577">
        <f t="shared" si="40"/>
        <v>849</v>
      </c>
      <c r="AA858" s="116"/>
      <c r="AB858" s="116">
        <f t="shared" si="41"/>
        <v>0</v>
      </c>
    </row>
    <row r="859" spans="1:28">
      <c r="A859" s="134"/>
      <c r="C859" s="106" t="s">
        <v>14</v>
      </c>
      <c r="D859" s="106"/>
      <c r="E859" s="116">
        <f>+G859-Adjustments!H859</f>
        <v>13861.036587999959</v>
      </c>
      <c r="F859" s="116">
        <f>EXPENSES!G347</f>
        <v>304598</v>
      </c>
      <c r="G859" s="116">
        <f>Adjustments!AW854</f>
        <v>13861.036587999959</v>
      </c>
      <c r="H859" s="116"/>
      <c r="I859" s="116">
        <f>SUM(F859:H859)</f>
        <v>318459.03658799996</v>
      </c>
      <c r="J859" s="116"/>
      <c r="K859" s="116"/>
      <c r="L859" s="116" t="s">
        <v>14</v>
      </c>
      <c r="M859" s="116">
        <f>VLOOKUP($L859,$L$2:$N$7,2,FALSE)*I859</f>
        <v>318459.03658799996</v>
      </c>
      <c r="N859" s="116">
        <f>VLOOKUP($L859,$L$2:$N$7,3,FALSE)*I859</f>
        <v>0</v>
      </c>
      <c r="O859" s="272"/>
      <c r="P859" s="207" t="s">
        <v>560</v>
      </c>
      <c r="Q859" s="116">
        <f>IF(P859="G",M859,IF(P859="PT",0,ERR))</f>
        <v>318459.03658799996</v>
      </c>
      <c r="R859" s="116">
        <f>IF(P859="PT",M859,IF(P859="G",0,ERR))</f>
        <v>0</v>
      </c>
      <c r="S859" s="240" t="s">
        <v>560</v>
      </c>
      <c r="T859" s="116">
        <f>IF(S859="G",N859,IF(S859="PT",0,ERR))</f>
        <v>0</v>
      </c>
      <c r="U859" s="116">
        <f>IF(S859="PT",N859,IF(S859="G",0,ERR))</f>
        <v>0</v>
      </c>
      <c r="V859" s="273"/>
      <c r="W859" s="116">
        <f>HLOOKUP($W$9,'ROR-Model'!$Q$10:$U$1263,Y859)</f>
        <v>318459.03658799996</v>
      </c>
      <c r="X859" s="118"/>
      <c r="Y859" s="577">
        <f t="shared" si="40"/>
        <v>850</v>
      </c>
      <c r="AA859" s="116">
        <v>304598</v>
      </c>
      <c r="AB859" s="116">
        <f t="shared" si="41"/>
        <v>13861.036587999959</v>
      </c>
    </row>
    <row r="860" spans="1:28">
      <c r="A860" s="134"/>
      <c r="C860" s="106" t="s">
        <v>24</v>
      </c>
      <c r="D860" s="106"/>
      <c r="E860" s="116">
        <f>+G860-Adjustments!H860</f>
        <v>457.30936157999531</v>
      </c>
      <c r="F860" s="116">
        <f>EXPENSES!G348</f>
        <v>10049.430000000004</v>
      </c>
      <c r="G860" s="116">
        <f>Adjustments!AW855</f>
        <v>457.30936157999531</v>
      </c>
      <c r="H860" s="116"/>
      <c r="I860" s="116">
        <f>SUM(F860:H860)</f>
        <v>10506.739361579999</v>
      </c>
      <c r="J860" s="116"/>
      <c r="K860" s="116"/>
      <c r="L860" s="116" t="s">
        <v>24</v>
      </c>
      <c r="M860" s="116">
        <f>VLOOKUP($L860,$L$2:$N$7,2,FALSE)*I860</f>
        <v>0</v>
      </c>
      <c r="N860" s="116">
        <f>VLOOKUP($L860,$L$2:$N$7,3,FALSE)*I860</f>
        <v>10506.739361579999</v>
      </c>
      <c r="O860" s="272"/>
      <c r="P860" s="207" t="s">
        <v>560</v>
      </c>
      <c r="Q860" s="116">
        <f>IF(P860="G",M860,IF(P860="PT",0,ERR))</f>
        <v>0</v>
      </c>
      <c r="R860" s="116">
        <f>IF(P860="PT",M860,IF(P860="G",0,ERR))</f>
        <v>0</v>
      </c>
      <c r="S860" s="240" t="s">
        <v>560</v>
      </c>
      <c r="T860" s="116">
        <f>IF(S860="G",N860,IF(S860="PT",0,ERR))</f>
        <v>10506.739361579999</v>
      </c>
      <c r="U860" s="116">
        <f>IF(S860="PT",N860,IF(S860="G",0,ERR))</f>
        <v>0</v>
      </c>
      <c r="V860" s="273"/>
      <c r="W860" s="116">
        <f>HLOOKUP($W$9,'ROR-Model'!$Q$10:$U$1263,Y860)</f>
        <v>0</v>
      </c>
      <c r="X860" s="118"/>
      <c r="Y860" s="577">
        <f t="shared" si="40"/>
        <v>851</v>
      </c>
      <c r="AA860" s="116">
        <v>0</v>
      </c>
      <c r="AB860" s="116">
        <f t="shared" si="41"/>
        <v>0</v>
      </c>
    </row>
    <row r="861" spans="1:28">
      <c r="A861" s="134"/>
      <c r="C861" s="106" t="s">
        <v>170</v>
      </c>
      <c r="D861" s="106"/>
      <c r="E861" s="131">
        <f>+G861-Adjustments!H861</f>
        <v>14318.345949579954</v>
      </c>
      <c r="F861" s="131">
        <f>SUM(F859:F860)</f>
        <v>314647.43</v>
      </c>
      <c r="G861" s="131">
        <f>Adjustments!AW856</f>
        <v>14318.345949579954</v>
      </c>
      <c r="H861" s="131"/>
      <c r="I861" s="131">
        <f>SUM(I859:I860)</f>
        <v>328965.77594957995</v>
      </c>
      <c r="J861" s="116"/>
      <c r="K861" s="116"/>
      <c r="L861" s="131"/>
      <c r="M861" s="131">
        <f>SUM(M859:M860)</f>
        <v>318459.03658799996</v>
      </c>
      <c r="N861" s="131">
        <f>SUM(N859:N860)</f>
        <v>10506.739361579999</v>
      </c>
      <c r="O861" s="272"/>
      <c r="P861" s="257"/>
      <c r="Q861" s="131">
        <f>SUM(Q859:Q860)</f>
        <v>318459.03658799996</v>
      </c>
      <c r="R861" s="131">
        <f>SUM(R859:R860)</f>
        <v>0</v>
      </c>
      <c r="S861" s="257"/>
      <c r="T861" s="131">
        <f>SUM(T859:T860)</f>
        <v>10506.739361579999</v>
      </c>
      <c r="U861" s="131">
        <f>SUM(U859:U860)</f>
        <v>0</v>
      </c>
      <c r="V861" s="273"/>
      <c r="W861" s="131">
        <f>HLOOKUP($W$9,'ROR-Model'!$Q$10:$U$1263,Y861)</f>
        <v>318459.03658799996</v>
      </c>
      <c r="X861" s="118"/>
      <c r="Y861" s="577">
        <f t="shared" si="40"/>
        <v>852</v>
      </c>
      <c r="AA861" s="131">
        <v>304598</v>
      </c>
      <c r="AB861" s="116">
        <f t="shared" si="41"/>
        <v>13861.036587999959</v>
      </c>
    </row>
    <row r="862" spans="1:28">
      <c r="A862" s="134"/>
      <c r="B862" s="106"/>
      <c r="C862" s="106"/>
      <c r="D862" s="106"/>
      <c r="E862" s="116">
        <f>+G862-Adjustments!H862</f>
        <v>0</v>
      </c>
      <c r="F862" s="116"/>
      <c r="G862" s="116"/>
      <c r="H862" s="116"/>
      <c r="I862" s="116"/>
      <c r="J862" s="116"/>
      <c r="K862" s="118"/>
      <c r="L862" s="116"/>
      <c r="M862" s="116"/>
      <c r="N862" s="118"/>
      <c r="O862" s="272"/>
      <c r="P862" s="207"/>
      <c r="Q862" s="116"/>
      <c r="R862" s="116"/>
      <c r="S862" s="240"/>
      <c r="T862" s="116"/>
      <c r="U862" s="116"/>
      <c r="V862" s="273"/>
      <c r="W862" s="116"/>
      <c r="X862" s="118"/>
      <c r="Y862" s="577">
        <f t="shared" si="40"/>
        <v>853</v>
      </c>
      <c r="AA862" s="116"/>
      <c r="AB862" s="116">
        <f t="shared" si="41"/>
        <v>0</v>
      </c>
    </row>
    <row r="863" spans="1:28">
      <c r="A863" s="134">
        <v>925</v>
      </c>
      <c r="B863" s="106" t="s">
        <v>431</v>
      </c>
      <c r="C863" s="106"/>
      <c r="D863" s="106"/>
      <c r="E863" s="116">
        <f>+G863-Adjustments!H863</f>
        <v>0</v>
      </c>
      <c r="F863" s="116"/>
      <c r="G863" s="116"/>
      <c r="H863" s="116"/>
      <c r="I863" s="116"/>
      <c r="J863" s="116"/>
      <c r="K863" s="116"/>
      <c r="L863" s="116"/>
      <c r="M863" s="116"/>
      <c r="N863" s="116"/>
      <c r="O863" s="272"/>
      <c r="P863" s="240"/>
      <c r="Q863" s="116"/>
      <c r="R863" s="116"/>
      <c r="S863" s="240"/>
      <c r="T863" s="116"/>
      <c r="U863" s="116"/>
      <c r="V863" s="273"/>
      <c r="W863" s="116"/>
      <c r="X863" s="118"/>
      <c r="Y863" s="577">
        <f t="shared" si="40"/>
        <v>854</v>
      </c>
      <c r="AA863" s="116"/>
      <c r="AB863" s="116">
        <f t="shared" si="41"/>
        <v>0</v>
      </c>
    </row>
    <row r="864" spans="1:28">
      <c r="A864" s="134"/>
      <c r="C864" s="106" t="s">
        <v>14</v>
      </c>
      <c r="D864" s="106"/>
      <c r="E864" s="116">
        <f>+G864-Adjustments!H864</f>
        <v>-611.70440061067529</v>
      </c>
      <c r="F864" s="116">
        <f>EXPENSES!G351</f>
        <v>11516.189999999999</v>
      </c>
      <c r="G864" s="116">
        <f>Adjustments!AW858</f>
        <v>-611.70440061067529</v>
      </c>
      <c r="H864" s="116"/>
      <c r="I864" s="116">
        <f>SUM(F864:H864)</f>
        <v>10904.485599389323</v>
      </c>
      <c r="J864" s="116"/>
      <c r="K864" s="116"/>
      <c r="L864" s="116" t="s">
        <v>14</v>
      </c>
      <c r="M864" s="116">
        <f>VLOOKUP($L864,$L$2:$N$7,2,FALSE)*I864</f>
        <v>10904.485599389323</v>
      </c>
      <c r="N864" s="116">
        <f>VLOOKUP($L864,$L$2:$N$7,3,FALSE)*I864</f>
        <v>0</v>
      </c>
      <c r="O864" s="272"/>
      <c r="P864" s="207" t="s">
        <v>560</v>
      </c>
      <c r="Q864" s="116">
        <f>IF(P864="G",M864,IF(P864="PT",0,ERR))</f>
        <v>10904.485599389323</v>
      </c>
      <c r="R864" s="116">
        <f>IF(P864="PT",M864,IF(P864="G",0,ERR))</f>
        <v>0</v>
      </c>
      <c r="S864" s="240" t="s">
        <v>560</v>
      </c>
      <c r="T864" s="116">
        <f>IF(S864="G",N864,IF(S864="PT",0,ERR))</f>
        <v>0</v>
      </c>
      <c r="U864" s="116">
        <f>IF(S864="PT",N864,IF(S864="G",0,ERR))</f>
        <v>0</v>
      </c>
      <c r="V864" s="273"/>
      <c r="W864" s="116">
        <f>HLOOKUP($W$9,'ROR-Model'!$Q$10:$U$1263,Y864)</f>
        <v>10904.485599389323</v>
      </c>
      <c r="X864" s="118"/>
      <c r="Y864" s="577">
        <f t="shared" si="40"/>
        <v>855</v>
      </c>
      <c r="AA864" s="116">
        <v>11516.189999999999</v>
      </c>
      <c r="AB864" s="116">
        <f t="shared" si="41"/>
        <v>-611.70440061067529</v>
      </c>
    </row>
    <row r="865" spans="1:28">
      <c r="A865" s="134"/>
      <c r="C865" s="106" t="s">
        <v>24</v>
      </c>
      <c r="D865" s="106"/>
      <c r="E865" s="116">
        <f>+G865-Adjustments!H865</f>
        <v>1.4137953312589104</v>
      </c>
      <c r="F865" s="116">
        <f>EXPENSES!G352</f>
        <v>224.67000000000002</v>
      </c>
      <c r="G865" s="116">
        <f>Adjustments!AW859</f>
        <v>1.4137953312589104</v>
      </c>
      <c r="H865" s="116"/>
      <c r="I865" s="116">
        <f>SUM(F865:H865)</f>
        <v>226.08379533125893</v>
      </c>
      <c r="J865" s="116"/>
      <c r="K865" s="116"/>
      <c r="L865" s="116" t="s">
        <v>24</v>
      </c>
      <c r="M865" s="116">
        <f>VLOOKUP($L865,$L$2:$N$7,2,FALSE)*I865</f>
        <v>0</v>
      </c>
      <c r="N865" s="116">
        <f>VLOOKUP($L865,$L$2:$N$7,3,FALSE)*I865</f>
        <v>226.08379533125893</v>
      </c>
      <c r="O865" s="272"/>
      <c r="P865" s="207" t="s">
        <v>560</v>
      </c>
      <c r="Q865" s="116">
        <f>IF(P865="G",M865,IF(P865="PT",0,ERR))</f>
        <v>0</v>
      </c>
      <c r="R865" s="116">
        <f>IF(P865="PT",M865,IF(P865="G",0,ERR))</f>
        <v>0</v>
      </c>
      <c r="S865" s="240" t="s">
        <v>560</v>
      </c>
      <c r="T865" s="116">
        <f>IF(S865="G",N865,IF(S865="PT",0,ERR))</f>
        <v>226.08379533125893</v>
      </c>
      <c r="U865" s="116">
        <f>IF(S865="PT",N865,IF(S865="G",0,ERR))</f>
        <v>0</v>
      </c>
      <c r="V865" s="273"/>
      <c r="W865" s="116">
        <f>HLOOKUP($W$9,'ROR-Model'!$Q$10:$U$1263,Y865)</f>
        <v>0</v>
      </c>
      <c r="X865" s="118"/>
      <c r="Y865" s="577">
        <f t="shared" si="40"/>
        <v>856</v>
      </c>
      <c r="AA865" s="116">
        <v>0</v>
      </c>
      <c r="AB865" s="116">
        <f t="shared" si="41"/>
        <v>0</v>
      </c>
    </row>
    <row r="866" spans="1:28">
      <c r="A866" s="134"/>
      <c r="C866" s="106" t="s">
        <v>170</v>
      </c>
      <c r="D866" s="106"/>
      <c r="E866" s="131">
        <f>+G866-Adjustments!H866</f>
        <v>-610.29060527941635</v>
      </c>
      <c r="F866" s="131">
        <f>SUM(F864:F865)</f>
        <v>11740.859999999999</v>
      </c>
      <c r="G866" s="131">
        <f>Adjustments!AW860</f>
        <v>-610.29060527941635</v>
      </c>
      <c r="H866" s="131"/>
      <c r="I866" s="131">
        <f>SUM(I864:I865)</f>
        <v>11130.569394720582</v>
      </c>
      <c r="J866" s="116"/>
      <c r="K866" s="116"/>
      <c r="L866" s="131"/>
      <c r="M866" s="131">
        <f>SUM(M864:M865)</f>
        <v>10904.485599389323</v>
      </c>
      <c r="N866" s="131">
        <f>SUM(N864:N865)</f>
        <v>226.08379533125893</v>
      </c>
      <c r="O866" s="272"/>
      <c r="P866" s="257"/>
      <c r="Q866" s="131">
        <f>SUM(Q864:Q865)</f>
        <v>10904.485599389323</v>
      </c>
      <c r="R866" s="131">
        <f>SUM(R864:R865)</f>
        <v>0</v>
      </c>
      <c r="S866" s="257"/>
      <c r="T866" s="131">
        <f>SUM(T864:T865)</f>
        <v>226.08379533125893</v>
      </c>
      <c r="U866" s="131">
        <f>SUM(U864:U865)</f>
        <v>0</v>
      </c>
      <c r="V866" s="273"/>
      <c r="W866" s="131">
        <f>HLOOKUP($W$9,'ROR-Model'!$Q$10:$U$1263,Y866)</f>
        <v>10904.485599389323</v>
      </c>
      <c r="X866" s="118"/>
      <c r="Y866" s="577">
        <f t="shared" si="40"/>
        <v>857</v>
      </c>
      <c r="AA866" s="131">
        <v>11516.189999999999</v>
      </c>
      <c r="AB866" s="116">
        <f t="shared" si="41"/>
        <v>-611.70440061067529</v>
      </c>
    </row>
    <row r="867" spans="1:28">
      <c r="A867" s="134"/>
      <c r="B867" s="106"/>
      <c r="C867" s="106"/>
      <c r="D867" s="106"/>
      <c r="E867" s="116">
        <f>+G867-Adjustments!H867</f>
        <v>0</v>
      </c>
      <c r="F867" s="116"/>
      <c r="G867" s="116"/>
      <c r="H867" s="116"/>
      <c r="I867" s="116"/>
      <c r="J867" s="116"/>
      <c r="K867" s="118"/>
      <c r="L867" s="116"/>
      <c r="M867" s="116"/>
      <c r="N867" s="118"/>
      <c r="O867" s="272"/>
      <c r="P867" s="207"/>
      <c r="Q867" s="116"/>
      <c r="R867" s="116"/>
      <c r="S867" s="240"/>
      <c r="T867" s="116"/>
      <c r="U867" s="116"/>
      <c r="V867" s="273"/>
      <c r="W867" s="116"/>
      <c r="X867" s="118"/>
      <c r="Y867" s="577">
        <f t="shared" si="40"/>
        <v>858</v>
      </c>
      <c r="AA867" s="116"/>
      <c r="AB867" s="116">
        <f t="shared" si="41"/>
        <v>0</v>
      </c>
    </row>
    <row r="868" spans="1:28">
      <c r="A868" s="134">
        <v>926</v>
      </c>
      <c r="B868" s="106" t="s">
        <v>432</v>
      </c>
      <c r="C868" s="106"/>
      <c r="D868" s="106"/>
      <c r="E868" s="116">
        <f>+G868-Adjustments!H868</f>
        <v>0</v>
      </c>
      <c r="F868" s="116"/>
      <c r="G868" s="116"/>
      <c r="H868" s="116"/>
      <c r="I868" s="116"/>
      <c r="J868" s="116"/>
      <c r="K868" s="116"/>
      <c r="L868" s="116"/>
      <c r="M868" s="116"/>
      <c r="N868" s="116"/>
      <c r="O868" s="272"/>
      <c r="P868" s="240"/>
      <c r="Q868" s="116"/>
      <c r="R868" s="116"/>
      <c r="S868" s="240"/>
      <c r="T868" s="116"/>
      <c r="U868" s="116"/>
      <c r="V868" s="273"/>
      <c r="W868" s="116"/>
      <c r="X868" s="118"/>
      <c r="Y868" s="577">
        <f t="shared" si="40"/>
        <v>859</v>
      </c>
      <c r="AA868" s="116"/>
      <c r="AB868" s="116">
        <f t="shared" si="41"/>
        <v>0</v>
      </c>
    </row>
    <row r="869" spans="1:28">
      <c r="A869" s="134"/>
      <c r="C869" s="106" t="s">
        <v>14</v>
      </c>
      <c r="D869" s="106"/>
      <c r="E869" s="116">
        <f>+G869-Adjustments!H869</f>
        <v>-8591.3677791776427</v>
      </c>
      <c r="F869" s="116">
        <f>EXPENSES!G355</f>
        <v>162902.46000000002</v>
      </c>
      <c r="G869" s="116">
        <f>Adjustments!AW862</f>
        <v>-8591.3677791776427</v>
      </c>
      <c r="H869" s="116"/>
      <c r="I869" s="116">
        <f>SUM(F869:H869)</f>
        <v>154311.09222082238</v>
      </c>
      <c r="J869" s="116"/>
      <c r="K869" s="116"/>
      <c r="L869" s="116" t="s">
        <v>14</v>
      </c>
      <c r="M869" s="116">
        <f>VLOOKUP($L869,$L$2:$N$7,2,FALSE)*I869</f>
        <v>154311.09222082238</v>
      </c>
      <c r="N869" s="116">
        <f>VLOOKUP($L869,$L$2:$N$7,3,FALSE)*I869</f>
        <v>0</v>
      </c>
      <c r="O869" s="272"/>
      <c r="P869" s="207" t="s">
        <v>560</v>
      </c>
      <c r="Q869" s="116">
        <f>IF(P869="G",M869,IF(P869="PT",0,ERR))</f>
        <v>154311.09222082238</v>
      </c>
      <c r="R869" s="116">
        <f>IF(P869="PT",M869,IF(P869="G",0,ERR))</f>
        <v>0</v>
      </c>
      <c r="S869" s="240" t="s">
        <v>560</v>
      </c>
      <c r="T869" s="116">
        <f>IF(S869="G",N869,IF(S869="PT",0,ERR))</f>
        <v>0</v>
      </c>
      <c r="U869" s="116">
        <f>IF(S869="PT",N869,IF(S869="G",0,ERR))</f>
        <v>0</v>
      </c>
      <c r="V869" s="273"/>
      <c r="W869" s="116">
        <f>HLOOKUP($W$9,'ROR-Model'!$Q$10:$U$1263,Y869)</f>
        <v>154311.09222082238</v>
      </c>
      <c r="X869" s="118"/>
      <c r="Y869" s="577">
        <f t="shared" si="40"/>
        <v>860</v>
      </c>
      <c r="AA869" s="116">
        <v>162902.46000000002</v>
      </c>
      <c r="AB869" s="116">
        <f t="shared" si="41"/>
        <v>-8591.3677791776427</v>
      </c>
    </row>
    <row r="870" spans="1:28">
      <c r="A870" s="134"/>
      <c r="C870" s="106" t="s">
        <v>24</v>
      </c>
      <c r="D870" s="106"/>
      <c r="E870" s="116">
        <f>+G870-Adjustments!H870</f>
        <v>-109.60978254557358</v>
      </c>
      <c r="F870" s="116">
        <f>EXPENSES!G356</f>
        <v>4488.2200000000021</v>
      </c>
      <c r="G870" s="116">
        <f>Adjustments!AW863</f>
        <v>-109.60978254557358</v>
      </c>
      <c r="H870" s="116"/>
      <c r="I870" s="116">
        <f>SUM(F870:H870)</f>
        <v>4378.6102174544285</v>
      </c>
      <c r="J870" s="116"/>
      <c r="K870" s="116"/>
      <c r="L870" s="116" t="s">
        <v>24</v>
      </c>
      <c r="M870" s="116">
        <f>VLOOKUP($L870,$L$2:$N$7,2,FALSE)*I870</f>
        <v>0</v>
      </c>
      <c r="N870" s="116">
        <f>VLOOKUP($L870,$L$2:$N$7,3,FALSE)*I870</f>
        <v>4378.6102174544285</v>
      </c>
      <c r="O870" s="272"/>
      <c r="P870" s="207" t="s">
        <v>560</v>
      </c>
      <c r="Q870" s="116">
        <f>IF(P870="G",M870,IF(P870="PT",0,ERR))</f>
        <v>0</v>
      </c>
      <c r="R870" s="116">
        <f>IF(P870="PT",M870,IF(P870="G",0,ERR))</f>
        <v>0</v>
      </c>
      <c r="S870" s="240" t="s">
        <v>560</v>
      </c>
      <c r="T870" s="116">
        <f>IF(S870="G",N870,IF(S870="PT",0,ERR))</f>
        <v>4378.6102174544285</v>
      </c>
      <c r="U870" s="116">
        <f>IF(S870="PT",N870,IF(S870="G",0,ERR))</f>
        <v>0</v>
      </c>
      <c r="V870" s="273"/>
      <c r="W870" s="116">
        <f>HLOOKUP($W$9,'ROR-Model'!$Q$10:$U$1263,Y870)</f>
        <v>0</v>
      </c>
      <c r="X870" s="118"/>
      <c r="Y870" s="577">
        <f t="shared" si="40"/>
        <v>861</v>
      </c>
      <c r="AA870" s="116">
        <v>0</v>
      </c>
      <c r="AB870" s="116">
        <f t="shared" si="41"/>
        <v>0</v>
      </c>
    </row>
    <row r="871" spans="1:28">
      <c r="A871" s="134"/>
      <c r="C871" s="106" t="s">
        <v>170</v>
      </c>
      <c r="D871" s="106"/>
      <c r="E871" s="131">
        <f>+G871-Adjustments!H871</f>
        <v>-8700.9775617232153</v>
      </c>
      <c r="F871" s="131">
        <f>SUM(F869:F870)</f>
        <v>167390.68000000002</v>
      </c>
      <c r="G871" s="131">
        <f>Adjustments!AW864</f>
        <v>-8700.9775617232153</v>
      </c>
      <c r="H871" s="131"/>
      <c r="I871" s="131">
        <f>SUM(I869:I870)</f>
        <v>158689.70243827681</v>
      </c>
      <c r="J871" s="116"/>
      <c r="K871" s="116"/>
      <c r="L871" s="131"/>
      <c r="M871" s="131">
        <f>SUM(M869:M870)</f>
        <v>154311.09222082238</v>
      </c>
      <c r="N871" s="131">
        <f>SUM(N869:N870)</f>
        <v>4378.6102174544285</v>
      </c>
      <c r="O871" s="272"/>
      <c r="P871" s="257"/>
      <c r="Q871" s="131">
        <f>SUM(Q869:Q870)</f>
        <v>154311.09222082238</v>
      </c>
      <c r="R871" s="131">
        <f>SUM(R869:R870)</f>
        <v>0</v>
      </c>
      <c r="S871" s="257"/>
      <c r="T871" s="131">
        <f>SUM(T869:T870)</f>
        <v>4378.6102174544285</v>
      </c>
      <c r="U871" s="131">
        <f>SUM(U869:U870)</f>
        <v>0</v>
      </c>
      <c r="V871" s="273"/>
      <c r="W871" s="131">
        <f>HLOOKUP($W$9,'ROR-Model'!$Q$10:$U$1263,Y871)</f>
        <v>154311.09222082238</v>
      </c>
      <c r="X871" s="118"/>
      <c r="Y871" s="577">
        <f t="shared" si="40"/>
        <v>862</v>
      </c>
      <c r="AA871" s="131">
        <v>162902.46000000002</v>
      </c>
      <c r="AB871" s="116">
        <f t="shared" si="41"/>
        <v>-8591.3677791776427</v>
      </c>
    </row>
    <row r="872" spans="1:28">
      <c r="A872" s="134"/>
      <c r="B872" s="106"/>
      <c r="C872" s="106"/>
      <c r="D872" s="106"/>
      <c r="E872" s="116">
        <f>+G872-Adjustments!H872</f>
        <v>0</v>
      </c>
      <c r="F872" s="116"/>
      <c r="G872" s="116"/>
      <c r="H872" s="116"/>
      <c r="I872" s="116"/>
      <c r="J872" s="116"/>
      <c r="K872" s="118"/>
      <c r="L872" s="116"/>
      <c r="M872" s="116"/>
      <c r="N872" s="118"/>
      <c r="O872" s="272"/>
      <c r="P872" s="207"/>
      <c r="Q872" s="116"/>
      <c r="R872" s="116"/>
      <c r="S872" s="240"/>
      <c r="T872" s="116"/>
      <c r="U872" s="116"/>
      <c r="V872" s="273"/>
      <c r="W872" s="116"/>
      <c r="X872" s="118"/>
      <c r="Y872" s="577">
        <f t="shared" si="40"/>
        <v>863</v>
      </c>
      <c r="AA872" s="116"/>
      <c r="AB872" s="116">
        <f t="shared" si="41"/>
        <v>0</v>
      </c>
    </row>
    <row r="873" spans="1:28">
      <c r="A873" s="134" t="s">
        <v>826</v>
      </c>
      <c r="B873" s="106" t="s">
        <v>827</v>
      </c>
      <c r="C873" s="106"/>
      <c r="D873" s="106"/>
      <c r="E873" s="116">
        <f>+G873-Adjustments!H873</f>
        <v>0</v>
      </c>
      <c r="F873" s="116"/>
      <c r="G873" s="116"/>
      <c r="H873" s="116"/>
      <c r="I873" s="116"/>
      <c r="J873" s="116"/>
      <c r="K873" s="116"/>
      <c r="L873" s="116"/>
      <c r="M873" s="116"/>
      <c r="N873" s="116"/>
      <c r="O873" s="272"/>
      <c r="P873" s="240"/>
      <c r="Q873" s="116"/>
      <c r="R873" s="116"/>
      <c r="S873" s="240"/>
      <c r="T873" s="116"/>
      <c r="U873" s="116"/>
      <c r="V873" s="273"/>
      <c r="W873" s="116"/>
      <c r="X873" s="118"/>
      <c r="Y873" s="577">
        <f t="shared" si="40"/>
        <v>864</v>
      </c>
      <c r="AA873" s="116"/>
      <c r="AB873" s="116">
        <f t="shared" si="41"/>
        <v>0</v>
      </c>
    </row>
    <row r="874" spans="1:28">
      <c r="A874" s="134"/>
      <c r="C874" s="106" t="s">
        <v>14</v>
      </c>
      <c r="D874" s="106"/>
      <c r="E874" s="116">
        <f>+G874-Adjustments!H874</f>
        <v>0</v>
      </c>
      <c r="F874" s="116">
        <f>EXPENSES!G359</f>
        <v>0</v>
      </c>
      <c r="G874" s="116">
        <f>Adjustments!AW866</f>
        <v>0</v>
      </c>
      <c r="H874" s="116"/>
      <c r="I874" s="116">
        <f>SUM(F874:H874)</f>
        <v>0</v>
      </c>
      <c r="J874" s="116"/>
      <c r="K874" s="116"/>
      <c r="L874" s="116" t="s">
        <v>14</v>
      </c>
      <c r="M874" s="116">
        <f>VLOOKUP($L874,$L$2:$N$7,2,FALSE)*I874</f>
        <v>0</v>
      </c>
      <c r="N874" s="116">
        <f>VLOOKUP($L874,$L$2:$N$7,3,FALSE)*I874</f>
        <v>0</v>
      </c>
      <c r="O874" s="272"/>
      <c r="P874" s="207" t="s">
        <v>560</v>
      </c>
      <c r="Q874" s="116">
        <f>IF(P874="G",M874,IF(P874="PT",0,ERR))</f>
        <v>0</v>
      </c>
      <c r="R874" s="116">
        <f>IF(P874="PT",M874,IF(P874="G",0,ERR))</f>
        <v>0</v>
      </c>
      <c r="S874" s="240" t="s">
        <v>560</v>
      </c>
      <c r="T874" s="116">
        <f>IF(S874="G",N874,IF(S874="PT",0,ERR))</f>
        <v>0</v>
      </c>
      <c r="U874" s="116">
        <f>IF(S874="PT",N874,IF(S874="G",0,ERR))</f>
        <v>0</v>
      </c>
      <c r="V874" s="273"/>
      <c r="W874" s="116">
        <f>HLOOKUP($W$9,'ROR-Model'!$Q$10:$U$1263,Y874)</f>
        <v>0</v>
      </c>
      <c r="X874" s="118"/>
      <c r="Y874" s="577">
        <f t="shared" si="40"/>
        <v>865</v>
      </c>
      <c r="AA874" s="116">
        <v>0</v>
      </c>
      <c r="AB874" s="116">
        <f t="shared" si="41"/>
        <v>0</v>
      </c>
    </row>
    <row r="875" spans="1:28">
      <c r="A875" s="134"/>
      <c r="C875" s="106" t="s">
        <v>24</v>
      </c>
      <c r="D875" s="106"/>
      <c r="E875" s="116">
        <f>+G875-Adjustments!H875</f>
        <v>0</v>
      </c>
      <c r="F875" s="116">
        <f>EXPENSES!G360</f>
        <v>0</v>
      </c>
      <c r="G875" s="116">
        <f>Adjustments!AW867</f>
        <v>0</v>
      </c>
      <c r="H875" s="116"/>
      <c r="I875" s="116">
        <f>SUM(F875:H875)</f>
        <v>0</v>
      </c>
      <c r="J875" s="116"/>
      <c r="K875" s="116"/>
      <c r="L875" s="116" t="s">
        <v>24</v>
      </c>
      <c r="M875" s="116">
        <f>VLOOKUP($L875,$L$2:$N$7,2,FALSE)*I875</f>
        <v>0</v>
      </c>
      <c r="N875" s="116">
        <f>VLOOKUP($L875,$L$2:$N$7,3,FALSE)*I875</f>
        <v>0</v>
      </c>
      <c r="O875" s="272"/>
      <c r="P875" s="207" t="s">
        <v>560</v>
      </c>
      <c r="Q875" s="116">
        <f>IF(P875="G",M875,IF(P875="PT",0,ERR))</f>
        <v>0</v>
      </c>
      <c r="R875" s="116">
        <f>IF(P875="PT",M875,IF(P875="G",0,ERR))</f>
        <v>0</v>
      </c>
      <c r="S875" s="240" t="s">
        <v>560</v>
      </c>
      <c r="T875" s="116">
        <f>IF(S875="G",N875,IF(S875="PT",0,ERR))</f>
        <v>0</v>
      </c>
      <c r="U875" s="116">
        <f>IF(S875="PT",N875,IF(S875="G",0,ERR))</f>
        <v>0</v>
      </c>
      <c r="V875" s="273"/>
      <c r="W875" s="116">
        <f>HLOOKUP($W$9,'ROR-Model'!$Q$10:$U$1263,Y875)</f>
        <v>0</v>
      </c>
      <c r="X875" s="118"/>
      <c r="Y875" s="577">
        <f t="shared" si="40"/>
        <v>866</v>
      </c>
      <c r="AA875" s="116">
        <v>0</v>
      </c>
      <c r="AB875" s="116">
        <f t="shared" si="41"/>
        <v>0</v>
      </c>
    </row>
    <row r="876" spans="1:28">
      <c r="A876" s="134"/>
      <c r="C876" s="106" t="s">
        <v>170</v>
      </c>
      <c r="D876" s="106"/>
      <c r="E876" s="131">
        <f>+G876-Adjustments!H876</f>
        <v>0</v>
      </c>
      <c r="F876" s="131">
        <f>SUM(F874:F875)</f>
        <v>0</v>
      </c>
      <c r="G876" s="131">
        <f>Adjustments!AW868</f>
        <v>0</v>
      </c>
      <c r="H876" s="131"/>
      <c r="I876" s="131">
        <f>SUM(I874:I875)</f>
        <v>0</v>
      </c>
      <c r="J876" s="116"/>
      <c r="K876" s="116"/>
      <c r="L876" s="131"/>
      <c r="M876" s="131">
        <f>SUM(M874:M875)</f>
        <v>0</v>
      </c>
      <c r="N876" s="131">
        <f>SUM(N874:N875)</f>
        <v>0</v>
      </c>
      <c r="O876" s="272"/>
      <c r="P876" s="257"/>
      <c r="Q876" s="131">
        <f>SUM(Q874:Q875)</f>
        <v>0</v>
      </c>
      <c r="R876" s="131">
        <f>SUM(R874:R875)</f>
        <v>0</v>
      </c>
      <c r="S876" s="257"/>
      <c r="T876" s="131">
        <f>SUM(T874:T875)</f>
        <v>0</v>
      </c>
      <c r="U876" s="131">
        <f>SUM(U874:U875)</f>
        <v>0</v>
      </c>
      <c r="V876" s="273"/>
      <c r="W876" s="131">
        <f>HLOOKUP($W$9,'ROR-Model'!$Q$10:$U$1263,Y876)</f>
        <v>0</v>
      </c>
      <c r="X876" s="118"/>
      <c r="Y876" s="577">
        <f t="shared" si="40"/>
        <v>867</v>
      </c>
      <c r="AA876" s="131">
        <v>0</v>
      </c>
      <c r="AB876" s="116">
        <f t="shared" si="41"/>
        <v>0</v>
      </c>
    </row>
    <row r="877" spans="1:28">
      <c r="A877" s="134"/>
      <c r="B877" s="106"/>
      <c r="C877" s="106"/>
      <c r="D877" s="106"/>
      <c r="E877" s="116">
        <f>+G877-Adjustments!H877</f>
        <v>0</v>
      </c>
      <c r="F877" s="116"/>
      <c r="G877" s="116"/>
      <c r="H877" s="116"/>
      <c r="I877" s="116"/>
      <c r="J877" s="116"/>
      <c r="K877" s="118"/>
      <c r="L877" s="116"/>
      <c r="M877" s="116"/>
      <c r="N877" s="118"/>
      <c r="O877" s="272"/>
      <c r="P877" s="207"/>
      <c r="Q877" s="116"/>
      <c r="R877" s="116"/>
      <c r="S877" s="240"/>
      <c r="T877" s="116"/>
      <c r="U877" s="116"/>
      <c r="V877" s="273"/>
      <c r="W877" s="116"/>
      <c r="X877" s="118"/>
      <c r="Y877" s="577">
        <f t="shared" si="40"/>
        <v>868</v>
      </c>
      <c r="AA877" s="116"/>
      <c r="AB877" s="116">
        <f t="shared" si="41"/>
        <v>0</v>
      </c>
    </row>
    <row r="878" spans="1:28">
      <c r="A878" s="134">
        <v>9301</v>
      </c>
      <c r="B878" s="106" t="s">
        <v>433</v>
      </c>
      <c r="C878" s="106"/>
      <c r="D878" s="106"/>
      <c r="E878" s="116">
        <f>+G878-Adjustments!H878</f>
        <v>0</v>
      </c>
      <c r="F878" s="116"/>
      <c r="G878" s="116"/>
      <c r="H878" s="116"/>
      <c r="I878" s="116"/>
      <c r="J878" s="116"/>
      <c r="K878" s="116"/>
      <c r="L878" s="116"/>
      <c r="M878" s="116"/>
      <c r="N878" s="116"/>
      <c r="O878" s="272"/>
      <c r="P878" s="240"/>
      <c r="Q878" s="116"/>
      <c r="R878" s="116"/>
      <c r="S878" s="240"/>
      <c r="T878" s="116"/>
      <c r="U878" s="116"/>
      <c r="V878" s="273"/>
      <c r="W878" s="116"/>
      <c r="X878" s="118"/>
      <c r="Y878" s="577">
        <f t="shared" si="40"/>
        <v>869</v>
      </c>
      <c r="AA878" s="116"/>
      <c r="AB878" s="116">
        <f t="shared" si="41"/>
        <v>0</v>
      </c>
    </row>
    <row r="879" spans="1:28">
      <c r="A879" s="134"/>
      <c r="C879" s="106" t="s">
        <v>14</v>
      </c>
      <c r="D879" s="106"/>
      <c r="E879" s="116">
        <f>+G879-Adjustments!H879</f>
        <v>0</v>
      </c>
      <c r="F879" s="116">
        <f>EXPENSES!G363</f>
        <v>0</v>
      </c>
      <c r="G879" s="116">
        <f>Adjustments!AW870</f>
        <v>0</v>
      </c>
      <c r="H879" s="116"/>
      <c r="I879" s="116">
        <f>SUM(F879:H879)</f>
        <v>0</v>
      </c>
      <c r="J879" s="116"/>
      <c r="K879" s="116"/>
      <c r="L879" s="116" t="s">
        <v>14</v>
      </c>
      <c r="M879" s="116">
        <f>VLOOKUP($L879,$L$2:$N$7,2,FALSE)*I879</f>
        <v>0</v>
      </c>
      <c r="N879" s="116">
        <f>VLOOKUP($L879,$L$2:$N$7,3,FALSE)*I879</f>
        <v>0</v>
      </c>
      <c r="O879" s="272"/>
      <c r="P879" s="207" t="s">
        <v>560</v>
      </c>
      <c r="Q879" s="116">
        <f>IF(P879="G",M879,IF(P879="PT",0,ERR))</f>
        <v>0</v>
      </c>
      <c r="R879" s="116">
        <f>IF(P879="PT",M879,IF(P879="G",0,ERR))</f>
        <v>0</v>
      </c>
      <c r="S879" s="240" t="s">
        <v>560</v>
      </c>
      <c r="T879" s="116">
        <f>IF(S879="G",N879,IF(S879="PT",0,ERR))</f>
        <v>0</v>
      </c>
      <c r="U879" s="116">
        <f>IF(S879="PT",N879,IF(S879="G",0,ERR))</f>
        <v>0</v>
      </c>
      <c r="V879" s="273"/>
      <c r="W879" s="116">
        <f>HLOOKUP($W$9,'ROR-Model'!$Q$10:$U$1263,Y879)</f>
        <v>0</v>
      </c>
      <c r="X879" s="118"/>
      <c r="Y879" s="577">
        <f t="shared" si="40"/>
        <v>870</v>
      </c>
      <c r="AA879" s="116">
        <v>0</v>
      </c>
      <c r="AB879" s="116">
        <f t="shared" si="41"/>
        <v>0</v>
      </c>
    </row>
    <row r="880" spans="1:28">
      <c r="A880" s="134"/>
      <c r="C880" s="106" t="s">
        <v>24</v>
      </c>
      <c r="D880" s="106"/>
      <c r="E880" s="116">
        <f>+G880-Adjustments!H880</f>
        <v>0</v>
      </c>
      <c r="F880" s="116">
        <f>EXPENSES!G364</f>
        <v>0</v>
      </c>
      <c r="G880" s="116">
        <f>Adjustments!AW871</f>
        <v>0</v>
      </c>
      <c r="H880" s="116"/>
      <c r="I880" s="116">
        <f>SUM(F880:H880)</f>
        <v>0</v>
      </c>
      <c r="J880" s="116"/>
      <c r="K880" s="116"/>
      <c r="L880" s="116" t="s">
        <v>24</v>
      </c>
      <c r="M880" s="116">
        <f>VLOOKUP($L880,$L$2:$N$7,2,FALSE)*I880</f>
        <v>0</v>
      </c>
      <c r="N880" s="116">
        <f>VLOOKUP($L880,$L$2:$N$7,3,FALSE)*I880</f>
        <v>0</v>
      </c>
      <c r="O880" s="272"/>
      <c r="P880" s="207" t="s">
        <v>560</v>
      </c>
      <c r="Q880" s="116">
        <f>IF(P880="G",M880,IF(P880="PT",0,ERR))</f>
        <v>0</v>
      </c>
      <c r="R880" s="116">
        <f>IF(P880="PT",M880,IF(P880="G",0,ERR))</f>
        <v>0</v>
      </c>
      <c r="S880" s="240" t="s">
        <v>560</v>
      </c>
      <c r="T880" s="116">
        <f>IF(S880="G",N880,IF(S880="PT",0,ERR))</f>
        <v>0</v>
      </c>
      <c r="U880" s="116">
        <f>IF(S880="PT",N880,IF(S880="G",0,ERR))</f>
        <v>0</v>
      </c>
      <c r="V880" s="273"/>
      <c r="W880" s="116">
        <f>HLOOKUP($W$9,'ROR-Model'!$Q$10:$U$1263,Y880)</f>
        <v>0</v>
      </c>
      <c r="X880" s="118"/>
      <c r="Y880" s="577">
        <f t="shared" si="40"/>
        <v>871</v>
      </c>
      <c r="AA880" s="116">
        <v>0</v>
      </c>
      <c r="AB880" s="116">
        <f t="shared" si="41"/>
        <v>0</v>
      </c>
    </row>
    <row r="881" spans="1:28">
      <c r="A881" s="134"/>
      <c r="C881" s="106" t="s">
        <v>170</v>
      </c>
      <c r="D881" s="106"/>
      <c r="E881" s="131">
        <f>+G881-Adjustments!H881</f>
        <v>0</v>
      </c>
      <c r="F881" s="131">
        <f>SUM(F879:F880)</f>
        <v>0</v>
      </c>
      <c r="G881" s="131">
        <f>Adjustments!AW872</f>
        <v>0</v>
      </c>
      <c r="H881" s="131"/>
      <c r="I881" s="131">
        <f>SUM(I879:I880)</f>
        <v>0</v>
      </c>
      <c r="J881" s="116"/>
      <c r="K881" s="116"/>
      <c r="L881" s="131"/>
      <c r="M881" s="131">
        <f>SUM(M879:M880)</f>
        <v>0</v>
      </c>
      <c r="N881" s="131">
        <f>SUM(N879:N880)</f>
        <v>0</v>
      </c>
      <c r="O881" s="272"/>
      <c r="P881" s="257"/>
      <c r="Q881" s="131">
        <f>SUM(Q879:Q880)</f>
        <v>0</v>
      </c>
      <c r="R881" s="131">
        <f>SUM(R879:R880)</f>
        <v>0</v>
      </c>
      <c r="S881" s="257"/>
      <c r="T881" s="131">
        <f>SUM(T879:T880)</f>
        <v>0</v>
      </c>
      <c r="U881" s="131">
        <f>SUM(U879:U880)</f>
        <v>0</v>
      </c>
      <c r="V881" s="273"/>
      <c r="W881" s="131">
        <f>HLOOKUP($W$9,'ROR-Model'!$Q$10:$U$1263,Y881)</f>
        <v>0</v>
      </c>
      <c r="X881" s="118"/>
      <c r="Y881" s="577">
        <f t="shared" si="40"/>
        <v>872</v>
      </c>
      <c r="AA881" s="131">
        <v>0</v>
      </c>
      <c r="AB881" s="116">
        <f t="shared" si="41"/>
        <v>0</v>
      </c>
    </row>
    <row r="882" spans="1:28">
      <c r="A882" s="134"/>
      <c r="B882" s="106"/>
      <c r="C882" s="106"/>
      <c r="D882" s="106"/>
      <c r="E882" s="116">
        <f>+G882-Adjustments!H882</f>
        <v>0</v>
      </c>
      <c r="F882" s="116"/>
      <c r="G882" s="116"/>
      <c r="H882" s="116"/>
      <c r="I882" s="116"/>
      <c r="J882" s="116"/>
      <c r="K882" s="118"/>
      <c r="L882" s="116"/>
      <c r="M882" s="116"/>
      <c r="N882" s="118"/>
      <c r="O882" s="272"/>
      <c r="P882" s="207"/>
      <c r="Q882" s="116"/>
      <c r="R882" s="116"/>
      <c r="S882" s="240"/>
      <c r="T882" s="116"/>
      <c r="U882" s="116"/>
      <c r="V882" s="273"/>
      <c r="W882" s="116"/>
      <c r="X882" s="118"/>
      <c r="Y882" s="577">
        <f t="shared" si="40"/>
        <v>873</v>
      </c>
      <c r="AA882" s="116"/>
      <c r="AB882" s="116">
        <f t="shared" si="41"/>
        <v>0</v>
      </c>
    </row>
    <row r="883" spans="1:28">
      <c r="A883" s="134">
        <v>9302</v>
      </c>
      <c r="B883" s="106" t="s">
        <v>435</v>
      </c>
      <c r="C883" s="106"/>
      <c r="D883" s="106"/>
      <c r="E883" s="116">
        <f>+G883-Adjustments!H883</f>
        <v>0</v>
      </c>
      <c r="F883" s="116"/>
      <c r="G883" s="116"/>
      <c r="H883" s="116"/>
      <c r="I883" s="116"/>
      <c r="J883" s="116"/>
      <c r="K883" s="116"/>
      <c r="L883" s="116"/>
      <c r="M883" s="116"/>
      <c r="N883" s="116"/>
      <c r="O883" s="272"/>
      <c r="P883" s="240"/>
      <c r="Q883" s="116"/>
      <c r="R883" s="116"/>
      <c r="S883" s="240"/>
      <c r="T883" s="116"/>
      <c r="U883" s="116"/>
      <c r="V883" s="273"/>
      <c r="W883" s="116"/>
      <c r="X883" s="118"/>
      <c r="Y883" s="577">
        <f t="shared" si="40"/>
        <v>874</v>
      </c>
      <c r="AA883" s="116"/>
      <c r="AB883" s="116">
        <f t="shared" si="41"/>
        <v>0</v>
      </c>
    </row>
    <row r="884" spans="1:28">
      <c r="A884" s="134"/>
      <c r="C884" s="106" t="s">
        <v>14</v>
      </c>
      <c r="D884" s="106"/>
      <c r="E884" s="116">
        <f>+G884-Adjustments!H884</f>
        <v>39464.979117023991</v>
      </c>
      <c r="F884" s="116">
        <f>EXPENSES!G367</f>
        <v>2062151.78</v>
      </c>
      <c r="G884" s="116">
        <f>Adjustments!AW874</f>
        <v>39464.979117023991</v>
      </c>
      <c r="H884" s="116"/>
      <c r="I884" s="116">
        <f>SUM(F884:H884)</f>
        <v>2101616.759117024</v>
      </c>
      <c r="J884" s="116"/>
      <c r="K884" s="116"/>
      <c r="L884" s="116" t="s">
        <v>14</v>
      </c>
      <c r="M884" s="116">
        <f>VLOOKUP($L884,$L$2:$N$7,2,FALSE)*I884</f>
        <v>2101616.759117024</v>
      </c>
      <c r="N884" s="116">
        <f>VLOOKUP($L884,$L$2:$N$7,3,FALSE)*I884</f>
        <v>0</v>
      </c>
      <c r="O884" s="272"/>
      <c r="P884" s="207" t="s">
        <v>560</v>
      </c>
      <c r="Q884" s="116">
        <f>IF(P884="G",M884,IF(P884="PT",0,ERR))</f>
        <v>2101616.759117024</v>
      </c>
      <c r="R884" s="116">
        <f>IF(P884="PT",M884,IF(P884="G",0,ERR))</f>
        <v>0</v>
      </c>
      <c r="S884" s="240" t="s">
        <v>560</v>
      </c>
      <c r="T884" s="116">
        <f>IF(S884="G",N884,IF(S884="PT",0,ERR))</f>
        <v>0</v>
      </c>
      <c r="U884" s="116">
        <f>IF(S884="PT",N884,IF(S884="G",0,ERR))</f>
        <v>0</v>
      </c>
      <c r="V884" s="273"/>
      <c r="W884" s="116">
        <f>HLOOKUP($W$9,'ROR-Model'!$Q$10:$U$1263,Y884)</f>
        <v>2101616.759117024</v>
      </c>
      <c r="X884" s="118"/>
      <c r="Y884" s="577">
        <f t="shared" si="40"/>
        <v>875</v>
      </c>
      <c r="AA884" s="116">
        <v>9415533.7771292087</v>
      </c>
      <c r="AB884" s="116">
        <f t="shared" si="41"/>
        <v>-7313917.0180121846</v>
      </c>
    </row>
    <row r="885" spans="1:28">
      <c r="A885" s="134"/>
      <c r="C885" s="106" t="s">
        <v>24</v>
      </c>
      <c r="D885" s="106"/>
      <c r="E885" s="116">
        <f>+G885-Adjustments!H885</f>
        <v>1199.4189653499852</v>
      </c>
      <c r="F885" s="116">
        <f>EXPENSES!G368</f>
        <v>42540.13</v>
      </c>
      <c r="G885" s="116">
        <f>Adjustments!AW875</f>
        <v>1199.4189653499852</v>
      </c>
      <c r="H885" s="116"/>
      <c r="I885" s="116">
        <f>SUM(F885:H885)</f>
        <v>43739.548965349983</v>
      </c>
      <c r="J885" s="116"/>
      <c r="K885" s="116"/>
      <c r="L885" s="116" t="s">
        <v>24</v>
      </c>
      <c r="M885" s="116">
        <f>VLOOKUP($L885,$L$2:$N$7,2,FALSE)*I885</f>
        <v>0</v>
      </c>
      <c r="N885" s="116">
        <f>VLOOKUP($L885,$L$2:$N$7,3,FALSE)*I885</f>
        <v>43739.548965349983</v>
      </c>
      <c r="O885" s="272"/>
      <c r="P885" s="207" t="s">
        <v>560</v>
      </c>
      <c r="Q885" s="116">
        <f>IF(P885="G",M885,IF(P885="PT",0,ERR))</f>
        <v>0</v>
      </c>
      <c r="R885" s="116">
        <f>IF(P885="PT",M885,IF(P885="G",0,ERR))</f>
        <v>0</v>
      </c>
      <c r="S885" s="240" t="s">
        <v>560</v>
      </c>
      <c r="T885" s="116">
        <f>IF(S885="G",N885,IF(S885="PT",0,ERR))</f>
        <v>43739.548965349983</v>
      </c>
      <c r="U885" s="116">
        <f>IF(S885="PT",N885,IF(S885="G",0,ERR))</f>
        <v>0</v>
      </c>
      <c r="V885" s="273"/>
      <c r="W885" s="116">
        <f>HLOOKUP($W$9,'ROR-Model'!$Q$10:$U$1263,Y885)</f>
        <v>0</v>
      </c>
      <c r="X885" s="118"/>
      <c r="Y885" s="577">
        <f t="shared" si="40"/>
        <v>876</v>
      </c>
      <c r="AA885" s="116">
        <v>0</v>
      </c>
      <c r="AB885" s="116">
        <f t="shared" si="41"/>
        <v>0</v>
      </c>
    </row>
    <row r="886" spans="1:28">
      <c r="A886" s="134"/>
      <c r="C886" s="106" t="s">
        <v>170</v>
      </c>
      <c r="D886" s="106"/>
      <c r="E886" s="131">
        <f>+G886-Adjustments!H886</f>
        <v>40664.398082373977</v>
      </c>
      <c r="F886" s="131">
        <f>SUM(F884:F885)</f>
        <v>2104691.91</v>
      </c>
      <c r="G886" s="131">
        <f>Adjustments!AW876</f>
        <v>40664.398082373977</v>
      </c>
      <c r="H886" s="131"/>
      <c r="I886" s="131">
        <f>SUM(I884:I885)</f>
        <v>2145356.3080823738</v>
      </c>
      <c r="J886" s="116"/>
      <c r="K886" s="116"/>
      <c r="L886" s="131"/>
      <c r="M886" s="131">
        <f>SUM(M884:M885)</f>
        <v>2101616.759117024</v>
      </c>
      <c r="N886" s="131">
        <f>SUM(N884:N885)</f>
        <v>43739.548965349983</v>
      </c>
      <c r="O886" s="272"/>
      <c r="P886" s="257"/>
      <c r="Q886" s="131">
        <f>SUM(Q884:Q885)</f>
        <v>2101616.759117024</v>
      </c>
      <c r="R886" s="131">
        <f>SUM(R884:R885)</f>
        <v>0</v>
      </c>
      <c r="S886" s="257"/>
      <c r="T886" s="131">
        <f>SUM(T884:T885)</f>
        <v>43739.548965349983</v>
      </c>
      <c r="U886" s="131">
        <f>SUM(U884:U885)</f>
        <v>0</v>
      </c>
      <c r="V886" s="273"/>
      <c r="W886" s="131">
        <f>HLOOKUP($W$9,'ROR-Model'!$Q$10:$U$1263,Y886)</f>
        <v>2101616.759117024</v>
      </c>
      <c r="X886" s="118"/>
      <c r="Y886" s="577">
        <f t="shared" si="40"/>
        <v>877</v>
      </c>
      <c r="AA886" s="131">
        <v>9415533.7771292087</v>
      </c>
      <c r="AB886" s="116">
        <f t="shared" si="41"/>
        <v>-7313917.0180121846</v>
      </c>
    </row>
    <row r="887" spans="1:28">
      <c r="A887" s="134"/>
      <c r="B887" s="106"/>
      <c r="C887" s="106"/>
      <c r="D887" s="106"/>
      <c r="E887" s="116">
        <f>+G887-Adjustments!H887</f>
        <v>0</v>
      </c>
      <c r="F887" s="116"/>
      <c r="G887" s="116"/>
      <c r="H887" s="116"/>
      <c r="I887" s="116"/>
      <c r="J887" s="116"/>
      <c r="K887" s="118"/>
      <c r="L887" s="116"/>
      <c r="M887" s="116"/>
      <c r="N887" s="118"/>
      <c r="O887" s="272"/>
      <c r="P887" s="207"/>
      <c r="Q887" s="116"/>
      <c r="R887" s="116"/>
      <c r="S887" s="240"/>
      <c r="T887" s="116"/>
      <c r="U887" s="116"/>
      <c r="V887" s="273"/>
      <c r="W887" s="116"/>
      <c r="X887" s="118"/>
      <c r="Y887" s="577">
        <f t="shared" si="40"/>
        <v>878</v>
      </c>
      <c r="AA887" s="116"/>
      <c r="AB887" s="116">
        <f t="shared" si="41"/>
        <v>0</v>
      </c>
    </row>
    <row r="888" spans="1:28">
      <c r="A888" s="134">
        <v>931</v>
      </c>
      <c r="B888" s="106" t="s">
        <v>385</v>
      </c>
      <c r="C888" s="106"/>
      <c r="D888" s="106"/>
      <c r="E888" s="116">
        <f>+G888-Adjustments!H888</f>
        <v>0</v>
      </c>
      <c r="F888" s="116"/>
      <c r="G888" s="116"/>
      <c r="H888" s="116"/>
      <c r="I888" s="116"/>
      <c r="J888" s="116"/>
      <c r="K888" s="116"/>
      <c r="L888" s="116"/>
      <c r="M888" s="116"/>
      <c r="N888" s="116"/>
      <c r="O888" s="272"/>
      <c r="P888" s="240"/>
      <c r="Q888" s="116"/>
      <c r="R888" s="116"/>
      <c r="S888" s="240"/>
      <c r="T888" s="116"/>
      <c r="U888" s="116"/>
      <c r="V888" s="273"/>
      <c r="W888" s="116"/>
      <c r="X888" s="118"/>
      <c r="Y888" s="577">
        <f t="shared" si="40"/>
        <v>879</v>
      </c>
      <c r="AA888" s="116"/>
      <c r="AB888" s="116">
        <f t="shared" si="41"/>
        <v>0</v>
      </c>
    </row>
    <row r="889" spans="1:28">
      <c r="A889" s="134"/>
      <c r="C889" s="106" t="s">
        <v>14</v>
      </c>
      <c r="D889" s="106"/>
      <c r="E889" s="116">
        <f>+G889-Adjustments!H889</f>
        <v>22225.11953280028</v>
      </c>
      <c r="F889" s="116">
        <f>EXPENSES!G371</f>
        <v>849584.07999999984</v>
      </c>
      <c r="G889" s="116">
        <f>Adjustments!AW878</f>
        <v>22225.11953280028</v>
      </c>
      <c r="H889" s="116"/>
      <c r="I889" s="116">
        <f>SUM(F889:H889)</f>
        <v>871809.19953280012</v>
      </c>
      <c r="J889" s="116"/>
      <c r="K889" s="116"/>
      <c r="L889" s="116" t="s">
        <v>14</v>
      </c>
      <c r="M889" s="116">
        <f>VLOOKUP($L889,$L$2:$N$7,2,FALSE)*I889</f>
        <v>871809.19953280012</v>
      </c>
      <c r="N889" s="116">
        <f>VLOOKUP($L889,$L$2:$N$7,3,FALSE)*I889</f>
        <v>0</v>
      </c>
      <c r="O889" s="272"/>
      <c r="P889" s="207" t="s">
        <v>560</v>
      </c>
      <c r="Q889" s="116">
        <f>IF(P889="G",M889,IF(P889="PT",0,ERR))</f>
        <v>871809.19953280012</v>
      </c>
      <c r="R889" s="116">
        <f>IF(P889="PT",M889,IF(P889="G",0,ERR))</f>
        <v>0</v>
      </c>
      <c r="S889" s="240" t="s">
        <v>560</v>
      </c>
      <c r="T889" s="116">
        <f>IF(S889="G",N889,IF(S889="PT",0,ERR))</f>
        <v>0</v>
      </c>
      <c r="U889" s="116">
        <f>IF(S889="PT",N889,IF(S889="G",0,ERR))</f>
        <v>0</v>
      </c>
      <c r="V889" s="273"/>
      <c r="W889" s="116">
        <f>HLOOKUP($W$9,'ROR-Model'!$Q$10:$U$1263,Y889)</f>
        <v>871809.19953280012</v>
      </c>
      <c r="X889" s="118"/>
      <c r="Y889" s="577">
        <f t="shared" si="40"/>
        <v>880</v>
      </c>
      <c r="AA889" s="116">
        <v>849584.07999999984</v>
      </c>
      <c r="AB889" s="116">
        <f t="shared" si="41"/>
        <v>22225.11953280028</v>
      </c>
    </row>
    <row r="890" spans="1:28">
      <c r="A890" s="134"/>
      <c r="C890" s="106" t="s">
        <v>24</v>
      </c>
      <c r="D890" s="106"/>
      <c r="E890" s="116">
        <f>+G890-Adjustments!H890</f>
        <v>727.31287679999878</v>
      </c>
      <c r="F890" s="116">
        <f>EXPENSES!G372</f>
        <v>27802.480000000003</v>
      </c>
      <c r="G890" s="116">
        <f>Adjustments!AW879</f>
        <v>727.31287679999878</v>
      </c>
      <c r="H890" s="116"/>
      <c r="I890" s="116">
        <f>SUM(F890:H890)</f>
        <v>28529.792876800002</v>
      </c>
      <c r="J890" s="116"/>
      <c r="K890" s="116"/>
      <c r="L890" s="116" t="s">
        <v>24</v>
      </c>
      <c r="M890" s="116">
        <f>VLOOKUP($L890,$L$2:$N$7,2,FALSE)*I890</f>
        <v>0</v>
      </c>
      <c r="N890" s="116">
        <f>VLOOKUP($L890,$L$2:$N$7,3,FALSE)*I890</f>
        <v>28529.792876800002</v>
      </c>
      <c r="O890" s="272"/>
      <c r="P890" s="207" t="s">
        <v>560</v>
      </c>
      <c r="Q890" s="116">
        <f>IF(P890="G",M890,IF(P890="PT",0,ERR))</f>
        <v>0</v>
      </c>
      <c r="R890" s="116">
        <f>IF(P890="PT",M890,IF(P890="G",0,ERR))</f>
        <v>0</v>
      </c>
      <c r="S890" s="240" t="s">
        <v>560</v>
      </c>
      <c r="T890" s="116">
        <f>IF(S890="G",N890,IF(S890="PT",0,ERR))</f>
        <v>28529.792876800002</v>
      </c>
      <c r="U890" s="116">
        <f>IF(S890="PT",N890,IF(S890="G",0,ERR))</f>
        <v>0</v>
      </c>
      <c r="V890" s="273"/>
      <c r="W890" s="116">
        <f>HLOOKUP($W$9,'ROR-Model'!$Q$10:$U$1263,Y890)</f>
        <v>0</v>
      </c>
      <c r="X890" s="118"/>
      <c r="Y890" s="577">
        <f t="shared" si="40"/>
        <v>881</v>
      </c>
      <c r="AA890" s="116">
        <v>0</v>
      </c>
      <c r="AB890" s="116">
        <f t="shared" si="41"/>
        <v>0</v>
      </c>
    </row>
    <row r="891" spans="1:28">
      <c r="A891" s="134"/>
      <c r="C891" s="106" t="s">
        <v>170</v>
      </c>
      <c r="D891" s="106"/>
      <c r="E891" s="131">
        <f>+G891-Adjustments!H891</f>
        <v>22952.432409600278</v>
      </c>
      <c r="F891" s="131">
        <f>SUM(F889:F890)</f>
        <v>877386.55999999982</v>
      </c>
      <c r="G891" s="131">
        <f>Adjustments!AW880</f>
        <v>22952.432409600278</v>
      </c>
      <c r="H891" s="131"/>
      <c r="I891" s="131">
        <f>SUM(I889:I890)</f>
        <v>900338.99240960018</v>
      </c>
      <c r="J891" s="116"/>
      <c r="K891" s="116"/>
      <c r="L891" s="131"/>
      <c r="M891" s="131">
        <f>SUM(M889:M890)</f>
        <v>871809.19953280012</v>
      </c>
      <c r="N891" s="131">
        <f>SUM(N889:N890)</f>
        <v>28529.792876800002</v>
      </c>
      <c r="O891" s="272"/>
      <c r="P891" s="257"/>
      <c r="Q891" s="131">
        <f>SUM(Q889:Q890)</f>
        <v>871809.19953280012</v>
      </c>
      <c r="R891" s="131">
        <f>SUM(R889:R890)</f>
        <v>0</v>
      </c>
      <c r="S891" s="257"/>
      <c r="T891" s="131">
        <f>SUM(T889:T890)</f>
        <v>28529.792876800002</v>
      </c>
      <c r="U891" s="131">
        <f>SUM(U889:U890)</f>
        <v>0</v>
      </c>
      <c r="V891" s="273"/>
      <c r="W891" s="131">
        <f>HLOOKUP($W$9,'ROR-Model'!$Q$10:$U$1263,Y891)</f>
        <v>871809.19953280012</v>
      </c>
      <c r="X891" s="118"/>
      <c r="Y891" s="577">
        <f t="shared" si="40"/>
        <v>882</v>
      </c>
      <c r="AA891" s="131">
        <v>849584.07999999984</v>
      </c>
      <c r="AB891" s="116">
        <f t="shared" si="41"/>
        <v>22225.11953280028</v>
      </c>
    </row>
    <row r="892" spans="1:28">
      <c r="A892" s="134"/>
      <c r="B892" s="106"/>
      <c r="C892" s="106"/>
      <c r="D892" s="106"/>
      <c r="E892" s="116">
        <f>+G892-Adjustments!H892</f>
        <v>0</v>
      </c>
      <c r="F892" s="116"/>
      <c r="G892" s="116"/>
      <c r="H892" s="116"/>
      <c r="I892" s="116"/>
      <c r="J892" s="116"/>
      <c r="K892" s="118"/>
      <c r="L892" s="116"/>
      <c r="M892" s="116"/>
      <c r="N892" s="118"/>
      <c r="O892" s="272"/>
      <c r="P892" s="207"/>
      <c r="Q892" s="116"/>
      <c r="R892" s="116"/>
      <c r="S892" s="240"/>
      <c r="T892" s="116"/>
      <c r="U892" s="116"/>
      <c r="V892" s="273"/>
      <c r="W892" s="116"/>
      <c r="X892" s="118"/>
      <c r="Y892" s="577">
        <f t="shared" si="40"/>
        <v>883</v>
      </c>
      <c r="AA892" s="116"/>
      <c r="AB892" s="116">
        <f t="shared" si="41"/>
        <v>0</v>
      </c>
    </row>
    <row r="893" spans="1:28">
      <c r="A893" s="134" t="s">
        <v>828</v>
      </c>
      <c r="B893" s="106" t="s">
        <v>436</v>
      </c>
      <c r="C893" s="106"/>
      <c r="D893" s="106"/>
      <c r="E893" s="116">
        <f>+G893-Adjustments!H893</f>
        <v>0</v>
      </c>
      <c r="F893" s="116"/>
      <c r="G893" s="116"/>
      <c r="H893" s="116"/>
      <c r="I893" s="116"/>
      <c r="J893" s="116"/>
      <c r="K893" s="116"/>
      <c r="L893" s="116"/>
      <c r="M893" s="116"/>
      <c r="N893" s="116"/>
      <c r="O893" s="272"/>
      <c r="P893" s="240"/>
      <c r="Q893" s="116"/>
      <c r="R893" s="116"/>
      <c r="S893" s="240"/>
      <c r="T893" s="116"/>
      <c r="U893" s="116"/>
      <c r="V893" s="273"/>
      <c r="W893" s="116"/>
      <c r="X893" s="118"/>
      <c r="Y893" s="577">
        <f t="shared" si="40"/>
        <v>884</v>
      </c>
      <c r="AA893" s="116"/>
      <c r="AB893" s="116">
        <f t="shared" si="41"/>
        <v>0</v>
      </c>
    </row>
    <row r="894" spans="1:28">
      <c r="A894" s="134"/>
      <c r="C894" s="106" t="s">
        <v>14</v>
      </c>
      <c r="D894" s="106"/>
      <c r="E894" s="116">
        <f>+G894-Adjustments!H894</f>
        <v>0</v>
      </c>
      <c r="F894" s="116">
        <f>EXPENSES!G375</f>
        <v>0</v>
      </c>
      <c r="G894" s="116">
        <f>Adjustments!AW882</f>
        <v>0</v>
      </c>
      <c r="H894" s="116"/>
      <c r="I894" s="116">
        <f>SUM(F894:H894)</f>
        <v>0</v>
      </c>
      <c r="J894" s="116"/>
      <c r="K894" s="116"/>
      <c r="L894" s="116" t="s">
        <v>14</v>
      </c>
      <c r="M894" s="116">
        <f>VLOOKUP($L894,$L$2:$N$7,2,FALSE)*I894</f>
        <v>0</v>
      </c>
      <c r="N894" s="116">
        <f>VLOOKUP($L894,$L$2:$N$7,3,FALSE)*I894</f>
        <v>0</v>
      </c>
      <c r="O894" s="272"/>
      <c r="P894" s="207" t="s">
        <v>560</v>
      </c>
      <c r="Q894" s="116">
        <f>IF(P894="G",M894,IF(P894="PT",0,ERR))</f>
        <v>0</v>
      </c>
      <c r="R894" s="116">
        <f>IF(P894="PT",M894,IF(P894="G",0,ERR))</f>
        <v>0</v>
      </c>
      <c r="S894" s="240" t="s">
        <v>560</v>
      </c>
      <c r="T894" s="116">
        <f>IF(S894="G",N894,IF(S894="PT",0,ERR))</f>
        <v>0</v>
      </c>
      <c r="U894" s="116">
        <f>IF(S894="PT",N894,IF(S894="G",0,ERR))</f>
        <v>0</v>
      </c>
      <c r="V894" s="273"/>
      <c r="W894" s="116">
        <f>HLOOKUP($W$9,'ROR-Model'!$Q$10:$U$1263,Y894)</f>
        <v>0</v>
      </c>
      <c r="X894" s="118"/>
      <c r="Y894" s="577">
        <f t="shared" si="40"/>
        <v>885</v>
      </c>
      <c r="AA894" s="116">
        <v>0</v>
      </c>
      <c r="AB894" s="116">
        <f t="shared" si="41"/>
        <v>0</v>
      </c>
    </row>
    <row r="895" spans="1:28">
      <c r="A895" s="134"/>
      <c r="C895" s="106" t="s">
        <v>24</v>
      </c>
      <c r="D895" s="106"/>
      <c r="E895" s="116">
        <f>+G895-Adjustments!H895</f>
        <v>0</v>
      </c>
      <c r="F895" s="116">
        <f>EXPENSES!G376</f>
        <v>0</v>
      </c>
      <c r="G895" s="116">
        <f>Adjustments!AW883</f>
        <v>0</v>
      </c>
      <c r="H895" s="116"/>
      <c r="I895" s="116">
        <f>SUM(F895:H895)</f>
        <v>0</v>
      </c>
      <c r="J895" s="116"/>
      <c r="K895" s="116"/>
      <c r="L895" s="116" t="s">
        <v>24</v>
      </c>
      <c r="M895" s="116">
        <f>VLOOKUP($L895,$L$2:$N$7,2,FALSE)*I895</f>
        <v>0</v>
      </c>
      <c r="N895" s="116">
        <f>VLOOKUP($L895,$L$2:$N$7,3,FALSE)*I895</f>
        <v>0</v>
      </c>
      <c r="O895" s="272"/>
      <c r="P895" s="207" t="s">
        <v>560</v>
      </c>
      <c r="Q895" s="116">
        <f>IF(P895="G",M895,IF(P895="PT",0,ERR))</f>
        <v>0</v>
      </c>
      <c r="R895" s="116">
        <f>IF(P895="PT",M895,IF(P895="G",0,ERR))</f>
        <v>0</v>
      </c>
      <c r="S895" s="240" t="s">
        <v>560</v>
      </c>
      <c r="T895" s="116">
        <f>IF(S895="G",N895,IF(S895="PT",0,ERR))</f>
        <v>0</v>
      </c>
      <c r="U895" s="116">
        <f>IF(S895="PT",N895,IF(S895="G",0,ERR))</f>
        <v>0</v>
      </c>
      <c r="V895" s="273"/>
      <c r="W895" s="116">
        <f>HLOOKUP($W$9,'ROR-Model'!$Q$10:$U$1263,Y895)</f>
        <v>0</v>
      </c>
      <c r="X895" s="118"/>
      <c r="Y895" s="577">
        <f t="shared" si="40"/>
        <v>886</v>
      </c>
      <c r="AA895" s="116">
        <v>0</v>
      </c>
      <c r="AB895" s="116">
        <f t="shared" si="41"/>
        <v>0</v>
      </c>
    </row>
    <row r="896" spans="1:28">
      <c r="A896" s="134"/>
      <c r="C896" s="106" t="s">
        <v>170</v>
      </c>
      <c r="D896" s="106"/>
      <c r="E896" s="131">
        <f>+G896-Adjustments!H896</f>
        <v>0</v>
      </c>
      <c r="F896" s="131">
        <f>SUM(F894:F895)</f>
        <v>0</v>
      </c>
      <c r="G896" s="131">
        <f>Adjustments!AW884</f>
        <v>0</v>
      </c>
      <c r="H896" s="131"/>
      <c r="I896" s="131">
        <f>SUM(I894:I895)</f>
        <v>0</v>
      </c>
      <c r="J896" s="116"/>
      <c r="K896" s="116"/>
      <c r="L896" s="131"/>
      <c r="M896" s="131">
        <f>SUM(M894:M895)</f>
        <v>0</v>
      </c>
      <c r="N896" s="131">
        <f>SUM(N894:N895)</f>
        <v>0</v>
      </c>
      <c r="O896" s="272"/>
      <c r="P896" s="257"/>
      <c r="Q896" s="131">
        <f>SUM(Q894:Q895)</f>
        <v>0</v>
      </c>
      <c r="R896" s="131">
        <f>SUM(R894:R895)</f>
        <v>0</v>
      </c>
      <c r="S896" s="257"/>
      <c r="T896" s="131">
        <f>SUM(T894:T895)</f>
        <v>0</v>
      </c>
      <c r="U896" s="131">
        <f>SUM(U894:U895)</f>
        <v>0</v>
      </c>
      <c r="V896" s="273"/>
      <c r="W896" s="131">
        <f>HLOOKUP($W$9,'ROR-Model'!$Q$10:$U$1263,Y896)</f>
        <v>0</v>
      </c>
      <c r="X896" s="118"/>
      <c r="Y896" s="577">
        <f t="shared" si="40"/>
        <v>887</v>
      </c>
      <c r="AA896" s="131">
        <v>0</v>
      </c>
      <c r="AB896" s="116">
        <f t="shared" si="41"/>
        <v>0</v>
      </c>
    </row>
    <row r="897" spans="1:28" ht="13.5" thickBot="1">
      <c r="A897" s="330"/>
      <c r="B897" s="106"/>
      <c r="C897" s="106"/>
      <c r="D897" s="106"/>
      <c r="E897" s="116">
        <f>+G897-Adjustments!H897</f>
        <v>0</v>
      </c>
      <c r="F897" s="116"/>
      <c r="G897" s="116"/>
      <c r="H897" s="116"/>
      <c r="I897" s="116"/>
      <c r="J897" s="116"/>
      <c r="K897" s="731"/>
      <c r="L897" s="236"/>
      <c r="M897" s="236"/>
      <c r="N897" s="731"/>
      <c r="O897" s="272"/>
      <c r="P897" s="236"/>
      <c r="Q897" s="236"/>
      <c r="R897" s="236"/>
      <c r="S897" s="731"/>
      <c r="T897" s="236"/>
      <c r="U897" s="236"/>
      <c r="V897" s="273"/>
      <c r="W897" s="236"/>
      <c r="X897" s="118"/>
      <c r="Y897" s="577">
        <f t="shared" si="40"/>
        <v>888</v>
      </c>
      <c r="AA897" s="236"/>
      <c r="AB897" s="116">
        <f t="shared" si="41"/>
        <v>0</v>
      </c>
    </row>
    <row r="898" spans="1:28">
      <c r="A898" s="61" t="s">
        <v>437</v>
      </c>
      <c r="B898" s="194"/>
      <c r="C898" s="106"/>
      <c r="D898" s="106"/>
      <c r="E898" s="137">
        <f>+G898-Adjustments!H898</f>
        <v>0</v>
      </c>
      <c r="F898" s="137"/>
      <c r="G898" s="137"/>
      <c r="H898" s="137"/>
      <c r="I898" s="137"/>
      <c r="J898" s="116"/>
      <c r="K898" s="116"/>
      <c r="L898" s="116"/>
      <c r="M898" s="116"/>
      <c r="N898" s="116"/>
      <c r="O898" s="272"/>
      <c r="P898" s="116"/>
      <c r="Q898" s="116"/>
      <c r="R898" s="116"/>
      <c r="S898" s="240"/>
      <c r="T898" s="116"/>
      <c r="U898" s="116"/>
      <c r="V898" s="273"/>
      <c r="W898" s="116"/>
      <c r="X898" s="118"/>
      <c r="Y898" s="577">
        <f t="shared" si="40"/>
        <v>889</v>
      </c>
      <c r="AA898" s="116"/>
      <c r="AB898" s="116">
        <f t="shared" si="41"/>
        <v>0</v>
      </c>
    </row>
    <row r="899" spans="1:28">
      <c r="A899" s="330"/>
      <c r="B899" s="231" t="s">
        <v>332</v>
      </c>
      <c r="C899" s="106"/>
      <c r="D899" s="106"/>
      <c r="E899" s="116">
        <f ca="1">+G899-Adjustments!H899</f>
        <v>12303902.841938892</v>
      </c>
      <c r="F899" s="116">
        <f>F894+F889+F884+F879+F874+F869+F864+F859+F854+F849+F844+F839</f>
        <v>38005870.859999999</v>
      </c>
      <c r="G899" s="116">
        <f ca="1">G894+G889+G884+G879+G874+G869+G864+G859+G854+G849+G844+G839</f>
        <v>12303902.841938892</v>
      </c>
      <c r="H899" s="116">
        <f t="shared" ref="G899:I900" si="42">H894+H889+H884+H879+H874+H869+H864+H859+H854+H849+H844+H839</f>
        <v>0</v>
      </c>
      <c r="I899" s="116">
        <f t="shared" ca="1" si="42"/>
        <v>50309773.70193889</v>
      </c>
      <c r="J899" s="116"/>
      <c r="K899" s="116"/>
      <c r="L899" s="116"/>
      <c r="M899" s="116">
        <f ca="1">M894+M889+M884+M879+M874+M869+M864+M859+M854+M849+M844+M839</f>
        <v>50309773.70193889</v>
      </c>
      <c r="N899" s="116">
        <f ca="1">N894+N889+N884+N879+N874+N869+N864+N859+N854+N849+N844+N839</f>
        <v>0</v>
      </c>
      <c r="O899" s="272"/>
      <c r="P899" s="116"/>
      <c r="Q899" s="116">
        <f ca="1">Q894+Q889+Q884+Q879+Q874+Q869+Q864+Q859+Q854+Q849+Q844+Q839</f>
        <v>50309773.70193889</v>
      </c>
      <c r="R899" s="116">
        <f>R894+R889+R884+R879+R874+R869+R864+R859+R854+R849+R844+R839</f>
        <v>0</v>
      </c>
      <c r="S899" s="240"/>
      <c r="T899" s="116">
        <f ca="1">T894+T889+T884+T879+T874+T869+T864+T859+T854+T849+T844+T839</f>
        <v>0</v>
      </c>
      <c r="U899" s="116">
        <f>U894+U889+U884+U879+U874+U869+U864+U859+U854+U849+U844+U839</f>
        <v>0</v>
      </c>
      <c r="V899" s="273"/>
      <c r="W899" s="116">
        <f ca="1">W894+W889+W884+W879+W874+W869+W864+W859+W854+W849+W844+W839</f>
        <v>50309773.70193889</v>
      </c>
      <c r="X899" s="118"/>
      <c r="Y899" s="577">
        <f t="shared" si="40"/>
        <v>890</v>
      </c>
      <c r="AA899" s="116">
        <v>65781659.66267889</v>
      </c>
      <c r="AB899" s="116">
        <f t="shared" ca="1" si="41"/>
        <v>-15471885.96074</v>
      </c>
    </row>
    <row r="900" spans="1:28">
      <c r="A900" s="330"/>
      <c r="B900" s="231" t="s">
        <v>333</v>
      </c>
      <c r="C900" s="106"/>
      <c r="D900" s="106"/>
      <c r="E900" s="116">
        <f ca="1">+G900-Adjustments!H900</f>
        <v>569990.48051581846</v>
      </c>
      <c r="F900" s="116">
        <f>F895+F890+F885+F880+F875+F870+F865+F860+F855+F850+F845+F840</f>
        <v>1646962.22</v>
      </c>
      <c r="G900" s="116">
        <f t="shared" ca="1" si="42"/>
        <v>569990.48051581846</v>
      </c>
      <c r="H900" s="116">
        <f t="shared" si="42"/>
        <v>0</v>
      </c>
      <c r="I900" s="116">
        <f t="shared" ca="1" si="42"/>
        <v>2216952.7005158188</v>
      </c>
      <c r="J900" s="116"/>
      <c r="K900" s="116"/>
      <c r="L900" s="116"/>
      <c r="M900" s="116">
        <f ca="1">M895+M890+M885+M880+M875+M870+M865+M860+M855+M850+M845+M840</f>
        <v>0</v>
      </c>
      <c r="N900" s="116">
        <f ca="1">N895+N890+N885+N880+N875+N870+N865+N860+N855+N850+N845+N840</f>
        <v>2216952.7005158188</v>
      </c>
      <c r="O900" s="272"/>
      <c r="P900" s="116"/>
      <c r="Q900" s="116">
        <f ca="1">Q895+Q890+Q885+Q880+Q875+Q870+Q865+Q860+Q855+Q850+Q845+Q840</f>
        <v>0</v>
      </c>
      <c r="R900" s="116">
        <f>R895+R890+R885+R880+R875+R870+R865+R860+R855+R850+R845+R840</f>
        <v>0</v>
      </c>
      <c r="S900" s="240"/>
      <c r="T900" s="116">
        <f ca="1">T895+T890+T885+T880+T875+T870+T865+T860+T855+T850+T845+T840</f>
        <v>2216952.7005158188</v>
      </c>
      <c r="U900" s="116">
        <f>U895+U890+U885+U880+U875+U870+U865+U860+U855+U850+U845+U840</f>
        <v>0</v>
      </c>
      <c r="V900" s="273"/>
      <c r="W900" s="116">
        <f ca="1">W895+W890+W885+W880+W875+W870+W865+W860+W855+W850+W845+W840</f>
        <v>0</v>
      </c>
      <c r="X900" s="118"/>
      <c r="Y900" s="577">
        <f t="shared" si="40"/>
        <v>891</v>
      </c>
      <c r="AA900" s="116">
        <v>0</v>
      </c>
      <c r="AB900" s="116">
        <f t="shared" ca="1" si="41"/>
        <v>0</v>
      </c>
    </row>
    <row r="901" spans="1:28" ht="13.5" thickBot="1">
      <c r="A901" s="330"/>
      <c r="B901" s="106"/>
      <c r="C901" s="106"/>
      <c r="D901" s="106"/>
      <c r="E901" s="116">
        <f>+G901-Adjustments!H901</f>
        <v>0</v>
      </c>
      <c r="F901" s="116"/>
      <c r="G901" s="116"/>
      <c r="H901" s="116"/>
      <c r="I901" s="116"/>
      <c r="J901" s="116"/>
      <c r="K901" s="116"/>
      <c r="L901" s="116"/>
      <c r="M901" s="116"/>
      <c r="N901" s="116"/>
      <c r="O901" s="272"/>
      <c r="P901" s="116"/>
      <c r="Q901" s="116"/>
      <c r="R901" s="116"/>
      <c r="S901" s="240"/>
      <c r="T901" s="236"/>
      <c r="U901" s="236"/>
      <c r="V901" s="273"/>
      <c r="W901" s="236"/>
      <c r="X901" s="118"/>
      <c r="Y901" s="577">
        <f t="shared" si="40"/>
        <v>892</v>
      </c>
      <c r="AA901" s="236"/>
      <c r="AB901" s="116">
        <f t="shared" si="41"/>
        <v>0</v>
      </c>
    </row>
    <row r="902" spans="1:28">
      <c r="A902" s="330"/>
      <c r="B902" s="61" t="s">
        <v>437</v>
      </c>
      <c r="C902" s="106"/>
      <c r="D902" s="106"/>
      <c r="E902" s="137">
        <f ca="1">+G902-Adjustments!H902</f>
        <v>12873893.32245471</v>
      </c>
      <c r="F902" s="137">
        <f>IF(F896+F891+F886+F881+F876+F871+F866+F861+F856+F851+F846+F841=F899+F900,F899+F900,"ERROR")</f>
        <v>39652833.079999998</v>
      </c>
      <c r="G902" s="137">
        <f ca="1">G896+G891+G886+G881+G876+G871+G866+G861+G856+G851+G846+G841</f>
        <v>12873893.32245471</v>
      </c>
      <c r="H902" s="137">
        <f>H896+H891+H886+H881+H876+H871+H866+H861+H856+H851+H846+H841</f>
        <v>0</v>
      </c>
      <c r="I902" s="137">
        <f ca="1">I896+I891+I886+I881+I876+I871+I866+I861+I856+I851+I846+I841</f>
        <v>52526726.402454711</v>
      </c>
      <c r="J902" s="116"/>
      <c r="K902" s="137"/>
      <c r="L902" s="137">
        <f>L896+L891+L886+L881+L876+L871+L866+L861+L856+L851+L846+L841</f>
        <v>0</v>
      </c>
      <c r="M902" s="137">
        <f ca="1">M896+M891+M886+M881+M876+M871+M866+M861+M856+M851+M846+M841</f>
        <v>50309773.70193889</v>
      </c>
      <c r="N902" s="137">
        <f ca="1">N896+N891+N886+N881+N876+N871+N866+N861+N856+N851+N846+N841</f>
        <v>2216952.7005158188</v>
      </c>
      <c r="O902" s="272"/>
      <c r="P902" s="137"/>
      <c r="Q902" s="137">
        <f ca="1">Q896+Q891+Q886+Q881+Q876+Q871+Q866+Q861+Q856+Q851+Q846+Q841</f>
        <v>50309773.70193889</v>
      </c>
      <c r="R902" s="137">
        <f>R896+R891+R886+R881+R876+R871+R866+R861+R856+R851+R846+R841</f>
        <v>0</v>
      </c>
      <c r="S902" s="735"/>
      <c r="T902" s="137">
        <f ca="1">T896+T891+T886+T881+T876+T871+T866+T861+T856+T851+T846+T841</f>
        <v>2216952.7005158188</v>
      </c>
      <c r="U902" s="137">
        <f>U896+U891+U886+U881+U876+U871+U866+U861+U856+U851+U846+U841</f>
        <v>0</v>
      </c>
      <c r="V902" s="273"/>
      <c r="W902" s="137">
        <f ca="1">HLOOKUP($W$9,'ROR-Model'!$Q$10:$U$1263,Y902)</f>
        <v>50309773.70193889</v>
      </c>
      <c r="X902" s="118"/>
      <c r="Y902" s="577">
        <f t="shared" si="40"/>
        <v>893</v>
      </c>
      <c r="AA902" s="137">
        <v>65781659.66267889</v>
      </c>
      <c r="AB902" s="116">
        <f t="shared" ca="1" si="41"/>
        <v>-15471885.96074</v>
      </c>
    </row>
    <row r="903" spans="1:28" ht="13.5" thickBot="1">
      <c r="A903" s="227"/>
      <c r="B903" s="102"/>
      <c r="C903" s="102"/>
      <c r="D903" s="102"/>
      <c r="E903" s="235">
        <f>+G903-Adjustments!H903</f>
        <v>0</v>
      </c>
      <c r="F903" s="235"/>
      <c r="G903" s="235"/>
      <c r="H903" s="235"/>
      <c r="I903" s="235"/>
      <c r="J903" s="116"/>
      <c r="K903" s="116"/>
      <c r="L903" s="235"/>
      <c r="M903" s="235"/>
      <c r="N903" s="235"/>
      <c r="O903" s="272"/>
      <c r="P903" s="613"/>
      <c r="Q903" s="235"/>
      <c r="R903" s="235"/>
      <c r="S903" s="613"/>
      <c r="T903" s="235"/>
      <c r="U903" s="235"/>
      <c r="V903" s="273"/>
      <c r="W903" s="235"/>
      <c r="X903" s="118"/>
      <c r="Y903" s="577">
        <f t="shared" si="40"/>
        <v>894</v>
      </c>
      <c r="AA903" s="235"/>
      <c r="AB903" s="116">
        <f t="shared" si="41"/>
        <v>0</v>
      </c>
    </row>
    <row r="904" spans="1:28" ht="13.5" thickTop="1">
      <c r="A904" s="227"/>
      <c r="B904" s="102"/>
      <c r="C904" s="102"/>
      <c r="D904" s="102"/>
      <c r="E904" s="116">
        <f>+G904-Adjustments!H904</f>
        <v>0</v>
      </c>
      <c r="F904" s="116"/>
      <c r="G904" s="116"/>
      <c r="H904" s="116"/>
      <c r="I904" s="116"/>
      <c r="J904" s="116"/>
      <c r="K904" s="116"/>
      <c r="L904" s="116"/>
      <c r="M904" s="116"/>
      <c r="N904" s="116"/>
      <c r="O904" s="272"/>
      <c r="P904" s="240"/>
      <c r="Q904" s="116"/>
      <c r="R904" s="116"/>
      <c r="S904" s="240"/>
      <c r="T904" s="116"/>
      <c r="U904" s="116"/>
      <c r="V904" s="273"/>
      <c r="W904" s="116"/>
      <c r="X904" s="118"/>
      <c r="Y904" s="577">
        <f t="shared" si="40"/>
        <v>895</v>
      </c>
      <c r="AA904" s="116"/>
      <c r="AB904" s="116">
        <f t="shared" si="41"/>
        <v>0</v>
      </c>
    </row>
    <row r="905" spans="1:28">
      <c r="A905" s="330"/>
      <c r="B905" s="61" t="s">
        <v>653</v>
      </c>
      <c r="C905" s="106"/>
      <c r="D905" s="106"/>
      <c r="E905" s="239">
        <f ca="1">+G905-Adjustments!H905</f>
        <v>-9773319.2268548682</v>
      </c>
      <c r="F905" s="239">
        <f>F650+F753+F806+F834+F902</f>
        <v>137434097.47000003</v>
      </c>
      <c r="G905" s="116">
        <f ca="1">G650+G753+G806+G834+G902</f>
        <v>-9773319.2268548682</v>
      </c>
      <c r="H905" s="116">
        <f>H650+H753+H806+H834+H902</f>
        <v>0</v>
      </c>
      <c r="I905" s="116">
        <f ca="1">I650+I753+I806+I834+I902</f>
        <v>127660778.24314514</v>
      </c>
      <c r="J905" s="116"/>
      <c r="K905" s="116"/>
      <c r="L905" s="116"/>
      <c r="M905" s="116">
        <f ca="1">M650+M753+M806+M834+M902</f>
        <v>122030956.45700756</v>
      </c>
      <c r="N905" s="116">
        <f ca="1">N650+N753+N806+N834+N902</f>
        <v>5629821.7861375827</v>
      </c>
      <c r="O905" s="272"/>
      <c r="P905" s="116"/>
      <c r="Q905" s="116">
        <f ca="1">Q650+Q753+Q806+Q834+Q902</f>
        <v>122030956.45700756</v>
      </c>
      <c r="R905" s="116">
        <f>R650+R753+R806+R834+R902</f>
        <v>0</v>
      </c>
      <c r="S905" s="240"/>
      <c r="T905" s="116">
        <f ca="1">T650+T753+T806+T834+T902</f>
        <v>5629821.7861375827</v>
      </c>
      <c r="U905" s="116">
        <f>U650+U753+U806+U834+U902</f>
        <v>0</v>
      </c>
      <c r="V905" s="273"/>
      <c r="W905" s="116">
        <f ca="1">HLOOKUP($W$9,'ROR-Model'!$Q$10:$U$1263,Y905)</f>
        <v>122030956.45700756</v>
      </c>
      <c r="X905" s="118"/>
      <c r="Y905" s="577">
        <f t="shared" si="40"/>
        <v>896</v>
      </c>
      <c r="AA905" s="116">
        <v>138143063.53718659</v>
      </c>
      <c r="AB905" s="116">
        <f t="shared" ca="1" si="41"/>
        <v>-16112107.080179036</v>
      </c>
    </row>
    <row r="906" spans="1:28">
      <c r="A906" s="227"/>
      <c r="B906" s="102"/>
      <c r="C906" s="102"/>
      <c r="D906" s="102"/>
      <c r="E906" s="116">
        <f>+G906-Adjustments!H906</f>
        <v>0</v>
      </c>
      <c r="F906" s="116"/>
      <c r="G906" s="116"/>
      <c r="H906" s="116"/>
      <c r="I906" s="116"/>
      <c r="J906" s="116"/>
      <c r="K906" s="116"/>
      <c r="L906" s="116"/>
      <c r="M906" s="116"/>
      <c r="N906" s="116"/>
      <c r="O906" s="272"/>
      <c r="P906" s="240"/>
      <c r="Q906" s="116"/>
      <c r="R906" s="116"/>
      <c r="S906" s="240"/>
      <c r="T906" s="116"/>
      <c r="U906" s="116"/>
      <c r="V906" s="273"/>
      <c r="W906" s="116"/>
      <c r="X906" s="118"/>
      <c r="Y906" s="577">
        <f t="shared" si="40"/>
        <v>897</v>
      </c>
      <c r="AA906" s="171"/>
      <c r="AB906" s="116">
        <f t="shared" si="41"/>
        <v>0</v>
      </c>
    </row>
    <row r="907" spans="1:28">
      <c r="A907" s="227"/>
      <c r="B907" s="102"/>
      <c r="C907" s="102"/>
      <c r="D907" s="102"/>
      <c r="E907" s="116">
        <f>+G907-Adjustments!H907</f>
        <v>0</v>
      </c>
      <c r="F907" s="116"/>
      <c r="G907" s="116"/>
      <c r="H907" s="116"/>
      <c r="I907" s="116"/>
      <c r="J907" s="116"/>
      <c r="K907" s="116"/>
      <c r="L907" s="116"/>
      <c r="M907" s="116"/>
      <c r="N907" s="116"/>
      <c r="O907" s="272"/>
      <c r="P907" s="240"/>
      <c r="Q907" s="116"/>
      <c r="R907" s="116"/>
      <c r="S907" s="240"/>
      <c r="T907" s="116"/>
      <c r="U907" s="116"/>
      <c r="V907" s="273"/>
      <c r="W907" s="116"/>
      <c r="X907" s="118"/>
      <c r="Y907" s="577">
        <f t="shared" si="40"/>
        <v>898</v>
      </c>
      <c r="AA907" s="116"/>
      <c r="AB907" s="116">
        <f t="shared" si="41"/>
        <v>0</v>
      </c>
    </row>
    <row r="908" spans="1:28">
      <c r="A908" s="36" t="s">
        <v>438</v>
      </c>
      <c r="B908" s="102"/>
      <c r="C908" s="102"/>
      <c r="D908" s="102"/>
      <c r="E908" s="116">
        <f>+G908-Adjustments!H908</f>
        <v>0</v>
      </c>
      <c r="F908" s="116"/>
      <c r="G908" s="116"/>
      <c r="H908" s="116"/>
      <c r="I908" s="116"/>
      <c r="J908" s="116"/>
      <c r="K908" s="116"/>
      <c r="L908" s="116"/>
      <c r="M908" s="116"/>
      <c r="N908" s="116"/>
      <c r="O908" s="272"/>
      <c r="P908" s="240"/>
      <c r="Q908" s="116"/>
      <c r="R908" s="116"/>
      <c r="S908" s="240"/>
      <c r="T908" s="116"/>
      <c r="U908" s="116"/>
      <c r="V908" s="273"/>
      <c r="W908" s="116"/>
      <c r="X908" s="118"/>
      <c r="Y908" s="577">
        <f t="shared" si="40"/>
        <v>899</v>
      </c>
      <c r="AA908" s="116"/>
      <c r="AB908" s="116">
        <f t="shared" si="41"/>
        <v>0</v>
      </c>
    </row>
    <row r="909" spans="1:28">
      <c r="A909" s="227"/>
      <c r="B909" s="102"/>
      <c r="C909" s="102"/>
      <c r="D909" s="102"/>
      <c r="E909" s="116">
        <f>+G909-Adjustments!H909</f>
        <v>0</v>
      </c>
      <c r="F909" s="116"/>
      <c r="G909" s="116"/>
      <c r="H909" s="116"/>
      <c r="I909" s="116"/>
      <c r="J909" s="116"/>
      <c r="K909" s="116"/>
      <c r="L909" s="116"/>
      <c r="M909" s="116"/>
      <c r="N909" s="116"/>
      <c r="O909" s="272"/>
      <c r="P909" s="240"/>
      <c r="Q909" s="116"/>
      <c r="R909" s="116"/>
      <c r="S909" s="240"/>
      <c r="T909" s="116"/>
      <c r="U909" s="116"/>
      <c r="V909" s="273"/>
      <c r="W909" s="116"/>
      <c r="X909" s="118"/>
      <c r="Y909" s="577">
        <f t="shared" si="40"/>
        <v>900</v>
      </c>
      <c r="AA909" s="116"/>
      <c r="AB909" s="116">
        <f t="shared" si="41"/>
        <v>0</v>
      </c>
    </row>
    <row r="910" spans="1:28">
      <c r="A910" s="36" t="s">
        <v>439</v>
      </c>
      <c r="B910" s="102"/>
      <c r="C910" s="102"/>
      <c r="D910" s="102"/>
      <c r="E910" s="116">
        <f>+G910-Adjustments!H910</f>
        <v>0</v>
      </c>
      <c r="F910" s="116"/>
      <c r="G910" s="116"/>
      <c r="H910" s="116"/>
      <c r="I910" s="116"/>
      <c r="J910" s="116"/>
      <c r="K910" s="116"/>
      <c r="L910" s="116"/>
      <c r="M910" s="116"/>
      <c r="N910" s="116"/>
      <c r="O910" s="272"/>
      <c r="P910" s="240"/>
      <c r="Q910" s="116"/>
      <c r="R910" s="116"/>
      <c r="S910" s="240"/>
      <c r="T910" s="116"/>
      <c r="U910" s="116"/>
      <c r="V910" s="273"/>
      <c r="W910" s="116"/>
      <c r="X910" s="118"/>
      <c r="Y910" s="577">
        <f t="shared" ref="Y910:Y973" si="43">Y909+1</f>
        <v>901</v>
      </c>
      <c r="AA910" s="116"/>
      <c r="AB910" s="116">
        <f t="shared" si="41"/>
        <v>0</v>
      </c>
    </row>
    <row r="911" spans="1:28">
      <c r="A911" s="227"/>
      <c r="B911" s="102"/>
      <c r="C911" s="102"/>
      <c r="D911" s="102"/>
      <c r="E911" s="116">
        <f>+G911-Adjustments!H911</f>
        <v>0</v>
      </c>
      <c r="F911" s="116"/>
      <c r="G911" s="116"/>
      <c r="H911" s="116"/>
      <c r="I911" s="116"/>
      <c r="J911" s="116"/>
      <c r="K911" s="116"/>
      <c r="L911" s="116"/>
      <c r="M911" s="116"/>
      <c r="N911" s="116"/>
      <c r="O911" s="272"/>
      <c r="P911" s="240"/>
      <c r="Q911" s="116"/>
      <c r="R911" s="116"/>
      <c r="S911" s="240"/>
      <c r="T911" s="116"/>
      <c r="U911" s="116"/>
      <c r="V911" s="273"/>
      <c r="W911" s="116"/>
      <c r="X911" s="118"/>
      <c r="Y911" s="577">
        <f t="shared" si="43"/>
        <v>902</v>
      </c>
      <c r="AA911" s="116"/>
      <c r="AB911" s="116">
        <f t="shared" si="41"/>
        <v>0</v>
      </c>
    </row>
    <row r="912" spans="1:28">
      <c r="A912" s="136">
        <v>403</v>
      </c>
      <c r="B912" s="102" t="s">
        <v>442</v>
      </c>
      <c r="C912" s="102"/>
      <c r="D912" s="102"/>
      <c r="E912" s="116">
        <f>+G912-Adjustments!H912</f>
        <v>0</v>
      </c>
      <c r="F912" s="116"/>
      <c r="G912" s="116"/>
      <c r="H912" s="116"/>
      <c r="I912" s="116"/>
      <c r="J912" s="116"/>
      <c r="K912" s="116"/>
      <c r="L912" s="116"/>
      <c r="M912" s="116"/>
      <c r="N912" s="116"/>
      <c r="O912" s="272"/>
      <c r="P912" s="240"/>
      <c r="Q912" s="116"/>
      <c r="R912" s="116"/>
      <c r="S912" s="240"/>
      <c r="T912" s="116"/>
      <c r="U912" s="116"/>
      <c r="V912" s="273"/>
      <c r="W912" s="116"/>
      <c r="X912" s="118"/>
      <c r="Y912" s="577">
        <f t="shared" si="43"/>
        <v>903</v>
      </c>
      <c r="AA912" s="116"/>
      <c r="AB912" s="116">
        <f t="shared" si="41"/>
        <v>0</v>
      </c>
    </row>
    <row r="913" spans="1:28">
      <c r="A913" s="136"/>
      <c r="B913" s="102"/>
      <c r="C913" s="102" t="s">
        <v>443</v>
      </c>
      <c r="D913" s="102"/>
      <c r="E913" s="116">
        <f>+G913-Adjustments!H913</f>
        <v>17107.560000000172</v>
      </c>
      <c r="F913" s="116">
        <f>EXPENSES!G388</f>
        <v>649452.47999999986</v>
      </c>
      <c r="G913" s="116">
        <f>+Adjustments!AW900</f>
        <v>17107.560000000172</v>
      </c>
      <c r="H913" s="116"/>
      <c r="I913" s="116">
        <f>SUM($F$913:$H$913)</f>
        <v>666560.04</v>
      </c>
      <c r="J913" s="116"/>
      <c r="K913" s="116"/>
      <c r="L913" s="116" t="s">
        <v>693</v>
      </c>
      <c r="M913" s="116">
        <f>VLOOKUP($L913,$L$2:$N$7,2,FALSE)*I913</f>
        <v>643096.84459282912</v>
      </c>
      <c r="N913" s="116">
        <f>VLOOKUP($L913,$L$2:$N$7,3,FALSE)*I913</f>
        <v>23463.195407170828</v>
      </c>
      <c r="O913" s="272"/>
      <c r="P913" s="207" t="s">
        <v>560</v>
      </c>
      <c r="Q913" s="116">
        <f>IF(P913="G",M913,IF(P913="PT",0,ERR))</f>
        <v>643096.84459282912</v>
      </c>
      <c r="R913" s="116">
        <f>IF(P913="PT",M913,IF(P913="G",0,ERR))</f>
        <v>0</v>
      </c>
      <c r="S913" s="240" t="s">
        <v>559</v>
      </c>
      <c r="T913" s="116">
        <f>IF(S913="G",N913,IF(S913="PT",0,ERR))</f>
        <v>0</v>
      </c>
      <c r="U913" s="116">
        <f>IF(S913="PT",N913,IF(S913="G",0,ERR))</f>
        <v>23463.195407170828</v>
      </c>
      <c r="V913" s="273"/>
      <c r="W913" s="116">
        <f>HLOOKUP($W$9,'ROR-Model'!$Q$10:$U$1263,Y913)</f>
        <v>643096.84459282912</v>
      </c>
      <c r="X913" s="118"/>
      <c r="Y913" s="577">
        <f t="shared" si="43"/>
        <v>904</v>
      </c>
      <c r="AA913" s="116">
        <v>626591.47794246313</v>
      </c>
      <c r="AB913" s="116">
        <f t="shared" ref="AB913:AB976" si="44">W913-AA913</f>
        <v>16505.366650365992</v>
      </c>
    </row>
    <row r="914" spans="1:28">
      <c r="A914" s="136"/>
      <c r="B914" s="102"/>
      <c r="C914" s="102" t="s">
        <v>592</v>
      </c>
      <c r="D914" s="102"/>
      <c r="E914" s="116">
        <f ca="1">+G914-Adjustments!H914</f>
        <v>567088.32404214586</v>
      </c>
      <c r="F914" s="116">
        <f>EXPENSES!G389</f>
        <v>1756908.57</v>
      </c>
      <c r="G914" s="116">
        <f ca="1">+Adjustments!AW901</f>
        <v>567088.32404214586</v>
      </c>
      <c r="H914" s="116"/>
      <c r="I914" s="116">
        <f ca="1">SUM($F$914:$H$914)</f>
        <v>2323996.8940421459</v>
      </c>
      <c r="J914" s="116"/>
      <c r="K914" s="116"/>
      <c r="L914" s="116" t="s">
        <v>24</v>
      </c>
      <c r="M914" s="116">
        <f ca="1">VLOOKUP($L914,$L$2:$N$7,2,FALSE)*I914</f>
        <v>0</v>
      </c>
      <c r="N914" s="116">
        <f ca="1">VLOOKUP($L914,$L$2:$N$7,3,FALSE)*I914</f>
        <v>2323996.8940421459</v>
      </c>
      <c r="O914" s="272"/>
      <c r="P914" s="207" t="s">
        <v>560</v>
      </c>
      <c r="Q914" s="116">
        <f ca="1">IF(P914="G",M914,IF(P914="PT",0,ERR))</f>
        <v>0</v>
      </c>
      <c r="R914" s="116">
        <f>IF(P914="PT",M914,IF(P914="G",0,ERR))</f>
        <v>0</v>
      </c>
      <c r="S914" s="240" t="s">
        <v>560</v>
      </c>
      <c r="T914" s="116">
        <f ca="1">IF(S914="G",N914,IF(S914="PT",0,ERR))</f>
        <v>2323996.8940421459</v>
      </c>
      <c r="U914" s="116">
        <f>IF(S914="PT",N914,IF(S914="G",0,ERR))</f>
        <v>0</v>
      </c>
      <c r="V914" s="273"/>
      <c r="W914" s="116">
        <f ca="1">HLOOKUP($W$9,'ROR-Model'!$Q$10:$U$1263,Y914)</f>
        <v>0</v>
      </c>
      <c r="X914" s="118"/>
      <c r="Y914" s="577">
        <f t="shared" si="43"/>
        <v>905</v>
      </c>
      <c r="AA914" s="116">
        <v>0</v>
      </c>
      <c r="AB914" s="116">
        <f t="shared" ca="1" si="44"/>
        <v>0</v>
      </c>
    </row>
    <row r="915" spans="1:28">
      <c r="A915" s="136"/>
      <c r="B915" s="102"/>
      <c r="C915" s="102" t="s">
        <v>593</v>
      </c>
      <c r="D915" s="102"/>
      <c r="E915" s="116">
        <f ca="1">+G915-Adjustments!H915</f>
        <v>8970530.4332548156</v>
      </c>
      <c r="F915" s="116">
        <f>EXPENSES!G390</f>
        <v>55992912.410000004</v>
      </c>
      <c r="G915" s="116">
        <f ca="1">+Adjustments!AW902</f>
        <v>8970530.4332548156</v>
      </c>
      <c r="H915" s="116"/>
      <c r="I915" s="116">
        <f ca="1">SUM($F$915:$H$915)</f>
        <v>64963442.84325482</v>
      </c>
      <c r="J915" s="116"/>
      <c r="K915" s="116"/>
      <c r="L915" s="116" t="s">
        <v>14</v>
      </c>
      <c r="M915" s="116">
        <f ca="1">VLOOKUP($L915,$L$2:$N$7,2,FALSE)*I915</f>
        <v>64963442.84325482</v>
      </c>
      <c r="N915" s="116">
        <f ca="1">VLOOKUP($L915,$L$2:$N$7,3,FALSE)*I915</f>
        <v>0</v>
      </c>
      <c r="O915" s="272"/>
      <c r="P915" s="207" t="s">
        <v>560</v>
      </c>
      <c r="Q915" s="116">
        <f ca="1">IF(P915="G",M915,IF(P915="PT",0,ERR))</f>
        <v>64963442.84325482</v>
      </c>
      <c r="R915" s="116">
        <f>IF(P915="PT",M915,IF(P915="G",0,ERR))</f>
        <v>0</v>
      </c>
      <c r="S915" s="240" t="s">
        <v>560</v>
      </c>
      <c r="T915" s="116">
        <f ca="1">IF(S915="G",N915,IF(S915="PT",0,ERR))</f>
        <v>0</v>
      </c>
      <c r="U915" s="116">
        <f>IF(S915="PT",N915,IF(S915="G",0,ERR))</f>
        <v>0</v>
      </c>
      <c r="V915" s="273"/>
      <c r="W915" s="116">
        <f ca="1">HLOOKUP($W$9,'ROR-Model'!$Q$10:$U$1263,Y915)</f>
        <v>64963442.84325482</v>
      </c>
      <c r="X915" s="118"/>
      <c r="Y915" s="577">
        <f t="shared" si="43"/>
        <v>906</v>
      </c>
      <c r="AA915" s="116">
        <v>55992912.410000004</v>
      </c>
      <c r="AB915" s="116">
        <f t="shared" ca="1" si="44"/>
        <v>8970530.4332548156</v>
      </c>
    </row>
    <row r="916" spans="1:28">
      <c r="A916" s="136"/>
      <c r="B916" s="102"/>
      <c r="C916" s="102" t="s">
        <v>595</v>
      </c>
      <c r="D916" s="102"/>
      <c r="E916" s="116">
        <f ca="1">+G916-Adjustments!H916</f>
        <v>-1938347.3226657053</v>
      </c>
      <c r="F916" s="116">
        <f>EXPENSES!G391</f>
        <v>8318552.7500000047</v>
      </c>
      <c r="G916" s="116">
        <f ca="1">+Adjustments!AW903</f>
        <v>-1938347.3226657053</v>
      </c>
      <c r="H916" s="116"/>
      <c r="I916" s="116">
        <f ca="1">SUM($F$916:$H$916)</f>
        <v>6380205.4273342993</v>
      </c>
      <c r="J916" s="116"/>
      <c r="K916" s="116"/>
      <c r="L916" s="116" t="s">
        <v>473</v>
      </c>
      <c r="M916" s="116">
        <f ca="1">VLOOKUP($L916,$L$2:$N$7,2,FALSE)*I916</f>
        <v>6173003.6707703564</v>
      </c>
      <c r="N916" s="116">
        <f ca="1">VLOOKUP($L916,$L$2:$N$7,3,FALSE)*I916</f>
        <v>207201.75656394212</v>
      </c>
      <c r="O916" s="272"/>
      <c r="P916" s="207" t="s">
        <v>560</v>
      </c>
      <c r="Q916" s="116">
        <f ca="1">IF(P916="G",M916,IF(P916="PT",0,ERR))</f>
        <v>6173003.6707703564</v>
      </c>
      <c r="R916" s="116">
        <f>IF(P916="PT",M916,IF(P916="G",0,ERR))</f>
        <v>0</v>
      </c>
      <c r="S916" s="240" t="s">
        <v>560</v>
      </c>
      <c r="T916" s="116">
        <f ca="1">IF(S916="G",N916,IF(S916="PT",0,ERR))</f>
        <v>207201.75656394212</v>
      </c>
      <c r="U916" s="116">
        <f>IF(S916="PT",N916,IF(S916="G",0,ERR))</f>
        <v>0</v>
      </c>
      <c r="V916" s="273"/>
      <c r="W916" s="116">
        <f ca="1">HLOOKUP($W$9,'ROR-Model'!$Q$10:$U$1263,Y916)</f>
        <v>6173003.6707703564</v>
      </c>
      <c r="X916" s="118"/>
      <c r="Y916" s="577">
        <f t="shared" si="43"/>
        <v>907</v>
      </c>
      <c r="AA916" s="116">
        <v>8047212.8135021301</v>
      </c>
      <c r="AB916" s="116">
        <f t="shared" ca="1" si="44"/>
        <v>-1874209.1427317737</v>
      </c>
    </row>
    <row r="917" spans="1:28">
      <c r="A917" s="136"/>
      <c r="B917" s="102"/>
      <c r="C917" s="102" t="s">
        <v>596</v>
      </c>
      <c r="D917" s="102"/>
      <c r="E917" s="131">
        <f ca="1">+G917-Adjustments!H917</f>
        <v>7616378.994631256</v>
      </c>
      <c r="F917" s="131">
        <f>SUM(F913:F916)</f>
        <v>66717826.210000008</v>
      </c>
      <c r="G917" s="131">
        <f ca="1">SUM(G913:G916)</f>
        <v>7616378.994631256</v>
      </c>
      <c r="H917" s="131">
        <f>SUM(H913:H916)</f>
        <v>0</v>
      </c>
      <c r="I917" s="131">
        <f ca="1">SUM(I913:I916)</f>
        <v>74334205.204631254</v>
      </c>
      <c r="J917" s="116"/>
      <c r="K917" s="116"/>
      <c r="L917" s="131"/>
      <c r="M917" s="131">
        <f ca="1">SUM(M913:M916)</f>
        <v>71779543.358618006</v>
      </c>
      <c r="N917" s="131">
        <f ca="1">SUM(N913:N916)</f>
        <v>2554661.8460132587</v>
      </c>
      <c r="O917" s="272"/>
      <c r="P917" s="257"/>
      <c r="Q917" s="131">
        <f ca="1">SUM(Q913:Q916)</f>
        <v>71779543.358618006</v>
      </c>
      <c r="R917" s="131">
        <f>SUM(R913:R916)</f>
        <v>0</v>
      </c>
      <c r="S917" s="257"/>
      <c r="T917" s="131">
        <f ca="1">SUM(T913:T916)</f>
        <v>2531198.6506060879</v>
      </c>
      <c r="U917" s="131">
        <f>SUM(U913:U916)</f>
        <v>23463.195407170828</v>
      </c>
      <c r="V917" s="273"/>
      <c r="W917" s="131">
        <f ca="1">HLOOKUP($W$9,'ROR-Model'!$Q$10:$U$1263,Y917)</f>
        <v>71779543.358618006</v>
      </c>
      <c r="X917" s="118"/>
      <c r="Y917" s="577">
        <f t="shared" si="43"/>
        <v>908</v>
      </c>
      <c r="AA917" s="131">
        <v>64666716.701444604</v>
      </c>
      <c r="AB917" s="116">
        <f t="shared" ca="1" si="44"/>
        <v>7112826.6571734026</v>
      </c>
    </row>
    <row r="918" spans="1:28">
      <c r="A918" s="136"/>
      <c r="B918" s="102"/>
      <c r="C918" s="102"/>
      <c r="D918" s="102"/>
      <c r="E918" s="116">
        <f>+G918-Adjustments!H918</f>
        <v>0</v>
      </c>
      <c r="F918" s="116"/>
      <c r="G918" s="116"/>
      <c r="H918" s="116"/>
      <c r="I918" s="116"/>
      <c r="J918" s="116"/>
      <c r="K918" s="116"/>
      <c r="L918" s="116"/>
      <c r="M918" s="116"/>
      <c r="N918" s="116"/>
      <c r="O918" s="272"/>
      <c r="P918" s="240"/>
      <c r="Q918" s="116"/>
      <c r="R918" s="116"/>
      <c r="S918" s="240"/>
      <c r="T918" s="116"/>
      <c r="U918" s="116"/>
      <c r="V918" s="273"/>
      <c r="W918" s="116"/>
      <c r="X918" s="118"/>
      <c r="Y918" s="577">
        <f t="shared" si="43"/>
        <v>909</v>
      </c>
      <c r="AA918" s="116"/>
      <c r="AB918" s="116">
        <f t="shared" si="44"/>
        <v>0</v>
      </c>
    </row>
    <row r="919" spans="1:28">
      <c r="A919" s="136">
        <v>404</v>
      </c>
      <c r="B919" s="102" t="s">
        <v>597</v>
      </c>
      <c r="C919" s="102"/>
      <c r="D919" s="102"/>
      <c r="E919" s="116">
        <f>+G919-Adjustments!H919</f>
        <v>0</v>
      </c>
      <c r="F919" s="116"/>
      <c r="G919" s="116"/>
      <c r="H919" s="116"/>
      <c r="I919" s="116"/>
      <c r="J919" s="116"/>
      <c r="K919" s="116"/>
      <c r="L919" s="116"/>
      <c r="M919" s="116"/>
      <c r="N919" s="116"/>
      <c r="O919" s="272"/>
      <c r="P919" s="240"/>
      <c r="Q919" s="116"/>
      <c r="R919" s="116"/>
      <c r="S919" s="240"/>
      <c r="T919" s="116"/>
      <c r="U919" s="116"/>
      <c r="V919" s="273"/>
      <c r="W919" s="116"/>
      <c r="X919" s="118"/>
      <c r="Y919" s="577">
        <f t="shared" si="43"/>
        <v>910</v>
      </c>
      <c r="AA919" s="116"/>
      <c r="AB919" s="116">
        <f t="shared" si="44"/>
        <v>0</v>
      </c>
    </row>
    <row r="920" spans="1:28">
      <c r="A920" s="136"/>
      <c r="B920" s="102"/>
      <c r="C920" s="102" t="s">
        <v>443</v>
      </c>
      <c r="D920" s="102"/>
      <c r="E920" s="116">
        <f>+G920-Adjustments!H920</f>
        <v>-17107.560000000001</v>
      </c>
      <c r="F920" s="116">
        <f>EXPENSES!G395</f>
        <v>17107.560000000001</v>
      </c>
      <c r="G920" s="116">
        <f>+Adjustments!AW907</f>
        <v>-17107.560000000001</v>
      </c>
      <c r="H920" s="116"/>
      <c r="I920" s="116">
        <f>SUM($F$920:$H$920)</f>
        <v>0</v>
      </c>
      <c r="J920" s="116"/>
      <c r="K920" s="116"/>
      <c r="L920" s="116" t="s">
        <v>693</v>
      </c>
      <c r="M920" s="116">
        <f>VLOOKUP($L920,$L$2:$N$7,2,FALSE)*I920</f>
        <v>0</v>
      </c>
      <c r="N920" s="116">
        <f>VLOOKUP($L920,$L$2:$N$7,3,FALSE)*I920</f>
        <v>0</v>
      </c>
      <c r="O920" s="272"/>
      <c r="P920" s="207" t="s">
        <v>560</v>
      </c>
      <c r="Q920" s="116">
        <f>IF(P920="G",M920,IF(P920="PT",0,ERR))</f>
        <v>0</v>
      </c>
      <c r="R920" s="116">
        <f>IF(P920="PT",M920,IF(P920="G",0,ERR))</f>
        <v>0</v>
      </c>
      <c r="S920" s="240" t="s">
        <v>559</v>
      </c>
      <c r="T920" s="116">
        <f>IF(S920="G",N920,IF(S920="PT",0,ERR))</f>
        <v>0</v>
      </c>
      <c r="U920" s="116">
        <f>IF(S920="PT",N920,IF(S920="G",0,ERR))</f>
        <v>0</v>
      </c>
      <c r="V920" s="273"/>
      <c r="W920" s="116">
        <f>HLOOKUP($W$9,'ROR-Model'!$Q$10:$U$1263,Y920)</f>
        <v>0</v>
      </c>
      <c r="X920" s="118"/>
      <c r="Y920" s="577">
        <f t="shared" si="43"/>
        <v>911</v>
      </c>
      <c r="AA920" s="116">
        <v>16505.36665036581</v>
      </c>
      <c r="AB920" s="116">
        <f t="shared" si="44"/>
        <v>-16505.36665036581</v>
      </c>
    </row>
    <row r="921" spans="1:28">
      <c r="A921" s="136"/>
      <c r="B921" s="102"/>
      <c r="C921" s="102" t="s">
        <v>592</v>
      </c>
      <c r="D921" s="102"/>
      <c r="E921" s="116">
        <f>+G921-Adjustments!H921</f>
        <v>0</v>
      </c>
      <c r="F921" s="116">
        <f>EXPENSES!G396</f>
        <v>0</v>
      </c>
      <c r="G921" s="116">
        <f>+Adjustments!AW908</f>
        <v>0</v>
      </c>
      <c r="H921" s="116"/>
      <c r="I921" s="116">
        <f>SUM($F$921:$H$921)</f>
        <v>0</v>
      </c>
      <c r="J921" s="116"/>
      <c r="K921" s="116"/>
      <c r="L921" s="116" t="s">
        <v>24</v>
      </c>
      <c r="M921" s="116">
        <f>VLOOKUP($L921,$L$2:$N$7,2,FALSE)*I921</f>
        <v>0</v>
      </c>
      <c r="N921" s="116">
        <f>VLOOKUP($L921,$L$2:$N$7,3,FALSE)*I921</f>
        <v>0</v>
      </c>
      <c r="O921" s="272"/>
      <c r="P921" s="207" t="s">
        <v>560</v>
      </c>
      <c r="Q921" s="116">
        <f>IF(P921="G",M921,IF(P921="PT",0,ERR))</f>
        <v>0</v>
      </c>
      <c r="R921" s="116">
        <f>IF(P921="PT",M921,IF(P921="G",0,ERR))</f>
        <v>0</v>
      </c>
      <c r="S921" s="240" t="s">
        <v>560</v>
      </c>
      <c r="T921" s="116">
        <f>IF(S921="G",N921,IF(S921="PT",0,ERR))</f>
        <v>0</v>
      </c>
      <c r="U921" s="116">
        <f>IF(S921="PT",N921,IF(S921="G",0,ERR))</f>
        <v>0</v>
      </c>
      <c r="V921" s="273"/>
      <c r="W921" s="116">
        <f>HLOOKUP($W$9,'ROR-Model'!$Q$10:$U$1263,Y921)</f>
        <v>0</v>
      </c>
      <c r="X921" s="118"/>
      <c r="Y921" s="577">
        <f t="shared" si="43"/>
        <v>912</v>
      </c>
      <c r="AA921" s="116">
        <v>0</v>
      </c>
      <c r="AB921" s="116">
        <f t="shared" si="44"/>
        <v>0</v>
      </c>
    </row>
    <row r="922" spans="1:28">
      <c r="A922" s="136"/>
      <c r="B922" s="102"/>
      <c r="C922" s="102" t="s">
        <v>593</v>
      </c>
      <c r="D922" s="102"/>
      <c r="E922" s="116">
        <f>+G922-Adjustments!H922</f>
        <v>0</v>
      </c>
      <c r="F922" s="116">
        <f>EXPENSES!G397</f>
        <v>0</v>
      </c>
      <c r="G922" s="116">
        <f>+Adjustments!AW909</f>
        <v>0</v>
      </c>
      <c r="H922" s="116"/>
      <c r="I922" s="116">
        <f>SUM($F$922:$H$922)</f>
        <v>0</v>
      </c>
      <c r="J922" s="116"/>
      <c r="K922" s="116"/>
      <c r="L922" s="116" t="s">
        <v>14</v>
      </c>
      <c r="M922" s="116">
        <f>VLOOKUP($L922,$L$2:$N$7,2,FALSE)*I922</f>
        <v>0</v>
      </c>
      <c r="N922" s="116">
        <f>VLOOKUP($L922,$L$2:$N$7,3,FALSE)*I922</f>
        <v>0</v>
      </c>
      <c r="O922" s="272"/>
      <c r="P922" s="207" t="s">
        <v>560</v>
      </c>
      <c r="Q922" s="116">
        <f>IF(P922="G",M922,IF(P922="PT",0,ERR))</f>
        <v>0</v>
      </c>
      <c r="R922" s="116">
        <f>IF(P922="PT",M922,IF(P922="G",0,ERR))</f>
        <v>0</v>
      </c>
      <c r="S922" s="240" t="s">
        <v>560</v>
      </c>
      <c r="T922" s="116">
        <f>IF(S922="G",N922,IF(S922="PT",0,ERR))</f>
        <v>0</v>
      </c>
      <c r="U922" s="116">
        <f>IF(S922="PT",N922,IF(S922="G",0,ERR))</f>
        <v>0</v>
      </c>
      <c r="V922" s="273"/>
      <c r="W922" s="116">
        <f>HLOOKUP($W$9,'ROR-Model'!$Q$10:$U$1263,Y922)</f>
        <v>0</v>
      </c>
      <c r="X922" s="118"/>
      <c r="Y922" s="577">
        <f t="shared" si="43"/>
        <v>913</v>
      </c>
      <c r="AA922" s="116">
        <v>0</v>
      </c>
      <c r="AB922" s="116">
        <f t="shared" si="44"/>
        <v>0</v>
      </c>
    </row>
    <row r="923" spans="1:28">
      <c r="A923" s="136"/>
      <c r="B923" s="102"/>
      <c r="C923" s="102" t="s">
        <v>595</v>
      </c>
      <c r="D923" s="102"/>
      <c r="E923" s="116">
        <f>+G923-Adjustments!H923</f>
        <v>1476796.9550693939</v>
      </c>
      <c r="F923" s="116">
        <f>EXPENSES!G398</f>
        <v>0</v>
      </c>
      <c r="G923" s="116">
        <f>+Adjustments!AW910</f>
        <v>0</v>
      </c>
      <c r="H923" s="116"/>
      <c r="I923" s="116">
        <f>SUM($F$923:$H$923)</f>
        <v>0</v>
      </c>
      <c r="J923" s="116"/>
      <c r="K923" s="116"/>
      <c r="L923" s="116" t="s">
        <v>473</v>
      </c>
      <c r="M923" s="116">
        <f ca="1">VLOOKUP($L923,$L$2:$N$7,2,FALSE)*I923</f>
        <v>0</v>
      </c>
      <c r="N923" s="116">
        <f ca="1">VLOOKUP($L923,$L$2:$N$7,3,FALSE)*I923</f>
        <v>0</v>
      </c>
      <c r="O923" s="272"/>
      <c r="P923" s="207" t="s">
        <v>560</v>
      </c>
      <c r="Q923" s="116">
        <f ca="1">IF(P923="G",M923,IF(P923="PT",0,ERR))</f>
        <v>0</v>
      </c>
      <c r="R923" s="116">
        <f>IF(P923="PT",M923,IF(P923="G",0,ERR))</f>
        <v>0</v>
      </c>
      <c r="S923" s="240" t="s">
        <v>560</v>
      </c>
      <c r="T923" s="116">
        <f ca="1">IF(S923="G",N923,IF(S923="PT",0,ERR))</f>
        <v>0</v>
      </c>
      <c r="U923" s="116">
        <f>IF(S923="PT",N923,IF(S923="G",0,ERR))</f>
        <v>0</v>
      </c>
      <c r="V923" s="273"/>
      <c r="W923" s="116">
        <f ca="1">HLOOKUP($W$9,'ROR-Model'!$Q$10:$U$1263,Y923)</f>
        <v>0</v>
      </c>
      <c r="X923" s="118"/>
      <c r="Y923" s="577">
        <f t="shared" si="43"/>
        <v>914</v>
      </c>
      <c r="AA923" s="116">
        <v>0</v>
      </c>
      <c r="AB923" s="116">
        <f t="shared" ca="1" si="44"/>
        <v>0</v>
      </c>
    </row>
    <row r="924" spans="1:28">
      <c r="A924" s="136"/>
      <c r="B924" s="102"/>
      <c r="C924" s="102" t="s">
        <v>598</v>
      </c>
      <c r="D924" s="102"/>
      <c r="E924" s="131">
        <f>+G924-Adjustments!H924</f>
        <v>-17107.560000000001</v>
      </c>
      <c r="F924" s="131">
        <f>SUM(F920:F923)</f>
        <v>17107.560000000001</v>
      </c>
      <c r="G924" s="131">
        <f>SUM(G920:G923)</f>
        <v>-17107.560000000001</v>
      </c>
      <c r="H924" s="131">
        <f>SUM(H920:H923)</f>
        <v>0</v>
      </c>
      <c r="I924" s="131">
        <f>SUM(I920:I923)</f>
        <v>0</v>
      </c>
      <c r="J924" s="116"/>
      <c r="K924" s="116"/>
      <c r="L924" s="131"/>
      <c r="M924" s="131">
        <f ca="1">SUM(M920:M923)</f>
        <v>0</v>
      </c>
      <c r="N924" s="131">
        <f ca="1">SUM(N920:N923)</f>
        <v>0</v>
      </c>
      <c r="O924" s="272"/>
      <c r="P924" s="257"/>
      <c r="Q924" s="131">
        <f ca="1">SUM(Q920:Q923)</f>
        <v>0</v>
      </c>
      <c r="R924" s="131">
        <f>SUM(R920:R923)</f>
        <v>0</v>
      </c>
      <c r="S924" s="257"/>
      <c r="T924" s="131">
        <f ca="1">SUM(T920:T923)</f>
        <v>0</v>
      </c>
      <c r="U924" s="131">
        <f>SUM(U920:U923)</f>
        <v>0</v>
      </c>
      <c r="V924" s="273"/>
      <c r="W924" s="131">
        <f ca="1">HLOOKUP($W$9,'ROR-Model'!$Q$10:$U$1263,Y924)</f>
        <v>0</v>
      </c>
      <c r="X924" s="118"/>
      <c r="Y924" s="577">
        <f t="shared" si="43"/>
        <v>915</v>
      </c>
      <c r="AA924" s="131">
        <v>16505.36665036581</v>
      </c>
      <c r="AB924" s="116">
        <f t="shared" ca="1" si="44"/>
        <v>-16505.36665036581</v>
      </c>
    </row>
    <row r="925" spans="1:28" ht="13.5" thickBot="1">
      <c r="A925" s="136"/>
      <c r="B925" s="102"/>
      <c r="C925" s="102"/>
      <c r="D925" s="102"/>
      <c r="E925" s="236">
        <f>+G925-Adjustments!H925</f>
        <v>0</v>
      </c>
      <c r="F925" s="236"/>
      <c r="G925" s="236"/>
      <c r="H925" s="236"/>
      <c r="I925" s="236"/>
      <c r="J925" s="116"/>
      <c r="K925" s="116"/>
      <c r="L925" s="236"/>
      <c r="M925" s="236"/>
      <c r="N925" s="236"/>
      <c r="O925" s="272"/>
      <c r="P925" s="731"/>
      <c r="Q925" s="236"/>
      <c r="R925" s="236"/>
      <c r="S925" s="731"/>
      <c r="T925" s="236"/>
      <c r="U925" s="236"/>
      <c r="V925" s="273"/>
      <c r="W925" s="236"/>
      <c r="X925" s="118"/>
      <c r="Y925" s="577">
        <f t="shared" si="43"/>
        <v>916</v>
      </c>
      <c r="AA925" s="236"/>
      <c r="AB925" s="116">
        <f t="shared" si="44"/>
        <v>0</v>
      </c>
    </row>
    <row r="926" spans="1:28">
      <c r="A926" s="136"/>
      <c r="B926" s="49" t="s">
        <v>656</v>
      </c>
      <c r="C926" s="102"/>
      <c r="D926" s="102"/>
      <c r="E926" s="116">
        <f ca="1">+G926-Adjustments!H926</f>
        <v>7599271.4346312564</v>
      </c>
      <c r="F926" s="116">
        <f>F917+F924</f>
        <v>66734933.770000011</v>
      </c>
      <c r="G926" s="116">
        <f t="shared" ref="G926:I927" ca="1" si="45">G917+G924</f>
        <v>7599271.4346312564</v>
      </c>
      <c r="H926" s="116">
        <f t="shared" si="45"/>
        <v>0</v>
      </c>
      <c r="I926" s="116">
        <f t="shared" ca="1" si="45"/>
        <v>74334205.204631254</v>
      </c>
      <c r="J926" s="116"/>
      <c r="K926" s="116"/>
      <c r="L926" s="116"/>
      <c r="M926" s="116">
        <f ca="1">M917+M924</f>
        <v>71779543.358618006</v>
      </c>
      <c r="N926" s="116">
        <f ca="1">N917+N924</f>
        <v>2554661.8460132587</v>
      </c>
      <c r="O926" s="272"/>
      <c r="P926" s="240"/>
      <c r="Q926" s="116">
        <f ca="1">Q917+Q924</f>
        <v>71779543.358618006</v>
      </c>
      <c r="R926" s="116">
        <f>R917+R924</f>
        <v>0</v>
      </c>
      <c r="S926" s="240"/>
      <c r="T926" s="116">
        <f ca="1">T917+T924</f>
        <v>2531198.6506060879</v>
      </c>
      <c r="U926" s="116">
        <f>U917+U924</f>
        <v>23463.195407170828</v>
      </c>
      <c r="V926" s="273"/>
      <c r="W926" s="116">
        <f ca="1">HLOOKUP($W$9,'ROR-Model'!$Q$10:$U$1263,Y926)</f>
        <v>71779543.358618006</v>
      </c>
      <c r="X926" s="118"/>
      <c r="Y926" s="577">
        <f t="shared" si="43"/>
        <v>917</v>
      </c>
      <c r="AA926" s="116">
        <v>64683222.068094969</v>
      </c>
      <c r="AB926" s="116">
        <f t="shared" ca="1" si="44"/>
        <v>7096321.2905230373</v>
      </c>
    </row>
    <row r="927" spans="1:28">
      <c r="A927" s="136"/>
      <c r="B927" s="102"/>
      <c r="C927" s="102"/>
      <c r="D927" s="102"/>
      <c r="E927" s="116">
        <f>+G927-Adjustments!H927</f>
        <v>0</v>
      </c>
      <c r="F927" s="116">
        <f>F918+F925</f>
        <v>0</v>
      </c>
      <c r="G927" s="116">
        <f t="shared" si="45"/>
        <v>0</v>
      </c>
      <c r="H927" s="116">
        <f t="shared" si="45"/>
        <v>0</v>
      </c>
      <c r="I927" s="116">
        <f t="shared" si="45"/>
        <v>0</v>
      </c>
      <c r="J927" s="116"/>
      <c r="K927" s="116"/>
      <c r="L927" s="116"/>
      <c r="M927" s="116"/>
      <c r="N927" s="116"/>
      <c r="O927" s="272"/>
      <c r="P927" s="240"/>
      <c r="Q927" s="116"/>
      <c r="R927" s="116"/>
      <c r="S927" s="240"/>
      <c r="T927" s="116"/>
      <c r="U927" s="116"/>
      <c r="V927" s="273"/>
      <c r="W927" s="116"/>
      <c r="X927" s="118"/>
      <c r="Y927" s="577">
        <f t="shared" si="43"/>
        <v>918</v>
      </c>
      <c r="AA927" s="116"/>
      <c r="AB927" s="116">
        <f t="shared" si="44"/>
        <v>0</v>
      </c>
    </row>
    <row r="928" spans="1:28">
      <c r="A928" s="72" t="s">
        <v>657</v>
      </c>
      <c r="B928" s="102"/>
      <c r="C928" s="102"/>
      <c r="D928" s="102"/>
      <c r="E928" s="116">
        <f>+G928-Adjustments!H928</f>
        <v>0</v>
      </c>
      <c r="F928" s="116"/>
      <c r="G928" s="116"/>
      <c r="H928" s="116"/>
      <c r="I928" s="116"/>
      <c r="J928" s="116"/>
      <c r="K928" s="116"/>
      <c r="L928" s="116"/>
      <c r="M928" s="116"/>
      <c r="N928" s="116"/>
      <c r="O928" s="272"/>
      <c r="P928" s="240"/>
      <c r="Q928" s="116"/>
      <c r="R928" s="116"/>
      <c r="S928" s="240"/>
      <c r="T928" s="116"/>
      <c r="U928" s="116"/>
      <c r="V928" s="273"/>
      <c r="W928" s="116"/>
      <c r="X928" s="118"/>
      <c r="Y928" s="577">
        <f t="shared" si="43"/>
        <v>919</v>
      </c>
      <c r="AA928" s="116"/>
      <c r="AB928" s="116">
        <f t="shared" si="44"/>
        <v>0</v>
      </c>
    </row>
    <row r="929" spans="1:28">
      <c r="A929" s="136">
        <v>408</v>
      </c>
      <c r="B929" s="102" t="s">
        <v>599</v>
      </c>
      <c r="C929" s="102"/>
      <c r="D929" s="102"/>
      <c r="E929" s="116">
        <f>+G929-Adjustments!H929</f>
        <v>0</v>
      </c>
      <c r="F929" s="116"/>
      <c r="G929" s="116"/>
      <c r="H929" s="116"/>
      <c r="I929" s="116"/>
      <c r="J929" s="116"/>
      <c r="K929" s="116"/>
      <c r="L929" s="116"/>
      <c r="M929" s="116"/>
      <c r="N929" s="116"/>
      <c r="O929" s="272"/>
      <c r="P929" s="207" t="s">
        <v>560</v>
      </c>
      <c r="Q929" s="116">
        <f>IF(P929="G",M929,IF(P929="PT",0,ERR))</f>
        <v>0</v>
      </c>
      <c r="R929" s="116">
        <f>IF(P929="PT",M929,IF(P929="G",0,ERR))</f>
        <v>0</v>
      </c>
      <c r="S929" s="240" t="s">
        <v>560</v>
      </c>
      <c r="T929" s="116">
        <f>IF(S929="G",N929,IF(S929="PT",0,ERR))</f>
        <v>0</v>
      </c>
      <c r="U929" s="116">
        <f>IF(S929="PT",N929,IF(S929="G",0,ERR))</f>
        <v>0</v>
      </c>
      <c r="V929" s="273"/>
      <c r="W929" s="116">
        <f>HLOOKUP($W$9,'ROR-Model'!$Q$10:$U$1263,Y929)</f>
        <v>0</v>
      </c>
      <c r="X929" s="118"/>
      <c r="Y929" s="577">
        <f t="shared" si="43"/>
        <v>920</v>
      </c>
      <c r="AA929" s="116">
        <v>0</v>
      </c>
      <c r="AB929" s="116">
        <f t="shared" si="44"/>
        <v>0</v>
      </c>
    </row>
    <row r="930" spans="1:28">
      <c r="A930" s="227"/>
      <c r="B930" s="102"/>
      <c r="C930" s="102" t="s">
        <v>443</v>
      </c>
      <c r="D930" s="102"/>
      <c r="E930" s="116">
        <f>+G930-Adjustments!H930</f>
        <v>0</v>
      </c>
      <c r="F930" s="116">
        <f>EXPENSES!G405</f>
        <v>0</v>
      </c>
      <c r="G930" s="116">
        <f>+Adjustments!AW917</f>
        <v>0</v>
      </c>
      <c r="H930" s="116"/>
      <c r="I930" s="116">
        <f>SUM($F$930:$H$930)</f>
        <v>0</v>
      </c>
      <c r="J930" s="116"/>
      <c r="K930" s="116"/>
      <c r="L930" s="116" t="s">
        <v>693</v>
      </c>
      <c r="M930" s="116">
        <f>VLOOKUP($L930,$L$2:$N$7,2,FALSE)*I930</f>
        <v>0</v>
      </c>
      <c r="N930" s="116">
        <f>VLOOKUP($L930,$L$2:$N$7,3,FALSE)*I930</f>
        <v>0</v>
      </c>
      <c r="O930" s="272"/>
      <c r="P930" s="207" t="s">
        <v>560</v>
      </c>
      <c r="Q930" s="116">
        <f>IF(P930="G",M930,IF(P930="PT",0,ERR))</f>
        <v>0</v>
      </c>
      <c r="R930" s="116">
        <f>IF(P930="PT",M930,IF(P930="G",0,ERR))</f>
        <v>0</v>
      </c>
      <c r="S930" s="240" t="s">
        <v>560</v>
      </c>
      <c r="T930" s="116">
        <f>IF(S930="G",N930,IF(S930="PT",0,ERR))</f>
        <v>0</v>
      </c>
      <c r="U930" s="116">
        <f>IF(S930="PT",N930,IF(S930="G",0,ERR))</f>
        <v>0</v>
      </c>
      <c r="V930" s="273"/>
      <c r="W930" s="116">
        <f>HLOOKUP($W$9,'ROR-Model'!$Q$10:$U$1263,Y930)</f>
        <v>0</v>
      </c>
      <c r="X930" s="118"/>
      <c r="Y930" s="577">
        <f t="shared" si="43"/>
        <v>921</v>
      </c>
      <c r="AA930" s="116">
        <v>0</v>
      </c>
      <c r="AB930" s="116">
        <f t="shared" si="44"/>
        <v>0</v>
      </c>
    </row>
    <row r="931" spans="1:28">
      <c r="A931" s="227"/>
      <c r="B931" s="102"/>
      <c r="C931" s="102" t="s">
        <v>592</v>
      </c>
      <c r="D931" s="102"/>
      <c r="E931" s="116">
        <f>+G931-Adjustments!H931</f>
        <v>88754.536238336354</v>
      </c>
      <c r="F931" s="116">
        <f>EXPENSES!G406</f>
        <v>843251.16999999993</v>
      </c>
      <c r="G931" s="116">
        <f>+Adjustments!AW918</f>
        <v>88754.536238336354</v>
      </c>
      <c r="H931" s="116"/>
      <c r="I931" s="116">
        <f>SUM($F$931:$H$931)</f>
        <v>932005.70623833628</v>
      </c>
      <c r="J931" s="116"/>
      <c r="K931" s="116"/>
      <c r="L931" s="116" t="s">
        <v>24</v>
      </c>
      <c r="M931" s="116">
        <f>VLOOKUP($L931,$L$2:$N$7,2,FALSE)*I931</f>
        <v>0</v>
      </c>
      <c r="N931" s="116">
        <f>VLOOKUP($L931,$L$2:$N$7,3,FALSE)*I931</f>
        <v>932005.70623833628</v>
      </c>
      <c r="O931" s="272"/>
      <c r="P931" s="207" t="s">
        <v>560</v>
      </c>
      <c r="Q931" s="116">
        <f>IF(P931="G",M931,IF(P931="PT",0,ERR))</f>
        <v>0</v>
      </c>
      <c r="R931" s="116">
        <f>IF(P931="PT",M931,IF(P931="G",0,ERR))</f>
        <v>0</v>
      </c>
      <c r="S931" s="240" t="s">
        <v>560</v>
      </c>
      <c r="T931" s="116">
        <f>IF(S931="G",N931,IF(S931="PT",0,ERR))</f>
        <v>932005.70623833628</v>
      </c>
      <c r="U931" s="116">
        <f>IF(S931="PT",N931,IF(S931="G",0,ERR))</f>
        <v>0</v>
      </c>
      <c r="V931" s="273"/>
      <c r="W931" s="116">
        <f>HLOOKUP($W$9,'ROR-Model'!$Q$10:$U$1263,Y931)</f>
        <v>0</v>
      </c>
      <c r="X931" s="118"/>
      <c r="Y931" s="577">
        <f t="shared" si="43"/>
        <v>922</v>
      </c>
      <c r="AA931" s="116">
        <v>0</v>
      </c>
      <c r="AB931" s="116">
        <f t="shared" si="44"/>
        <v>0</v>
      </c>
    </row>
    <row r="932" spans="1:28">
      <c r="A932" s="227"/>
      <c r="B932" s="102"/>
      <c r="C932" s="102" t="s">
        <v>593</v>
      </c>
      <c r="D932" s="102"/>
      <c r="E932" s="116">
        <f>+G932-Adjustments!H932</f>
        <v>2079470.8116224334</v>
      </c>
      <c r="F932" s="116">
        <f>EXPENSES!G407</f>
        <v>19756919.129999999</v>
      </c>
      <c r="G932" s="116">
        <f>+Adjustments!AW919</f>
        <v>2079470.8116224334</v>
      </c>
      <c r="H932" s="116"/>
      <c r="I932" s="116">
        <f>SUM($F$932:$H$932)</f>
        <v>21836389.941622432</v>
      </c>
      <c r="J932" s="116"/>
      <c r="K932" s="116"/>
      <c r="L932" s="116" t="s">
        <v>14</v>
      </c>
      <c r="M932" s="116">
        <f>VLOOKUP($L932,$L$2:$N$7,2,FALSE)*I932</f>
        <v>21836389.941622432</v>
      </c>
      <c r="N932" s="116">
        <f>VLOOKUP($L932,$L$2:$N$7,3,FALSE)*I932</f>
        <v>0</v>
      </c>
      <c r="O932" s="272"/>
      <c r="P932" s="207" t="s">
        <v>560</v>
      </c>
      <c r="Q932" s="116">
        <f>IF(P932="G",M932,IF(P932="PT",0,ERR))</f>
        <v>21836389.941622432</v>
      </c>
      <c r="R932" s="116">
        <f>IF(P932="PT",M932,IF(P932="G",0,ERR))</f>
        <v>0</v>
      </c>
      <c r="S932" s="240" t="s">
        <v>560</v>
      </c>
      <c r="T932" s="116">
        <f>IF(S932="G",N932,IF(S932="PT",0,ERR))</f>
        <v>0</v>
      </c>
      <c r="U932" s="116">
        <f>IF(S932="PT",N932,IF(S932="G",0,ERR))</f>
        <v>0</v>
      </c>
      <c r="V932" s="273"/>
      <c r="W932" s="116">
        <f>HLOOKUP($W$9,'ROR-Model'!$Q$10:$U$1263,Y932)</f>
        <v>21836389.941622432</v>
      </c>
      <c r="X932" s="118"/>
      <c r="Y932" s="577">
        <f t="shared" si="43"/>
        <v>923</v>
      </c>
      <c r="AA932" s="116">
        <v>19756919.129999999</v>
      </c>
      <c r="AB932" s="116">
        <f t="shared" si="44"/>
        <v>2079470.8116224334</v>
      </c>
    </row>
    <row r="933" spans="1:28">
      <c r="A933" s="227"/>
      <c r="B933" s="102"/>
      <c r="C933" s="102" t="s">
        <v>595</v>
      </c>
      <c r="D933" s="102"/>
      <c r="E933" s="116">
        <f>+G933-Adjustments!H933</f>
        <v>1651271.5496852472</v>
      </c>
      <c r="F933" s="116">
        <f>EXPENSES!G408</f>
        <v>1657671.9599999997</v>
      </c>
      <c r="G933" s="116">
        <f>+Adjustments!AW920</f>
        <v>174474.59461585339</v>
      </c>
      <c r="H933" s="116"/>
      <c r="I933" s="116">
        <f>SUM($F$933:$H$933)</f>
        <v>1832146.5546158531</v>
      </c>
      <c r="J933" s="116"/>
      <c r="K933" s="116"/>
      <c r="L933" s="116" t="s">
        <v>473</v>
      </c>
      <c r="M933" s="116">
        <f ca="1">VLOOKUP($L933,$L$2:$N$7,2,FALSE)*I933</f>
        <v>1772646.2785318603</v>
      </c>
      <c r="N933" s="116">
        <f ca="1">VLOOKUP($L933,$L$2:$N$7,3,FALSE)*I933</f>
        <v>59500.276083992678</v>
      </c>
      <c r="O933" s="272"/>
      <c r="P933" s="207" t="s">
        <v>560</v>
      </c>
      <c r="Q933" s="116">
        <f ca="1">IF(P933="G",M933,IF(P933="PT",0,ERR))</f>
        <v>1772646.2785318603</v>
      </c>
      <c r="R933" s="116">
        <f>IF(P933="PT",M933,IF(P933="G",0,ERR))</f>
        <v>0</v>
      </c>
      <c r="S933" s="240" t="s">
        <v>560</v>
      </c>
      <c r="T933" s="116">
        <f ca="1">IF(S933="G",N933,IF(S933="PT",0,ERR))</f>
        <v>59500.276083992678</v>
      </c>
      <c r="U933" s="116">
        <f>IF(S933="PT",N933,IF(S933="G",0,ERR))</f>
        <v>0</v>
      </c>
      <c r="V933" s="273"/>
      <c r="W933" s="116">
        <f ca="1">HLOOKUP($W$9,'ROR-Model'!$Q$10:$U$1263,Y933)</f>
        <v>1772646.2785318603</v>
      </c>
      <c r="X933" s="118"/>
      <c r="Y933" s="577">
        <f t="shared" si="43"/>
        <v>924</v>
      </c>
      <c r="AA933" s="116">
        <v>1603600.9433365895</v>
      </c>
      <c r="AB933" s="116">
        <f t="shared" ca="1" si="44"/>
        <v>169045.33519527083</v>
      </c>
    </row>
    <row r="934" spans="1:28">
      <c r="A934" s="227"/>
      <c r="B934" s="102"/>
      <c r="C934" s="102" t="s">
        <v>600</v>
      </c>
      <c r="D934" s="102"/>
      <c r="E934" s="131">
        <f>+G934-Adjustments!H934</f>
        <v>2342699.9424766232</v>
      </c>
      <c r="F934" s="131">
        <f>SUM(F930:F933)</f>
        <v>22257842.259999998</v>
      </c>
      <c r="G934" s="131">
        <f>SUM(G930:G933)</f>
        <v>2342699.9424766232</v>
      </c>
      <c r="H934" s="131">
        <f>SUM(H930:H933)</f>
        <v>0</v>
      </c>
      <c r="I934" s="131">
        <f>SUM(I930:I933)</f>
        <v>24600542.202476621</v>
      </c>
      <c r="J934" s="116"/>
      <c r="K934" s="116"/>
      <c r="L934" s="131"/>
      <c r="M934" s="131">
        <f ca="1">SUM(M930:M933)</f>
        <v>23609036.220154293</v>
      </c>
      <c r="N934" s="131">
        <f ca="1">SUM(N930:N933)</f>
        <v>991505.98232232896</v>
      </c>
      <c r="O934" s="272"/>
      <c r="P934" s="257"/>
      <c r="Q934" s="131">
        <f ca="1">SUM(Q930:Q933)</f>
        <v>23609036.220154293</v>
      </c>
      <c r="R934" s="131">
        <f>SUM(R930:R933)</f>
        <v>0</v>
      </c>
      <c r="S934" s="257"/>
      <c r="T934" s="131">
        <f ca="1">SUM(T930:T933)</f>
        <v>991505.98232232896</v>
      </c>
      <c r="U934" s="131">
        <f>SUM(U930:U933)</f>
        <v>0</v>
      </c>
      <c r="V934" s="273"/>
      <c r="W934" s="131">
        <f ca="1">HLOOKUP($W$9,'ROR-Model'!$Q$10:$U$1263,Y934)</f>
        <v>23609036.220154293</v>
      </c>
      <c r="X934" s="118"/>
      <c r="Y934" s="577">
        <f t="shared" si="43"/>
        <v>925</v>
      </c>
      <c r="AA934" s="131">
        <v>21360520.07333659</v>
      </c>
      <c r="AB934" s="116">
        <f t="shared" ca="1" si="44"/>
        <v>2248516.1468177028</v>
      </c>
    </row>
    <row r="935" spans="1:28">
      <c r="A935" s="227"/>
      <c r="B935" s="102"/>
      <c r="C935" s="102"/>
      <c r="D935" s="102"/>
      <c r="E935" s="116">
        <f>+G935-Adjustments!H935</f>
        <v>0</v>
      </c>
      <c r="F935" s="116"/>
      <c r="G935" s="116"/>
      <c r="H935" s="116"/>
      <c r="I935" s="116"/>
      <c r="J935" s="116"/>
      <c r="K935" s="116"/>
      <c r="L935" s="116"/>
      <c r="M935" s="116"/>
      <c r="N935" s="116"/>
      <c r="O935" s="272"/>
      <c r="P935" s="240"/>
      <c r="Q935" s="116"/>
      <c r="R935" s="116"/>
      <c r="S935" s="240"/>
      <c r="T935" s="116"/>
      <c r="U935" s="116"/>
      <c r="V935" s="273"/>
      <c r="W935" s="116"/>
      <c r="X935" s="118"/>
      <c r="Y935" s="577">
        <f t="shared" si="43"/>
        <v>926</v>
      </c>
      <c r="AA935" s="116"/>
      <c r="AB935" s="116">
        <f t="shared" si="44"/>
        <v>0</v>
      </c>
    </row>
    <row r="936" spans="1:28">
      <c r="A936" s="136">
        <v>4090</v>
      </c>
      <c r="B936" s="102" t="s">
        <v>602</v>
      </c>
      <c r="C936" s="102"/>
      <c r="D936" s="102"/>
      <c r="E936" s="116">
        <f ca="1">+G936-Adjustments!H936</f>
        <v>-41749.633870857535</v>
      </c>
      <c r="F936" s="116">
        <f>EXPENSES!G411</f>
        <v>41536613.329999991</v>
      </c>
      <c r="G936" s="116">
        <f ca="1">+Adjustments!AW923</f>
        <v>-1518546.5889402514</v>
      </c>
      <c r="H936" s="116">
        <f ca="1">Taxes!C39</f>
        <v>-19245597.568459932</v>
      </c>
      <c r="I936" s="116">
        <f ca="1">SUM($F$936:$H$936)</f>
        <v>20772469.172599811</v>
      </c>
      <c r="J936" s="116"/>
      <c r="K936" s="116"/>
      <c r="L936" s="116"/>
      <c r="M936" s="116">
        <f ca="1">Taxes!D35</f>
        <v>26212535.170701433</v>
      </c>
      <c r="N936" s="116">
        <f ca="1">Taxes!E35</f>
        <v>-32166964.099721532</v>
      </c>
      <c r="O936" s="272"/>
      <c r="P936" s="207" t="s">
        <v>560</v>
      </c>
      <c r="Q936" s="239">
        <f ca="1">IF(P936="G",M936,IF(P936="PT",0,ERR))</f>
        <v>26212535.170701433</v>
      </c>
      <c r="R936" s="116">
        <f>((R512)-(R640+R905+R926+R934-R938))*Taxes!$L$23</f>
        <v>2.9510114073753353E-8</v>
      </c>
      <c r="S936" s="240" t="s">
        <v>560</v>
      </c>
      <c r="T936" s="239">
        <f ca="1">IF(S936="G",N936,IF(N936="PT",0,ERR))</f>
        <v>-32166964.099721532</v>
      </c>
      <c r="U936" s="116">
        <f>((U512)-(U640+U905+U926+U934-U938))*Taxes!$L$23</f>
        <v>36338.805901153894</v>
      </c>
      <c r="V936" s="273"/>
      <c r="W936" s="116">
        <f ca="1">HLOOKUP($W$9,'ROR-Model'!$Q$10:$U$1263,Y936)</f>
        <v>26212535.170701433</v>
      </c>
      <c r="X936" s="118"/>
      <c r="Y936" s="577">
        <f t="shared" si="43"/>
        <v>927</v>
      </c>
      <c r="AA936" s="116">
        <v>35281639.890570097</v>
      </c>
      <c r="AB936" s="116">
        <f t="shared" ca="1" si="44"/>
        <v>-9069104.7198686637</v>
      </c>
    </row>
    <row r="937" spans="1:28">
      <c r="A937" s="136"/>
      <c r="B937" s="102"/>
      <c r="C937" s="102"/>
      <c r="D937" s="102"/>
      <c r="E937" s="116">
        <f>+G937-Adjustments!H937</f>
        <v>0</v>
      </c>
      <c r="F937" s="116"/>
      <c r="G937" s="116"/>
      <c r="H937" s="116"/>
      <c r="I937" s="116"/>
      <c r="J937" s="116"/>
      <c r="K937" s="116"/>
      <c r="L937" s="116"/>
      <c r="M937" s="239"/>
      <c r="N937" s="239"/>
      <c r="O937" s="272"/>
      <c r="P937" s="240"/>
      <c r="Q937" s="116"/>
      <c r="R937" s="116"/>
      <c r="S937" s="240"/>
      <c r="T937" s="116"/>
      <c r="U937" s="116"/>
      <c r="V937" s="273"/>
      <c r="W937" s="116"/>
      <c r="X937" s="118"/>
      <c r="Y937" s="577">
        <f t="shared" si="43"/>
        <v>928</v>
      </c>
      <c r="AA937" s="116"/>
      <c r="AB937" s="116">
        <f t="shared" si="44"/>
        <v>0</v>
      </c>
    </row>
    <row r="938" spans="1:28">
      <c r="A938" s="136">
        <v>4091</v>
      </c>
      <c r="B938" s="102" t="s">
        <v>603</v>
      </c>
      <c r="C938" s="102"/>
      <c r="D938" s="102"/>
      <c r="E938" s="116">
        <f>+G938-Adjustments!H938</f>
        <v>0</v>
      </c>
      <c r="F938" s="116">
        <f>EXPENSES!G413</f>
        <v>651828.49000000069</v>
      </c>
      <c r="G938" s="116">
        <f>+Adjustments!AW925</f>
        <v>0</v>
      </c>
      <c r="H938" s="116"/>
      <c r="I938" s="116">
        <f>SUM($F$938:$H$938)</f>
        <v>651828.49000000069</v>
      </c>
      <c r="J938" s="116"/>
      <c r="K938" s="116"/>
      <c r="L938" s="116"/>
      <c r="M938" s="116"/>
      <c r="N938" s="239"/>
      <c r="O938" s="272"/>
      <c r="P938" s="207" t="s">
        <v>560</v>
      </c>
      <c r="Q938" s="116">
        <f>IF(P938="G",M938,IF(P938="PT",0,ERR))</f>
        <v>0</v>
      </c>
      <c r="R938" s="116">
        <f>IF(P938="PT",M938,IF(P938="G",0,ERR))</f>
        <v>0</v>
      </c>
      <c r="S938" s="240" t="s">
        <v>560</v>
      </c>
      <c r="T938" s="116">
        <f>IF(S938="G",N938,IF(S938="PT",0,ERR))</f>
        <v>0</v>
      </c>
      <c r="U938" s="116">
        <f>IF(S938="PT",N938,IF(S938="G",0,ERR))</f>
        <v>0</v>
      </c>
      <c r="V938" s="273"/>
      <c r="W938" s="116">
        <f>HLOOKUP($W$9,'ROR-Model'!$Q$10:$U$1263,Y938)</f>
        <v>0</v>
      </c>
      <c r="X938" s="118"/>
      <c r="Y938" s="577">
        <f t="shared" si="43"/>
        <v>929</v>
      </c>
      <c r="AA938" s="116">
        <v>0</v>
      </c>
      <c r="AB938" s="116">
        <f t="shared" si="44"/>
        <v>0</v>
      </c>
    </row>
    <row r="939" spans="1:28">
      <c r="A939" s="136"/>
      <c r="B939" s="102"/>
      <c r="C939" s="102"/>
      <c r="D939" s="102"/>
      <c r="E939" s="116">
        <f>+G939-Adjustments!H939</f>
        <v>12809953.858547151</v>
      </c>
      <c r="F939" s="116"/>
      <c r="G939" s="116"/>
      <c r="H939" s="116"/>
      <c r="I939" s="116"/>
      <c r="J939" s="116"/>
      <c r="K939" s="116"/>
      <c r="L939" s="116"/>
      <c r="M939" s="116"/>
      <c r="N939" s="116"/>
      <c r="O939" s="272"/>
      <c r="P939" s="240"/>
      <c r="Q939" s="116"/>
      <c r="R939" s="116"/>
      <c r="S939" s="240"/>
      <c r="T939" s="116"/>
      <c r="U939" s="116"/>
      <c r="V939" s="273"/>
      <c r="W939" s="116"/>
      <c r="X939" s="118"/>
      <c r="Y939" s="577">
        <f t="shared" si="43"/>
        <v>930</v>
      </c>
      <c r="AA939" s="116"/>
      <c r="AB939" s="116">
        <f t="shared" si="44"/>
        <v>0</v>
      </c>
    </row>
    <row r="940" spans="1:28">
      <c r="A940" s="136">
        <v>4101</v>
      </c>
      <c r="B940" s="102" t="s">
        <v>604</v>
      </c>
      <c r="C940" s="102"/>
      <c r="D940" s="102"/>
      <c r="E940" s="116">
        <f>+G940-Adjustments!H940</f>
        <v>0</v>
      </c>
      <c r="F940" s="116">
        <f>EXPENSES!G415</f>
        <v>5456116.0800000001</v>
      </c>
      <c r="G940" s="116">
        <f>+Adjustments!AW927</f>
        <v>0</v>
      </c>
      <c r="H940" s="116"/>
      <c r="I940" s="116">
        <f>SUM($F$940:$H$940)</f>
        <v>5456116.0800000001</v>
      </c>
      <c r="J940" s="116"/>
      <c r="K940" s="116"/>
      <c r="L940" s="116"/>
      <c r="M940" s="116"/>
      <c r="N940" s="116"/>
      <c r="O940" s="272"/>
      <c r="P940" s="207" t="s">
        <v>560</v>
      </c>
      <c r="Q940" s="116">
        <f>IF(P940="G",M940,IF(P940="PT",0,ERR))</f>
        <v>0</v>
      </c>
      <c r="R940" s="116">
        <f>IF(P940="PT",M940,IF(P940="G",0,ERR))</f>
        <v>0</v>
      </c>
      <c r="S940" s="240" t="s">
        <v>560</v>
      </c>
      <c r="T940" s="116">
        <f>IF(S940="G",N940,IF(S940="PT",0,ERR))</f>
        <v>0</v>
      </c>
      <c r="U940" s="116">
        <f>IF(S940="PT",N940,IF(S940="G",0,ERR))</f>
        <v>0</v>
      </c>
      <c r="V940" s="273"/>
      <c r="W940" s="116">
        <f>HLOOKUP($W$9,'ROR-Model'!$Q$10:$U$1263,Y940)</f>
        <v>0</v>
      </c>
      <c r="X940" s="118"/>
      <c r="Y940" s="577">
        <f t="shared" si="43"/>
        <v>931</v>
      </c>
      <c r="AA940" s="116">
        <v>0</v>
      </c>
      <c r="AB940" s="116">
        <f t="shared" si="44"/>
        <v>0</v>
      </c>
    </row>
    <row r="941" spans="1:28">
      <c r="A941" s="136"/>
      <c r="B941" s="102"/>
      <c r="C941" s="102"/>
      <c r="D941" s="102"/>
      <c r="E941" s="116">
        <f>+G941-Adjustments!H941</f>
        <v>0</v>
      </c>
      <c r="F941" s="116"/>
      <c r="G941" s="116"/>
      <c r="H941" s="116"/>
      <c r="I941" s="116"/>
      <c r="J941" s="116"/>
      <c r="K941" s="116"/>
      <c r="L941" s="116"/>
      <c r="M941" s="116"/>
      <c r="N941" s="116"/>
      <c r="O941" s="272"/>
      <c r="P941" s="240"/>
      <c r="Q941" s="116"/>
      <c r="R941" s="116"/>
      <c r="S941" s="240"/>
      <c r="T941" s="116"/>
      <c r="U941" s="116"/>
      <c r="V941" s="273"/>
      <c r="W941" s="116"/>
      <c r="X941" s="118"/>
      <c r="Y941" s="577">
        <f t="shared" si="43"/>
        <v>932</v>
      </c>
      <c r="AA941" s="116"/>
      <c r="AB941" s="116">
        <f t="shared" si="44"/>
        <v>0</v>
      </c>
    </row>
    <row r="942" spans="1:28">
      <c r="A942" s="136">
        <v>4111</v>
      </c>
      <c r="B942" s="102" t="s">
        <v>605</v>
      </c>
      <c r="C942" s="102"/>
      <c r="D942" s="102"/>
      <c r="E942" s="116">
        <f>+G942-Adjustments!H942</f>
        <v>0</v>
      </c>
      <c r="F942" s="116">
        <f>EXPENSES!G417</f>
        <v>0</v>
      </c>
      <c r="G942" s="116">
        <f>+Adjustments!AW929</f>
        <v>0</v>
      </c>
      <c r="H942" s="116"/>
      <c r="I942" s="116">
        <f>SUM($F$942:$H$942)</f>
        <v>0</v>
      </c>
      <c r="J942" s="116"/>
      <c r="K942" s="116"/>
      <c r="L942" s="116"/>
      <c r="M942" s="116"/>
      <c r="N942" s="116"/>
      <c r="O942" s="272"/>
      <c r="P942" s="207" t="s">
        <v>560</v>
      </c>
      <c r="Q942" s="116">
        <f>IF(P942="G",M942,IF(P942="PT",0,ERR))</f>
        <v>0</v>
      </c>
      <c r="R942" s="116">
        <f>IF(P942="PT",M942,IF(P942="G",0,ERR))</f>
        <v>0</v>
      </c>
      <c r="S942" s="240" t="s">
        <v>560</v>
      </c>
      <c r="T942" s="116">
        <f>IF(S942="G",N942,IF(S942="PT",0,ERR))</f>
        <v>0</v>
      </c>
      <c r="U942" s="116">
        <f>IF(S942="PT",N942,IF(S942="G",0,ERR))</f>
        <v>0</v>
      </c>
      <c r="V942" s="273"/>
      <c r="W942" s="116">
        <f>HLOOKUP($W$9,'ROR-Model'!$Q$10:$U$1263,Y942)</f>
        <v>0</v>
      </c>
      <c r="X942" s="118"/>
      <c r="Y942" s="577">
        <f t="shared" si="43"/>
        <v>933</v>
      </c>
      <c r="AA942" s="116">
        <v>0</v>
      </c>
      <c r="AB942" s="116">
        <f t="shared" si="44"/>
        <v>0</v>
      </c>
    </row>
    <row r="943" spans="1:28">
      <c r="A943" s="136"/>
      <c r="B943" s="102"/>
      <c r="C943" s="102"/>
      <c r="D943" s="102"/>
      <c r="E943" s="116">
        <f>+G943-Adjustments!H943</f>
        <v>0</v>
      </c>
      <c r="F943" s="116"/>
      <c r="G943" s="116"/>
      <c r="H943" s="116"/>
      <c r="I943" s="116"/>
      <c r="J943" s="116"/>
      <c r="K943" s="116"/>
      <c r="L943" s="116"/>
      <c r="M943" s="116"/>
      <c r="N943" s="116"/>
      <c r="O943" s="272"/>
      <c r="P943" s="240"/>
      <c r="Q943" s="116"/>
      <c r="R943" s="116"/>
      <c r="S943" s="240"/>
      <c r="T943" s="116"/>
      <c r="U943" s="116"/>
      <c r="V943" s="273"/>
      <c r="W943" s="116"/>
      <c r="X943" s="118"/>
      <c r="Y943" s="577">
        <f t="shared" si="43"/>
        <v>934</v>
      </c>
      <c r="AA943" s="116"/>
      <c r="AB943" s="116">
        <f t="shared" si="44"/>
        <v>0</v>
      </c>
    </row>
    <row r="944" spans="1:28">
      <c r="A944" s="136">
        <v>4114</v>
      </c>
      <c r="B944" s="102" t="s">
        <v>606</v>
      </c>
      <c r="C944" s="102"/>
      <c r="D944" s="102"/>
      <c r="E944" s="116">
        <f>+G944-Adjustments!H944</f>
        <v>0</v>
      </c>
      <c r="F944" s="116">
        <f>EXPENSES!G419</f>
        <v>0</v>
      </c>
      <c r="G944" s="116">
        <f>+Adjustments!AW931</f>
        <v>0</v>
      </c>
      <c r="H944" s="116"/>
      <c r="I944" s="116">
        <f>SUM($F$944:$H$944)</f>
        <v>0</v>
      </c>
      <c r="J944" s="116"/>
      <c r="K944" s="116"/>
      <c r="L944" s="116"/>
      <c r="M944" s="116"/>
      <c r="N944" s="116"/>
      <c r="O944" s="272"/>
      <c r="P944" s="207" t="s">
        <v>560</v>
      </c>
      <c r="Q944" s="116">
        <f>IF(P944="G",M944,IF(P944="PT",0,ERR))</f>
        <v>0</v>
      </c>
      <c r="R944" s="116">
        <f>IF(P944="PT",M944,IF(P944="G",0,ERR))</f>
        <v>0</v>
      </c>
      <c r="S944" s="240" t="s">
        <v>560</v>
      </c>
      <c r="T944" s="116">
        <f>IF(S944="G",N944,IF(S944="PT",0,ERR))</f>
        <v>0</v>
      </c>
      <c r="U944" s="116">
        <f>IF(S944="PT",N944,IF(S944="G",0,ERR))</f>
        <v>0</v>
      </c>
      <c r="V944" s="273"/>
      <c r="W944" s="116">
        <f>HLOOKUP($W$9,'ROR-Model'!$Q$10:$U$1263,Y944)</f>
        <v>0</v>
      </c>
      <c r="X944" s="118"/>
      <c r="Y944" s="577">
        <f t="shared" si="43"/>
        <v>935</v>
      </c>
      <c r="AA944" s="116">
        <v>0</v>
      </c>
      <c r="AB944" s="116">
        <f t="shared" si="44"/>
        <v>0</v>
      </c>
    </row>
    <row r="945" spans="1:28">
      <c r="A945" s="136"/>
      <c r="B945" s="102"/>
      <c r="C945" s="102"/>
      <c r="D945" s="102"/>
      <c r="E945" s="116">
        <f>+G945-Adjustments!H945</f>
        <v>0</v>
      </c>
      <c r="F945" s="116"/>
      <c r="G945" s="116"/>
      <c r="H945" s="116"/>
      <c r="I945" s="116"/>
      <c r="J945" s="116"/>
      <c r="K945" s="116"/>
      <c r="L945" s="116"/>
      <c r="M945" s="116"/>
      <c r="N945" s="116"/>
      <c r="O945" s="272"/>
      <c r="P945" s="240"/>
      <c r="Q945" s="116"/>
      <c r="R945" s="116"/>
      <c r="S945" s="240"/>
      <c r="T945" s="116"/>
      <c r="U945" s="116"/>
      <c r="V945" s="273"/>
      <c r="W945" s="116"/>
      <c r="X945" s="118"/>
      <c r="Y945" s="577">
        <f t="shared" si="43"/>
        <v>936</v>
      </c>
      <c r="AA945" s="116"/>
      <c r="AB945" s="116">
        <f t="shared" si="44"/>
        <v>0</v>
      </c>
    </row>
    <row r="946" spans="1:28">
      <c r="A946" s="227"/>
      <c r="B946" s="102"/>
      <c r="C946" s="102"/>
      <c r="D946" s="102"/>
      <c r="E946" s="116">
        <f>+G946-Adjustments!H946</f>
        <v>0</v>
      </c>
      <c r="F946" s="116"/>
      <c r="G946" s="116"/>
      <c r="H946" s="116"/>
      <c r="I946" s="116"/>
      <c r="J946" s="116"/>
      <c r="K946" s="116"/>
      <c r="L946" s="116"/>
      <c r="M946" s="116"/>
      <c r="N946" s="116"/>
      <c r="O946" s="272"/>
      <c r="P946" s="207"/>
      <c r="Q946" s="116"/>
      <c r="R946" s="116"/>
      <c r="S946" s="240"/>
      <c r="T946" s="116"/>
      <c r="U946" s="116"/>
      <c r="V946" s="273"/>
      <c r="W946" s="116"/>
      <c r="X946" s="118"/>
      <c r="Y946" s="577">
        <f t="shared" si="43"/>
        <v>937</v>
      </c>
      <c r="AA946" s="116"/>
      <c r="AB946" s="116">
        <f t="shared" si="44"/>
        <v>0</v>
      </c>
    </row>
    <row r="947" spans="1:28">
      <c r="A947" s="227"/>
      <c r="B947" s="102"/>
      <c r="C947" s="102"/>
      <c r="D947" s="102"/>
      <c r="E947" s="116">
        <f>+G947-Adjustments!H947</f>
        <v>0</v>
      </c>
      <c r="F947" s="116"/>
      <c r="G947" s="116"/>
      <c r="H947" s="116"/>
      <c r="I947" s="116"/>
      <c r="J947" s="116"/>
      <c r="K947" s="116"/>
      <c r="L947" s="116"/>
      <c r="M947" s="116"/>
      <c r="N947" s="116"/>
      <c r="O947" s="272"/>
      <c r="P947" s="240"/>
      <c r="Q947" s="116"/>
      <c r="R947" s="116"/>
      <c r="S947" s="240"/>
      <c r="T947" s="116"/>
      <c r="U947" s="116"/>
      <c r="V947" s="273"/>
      <c r="W947" s="116"/>
      <c r="X947" s="118"/>
      <c r="Y947" s="577">
        <f t="shared" si="43"/>
        <v>938</v>
      </c>
      <c r="AA947" s="116"/>
      <c r="AB947" s="116">
        <f t="shared" si="44"/>
        <v>0</v>
      </c>
    </row>
    <row r="948" spans="1:28">
      <c r="A948" s="227"/>
      <c r="B948" s="102"/>
      <c r="C948" s="102"/>
      <c r="D948" s="102"/>
      <c r="E948" s="116">
        <f>+G948-Adjustments!H948</f>
        <v>0</v>
      </c>
      <c r="F948" s="116"/>
      <c r="G948" s="116"/>
      <c r="H948" s="116"/>
      <c r="I948" s="116"/>
      <c r="J948" s="116"/>
      <c r="K948" s="116"/>
      <c r="L948" s="116"/>
      <c r="M948" s="116"/>
      <c r="N948" s="116"/>
      <c r="O948" s="272"/>
      <c r="P948" s="207"/>
      <c r="Q948" s="116"/>
      <c r="R948" s="116"/>
      <c r="S948" s="240"/>
      <c r="T948" s="116"/>
      <c r="U948" s="116"/>
      <c r="V948" s="273"/>
      <c r="W948" s="116"/>
      <c r="X948" s="118"/>
      <c r="Y948" s="577">
        <f t="shared" si="43"/>
        <v>939</v>
      </c>
      <c r="AA948" s="116"/>
      <c r="AB948" s="116">
        <f t="shared" si="44"/>
        <v>0</v>
      </c>
    </row>
    <row r="949" spans="1:28" ht="13.5" thickBot="1">
      <c r="A949" s="227"/>
      <c r="B949" s="102"/>
      <c r="C949" s="102"/>
      <c r="D949" s="102"/>
      <c r="E949" s="236">
        <f>+G949-Adjustments!H949</f>
        <v>0</v>
      </c>
      <c r="F949" s="236"/>
      <c r="G949" s="236"/>
      <c r="H949" s="236"/>
      <c r="I949" s="236"/>
      <c r="J949" s="116"/>
      <c r="K949" s="116"/>
      <c r="L949" s="236"/>
      <c r="M949" s="236"/>
      <c r="N949" s="236"/>
      <c r="O949" s="272"/>
      <c r="P949" s="731"/>
      <c r="Q949" s="236"/>
      <c r="R949" s="236"/>
      <c r="S949" s="731"/>
      <c r="T949" s="236"/>
      <c r="U949" s="236"/>
      <c r="V949" s="273"/>
      <c r="W949" s="236"/>
      <c r="X949" s="118"/>
      <c r="Y949" s="577">
        <f t="shared" si="43"/>
        <v>940</v>
      </c>
      <c r="AA949" s="236"/>
      <c r="AB949" s="116">
        <f t="shared" si="44"/>
        <v>0</v>
      </c>
    </row>
    <row r="950" spans="1:28">
      <c r="A950" s="227"/>
      <c r="B950" s="49" t="s">
        <v>658</v>
      </c>
      <c r="C950" s="102"/>
      <c r="D950" s="102"/>
      <c r="E950" s="116">
        <f ca="1">+G950-Adjustments!H950</f>
        <v>824153.35353637184</v>
      </c>
      <c r="F950" s="116">
        <f>F934+F936+F938+F940+F942+F944+F946+F948</f>
        <v>69902400.159999996</v>
      </c>
      <c r="G950" s="116">
        <f ca="1">G934+G936+G938+G940+G942+G944+G946+G948</f>
        <v>824153.35353637184</v>
      </c>
      <c r="H950" s="116">
        <f ca="1">H934+H936+H938+H940+H942+H944+H946+H948</f>
        <v>-19245597.568459932</v>
      </c>
      <c r="I950" s="116">
        <f ca="1">I934+I936+I938+I940+I942+I944+I946+I948</f>
        <v>51480955.945076428</v>
      </c>
      <c r="J950" s="116"/>
      <c r="K950" s="116"/>
      <c r="L950" s="116"/>
      <c r="M950" s="116">
        <f ca="1">M934+M936+M938+M940+M942+M944+M946+M948</f>
        <v>49821571.39085573</v>
      </c>
      <c r="N950" s="116">
        <f ca="1">N934+N936+N938+N940+N942+N944+N946+N948</f>
        <v>-31175458.117399205</v>
      </c>
      <c r="O950" s="272"/>
      <c r="P950" s="240"/>
      <c r="Q950" s="116">
        <f ca="1">Q934+Q936+Q938+Q940+Q942+Q944+Q946+Q948</f>
        <v>49821571.39085573</v>
      </c>
      <c r="R950" s="116">
        <f>R934+R936+R938+R940+R942+R944+R946+R948</f>
        <v>2.9510114073753353E-8</v>
      </c>
      <c r="S950" s="240"/>
      <c r="T950" s="116">
        <f ca="1">T934+T936+T938+T940+T942+T944+T946+T948</f>
        <v>-31175458.117399205</v>
      </c>
      <c r="U950" s="116">
        <f>U934+U936+U938+U940+U942+U944+U946+U948</f>
        <v>36338.805901153894</v>
      </c>
      <c r="V950" s="273"/>
      <c r="W950" s="116">
        <f ca="1">HLOOKUP($W$9,'ROR-Model'!$Q$10:$U$1263,Y950)</f>
        <v>49821571.39085573</v>
      </c>
      <c r="X950" s="118"/>
      <c r="Y950" s="577">
        <f t="shared" si="43"/>
        <v>941</v>
      </c>
      <c r="AA950" s="116">
        <v>56642159.96390669</v>
      </c>
      <c r="AB950" s="116">
        <f t="shared" ca="1" si="44"/>
        <v>-6820588.5730509609</v>
      </c>
    </row>
    <row r="951" spans="1:28" ht="13.5" thickBot="1">
      <c r="A951" s="227"/>
      <c r="B951" s="102"/>
      <c r="C951" s="102"/>
      <c r="D951" s="102"/>
      <c r="E951" s="235">
        <f>+G951-Adjustments!H951</f>
        <v>0</v>
      </c>
      <c r="F951" s="235"/>
      <c r="G951" s="235"/>
      <c r="H951" s="235"/>
      <c r="I951" s="235"/>
      <c r="J951" s="116"/>
      <c r="K951" s="116"/>
      <c r="L951" s="235"/>
      <c r="M951" s="235"/>
      <c r="N951" s="235"/>
      <c r="O951" s="272"/>
      <c r="P951" s="613"/>
      <c r="Q951" s="235"/>
      <c r="R951" s="235"/>
      <c r="S951" s="613"/>
      <c r="T951" s="235"/>
      <c r="U951" s="235"/>
      <c r="V951" s="273"/>
      <c r="W951" s="235"/>
      <c r="X951" s="118"/>
      <c r="Y951" s="577">
        <f t="shared" si="43"/>
        <v>942</v>
      </c>
      <c r="AA951" s="235"/>
      <c r="AB951" s="116">
        <f t="shared" si="44"/>
        <v>0</v>
      </c>
    </row>
    <row r="952" spans="1:28" ht="13.5" thickTop="1">
      <c r="A952" s="227"/>
      <c r="B952" s="102"/>
      <c r="C952" s="102"/>
      <c r="D952" s="102"/>
      <c r="E952" s="116">
        <f>+G952-Adjustments!H952</f>
        <v>0</v>
      </c>
      <c r="F952" s="116"/>
      <c r="G952" s="116"/>
      <c r="H952" s="116"/>
      <c r="I952" s="116"/>
      <c r="J952" s="116"/>
      <c r="K952" s="116"/>
      <c r="L952" s="116"/>
      <c r="M952" s="116"/>
      <c r="N952" s="116"/>
      <c r="O952" s="272"/>
      <c r="P952" s="240"/>
      <c r="Q952" s="116"/>
      <c r="R952" s="116"/>
      <c r="S952" s="240"/>
      <c r="T952" s="116"/>
      <c r="U952" s="116"/>
      <c r="V952" s="273"/>
      <c r="W952" s="116"/>
      <c r="X952" s="118"/>
      <c r="Y952" s="577">
        <f t="shared" si="43"/>
        <v>943</v>
      </c>
      <c r="AA952" s="116"/>
      <c r="AB952" s="116">
        <f t="shared" si="44"/>
        <v>0</v>
      </c>
    </row>
    <row r="953" spans="1:28">
      <c r="A953" s="36"/>
      <c r="B953" s="49" t="s">
        <v>655</v>
      </c>
      <c r="C953" s="102"/>
      <c r="D953" s="102"/>
      <c r="E953" s="116">
        <f ca="1">+G953-Adjustments!H953</f>
        <v>8423424.7881676275</v>
      </c>
      <c r="F953" s="116">
        <f>F926+F950</f>
        <v>136637333.93000001</v>
      </c>
      <c r="G953" s="116">
        <f ca="1">G926+G950</f>
        <v>8423424.7881676275</v>
      </c>
      <c r="H953" s="116">
        <f ca="1">H926+H950</f>
        <v>-19245597.568459932</v>
      </c>
      <c r="I953" s="116">
        <f ca="1">I926+I950</f>
        <v>125815161.14970767</v>
      </c>
      <c r="J953" s="116"/>
      <c r="K953" s="116"/>
      <c r="L953" s="116"/>
      <c r="M953" s="116">
        <f ca="1">M926+M950</f>
        <v>121601114.74947374</v>
      </c>
      <c r="N953" s="116">
        <f ca="1">N926+N950</f>
        <v>-28620796.271385945</v>
      </c>
      <c r="O953" s="272"/>
      <c r="P953" s="240"/>
      <c r="Q953" s="116">
        <f ca="1">Q926+Q950</f>
        <v>121601114.74947374</v>
      </c>
      <c r="R953" s="116">
        <f>R926+R950</f>
        <v>2.9510114073753353E-8</v>
      </c>
      <c r="S953" s="240"/>
      <c r="T953" s="116">
        <f ca="1">T926+T950</f>
        <v>-28644259.466793116</v>
      </c>
      <c r="U953" s="116">
        <f>U926+U950</f>
        <v>59802.001308324718</v>
      </c>
      <c r="V953" s="273"/>
      <c r="W953" s="116">
        <f ca="1">HLOOKUP($W$9,'ROR-Model'!$Q$10:$U$1263,Y953)</f>
        <v>121601114.74947374</v>
      </c>
      <c r="X953" s="118"/>
      <c r="Y953" s="577">
        <f t="shared" si="43"/>
        <v>944</v>
      </c>
      <c r="AA953" s="116">
        <v>121325382.03200166</v>
      </c>
      <c r="AB953" s="116">
        <f t="shared" ca="1" si="44"/>
        <v>275732.71747207642</v>
      </c>
    </row>
    <row r="954" spans="1:28" ht="13.5" thickBot="1">
      <c r="A954" s="227"/>
      <c r="B954" s="102"/>
      <c r="C954" s="102"/>
      <c r="D954" s="102"/>
      <c r="E954" s="235">
        <f>+G954-Adjustments!H954</f>
        <v>0</v>
      </c>
      <c r="F954" s="235"/>
      <c r="G954" s="235"/>
      <c r="H954" s="235"/>
      <c r="I954" s="235"/>
      <c r="J954" s="116"/>
      <c r="K954" s="116"/>
      <c r="L954" s="235"/>
      <c r="M954" s="235"/>
      <c r="N954" s="235"/>
      <c r="O954" s="272"/>
      <c r="P954" s="613"/>
      <c r="Q954" s="235"/>
      <c r="R954" s="235"/>
      <c r="S954" s="613"/>
      <c r="T954" s="235"/>
      <c r="U954" s="235"/>
      <c r="V954" s="273"/>
      <c r="W954" s="235"/>
      <c r="X954" s="118"/>
      <c r="Y954" s="577">
        <f t="shared" si="43"/>
        <v>945</v>
      </c>
      <c r="AA954" s="235"/>
      <c r="AB954" s="116">
        <f t="shared" si="44"/>
        <v>0</v>
      </c>
    </row>
    <row r="955" spans="1:28" ht="13.5" thickTop="1">
      <c r="A955" s="227"/>
      <c r="B955" s="102"/>
      <c r="C955" s="102"/>
      <c r="D955" s="102"/>
      <c r="E955" s="116">
        <f>+G955-Adjustments!H955</f>
        <v>0</v>
      </c>
      <c r="F955" s="116"/>
      <c r="G955" s="116"/>
      <c r="H955" s="116"/>
      <c r="I955" s="116"/>
      <c r="J955" s="116"/>
      <c r="K955" s="116"/>
      <c r="L955" s="116"/>
      <c r="M955" s="116"/>
      <c r="N955" s="116"/>
      <c r="O955" s="272"/>
      <c r="P955" s="240"/>
      <c r="Q955" s="116"/>
      <c r="R955" s="116"/>
      <c r="S955" s="240"/>
      <c r="T955" s="116"/>
      <c r="U955" s="116"/>
      <c r="V955" s="273"/>
      <c r="W955" s="116"/>
      <c r="X955" s="118"/>
      <c r="Y955" s="577">
        <f t="shared" si="43"/>
        <v>946</v>
      </c>
      <c r="AA955" s="116"/>
      <c r="AB955" s="116">
        <f t="shared" si="44"/>
        <v>0</v>
      </c>
    </row>
    <row r="956" spans="1:28">
      <c r="A956" s="36" t="s">
        <v>654</v>
      </c>
      <c r="B956" s="102"/>
      <c r="C956" s="102"/>
      <c r="D956" s="102"/>
      <c r="E956" s="116">
        <f ca="1">+G956-Adjustments!H956</f>
        <v>-12683051.342164999</v>
      </c>
      <c r="F956" s="116">
        <f>F640+F905+F953</f>
        <v>830021115.96595287</v>
      </c>
      <c r="G956" s="116">
        <f ca="1">G640+G905+G953</f>
        <v>-12683051.342164999</v>
      </c>
      <c r="H956" s="116">
        <f ca="1">H640+H905+H953</f>
        <v>-19245597.568459932</v>
      </c>
      <c r="I956" s="116">
        <f ca="1">I640+I905+I953</f>
        <v>798092467.05532777</v>
      </c>
      <c r="J956" s="116"/>
      <c r="K956" s="116"/>
      <c r="L956" s="116"/>
      <c r="M956" s="733">
        <f ca="1">M640+M905+M953</f>
        <v>770043597.93725479</v>
      </c>
      <c r="N956" s="733">
        <f ca="1">N640+N905+N953</f>
        <v>-4785973.5535468608</v>
      </c>
      <c r="O956" s="272"/>
      <c r="P956" s="240"/>
      <c r="Q956" s="116">
        <f ca="1">Q640+Q905+Q953</f>
        <v>243632071.20648128</v>
      </c>
      <c r="R956" s="116">
        <f>R640+R905+R953</f>
        <v>526411526.73077357</v>
      </c>
      <c r="S956" s="240"/>
      <c r="T956" s="116">
        <f ca="1">T640+T905+T953</f>
        <v>-23014437.680655532</v>
      </c>
      <c r="U956" s="116">
        <f>U640+U905+U953</f>
        <v>18264802.933009826</v>
      </c>
      <c r="V956" s="273"/>
      <c r="W956" s="116">
        <f ca="1">HLOOKUP($W$9,'ROR-Model'!$Q$10:$U$1263,Y956)</f>
        <v>243632071.20648128</v>
      </c>
      <c r="X956" s="118"/>
      <c r="Y956" s="577">
        <f t="shared" si="43"/>
        <v>947</v>
      </c>
      <c r="AA956" s="116">
        <v>259468445.56918824</v>
      </c>
      <c r="AB956" s="116">
        <f t="shared" ca="1" si="44"/>
        <v>-15836374.362706959</v>
      </c>
    </row>
    <row r="957" spans="1:28">
      <c r="A957" s="227"/>
      <c r="B957" s="102"/>
      <c r="C957" s="102"/>
      <c r="D957" s="102"/>
      <c r="E957" s="116">
        <f>+G957-Adjustments!H957</f>
        <v>0</v>
      </c>
      <c r="F957" s="116"/>
      <c r="G957" s="116"/>
      <c r="H957" s="116"/>
      <c r="I957" s="116"/>
      <c r="J957" s="116"/>
      <c r="K957" s="116"/>
      <c r="L957" s="116"/>
      <c r="M957" s="116"/>
      <c r="N957" s="116"/>
      <c r="O957" s="272"/>
      <c r="P957" s="240"/>
      <c r="Q957" s="116"/>
      <c r="R957" s="116"/>
      <c r="S957" s="240"/>
      <c r="T957" s="116"/>
      <c r="U957" s="116"/>
      <c r="V957" s="273"/>
      <c r="W957" s="116"/>
      <c r="X957" s="118"/>
      <c r="Y957" s="577">
        <f t="shared" si="43"/>
        <v>948</v>
      </c>
      <c r="AA957" s="116"/>
      <c r="AB957" s="116">
        <f t="shared" si="44"/>
        <v>0</v>
      </c>
    </row>
    <row r="958" spans="1:28">
      <c r="A958" s="36"/>
      <c r="B958" s="14"/>
      <c r="C958" s="14"/>
      <c r="D958" s="14"/>
      <c r="E958" s="582">
        <f>+G958-Adjustments!H958</f>
        <v>0</v>
      </c>
      <c r="F958" s="582"/>
      <c r="G958" s="582"/>
      <c r="H958" s="582"/>
      <c r="I958" s="582"/>
      <c r="J958" s="116"/>
      <c r="K958" s="582"/>
      <c r="L958" s="582"/>
      <c r="M958" s="582"/>
      <c r="N958" s="582"/>
      <c r="O958" s="42"/>
      <c r="P958" s="582"/>
      <c r="Q958" s="582"/>
      <c r="R958" s="582"/>
      <c r="S958" s="582"/>
      <c r="T958" s="582"/>
      <c r="U958" s="582"/>
      <c r="V958" s="273"/>
      <c r="W958" s="1256"/>
      <c r="X958" s="118"/>
      <c r="Y958" s="577">
        <f t="shared" si="43"/>
        <v>949</v>
      </c>
      <c r="AA958" s="1256"/>
      <c r="AB958" s="116">
        <f t="shared" si="44"/>
        <v>0</v>
      </c>
    </row>
    <row r="959" spans="1:28">
      <c r="A959" s="1549" t="s">
        <v>297</v>
      </c>
      <c r="B959" s="1549"/>
      <c r="C959" s="1549"/>
      <c r="D959" s="1549"/>
      <c r="E959" s="116">
        <f>+G959-Adjustments!H959</f>
        <v>0</v>
      </c>
      <c r="F959" s="116"/>
      <c r="G959" s="116"/>
      <c r="H959" s="116"/>
      <c r="I959" s="116"/>
      <c r="J959" s="116"/>
      <c r="K959" s="116"/>
      <c r="L959" s="116"/>
      <c r="M959" s="116"/>
      <c r="N959" s="116"/>
      <c r="O959" s="272"/>
      <c r="P959" s="240"/>
      <c r="Q959" s="116"/>
      <c r="R959" s="116"/>
      <c r="S959" s="240"/>
      <c r="T959" s="116"/>
      <c r="U959" s="116"/>
      <c r="V959" s="273"/>
      <c r="W959" s="116"/>
      <c r="X959" s="118"/>
      <c r="Y959" s="577">
        <f t="shared" si="43"/>
        <v>950</v>
      </c>
      <c r="AA959" s="116"/>
      <c r="AB959" s="116">
        <f t="shared" si="44"/>
        <v>0</v>
      </c>
    </row>
    <row r="960" spans="1:28">
      <c r="A960" s="565"/>
      <c r="B960" s="565"/>
      <c r="C960" s="565"/>
      <c r="D960" s="565"/>
      <c r="E960" s="116">
        <f>+G960-Adjustments!H960</f>
        <v>0</v>
      </c>
      <c r="F960" s="116"/>
      <c r="G960" s="116"/>
      <c r="H960" s="116"/>
      <c r="I960" s="116"/>
      <c r="J960" s="116"/>
      <c r="K960" s="116"/>
      <c r="L960" s="116"/>
      <c r="M960" s="116"/>
      <c r="N960" s="116"/>
      <c r="O960" s="272"/>
      <c r="P960" s="240"/>
      <c r="Q960" s="116"/>
      <c r="R960" s="116"/>
      <c r="S960" s="240"/>
      <c r="T960" s="116"/>
      <c r="U960" s="116"/>
      <c r="V960" s="273"/>
      <c r="W960" s="116"/>
      <c r="X960" s="118"/>
      <c r="Y960" s="577">
        <f t="shared" si="43"/>
        <v>951</v>
      </c>
      <c r="AA960" s="116"/>
      <c r="AB960" s="116">
        <f t="shared" si="44"/>
        <v>0</v>
      </c>
    </row>
    <row r="961" spans="1:28">
      <c r="A961" s="36" t="s">
        <v>302</v>
      </c>
      <c r="B961" s="102"/>
      <c r="C961" s="102"/>
      <c r="D961" s="102"/>
      <c r="E961" s="116">
        <f>+G961-Adjustments!H961</f>
        <v>0</v>
      </c>
      <c r="F961" s="116"/>
      <c r="G961" s="116"/>
      <c r="H961" s="116"/>
      <c r="I961" s="116"/>
      <c r="J961" s="116"/>
      <c r="K961" s="116"/>
      <c r="L961" s="116"/>
      <c r="M961" s="116"/>
      <c r="N961" s="116"/>
      <c r="O961" s="272"/>
      <c r="P961" s="240"/>
      <c r="Q961" s="116"/>
      <c r="R961" s="116"/>
      <c r="S961" s="240"/>
      <c r="T961" s="116"/>
      <c r="U961" s="116"/>
      <c r="V961" s="273"/>
      <c r="W961" s="116"/>
      <c r="X961" s="118"/>
      <c r="Y961" s="577">
        <f t="shared" si="43"/>
        <v>952</v>
      </c>
      <c r="AA961" s="116"/>
      <c r="AB961" s="116">
        <f t="shared" si="44"/>
        <v>0</v>
      </c>
    </row>
    <row r="962" spans="1:28">
      <c r="A962" s="36"/>
      <c r="B962" s="102"/>
      <c r="C962" s="102"/>
      <c r="D962" s="102"/>
      <c r="E962" s="116">
        <f>+G962-Adjustments!H962</f>
        <v>0</v>
      </c>
      <c r="F962" s="116"/>
      <c r="G962" s="116"/>
      <c r="H962" s="116"/>
      <c r="I962" s="116"/>
      <c r="J962" s="116"/>
      <c r="K962" s="116"/>
      <c r="L962" s="116"/>
      <c r="M962" s="116"/>
      <c r="N962" s="116"/>
      <c r="O962" s="272"/>
      <c r="P962" s="240"/>
      <c r="Q962" s="116"/>
      <c r="R962" s="116"/>
      <c r="S962" s="240"/>
      <c r="T962" s="116"/>
      <c r="U962" s="116"/>
      <c r="V962" s="273"/>
      <c r="W962" s="116"/>
      <c r="X962" s="118"/>
      <c r="Y962" s="577">
        <f t="shared" si="43"/>
        <v>953</v>
      </c>
      <c r="AA962" s="116"/>
      <c r="AB962" s="116">
        <f t="shared" si="44"/>
        <v>0</v>
      </c>
    </row>
    <row r="963" spans="1:28">
      <c r="A963" s="119" t="s">
        <v>715</v>
      </c>
      <c r="B963" s="102"/>
      <c r="C963" s="102"/>
      <c r="E963" s="116">
        <f>+G963-Adjustments!H963</f>
        <v>0</v>
      </c>
      <c r="F963" s="116"/>
      <c r="G963" s="116"/>
      <c r="H963" s="116"/>
      <c r="I963" s="116"/>
      <c r="J963" s="116"/>
      <c r="K963" s="116"/>
      <c r="L963" s="116"/>
      <c r="M963" s="116"/>
      <c r="N963" s="116"/>
      <c r="O963" s="272"/>
      <c r="P963" s="240"/>
      <c r="Q963" s="116"/>
      <c r="R963" s="116"/>
      <c r="S963" s="240"/>
      <c r="T963" s="116"/>
      <c r="U963" s="116"/>
      <c r="V963" s="273"/>
      <c r="W963" s="116"/>
      <c r="X963" s="118"/>
      <c r="Y963" s="577">
        <f t="shared" si="43"/>
        <v>954</v>
      </c>
      <c r="AA963" s="116"/>
      <c r="AB963" s="116">
        <f t="shared" si="44"/>
        <v>0</v>
      </c>
    </row>
    <row r="964" spans="1:28">
      <c r="A964" s="102" t="s">
        <v>217</v>
      </c>
      <c r="C964" s="102"/>
      <c r="E964" s="116">
        <f>+G964-Adjustments!H964</f>
        <v>0</v>
      </c>
      <c r="F964" s="116"/>
      <c r="G964" s="116"/>
      <c r="H964" s="116"/>
      <c r="I964" s="116"/>
      <c r="J964" s="116"/>
      <c r="K964" s="116"/>
      <c r="L964" s="116"/>
      <c r="M964" s="116"/>
      <c r="N964" s="116"/>
      <c r="O964" s="272"/>
      <c r="P964" s="240"/>
      <c r="Q964" s="116"/>
      <c r="R964" s="116"/>
      <c r="S964" s="240"/>
      <c r="T964" s="116"/>
      <c r="U964" s="116"/>
      <c r="V964" s="273"/>
      <c r="W964" s="116"/>
      <c r="X964" s="118"/>
      <c r="Y964" s="577">
        <f t="shared" si="43"/>
        <v>955</v>
      </c>
      <c r="AA964" s="116"/>
      <c r="AB964" s="116">
        <f t="shared" si="44"/>
        <v>0</v>
      </c>
    </row>
    <row r="965" spans="1:28">
      <c r="B965" s="102" t="s">
        <v>218</v>
      </c>
      <c r="C965" s="102" t="s">
        <v>219</v>
      </c>
      <c r="E965" s="116">
        <f>+G965-Adjustments!H965</f>
        <v>0</v>
      </c>
      <c r="F965" s="116"/>
      <c r="G965" s="116"/>
      <c r="H965" s="116"/>
      <c r="I965" s="116"/>
      <c r="J965" s="116"/>
      <c r="K965" s="116"/>
      <c r="L965" s="116"/>
      <c r="M965" s="116"/>
      <c r="N965" s="116"/>
      <c r="O965" s="272"/>
      <c r="P965" s="240"/>
      <c r="Q965" s="116"/>
      <c r="R965" s="116"/>
      <c r="S965" s="240"/>
      <c r="T965" s="116"/>
      <c r="U965" s="116"/>
      <c r="V965" s="273"/>
      <c r="W965" s="116"/>
      <c r="X965" s="118"/>
      <c r="Y965" s="577">
        <f t="shared" si="43"/>
        <v>956</v>
      </c>
      <c r="AA965" s="116"/>
      <c r="AB965" s="116">
        <f t="shared" si="44"/>
        <v>0</v>
      </c>
    </row>
    <row r="966" spans="1:28">
      <c r="B966" s="102"/>
      <c r="C966" s="102" t="s">
        <v>592</v>
      </c>
      <c r="E966" s="116">
        <f>+G966-Adjustments!H966</f>
        <v>0</v>
      </c>
      <c r="F966" s="116">
        <f>'Rate Base'!$AE$15</f>
        <v>10883.08</v>
      </c>
      <c r="G966" s="116">
        <f>+Adjustments!AW950</f>
        <v>0</v>
      </c>
      <c r="H966" s="116"/>
      <c r="I966" s="116">
        <f>SUM(F966:H966)</f>
        <v>10883.08</v>
      </c>
      <c r="J966" s="116"/>
      <c r="K966" s="116"/>
      <c r="L966" s="116" t="s">
        <v>24</v>
      </c>
      <c r="M966" s="116">
        <f>VLOOKUP($L966,$L$2:$N$7,2,FALSE)*I966</f>
        <v>0</v>
      </c>
      <c r="N966" s="116">
        <f>VLOOKUP($L966,$L$2:$N$7,3,FALSE)*I966</f>
        <v>10883.08</v>
      </c>
      <c r="O966" s="272"/>
      <c r="P966" s="207" t="s">
        <v>560</v>
      </c>
      <c r="Q966" s="116">
        <f>IF(P966="G",M966,IF(P966="PT",0,ERR))</f>
        <v>0</v>
      </c>
      <c r="R966" s="116">
        <f>IF(P966="PT",M966,IF(P966="G",0,ERR))</f>
        <v>0</v>
      </c>
      <c r="S966" s="240" t="s">
        <v>560</v>
      </c>
      <c r="T966" s="116">
        <f>IF(S966="G",N966,IF(S966="PT",0,ERR))</f>
        <v>10883.08</v>
      </c>
      <c r="U966" s="116">
        <f>IF(S966="PT",N966,IF(S966="G",0,ERR))</f>
        <v>0</v>
      </c>
      <c r="V966" s="273"/>
      <c r="W966" s="116">
        <f>HLOOKUP($W$9,'ROR-Model'!$Q$10:$U$1263,Y966)</f>
        <v>0</v>
      </c>
      <c r="X966" s="118"/>
      <c r="Y966" s="577">
        <f t="shared" si="43"/>
        <v>957</v>
      </c>
      <c r="AA966" s="116">
        <v>0</v>
      </c>
      <c r="AB966" s="116">
        <f t="shared" si="44"/>
        <v>0</v>
      </c>
    </row>
    <row r="967" spans="1:28">
      <c r="B967" s="102"/>
      <c r="C967" s="102" t="s">
        <v>593</v>
      </c>
      <c r="E967" s="116">
        <f>+G967-Adjustments!H967</f>
        <v>0</v>
      </c>
      <c r="F967" s="116">
        <f>'Rate Base'!$AE$16</f>
        <v>58742.880000000005</v>
      </c>
      <c r="G967" s="116">
        <f>+Adjustments!AW951</f>
        <v>0</v>
      </c>
      <c r="H967" s="116"/>
      <c r="I967" s="116">
        <f>SUM(F967:H967)</f>
        <v>58742.880000000005</v>
      </c>
      <c r="J967" s="116"/>
      <c r="K967" s="116"/>
      <c r="L967" s="116" t="s">
        <v>14</v>
      </c>
      <c r="M967" s="116">
        <f>VLOOKUP($L967,$L$2:$N$7,2,FALSE)*I967</f>
        <v>58742.880000000005</v>
      </c>
      <c r="N967" s="116">
        <f>VLOOKUP($L967,$L$2:$N$7,3,FALSE)*I967</f>
        <v>0</v>
      </c>
      <c r="O967" s="272"/>
      <c r="P967" s="207" t="s">
        <v>560</v>
      </c>
      <c r="Q967" s="116">
        <f>IF(P967="G",M967,IF(P967="PT",0,ERR))</f>
        <v>58742.880000000005</v>
      </c>
      <c r="R967" s="116">
        <f>IF(P967="PT",M967,IF(P967="G",0,ERR))</f>
        <v>0</v>
      </c>
      <c r="S967" s="240" t="s">
        <v>560</v>
      </c>
      <c r="T967" s="116">
        <f>IF(S967="G",N967,IF(S967="PT",0,ERR))</f>
        <v>0</v>
      </c>
      <c r="U967" s="116">
        <f>IF(S967="PT",N967,IF(S967="G",0,ERR))</f>
        <v>0</v>
      </c>
      <c r="V967" s="273"/>
      <c r="W967" s="116">
        <f>HLOOKUP($W$9,'ROR-Model'!$Q$10:$U$1263,Y967)</f>
        <v>58742.880000000005</v>
      </c>
      <c r="X967" s="118"/>
      <c r="Y967" s="577">
        <f t="shared" si="43"/>
        <v>958</v>
      </c>
      <c r="AA967" s="116">
        <v>58742.880000000005</v>
      </c>
      <c r="AB967" s="116">
        <f t="shared" si="44"/>
        <v>0</v>
      </c>
    </row>
    <row r="968" spans="1:28">
      <c r="B968" s="14"/>
      <c r="C968" s="102"/>
      <c r="E968" s="116">
        <f>+G968-Adjustments!H968</f>
        <v>0</v>
      </c>
      <c r="F968" s="116"/>
      <c r="G968" s="116"/>
      <c r="H968" s="116"/>
      <c r="I968" s="116"/>
      <c r="J968" s="116"/>
      <c r="K968" s="116"/>
      <c r="L968" s="116"/>
      <c r="M968" s="116"/>
      <c r="N968" s="116"/>
      <c r="O968" s="272"/>
      <c r="P968" s="240"/>
      <c r="Q968" s="116"/>
      <c r="R968" s="116"/>
      <c r="S968" s="240"/>
      <c r="T968" s="116"/>
      <c r="U968" s="116"/>
      <c r="V968" s="273"/>
      <c r="W968" s="116"/>
      <c r="X968" s="118"/>
      <c r="Y968" s="577">
        <f t="shared" si="43"/>
        <v>959</v>
      </c>
      <c r="AA968" s="116"/>
      <c r="AB968" s="116">
        <f t="shared" si="44"/>
        <v>0</v>
      </c>
    </row>
    <row r="969" spans="1:28">
      <c r="B969" s="102"/>
      <c r="C969" s="102" t="s">
        <v>220</v>
      </c>
      <c r="E969" s="116">
        <f>+G969-Adjustments!H969</f>
        <v>0</v>
      </c>
      <c r="F969" s="116">
        <f>SUM(F966:F967)</f>
        <v>69625.960000000006</v>
      </c>
      <c r="G969" s="116">
        <f>SUM(G966:G967)</f>
        <v>0</v>
      </c>
      <c r="H969" s="116"/>
      <c r="I969" s="116">
        <f>SUM(I966:I967)</f>
        <v>69625.960000000006</v>
      </c>
      <c r="J969" s="116"/>
      <c r="K969" s="116"/>
      <c r="L969" s="116"/>
      <c r="M969" s="116">
        <f>SUM(M966:M967)</f>
        <v>58742.880000000005</v>
      </c>
      <c r="N969" s="116">
        <f>SUM(N966:N967)</f>
        <v>10883.08</v>
      </c>
      <c r="O969" s="272"/>
      <c r="P969" s="240"/>
      <c r="Q969" s="116">
        <f>SUM(Q966:Q967)</f>
        <v>58742.880000000005</v>
      </c>
      <c r="R969" s="116">
        <f>SUM(R966:R967)</f>
        <v>0</v>
      </c>
      <c r="S969" s="240"/>
      <c r="T969" s="116">
        <f>SUM(T966:T967)</f>
        <v>10883.08</v>
      </c>
      <c r="U969" s="116">
        <f>SUM(U966:U967)</f>
        <v>0</v>
      </c>
      <c r="V969" s="273"/>
      <c r="W969" s="116">
        <f>SUM(W966:W967)</f>
        <v>58742.880000000005</v>
      </c>
      <c r="X969" s="118"/>
      <c r="Y969" s="577">
        <f t="shared" si="43"/>
        <v>960</v>
      </c>
      <c r="AA969" s="116">
        <v>58742.880000000005</v>
      </c>
      <c r="AB969" s="116">
        <f t="shared" si="44"/>
        <v>0</v>
      </c>
    </row>
    <row r="970" spans="1:28">
      <c r="A970" s="102"/>
      <c r="B970" s="102"/>
      <c r="C970" s="102"/>
      <c r="E970" s="116">
        <f>+G970-Adjustments!H970</f>
        <v>0</v>
      </c>
      <c r="F970" s="116"/>
      <c r="G970" s="116"/>
      <c r="H970" s="116"/>
      <c r="I970" s="116"/>
      <c r="J970" s="116"/>
      <c r="K970" s="116"/>
      <c r="L970" s="116"/>
      <c r="M970" s="116"/>
      <c r="N970" s="116"/>
      <c r="O970" s="272"/>
      <c r="P970" s="240"/>
      <c r="Q970" s="116"/>
      <c r="R970" s="116"/>
      <c r="S970" s="240"/>
      <c r="T970" s="116"/>
      <c r="U970" s="116"/>
      <c r="V970" s="273"/>
      <c r="W970" s="116"/>
      <c r="X970" s="118"/>
      <c r="Y970" s="577">
        <f t="shared" si="43"/>
        <v>961</v>
      </c>
      <c r="AA970" s="116"/>
      <c r="AB970" s="116">
        <f t="shared" si="44"/>
        <v>0</v>
      </c>
    </row>
    <row r="971" spans="1:28">
      <c r="A971" s="102" t="s">
        <v>221</v>
      </c>
      <c r="C971" s="102"/>
      <c r="E971" s="116">
        <f>+G971-Adjustments!H971</f>
        <v>0</v>
      </c>
      <c r="F971" s="116"/>
      <c r="G971" s="116"/>
      <c r="H971" s="116"/>
      <c r="I971" s="116"/>
      <c r="J971" s="116"/>
      <c r="K971" s="116"/>
      <c r="L971" s="116"/>
      <c r="M971" s="116"/>
      <c r="N971" s="116"/>
      <c r="O971" s="272"/>
      <c r="P971" s="240"/>
      <c r="Q971" s="116"/>
      <c r="R971" s="116"/>
      <c r="S971" s="240"/>
      <c r="T971" s="116"/>
      <c r="U971" s="116"/>
      <c r="V971" s="273"/>
      <c r="W971" s="116"/>
      <c r="X971" s="118"/>
      <c r="Y971" s="577">
        <f t="shared" si="43"/>
        <v>962</v>
      </c>
      <c r="AA971" s="116"/>
      <c r="AB971" s="116">
        <f t="shared" si="44"/>
        <v>0</v>
      </c>
    </row>
    <row r="972" spans="1:28">
      <c r="B972" s="253" t="s">
        <v>222</v>
      </c>
      <c r="C972" s="102" t="s">
        <v>223</v>
      </c>
      <c r="E972" s="116">
        <f>+G972-Adjustments!H972</f>
        <v>-394814.74346999993</v>
      </c>
      <c r="F972" s="116">
        <f>'Rate Base'!$AE$21</f>
        <v>6266900.6900000004</v>
      </c>
      <c r="G972" s="116">
        <f>+Adjustments!AW956</f>
        <v>-394814.74346999993</v>
      </c>
      <c r="H972" s="116"/>
      <c r="I972" s="116">
        <f t="shared" ref="I972:I978" si="46">SUM(F972:H972)</f>
        <v>5872085.9465300003</v>
      </c>
      <c r="J972" s="116"/>
      <c r="K972" s="116"/>
      <c r="L972" s="116" t="s">
        <v>693</v>
      </c>
      <c r="M972" s="116">
        <f t="shared" ref="M972:M978" si="47">VLOOKUP($L972,$L$2:$N$7,2,FALSE)*I972</f>
        <v>5665386.0369297555</v>
      </c>
      <c r="N972" s="116">
        <f t="shared" ref="N972:N978" si="48">VLOOKUP($L972,$L$2:$N$7,3,FALSE)*I972</f>
        <v>206699.90960024405</v>
      </c>
      <c r="O972" s="272"/>
      <c r="P972" s="207" t="s">
        <v>560</v>
      </c>
      <c r="Q972" s="116">
        <f t="shared" ref="Q972:Q978" si="49">IF(P972="G",M972,IF(P972="PT",0,ERR))</f>
        <v>5665386.0369297555</v>
      </c>
      <c r="R972" s="116">
        <f t="shared" ref="R972:R978" si="50">IF(P972="PT",M972,IF(P972="G",0,ERR))</f>
        <v>0</v>
      </c>
      <c r="S972" s="240" t="s">
        <v>559</v>
      </c>
      <c r="T972" s="116">
        <f t="shared" ref="T972:T978" si="51">IF(S972="G",N972,IF(S972="PT",0,ERR))</f>
        <v>0</v>
      </c>
      <c r="U972" s="116">
        <f t="shared" ref="U972:U978" si="52">IF(S972="PT",N972,IF(S972="G",0,ERR))</f>
        <v>206699.90960024405</v>
      </c>
      <c r="V972" s="273"/>
      <c r="W972" s="116">
        <f>HLOOKUP($W$9,'ROR-Model'!$Q$10:$U$1263,Y972)</f>
        <v>5665386.0369297555</v>
      </c>
      <c r="X972" s="118"/>
      <c r="Y972" s="577">
        <f t="shared" si="43"/>
        <v>963</v>
      </c>
      <c r="AA972" s="116">
        <v>5665386.0369297555</v>
      </c>
      <c r="AB972" s="116">
        <f t="shared" si="44"/>
        <v>0</v>
      </c>
    </row>
    <row r="973" spans="1:28">
      <c r="B973" s="253" t="s">
        <v>224</v>
      </c>
      <c r="C973" s="102" t="s">
        <v>225</v>
      </c>
      <c r="E973" s="116">
        <f>+G973-Adjustments!H973</f>
        <v>-90566.783370000005</v>
      </c>
      <c r="F973" s="116">
        <f>'Rate Base'!$AE$22</f>
        <v>1437567.99</v>
      </c>
      <c r="G973" s="116">
        <f>+Adjustments!AW957</f>
        <v>-90566.783370000005</v>
      </c>
      <c r="H973" s="116"/>
      <c r="I973" s="116">
        <f t="shared" si="46"/>
        <v>1347001.2066299999</v>
      </c>
      <c r="J973" s="116"/>
      <c r="K973" s="116"/>
      <c r="L973" s="116" t="s">
        <v>693</v>
      </c>
      <c r="M973" s="116">
        <f t="shared" si="47"/>
        <v>1299586.1942856435</v>
      </c>
      <c r="N973" s="116">
        <f t="shared" si="48"/>
        <v>47415.012344356219</v>
      </c>
      <c r="O973" s="272"/>
      <c r="P973" s="207" t="s">
        <v>560</v>
      </c>
      <c r="Q973" s="116">
        <f t="shared" si="49"/>
        <v>1299586.1942856435</v>
      </c>
      <c r="R973" s="116">
        <f t="shared" si="50"/>
        <v>0</v>
      </c>
      <c r="S973" s="240" t="s">
        <v>559</v>
      </c>
      <c r="T973" s="116">
        <f t="shared" si="51"/>
        <v>0</v>
      </c>
      <c r="U973" s="116">
        <f t="shared" si="52"/>
        <v>47415.012344356219</v>
      </c>
      <c r="V973" s="273"/>
      <c r="W973" s="116">
        <f>HLOOKUP($W$9,'ROR-Model'!$Q$10:$U$1263,Y973)</f>
        <v>1299586.1942856435</v>
      </c>
      <c r="X973" s="118"/>
      <c r="Y973" s="577">
        <f t="shared" si="43"/>
        <v>964</v>
      </c>
      <c r="AA973" s="116">
        <v>1299586.1942856435</v>
      </c>
      <c r="AB973" s="116">
        <f t="shared" si="44"/>
        <v>0</v>
      </c>
    </row>
    <row r="974" spans="1:28">
      <c r="B974" s="253" t="s">
        <v>226</v>
      </c>
      <c r="C974" s="102" t="s">
        <v>227</v>
      </c>
      <c r="E974" s="116">
        <f>+G974-Adjustments!H974</f>
        <v>-3287043.51003</v>
      </c>
      <c r="F974" s="116">
        <f>'Rate Base'!$AE$23</f>
        <v>52175293.810000002</v>
      </c>
      <c r="G974" s="116">
        <f>+Adjustments!AW958</f>
        <v>-3287043.51003</v>
      </c>
      <c r="H974" s="116"/>
      <c r="I974" s="116">
        <f t="shared" si="46"/>
        <v>48888250.299970001</v>
      </c>
      <c r="J974" s="116"/>
      <c r="K974" s="116"/>
      <c r="L974" s="116" t="s">
        <v>693</v>
      </c>
      <c r="M974" s="116">
        <f t="shared" si="47"/>
        <v>47167363.206433944</v>
      </c>
      <c r="N974" s="116">
        <f t="shared" si="48"/>
        <v>1720887.093536051</v>
      </c>
      <c r="O974" s="272"/>
      <c r="P974" s="207" t="s">
        <v>560</v>
      </c>
      <c r="Q974" s="116">
        <f t="shared" si="49"/>
        <v>47167363.206433944</v>
      </c>
      <c r="R974" s="116">
        <f t="shared" si="50"/>
        <v>0</v>
      </c>
      <c r="S974" s="240" t="s">
        <v>559</v>
      </c>
      <c r="T974" s="116">
        <f t="shared" si="51"/>
        <v>0</v>
      </c>
      <c r="U974" s="116">
        <f t="shared" si="52"/>
        <v>1720887.093536051</v>
      </c>
      <c r="V974" s="273"/>
      <c r="W974" s="116">
        <f>HLOOKUP($W$9,'ROR-Model'!$Q$10:$U$1263,Y974)</f>
        <v>47167363.206433944</v>
      </c>
      <c r="X974" s="118"/>
      <c r="Y974" s="577">
        <f t="shared" ref="Y974:Y1034" si="53">Y973+1</f>
        <v>965</v>
      </c>
      <c r="AA974" s="116">
        <v>47167363.206433944</v>
      </c>
      <c r="AB974" s="116">
        <f t="shared" si="44"/>
        <v>0</v>
      </c>
    </row>
    <row r="975" spans="1:28">
      <c r="B975" s="253" t="s">
        <v>228</v>
      </c>
      <c r="C975" s="102" t="s">
        <v>229</v>
      </c>
      <c r="E975" s="116">
        <f>+G975-Adjustments!H975</f>
        <v>-1084630.4311500003</v>
      </c>
      <c r="F975" s="116">
        <f>'Rate Base'!$AE$24</f>
        <v>17216356.050000001</v>
      </c>
      <c r="G975" s="116">
        <f>+Adjustments!AW959</f>
        <v>-1084630.4311500003</v>
      </c>
      <c r="H975" s="116"/>
      <c r="I975" s="116">
        <f t="shared" si="46"/>
        <v>16131725.61885</v>
      </c>
      <c r="J975" s="116"/>
      <c r="K975" s="116"/>
      <c r="L975" s="116" t="s">
        <v>693</v>
      </c>
      <c r="M975" s="116">
        <f t="shared" si="47"/>
        <v>15563882.052275049</v>
      </c>
      <c r="N975" s="116">
        <f t="shared" si="48"/>
        <v>567843.56657494989</v>
      </c>
      <c r="O975" s="272"/>
      <c r="P975" s="207" t="s">
        <v>560</v>
      </c>
      <c r="Q975" s="116">
        <f t="shared" si="49"/>
        <v>15563882.052275049</v>
      </c>
      <c r="R975" s="116">
        <f t="shared" si="50"/>
        <v>0</v>
      </c>
      <c r="S975" s="240" t="s">
        <v>559</v>
      </c>
      <c r="T975" s="116">
        <f t="shared" si="51"/>
        <v>0</v>
      </c>
      <c r="U975" s="116">
        <f t="shared" si="52"/>
        <v>567843.56657494989</v>
      </c>
      <c r="V975" s="273"/>
      <c r="W975" s="116">
        <f>HLOOKUP($W$9,'ROR-Model'!$Q$10:$U$1263,Y975)</f>
        <v>15563882.052275049</v>
      </c>
      <c r="X975" s="118"/>
      <c r="Y975" s="577">
        <f t="shared" si="53"/>
        <v>966</v>
      </c>
      <c r="AA975" s="116">
        <v>15563882.052275049</v>
      </c>
      <c r="AB975" s="116">
        <f t="shared" si="44"/>
        <v>0</v>
      </c>
    </row>
    <row r="976" spans="1:28">
      <c r="B976" s="253" t="s">
        <v>230</v>
      </c>
      <c r="C976" s="102" t="s">
        <v>231</v>
      </c>
      <c r="E976" s="116">
        <f>+G976-Adjustments!H976</f>
        <v>-169710.41556000002</v>
      </c>
      <c r="F976" s="116">
        <f>'Rate Base'!$AE$25</f>
        <v>2693816.12</v>
      </c>
      <c r="G976" s="116">
        <f>+Adjustments!AW960</f>
        <v>-169710.41556000002</v>
      </c>
      <c r="H976" s="116"/>
      <c r="I976" s="116">
        <f t="shared" si="46"/>
        <v>2524105.70444</v>
      </c>
      <c r="J976" s="116"/>
      <c r="K976" s="116"/>
      <c r="L976" s="116" t="s">
        <v>693</v>
      </c>
      <c r="M976" s="116">
        <f t="shared" si="47"/>
        <v>2435256.115779344</v>
      </c>
      <c r="N976" s="116">
        <f t="shared" si="48"/>
        <v>88849.58866065582</v>
      </c>
      <c r="O976" s="272"/>
      <c r="P976" s="207" t="s">
        <v>560</v>
      </c>
      <c r="Q976" s="116">
        <f t="shared" si="49"/>
        <v>2435256.115779344</v>
      </c>
      <c r="R976" s="116">
        <f t="shared" si="50"/>
        <v>0</v>
      </c>
      <c r="S976" s="240" t="s">
        <v>559</v>
      </c>
      <c r="T976" s="116">
        <f t="shared" si="51"/>
        <v>0</v>
      </c>
      <c r="U976" s="116">
        <f t="shared" si="52"/>
        <v>88849.58866065582</v>
      </c>
      <c r="V976" s="273"/>
      <c r="W976" s="116">
        <f>HLOOKUP($W$9,'ROR-Model'!$Q$10:$U$1263,Y976)</f>
        <v>2435256.115779344</v>
      </c>
      <c r="X976" s="118"/>
      <c r="Y976" s="577">
        <f t="shared" si="53"/>
        <v>967</v>
      </c>
      <c r="AA976" s="116">
        <v>2435256.115779344</v>
      </c>
      <c r="AB976" s="116">
        <f t="shared" si="44"/>
        <v>0</v>
      </c>
    </row>
    <row r="977" spans="1:28">
      <c r="B977" s="253" t="s">
        <v>232</v>
      </c>
      <c r="C977" s="102" t="s">
        <v>233</v>
      </c>
      <c r="E977" s="116">
        <f>+G977-Adjustments!H977</f>
        <v>-3591.9267300000001</v>
      </c>
      <c r="F977" s="116">
        <f>'Rate Base'!$AE$26</f>
        <v>57014.71</v>
      </c>
      <c r="G977" s="116">
        <f>+Adjustments!AW961</f>
        <v>-3591.9267300000001</v>
      </c>
      <c r="H977" s="116"/>
      <c r="I977" s="116">
        <f t="shared" si="46"/>
        <v>53422.78327</v>
      </c>
      <c r="J977" s="116"/>
      <c r="K977" s="116"/>
      <c r="L977" s="116" t="s">
        <v>693</v>
      </c>
      <c r="M977" s="116">
        <f t="shared" si="47"/>
        <v>51542.27869751025</v>
      </c>
      <c r="N977" s="116">
        <f t="shared" si="48"/>
        <v>1880.5045724897436</v>
      </c>
      <c r="O977" s="272"/>
      <c r="P977" s="207" t="s">
        <v>560</v>
      </c>
      <c r="Q977" s="116">
        <f t="shared" si="49"/>
        <v>51542.27869751025</v>
      </c>
      <c r="R977" s="116">
        <f t="shared" si="50"/>
        <v>0</v>
      </c>
      <c r="S977" s="240" t="s">
        <v>559</v>
      </c>
      <c r="T977" s="116">
        <f t="shared" si="51"/>
        <v>0</v>
      </c>
      <c r="U977" s="116">
        <f t="shared" si="52"/>
        <v>1880.5045724897436</v>
      </c>
      <c r="V977" s="273"/>
      <c r="W977" s="116">
        <f>HLOOKUP($W$9,'ROR-Model'!$Q$10:$U$1263,Y977)</f>
        <v>51542.27869751025</v>
      </c>
      <c r="X977" s="118"/>
      <c r="Y977" s="577">
        <f t="shared" si="53"/>
        <v>968</v>
      </c>
      <c r="AA977" s="116">
        <v>51542.27869751025</v>
      </c>
      <c r="AB977" s="116">
        <f t="shared" ref="AB977:AB1040" si="54">W977-AA977</f>
        <v>0</v>
      </c>
    </row>
    <row r="978" spans="1:28">
      <c r="B978" s="102" t="s">
        <v>234</v>
      </c>
      <c r="C978" s="102" t="s">
        <v>235</v>
      </c>
      <c r="E978" s="116">
        <f>+G978-Adjustments!H978</f>
        <v>-7634.7576899999976</v>
      </c>
      <c r="F978" s="116">
        <f>'Rate Base'!$AE$27</f>
        <v>121186.63</v>
      </c>
      <c r="G978" s="116">
        <f>+Adjustments!AW962</f>
        <v>-7634.7576899999976</v>
      </c>
      <c r="H978" s="116"/>
      <c r="I978" s="116">
        <f t="shared" si="46"/>
        <v>113551.87231000001</v>
      </c>
      <c r="J978" s="116"/>
      <c r="K978" s="116"/>
      <c r="L978" s="116" t="s">
        <v>693</v>
      </c>
      <c r="M978" s="116">
        <f t="shared" si="47"/>
        <v>109554.79836470372</v>
      </c>
      <c r="N978" s="116">
        <f t="shared" si="48"/>
        <v>3997.0739452962707</v>
      </c>
      <c r="O978" s="272"/>
      <c r="P978" s="207" t="s">
        <v>560</v>
      </c>
      <c r="Q978" s="116">
        <f t="shared" si="49"/>
        <v>109554.79836470372</v>
      </c>
      <c r="R978" s="116">
        <f t="shared" si="50"/>
        <v>0</v>
      </c>
      <c r="S978" s="240" t="s">
        <v>559</v>
      </c>
      <c r="T978" s="116">
        <f t="shared" si="51"/>
        <v>0</v>
      </c>
      <c r="U978" s="116">
        <f t="shared" si="52"/>
        <v>3997.0739452962707</v>
      </c>
      <c r="V978" s="273"/>
      <c r="W978" s="116">
        <f>HLOOKUP($W$9,'ROR-Model'!$Q$10:$U$1263,Y978)</f>
        <v>109554.79836470372</v>
      </c>
      <c r="X978" s="118"/>
      <c r="Y978" s="577">
        <f t="shared" si="53"/>
        <v>969</v>
      </c>
      <c r="AA978" s="116">
        <v>109554.79836470372</v>
      </c>
      <c r="AB978" s="116">
        <f t="shared" si="54"/>
        <v>0</v>
      </c>
    </row>
    <row r="979" spans="1:28">
      <c r="A979" s="14"/>
      <c r="B979" s="102"/>
      <c r="C979" s="102"/>
      <c r="E979" s="116">
        <f>+G979-Adjustments!H979</f>
        <v>0</v>
      </c>
      <c r="F979" s="116"/>
      <c r="G979" s="116"/>
      <c r="H979" s="116"/>
      <c r="I979" s="116"/>
      <c r="J979" s="116"/>
      <c r="K979" s="116"/>
      <c r="L979" s="116"/>
      <c r="M979" s="116"/>
      <c r="N979" s="116"/>
      <c r="O979" s="272"/>
      <c r="P979" s="240"/>
      <c r="Q979" s="116"/>
      <c r="R979" s="116"/>
      <c r="S979" s="240"/>
      <c r="T979" s="116"/>
      <c r="U979" s="116"/>
      <c r="V979" s="273"/>
      <c r="W979" s="116"/>
      <c r="X979" s="118"/>
      <c r="Y979" s="577">
        <f t="shared" si="53"/>
        <v>970</v>
      </c>
      <c r="AA979" s="116"/>
      <c r="AB979" s="116">
        <f t="shared" si="54"/>
        <v>0</v>
      </c>
    </row>
    <row r="980" spans="1:28">
      <c r="A980" s="102"/>
      <c r="B980" s="102" t="s">
        <v>236</v>
      </c>
      <c r="C980" s="102"/>
      <c r="E980" s="116">
        <f>+G980-Adjustments!H980</f>
        <v>-5037992.5680000009</v>
      </c>
      <c r="F980" s="116">
        <f>SUM(F972:F978)</f>
        <v>79968136</v>
      </c>
      <c r="G980" s="116">
        <f>SUM(G972:G978)</f>
        <v>-5037992.5680000009</v>
      </c>
      <c r="H980" s="116"/>
      <c r="I980" s="116">
        <f>SUM(I972:I978)</f>
        <v>74930143.431999996</v>
      </c>
      <c r="J980" s="116"/>
      <c r="K980" s="116"/>
      <c r="L980" s="116"/>
      <c r="M980" s="116">
        <f>SUM(M972:M978)</f>
        <v>72292570.682765931</v>
      </c>
      <c r="N980" s="116">
        <f>SUM(N972:N978)</f>
        <v>2637572.7492340435</v>
      </c>
      <c r="O980" s="272"/>
      <c r="P980" s="240"/>
      <c r="Q980" s="116">
        <f>SUM(Q972:Q978)</f>
        <v>72292570.682765931</v>
      </c>
      <c r="R980" s="116">
        <f>SUM(R972:R978)</f>
        <v>0</v>
      </c>
      <c r="S980" s="240"/>
      <c r="T980" s="116">
        <f>SUM(T972:T978)</f>
        <v>0</v>
      </c>
      <c r="U980" s="116">
        <f>SUM(U972:U978)</f>
        <v>2637572.7492340435</v>
      </c>
      <c r="V980" s="273"/>
      <c r="W980" s="116">
        <f>SUM(W972:W978)</f>
        <v>72292570.682765931</v>
      </c>
      <c r="X980" s="118"/>
      <c r="Y980" s="577">
        <f t="shared" si="53"/>
        <v>971</v>
      </c>
      <c r="AA980" s="116">
        <v>72292570.682765931</v>
      </c>
      <c r="AB980" s="116">
        <f t="shared" si="54"/>
        <v>0</v>
      </c>
    </row>
    <row r="981" spans="1:28">
      <c r="A981" s="102"/>
      <c r="B981" s="102"/>
      <c r="C981" s="102"/>
      <c r="E981" s="116">
        <f>+G981-Adjustments!H981</f>
        <v>0</v>
      </c>
      <c r="F981" s="116"/>
      <c r="G981" s="116"/>
      <c r="H981" s="116"/>
      <c r="I981" s="116"/>
      <c r="J981" s="116"/>
      <c r="K981" s="116"/>
      <c r="L981" s="116"/>
      <c r="M981" s="116"/>
      <c r="N981" s="116"/>
      <c r="O981" s="272"/>
      <c r="P981" s="240"/>
      <c r="Q981" s="116"/>
      <c r="R981" s="116"/>
      <c r="S981" s="240"/>
      <c r="T981" s="116"/>
      <c r="U981" s="116"/>
      <c r="V981" s="273"/>
      <c r="W981" s="116"/>
      <c r="X981" s="118"/>
      <c r="Y981" s="577">
        <f t="shared" si="53"/>
        <v>972</v>
      </c>
      <c r="AA981" s="116"/>
      <c r="AB981" s="116">
        <f t="shared" si="54"/>
        <v>0</v>
      </c>
    </row>
    <row r="982" spans="1:28">
      <c r="A982" s="102" t="s">
        <v>237</v>
      </c>
      <c r="C982" s="102"/>
      <c r="E982" s="116">
        <f>+G982-Adjustments!H982</f>
        <v>0</v>
      </c>
      <c r="F982" s="116"/>
      <c r="G982" s="116"/>
      <c r="H982" s="116"/>
      <c r="I982" s="116"/>
      <c r="J982" s="116"/>
      <c r="K982" s="116"/>
      <c r="L982" s="116"/>
      <c r="M982" s="116"/>
      <c r="N982" s="116"/>
      <c r="O982" s="272"/>
      <c r="P982" s="240"/>
      <c r="Q982" s="116"/>
      <c r="R982" s="116"/>
      <c r="S982" s="240"/>
      <c r="T982" s="116"/>
      <c r="U982" s="116"/>
      <c r="V982" s="273"/>
      <c r="W982" s="116"/>
      <c r="X982" s="118"/>
      <c r="Y982" s="577">
        <f t="shared" si="53"/>
        <v>973</v>
      </c>
      <c r="AA982" s="116"/>
      <c r="AB982" s="116">
        <f t="shared" si="54"/>
        <v>0</v>
      </c>
    </row>
    <row r="983" spans="1:28">
      <c r="B983" s="102" t="s">
        <v>238</v>
      </c>
      <c r="C983" s="102" t="s">
        <v>223</v>
      </c>
      <c r="D983" s="102"/>
      <c r="E983" s="116">
        <f>+G983-Adjustments!H983</f>
        <v>0</v>
      </c>
      <c r="F983" s="116"/>
      <c r="G983" s="116"/>
      <c r="H983" s="116"/>
      <c r="I983" s="116"/>
      <c r="J983" s="116"/>
      <c r="K983" s="116"/>
      <c r="L983" s="116"/>
      <c r="M983" s="116"/>
      <c r="N983" s="116"/>
      <c r="O983" s="272"/>
      <c r="P983" s="240"/>
      <c r="Q983" s="116"/>
      <c r="R983" s="116"/>
      <c r="S983" s="240"/>
      <c r="T983" s="116"/>
      <c r="U983" s="116"/>
      <c r="V983" s="273"/>
      <c r="W983" s="116"/>
      <c r="X983" s="118"/>
      <c r="Y983" s="577">
        <f t="shared" si="53"/>
        <v>974</v>
      </c>
      <c r="AA983" s="116"/>
      <c r="AB983" s="116">
        <f t="shared" si="54"/>
        <v>0</v>
      </c>
    </row>
    <row r="984" spans="1:28">
      <c r="B984" s="102"/>
      <c r="C984" s="102"/>
      <c r="D984" s="102" t="s">
        <v>24</v>
      </c>
      <c r="E984" s="116">
        <f>+G984-Adjustments!H984</f>
        <v>-37.566109698615037</v>
      </c>
      <c r="F984" s="116">
        <f>'Rate Base'!$AE$33</f>
        <v>434011.18</v>
      </c>
      <c r="G984" s="116">
        <f>+Adjustments!AW968</f>
        <v>-37.566109698615037</v>
      </c>
      <c r="H984" s="116"/>
      <c r="I984" s="116">
        <f>SUM(F984:H984)</f>
        <v>433973.61389030138</v>
      </c>
      <c r="J984" s="116"/>
      <c r="K984" s="116"/>
      <c r="L984" s="116" t="s">
        <v>24</v>
      </c>
      <c r="M984" s="116">
        <f>VLOOKUP($L984,$L$2:$N$7,2,FALSE)*I984</f>
        <v>0</v>
      </c>
      <c r="N984" s="116">
        <f>VLOOKUP($L984,$L$2:$N$7,3,FALSE)*I984</f>
        <v>433973.61389030138</v>
      </c>
      <c r="O984" s="272"/>
      <c r="P984" s="207" t="s">
        <v>560</v>
      </c>
      <c r="Q984" s="116">
        <f>IF(P984="G",M984,IF(P984="PT",0,ERR))</f>
        <v>0</v>
      </c>
      <c r="R984" s="116">
        <f>IF(P984="PT",M984,IF(P984="G",0,ERR))</f>
        <v>0</v>
      </c>
      <c r="S984" s="240" t="s">
        <v>560</v>
      </c>
      <c r="T984" s="116">
        <f>IF(S984="G",N984,IF(S984="PT",0,ERR))</f>
        <v>433973.61389030138</v>
      </c>
      <c r="U984" s="116">
        <f>IF(S984="PT",N984,IF(S984="G",0,ERR))</f>
        <v>0</v>
      </c>
      <c r="V984" s="273"/>
      <c r="W984" s="116">
        <f>HLOOKUP($W$9,'ROR-Model'!$Q$10:$U$1263,Y984)</f>
        <v>0</v>
      </c>
      <c r="X984" s="118"/>
      <c r="Y984" s="577">
        <f t="shared" si="53"/>
        <v>975</v>
      </c>
      <c r="AA984" s="116">
        <v>0</v>
      </c>
      <c r="AB984" s="116">
        <f t="shared" si="54"/>
        <v>0</v>
      </c>
    </row>
    <row r="985" spans="1:28">
      <c r="B985" s="102"/>
      <c r="C985" s="102"/>
      <c r="D985" s="102" t="s">
        <v>14</v>
      </c>
      <c r="E985" s="116">
        <f>+G985-Adjustments!H985</f>
        <v>-1734.37389029935</v>
      </c>
      <c r="F985" s="116">
        <f>'Rate Base'!$AE$34</f>
        <v>20037679.300000001</v>
      </c>
      <c r="G985" s="116">
        <f>+Adjustments!AW969</f>
        <v>-1734.37389029935</v>
      </c>
      <c r="H985" s="116"/>
      <c r="I985" s="116">
        <f>SUM(F985:H985)</f>
        <v>20035944.926109701</v>
      </c>
      <c r="J985" s="116"/>
      <c r="K985" s="116"/>
      <c r="L985" s="116" t="s">
        <v>14</v>
      </c>
      <c r="M985" s="116">
        <f>VLOOKUP($L985,$L$2:$N$7,2,FALSE)*I985</f>
        <v>20035944.926109701</v>
      </c>
      <c r="N985" s="116">
        <f>VLOOKUP($L985,$L$2:$N$7,3,FALSE)*I985</f>
        <v>0</v>
      </c>
      <c r="O985" s="272"/>
      <c r="P985" s="207" t="s">
        <v>560</v>
      </c>
      <c r="Q985" s="116">
        <f>IF(P985="G",M985,IF(P985="PT",0,ERR))</f>
        <v>20035944.926109701</v>
      </c>
      <c r="R985" s="116">
        <f>IF(P985="PT",M985,IF(P985="G",0,ERR))</f>
        <v>0</v>
      </c>
      <c r="S985" s="240" t="s">
        <v>560</v>
      </c>
      <c r="T985" s="116">
        <f>IF(S985="G",N985,IF(S985="PT",0,ERR))</f>
        <v>0</v>
      </c>
      <c r="U985" s="116">
        <f>IF(S985="PT",N985,IF(S985="G",0,ERR))</f>
        <v>0</v>
      </c>
      <c r="V985" s="273"/>
      <c r="W985" s="116">
        <f>HLOOKUP($W$9,'ROR-Model'!$Q$10:$U$1263,Y985)</f>
        <v>20035944.926109701</v>
      </c>
      <c r="X985" s="118"/>
      <c r="Y985" s="577">
        <f t="shared" si="53"/>
        <v>976</v>
      </c>
      <c r="AA985" s="116">
        <v>19649592.249999996</v>
      </c>
      <c r="AB985" s="116">
        <f t="shared" si="54"/>
        <v>386352.67610970512</v>
      </c>
    </row>
    <row r="986" spans="1:28">
      <c r="B986" s="102"/>
      <c r="C986" s="102"/>
      <c r="D986" s="102" t="s">
        <v>170</v>
      </c>
      <c r="E986" s="131">
        <f>+G986-Adjustments!H986</f>
        <v>-1771.9399999979651</v>
      </c>
      <c r="F986" s="131">
        <f>SUM(F984:F985)</f>
        <v>20471690.48</v>
      </c>
      <c r="G986" s="131">
        <f>SUM(G984:G985)</f>
        <v>-1771.9399999979651</v>
      </c>
      <c r="H986" s="131"/>
      <c r="I986" s="131">
        <f>SUM(I984:I985)</f>
        <v>20469918.540000003</v>
      </c>
      <c r="J986" s="116"/>
      <c r="K986" s="116"/>
      <c r="L986" s="131"/>
      <c r="M986" s="131">
        <f>SUM(M984:M985)</f>
        <v>20035944.926109701</v>
      </c>
      <c r="N986" s="131">
        <f>SUM(N984:N985)</f>
        <v>433973.61389030138</v>
      </c>
      <c r="O986" s="272"/>
      <c r="P986" s="257"/>
      <c r="Q986" s="131">
        <f>SUM(Q984:Q985)</f>
        <v>20035944.926109701</v>
      </c>
      <c r="R986" s="131">
        <f>SUM(R984:R985)</f>
        <v>0</v>
      </c>
      <c r="S986" s="257"/>
      <c r="T986" s="131">
        <f>SUM(T984:T985)</f>
        <v>433973.61389030138</v>
      </c>
      <c r="U986" s="131">
        <f>SUM(U984:U985)</f>
        <v>0</v>
      </c>
      <c r="V986" s="273"/>
      <c r="W986" s="131">
        <f>SUM(W984:W985)</f>
        <v>20035944.926109701</v>
      </c>
      <c r="X986" s="118"/>
      <c r="Y986" s="577">
        <f t="shared" si="53"/>
        <v>977</v>
      </c>
      <c r="AA986" s="131">
        <v>19649592.249999996</v>
      </c>
      <c r="AB986" s="116">
        <f t="shared" si="54"/>
        <v>386352.67610970512</v>
      </c>
    </row>
    <row r="987" spans="1:28">
      <c r="A987" s="102"/>
      <c r="B987" s="102"/>
      <c r="C987" s="102"/>
      <c r="E987" s="116">
        <f>+G987-Adjustments!H987</f>
        <v>0</v>
      </c>
      <c r="F987" s="116"/>
      <c r="G987" s="116"/>
      <c r="H987" s="116"/>
      <c r="I987" s="116"/>
      <c r="J987" s="116"/>
      <c r="K987" s="116"/>
      <c r="L987" s="116"/>
      <c r="M987" s="116"/>
      <c r="N987" s="116"/>
      <c r="O987" s="272"/>
      <c r="P987" s="240"/>
      <c r="Q987" s="116"/>
      <c r="R987" s="116"/>
      <c r="S987" s="240"/>
      <c r="T987" s="116"/>
      <c r="U987" s="116"/>
      <c r="V987" s="273"/>
      <c r="W987" s="116"/>
      <c r="X987" s="118"/>
      <c r="Y987" s="577">
        <f t="shared" si="53"/>
        <v>978</v>
      </c>
      <c r="AA987" s="116"/>
      <c r="AB987" s="116">
        <f t="shared" si="54"/>
        <v>0</v>
      </c>
    </row>
    <row r="988" spans="1:28">
      <c r="B988" s="102" t="s">
        <v>239</v>
      </c>
      <c r="C988" s="102" t="s">
        <v>240</v>
      </c>
      <c r="D988" s="102"/>
      <c r="E988" s="116">
        <f>+G988-Adjustments!H988</f>
        <v>0</v>
      </c>
      <c r="F988" s="116"/>
      <c r="G988" s="116"/>
      <c r="H988" s="116"/>
      <c r="I988" s="116"/>
      <c r="J988" s="116"/>
      <c r="K988" s="116"/>
      <c r="L988" s="116"/>
      <c r="M988" s="116"/>
      <c r="N988" s="116"/>
      <c r="O988" s="272"/>
      <c r="P988" s="240"/>
      <c r="Q988" s="116"/>
      <c r="R988" s="116"/>
      <c r="S988" s="240"/>
      <c r="T988" s="116"/>
      <c r="U988" s="116"/>
      <c r="V988" s="273"/>
      <c r="W988" s="116"/>
      <c r="X988" s="118"/>
      <c r="Y988" s="577">
        <f t="shared" si="53"/>
        <v>979</v>
      </c>
      <c r="AA988" s="116"/>
      <c r="AB988" s="116">
        <f t="shared" si="54"/>
        <v>0</v>
      </c>
    </row>
    <row r="989" spans="1:28">
      <c r="B989" s="102"/>
      <c r="C989" s="102"/>
      <c r="D989" s="102" t="s">
        <v>24</v>
      </c>
      <c r="E989" s="116">
        <f>+G989-Adjustments!H989</f>
        <v>-38898.259425261174</v>
      </c>
      <c r="F989" s="116">
        <f>'Rate Base'!$AE$38</f>
        <v>1004474.53</v>
      </c>
      <c r="G989" s="116">
        <f>+Adjustments!AW973</f>
        <v>-38898.259425261174</v>
      </c>
      <c r="H989" s="116"/>
      <c r="I989" s="116">
        <f>SUM(F989:H989)</f>
        <v>965576.27057473885</v>
      </c>
      <c r="J989" s="116"/>
      <c r="K989" s="116"/>
      <c r="L989" s="116" t="s">
        <v>24</v>
      </c>
      <c r="M989" s="116">
        <f>VLOOKUP($L989,$L$2:$N$7,2,FALSE)*I989</f>
        <v>0</v>
      </c>
      <c r="N989" s="116">
        <f>VLOOKUP($L989,$L$2:$N$7,3,FALSE)*I989</f>
        <v>965576.27057473885</v>
      </c>
      <c r="O989" s="272"/>
      <c r="P989" s="207" t="s">
        <v>560</v>
      </c>
      <c r="Q989" s="116">
        <f>IF(P989="G",M989,IF(P989="PT",0,ERR))</f>
        <v>0</v>
      </c>
      <c r="R989" s="116">
        <f>IF(P989="PT",M989,IF(P989="G",0,ERR))</f>
        <v>0</v>
      </c>
      <c r="S989" s="240" t="s">
        <v>560</v>
      </c>
      <c r="T989" s="116">
        <f>IF(S989="G",N989,IF(S989="PT",0,ERR))</f>
        <v>965576.27057473885</v>
      </c>
      <c r="U989" s="116">
        <f>IF(S989="PT",N989,IF(S989="G",0,ERR))</f>
        <v>0</v>
      </c>
      <c r="V989" s="273"/>
      <c r="W989" s="116">
        <f>HLOOKUP($W$9,'ROR-Model'!$Q$10:$U$1263,Y989)</f>
        <v>0</v>
      </c>
      <c r="X989" s="118"/>
      <c r="Y989" s="577">
        <f t="shared" si="53"/>
        <v>980</v>
      </c>
      <c r="AA989" s="116">
        <v>0</v>
      </c>
      <c r="AB989" s="116">
        <f t="shared" si="54"/>
        <v>0</v>
      </c>
    </row>
    <row r="990" spans="1:28">
      <c r="B990" s="102"/>
      <c r="C990" s="102"/>
      <c r="D990" s="102" t="s">
        <v>14</v>
      </c>
      <c r="E990" s="116">
        <f>+G990-Adjustments!H990</f>
        <v>-600278.20057473518</v>
      </c>
      <c r="F990" s="116">
        <f>'Rate Base'!$AE$39</f>
        <v>15501057.690000001</v>
      </c>
      <c r="G990" s="116">
        <f>+Adjustments!AW974</f>
        <v>-600278.20057473518</v>
      </c>
      <c r="H990" s="116"/>
      <c r="I990" s="116">
        <f>SUM(F990:H990)</f>
        <v>14900779.489425266</v>
      </c>
      <c r="J990" s="116"/>
      <c r="K990" s="116"/>
      <c r="L990" s="116" t="s">
        <v>14</v>
      </c>
      <c r="M990" s="116">
        <f>VLOOKUP($L990,$L$2:$N$7,2,FALSE)*I990</f>
        <v>14900779.489425266</v>
      </c>
      <c r="N990" s="116">
        <f>VLOOKUP($L990,$L$2:$N$7,3,FALSE)*I990</f>
        <v>0</v>
      </c>
      <c r="O990" s="272"/>
      <c r="P990" s="207" t="s">
        <v>560</v>
      </c>
      <c r="Q990" s="116">
        <f>IF(P990="G",M990,IF(P990="PT",0,ERR))</f>
        <v>14900779.489425266</v>
      </c>
      <c r="R990" s="116">
        <f>IF(P990="PT",M990,IF(P990="G",0,ERR))</f>
        <v>0</v>
      </c>
      <c r="S990" s="240" t="s">
        <v>560</v>
      </c>
      <c r="T990" s="116">
        <f>IF(S990="G",N990,IF(S990="PT",0,ERR))</f>
        <v>0</v>
      </c>
      <c r="U990" s="116">
        <f>IF(S990="PT",N990,IF(S990="G",0,ERR))</f>
        <v>0</v>
      </c>
      <c r="V990" s="273"/>
      <c r="W990" s="116">
        <f>HLOOKUP($W$9,'ROR-Model'!$Q$10:$U$1263,Y990)</f>
        <v>14900779.489425266</v>
      </c>
      <c r="X990" s="118"/>
      <c r="Y990" s="577">
        <f t="shared" si="53"/>
        <v>981</v>
      </c>
      <c r="AA990" s="116">
        <v>15508416.372500001</v>
      </c>
      <c r="AB990" s="116">
        <f t="shared" si="54"/>
        <v>-607636.88307473436</v>
      </c>
    </row>
    <row r="991" spans="1:28">
      <c r="B991" s="102"/>
      <c r="C991" s="102"/>
      <c r="D991" s="102" t="s">
        <v>170</v>
      </c>
      <c r="E991" s="131">
        <f>+G991-Adjustments!H991</f>
        <v>-639176.45999999635</v>
      </c>
      <c r="F991" s="131">
        <f>SUM(F989:F990)</f>
        <v>16505532.220000001</v>
      </c>
      <c r="G991" s="131">
        <f>SUM(G989:G990)</f>
        <v>-639176.45999999635</v>
      </c>
      <c r="H991" s="131"/>
      <c r="I991" s="131">
        <f>SUM(I989:I990)</f>
        <v>15866355.760000005</v>
      </c>
      <c r="J991" s="116"/>
      <c r="K991" s="116"/>
      <c r="L991" s="131"/>
      <c r="M991" s="131">
        <f>SUM(M989:M990)</f>
        <v>14900779.489425266</v>
      </c>
      <c r="N991" s="131">
        <f>SUM(N989:N990)</f>
        <v>965576.27057473885</v>
      </c>
      <c r="O991" s="272"/>
      <c r="P991" s="257"/>
      <c r="Q991" s="131">
        <f>SUM(Q989:Q990)</f>
        <v>14900779.489425266</v>
      </c>
      <c r="R991" s="131">
        <f>SUM(R989:R990)</f>
        <v>0</v>
      </c>
      <c r="S991" s="257"/>
      <c r="T991" s="131">
        <f>SUM(T989:T990)</f>
        <v>965576.27057473885</v>
      </c>
      <c r="U991" s="131">
        <f>SUM(U989:U990)</f>
        <v>0</v>
      </c>
      <c r="V991" s="273"/>
      <c r="W991" s="131">
        <f>SUM(W989:W990)</f>
        <v>14900779.489425266</v>
      </c>
      <c r="X991" s="118"/>
      <c r="Y991" s="577">
        <f t="shared" si="53"/>
        <v>982</v>
      </c>
      <c r="AA991" s="131">
        <v>15508416.372500001</v>
      </c>
      <c r="AB991" s="116">
        <f t="shared" si="54"/>
        <v>-607636.88307473436</v>
      </c>
    </row>
    <row r="992" spans="1:28">
      <c r="B992" s="102"/>
      <c r="C992" s="102"/>
      <c r="D992" s="102"/>
      <c r="E992" s="116">
        <f>+G992-Adjustments!H992</f>
        <v>0</v>
      </c>
      <c r="F992" s="116"/>
      <c r="G992" s="116"/>
      <c r="H992" s="116"/>
      <c r="I992" s="116"/>
      <c r="J992" s="116"/>
      <c r="K992" s="116"/>
      <c r="L992" s="116"/>
      <c r="M992" s="116"/>
      <c r="N992" s="116"/>
      <c r="O992" s="272"/>
      <c r="P992" s="240"/>
      <c r="Q992" s="116"/>
      <c r="R992" s="116"/>
      <c r="S992" s="240"/>
      <c r="T992" s="116"/>
      <c r="U992" s="116"/>
      <c r="V992" s="273"/>
      <c r="W992" s="116"/>
      <c r="X992" s="118"/>
      <c r="Y992" s="577">
        <f t="shared" si="53"/>
        <v>983</v>
      </c>
      <c r="AA992" s="116"/>
      <c r="AB992" s="116">
        <f t="shared" si="54"/>
        <v>0</v>
      </c>
    </row>
    <row r="993" spans="1:28">
      <c r="B993" s="102" t="s">
        <v>244</v>
      </c>
      <c r="C993" s="102" t="s">
        <v>245</v>
      </c>
      <c r="D993" s="102"/>
      <c r="E993" s="116">
        <f>+G993-Adjustments!H993</f>
        <v>0</v>
      </c>
      <c r="F993" s="116"/>
      <c r="G993" s="116"/>
      <c r="H993" s="116"/>
      <c r="I993" s="116"/>
      <c r="J993" s="116"/>
      <c r="K993" s="116"/>
      <c r="L993" s="116"/>
      <c r="M993" s="116"/>
      <c r="N993" s="116"/>
      <c r="O993" s="272"/>
      <c r="P993" s="240"/>
      <c r="Q993" s="116"/>
      <c r="R993" s="116"/>
      <c r="S993" s="240"/>
      <c r="T993" s="116"/>
      <c r="U993" s="116"/>
      <c r="V993" s="273"/>
      <c r="W993" s="116"/>
      <c r="X993" s="118"/>
      <c r="Y993" s="577">
        <f t="shared" si="53"/>
        <v>984</v>
      </c>
      <c r="AA993" s="116"/>
      <c r="AB993" s="116">
        <f t="shared" si="54"/>
        <v>0</v>
      </c>
    </row>
    <row r="994" spans="1:28">
      <c r="B994" s="102"/>
      <c r="C994" s="102"/>
      <c r="D994" s="102" t="s">
        <v>57</v>
      </c>
      <c r="E994" s="116">
        <f>+G994-Adjustments!H994</f>
        <v>0</v>
      </c>
      <c r="F994" s="116"/>
      <c r="G994" s="116"/>
      <c r="H994" s="116"/>
      <c r="I994" s="116"/>
      <c r="J994" s="116"/>
      <c r="K994" s="116"/>
      <c r="L994" s="116"/>
      <c r="M994" s="116"/>
      <c r="N994" s="116"/>
      <c r="O994" s="272"/>
      <c r="P994" s="240"/>
      <c r="Q994" s="116"/>
      <c r="R994" s="116"/>
      <c r="S994" s="240"/>
      <c r="T994" s="116"/>
      <c r="U994" s="116"/>
      <c r="V994" s="273"/>
      <c r="W994" s="116"/>
      <c r="X994" s="118"/>
      <c r="Y994" s="577">
        <f t="shared" si="53"/>
        <v>985</v>
      </c>
      <c r="AA994" s="116"/>
      <c r="AB994" s="116">
        <f t="shared" si="54"/>
        <v>0</v>
      </c>
    </row>
    <row r="995" spans="1:28">
      <c r="B995" s="102"/>
      <c r="C995" s="102"/>
      <c r="D995" s="102" t="s">
        <v>532</v>
      </c>
      <c r="E995" s="116">
        <f>+G995-Adjustments!H995</f>
        <v>0</v>
      </c>
      <c r="F995" s="116"/>
      <c r="G995" s="116"/>
      <c r="H995" s="116"/>
      <c r="I995" s="116"/>
      <c r="J995" s="116"/>
      <c r="K995" s="116"/>
      <c r="L995" s="116"/>
      <c r="M995" s="116"/>
      <c r="N995" s="116"/>
      <c r="O995" s="272"/>
      <c r="P995" s="240"/>
      <c r="Q995" s="116"/>
      <c r="R995" s="116"/>
      <c r="S995" s="240"/>
      <c r="T995" s="116"/>
      <c r="U995" s="116"/>
      <c r="V995" s="273"/>
      <c r="W995" s="116"/>
      <c r="X995" s="118"/>
      <c r="Y995" s="577">
        <f t="shared" si="53"/>
        <v>986</v>
      </c>
      <c r="AA995" s="116"/>
      <c r="AB995" s="116">
        <f t="shared" si="54"/>
        <v>0</v>
      </c>
    </row>
    <row r="996" spans="1:28">
      <c r="B996" s="102"/>
      <c r="C996" s="102"/>
      <c r="D996" s="102" t="s">
        <v>533</v>
      </c>
      <c r="E996" s="116">
        <f>+G996-Adjustments!H996</f>
        <v>0</v>
      </c>
      <c r="F996" s="116"/>
      <c r="G996" s="116"/>
      <c r="H996" s="116"/>
      <c r="I996" s="116"/>
      <c r="J996" s="116"/>
      <c r="K996" s="116"/>
      <c r="L996" s="116"/>
      <c r="M996" s="116"/>
      <c r="N996" s="116"/>
      <c r="O996" s="272"/>
      <c r="P996" s="240"/>
      <c r="Q996" s="116"/>
      <c r="R996" s="116"/>
      <c r="S996" s="240"/>
      <c r="T996" s="116"/>
      <c r="U996" s="116"/>
      <c r="V996" s="273"/>
      <c r="W996" s="116"/>
      <c r="X996" s="118"/>
      <c r="Y996" s="577">
        <f t="shared" si="53"/>
        <v>987</v>
      </c>
      <c r="AA996" s="116"/>
      <c r="AB996" s="116">
        <f t="shared" si="54"/>
        <v>0</v>
      </c>
    </row>
    <row r="997" spans="1:28">
      <c r="B997" s="102"/>
      <c r="C997" s="102"/>
      <c r="D997" s="102" t="s">
        <v>534</v>
      </c>
      <c r="E997" s="131">
        <f ca="1">+G997-Adjustments!H997</f>
        <v>5162869.7085366249</v>
      </c>
      <c r="F997" s="131">
        <f>'Rate Base'!$AE$46</f>
        <v>41533025.009999998</v>
      </c>
      <c r="G997" s="131">
        <f ca="1">+Adjustments!AW981</f>
        <v>5162869.7085366249</v>
      </c>
      <c r="H997" s="131"/>
      <c r="I997" s="131">
        <f ca="1">SUM(F997:H997)</f>
        <v>46695894.718536623</v>
      </c>
      <c r="J997" s="116"/>
      <c r="K997" s="116"/>
      <c r="L997" s="131" t="s">
        <v>24</v>
      </c>
      <c r="M997" s="131">
        <f ca="1">VLOOKUP($L997,$L$2:$N$7,2,FALSE)*I997</f>
        <v>0</v>
      </c>
      <c r="N997" s="131">
        <f ca="1">VLOOKUP($L997,$L$2:$N$7,3,FALSE)*I997</f>
        <v>46695894.718536623</v>
      </c>
      <c r="O997" s="272"/>
      <c r="P997" s="257" t="s">
        <v>560</v>
      </c>
      <c r="Q997" s="131">
        <f ca="1">IF(P997="G",M997,IF(P997="PT",0,ERR))</f>
        <v>0</v>
      </c>
      <c r="R997" s="131">
        <f>IF(P997="PT",M997,IF(P997="G",0,ERR))</f>
        <v>0</v>
      </c>
      <c r="S997" s="257" t="s">
        <v>560</v>
      </c>
      <c r="T997" s="131">
        <f ca="1">IF(S997="G",N997,IF(S997="PT",0,ERR))</f>
        <v>46695894.718536623</v>
      </c>
      <c r="U997" s="131">
        <f>IF(S997="PT",N997,IF(S997="G",0,ERR))</f>
        <v>0</v>
      </c>
      <c r="V997" s="273"/>
      <c r="W997" s="131">
        <f ca="1">HLOOKUP($W$9,'ROR-Model'!$Q$10:$U$1263,Y997)</f>
        <v>0</v>
      </c>
      <c r="X997" s="118"/>
      <c r="Y997" s="577">
        <f t="shared" si="53"/>
        <v>988</v>
      </c>
      <c r="AA997" s="131">
        <v>0</v>
      </c>
      <c r="AB997" s="116">
        <f t="shared" ca="1" si="54"/>
        <v>0</v>
      </c>
    </row>
    <row r="998" spans="1:28">
      <c r="B998" s="102"/>
      <c r="C998" s="102"/>
      <c r="D998" s="102" t="s">
        <v>535</v>
      </c>
      <c r="E998" s="116">
        <f>+G998-Adjustments!H998</f>
        <v>0</v>
      </c>
      <c r="F998" s="116"/>
      <c r="G998" s="116"/>
      <c r="H998" s="116"/>
      <c r="I998" s="116"/>
      <c r="J998" s="116"/>
      <c r="K998" s="116"/>
      <c r="L998" s="116"/>
      <c r="M998" s="116"/>
      <c r="N998" s="116"/>
      <c r="O998" s="272"/>
      <c r="P998" s="240"/>
      <c r="Q998" s="116"/>
      <c r="R998" s="116"/>
      <c r="S998" s="240"/>
      <c r="T998" s="116"/>
      <c r="U998" s="116"/>
      <c r="V998" s="273"/>
      <c r="W998" s="116"/>
      <c r="X998" s="118"/>
      <c r="Y998" s="577">
        <f t="shared" si="53"/>
        <v>989</v>
      </c>
      <c r="AA998" s="116"/>
      <c r="AB998" s="116">
        <f t="shared" si="54"/>
        <v>0</v>
      </c>
    </row>
    <row r="999" spans="1:28">
      <c r="B999" s="102"/>
      <c r="C999" s="102"/>
      <c r="D999" s="102" t="s">
        <v>536</v>
      </c>
      <c r="E999" s="116">
        <f>+G999-Adjustments!H999</f>
        <v>0</v>
      </c>
      <c r="F999" s="116"/>
      <c r="G999" s="116"/>
      <c r="H999" s="116"/>
      <c r="I999" s="116"/>
      <c r="J999" s="116"/>
      <c r="K999" s="116"/>
      <c r="L999" s="116"/>
      <c r="M999" s="116"/>
      <c r="N999" s="116"/>
      <c r="O999" s="272"/>
      <c r="P999" s="240"/>
      <c r="Q999" s="116"/>
      <c r="R999" s="116"/>
      <c r="S999" s="240"/>
      <c r="T999" s="116"/>
      <c r="U999" s="116"/>
      <c r="V999" s="273"/>
      <c r="W999" s="116"/>
      <c r="X999" s="118"/>
      <c r="Y999" s="577">
        <f t="shared" si="53"/>
        <v>990</v>
      </c>
      <c r="AA999" s="116"/>
      <c r="AB999" s="116">
        <f t="shared" si="54"/>
        <v>0</v>
      </c>
    </row>
    <row r="1000" spans="1:28">
      <c r="B1000" s="102"/>
      <c r="C1000" s="102"/>
      <c r="D1000" s="102" t="s">
        <v>537</v>
      </c>
      <c r="E1000" s="116">
        <f>+G1000-Adjustments!H1000</f>
        <v>0</v>
      </c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272"/>
      <c r="P1000" s="240"/>
      <c r="Q1000" s="116"/>
      <c r="R1000" s="116"/>
      <c r="S1000" s="240"/>
      <c r="T1000" s="116"/>
      <c r="U1000" s="116"/>
      <c r="V1000" s="273"/>
      <c r="W1000" s="116"/>
      <c r="X1000" s="118"/>
      <c r="Y1000" s="577">
        <f t="shared" si="53"/>
        <v>991</v>
      </c>
      <c r="AA1000" s="116"/>
      <c r="AB1000" s="116">
        <f t="shared" si="54"/>
        <v>0</v>
      </c>
    </row>
    <row r="1001" spans="1:28">
      <c r="B1001" s="102"/>
      <c r="C1001" s="102"/>
      <c r="D1001" s="102" t="s">
        <v>538</v>
      </c>
      <c r="E1001" s="131">
        <f ca="1">+G1001-Adjustments!H1001</f>
        <v>193343718.21868801</v>
      </c>
      <c r="F1001" s="131">
        <f>'Rate Base'!$AE$50</f>
        <v>1555365511.3599999</v>
      </c>
      <c r="G1001" s="131">
        <f ca="1">+Adjustments!AW985</f>
        <v>193343718.21868801</v>
      </c>
      <c r="H1001" s="131"/>
      <c r="I1001" s="131">
        <f ca="1">SUM(F1001:H1001)</f>
        <v>1748709229.5786879</v>
      </c>
      <c r="J1001" s="116"/>
      <c r="K1001" s="116"/>
      <c r="L1001" s="131" t="s">
        <v>14</v>
      </c>
      <c r="M1001" s="131">
        <f ca="1">VLOOKUP($L1001,$L$2:$N$7,2,FALSE)*I1001</f>
        <v>1748709229.5786879</v>
      </c>
      <c r="N1001" s="131">
        <f ca="1">VLOOKUP($L1001,$L$2:$N$7,3,FALSE)*I1001</f>
        <v>0</v>
      </c>
      <c r="O1001" s="272"/>
      <c r="P1001" s="257" t="s">
        <v>560</v>
      </c>
      <c r="Q1001" s="131">
        <f ca="1">IF(P1001="G",M1001,IF(P1001="PT",0,ERR))</f>
        <v>1748709229.5786879</v>
      </c>
      <c r="R1001" s="131">
        <f>IF(P1001="PT",M1001,IF(P1001="G",0,ERR))</f>
        <v>0</v>
      </c>
      <c r="S1001" s="257" t="s">
        <v>560</v>
      </c>
      <c r="T1001" s="131">
        <f ca="1">IF(S1001="G",N1001,IF(S1001="PT",0,ERR))</f>
        <v>0</v>
      </c>
      <c r="U1001" s="131">
        <f>IF(S1001="PT",N1001,IF(S1001="G",0,ERR))</f>
        <v>0</v>
      </c>
      <c r="V1001" s="273"/>
      <c r="W1001" s="131">
        <f ca="1">HLOOKUP($W$9,'ROR-Model'!$Q$10:$U$1263,Y1001)</f>
        <v>1748709229.5786879</v>
      </c>
      <c r="X1001" s="118"/>
      <c r="Y1001" s="577">
        <f t="shared" si="53"/>
        <v>992</v>
      </c>
      <c r="AA1001" s="131">
        <v>1493001336.4637499</v>
      </c>
      <c r="AB1001" s="116">
        <f t="shared" ca="1" si="54"/>
        <v>255707893.11493802</v>
      </c>
    </row>
    <row r="1002" spans="1:28">
      <c r="B1002" s="102"/>
      <c r="C1002" s="102"/>
      <c r="D1002" s="102" t="s">
        <v>713</v>
      </c>
      <c r="E1002" s="116">
        <f ca="1">+G1002-Adjustments!H1002</f>
        <v>198506587.92722464</v>
      </c>
      <c r="F1002" s="116">
        <f>F1001+F997</f>
        <v>1596898536.3699999</v>
      </c>
      <c r="G1002" s="116">
        <f ca="1">G1001+G997</f>
        <v>198506587.92722464</v>
      </c>
      <c r="H1002" s="116">
        <f>H1001+H997</f>
        <v>0</v>
      </c>
      <c r="I1002" s="116">
        <f ca="1">I1001+I997</f>
        <v>1795405124.2972245</v>
      </c>
      <c r="J1002" s="116"/>
      <c r="K1002" s="116"/>
      <c r="L1002" s="116"/>
      <c r="M1002" s="116">
        <f ca="1">M1001+M997</f>
        <v>1748709229.5786879</v>
      </c>
      <c r="N1002" s="116">
        <f ca="1">N1001+N997</f>
        <v>46695894.718536623</v>
      </c>
      <c r="O1002" s="272"/>
      <c r="P1002" s="240" t="s">
        <v>560</v>
      </c>
      <c r="Q1002" s="116">
        <f ca="1">Q1001+Q997</f>
        <v>1748709229.5786879</v>
      </c>
      <c r="R1002" s="116">
        <f>R1001+R997</f>
        <v>0</v>
      </c>
      <c r="S1002" s="240" t="s">
        <v>560</v>
      </c>
      <c r="T1002" s="116">
        <f ca="1">T1001+T997</f>
        <v>46695894.718536623</v>
      </c>
      <c r="U1002" s="116">
        <f>U1001+U997</f>
        <v>0</v>
      </c>
      <c r="V1002" s="273"/>
      <c r="W1002" s="116">
        <f ca="1">W1001+W997</f>
        <v>1748709229.5786879</v>
      </c>
      <c r="X1002" s="118"/>
      <c r="Y1002" s="577">
        <f t="shared" si="53"/>
        <v>993</v>
      </c>
      <c r="AA1002" s="116">
        <v>1493001336.4637499</v>
      </c>
      <c r="AB1002" s="116">
        <f t="shared" ca="1" si="54"/>
        <v>255707893.11493802</v>
      </c>
    </row>
    <row r="1003" spans="1:28">
      <c r="A1003" s="102"/>
      <c r="B1003" s="102"/>
      <c r="C1003" s="102"/>
      <c r="E1003" s="116">
        <f>+G1003-Adjustments!H1003</f>
        <v>0</v>
      </c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272"/>
      <c r="P1003" s="240"/>
      <c r="Q1003" s="116"/>
      <c r="R1003" s="116"/>
      <c r="S1003" s="240"/>
      <c r="T1003" s="116"/>
      <c r="U1003" s="116"/>
      <c r="V1003" s="273"/>
      <c r="W1003" s="116"/>
      <c r="X1003" s="118"/>
      <c r="Y1003" s="577">
        <f t="shared" si="53"/>
        <v>994</v>
      </c>
      <c r="AA1003" s="116"/>
      <c r="AB1003" s="116">
        <f t="shared" si="54"/>
        <v>0</v>
      </c>
    </row>
    <row r="1004" spans="1:28">
      <c r="B1004" s="102" t="s">
        <v>246</v>
      </c>
      <c r="C1004" s="102" t="s">
        <v>248</v>
      </c>
      <c r="D1004" s="102"/>
      <c r="E1004" s="116">
        <f>+G1004-Adjustments!H1004</f>
        <v>0</v>
      </c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272"/>
      <c r="P1004" s="240"/>
      <c r="Q1004" s="116"/>
      <c r="R1004" s="116"/>
      <c r="S1004" s="240"/>
      <c r="T1004" s="116"/>
      <c r="U1004" s="116"/>
      <c r="V1004" s="273"/>
      <c r="W1004" s="116"/>
      <c r="X1004" s="118"/>
      <c r="Y1004" s="577">
        <f t="shared" si="53"/>
        <v>995</v>
      </c>
      <c r="AA1004" s="116"/>
      <c r="AB1004" s="116">
        <f t="shared" si="54"/>
        <v>0</v>
      </c>
    </row>
    <row r="1005" spans="1:28">
      <c r="B1005" s="102"/>
      <c r="C1005" s="102"/>
      <c r="D1005" s="102" t="s">
        <v>24</v>
      </c>
      <c r="E1005" s="116">
        <f>+G1005-Adjustments!H1005</f>
        <v>0</v>
      </c>
      <c r="F1005" s="116">
        <f>'Rate Base'!$AE$54</f>
        <v>0</v>
      </c>
      <c r="G1005" s="116">
        <f>+Adjustments!AW989</f>
        <v>0</v>
      </c>
      <c r="H1005" s="116"/>
      <c r="I1005" s="116">
        <f>SUM(F1005:H1005)</f>
        <v>0</v>
      </c>
      <c r="J1005" s="116"/>
      <c r="K1005" s="116"/>
      <c r="L1005" s="116" t="s">
        <v>24</v>
      </c>
      <c r="M1005" s="116">
        <f>VLOOKUP($L1005,$L$2:$N$7,2,FALSE)*I1005</f>
        <v>0</v>
      </c>
      <c r="N1005" s="116">
        <f>VLOOKUP($L1005,$L$2:$N$7,3,FALSE)*I1005</f>
        <v>0</v>
      </c>
      <c r="O1005" s="272"/>
      <c r="P1005" s="207" t="s">
        <v>560</v>
      </c>
      <c r="Q1005" s="116">
        <f>IF(P1005="G",M1005,IF(P1005="PT",0,ERR))</f>
        <v>0</v>
      </c>
      <c r="R1005" s="116">
        <f>IF(P1005="PT",M1005,IF(P1005="G",0,ERR))</f>
        <v>0</v>
      </c>
      <c r="S1005" s="240" t="s">
        <v>560</v>
      </c>
      <c r="T1005" s="116">
        <f>IF(S1005="G",N1005,IF(S1005="PT",0,ERR))</f>
        <v>0</v>
      </c>
      <c r="U1005" s="116">
        <f>IF(S1005="PT",N1005,IF(S1005="G",0,ERR))</f>
        <v>0</v>
      </c>
      <c r="V1005" s="273"/>
      <c r="W1005" s="116">
        <f>HLOOKUP($W$9,'ROR-Model'!$Q$10:$U$1263,Y1005)</f>
        <v>0</v>
      </c>
      <c r="X1005" s="118"/>
      <c r="Y1005" s="577">
        <f t="shared" si="53"/>
        <v>996</v>
      </c>
      <c r="AA1005" s="116">
        <v>0</v>
      </c>
      <c r="AB1005" s="116">
        <f t="shared" si="54"/>
        <v>0</v>
      </c>
    </row>
    <row r="1006" spans="1:28">
      <c r="B1006" s="102"/>
      <c r="C1006" s="102"/>
      <c r="D1006" s="102" t="s">
        <v>14</v>
      </c>
      <c r="E1006" s="116">
        <f ca="1">+G1006-Adjustments!H1006</f>
        <v>-6981331.0959904566</v>
      </c>
      <c r="F1006" s="116">
        <f>'Rate Base'!$AE$55</f>
        <v>14286566.039999999</v>
      </c>
      <c r="G1006" s="116">
        <f ca="1">+Adjustments!AW990</f>
        <v>-6981331.0959904566</v>
      </c>
      <c r="H1006" s="116"/>
      <c r="I1006" s="116">
        <f ca="1">SUM(F1006:H1006)</f>
        <v>7305234.9440095425</v>
      </c>
      <c r="J1006" s="116"/>
      <c r="K1006" s="116"/>
      <c r="L1006" s="116" t="s">
        <v>14</v>
      </c>
      <c r="M1006" s="116">
        <f ca="1">VLOOKUP($L1006,$L$2:$N$7,2,FALSE)*I1006</f>
        <v>7305234.9440095425</v>
      </c>
      <c r="N1006" s="116">
        <f ca="1">VLOOKUP($L1006,$L$2:$N$7,3,FALSE)*I1006</f>
        <v>0</v>
      </c>
      <c r="O1006" s="272"/>
      <c r="P1006" s="207" t="s">
        <v>560</v>
      </c>
      <c r="Q1006" s="116">
        <f ca="1">IF(P1006="G",M1006,IF(P1006="PT",0,ERR))</f>
        <v>7305234.9440095425</v>
      </c>
      <c r="R1006" s="116">
        <f>IF(P1006="PT",M1006,IF(P1006="G",0,ERR))</f>
        <v>0</v>
      </c>
      <c r="S1006" s="240" t="s">
        <v>560</v>
      </c>
      <c r="T1006" s="116">
        <f ca="1">IF(S1006="G",N1006,IF(S1006="PT",0,ERR))</f>
        <v>0</v>
      </c>
      <c r="U1006" s="116">
        <f>IF(S1006="PT",N1006,IF(S1006="G",0,ERR))</f>
        <v>0</v>
      </c>
      <c r="V1006" s="273"/>
      <c r="W1006" s="116">
        <f ca="1">HLOOKUP($W$9,'ROR-Model'!$Q$10:$U$1263,Y1006)</f>
        <v>7305234.9440095425</v>
      </c>
      <c r="X1006" s="118"/>
      <c r="Y1006" s="577">
        <f t="shared" si="53"/>
        <v>997</v>
      </c>
      <c r="AA1006" s="116">
        <v>15122497.60458333</v>
      </c>
      <c r="AB1006" s="116">
        <f t="shared" ca="1" si="54"/>
        <v>-7817262.660573788</v>
      </c>
    </row>
    <row r="1007" spans="1:28">
      <c r="B1007" s="102"/>
      <c r="C1007" s="102"/>
      <c r="D1007" s="102" t="s">
        <v>170</v>
      </c>
      <c r="E1007" s="131">
        <f ca="1">+G1007-Adjustments!H1007</f>
        <v>-6981331.0959904566</v>
      </c>
      <c r="F1007" s="131">
        <f>SUM(F1005:F1006)</f>
        <v>14286566.039999999</v>
      </c>
      <c r="G1007" s="131">
        <f ca="1">SUM(G1005:G1006)</f>
        <v>-6981331.0959904566</v>
      </c>
      <c r="H1007" s="131"/>
      <c r="I1007" s="131">
        <f ca="1">SUM(I1005:I1006)</f>
        <v>7305234.9440095425</v>
      </c>
      <c r="J1007" s="116"/>
      <c r="K1007" s="116"/>
      <c r="L1007" s="131"/>
      <c r="M1007" s="131">
        <f ca="1">SUM(M1005:M1006)</f>
        <v>7305234.9440095425</v>
      </c>
      <c r="N1007" s="131">
        <f ca="1">SUM(N1005:N1006)</f>
        <v>0</v>
      </c>
      <c r="O1007" s="272"/>
      <c r="P1007" s="257"/>
      <c r="Q1007" s="131">
        <f ca="1">SUM(Q1005:Q1006)</f>
        <v>7305234.9440095425</v>
      </c>
      <c r="R1007" s="131">
        <f>SUM(R1005:R1006)</f>
        <v>0</v>
      </c>
      <c r="S1007" s="257"/>
      <c r="T1007" s="131">
        <f ca="1">SUM(T1005:T1006)</f>
        <v>0</v>
      </c>
      <c r="U1007" s="131">
        <f>SUM(U1005:U1006)</f>
        <v>0</v>
      </c>
      <c r="V1007" s="273"/>
      <c r="W1007" s="131">
        <f ca="1">SUM(W1005:W1006)</f>
        <v>7305234.9440095425</v>
      </c>
      <c r="X1007" s="118"/>
      <c r="Y1007" s="577">
        <f t="shared" si="53"/>
        <v>998</v>
      </c>
      <c r="AA1007" s="131">
        <v>15122497.60458333</v>
      </c>
      <c r="AB1007" s="116">
        <f t="shared" ca="1" si="54"/>
        <v>-7817262.660573788</v>
      </c>
    </row>
    <row r="1008" spans="1:28">
      <c r="A1008" s="102"/>
      <c r="B1008" s="102"/>
      <c r="C1008" s="102"/>
      <c r="E1008" s="116">
        <f>+G1008-Adjustments!H1008</f>
        <v>0</v>
      </c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272"/>
      <c r="P1008" s="240"/>
      <c r="Q1008" s="116"/>
      <c r="R1008" s="116"/>
      <c r="S1008" s="240"/>
      <c r="T1008" s="116"/>
      <c r="U1008" s="116"/>
      <c r="V1008" s="273"/>
      <c r="W1008" s="116"/>
      <c r="X1008" s="118"/>
      <c r="Y1008" s="577">
        <f t="shared" si="53"/>
        <v>999</v>
      </c>
      <c r="AA1008" s="116"/>
      <c r="AB1008" s="116">
        <f t="shared" si="54"/>
        <v>0</v>
      </c>
    </row>
    <row r="1009" spans="2:28">
      <c r="B1009" s="102" t="s">
        <v>249</v>
      </c>
      <c r="C1009" s="102" t="s">
        <v>250</v>
      </c>
      <c r="D1009" s="102"/>
      <c r="E1009" s="116">
        <f>+G1009-Adjustments!H1009</f>
        <v>0</v>
      </c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272"/>
      <c r="P1009" s="240"/>
      <c r="Q1009" s="116"/>
      <c r="R1009" s="116"/>
      <c r="S1009" s="240"/>
      <c r="T1009" s="116"/>
      <c r="U1009" s="116"/>
      <c r="V1009" s="273"/>
      <c r="W1009" s="116"/>
      <c r="X1009" s="118"/>
      <c r="Y1009" s="577">
        <f t="shared" si="53"/>
        <v>1000</v>
      </c>
      <c r="AA1009" s="116"/>
      <c r="AB1009" s="116">
        <f t="shared" si="54"/>
        <v>0</v>
      </c>
    </row>
    <row r="1010" spans="2:28">
      <c r="B1010" s="102"/>
      <c r="C1010" s="102"/>
      <c r="D1010" s="102" t="s">
        <v>24</v>
      </c>
      <c r="E1010" s="116">
        <f ca="1">+G1010-Adjustments!H1010</f>
        <v>1567018.6781012509</v>
      </c>
      <c r="F1010" s="116">
        <f>'Rate Base'!$AE$59</f>
        <v>7646803.6600000001</v>
      </c>
      <c r="G1010" s="116">
        <f ca="1">+Adjustments!AW994</f>
        <v>1567018.6781012509</v>
      </c>
      <c r="H1010" s="116"/>
      <c r="I1010" s="116">
        <f ca="1">SUM(F1010:H1010)</f>
        <v>9213822.3381012511</v>
      </c>
      <c r="J1010" s="116"/>
      <c r="K1010" s="116"/>
      <c r="L1010" s="116" t="s">
        <v>24</v>
      </c>
      <c r="M1010" s="116">
        <f ca="1">VLOOKUP($L1010,$L$2:$N$7,2,FALSE)*I1010</f>
        <v>0</v>
      </c>
      <c r="N1010" s="116">
        <f ca="1">VLOOKUP($L1010,$L$2:$N$7,3,FALSE)*I1010</f>
        <v>9213822.3381012511</v>
      </c>
      <c r="O1010" s="272"/>
      <c r="P1010" s="207" t="s">
        <v>560</v>
      </c>
      <c r="Q1010" s="116">
        <f ca="1">IF(P1010="G",M1010,IF(P1010="PT",0,ERR))</f>
        <v>0</v>
      </c>
      <c r="R1010" s="116">
        <f>IF(P1010="PT",M1010,IF(P1010="G",0,ERR))</f>
        <v>0</v>
      </c>
      <c r="S1010" s="240" t="s">
        <v>560</v>
      </c>
      <c r="T1010" s="116">
        <f ca="1">IF(S1010="G",N1010,IF(S1010="PT",0,ERR))</f>
        <v>9213822.3381012511</v>
      </c>
      <c r="U1010" s="116">
        <f>IF(S1010="PT",N1010,IF(S1010="G",0,ERR))</f>
        <v>0</v>
      </c>
      <c r="V1010" s="273"/>
      <c r="W1010" s="116">
        <f ca="1">HLOOKUP($W$9,'ROR-Model'!$Q$10:$U$1263,Y1010)</f>
        <v>0</v>
      </c>
      <c r="X1010" s="118"/>
      <c r="Y1010" s="577">
        <f t="shared" si="53"/>
        <v>1001</v>
      </c>
      <c r="AA1010" s="116">
        <v>0</v>
      </c>
      <c r="AB1010" s="116">
        <f t="shared" ca="1" si="54"/>
        <v>0</v>
      </c>
    </row>
    <row r="1011" spans="2:28">
      <c r="B1011" s="102"/>
      <c r="C1011" s="102"/>
      <c r="D1011" s="102" t="s">
        <v>14</v>
      </c>
      <c r="E1011" s="116">
        <f ca="1">+G1011-Adjustments!H1011</f>
        <v>20746161.496314153</v>
      </c>
      <c r="F1011" s="116">
        <f>'Rate Base'!$AE$60</f>
        <v>101237991.53</v>
      </c>
      <c r="G1011" s="116">
        <f ca="1">+Adjustments!AW995</f>
        <v>20746161.496314153</v>
      </c>
      <c r="H1011" s="116"/>
      <c r="I1011" s="116">
        <f ca="1">SUM(F1011:H1011)</f>
        <v>121984153.02631415</v>
      </c>
      <c r="J1011" s="116"/>
      <c r="K1011" s="116"/>
      <c r="L1011" s="116" t="s">
        <v>14</v>
      </c>
      <c r="M1011" s="116">
        <f ca="1">VLOOKUP($L1011,$L$2:$N$7,2,FALSE)*I1011</f>
        <v>121984153.02631415</v>
      </c>
      <c r="N1011" s="116">
        <f ca="1">VLOOKUP($L1011,$L$2:$N$7,3,FALSE)*I1011</f>
        <v>0</v>
      </c>
      <c r="O1011" s="272"/>
      <c r="P1011" s="207" t="s">
        <v>560</v>
      </c>
      <c r="Q1011" s="116">
        <f ca="1">IF(P1011="G",M1011,IF(P1011="PT",0,ERR))</f>
        <v>121984153.02631415</v>
      </c>
      <c r="R1011" s="116">
        <f>IF(P1011="PT",M1011,IF(P1011="G",0,ERR))</f>
        <v>0</v>
      </c>
      <c r="S1011" s="240" t="s">
        <v>560</v>
      </c>
      <c r="T1011" s="116">
        <f ca="1">IF(S1011="G",N1011,IF(S1011="PT",0,ERR))</f>
        <v>0</v>
      </c>
      <c r="U1011" s="116">
        <f>IF(S1011="PT",N1011,IF(S1011="G",0,ERR))</f>
        <v>0</v>
      </c>
      <c r="V1011" s="273"/>
      <c r="W1011" s="116">
        <f ca="1">HLOOKUP($W$9,'ROR-Model'!$Q$10:$U$1263,Y1011)</f>
        <v>121984153.02631415</v>
      </c>
      <c r="X1011" s="118"/>
      <c r="Y1011" s="577">
        <f t="shared" si="53"/>
        <v>1002</v>
      </c>
      <c r="AA1011" s="116">
        <v>97012367.48041667</v>
      </c>
      <c r="AB1011" s="116">
        <f t="shared" ca="1" si="54"/>
        <v>24971785.545897484</v>
      </c>
    </row>
    <row r="1012" spans="2:28">
      <c r="B1012" s="102"/>
      <c r="C1012" s="102"/>
      <c r="D1012" s="102" t="s">
        <v>170</v>
      </c>
      <c r="E1012" s="131">
        <f ca="1">+G1012-Adjustments!H1012</f>
        <v>22313180.174415402</v>
      </c>
      <c r="F1012" s="131">
        <f>SUM(F1010:F1011)</f>
        <v>108884795.19</v>
      </c>
      <c r="G1012" s="131">
        <f ca="1">SUM(G1010:G1011)</f>
        <v>22313180.174415402</v>
      </c>
      <c r="H1012" s="131"/>
      <c r="I1012" s="131">
        <f ca="1">SUM(I1010:I1011)</f>
        <v>131197975.36441541</v>
      </c>
      <c r="J1012" s="116"/>
      <c r="K1012" s="116"/>
      <c r="L1012" s="131"/>
      <c r="M1012" s="131">
        <f ca="1">SUM(M1010:M1011)</f>
        <v>121984153.02631415</v>
      </c>
      <c r="N1012" s="131">
        <f ca="1">SUM(N1010:N1011)</f>
        <v>9213822.3381012511</v>
      </c>
      <c r="O1012" s="272"/>
      <c r="P1012" s="257"/>
      <c r="Q1012" s="131">
        <f ca="1">SUM(Q1010:Q1011)</f>
        <v>121984153.02631415</v>
      </c>
      <c r="R1012" s="131">
        <f>SUM(R1010:R1011)</f>
        <v>0</v>
      </c>
      <c r="S1012" s="257"/>
      <c r="T1012" s="131">
        <f ca="1">SUM(T1010:T1011)</f>
        <v>9213822.3381012511</v>
      </c>
      <c r="U1012" s="131">
        <f>SUM(U1010:U1011)</f>
        <v>0</v>
      </c>
      <c r="V1012" s="273"/>
      <c r="W1012" s="131">
        <f ca="1">SUM(W1010:W1011)</f>
        <v>121984153.02631415</v>
      </c>
      <c r="X1012" s="118"/>
      <c r="Y1012" s="577">
        <f t="shared" si="53"/>
        <v>1003</v>
      </c>
      <c r="AA1012" s="131">
        <v>97012367.48041667</v>
      </c>
      <c r="AB1012" s="116">
        <f t="shared" ca="1" si="54"/>
        <v>24971785.545897484</v>
      </c>
    </row>
    <row r="1013" spans="2:28">
      <c r="B1013" s="102"/>
      <c r="C1013" s="102"/>
      <c r="D1013" s="102"/>
      <c r="E1013" s="116">
        <f>+G1013-Adjustments!H1013</f>
        <v>0</v>
      </c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272"/>
      <c r="P1013" s="240"/>
      <c r="Q1013" s="116"/>
      <c r="R1013" s="116"/>
      <c r="S1013" s="240"/>
      <c r="T1013" s="116"/>
      <c r="U1013" s="116"/>
      <c r="V1013" s="273"/>
      <c r="W1013" s="116"/>
      <c r="X1013" s="118"/>
      <c r="Y1013" s="577">
        <f t="shared" si="53"/>
        <v>1004</v>
      </c>
      <c r="AA1013" s="116"/>
      <c r="AB1013" s="116">
        <f t="shared" si="54"/>
        <v>0</v>
      </c>
    </row>
    <row r="1014" spans="2:28">
      <c r="B1014" s="102" t="s">
        <v>251</v>
      </c>
      <c r="C1014" s="102" t="s">
        <v>780</v>
      </c>
      <c r="D1014" s="102"/>
      <c r="E1014" s="116">
        <f>+G1014-Adjustments!H1014</f>
        <v>0</v>
      </c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272"/>
      <c r="P1014" s="240"/>
      <c r="Q1014" s="116"/>
      <c r="R1014" s="116"/>
      <c r="S1014" s="240"/>
      <c r="T1014" s="116"/>
      <c r="U1014" s="116"/>
      <c r="V1014" s="273"/>
      <c r="W1014" s="116"/>
      <c r="X1014" s="118"/>
      <c r="Y1014" s="577">
        <f t="shared" si="53"/>
        <v>1005</v>
      </c>
      <c r="AA1014" s="116"/>
      <c r="AB1014" s="116">
        <f t="shared" si="54"/>
        <v>0</v>
      </c>
    </row>
    <row r="1015" spans="2:28">
      <c r="B1015" s="102"/>
      <c r="C1015" s="102"/>
      <c r="D1015" s="102" t="s">
        <v>24</v>
      </c>
      <c r="E1015" s="116">
        <f ca="1">+G1015-Adjustments!H1015</f>
        <v>800072.21026363596</v>
      </c>
      <c r="F1015" s="116">
        <f>'Rate Base'!$AE$64</f>
        <v>20117572.069999997</v>
      </c>
      <c r="G1015" s="116">
        <f ca="1">+Adjustments!AW999</f>
        <v>800072.21026363596</v>
      </c>
      <c r="H1015" s="116"/>
      <c r="I1015" s="116">
        <f ca="1">SUM(F1015:H1015)</f>
        <v>20917644.280263633</v>
      </c>
      <c r="J1015" s="116"/>
      <c r="K1015" s="116"/>
      <c r="L1015" s="116" t="s">
        <v>24</v>
      </c>
      <c r="M1015" s="116">
        <f ca="1">VLOOKUP($L1015,$L$2:$N$7,2,FALSE)*I1015</f>
        <v>0</v>
      </c>
      <c r="N1015" s="116">
        <f ca="1">VLOOKUP($L1015,$L$2:$N$7,3,FALSE)*I1015</f>
        <v>20917644.280263633</v>
      </c>
      <c r="O1015" s="272"/>
      <c r="P1015" s="207" t="s">
        <v>560</v>
      </c>
      <c r="Q1015" s="116">
        <f ca="1">IF(P1015="G",M1015,IF(P1015="PT",0,ERR))</f>
        <v>0</v>
      </c>
      <c r="R1015" s="116">
        <f>IF(P1015="PT",M1015,IF(P1015="G",0,ERR))</f>
        <v>0</v>
      </c>
      <c r="S1015" s="240" t="s">
        <v>560</v>
      </c>
      <c r="T1015" s="116">
        <f ca="1">IF(S1015="G",N1015,IF(S1015="PT",0,ERR))</f>
        <v>20917644.280263633</v>
      </c>
      <c r="U1015" s="116">
        <f>IF(S1015="PT",N1015,IF(S1015="G",0,ERR))</f>
        <v>0</v>
      </c>
      <c r="V1015" s="273"/>
      <c r="W1015" s="116">
        <f ca="1">HLOOKUP($W$9,'ROR-Model'!$Q$10:$U$1263,Y1015)</f>
        <v>0</v>
      </c>
      <c r="X1015" s="118"/>
      <c r="Y1015" s="577">
        <f t="shared" si="53"/>
        <v>1006</v>
      </c>
      <c r="AA1015" s="116">
        <v>0</v>
      </c>
      <c r="AB1015" s="116">
        <f t="shared" ca="1" si="54"/>
        <v>0</v>
      </c>
    </row>
    <row r="1016" spans="2:28">
      <c r="B1016" s="102"/>
      <c r="C1016" s="102"/>
      <c r="D1016" s="102" t="s">
        <v>14</v>
      </c>
      <c r="E1016" s="116">
        <f ca="1">+G1016-Adjustments!H1016</f>
        <v>15641986.081559539</v>
      </c>
      <c r="F1016" s="116">
        <f>'Rate Base'!$AE$65</f>
        <v>393312976.35000002</v>
      </c>
      <c r="G1016" s="116">
        <f ca="1">+Adjustments!AW1000</f>
        <v>15641986.081559539</v>
      </c>
      <c r="H1016" s="116"/>
      <c r="I1016" s="116">
        <f ca="1">SUM(F1016:H1016)</f>
        <v>408954962.43155956</v>
      </c>
      <c r="J1016" s="116"/>
      <c r="K1016" s="116"/>
      <c r="L1016" s="116" t="s">
        <v>14</v>
      </c>
      <c r="M1016" s="116">
        <f ca="1">VLOOKUP($L1016,$L$2:$N$7,2,FALSE)*I1016</f>
        <v>408954962.43155956</v>
      </c>
      <c r="N1016" s="116">
        <f ca="1">VLOOKUP($L1016,$L$2:$N$7,3,FALSE)*I1016</f>
        <v>0</v>
      </c>
      <c r="O1016" s="272"/>
      <c r="P1016" s="207" t="s">
        <v>560</v>
      </c>
      <c r="Q1016" s="116">
        <f ca="1">IF(P1016="G",M1016,IF(P1016="PT",0,ERR))</f>
        <v>408954962.43155956</v>
      </c>
      <c r="R1016" s="116">
        <f>IF(P1016="PT",M1016,IF(P1016="G",0,ERR))</f>
        <v>0</v>
      </c>
      <c r="S1016" s="240" t="s">
        <v>560</v>
      </c>
      <c r="T1016" s="116">
        <f ca="1">IF(S1016="G",N1016,IF(S1016="PT",0,ERR))</f>
        <v>0</v>
      </c>
      <c r="U1016" s="116">
        <f>IF(S1016="PT",N1016,IF(S1016="G",0,ERR))</f>
        <v>0</v>
      </c>
      <c r="V1016" s="273"/>
      <c r="W1016" s="116">
        <f ca="1">HLOOKUP($W$9,'ROR-Model'!$Q$10:$U$1263,Y1016)</f>
        <v>408954962.43155956</v>
      </c>
      <c r="X1016" s="118"/>
      <c r="Y1016" s="577">
        <f t="shared" si="53"/>
        <v>1007</v>
      </c>
      <c r="AA1016" s="116">
        <v>383671046.28874999</v>
      </c>
      <c r="AB1016" s="116">
        <f t="shared" ca="1" si="54"/>
        <v>25283916.14280957</v>
      </c>
    </row>
    <row r="1017" spans="2:28">
      <c r="B1017" s="102"/>
      <c r="C1017" s="102"/>
      <c r="D1017" s="102" t="s">
        <v>170</v>
      </c>
      <c r="E1017" s="131">
        <f ca="1">+G1017-Adjustments!H1017</f>
        <v>16442058.291823175</v>
      </c>
      <c r="F1017" s="131">
        <f>SUM(F1015:F1016)</f>
        <v>413430548.42000002</v>
      </c>
      <c r="G1017" s="131">
        <f ca="1">SUM(G1015:G1016)</f>
        <v>16442058.291823175</v>
      </c>
      <c r="H1017" s="131"/>
      <c r="I1017" s="131">
        <f ca="1">SUM(I1015:I1016)</f>
        <v>429872606.71182323</v>
      </c>
      <c r="J1017" s="116"/>
      <c r="K1017" s="116"/>
      <c r="L1017" s="131"/>
      <c r="M1017" s="131">
        <f ca="1">SUM(M1015:M1016)</f>
        <v>408954962.43155956</v>
      </c>
      <c r="N1017" s="131">
        <f ca="1">SUM(N1015:N1016)</f>
        <v>20917644.280263633</v>
      </c>
      <c r="O1017" s="272"/>
      <c r="P1017" s="257"/>
      <c r="Q1017" s="131">
        <f ca="1">SUM(Q1015:Q1016)</f>
        <v>408954962.43155956</v>
      </c>
      <c r="R1017" s="131">
        <f>SUM(R1015:R1016)</f>
        <v>0</v>
      </c>
      <c r="S1017" s="257"/>
      <c r="T1017" s="131">
        <f ca="1">SUM(T1015:T1016)</f>
        <v>20917644.280263633</v>
      </c>
      <c r="U1017" s="131">
        <f>SUM(U1015:U1016)</f>
        <v>0</v>
      </c>
      <c r="V1017" s="273"/>
      <c r="W1017" s="131">
        <f ca="1">SUM(W1015:W1016)</f>
        <v>408954962.43155956</v>
      </c>
      <c r="X1017" s="118"/>
      <c r="Y1017" s="577">
        <f t="shared" si="53"/>
        <v>1008</v>
      </c>
      <c r="AA1017" s="131">
        <v>383671046.28874999</v>
      </c>
      <c r="AB1017" s="116">
        <f t="shared" ca="1" si="54"/>
        <v>25283916.14280957</v>
      </c>
    </row>
    <row r="1018" spans="2:28">
      <c r="B1018" s="102"/>
      <c r="C1018" s="102"/>
      <c r="D1018" s="102"/>
      <c r="E1018" s="116" t="e">
        <f>+G1018-Adjustments!#REF!</f>
        <v>#REF!</v>
      </c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272"/>
      <c r="P1018" s="240"/>
      <c r="Q1018" s="116"/>
      <c r="R1018" s="116"/>
      <c r="S1018" s="240"/>
      <c r="T1018" s="116"/>
      <c r="U1018" s="116"/>
      <c r="V1018" s="273"/>
      <c r="W1018" s="116"/>
      <c r="X1018" s="118"/>
      <c r="Y1018" s="577">
        <f t="shared" si="53"/>
        <v>1009</v>
      </c>
      <c r="AA1018" s="116"/>
      <c r="AB1018" s="116">
        <f t="shared" si="54"/>
        <v>0</v>
      </c>
    </row>
    <row r="1019" spans="2:28">
      <c r="B1019" s="102" t="s">
        <v>252</v>
      </c>
      <c r="C1019" s="102" t="s">
        <v>253</v>
      </c>
      <c r="D1019" s="102"/>
      <c r="E1019" s="116" t="e">
        <f>+G1019-Adjustments!#REF!</f>
        <v>#REF!</v>
      </c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272"/>
      <c r="P1019" s="240"/>
      <c r="Q1019" s="116"/>
      <c r="R1019" s="116"/>
      <c r="S1019" s="240"/>
      <c r="T1019" s="116"/>
      <c r="U1019" s="116"/>
      <c r="V1019" s="273"/>
      <c r="W1019" s="116"/>
      <c r="X1019" s="118"/>
      <c r="Y1019" s="577">
        <f t="shared" si="53"/>
        <v>1010</v>
      </c>
      <c r="AA1019" s="116"/>
      <c r="AB1019" s="116">
        <f t="shared" si="54"/>
        <v>0</v>
      </c>
    </row>
    <row r="1020" spans="2:28">
      <c r="B1020" s="102"/>
      <c r="C1020" s="102"/>
      <c r="D1020" s="102" t="s">
        <v>24</v>
      </c>
      <c r="E1020" s="116" t="e">
        <f ca="1">+G1020-Adjustments!#REF!</f>
        <v>#REF!</v>
      </c>
      <c r="F1020" s="116">
        <f>'Rate Base'!$AE$69</f>
        <v>10480480.653999999</v>
      </c>
      <c r="G1020" s="116">
        <f ca="1">+Adjustments!AW1004</f>
        <v>1439018.8456374537</v>
      </c>
      <c r="H1020" s="116"/>
      <c r="I1020" s="116">
        <f ca="1">SUM(F1020:H1020)</f>
        <v>11919499.499637453</v>
      </c>
      <c r="J1020" s="116"/>
      <c r="K1020" s="116"/>
      <c r="L1020" s="116" t="s">
        <v>24</v>
      </c>
      <c r="M1020" s="116">
        <f ca="1">VLOOKUP($L1020,$L$2:$N$7,2,FALSE)*I1020</f>
        <v>0</v>
      </c>
      <c r="N1020" s="116">
        <f ca="1">VLOOKUP($L1020,$L$2:$N$7,3,FALSE)*I1020</f>
        <v>11919499.499637453</v>
      </c>
      <c r="O1020" s="272"/>
      <c r="P1020" s="207" t="s">
        <v>560</v>
      </c>
      <c r="Q1020" s="116">
        <f ca="1">IF(P1020="G",M1020,IF(P1020="PT",0,ERR))</f>
        <v>0</v>
      </c>
      <c r="R1020" s="116">
        <f>IF(P1020="PT",M1020,IF(P1020="G",0,ERR))</f>
        <v>0</v>
      </c>
      <c r="S1020" s="240" t="s">
        <v>560</v>
      </c>
      <c r="T1020" s="116">
        <f ca="1">IF(S1020="G",N1020,IF(S1020="PT",0,ERR))</f>
        <v>11919499.499637453</v>
      </c>
      <c r="U1020" s="116">
        <f>IF(S1020="PT",N1020,IF(S1020="G",0,ERR))</f>
        <v>0</v>
      </c>
      <c r="V1020" s="273"/>
      <c r="W1020" s="116">
        <f ca="1">HLOOKUP($W$9,'ROR-Model'!$Q$10:$U$1263,Y1020)</f>
        <v>0</v>
      </c>
      <c r="X1020" s="118"/>
      <c r="Y1020" s="577">
        <f t="shared" si="53"/>
        <v>1011</v>
      </c>
      <c r="AA1020" s="116">
        <v>0</v>
      </c>
      <c r="AB1020" s="116">
        <f t="shared" ca="1" si="54"/>
        <v>0</v>
      </c>
    </row>
    <row r="1021" spans="2:28">
      <c r="B1021" s="102"/>
      <c r="C1021" s="102"/>
      <c r="D1021" s="102" t="s">
        <v>14</v>
      </c>
      <c r="E1021" s="116" t="e">
        <f ca="1">+G1021-Adjustments!#REF!</f>
        <v>#REF!</v>
      </c>
      <c r="F1021" s="116">
        <f>'Rate Base'!$AE$70</f>
        <v>331969358.31600004</v>
      </c>
      <c r="G1021" s="116">
        <f ca="1">+Adjustments!AW1005</f>
        <v>45580940.279544353</v>
      </c>
      <c r="H1021" s="116"/>
      <c r="I1021" s="116">
        <f ca="1">SUM(F1021:H1021)</f>
        <v>377550298.5955444</v>
      </c>
      <c r="J1021" s="116"/>
      <c r="K1021" s="116"/>
      <c r="L1021" s="116" t="s">
        <v>14</v>
      </c>
      <c r="M1021" s="116">
        <f ca="1">VLOOKUP($L1021,$L$2:$N$7,2,FALSE)*I1021</f>
        <v>377550298.5955444</v>
      </c>
      <c r="N1021" s="116">
        <f ca="1">VLOOKUP($L1021,$L$2:$N$7,3,FALSE)*I1021</f>
        <v>0</v>
      </c>
      <c r="O1021" s="272"/>
      <c r="P1021" s="207" t="s">
        <v>560</v>
      </c>
      <c r="Q1021" s="116">
        <f ca="1">IF(P1021="G",M1021,IF(P1021="PT",0,ERR))</f>
        <v>377550298.5955444</v>
      </c>
      <c r="R1021" s="116">
        <f>IF(P1021="PT",M1021,IF(P1021="G",0,ERR))</f>
        <v>0</v>
      </c>
      <c r="S1021" s="240" t="s">
        <v>560</v>
      </c>
      <c r="T1021" s="116">
        <f ca="1">IF(S1021="G",N1021,IF(S1021="PT",0,ERR))</f>
        <v>0</v>
      </c>
      <c r="U1021" s="116">
        <f>IF(S1021="PT",N1021,IF(S1021="G",0,ERR))</f>
        <v>0</v>
      </c>
      <c r="V1021" s="273"/>
      <c r="W1021" s="116">
        <f ca="1">HLOOKUP($W$9,'ROR-Model'!$Q$10:$U$1263,Y1021)</f>
        <v>377550298.5955444</v>
      </c>
      <c r="X1021" s="118"/>
      <c r="Y1021" s="577">
        <f t="shared" si="53"/>
        <v>1012</v>
      </c>
      <c r="AA1021" s="116">
        <v>315994114.57708335</v>
      </c>
      <c r="AB1021" s="116">
        <f t="shared" ca="1" si="54"/>
        <v>61556184.018461049</v>
      </c>
    </row>
    <row r="1022" spans="2:28">
      <c r="B1022" s="102"/>
      <c r="C1022" s="102"/>
      <c r="D1022" s="102" t="s">
        <v>170</v>
      </c>
      <c r="E1022" s="131" t="e">
        <f ca="1">+G1022-Adjustments!#REF!</f>
        <v>#REF!</v>
      </c>
      <c r="F1022" s="131">
        <f>SUM(F1020:F1021)</f>
        <v>342449838.97000003</v>
      </c>
      <c r="G1022" s="131">
        <f ca="1">SUM(G1020:G1021)</f>
        <v>47019959.125181809</v>
      </c>
      <c r="H1022" s="131"/>
      <c r="I1022" s="131">
        <f ca="1">SUM(I1020:I1021)</f>
        <v>389469798.09518182</v>
      </c>
      <c r="J1022" s="116"/>
      <c r="K1022" s="116"/>
      <c r="L1022" s="131"/>
      <c r="M1022" s="131">
        <f ca="1">SUM(M1020:M1021)</f>
        <v>377550298.5955444</v>
      </c>
      <c r="N1022" s="131">
        <f ca="1">SUM(N1020:N1021)</f>
        <v>11919499.499637453</v>
      </c>
      <c r="O1022" s="272"/>
      <c r="P1022" s="257"/>
      <c r="Q1022" s="131">
        <f ca="1">SUM(Q1020:Q1021)</f>
        <v>377550298.5955444</v>
      </c>
      <c r="R1022" s="131">
        <f>SUM(R1020:R1021)</f>
        <v>0</v>
      </c>
      <c r="S1022" s="257"/>
      <c r="T1022" s="131">
        <f ca="1">SUM(T1020:T1021)</f>
        <v>11919499.499637453</v>
      </c>
      <c r="U1022" s="131">
        <f>SUM(U1020:U1021)</f>
        <v>0</v>
      </c>
      <c r="V1022" s="273"/>
      <c r="W1022" s="131">
        <f ca="1">SUM(W1020:W1021)</f>
        <v>377550298.5955444</v>
      </c>
      <c r="X1022" s="118"/>
      <c r="Y1022" s="577">
        <f t="shared" si="53"/>
        <v>1013</v>
      </c>
      <c r="AA1022" s="131">
        <v>315994114.57708335</v>
      </c>
      <c r="AB1022" s="116">
        <f t="shared" ca="1" si="54"/>
        <v>61556184.018461049</v>
      </c>
    </row>
    <row r="1023" spans="2:28">
      <c r="B1023" s="102"/>
      <c r="C1023" s="102"/>
      <c r="D1023" s="102"/>
      <c r="E1023" s="116">
        <f>+G1023-Adjustments!H1018</f>
        <v>0</v>
      </c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272"/>
      <c r="P1023" s="240"/>
      <c r="Q1023" s="116"/>
      <c r="R1023" s="116"/>
      <c r="S1023" s="240"/>
      <c r="T1023" s="116"/>
      <c r="U1023" s="116"/>
      <c r="V1023" s="273"/>
      <c r="W1023" s="116"/>
      <c r="X1023" s="118"/>
      <c r="Y1023" s="577">
        <f t="shared" si="53"/>
        <v>1014</v>
      </c>
      <c r="AA1023" s="116"/>
      <c r="AB1023" s="116">
        <f t="shared" si="54"/>
        <v>0</v>
      </c>
    </row>
    <row r="1024" spans="2:28">
      <c r="B1024" s="102" t="s">
        <v>254</v>
      </c>
      <c r="C1024" s="102" t="s">
        <v>255</v>
      </c>
      <c r="D1024" s="102"/>
      <c r="E1024" s="116">
        <f>+G1024-Adjustments!H1019</f>
        <v>0</v>
      </c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272"/>
      <c r="P1024" s="240"/>
      <c r="Q1024" s="116"/>
      <c r="R1024" s="116"/>
      <c r="S1024" s="240"/>
      <c r="T1024" s="116"/>
      <c r="U1024" s="116"/>
      <c r="V1024" s="273"/>
      <c r="W1024" s="116"/>
      <c r="X1024" s="118"/>
      <c r="Y1024" s="577">
        <f t="shared" si="53"/>
        <v>1015</v>
      </c>
      <c r="AA1024" s="116"/>
      <c r="AB1024" s="116">
        <f t="shared" si="54"/>
        <v>0</v>
      </c>
    </row>
    <row r="1025" spans="1:28">
      <c r="B1025" s="102"/>
      <c r="C1025" s="102"/>
      <c r="D1025" s="102" t="s">
        <v>24</v>
      </c>
      <c r="E1025" s="116">
        <f>+G1025-Adjustments!H1020</f>
        <v>-6765.4482635651948</v>
      </c>
      <c r="F1025" s="116">
        <f>'Rate Base'!$AE$74</f>
        <v>759017.98</v>
      </c>
      <c r="G1025" s="116">
        <f>+Adjustments!AW1009</f>
        <v>-6765.4482635651948</v>
      </c>
      <c r="H1025" s="116"/>
      <c r="I1025" s="116">
        <f>SUM(F1025:H1025)</f>
        <v>752252.53173643479</v>
      </c>
      <c r="J1025" s="116"/>
      <c r="K1025" s="116"/>
      <c r="L1025" s="116" t="s">
        <v>24</v>
      </c>
      <c r="M1025" s="116">
        <f>VLOOKUP($L1025,$L$2:$N$7,2,FALSE)*I1025</f>
        <v>0</v>
      </c>
      <c r="N1025" s="116">
        <f>VLOOKUP($L1025,$L$2:$N$7,3,FALSE)*I1025</f>
        <v>752252.53173643479</v>
      </c>
      <c r="O1025" s="272"/>
      <c r="P1025" s="207" t="s">
        <v>560</v>
      </c>
      <c r="Q1025" s="116">
        <f>IF(P1025="G",M1025,IF(P1025="PT",0,ERR))</f>
        <v>0</v>
      </c>
      <c r="R1025" s="116">
        <f>IF(P1025="PT",M1025,IF(P1025="G",0,ERR))</f>
        <v>0</v>
      </c>
      <c r="S1025" s="240" t="s">
        <v>560</v>
      </c>
      <c r="T1025" s="116">
        <f>IF(S1025="G",N1025,IF(S1025="PT",0,ERR))</f>
        <v>752252.53173643479</v>
      </c>
      <c r="U1025" s="116">
        <f>IF(S1025="PT",N1025,IF(S1025="G",0,ERR))</f>
        <v>0</v>
      </c>
      <c r="V1025" s="273"/>
      <c r="W1025" s="116">
        <f>HLOOKUP($W$9,'ROR-Model'!$Q$10:$U$1263,Y1025)</f>
        <v>0</v>
      </c>
      <c r="X1025" s="118"/>
      <c r="Y1025" s="577">
        <f t="shared" si="53"/>
        <v>1016</v>
      </c>
      <c r="AA1025" s="116">
        <v>0</v>
      </c>
      <c r="AB1025" s="116">
        <f t="shared" si="54"/>
        <v>0</v>
      </c>
    </row>
    <row r="1026" spans="1:28">
      <c r="B1026" s="102"/>
      <c r="C1026" s="102"/>
      <c r="D1026" s="102" t="s">
        <v>14</v>
      </c>
      <c r="E1026" s="116">
        <f>+G1026-Adjustments!H1021</f>
        <v>-123801.54231878929</v>
      </c>
      <c r="F1026" s="116">
        <f>'Rate Base'!$AE$75</f>
        <v>13889337.84</v>
      </c>
      <c r="G1026" s="116">
        <f>+Adjustments!AW1010</f>
        <v>-123801.54231878929</v>
      </c>
      <c r="H1026" s="116"/>
      <c r="I1026" s="116">
        <f>SUM(F1026:H1026)</f>
        <v>13765536.297681211</v>
      </c>
      <c r="J1026" s="116"/>
      <c r="K1026" s="116"/>
      <c r="L1026" s="116" t="s">
        <v>14</v>
      </c>
      <c r="M1026" s="116">
        <f>VLOOKUP($L1026,$L$2:$N$7,2,FALSE)*I1026</f>
        <v>13765536.297681211</v>
      </c>
      <c r="N1026" s="116">
        <f>VLOOKUP($L1026,$L$2:$N$7,3,FALSE)*I1026</f>
        <v>0</v>
      </c>
      <c r="O1026" s="272"/>
      <c r="P1026" s="207" t="s">
        <v>560</v>
      </c>
      <c r="Q1026" s="116">
        <f>IF(P1026="G",M1026,IF(P1026="PT",0,ERR))</f>
        <v>13765536.297681211</v>
      </c>
      <c r="R1026" s="116">
        <f>IF(P1026="PT",M1026,IF(P1026="G",0,ERR))</f>
        <v>0</v>
      </c>
      <c r="S1026" s="240" t="s">
        <v>560</v>
      </c>
      <c r="T1026" s="116">
        <f>IF(S1026="G",N1026,IF(S1026="PT",0,ERR))</f>
        <v>0</v>
      </c>
      <c r="U1026" s="116">
        <f>IF(S1026="PT",N1026,IF(S1026="G",0,ERR))</f>
        <v>0</v>
      </c>
      <c r="V1026" s="273"/>
      <c r="W1026" s="116">
        <f>HLOOKUP($W$9,'ROR-Model'!$Q$10:$U$1263,Y1026)</f>
        <v>13765536.297681211</v>
      </c>
      <c r="X1026" s="118"/>
      <c r="Y1026" s="577">
        <f t="shared" si="53"/>
        <v>1017</v>
      </c>
      <c r="AA1026" s="116">
        <v>13914532.484999998</v>
      </c>
      <c r="AB1026" s="116">
        <f t="shared" si="54"/>
        <v>-148996.18731878698</v>
      </c>
    </row>
    <row r="1027" spans="1:28">
      <c r="B1027" s="102"/>
      <c r="C1027" s="102"/>
      <c r="D1027" s="102" t="s">
        <v>170</v>
      </c>
      <c r="E1027" s="131">
        <f>+G1027-Adjustments!H1022</f>
        <v>-130566.99058235448</v>
      </c>
      <c r="F1027" s="131">
        <f>SUM(F1025:F1026)</f>
        <v>14648355.82</v>
      </c>
      <c r="G1027" s="131">
        <f>SUM(G1025:G1026)</f>
        <v>-130566.99058235448</v>
      </c>
      <c r="H1027" s="131"/>
      <c r="I1027" s="131">
        <f>SUM(I1025:I1026)</f>
        <v>14517788.829417646</v>
      </c>
      <c r="J1027" s="116"/>
      <c r="K1027" s="116"/>
      <c r="L1027" s="131"/>
      <c r="M1027" s="131">
        <f>SUM(M1025:M1026)</f>
        <v>13765536.297681211</v>
      </c>
      <c r="N1027" s="131">
        <f>SUM(N1025:N1026)</f>
        <v>752252.53173643479</v>
      </c>
      <c r="O1027" s="272"/>
      <c r="P1027" s="257"/>
      <c r="Q1027" s="131">
        <f>SUM(Q1025:Q1026)</f>
        <v>13765536.297681211</v>
      </c>
      <c r="R1027" s="131">
        <f>SUM(R1025:R1026)</f>
        <v>0</v>
      </c>
      <c r="S1027" s="257"/>
      <c r="T1027" s="131">
        <f>SUM(T1025:T1026)</f>
        <v>752252.53173643479</v>
      </c>
      <c r="U1027" s="131">
        <f>SUM(U1025:U1026)</f>
        <v>0</v>
      </c>
      <c r="V1027" s="273"/>
      <c r="W1027" s="131">
        <f>SUM(W1025:W1026)</f>
        <v>13765536.297681211</v>
      </c>
      <c r="X1027" s="118"/>
      <c r="Y1027" s="577">
        <f t="shared" si="53"/>
        <v>1018</v>
      </c>
      <c r="AA1027" s="131">
        <v>13914532.484999998</v>
      </c>
      <c r="AB1027" s="116">
        <f t="shared" si="54"/>
        <v>-148996.18731878698</v>
      </c>
    </row>
    <row r="1028" spans="1:28">
      <c r="B1028" s="102"/>
      <c r="C1028" s="102"/>
      <c r="D1028" s="102"/>
      <c r="E1028" s="116">
        <f>+G1028-Adjustments!H1023</f>
        <v>0</v>
      </c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272"/>
      <c r="P1028" s="240"/>
      <c r="Q1028" s="116"/>
      <c r="R1028" s="116"/>
      <c r="S1028" s="240"/>
      <c r="T1028" s="116"/>
      <c r="U1028" s="116"/>
      <c r="V1028" s="273"/>
      <c r="W1028" s="116"/>
      <c r="X1028" s="118"/>
      <c r="Y1028" s="577">
        <f t="shared" si="53"/>
        <v>1019</v>
      </c>
      <c r="AA1028" s="116"/>
      <c r="AB1028" s="116">
        <f t="shared" si="54"/>
        <v>0</v>
      </c>
    </row>
    <row r="1029" spans="1:28">
      <c r="B1029" s="102" t="s">
        <v>256</v>
      </c>
      <c r="C1029" s="102" t="s">
        <v>235</v>
      </c>
      <c r="D1029" s="102"/>
      <c r="E1029" s="116">
        <f>+G1029-Adjustments!H1024</f>
        <v>0</v>
      </c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272"/>
      <c r="P1029" s="240"/>
      <c r="Q1029" s="116"/>
      <c r="R1029" s="116"/>
      <c r="S1029" s="240"/>
      <c r="T1029" s="116"/>
      <c r="U1029" s="116"/>
      <c r="V1029" s="273"/>
      <c r="W1029" s="116"/>
      <c r="X1029" s="118"/>
      <c r="Y1029" s="577">
        <f t="shared" si="53"/>
        <v>1020</v>
      </c>
      <c r="AA1029" s="116"/>
      <c r="AB1029" s="116">
        <f t="shared" si="54"/>
        <v>0</v>
      </c>
    </row>
    <row r="1030" spans="1:28">
      <c r="B1030" s="102"/>
      <c r="C1030" s="102"/>
      <c r="D1030" s="102" t="s">
        <v>24</v>
      </c>
      <c r="E1030" s="116">
        <f>+G1030-Adjustments!H1025</f>
        <v>0</v>
      </c>
      <c r="F1030" s="116">
        <f>'Rate Base'!$AE$79</f>
        <v>68977.440000000002</v>
      </c>
      <c r="G1030" s="116">
        <f>+Adjustments!AW1014</f>
        <v>0</v>
      </c>
      <c r="H1030" s="116"/>
      <c r="I1030" s="116">
        <f>SUM(F1030:H1030)</f>
        <v>68977.440000000002</v>
      </c>
      <c r="J1030" s="116"/>
      <c r="K1030" s="116"/>
      <c r="L1030" s="116" t="s">
        <v>24</v>
      </c>
      <c r="M1030" s="116">
        <f>VLOOKUP($L1030,$L$2:$N$7,2,FALSE)*I1030</f>
        <v>0</v>
      </c>
      <c r="N1030" s="116">
        <f>VLOOKUP($L1030,$L$2:$N$7,3,FALSE)*I1030</f>
        <v>68977.440000000002</v>
      </c>
      <c r="O1030" s="272"/>
      <c r="P1030" s="207" t="s">
        <v>560</v>
      </c>
      <c r="Q1030" s="116">
        <f>IF(P1030="G",M1030,IF(P1030="PT",0,ERR))</f>
        <v>0</v>
      </c>
      <c r="R1030" s="116">
        <f>IF(P1030="PT",M1030,IF(P1030="G",0,ERR))</f>
        <v>0</v>
      </c>
      <c r="S1030" s="240" t="s">
        <v>560</v>
      </c>
      <c r="T1030" s="116">
        <f>IF(S1030="G",N1030,IF(S1030="PT",0,ERR))</f>
        <v>68977.440000000002</v>
      </c>
      <c r="U1030" s="116">
        <f>IF(S1030="PT",N1030,IF(S1030="G",0,ERR))</f>
        <v>0</v>
      </c>
      <c r="V1030" s="273"/>
      <c r="W1030" s="116">
        <f>HLOOKUP($W$9,'ROR-Model'!$Q$10:$U$1263,Y1030)</f>
        <v>0</v>
      </c>
      <c r="X1030" s="118"/>
      <c r="Y1030" s="577">
        <f t="shared" si="53"/>
        <v>1021</v>
      </c>
      <c r="AA1030" s="116">
        <v>0</v>
      </c>
      <c r="AB1030" s="116">
        <f t="shared" si="54"/>
        <v>0</v>
      </c>
    </row>
    <row r="1031" spans="1:28">
      <c r="B1031" s="102"/>
      <c r="C1031" s="102"/>
      <c r="D1031" s="102" t="s">
        <v>14</v>
      </c>
      <c r="E1031" s="116">
        <f>+G1031-Adjustments!H1026</f>
        <v>0</v>
      </c>
      <c r="F1031" s="116">
        <f>'Rate Base'!$AE$80</f>
        <v>2237018.35</v>
      </c>
      <c r="G1031" s="116">
        <f>+Adjustments!AW1015</f>
        <v>0</v>
      </c>
      <c r="H1031" s="116"/>
      <c r="I1031" s="116">
        <f>SUM(F1031:H1031)</f>
        <v>2237018.35</v>
      </c>
      <c r="J1031" s="116"/>
      <c r="K1031" s="116"/>
      <c r="L1031" s="116" t="s">
        <v>14</v>
      </c>
      <c r="M1031" s="116">
        <f>VLOOKUP($L1031,$L$2:$N$7,2,FALSE)*I1031</f>
        <v>2237018.35</v>
      </c>
      <c r="N1031" s="116">
        <f>VLOOKUP($L1031,$L$2:$N$7,3,FALSE)*I1031</f>
        <v>0</v>
      </c>
      <c r="O1031" s="272"/>
      <c r="P1031" s="207" t="s">
        <v>560</v>
      </c>
      <c r="Q1031" s="116">
        <f>IF(P1031="G",M1031,IF(P1031="PT",0,ERR))</f>
        <v>2237018.35</v>
      </c>
      <c r="R1031" s="116">
        <f>IF(P1031="PT",M1031,IF(P1031="G",0,ERR))</f>
        <v>0</v>
      </c>
      <c r="S1031" s="240" t="s">
        <v>560</v>
      </c>
      <c r="T1031" s="116">
        <f>IF(S1031="G",N1031,IF(S1031="PT",0,ERR))</f>
        <v>0</v>
      </c>
      <c r="U1031" s="116">
        <f>IF(S1031="PT",N1031,IF(S1031="G",0,ERR))</f>
        <v>0</v>
      </c>
      <c r="V1031" s="273"/>
      <c r="W1031" s="116">
        <f>HLOOKUP($W$9,'ROR-Model'!$Q$10:$U$1263,Y1031)</f>
        <v>2237018.35</v>
      </c>
      <c r="X1031" s="118"/>
      <c r="Y1031" s="577">
        <f t="shared" si="53"/>
        <v>1022</v>
      </c>
      <c r="AA1031" s="116">
        <v>2236306.1637500003</v>
      </c>
      <c r="AB1031" s="116">
        <f t="shared" si="54"/>
        <v>712.18624999979511</v>
      </c>
    </row>
    <row r="1032" spans="1:28">
      <c r="B1032" s="102"/>
      <c r="C1032" s="102"/>
      <c r="D1032" s="102" t="s">
        <v>170</v>
      </c>
      <c r="E1032" s="131">
        <f>+G1032-Adjustments!H1027</f>
        <v>0</v>
      </c>
      <c r="F1032" s="131">
        <f>SUM(F1030:F1031)</f>
        <v>2305995.79</v>
      </c>
      <c r="G1032" s="131">
        <f>SUM(G1030:G1031)</f>
        <v>0</v>
      </c>
      <c r="H1032" s="131"/>
      <c r="I1032" s="131">
        <f>SUM(I1030:I1031)</f>
        <v>2305995.79</v>
      </c>
      <c r="J1032" s="116"/>
      <c r="K1032" s="116"/>
      <c r="L1032" s="131"/>
      <c r="M1032" s="131">
        <f>SUM(M1030:M1031)</f>
        <v>2237018.35</v>
      </c>
      <c r="N1032" s="131">
        <f>SUM(N1030:N1031)</f>
        <v>68977.440000000002</v>
      </c>
      <c r="O1032" s="272"/>
      <c r="P1032" s="257"/>
      <c r="Q1032" s="131">
        <f>SUM(Q1030:Q1031)</f>
        <v>2237018.35</v>
      </c>
      <c r="R1032" s="131">
        <f>SUM(R1030:R1031)</f>
        <v>0</v>
      </c>
      <c r="S1032" s="257"/>
      <c r="T1032" s="131">
        <f>SUM(T1030:T1031)</f>
        <v>68977.440000000002</v>
      </c>
      <c r="U1032" s="131">
        <f>SUM(U1030:U1031)</f>
        <v>0</v>
      </c>
      <c r="V1032" s="273"/>
      <c r="W1032" s="131">
        <f>SUM(W1030:W1031)</f>
        <v>2237018.35</v>
      </c>
      <c r="X1032" s="118"/>
      <c r="Y1032" s="577">
        <f t="shared" si="53"/>
        <v>1023</v>
      </c>
      <c r="AA1032" s="131">
        <v>2236306.1637500003</v>
      </c>
      <c r="AB1032" s="116">
        <f t="shared" si="54"/>
        <v>712.18624999979511</v>
      </c>
    </row>
    <row r="1033" spans="1:28">
      <c r="A1033" s="14"/>
      <c r="B1033" s="102"/>
      <c r="C1033" s="102"/>
      <c r="E1033" s="116">
        <f>+G1033-Adjustments!H1028</f>
        <v>0</v>
      </c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272"/>
      <c r="P1033" s="240"/>
      <c r="Q1033" s="116"/>
      <c r="R1033" s="116"/>
      <c r="S1033" s="240"/>
      <c r="T1033" s="116"/>
      <c r="U1033" s="116"/>
      <c r="V1033" s="273"/>
      <c r="W1033" s="116"/>
      <c r="X1033" s="118"/>
      <c r="Y1033" s="577">
        <f t="shared" si="53"/>
        <v>1024</v>
      </c>
      <c r="AA1033" s="116"/>
      <c r="AB1033" s="116">
        <f t="shared" si="54"/>
        <v>0</v>
      </c>
    </row>
    <row r="1034" spans="1:28">
      <c r="A1034" s="102"/>
      <c r="B1034" s="102" t="s">
        <v>257</v>
      </c>
      <c r="C1034" s="102"/>
      <c r="E1034" s="116">
        <f ca="1">+G1034-Adjustments!H1034</f>
        <v>276528939.03207225</v>
      </c>
      <c r="F1034" s="116">
        <f>F1032+F1027+F1022+F1017+F1012+F1007+F1002+F991+F986</f>
        <v>2529881859.2999997</v>
      </c>
      <c r="G1034" s="116">
        <f t="shared" ref="G1034:I1034" ca="1" si="55">G1032+G1027+G1022+G1017+G1012+G1007+G1002+G991+G986</f>
        <v>276528939.03207225</v>
      </c>
      <c r="H1034" s="116">
        <f t="shared" si="55"/>
        <v>0</v>
      </c>
      <c r="I1034" s="116">
        <f t="shared" ca="1" si="55"/>
        <v>2806410798.3320723</v>
      </c>
      <c r="J1034" s="116"/>
      <c r="K1034" s="116"/>
      <c r="L1034" s="116"/>
      <c r="M1034" s="116">
        <f t="shared" ref="M1034:N1034" ca="1" si="56">M1032+M1027+M1022+M1017+M1012+M1007+M1002+M991+M986</f>
        <v>2715443157.6393318</v>
      </c>
      <c r="N1034" s="116">
        <f t="shared" ca="1" si="56"/>
        <v>90967640.69274044</v>
      </c>
      <c r="O1034" s="272"/>
      <c r="P1034" s="240"/>
      <c r="Q1034" s="116">
        <f ca="1">Q1032+Q1027+Q1022+Q1017+Q1012+Q1007+Q1002+Q991+Q986</f>
        <v>2715443157.6393318</v>
      </c>
      <c r="R1034" s="116">
        <f>R1032+R1027+R1022+R1017+R1012+R1007+R1002+R991+R986</f>
        <v>0</v>
      </c>
      <c r="S1034" s="240"/>
      <c r="T1034" s="116">
        <f ca="1">T1032+T1027+T1022+T1017+T1012+T1007+T1002+T991+T986</f>
        <v>90967640.69274044</v>
      </c>
      <c r="U1034" s="116">
        <f>U1032+U1027+U1022+U1017+U1012+U1007+U1002+U991+U986</f>
        <v>0</v>
      </c>
      <c r="V1034" s="273"/>
      <c r="W1034" s="116">
        <f ca="1">W1032+W1027+W1022+W1017+W1012+W1007+W1002+W991+W986</f>
        <v>2715443157.6393318</v>
      </c>
      <c r="X1034" s="118"/>
      <c r="Y1034" s="1311">
        <f t="shared" si="53"/>
        <v>1025</v>
      </c>
      <c r="AA1034" s="116">
        <v>2356110209.6858335</v>
      </c>
      <c r="AB1034" s="116">
        <f t="shared" ca="1" si="54"/>
        <v>359332947.95349836</v>
      </c>
    </row>
    <row r="1035" spans="1:28">
      <c r="A1035" s="102"/>
      <c r="B1035" s="102"/>
      <c r="C1035" s="102"/>
      <c r="E1035" s="116">
        <f>+G1035-Adjustments!H1035</f>
        <v>0</v>
      </c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272"/>
      <c r="P1035" s="240"/>
      <c r="Q1035" s="116"/>
      <c r="R1035" s="116"/>
      <c r="S1035" s="240"/>
      <c r="T1035" s="116"/>
      <c r="U1035" s="116"/>
      <c r="V1035" s="273"/>
      <c r="W1035" s="116"/>
      <c r="X1035" s="118"/>
      <c r="Y1035" s="577">
        <f t="shared" ref="Y1035:Y1094" si="57">Y1034+1</f>
        <v>1026</v>
      </c>
      <c r="AA1035" s="116"/>
      <c r="AB1035" s="116">
        <f t="shared" si="54"/>
        <v>0</v>
      </c>
    </row>
    <row r="1036" spans="1:28">
      <c r="A1036" s="102" t="s">
        <v>714</v>
      </c>
      <c r="C1036" s="102"/>
      <c r="E1036" s="116">
        <f>+G1036-Adjustments!H1036</f>
        <v>0</v>
      </c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272"/>
      <c r="P1036" s="240"/>
      <c r="Q1036" s="116"/>
      <c r="R1036" s="116"/>
      <c r="S1036" s="240"/>
      <c r="T1036" s="116"/>
      <c r="U1036" s="116"/>
      <c r="V1036" s="273"/>
      <c r="W1036" s="116"/>
      <c r="X1036" s="118"/>
      <c r="Y1036" s="577">
        <f t="shared" si="57"/>
        <v>1027</v>
      </c>
      <c r="AA1036" s="116"/>
      <c r="AB1036" s="116">
        <f t="shared" si="54"/>
        <v>0</v>
      </c>
    </row>
    <row r="1037" spans="1:28">
      <c r="B1037" s="102" t="s">
        <v>258</v>
      </c>
      <c r="C1037" s="102" t="s">
        <v>223</v>
      </c>
      <c r="D1037" s="102"/>
      <c r="E1037" s="116">
        <f>+G1037-Adjustments!H1037</f>
        <v>0</v>
      </c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272"/>
      <c r="P1037" s="207"/>
      <c r="Q1037" s="116"/>
      <c r="R1037" s="116"/>
      <c r="S1037" s="240"/>
      <c r="T1037" s="116"/>
      <c r="U1037" s="116"/>
      <c r="V1037" s="273"/>
      <c r="W1037" s="116"/>
      <c r="X1037" s="118"/>
      <c r="Y1037" s="577">
        <f t="shared" si="57"/>
        <v>1028</v>
      </c>
      <c r="AA1037" s="116"/>
      <c r="AB1037" s="116">
        <f t="shared" si="54"/>
        <v>0</v>
      </c>
    </row>
    <row r="1038" spans="1:28">
      <c r="B1038" s="102"/>
      <c r="C1038" s="102"/>
      <c r="D1038" s="102" t="s">
        <v>24</v>
      </c>
      <c r="E1038" s="116">
        <f>+G1038-Adjustments!H1038</f>
        <v>0</v>
      </c>
      <c r="F1038" s="116">
        <f>'Rate Base'!$AE$87</f>
        <v>11584.02</v>
      </c>
      <c r="G1038" s="116">
        <f>+Adjustments!AW1022</f>
        <v>0</v>
      </c>
      <c r="H1038" s="116"/>
      <c r="I1038" s="116">
        <f>SUM(F1038:H1038)</f>
        <v>11584.02</v>
      </c>
      <c r="J1038" s="116"/>
      <c r="K1038" s="116"/>
      <c r="L1038" s="116" t="s">
        <v>24</v>
      </c>
      <c r="M1038" s="116">
        <f>VLOOKUP($L1038,$L$2:$N$7,2,FALSE)*I1038</f>
        <v>0</v>
      </c>
      <c r="N1038" s="116">
        <f>VLOOKUP($L1038,$L$2:$N$7,3,FALSE)*I1038</f>
        <v>11584.02</v>
      </c>
      <c r="O1038" s="272"/>
      <c r="P1038" s="207" t="s">
        <v>560</v>
      </c>
      <c r="Q1038" s="116">
        <f>IF(P1038="G",M1038,IF(P1038="PT",0,ERR))</f>
        <v>0</v>
      </c>
      <c r="R1038" s="116"/>
      <c r="S1038" s="240" t="s">
        <v>560</v>
      </c>
      <c r="T1038" s="116">
        <f>IF(S1038="G",N1038,IF(S1038="PT",0,ERR))</f>
        <v>11584.02</v>
      </c>
      <c r="U1038" s="116">
        <f>IF(S1038="PT",N1038,IF(S1038="G",0,ERR))</f>
        <v>0</v>
      </c>
      <c r="V1038" s="273"/>
      <c r="W1038" s="116">
        <f>HLOOKUP($W$9,'ROR-Model'!$Q$10:$U$1263,Y1038)</f>
        <v>0</v>
      </c>
      <c r="X1038" s="118"/>
      <c r="Y1038" s="577">
        <f t="shared" si="57"/>
        <v>1029</v>
      </c>
      <c r="AA1038" s="116">
        <v>0</v>
      </c>
      <c r="AB1038" s="116">
        <f t="shared" si="54"/>
        <v>0</v>
      </c>
    </row>
    <row r="1039" spans="1:28">
      <c r="B1039" s="102"/>
      <c r="C1039" s="102"/>
      <c r="D1039" s="102" t="s">
        <v>14</v>
      </c>
      <c r="E1039" s="116">
        <f>+G1039-Adjustments!H1039</f>
        <v>0</v>
      </c>
      <c r="F1039" s="116">
        <f>'Rate Base'!$AE$88</f>
        <v>3775953.85</v>
      </c>
      <c r="G1039" s="116">
        <f>+Adjustments!AW1023</f>
        <v>0</v>
      </c>
      <c r="H1039" s="116"/>
      <c r="I1039" s="116">
        <f>SUM(F1039:H1039)</f>
        <v>3775953.85</v>
      </c>
      <c r="J1039" s="116"/>
      <c r="K1039" s="116"/>
      <c r="L1039" s="116" t="s">
        <v>14</v>
      </c>
      <c r="M1039" s="116">
        <f>VLOOKUP($L1039,$L$2:$N$7,2,FALSE)*I1039</f>
        <v>3775953.85</v>
      </c>
      <c r="N1039" s="116">
        <f>VLOOKUP($L1039,$L$2:$N$7,3,FALSE)*I1039</f>
        <v>0</v>
      </c>
      <c r="O1039" s="272"/>
      <c r="P1039" s="207" t="s">
        <v>560</v>
      </c>
      <c r="Q1039" s="116">
        <f>IF(P1039="G",M1039,IF(P1039="PT",0,ERR))</f>
        <v>3775953.85</v>
      </c>
      <c r="R1039" s="116"/>
      <c r="S1039" s="240" t="s">
        <v>560</v>
      </c>
      <c r="T1039" s="116">
        <f>IF(S1039="G",N1039,IF(S1039="PT",0,ERR))</f>
        <v>0</v>
      </c>
      <c r="U1039" s="116">
        <f>IF(S1039="PT",N1039,IF(S1039="G",0,ERR))</f>
        <v>0</v>
      </c>
      <c r="V1039" s="273"/>
      <c r="W1039" s="116">
        <f>HLOOKUP($W$9,'ROR-Model'!$Q$10:$U$1263,Y1039)</f>
        <v>3775953.85</v>
      </c>
      <c r="X1039" s="118"/>
      <c r="Y1039" s="577">
        <f t="shared" si="57"/>
        <v>1030</v>
      </c>
      <c r="AA1039" s="116">
        <v>3775953.85</v>
      </c>
      <c r="AB1039" s="116">
        <f t="shared" si="54"/>
        <v>0</v>
      </c>
    </row>
    <row r="1040" spans="1:28">
      <c r="B1040" s="102"/>
      <c r="C1040" s="102"/>
      <c r="D1040" s="102" t="s">
        <v>170</v>
      </c>
      <c r="E1040" s="116">
        <f>+G1040-Adjustments!H1040</f>
        <v>0</v>
      </c>
      <c r="F1040" s="620">
        <f>'Rate Base'!$AE$89</f>
        <v>3787537.87</v>
      </c>
      <c r="G1040" s="620">
        <f>+Adjustments!AW1024</f>
        <v>0</v>
      </c>
      <c r="H1040" s="620"/>
      <c r="I1040" s="620">
        <f>SUM(F1040:H1040)</f>
        <v>3787537.87</v>
      </c>
      <c r="J1040" s="116"/>
      <c r="K1040" s="116"/>
      <c r="L1040" s="620" t="s">
        <v>170</v>
      </c>
      <c r="M1040" s="620">
        <f>SUM(M1038:M1039)</f>
        <v>3775953.85</v>
      </c>
      <c r="N1040" s="620">
        <f>SUM(N1038:N1039)</f>
        <v>11584.02</v>
      </c>
      <c r="O1040" s="272"/>
      <c r="P1040" s="1052" t="s">
        <v>560</v>
      </c>
      <c r="Q1040" s="620">
        <f>IF(P1040="G",M1040,IF(P1040="PT",0,ERR))</f>
        <v>3775953.85</v>
      </c>
      <c r="R1040" s="620"/>
      <c r="S1040" s="1053" t="s">
        <v>560</v>
      </c>
      <c r="T1040" s="620">
        <f>IF(S1040="G",N1040,IF(S1040="PT",0,ERR))</f>
        <v>11584.02</v>
      </c>
      <c r="U1040" s="620">
        <f>IF(S1040="PT",N1040,IF(S1040="G",0,ERR))</f>
        <v>0</v>
      </c>
      <c r="V1040" s="273"/>
      <c r="W1040" s="620">
        <f>HLOOKUP($W$9,'ROR-Model'!$Q$10:$U$1263,Y1040)</f>
        <v>3775953.85</v>
      </c>
      <c r="X1040" s="118"/>
      <c r="Y1040" s="577">
        <f t="shared" si="57"/>
        <v>1031</v>
      </c>
      <c r="AA1040" s="620">
        <v>3775953.85</v>
      </c>
      <c r="AB1040" s="116">
        <f t="shared" si="54"/>
        <v>0</v>
      </c>
    </row>
    <row r="1041" spans="2:28">
      <c r="B1041" s="102"/>
      <c r="C1041" s="102"/>
      <c r="D1041" s="102"/>
      <c r="E1041" s="116">
        <f>+G1041-Adjustments!H1041</f>
        <v>0</v>
      </c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272"/>
      <c r="P1041" s="207"/>
      <c r="Q1041" s="116"/>
      <c r="R1041" s="116"/>
      <c r="S1041" s="240"/>
      <c r="T1041" s="116"/>
      <c r="U1041" s="116"/>
      <c r="V1041" s="273"/>
      <c r="W1041" s="116"/>
      <c r="X1041" s="118"/>
      <c r="Y1041" s="577">
        <f t="shared" si="57"/>
        <v>1032</v>
      </c>
      <c r="AA1041" s="116"/>
      <c r="AB1041" s="116">
        <f t="shared" ref="AB1041:AB1104" si="58">W1041-AA1041</f>
        <v>0</v>
      </c>
    </row>
    <row r="1042" spans="2:28">
      <c r="B1042" s="102" t="s">
        <v>259</v>
      </c>
      <c r="C1042" s="102" t="s">
        <v>240</v>
      </c>
      <c r="D1042" s="102"/>
      <c r="E1042" s="116">
        <f>+G1042-Adjustments!H1042</f>
        <v>0</v>
      </c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272"/>
      <c r="P1042" s="207"/>
      <c r="Q1042" s="116"/>
      <c r="R1042" s="116"/>
      <c r="S1042" s="240"/>
      <c r="T1042" s="116"/>
      <c r="U1042" s="116"/>
      <c r="V1042" s="273"/>
      <c r="W1042" s="116"/>
      <c r="X1042" s="118"/>
      <c r="Y1042" s="577">
        <f t="shared" si="57"/>
        <v>1033</v>
      </c>
      <c r="AA1042" s="116"/>
      <c r="AB1042" s="116">
        <f t="shared" si="58"/>
        <v>0</v>
      </c>
    </row>
    <row r="1043" spans="2:28">
      <c r="B1043" s="102"/>
      <c r="C1043" s="102"/>
      <c r="D1043" s="102" t="s">
        <v>24</v>
      </c>
      <c r="E1043" s="116">
        <f ca="1">+G1043-Adjustments!H1043</f>
        <v>195864.56080086716</v>
      </c>
      <c r="F1043" s="116">
        <f>'Rate Base'!$AE$92</f>
        <v>1617860.54</v>
      </c>
      <c r="G1043" s="116">
        <f ca="1">+Adjustments!AW1027</f>
        <v>195864.56080086716</v>
      </c>
      <c r="H1043" s="116"/>
      <c r="I1043" s="116">
        <f t="shared" ref="I1043:I1092" ca="1" si="59">SUM(F1043:H1043)</f>
        <v>1813725.1008008672</v>
      </c>
      <c r="J1043" s="116"/>
      <c r="K1043" s="116"/>
      <c r="L1043" s="116" t="s">
        <v>24</v>
      </c>
      <c r="M1043" s="116">
        <f ca="1">VLOOKUP($L1043,$L$2:$N$7,2,FALSE)*I1043</f>
        <v>0</v>
      </c>
      <c r="N1043" s="116">
        <f ca="1">VLOOKUP($L1043,$L$2:$N$7,3,FALSE)*I1043</f>
        <v>1813725.1008008672</v>
      </c>
      <c r="O1043" s="272"/>
      <c r="P1043" s="207" t="s">
        <v>560</v>
      </c>
      <c r="Q1043" s="116">
        <f ca="1">IF(P1043="G",M1043,IF(P1043="PT",0,ERR))</f>
        <v>0</v>
      </c>
      <c r="R1043" s="116">
        <f>IF(P1043="PT",M1043,IF(P1043="G",0,ERR))</f>
        <v>0</v>
      </c>
      <c r="S1043" s="240" t="s">
        <v>560</v>
      </c>
      <c r="T1043" s="116">
        <f ca="1">IF(S1043="G",N1043,IF(S1043="PT",0,ERR))</f>
        <v>1813725.1008008672</v>
      </c>
      <c r="U1043" s="116">
        <f>IF(S1043="PT",N1043,IF(S1043="G",0,ERR))</f>
        <v>0</v>
      </c>
      <c r="V1043" s="273"/>
      <c r="W1043" s="116">
        <f ca="1">HLOOKUP($W$9,'ROR-Model'!$Q$10:$U$1263,Y1043)</f>
        <v>0</v>
      </c>
      <c r="X1043" s="118"/>
      <c r="Y1043" s="577">
        <f t="shared" si="57"/>
        <v>1034</v>
      </c>
      <c r="AA1043" s="116">
        <v>0</v>
      </c>
      <c r="AB1043" s="116">
        <f t="shared" ca="1" si="58"/>
        <v>0</v>
      </c>
    </row>
    <row r="1044" spans="2:28">
      <c r="B1044" s="102"/>
      <c r="C1044" s="102"/>
      <c r="D1044" s="102" t="s">
        <v>14</v>
      </c>
      <c r="E1044" s="116">
        <f ca="1">+G1044-Adjustments!H1044</f>
        <v>5333307.1085435003</v>
      </c>
      <c r="F1044" s="116">
        <f>'Rate Base'!$AE$93</f>
        <v>44053641.369999982</v>
      </c>
      <c r="G1044" s="116">
        <f ca="1">+Adjustments!AW1028</f>
        <v>5333307.1085435003</v>
      </c>
      <c r="H1044" s="116"/>
      <c r="I1044" s="116">
        <f t="shared" ca="1" si="59"/>
        <v>49386948.478543483</v>
      </c>
      <c r="J1044" s="116"/>
      <c r="K1044" s="116"/>
      <c r="L1044" s="116" t="s">
        <v>14</v>
      </c>
      <c r="M1044" s="116">
        <f ca="1">VLOOKUP($L1044,$L$2:$N$7,2,FALSE)*I1044</f>
        <v>49386948.478543483</v>
      </c>
      <c r="N1044" s="116">
        <f ca="1">VLOOKUP($L1044,$L$2:$N$7,3,FALSE)*I1044</f>
        <v>0</v>
      </c>
      <c r="O1044" s="272"/>
      <c r="P1044" s="207" t="s">
        <v>560</v>
      </c>
      <c r="Q1044" s="116">
        <f ca="1">IF(P1044="G",M1044,IF(P1044="PT",0,ERR))</f>
        <v>49386948.478543483</v>
      </c>
      <c r="R1044" s="116">
        <f>IF(P1044="PT",M1044,IF(P1044="G",0,ERR))</f>
        <v>0</v>
      </c>
      <c r="S1044" s="240" t="s">
        <v>560</v>
      </c>
      <c r="T1044" s="116">
        <f ca="1">IF(S1044="G",N1044,IF(S1044="PT",0,ERR))</f>
        <v>0</v>
      </c>
      <c r="U1044" s="116">
        <f>IF(S1044="PT",N1044,IF(S1044="G",0,ERR))</f>
        <v>0</v>
      </c>
      <c r="V1044" s="273"/>
      <c r="W1044" s="116">
        <f ca="1">HLOOKUP($W$9,'ROR-Model'!$Q$10:$U$1263,Y1044)</f>
        <v>49386948.478543483</v>
      </c>
      <c r="X1044" s="118"/>
      <c r="Y1044" s="577">
        <f t="shared" si="57"/>
        <v>1035</v>
      </c>
      <c r="AA1044" s="116">
        <v>43204255.569999993</v>
      </c>
      <c r="AB1044" s="116">
        <f t="shared" ca="1" si="58"/>
        <v>6182692.9085434899</v>
      </c>
    </row>
    <row r="1045" spans="2:28">
      <c r="B1045" s="102"/>
      <c r="C1045" s="102"/>
      <c r="D1045" s="102" t="s">
        <v>595</v>
      </c>
      <c r="E1045" s="116">
        <f ca="1">+G1045-Adjustments!H1045</f>
        <v>6183582.5232958943</v>
      </c>
      <c r="F1045" s="116">
        <f>'Rate Base'!$AE$94</f>
        <v>51076999.940000005</v>
      </c>
      <c r="G1045" s="116">
        <f ca="1">+Adjustments!AW1029</f>
        <v>6183582.5232958943</v>
      </c>
      <c r="H1045" s="116"/>
      <c r="I1045" s="116">
        <f t="shared" ca="1" si="59"/>
        <v>57260582.463295899</v>
      </c>
      <c r="J1045" s="116"/>
      <c r="K1045" s="116"/>
      <c r="L1045" s="116" t="s">
        <v>473</v>
      </c>
      <c r="M1045" s="116">
        <f ca="1">VLOOKUP($L1045,$L$2:$N$7,2,FALSE)*I1045</f>
        <v>55401003.895897567</v>
      </c>
      <c r="N1045" s="116">
        <f ca="1">VLOOKUP($L1045,$L$2:$N$7,3,FALSE)*I1045</f>
        <v>1859578.5673983307</v>
      </c>
      <c r="O1045" s="272"/>
      <c r="P1045" s="207" t="s">
        <v>560</v>
      </c>
      <c r="Q1045" s="116">
        <f ca="1">IF(P1045="G",M1045,IF(P1045="PT",0,ERR))</f>
        <v>55401003.895897567</v>
      </c>
      <c r="R1045" s="116">
        <f>IF(P1045="PT",M1045,IF(P1045="G",0,ERR))</f>
        <v>0</v>
      </c>
      <c r="S1045" s="240" t="s">
        <v>560</v>
      </c>
      <c r="T1045" s="116">
        <f ca="1">IF(S1045="G",N1045,IF(S1045="PT",0,ERR))</f>
        <v>1859578.5673983307</v>
      </c>
      <c r="U1045" s="116">
        <f>IF(S1045="PT",N1045,IF(S1045="G",0,ERR))</f>
        <v>0</v>
      </c>
      <c r="V1045" s="273"/>
      <c r="W1045" s="116">
        <f ca="1">HLOOKUP($W$9,'ROR-Model'!$Q$10:$U$1263,Y1045)</f>
        <v>55401003.895897567</v>
      </c>
      <c r="X1045" s="118"/>
      <c r="Y1045" s="577">
        <f t="shared" si="57"/>
        <v>1036</v>
      </c>
      <c r="AA1045" s="116">
        <v>49356337.644090258</v>
      </c>
      <c r="AB1045" s="116">
        <f t="shared" ca="1" si="58"/>
        <v>6044666.2518073097</v>
      </c>
    </row>
    <row r="1046" spans="2:28">
      <c r="B1046" s="102"/>
      <c r="C1046" s="102"/>
      <c r="D1046" s="102" t="s">
        <v>170</v>
      </c>
      <c r="E1046" s="116">
        <f ca="1">+G1046-Adjustments!H1046</f>
        <v>11712754.192640245</v>
      </c>
      <c r="F1046" s="620">
        <f>'Rate Base'!$AE$95</f>
        <v>96748501.849999994</v>
      </c>
      <c r="G1046" s="620">
        <f ca="1">+Adjustments!AW1030</f>
        <v>11712754.192640245</v>
      </c>
      <c r="H1046" s="620"/>
      <c r="I1046" s="620">
        <f t="shared" ca="1" si="59"/>
        <v>108461256.04264024</v>
      </c>
      <c r="J1046" s="116"/>
      <c r="K1046" s="116"/>
      <c r="L1046" s="620" t="s">
        <v>170</v>
      </c>
      <c r="M1046" s="620">
        <f ca="1">SUM(M1043:M1045)</f>
        <v>104787952.37444106</v>
      </c>
      <c r="N1046" s="620">
        <f ca="1">SUM(N1043:N1045)</f>
        <v>3673303.6681991979</v>
      </c>
      <c r="O1046" s="272"/>
      <c r="P1046" s="1052" t="s">
        <v>560</v>
      </c>
      <c r="Q1046" s="620">
        <f ca="1">IF(P1046="G",M1046,IF(P1046="PT",0,ERR))</f>
        <v>104787952.37444106</v>
      </c>
      <c r="R1046" s="620">
        <f>IF(P1046="PT",M1046,IF(P1046="G",0,ERR))</f>
        <v>0</v>
      </c>
      <c r="S1046" s="1053" t="s">
        <v>560</v>
      </c>
      <c r="T1046" s="620">
        <f ca="1">IF(S1046="G",N1046,IF(S1046="PT",0,ERR))</f>
        <v>3673303.6681991979</v>
      </c>
      <c r="U1046" s="620">
        <f>IF(S1046="PT",N1046,IF(S1046="G",0,ERR))</f>
        <v>0</v>
      </c>
      <c r="V1046" s="273"/>
      <c r="W1046" s="620">
        <f ca="1">HLOOKUP($W$9,'ROR-Model'!$Q$10:$U$1263,Y1046)</f>
        <v>104787952.37444106</v>
      </c>
      <c r="X1046" s="118"/>
      <c r="Y1046" s="577">
        <f t="shared" si="57"/>
        <v>1037</v>
      </c>
      <c r="AA1046" s="620">
        <v>92560593.214090258</v>
      </c>
      <c r="AB1046" s="116">
        <f t="shared" ca="1" si="58"/>
        <v>12227359.1603508</v>
      </c>
    </row>
    <row r="1047" spans="2:28">
      <c r="B1047" s="102"/>
      <c r="C1047" s="102"/>
      <c r="D1047" s="102"/>
      <c r="E1047" s="116">
        <f>+G1047-Adjustments!H1047</f>
        <v>0</v>
      </c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272"/>
      <c r="P1047" s="207"/>
      <c r="Q1047" s="116"/>
      <c r="R1047" s="116"/>
      <c r="S1047" s="240"/>
      <c r="T1047" s="116"/>
      <c r="U1047" s="116"/>
      <c r="V1047" s="273"/>
      <c r="W1047" s="116"/>
      <c r="X1047" s="118"/>
      <c r="Y1047" s="577">
        <f t="shared" si="57"/>
        <v>1038</v>
      </c>
      <c r="AA1047" s="116"/>
      <c r="AB1047" s="116">
        <f t="shared" si="58"/>
        <v>0</v>
      </c>
    </row>
    <row r="1048" spans="2:28">
      <c r="B1048" s="102" t="s">
        <v>260</v>
      </c>
      <c r="C1048" s="102" t="s">
        <v>261</v>
      </c>
      <c r="D1048" s="102"/>
      <c r="E1048" s="116">
        <f>+G1048-Adjustments!H1048</f>
        <v>0</v>
      </c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272"/>
      <c r="P1048" s="207"/>
      <c r="Q1048" s="116"/>
      <c r="R1048" s="116"/>
      <c r="S1048" s="240"/>
      <c r="T1048" s="116"/>
      <c r="U1048" s="116"/>
      <c r="V1048" s="273"/>
      <c r="W1048" s="116"/>
      <c r="X1048" s="118"/>
      <c r="Y1048" s="577">
        <f t="shared" si="57"/>
        <v>1039</v>
      </c>
      <c r="AA1048" s="116"/>
      <c r="AB1048" s="116">
        <f t="shared" si="58"/>
        <v>0</v>
      </c>
    </row>
    <row r="1049" spans="2:28">
      <c r="B1049" s="102"/>
      <c r="C1049" s="102"/>
      <c r="D1049" s="102" t="s">
        <v>24</v>
      </c>
      <c r="E1049" s="116">
        <f ca="1">+G1049-Adjustments!H1049</f>
        <v>-21450.084111382821</v>
      </c>
      <c r="F1049" s="116">
        <f>'Rate Base'!$AE$98</f>
        <v>147841.16000000003</v>
      </c>
      <c r="G1049" s="116">
        <f ca="1">+Adjustments!AW1033</f>
        <v>-21450.084111382821</v>
      </c>
      <c r="H1049" s="116"/>
      <c r="I1049" s="116">
        <f t="shared" ca="1" si="59"/>
        <v>126391.07588861721</v>
      </c>
      <c r="J1049" s="116"/>
      <c r="K1049" s="116"/>
      <c r="L1049" s="116" t="s">
        <v>24</v>
      </c>
      <c r="M1049" s="116">
        <f ca="1">VLOOKUP($L1049,$L$2:$N$7,2,FALSE)*I1049</f>
        <v>0</v>
      </c>
      <c r="N1049" s="116">
        <f ca="1">VLOOKUP($L1049,$L$2:$N$7,3,FALSE)*I1049</f>
        <v>126391.07588861721</v>
      </c>
      <c r="O1049" s="272"/>
      <c r="P1049" s="207" t="s">
        <v>560</v>
      </c>
      <c r="Q1049" s="116">
        <f ca="1">IF(P1049="G",M1049,IF(P1049="PT",0,ERR))</f>
        <v>0</v>
      </c>
      <c r="R1049" s="116">
        <f>IF(P1049="PT",M1049,IF(P1049="G",0,ERR))</f>
        <v>0</v>
      </c>
      <c r="S1049" s="240" t="s">
        <v>560</v>
      </c>
      <c r="T1049" s="116">
        <f ca="1">IF(S1049="G",N1049,IF(S1049="PT",0,ERR))</f>
        <v>126391.07588861721</v>
      </c>
      <c r="U1049" s="116">
        <f>IF(S1049="PT",N1049,IF(S1049="G",0,ERR))</f>
        <v>0</v>
      </c>
      <c r="V1049" s="273"/>
      <c r="W1049" s="116">
        <f ca="1">HLOOKUP($W$9,'ROR-Model'!$Q$10:$U$1263,Y1049)</f>
        <v>0</v>
      </c>
      <c r="X1049" s="118"/>
      <c r="Y1049" s="577">
        <f t="shared" si="57"/>
        <v>1040</v>
      </c>
      <c r="AA1049" s="116">
        <v>0</v>
      </c>
      <c r="AB1049" s="116">
        <f t="shared" ca="1" si="58"/>
        <v>0</v>
      </c>
    </row>
    <row r="1050" spans="2:28">
      <c r="B1050" s="102"/>
      <c r="C1050" s="102"/>
      <c r="D1050" s="102" t="s">
        <v>14</v>
      </c>
      <c r="E1050" s="116">
        <f ca="1">+G1050-Adjustments!H1050</f>
        <v>-1842841.9701412003</v>
      </c>
      <c r="F1050" s="116">
        <f>'Rate Base'!$AE$99</f>
        <v>12701483.740000002</v>
      </c>
      <c r="G1050" s="116">
        <f ca="1">+Adjustments!AW1034</f>
        <v>-1842841.9701412003</v>
      </c>
      <c r="H1050" s="116"/>
      <c r="I1050" s="116">
        <f t="shared" ca="1" si="59"/>
        <v>10858641.769858802</v>
      </c>
      <c r="J1050" s="116"/>
      <c r="K1050" s="116"/>
      <c r="L1050" s="116" t="s">
        <v>14</v>
      </c>
      <c r="M1050" s="116">
        <f ca="1">VLOOKUP($L1050,$L$2:$N$7,2,FALSE)*I1050</f>
        <v>10858641.769858802</v>
      </c>
      <c r="N1050" s="116">
        <f ca="1">VLOOKUP($L1050,$L$2:$N$7,3,FALSE)*I1050</f>
        <v>0</v>
      </c>
      <c r="O1050" s="272"/>
      <c r="P1050" s="207" t="s">
        <v>560</v>
      </c>
      <c r="Q1050" s="116">
        <f ca="1">IF(P1050="G",M1050,IF(P1050="PT",0,ERR))</f>
        <v>10858641.769858802</v>
      </c>
      <c r="R1050" s="116">
        <f>IF(P1050="PT",M1050,IF(P1050="G",0,ERR))</f>
        <v>0</v>
      </c>
      <c r="S1050" s="240" t="s">
        <v>560</v>
      </c>
      <c r="T1050" s="116">
        <f ca="1">IF(S1050="G",N1050,IF(S1050="PT",0,ERR))</f>
        <v>0</v>
      </c>
      <c r="U1050" s="116">
        <f>IF(S1050="PT",N1050,IF(S1050="G",0,ERR))</f>
        <v>0</v>
      </c>
      <c r="V1050" s="273"/>
      <c r="W1050" s="116">
        <f ca="1">HLOOKUP($W$9,'ROR-Model'!$Q$10:$U$1263,Y1050)</f>
        <v>10858641.769858802</v>
      </c>
      <c r="X1050" s="118"/>
      <c r="Y1050" s="577">
        <f t="shared" si="57"/>
        <v>1041</v>
      </c>
      <c r="AA1050" s="116">
        <v>13687733.504166668</v>
      </c>
      <c r="AB1050" s="116">
        <f t="shared" ca="1" si="58"/>
        <v>-2829091.7343078665</v>
      </c>
    </row>
    <row r="1051" spans="2:28">
      <c r="B1051" s="102"/>
      <c r="C1051" s="102"/>
      <c r="D1051" s="102" t="s">
        <v>595</v>
      </c>
      <c r="E1051" s="116">
        <f ca="1">+G1051-Adjustments!H1051</f>
        <v>-5767187.3540278301</v>
      </c>
      <c r="F1051" s="116">
        <f>'Rate Base'!$AE$100</f>
        <v>39749385.780000001</v>
      </c>
      <c r="G1051" s="116">
        <f ca="1">+Adjustments!AW1035</f>
        <v>-5767187.3540278301</v>
      </c>
      <c r="H1051" s="116"/>
      <c r="I1051" s="116">
        <f t="shared" ca="1" si="59"/>
        <v>33982198.425972171</v>
      </c>
      <c r="J1051" s="116"/>
      <c r="K1051" s="116"/>
      <c r="L1051" s="116" t="s">
        <v>473</v>
      </c>
      <c r="M1051" s="116">
        <f ca="1">VLOOKUP($L1051,$L$2:$N$7,2,FALSE)*I1051</f>
        <v>32878602.109841056</v>
      </c>
      <c r="N1051" s="116">
        <f ca="1">VLOOKUP($L1051,$L$2:$N$7,3,FALSE)*I1051</f>
        <v>1103596.3161311124</v>
      </c>
      <c r="O1051" s="272"/>
      <c r="P1051" s="207" t="s">
        <v>560</v>
      </c>
      <c r="Q1051" s="116">
        <f ca="1">IF(P1051="G",M1051,IF(P1051="PT",0,ERR))</f>
        <v>32878602.109841056</v>
      </c>
      <c r="R1051" s="116">
        <f>IF(P1051="PT",M1051,IF(P1051="G",0,ERR))</f>
        <v>0</v>
      </c>
      <c r="S1051" s="240" t="s">
        <v>560</v>
      </c>
      <c r="T1051" s="116">
        <f ca="1">IF(S1051="G",N1051,IF(S1051="PT",0,ERR))</f>
        <v>1103596.3161311124</v>
      </c>
      <c r="U1051" s="116">
        <f>IF(S1051="PT",N1051,IF(S1051="G",0,ERR))</f>
        <v>0</v>
      </c>
      <c r="V1051" s="273"/>
      <c r="W1051" s="116">
        <f ca="1">HLOOKUP($W$9,'ROR-Model'!$Q$10:$U$1263,Y1051)</f>
        <v>32878602.109841056</v>
      </c>
      <c r="X1051" s="118"/>
      <c r="Y1051" s="577">
        <f t="shared" si="57"/>
        <v>1042</v>
      </c>
      <c r="AA1051" s="116">
        <v>40594417.062843978</v>
      </c>
      <c r="AB1051" s="116">
        <f t="shared" ca="1" si="58"/>
        <v>-7715814.9530029222</v>
      </c>
    </row>
    <row r="1052" spans="2:28">
      <c r="B1052" s="102"/>
      <c r="C1052" s="102"/>
      <c r="D1052" s="102" t="s">
        <v>170</v>
      </c>
      <c r="E1052" s="116">
        <f ca="1">+G1052-Adjustments!H1052</f>
        <v>-7631479.4082804173</v>
      </c>
      <c r="F1052" s="620">
        <f>'Rate Base'!$AE$101</f>
        <v>52598710.680000007</v>
      </c>
      <c r="G1052" s="620">
        <f ca="1">+Adjustments!AW1036</f>
        <v>-7631479.4082804173</v>
      </c>
      <c r="H1052" s="620"/>
      <c r="I1052" s="620">
        <f t="shared" ca="1" si="59"/>
        <v>44967231.27171959</v>
      </c>
      <c r="J1052" s="116"/>
      <c r="K1052" s="116"/>
      <c r="L1052" s="620" t="s">
        <v>170</v>
      </c>
      <c r="M1052" s="620">
        <f ca="1">SUM(M1049:M1051)</f>
        <v>43737243.879699856</v>
      </c>
      <c r="N1052" s="620">
        <f ca="1">SUM(N1049:N1051)</f>
        <v>1229987.3920197296</v>
      </c>
      <c r="O1052" s="272"/>
      <c r="P1052" s="1052" t="s">
        <v>560</v>
      </c>
      <c r="Q1052" s="620">
        <f ca="1">IF(P1052="G",M1052,IF(P1052="PT",0,ERR))</f>
        <v>43737243.879699856</v>
      </c>
      <c r="R1052" s="620">
        <f>IF(P1052="PT",M1052,IF(P1052="G",0,ERR))</f>
        <v>0</v>
      </c>
      <c r="S1052" s="1053" t="s">
        <v>560</v>
      </c>
      <c r="T1052" s="620">
        <f ca="1">IF(S1052="G",N1052,IF(S1052="PT",0,ERR))</f>
        <v>1229987.3920197296</v>
      </c>
      <c r="U1052" s="620">
        <f>IF(S1052="PT",N1052,IF(S1052="G",0,ERR))</f>
        <v>0</v>
      </c>
      <c r="V1052" s="273"/>
      <c r="W1052" s="620">
        <f ca="1">HLOOKUP($W$9,'ROR-Model'!$Q$10:$U$1263,Y1052)</f>
        <v>43737243.879699856</v>
      </c>
      <c r="X1052" s="118"/>
      <c r="Y1052" s="577">
        <f t="shared" si="57"/>
        <v>1043</v>
      </c>
      <c r="AA1052" s="620">
        <v>54282150.567010649</v>
      </c>
      <c r="AB1052" s="116">
        <f t="shared" ca="1" si="58"/>
        <v>-10544906.687310793</v>
      </c>
    </row>
    <row r="1053" spans="2:28">
      <c r="B1053" s="102"/>
      <c r="C1053" s="102"/>
      <c r="D1053" s="102"/>
      <c r="E1053" s="116">
        <f>+G1053-Adjustments!H1053</f>
        <v>0</v>
      </c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272"/>
      <c r="P1053" s="207"/>
      <c r="Q1053" s="116"/>
      <c r="R1053" s="116"/>
      <c r="S1053" s="240"/>
      <c r="T1053" s="116"/>
      <c r="U1053" s="116"/>
      <c r="V1053" s="273"/>
      <c r="W1053" s="116"/>
      <c r="X1053" s="118"/>
      <c r="Y1053" s="577">
        <f t="shared" si="57"/>
        <v>1044</v>
      </c>
      <c r="AA1053" s="116"/>
      <c r="AB1053" s="116">
        <f t="shared" si="58"/>
        <v>0</v>
      </c>
    </row>
    <row r="1054" spans="2:28">
      <c r="B1054" s="102" t="s">
        <v>262</v>
      </c>
      <c r="C1054" s="102" t="s">
        <v>263</v>
      </c>
      <c r="D1054" s="102"/>
      <c r="E1054" s="116">
        <f>+G1054-Adjustments!H1054</f>
        <v>0</v>
      </c>
      <c r="F1054" s="116">
        <f>'Rate Base'!$AE$107</f>
        <v>52931918.189999998</v>
      </c>
      <c r="G1054" s="116">
        <f>+Adjustments!AW1038</f>
        <v>0</v>
      </c>
      <c r="H1054" s="116"/>
      <c r="I1054" s="116">
        <f t="shared" si="59"/>
        <v>52931918.189999998</v>
      </c>
      <c r="J1054" s="116"/>
      <c r="K1054" s="116"/>
      <c r="L1054" s="116"/>
      <c r="M1054" s="116"/>
      <c r="N1054" s="116"/>
      <c r="O1054" s="272"/>
      <c r="P1054" s="207"/>
      <c r="Q1054" s="116"/>
      <c r="R1054" s="116"/>
      <c r="S1054" s="240"/>
      <c r="T1054" s="116"/>
      <c r="U1054" s="116"/>
      <c r="V1054" s="273"/>
      <c r="W1054" s="116"/>
      <c r="X1054" s="118"/>
      <c r="Y1054" s="577">
        <f t="shared" si="57"/>
        <v>1045</v>
      </c>
      <c r="AA1054" s="116"/>
      <c r="AB1054" s="116">
        <f t="shared" si="58"/>
        <v>0</v>
      </c>
    </row>
    <row r="1055" spans="2:28">
      <c r="B1055" s="102"/>
      <c r="C1055" s="102"/>
      <c r="D1055" s="102" t="s">
        <v>24</v>
      </c>
      <c r="E1055" s="116">
        <f ca="1">+G1055-Adjustments!H1055</f>
        <v>102841.35844288161</v>
      </c>
      <c r="F1055" s="116">
        <f>'Rate Base'!$AE$104</f>
        <v>2941469.68</v>
      </c>
      <c r="G1055" s="116">
        <f ca="1">+Adjustments!AW1039</f>
        <v>102841.35844288161</v>
      </c>
      <c r="H1055" s="116"/>
      <c r="I1055" s="116">
        <f t="shared" ca="1" si="59"/>
        <v>3044311.0384428818</v>
      </c>
      <c r="J1055" s="116"/>
      <c r="K1055" s="116"/>
      <c r="L1055" s="116" t="s">
        <v>24</v>
      </c>
      <c r="M1055" s="116">
        <f ca="1">VLOOKUP($L1055,$L$2:$N$7,2,FALSE)*I1055</f>
        <v>0</v>
      </c>
      <c r="N1055" s="116">
        <f ca="1">VLOOKUP($L1055,$L$2:$N$7,3,FALSE)*I1055</f>
        <v>3044311.0384428818</v>
      </c>
      <c r="O1055" s="272"/>
      <c r="P1055" s="207" t="s">
        <v>560</v>
      </c>
      <c r="Q1055" s="116">
        <f ca="1">IF(P1055="G",M1055,IF(P1055="PT",0,ERR))</f>
        <v>0</v>
      </c>
      <c r="R1055" s="116">
        <f>IF(P1055="PT",M1055,IF(P1055="G",0,ERR))</f>
        <v>0</v>
      </c>
      <c r="S1055" s="240" t="s">
        <v>560</v>
      </c>
      <c r="T1055" s="116">
        <f ca="1">IF(S1055="G",N1055,IF(S1055="PT",0,ERR))</f>
        <v>3044311.0384428818</v>
      </c>
      <c r="U1055" s="116">
        <f>IF(S1055="PT",N1055,IF(S1055="G",0,ERR))</f>
        <v>0</v>
      </c>
      <c r="V1055" s="273"/>
      <c r="W1055" s="116">
        <f ca="1">HLOOKUP($W$9,'ROR-Model'!$Q$10:$U$1263,Y1055)</f>
        <v>0</v>
      </c>
      <c r="X1055" s="118"/>
      <c r="Y1055" s="577">
        <f t="shared" si="57"/>
        <v>1046</v>
      </c>
      <c r="AA1055" s="116">
        <v>0</v>
      </c>
      <c r="AB1055" s="116">
        <f t="shared" ca="1" si="58"/>
        <v>0</v>
      </c>
    </row>
    <row r="1056" spans="2:28">
      <c r="B1056" s="102"/>
      <c r="C1056" s="102"/>
      <c r="D1056" s="102" t="s">
        <v>14</v>
      </c>
      <c r="E1056" s="116">
        <f ca="1">+G1056-Adjustments!H1056</f>
        <v>1747794.8757701665</v>
      </c>
      <c r="F1056" s="116">
        <f>'Rate Base'!$AE$105</f>
        <v>49990448.509999998</v>
      </c>
      <c r="G1056" s="116">
        <f ca="1">+Adjustments!AW1040</f>
        <v>1747794.8757701665</v>
      </c>
      <c r="H1056" s="116"/>
      <c r="I1056" s="116">
        <f t="shared" ca="1" si="59"/>
        <v>51738243.385770164</v>
      </c>
      <c r="J1056" s="116"/>
      <c r="K1056" s="116"/>
      <c r="L1056" s="116" t="s">
        <v>14</v>
      </c>
      <c r="M1056" s="116">
        <f ca="1">VLOOKUP($L1056,$L$2:$N$7,2,FALSE)*I1056</f>
        <v>51738243.385770164</v>
      </c>
      <c r="N1056" s="116">
        <f ca="1">VLOOKUP($L1056,$L$2:$N$7,3,FALSE)*I1056</f>
        <v>0</v>
      </c>
      <c r="O1056" s="272"/>
      <c r="P1056" s="207" t="s">
        <v>560</v>
      </c>
      <c r="Q1056" s="116">
        <f ca="1">IF(P1056="G",M1056,IF(P1056="PT",0,ERR))</f>
        <v>51738243.385770164</v>
      </c>
      <c r="R1056" s="116">
        <f>IF(P1056="PT",M1056,IF(P1056="G",0,ERR))</f>
        <v>0</v>
      </c>
      <c r="S1056" s="240" t="s">
        <v>560</v>
      </c>
      <c r="T1056" s="116">
        <f ca="1">IF(S1056="G",N1056,IF(S1056="PT",0,ERR))</f>
        <v>0</v>
      </c>
      <c r="U1056" s="116">
        <f>IF(S1056="PT",N1056,IF(S1056="G",0,ERR))</f>
        <v>0</v>
      </c>
      <c r="V1056" s="273"/>
      <c r="W1056" s="116">
        <f ca="1">HLOOKUP($W$9,'ROR-Model'!$Q$10:$U$1263,Y1056)</f>
        <v>51738243.385770164</v>
      </c>
      <c r="X1056" s="118"/>
      <c r="Y1056" s="577">
        <f t="shared" si="57"/>
        <v>1047</v>
      </c>
      <c r="AA1056" s="116">
        <v>49792114.355416663</v>
      </c>
      <c r="AB1056" s="116">
        <f t="shared" ca="1" si="58"/>
        <v>1946129.0303535014</v>
      </c>
    </row>
    <row r="1057" spans="2:28">
      <c r="B1057" s="102"/>
      <c r="C1057" s="102"/>
      <c r="D1057" s="102" t="s">
        <v>595</v>
      </c>
      <c r="E1057" s="116">
        <f ca="1">+G1057-Adjustments!H1057</f>
        <v>0</v>
      </c>
      <c r="F1057" s="116">
        <f>'Rate Base'!$AE$106</f>
        <v>0</v>
      </c>
      <c r="G1057" s="116">
        <f ca="1">+Adjustments!AW1041</f>
        <v>0</v>
      </c>
      <c r="H1057" s="116"/>
      <c r="I1057" s="116">
        <f t="shared" ca="1" si="59"/>
        <v>0</v>
      </c>
      <c r="J1057" s="116"/>
      <c r="K1057" s="116"/>
      <c r="L1057" s="116" t="s">
        <v>473</v>
      </c>
      <c r="M1057" s="116">
        <f ca="1">VLOOKUP($L1057,$L$2:$N$7,2,FALSE)*I1057</f>
        <v>0</v>
      </c>
      <c r="N1057" s="116">
        <f ca="1">VLOOKUP($L1057,$L$2:$N$7,3,FALSE)*I1057</f>
        <v>0</v>
      </c>
      <c r="O1057" s="272"/>
      <c r="P1057" s="207" t="s">
        <v>560</v>
      </c>
      <c r="Q1057" s="116">
        <f ca="1">IF(P1057="G",M1057,IF(P1057="PT",0,ERR))</f>
        <v>0</v>
      </c>
      <c r="R1057" s="116">
        <f>IF(P1057="PT",M1057,IF(P1057="G",0,ERR))</f>
        <v>0</v>
      </c>
      <c r="S1057" s="240" t="s">
        <v>560</v>
      </c>
      <c r="T1057" s="116">
        <f ca="1">IF(S1057="G",N1057,IF(S1057="PT",0,ERR))</f>
        <v>0</v>
      </c>
      <c r="U1057" s="116">
        <f>IF(S1057="PT",N1057,IF(S1057="G",0,ERR))</f>
        <v>0</v>
      </c>
      <c r="V1057" s="273"/>
      <c r="W1057" s="116">
        <f ca="1">HLOOKUP($W$9,'ROR-Model'!$Q$10:$U$1263,Y1057)</f>
        <v>0</v>
      </c>
      <c r="X1057" s="118"/>
      <c r="Y1057" s="577">
        <f t="shared" si="57"/>
        <v>1048</v>
      </c>
      <c r="AA1057" s="116">
        <v>0</v>
      </c>
      <c r="AB1057" s="116">
        <f t="shared" ca="1" si="58"/>
        <v>0</v>
      </c>
    </row>
    <row r="1058" spans="2:28">
      <c r="B1058" s="102"/>
      <c r="C1058" s="102"/>
      <c r="D1058" s="102" t="s">
        <v>170</v>
      </c>
      <c r="E1058" s="116">
        <f ca="1">+G1058-Adjustments!H1058</f>
        <v>1850636.2342130467</v>
      </c>
      <c r="F1058" s="620">
        <f>'Rate Base'!$AE$107</f>
        <v>52931918.189999998</v>
      </c>
      <c r="G1058" s="620">
        <f ca="1">+Adjustments!AW1042</f>
        <v>1850636.2342130467</v>
      </c>
      <c r="H1058" s="620"/>
      <c r="I1058" s="620">
        <f t="shared" ca="1" si="59"/>
        <v>54782554.424213044</v>
      </c>
      <c r="J1058" s="116"/>
      <c r="K1058" s="116"/>
      <c r="L1058" s="620" t="s">
        <v>170</v>
      </c>
      <c r="M1058" s="620">
        <f ca="1">SUM(M1055:M1057)</f>
        <v>51738243.385770164</v>
      </c>
      <c r="N1058" s="620">
        <f ca="1">SUM(N1055:N1057)</f>
        <v>3044311.0384428818</v>
      </c>
      <c r="O1058" s="272"/>
      <c r="P1058" s="1052" t="s">
        <v>560</v>
      </c>
      <c r="Q1058" s="620">
        <f ca="1">IF(P1058="G",M1058,IF(P1058="PT",0,ERR))</f>
        <v>51738243.385770164</v>
      </c>
      <c r="R1058" s="620">
        <f>IF(P1058="PT",M1058,IF(P1058="G",0,ERR))</f>
        <v>0</v>
      </c>
      <c r="S1058" s="1053" t="s">
        <v>560</v>
      </c>
      <c r="T1058" s="620">
        <f ca="1">IF(S1058="G",N1058,IF(S1058="PT",0,ERR))</f>
        <v>3044311.0384428818</v>
      </c>
      <c r="U1058" s="620">
        <f>IF(S1058="PT",N1058,IF(S1058="G",0,ERR))</f>
        <v>0</v>
      </c>
      <c r="V1058" s="273"/>
      <c r="W1058" s="620">
        <f ca="1">HLOOKUP($W$9,'ROR-Model'!$Q$10:$U$1263,Y1058)</f>
        <v>51738243.385770164</v>
      </c>
      <c r="X1058" s="118"/>
      <c r="Y1058" s="577">
        <f t="shared" si="57"/>
        <v>1049</v>
      </c>
      <c r="AA1058" s="620">
        <v>49792114.355416663</v>
      </c>
      <c r="AB1058" s="116">
        <f t="shared" ca="1" si="58"/>
        <v>1946129.0303535014</v>
      </c>
    </row>
    <row r="1059" spans="2:28">
      <c r="B1059" s="102"/>
      <c r="C1059" s="102"/>
      <c r="D1059" s="102"/>
      <c r="E1059" s="116">
        <f>+G1059-Adjustments!H1059</f>
        <v>0</v>
      </c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272"/>
      <c r="P1059" s="207"/>
      <c r="Q1059" s="116"/>
      <c r="R1059" s="116"/>
      <c r="S1059" s="240"/>
      <c r="T1059" s="116"/>
      <c r="U1059" s="116"/>
      <c r="V1059" s="273"/>
      <c r="W1059" s="116"/>
      <c r="X1059" s="118"/>
      <c r="Y1059" s="577">
        <f t="shared" si="57"/>
        <v>1050</v>
      </c>
      <c r="AA1059" s="116"/>
      <c r="AB1059" s="116">
        <f t="shared" si="58"/>
        <v>0</v>
      </c>
    </row>
    <row r="1060" spans="2:28">
      <c r="B1060" s="102" t="s">
        <v>264</v>
      </c>
      <c r="C1060" s="102" t="s">
        <v>265</v>
      </c>
      <c r="D1060" s="102"/>
      <c r="E1060" s="116">
        <f>+G1060-Adjustments!H1060</f>
        <v>0</v>
      </c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272"/>
      <c r="P1060" s="207"/>
      <c r="Q1060" s="116"/>
      <c r="R1060" s="116"/>
      <c r="S1060" s="240"/>
      <c r="T1060" s="116"/>
      <c r="U1060" s="116"/>
      <c r="V1060" s="273"/>
      <c r="W1060" s="116"/>
      <c r="X1060" s="118"/>
      <c r="Y1060" s="577">
        <f t="shared" si="57"/>
        <v>1051</v>
      </c>
      <c r="AA1060" s="116"/>
      <c r="AB1060" s="116">
        <f t="shared" si="58"/>
        <v>0</v>
      </c>
    </row>
    <row r="1061" spans="2:28">
      <c r="B1061" s="102"/>
      <c r="C1061" s="102"/>
      <c r="D1061" s="102" t="s">
        <v>24</v>
      </c>
      <c r="E1061" s="116">
        <f>+G1061-Adjustments!H1061</f>
        <v>0</v>
      </c>
      <c r="F1061" s="116">
        <f>'Rate Base'!$AE$110</f>
        <v>12371.89</v>
      </c>
      <c r="G1061" s="116">
        <f>+Adjustments!AW1045</f>
        <v>0</v>
      </c>
      <c r="H1061" s="116"/>
      <c r="I1061" s="116">
        <f t="shared" si="59"/>
        <v>12371.89</v>
      </c>
      <c r="J1061" s="116"/>
      <c r="K1061" s="116"/>
      <c r="L1061" s="116" t="s">
        <v>24</v>
      </c>
      <c r="M1061" s="116">
        <f>VLOOKUP($L1061,$L$2:$N$7,2,FALSE)*I1061</f>
        <v>0</v>
      </c>
      <c r="N1061" s="116">
        <f>VLOOKUP($L1061,$L$2:$N$7,3,FALSE)*I1061</f>
        <v>12371.89</v>
      </c>
      <c r="O1061" s="272"/>
      <c r="P1061" s="207" t="s">
        <v>560</v>
      </c>
      <c r="Q1061" s="116">
        <f>IF(P1061="G",M1061,IF(P1061="PT",0,ERR))</f>
        <v>0</v>
      </c>
      <c r="R1061" s="116">
        <f>IF(P1061="PT",M1061,IF(P1061="G",0,ERR))</f>
        <v>0</v>
      </c>
      <c r="S1061" s="240" t="s">
        <v>560</v>
      </c>
      <c r="T1061" s="116">
        <f>IF(S1061="G",N1061,IF(S1061="PT",0,ERR))</f>
        <v>12371.89</v>
      </c>
      <c r="U1061" s="116">
        <f>IF(S1061="PT",N1061,IF(S1061="G",0,ERR))</f>
        <v>0</v>
      </c>
      <c r="V1061" s="273"/>
      <c r="W1061" s="116">
        <f>HLOOKUP($W$9,'ROR-Model'!$Q$10:$U$1263,Y1061)</f>
        <v>0</v>
      </c>
      <c r="X1061" s="118"/>
      <c r="Y1061" s="577">
        <f t="shared" si="57"/>
        <v>1052</v>
      </c>
      <c r="AA1061" s="116">
        <v>0</v>
      </c>
      <c r="AB1061" s="116">
        <f t="shared" si="58"/>
        <v>0</v>
      </c>
    </row>
    <row r="1062" spans="2:28">
      <c r="B1062" s="102"/>
      <c r="C1062" s="102"/>
      <c r="D1062" s="102" t="s">
        <v>14</v>
      </c>
      <c r="E1062" s="116">
        <f>+G1062-Adjustments!H1062</f>
        <v>0</v>
      </c>
      <c r="F1062" s="116">
        <f>'Rate Base'!$AE$111</f>
        <v>45026.020000000004</v>
      </c>
      <c r="G1062" s="116">
        <f>+Adjustments!AW1046</f>
        <v>0</v>
      </c>
      <c r="H1062" s="116"/>
      <c r="I1062" s="116">
        <f t="shared" si="59"/>
        <v>45026.020000000004</v>
      </c>
      <c r="J1062" s="116"/>
      <c r="K1062" s="116"/>
      <c r="L1062" s="116" t="s">
        <v>14</v>
      </c>
      <c r="M1062" s="116">
        <f>VLOOKUP($L1062,$L$2:$N$7,2,FALSE)*I1062</f>
        <v>45026.020000000004</v>
      </c>
      <c r="N1062" s="116">
        <f>VLOOKUP($L1062,$L$2:$N$7,3,FALSE)*I1062</f>
        <v>0</v>
      </c>
      <c r="O1062" s="272"/>
      <c r="P1062" s="207" t="s">
        <v>560</v>
      </c>
      <c r="Q1062" s="116">
        <f>IF(P1062="G",M1062,IF(P1062="PT",0,ERR))</f>
        <v>45026.020000000004</v>
      </c>
      <c r="R1062" s="116">
        <f>IF(P1062="PT",M1062,IF(P1062="G",0,ERR))</f>
        <v>0</v>
      </c>
      <c r="S1062" s="240" t="s">
        <v>560</v>
      </c>
      <c r="T1062" s="116">
        <f>IF(S1062="G",N1062,IF(S1062="PT",0,ERR))</f>
        <v>0</v>
      </c>
      <c r="U1062" s="116">
        <f>IF(S1062="PT",N1062,IF(S1062="G",0,ERR))</f>
        <v>0</v>
      </c>
      <c r="V1062" s="273"/>
      <c r="W1062" s="116">
        <f>HLOOKUP($W$9,'ROR-Model'!$Q$10:$U$1263,Y1062)</f>
        <v>45026.020000000004</v>
      </c>
      <c r="X1062" s="118"/>
      <c r="Y1062" s="577">
        <f t="shared" si="57"/>
        <v>1053</v>
      </c>
      <c r="AA1062" s="116">
        <v>45026.020000000004</v>
      </c>
      <c r="AB1062" s="116">
        <f t="shared" si="58"/>
        <v>0</v>
      </c>
    </row>
    <row r="1063" spans="2:28">
      <c r="B1063" s="102"/>
      <c r="C1063" s="102"/>
      <c r="D1063" s="102" t="s">
        <v>170</v>
      </c>
      <c r="E1063" s="116">
        <f>+G1063-Adjustments!H1063</f>
        <v>0</v>
      </c>
      <c r="F1063" s="620">
        <f>'Rate Base'!$AE$112</f>
        <v>57397.91</v>
      </c>
      <c r="G1063" s="620">
        <f>+Adjustments!AW1047</f>
        <v>0</v>
      </c>
      <c r="H1063" s="620"/>
      <c r="I1063" s="620">
        <f t="shared" si="59"/>
        <v>57397.91</v>
      </c>
      <c r="J1063" s="116"/>
      <c r="K1063" s="116"/>
      <c r="L1063" s="620" t="s">
        <v>170</v>
      </c>
      <c r="M1063" s="620">
        <f>SUM(M1061:M1062)</f>
        <v>45026.020000000004</v>
      </c>
      <c r="N1063" s="620">
        <f>SUM(N1061:N1062)</f>
        <v>12371.89</v>
      </c>
      <c r="O1063" s="272"/>
      <c r="P1063" s="1052" t="s">
        <v>560</v>
      </c>
      <c r="Q1063" s="620">
        <f>IF(P1063="G",M1063,IF(P1063="PT",0,ERR))</f>
        <v>45026.020000000004</v>
      </c>
      <c r="R1063" s="620">
        <f>IF(P1063="PT",M1063,IF(P1063="G",0,ERR))</f>
        <v>0</v>
      </c>
      <c r="S1063" s="1053" t="s">
        <v>560</v>
      </c>
      <c r="T1063" s="620">
        <f>IF(S1063="G",N1063,IF(S1063="PT",0,ERR))</f>
        <v>12371.89</v>
      </c>
      <c r="U1063" s="620">
        <f>IF(S1063="PT",N1063,IF(S1063="G",0,ERR))</f>
        <v>0</v>
      </c>
      <c r="V1063" s="273"/>
      <c r="W1063" s="620">
        <f>HLOOKUP($W$9,'ROR-Model'!$Q$10:$U$1263,Y1063)</f>
        <v>45026.020000000004</v>
      </c>
      <c r="X1063" s="118"/>
      <c r="Y1063" s="577">
        <f t="shared" si="57"/>
        <v>1054</v>
      </c>
      <c r="AA1063" s="620">
        <v>45026.020000000004</v>
      </c>
      <c r="AB1063" s="116">
        <f t="shared" si="58"/>
        <v>0</v>
      </c>
    </row>
    <row r="1064" spans="2:28">
      <c r="B1064" s="102"/>
      <c r="C1064" s="102"/>
      <c r="D1064" s="102"/>
      <c r="E1064" s="116">
        <f>+G1064-Adjustments!H1064</f>
        <v>0</v>
      </c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272"/>
      <c r="P1064" s="207"/>
      <c r="Q1064" s="116"/>
      <c r="R1064" s="116"/>
      <c r="S1064" s="240"/>
      <c r="T1064" s="116"/>
      <c r="U1064" s="116"/>
      <c r="V1064" s="273"/>
      <c r="W1064" s="116"/>
      <c r="X1064" s="118"/>
      <c r="Y1064" s="577">
        <f t="shared" si="57"/>
        <v>1055</v>
      </c>
      <c r="AA1064" s="116"/>
      <c r="AB1064" s="116">
        <f t="shared" si="58"/>
        <v>0</v>
      </c>
    </row>
    <row r="1065" spans="2:28">
      <c r="B1065" s="102" t="s">
        <v>266</v>
      </c>
      <c r="C1065" s="102" t="s">
        <v>267</v>
      </c>
      <c r="D1065" s="102"/>
      <c r="E1065" s="116">
        <f>+G1065-Adjustments!H1065</f>
        <v>0</v>
      </c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272"/>
      <c r="P1065" s="207"/>
      <c r="Q1065" s="116"/>
      <c r="R1065" s="116"/>
      <c r="S1065" s="240"/>
      <c r="T1065" s="116"/>
      <c r="U1065" s="116"/>
      <c r="V1065" s="273"/>
      <c r="W1065" s="116"/>
      <c r="X1065" s="118"/>
      <c r="Y1065" s="577">
        <f t="shared" si="57"/>
        <v>1056</v>
      </c>
      <c r="AA1065" s="116"/>
      <c r="AB1065" s="116">
        <f t="shared" si="58"/>
        <v>0</v>
      </c>
    </row>
    <row r="1066" spans="2:28">
      <c r="B1066" s="102"/>
      <c r="C1066" s="102"/>
      <c r="D1066" s="102" t="s">
        <v>24</v>
      </c>
      <c r="E1066" s="116">
        <f ca="1">+G1066-Adjustments!H1066</f>
        <v>647897.7660978213</v>
      </c>
      <c r="F1066" s="116">
        <f>'Rate Base'!$AE$115</f>
        <v>2395252.1300000004</v>
      </c>
      <c r="G1066" s="116">
        <f ca="1">+Adjustments!AW1050</f>
        <v>647897.7660978213</v>
      </c>
      <c r="H1066" s="116"/>
      <c r="I1066" s="116">
        <f t="shared" ca="1" si="59"/>
        <v>3043149.8960978216</v>
      </c>
      <c r="J1066" s="116"/>
      <c r="K1066" s="116"/>
      <c r="L1066" s="116" t="s">
        <v>24</v>
      </c>
      <c r="M1066" s="116">
        <f ca="1">VLOOKUP($L1066,$L$2:$N$7,2,FALSE)*I1066</f>
        <v>0</v>
      </c>
      <c r="N1066" s="116">
        <f ca="1">VLOOKUP($L1066,$L$2:$N$7,3,FALSE)*I1066</f>
        <v>3043149.8960978216</v>
      </c>
      <c r="O1066" s="272"/>
      <c r="P1066" s="207" t="s">
        <v>560</v>
      </c>
      <c r="Q1066" s="116">
        <f ca="1">IF(P1066="G",M1066,IF(P1066="PT",0,ERR))</f>
        <v>0</v>
      </c>
      <c r="R1066" s="116">
        <f>IF(P1066="PT",M1066,IF(P1066="G",0,ERR))</f>
        <v>0</v>
      </c>
      <c r="S1066" s="240" t="s">
        <v>560</v>
      </c>
      <c r="T1066" s="116">
        <f ca="1">IF(S1066="G",N1066,IF(S1066="PT",0,ERR))</f>
        <v>3043149.8960978216</v>
      </c>
      <c r="U1066" s="116">
        <f>IF(S1066="PT",N1066,IF(S1066="G",0,ERR))</f>
        <v>0</v>
      </c>
      <c r="V1066" s="273"/>
      <c r="W1066" s="116">
        <f ca="1">HLOOKUP($W$9,'ROR-Model'!$Q$10:$U$1263,Y1066)</f>
        <v>0</v>
      </c>
      <c r="X1066" s="118"/>
      <c r="Y1066" s="577">
        <f t="shared" si="57"/>
        <v>1057</v>
      </c>
      <c r="AA1066" s="116">
        <v>0</v>
      </c>
      <c r="AB1066" s="116">
        <f t="shared" ca="1" si="58"/>
        <v>0</v>
      </c>
    </row>
    <row r="1067" spans="2:28">
      <c r="B1067" s="102"/>
      <c r="C1067" s="102"/>
      <c r="D1067" s="102" t="s">
        <v>14</v>
      </c>
      <c r="E1067" s="116">
        <f ca="1">+G1067-Adjustments!H1067</f>
        <v>7921947.5875260718</v>
      </c>
      <c r="F1067" s="116">
        <f>'Rate Base'!$AE$116</f>
        <v>29287123.41</v>
      </c>
      <c r="G1067" s="116">
        <f ca="1">+Adjustments!AW1051</f>
        <v>7921947.5875260718</v>
      </c>
      <c r="H1067" s="116"/>
      <c r="I1067" s="116">
        <f t="shared" ca="1" si="59"/>
        <v>37209070.997526072</v>
      </c>
      <c r="J1067" s="116"/>
      <c r="K1067" s="116"/>
      <c r="L1067" s="116" t="s">
        <v>14</v>
      </c>
      <c r="M1067" s="116">
        <f ca="1">VLOOKUP($L1067,$L$2:$N$7,2,FALSE)*I1067</f>
        <v>37209070.997526072</v>
      </c>
      <c r="N1067" s="116">
        <f ca="1">VLOOKUP($L1067,$L$2:$N$7,3,FALSE)*I1067</f>
        <v>0</v>
      </c>
      <c r="O1067" s="272"/>
      <c r="P1067" s="207" t="s">
        <v>560</v>
      </c>
      <c r="Q1067" s="116">
        <f ca="1">IF(P1067="G",M1067,IF(P1067="PT",0,ERR))</f>
        <v>37209070.997526072</v>
      </c>
      <c r="R1067" s="116">
        <f>IF(P1067="PT",M1067,IF(P1067="G",0,ERR))</f>
        <v>0</v>
      </c>
      <c r="S1067" s="240" t="s">
        <v>560</v>
      </c>
      <c r="T1067" s="116">
        <f ca="1">IF(S1067="G",N1067,IF(S1067="PT",0,ERR))</f>
        <v>0</v>
      </c>
      <c r="U1067" s="116">
        <f>IF(S1067="PT",N1067,IF(S1067="G",0,ERR))</f>
        <v>0</v>
      </c>
      <c r="V1067" s="273"/>
      <c r="W1067" s="116">
        <f ca="1">HLOOKUP($W$9,'ROR-Model'!$Q$10:$U$1263,Y1067)</f>
        <v>37209070.997526072</v>
      </c>
      <c r="X1067" s="118"/>
      <c r="Y1067" s="577">
        <f t="shared" si="57"/>
        <v>1058</v>
      </c>
      <c r="AA1067" s="116">
        <v>29325263.897916663</v>
      </c>
      <c r="AB1067" s="116">
        <f t="shared" ca="1" si="58"/>
        <v>7883807.0996094085</v>
      </c>
    </row>
    <row r="1068" spans="2:28">
      <c r="B1068" s="102"/>
      <c r="C1068" s="102"/>
      <c r="D1068" s="102" t="s">
        <v>595</v>
      </c>
      <c r="E1068" s="116">
        <f ca="1">+G1068-Adjustments!H1068</f>
        <v>0</v>
      </c>
      <c r="F1068" s="116">
        <f>'Rate Base'!$AE$117</f>
        <v>0</v>
      </c>
      <c r="G1068" s="116">
        <f ca="1">+Adjustments!AW1052</f>
        <v>0</v>
      </c>
      <c r="H1068" s="116"/>
      <c r="I1068" s="116">
        <f t="shared" ca="1" si="59"/>
        <v>0</v>
      </c>
      <c r="J1068" s="116"/>
      <c r="K1068" s="116"/>
      <c r="L1068" s="116" t="s">
        <v>473</v>
      </c>
      <c r="M1068" s="116">
        <f ca="1">VLOOKUP($L1068,$L$2:$N$7,2,FALSE)*I1068</f>
        <v>0</v>
      </c>
      <c r="N1068" s="116">
        <f ca="1">VLOOKUP($L1068,$L$2:$N$7,3,FALSE)*I1068</f>
        <v>0</v>
      </c>
      <c r="O1068" s="272"/>
      <c r="P1068" s="207" t="s">
        <v>560</v>
      </c>
      <c r="Q1068" s="116">
        <f ca="1">IF(P1068="G",M1068,IF(P1068="PT",0,ERR))</f>
        <v>0</v>
      </c>
      <c r="R1068" s="116">
        <f>IF(P1068="PT",M1068,IF(P1068="G",0,ERR))</f>
        <v>0</v>
      </c>
      <c r="S1068" s="240" t="s">
        <v>560</v>
      </c>
      <c r="T1068" s="116">
        <f ca="1">IF(S1068="G",N1068,IF(S1068="PT",0,ERR))</f>
        <v>0</v>
      </c>
      <c r="U1068" s="116">
        <f>IF(S1068="PT",N1068,IF(S1068="G",0,ERR))</f>
        <v>0</v>
      </c>
      <c r="V1068" s="273"/>
      <c r="W1068" s="116">
        <f ca="1">HLOOKUP($W$9,'ROR-Model'!$Q$10:$U$1263,Y1068)</f>
        <v>0</v>
      </c>
      <c r="X1068" s="118"/>
      <c r="Y1068" s="577">
        <f t="shared" si="57"/>
        <v>1059</v>
      </c>
      <c r="AA1068" s="116">
        <v>0</v>
      </c>
      <c r="AB1068" s="116">
        <f t="shared" ca="1" si="58"/>
        <v>0</v>
      </c>
    </row>
    <row r="1069" spans="2:28">
      <c r="B1069" s="102"/>
      <c r="C1069" s="102"/>
      <c r="D1069" s="102" t="s">
        <v>170</v>
      </c>
      <c r="E1069" s="116">
        <f ca="1">+G1069-Adjustments!H1069</f>
        <v>8569845.3536238968</v>
      </c>
      <c r="F1069" s="620">
        <f>'Rate Base'!$AE$118</f>
        <v>31682375.539999999</v>
      </c>
      <c r="G1069" s="620">
        <f ca="1">+Adjustments!AW1053</f>
        <v>8569845.3536238968</v>
      </c>
      <c r="H1069" s="620"/>
      <c r="I1069" s="620">
        <f t="shared" ca="1" si="59"/>
        <v>40252220.893623896</v>
      </c>
      <c r="J1069" s="116"/>
      <c r="K1069" s="116"/>
      <c r="L1069" s="620"/>
      <c r="M1069" s="620">
        <f ca="1">SUM(M1066:M1068)</f>
        <v>37209070.997526072</v>
      </c>
      <c r="N1069" s="620">
        <f ca="1">SUM(N1066:N1068)</f>
        <v>3043149.8960978216</v>
      </c>
      <c r="O1069" s="272"/>
      <c r="P1069" s="1052" t="s">
        <v>560</v>
      </c>
      <c r="Q1069" s="620">
        <f ca="1">IF(P1069="G",M1069,IF(P1069="PT",0,ERR))</f>
        <v>37209070.997526072</v>
      </c>
      <c r="R1069" s="620">
        <f>IF(P1069="PT",M1069,IF(P1069="G",0,ERR))</f>
        <v>0</v>
      </c>
      <c r="S1069" s="1053" t="s">
        <v>560</v>
      </c>
      <c r="T1069" s="620">
        <f ca="1">IF(S1069="G",N1069,IF(S1069="PT",0,ERR))</f>
        <v>3043149.8960978216</v>
      </c>
      <c r="U1069" s="620">
        <f>IF(S1069="PT",N1069,IF(S1069="G",0,ERR))</f>
        <v>0</v>
      </c>
      <c r="V1069" s="273"/>
      <c r="W1069" s="620">
        <f ca="1">HLOOKUP($W$9,'ROR-Model'!$Q$10:$U$1263,Y1069)</f>
        <v>37209070.997526072</v>
      </c>
      <c r="X1069" s="118"/>
      <c r="Y1069" s="577">
        <f t="shared" si="57"/>
        <v>1060</v>
      </c>
      <c r="AA1069" s="620">
        <v>29325263.897916663</v>
      </c>
      <c r="AB1069" s="116">
        <f t="shared" ca="1" si="58"/>
        <v>7883807.0996094085</v>
      </c>
    </row>
    <row r="1070" spans="2:28">
      <c r="B1070" s="102"/>
      <c r="C1070" s="102"/>
      <c r="D1070" s="102"/>
      <c r="E1070" s="116">
        <f>+G1070-Adjustments!H1070</f>
        <v>0</v>
      </c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272"/>
      <c r="P1070" s="207"/>
      <c r="Q1070" s="116"/>
      <c r="R1070" s="116"/>
      <c r="S1070" s="240"/>
      <c r="T1070" s="116"/>
      <c r="U1070" s="116"/>
      <c r="V1070" s="273"/>
      <c r="W1070" s="116"/>
      <c r="X1070" s="118"/>
      <c r="Y1070" s="577">
        <f t="shared" si="57"/>
        <v>1061</v>
      </c>
      <c r="AA1070" s="116"/>
      <c r="AB1070" s="116">
        <f t="shared" si="58"/>
        <v>0</v>
      </c>
    </row>
    <row r="1071" spans="2:28">
      <c r="B1071" s="102" t="s">
        <v>268</v>
      </c>
      <c r="C1071" s="102" t="s">
        <v>269</v>
      </c>
      <c r="D1071" s="102"/>
      <c r="E1071" s="116">
        <f>+G1071-Adjustments!H1071</f>
        <v>0</v>
      </c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272"/>
      <c r="P1071" s="207"/>
      <c r="Q1071" s="116"/>
      <c r="R1071" s="116"/>
      <c r="S1071" s="240"/>
      <c r="T1071" s="116"/>
      <c r="U1071" s="116"/>
      <c r="V1071" s="273"/>
      <c r="W1071" s="116"/>
      <c r="X1071" s="118"/>
      <c r="Y1071" s="577">
        <f t="shared" si="57"/>
        <v>1062</v>
      </c>
      <c r="AA1071" s="116"/>
      <c r="AB1071" s="116">
        <f t="shared" si="58"/>
        <v>0</v>
      </c>
    </row>
    <row r="1072" spans="2:28">
      <c r="B1072" s="102"/>
      <c r="C1072" s="102"/>
      <c r="D1072" s="102" t="s">
        <v>24</v>
      </c>
      <c r="E1072" s="116">
        <f>+G1072-Adjustments!H1072</f>
        <v>0</v>
      </c>
      <c r="F1072" s="116">
        <f>'Rate Base'!$AE$121</f>
        <v>0</v>
      </c>
      <c r="G1072" s="116">
        <f>+Adjustments!AW1056</f>
        <v>0</v>
      </c>
      <c r="H1072" s="116"/>
      <c r="I1072" s="116">
        <f t="shared" si="59"/>
        <v>0</v>
      </c>
      <c r="J1072" s="116"/>
      <c r="K1072" s="116"/>
      <c r="L1072" s="116" t="s">
        <v>24</v>
      </c>
      <c r="M1072" s="116">
        <f>VLOOKUP($L1072,$L$2:$N$7,2,FALSE)*I1072</f>
        <v>0</v>
      </c>
      <c r="N1072" s="116">
        <f>VLOOKUP($L1072,$L$2:$N$7,3,FALSE)*I1072</f>
        <v>0</v>
      </c>
      <c r="O1072" s="272"/>
      <c r="P1072" s="207" t="s">
        <v>560</v>
      </c>
      <c r="Q1072" s="116">
        <f>IF(P1072="G",M1072,IF(P1072="PT",0,ERR))</f>
        <v>0</v>
      </c>
      <c r="R1072" s="116">
        <f>IF(P1072="PT",M1072,IF(P1072="G",0,ERR))</f>
        <v>0</v>
      </c>
      <c r="S1072" s="240" t="s">
        <v>560</v>
      </c>
      <c r="T1072" s="116">
        <f>IF(S1072="G",N1072,IF(S1072="PT",0,ERR))</f>
        <v>0</v>
      </c>
      <c r="U1072" s="116">
        <f>IF(S1072="PT",N1072,IF(S1072="G",0,ERR))</f>
        <v>0</v>
      </c>
      <c r="V1072" s="273"/>
      <c r="W1072" s="116">
        <f>HLOOKUP($W$9,'ROR-Model'!$Q$10:$U$1263,Y1072)</f>
        <v>0</v>
      </c>
      <c r="X1072" s="118"/>
      <c r="Y1072" s="577">
        <f t="shared" si="57"/>
        <v>1063</v>
      </c>
      <c r="AA1072" s="116">
        <v>0</v>
      </c>
      <c r="AB1072" s="116">
        <f t="shared" si="58"/>
        <v>0</v>
      </c>
    </row>
    <row r="1073" spans="2:28">
      <c r="B1073" s="102"/>
      <c r="C1073" s="102"/>
      <c r="D1073" s="102" t="s">
        <v>14</v>
      </c>
      <c r="E1073" s="116">
        <f>+G1073-Adjustments!H1073</f>
        <v>0</v>
      </c>
      <c r="F1073" s="116">
        <f>'Rate Base'!$AE$122</f>
        <v>61117.83</v>
      </c>
      <c r="G1073" s="116">
        <f>+Adjustments!AW1057</f>
        <v>0</v>
      </c>
      <c r="H1073" s="116"/>
      <c r="I1073" s="116">
        <f t="shared" si="59"/>
        <v>61117.83</v>
      </c>
      <c r="J1073" s="116"/>
      <c r="K1073" s="116"/>
      <c r="L1073" s="116" t="s">
        <v>14</v>
      </c>
      <c r="M1073" s="116">
        <f>VLOOKUP($L1073,$L$2:$N$7,2,FALSE)*I1073</f>
        <v>61117.83</v>
      </c>
      <c r="N1073" s="116">
        <f>VLOOKUP($L1073,$L$2:$N$7,3,FALSE)*I1073</f>
        <v>0</v>
      </c>
      <c r="O1073" s="272"/>
      <c r="P1073" s="207" t="s">
        <v>560</v>
      </c>
      <c r="Q1073" s="116">
        <f>IF(P1073="G",M1073,IF(P1073="PT",0,ERR))</f>
        <v>61117.83</v>
      </c>
      <c r="R1073" s="116">
        <f>IF(P1073="PT",M1073,IF(P1073="G",0,ERR))</f>
        <v>0</v>
      </c>
      <c r="S1073" s="240" t="s">
        <v>560</v>
      </c>
      <c r="T1073" s="116">
        <f>IF(S1073="G",N1073,IF(S1073="PT",0,ERR))</f>
        <v>0</v>
      </c>
      <c r="U1073" s="116">
        <f>IF(S1073="PT",N1073,IF(S1073="G",0,ERR))</f>
        <v>0</v>
      </c>
      <c r="V1073" s="273"/>
      <c r="W1073" s="116">
        <f>HLOOKUP($W$9,'ROR-Model'!$Q$10:$U$1263,Y1073)</f>
        <v>61117.83</v>
      </c>
      <c r="X1073" s="118"/>
      <c r="Y1073" s="577">
        <f t="shared" si="57"/>
        <v>1064</v>
      </c>
      <c r="AA1073" s="116">
        <v>61117.83</v>
      </c>
      <c r="AB1073" s="116">
        <f t="shared" si="58"/>
        <v>0</v>
      </c>
    </row>
    <row r="1074" spans="2:28">
      <c r="B1074" s="102"/>
      <c r="C1074" s="102"/>
      <c r="D1074" s="102" t="s">
        <v>595</v>
      </c>
      <c r="E1074" s="116">
        <f>+G1074-Adjustments!H1074</f>
        <v>0</v>
      </c>
      <c r="F1074" s="116">
        <f>'Rate Base'!$AE$123</f>
        <v>0</v>
      </c>
      <c r="G1074" s="116">
        <f>+Adjustments!AW1058</f>
        <v>0</v>
      </c>
      <c r="H1074" s="116"/>
      <c r="I1074" s="116">
        <f t="shared" si="59"/>
        <v>0</v>
      </c>
      <c r="J1074" s="116"/>
      <c r="K1074" s="116"/>
      <c r="L1074" s="116" t="s">
        <v>473</v>
      </c>
      <c r="M1074" s="116">
        <f ca="1">VLOOKUP($L1074,$L$2:$N$7,2,FALSE)*I1074</f>
        <v>0</v>
      </c>
      <c r="N1074" s="116">
        <f ca="1">VLOOKUP($L1074,$L$2:$N$7,3,FALSE)*I1074</f>
        <v>0</v>
      </c>
      <c r="O1074" s="272"/>
      <c r="P1074" s="207" t="s">
        <v>560</v>
      </c>
      <c r="Q1074" s="116">
        <f ca="1">IF(P1074="G",M1074,IF(P1074="PT",0,ERR))</f>
        <v>0</v>
      </c>
      <c r="R1074" s="116">
        <f>IF(P1074="PT",M1074,IF(P1074="G",0,ERR))</f>
        <v>0</v>
      </c>
      <c r="S1074" s="240" t="s">
        <v>560</v>
      </c>
      <c r="T1074" s="116">
        <f ca="1">IF(S1074="G",N1074,IF(S1074="PT",0,ERR))</f>
        <v>0</v>
      </c>
      <c r="U1074" s="116">
        <f>IF(S1074="PT",N1074,IF(S1074="G",0,ERR))</f>
        <v>0</v>
      </c>
      <c r="V1074" s="273"/>
      <c r="W1074" s="116">
        <f ca="1">HLOOKUP($W$9,'ROR-Model'!$Q$10:$U$1263,Y1074)</f>
        <v>0</v>
      </c>
      <c r="X1074" s="118"/>
      <c r="Y1074" s="577">
        <f t="shared" si="57"/>
        <v>1065</v>
      </c>
      <c r="AA1074" s="116">
        <v>0</v>
      </c>
      <c r="AB1074" s="116">
        <f t="shared" ca="1" si="58"/>
        <v>0</v>
      </c>
    </row>
    <row r="1075" spans="2:28">
      <c r="B1075" s="102"/>
      <c r="C1075" s="102"/>
      <c r="D1075" s="102" t="s">
        <v>170</v>
      </c>
      <c r="E1075" s="116">
        <f>+G1075-Adjustments!H1075</f>
        <v>0</v>
      </c>
      <c r="F1075" s="620">
        <f>'Rate Base'!$AE$124</f>
        <v>61117.83</v>
      </c>
      <c r="G1075" s="620">
        <f>+Adjustments!AW1059</f>
        <v>0</v>
      </c>
      <c r="H1075" s="620"/>
      <c r="I1075" s="620">
        <f t="shared" si="59"/>
        <v>61117.83</v>
      </c>
      <c r="J1075" s="116"/>
      <c r="K1075" s="116"/>
      <c r="L1075" s="620" t="s">
        <v>170</v>
      </c>
      <c r="M1075" s="620">
        <f ca="1">SUM(M1072:M1074)</f>
        <v>61117.83</v>
      </c>
      <c r="N1075" s="620">
        <f ca="1">SUM(N1072:N1074)</f>
        <v>0</v>
      </c>
      <c r="O1075" s="272"/>
      <c r="P1075" s="1052" t="s">
        <v>560</v>
      </c>
      <c r="Q1075" s="620">
        <f ca="1">IF(P1075="G",M1075,IF(P1075="PT",0,ERR))</f>
        <v>61117.83</v>
      </c>
      <c r="R1075" s="620">
        <f>IF(P1075="PT",M1075,IF(P1075="G",0,ERR))</f>
        <v>0</v>
      </c>
      <c r="S1075" s="1053" t="s">
        <v>560</v>
      </c>
      <c r="T1075" s="620">
        <f ca="1">IF(S1075="G",N1075,IF(S1075="PT",0,ERR))</f>
        <v>0</v>
      </c>
      <c r="U1075" s="620">
        <f>IF(S1075="PT",N1075,IF(S1075="G",0,ERR))</f>
        <v>0</v>
      </c>
      <c r="V1075" s="273"/>
      <c r="W1075" s="620">
        <f ca="1">HLOOKUP($W$9,'ROR-Model'!$Q$10:$U$1263,Y1075)</f>
        <v>61117.83</v>
      </c>
      <c r="X1075" s="118"/>
      <c r="Y1075" s="577">
        <f t="shared" si="57"/>
        <v>1066</v>
      </c>
      <c r="AA1075" s="620">
        <v>61117.83</v>
      </c>
      <c r="AB1075" s="116">
        <f t="shared" ca="1" si="58"/>
        <v>0</v>
      </c>
    </row>
    <row r="1076" spans="2:28">
      <c r="B1076" s="102"/>
      <c r="C1076" s="102"/>
      <c r="D1076" s="102"/>
      <c r="E1076" s="116">
        <f>+G1076-Adjustments!H1076</f>
        <v>0</v>
      </c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272"/>
      <c r="P1076" s="207"/>
      <c r="Q1076" s="116"/>
      <c r="R1076" s="116"/>
      <c r="S1076" s="240"/>
      <c r="T1076" s="116"/>
      <c r="U1076" s="116"/>
      <c r="V1076" s="273"/>
      <c r="W1076" s="116"/>
      <c r="X1076" s="118"/>
      <c r="Y1076" s="577">
        <f t="shared" si="57"/>
        <v>1067</v>
      </c>
      <c r="AA1076" s="116"/>
      <c r="AB1076" s="116">
        <f t="shared" si="58"/>
        <v>0</v>
      </c>
    </row>
    <row r="1077" spans="2:28">
      <c r="B1077" s="102" t="s">
        <v>270</v>
      </c>
      <c r="C1077" s="102" t="s">
        <v>271</v>
      </c>
      <c r="D1077" s="102"/>
      <c r="E1077" s="116">
        <f>+G1077-Adjustments!H1077</f>
        <v>0</v>
      </c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272"/>
      <c r="P1077" s="207"/>
      <c r="Q1077" s="116"/>
      <c r="R1077" s="116"/>
      <c r="S1077" s="240"/>
      <c r="T1077" s="116"/>
      <c r="U1077" s="116"/>
      <c r="V1077" s="273"/>
      <c r="W1077" s="116"/>
      <c r="X1077" s="118"/>
      <c r="Y1077" s="577">
        <f t="shared" si="57"/>
        <v>1068</v>
      </c>
      <c r="AA1077" s="116"/>
      <c r="AB1077" s="116">
        <f t="shared" si="58"/>
        <v>0</v>
      </c>
    </row>
    <row r="1078" spans="2:28">
      <c r="B1078" s="102"/>
      <c r="C1078" s="102"/>
      <c r="D1078" s="102" t="s">
        <v>24</v>
      </c>
      <c r="E1078" s="116" t="e">
        <f>+G1078-Adjustments!#REF!</f>
        <v>#REF!</v>
      </c>
      <c r="F1078" s="116">
        <f>'Rate Base'!$AE$127</f>
        <v>1042453.89</v>
      </c>
      <c r="G1078" s="116">
        <f>+Adjustments!AW1062</f>
        <v>0</v>
      </c>
      <c r="H1078" s="116"/>
      <c r="I1078" s="116">
        <f t="shared" si="59"/>
        <v>1042453.89</v>
      </c>
      <c r="J1078" s="116"/>
      <c r="K1078" s="116"/>
      <c r="L1078" s="116" t="s">
        <v>24</v>
      </c>
      <c r="M1078" s="116">
        <f>VLOOKUP($L1078,$L$2:$N$7,2,FALSE)*I1078</f>
        <v>0</v>
      </c>
      <c r="N1078" s="116">
        <f>VLOOKUP($L1078,$L$2:$N$7,3,FALSE)*I1078</f>
        <v>1042453.89</v>
      </c>
      <c r="O1078" s="272"/>
      <c r="P1078" s="207" t="s">
        <v>560</v>
      </c>
      <c r="Q1078" s="116">
        <f>IF(P1078="G",M1078,IF(P1078="PT",0,ERR))</f>
        <v>0</v>
      </c>
      <c r="R1078" s="116">
        <f>IF(P1078="PT",M1078,IF(P1078="G",0,ERR))</f>
        <v>0</v>
      </c>
      <c r="S1078" s="240" t="s">
        <v>560</v>
      </c>
      <c r="T1078" s="116">
        <f>IF(S1078="G",N1078,IF(S1078="PT",0,ERR))</f>
        <v>1042453.89</v>
      </c>
      <c r="U1078" s="116">
        <f>IF(S1078="PT",N1078,IF(S1078="G",0,ERR))</f>
        <v>0</v>
      </c>
      <c r="V1078" s="273"/>
      <c r="W1078" s="116">
        <f>HLOOKUP($W$9,'ROR-Model'!$Q$10:$U$1263,Y1078)</f>
        <v>0</v>
      </c>
      <c r="X1078" s="118"/>
      <c r="Y1078" s="577">
        <f t="shared" si="57"/>
        <v>1069</v>
      </c>
      <c r="AA1078" s="116">
        <v>0</v>
      </c>
      <c r="AB1078" s="116">
        <f t="shared" si="58"/>
        <v>0</v>
      </c>
    </row>
    <row r="1079" spans="2:28">
      <c r="B1079" s="102"/>
      <c r="C1079" s="102"/>
      <c r="D1079" s="102" t="s">
        <v>14</v>
      </c>
      <c r="E1079" s="116" t="e">
        <f>+G1079-Adjustments!#REF!</f>
        <v>#REF!</v>
      </c>
      <c r="F1079" s="116">
        <f>'Rate Base'!$AE$128</f>
        <v>11060442.789999999</v>
      </c>
      <c r="G1079" s="116">
        <f>+Adjustments!AW1063</f>
        <v>0</v>
      </c>
      <c r="H1079" s="116"/>
      <c r="I1079" s="116">
        <f t="shared" si="59"/>
        <v>11060442.789999999</v>
      </c>
      <c r="J1079" s="116"/>
      <c r="K1079" s="116"/>
      <c r="L1079" s="116" t="s">
        <v>14</v>
      </c>
      <c r="M1079" s="116">
        <f>VLOOKUP($L1079,$L$2:$N$7,2,FALSE)*I1079</f>
        <v>11060442.789999999</v>
      </c>
      <c r="N1079" s="116">
        <f>VLOOKUP($L1079,$L$2:$N$7,3,FALSE)*I1079</f>
        <v>0</v>
      </c>
      <c r="O1079" s="272"/>
      <c r="P1079" s="207" t="s">
        <v>560</v>
      </c>
      <c r="Q1079" s="116">
        <f>IF(P1079="G",M1079,IF(P1079="PT",0,ERR))</f>
        <v>11060442.789999999</v>
      </c>
      <c r="R1079" s="116">
        <f>IF(P1079="PT",M1079,IF(P1079="G",0,ERR))</f>
        <v>0</v>
      </c>
      <c r="S1079" s="240" t="s">
        <v>560</v>
      </c>
      <c r="T1079" s="116">
        <f>IF(S1079="G",N1079,IF(S1079="PT",0,ERR))</f>
        <v>0</v>
      </c>
      <c r="U1079" s="116">
        <f>IF(S1079="PT",N1079,IF(S1079="G",0,ERR))</f>
        <v>0</v>
      </c>
      <c r="V1079" s="273"/>
      <c r="W1079" s="116">
        <f>HLOOKUP($W$9,'ROR-Model'!$Q$10:$U$1263,Y1079)</f>
        <v>11060442.789999999</v>
      </c>
      <c r="X1079" s="118"/>
      <c r="Y1079" s="577">
        <f t="shared" si="57"/>
        <v>1070</v>
      </c>
      <c r="AA1079" s="116">
        <v>11144360.78083333</v>
      </c>
      <c r="AB1079" s="116">
        <f t="shared" si="58"/>
        <v>-83917.990833330899</v>
      </c>
    </row>
    <row r="1080" spans="2:28">
      <c r="B1080" s="102"/>
      <c r="C1080" s="102"/>
      <c r="D1080" s="102" t="s">
        <v>595</v>
      </c>
      <c r="E1080" s="116" t="e">
        <f>+G1080-Adjustments!#REF!</f>
        <v>#REF!</v>
      </c>
      <c r="F1080" s="116">
        <f>'Rate Base'!$AE$129</f>
        <v>0</v>
      </c>
      <c r="G1080" s="116">
        <f>+Adjustments!AW1064</f>
        <v>0</v>
      </c>
      <c r="H1080" s="116"/>
      <c r="I1080" s="116">
        <f t="shared" si="59"/>
        <v>0</v>
      </c>
      <c r="J1080" s="116"/>
      <c r="K1080" s="116"/>
      <c r="L1080" s="116" t="s">
        <v>473</v>
      </c>
      <c r="M1080" s="116">
        <f ca="1">VLOOKUP($L1080,$L$2:$N$7,2,FALSE)*I1080</f>
        <v>0</v>
      </c>
      <c r="N1080" s="116">
        <f ca="1">VLOOKUP($L1080,$L$2:$N$7,3,FALSE)*I1080</f>
        <v>0</v>
      </c>
      <c r="O1080" s="272"/>
      <c r="P1080" s="207" t="s">
        <v>560</v>
      </c>
      <c r="Q1080" s="116">
        <f ca="1">IF(P1080="G",M1080,IF(P1080="PT",0,ERR))</f>
        <v>0</v>
      </c>
      <c r="R1080" s="116">
        <f>IF(P1080="PT",M1080,IF(P1080="G",0,ERR))</f>
        <v>0</v>
      </c>
      <c r="S1080" s="240" t="s">
        <v>560</v>
      </c>
      <c r="T1080" s="116">
        <f ca="1">IF(S1080="G",N1080,IF(S1080="PT",0,ERR))</f>
        <v>0</v>
      </c>
      <c r="U1080" s="116">
        <f>IF(S1080="PT",N1080,IF(S1080="G",0,ERR))</f>
        <v>0</v>
      </c>
      <c r="V1080" s="273"/>
      <c r="W1080" s="116">
        <f ca="1">HLOOKUP($W$9,'ROR-Model'!$Q$10:$U$1263,Y1080)</f>
        <v>0</v>
      </c>
      <c r="X1080" s="118"/>
      <c r="Y1080" s="577">
        <f t="shared" si="57"/>
        <v>1071</v>
      </c>
      <c r="AA1080" s="116">
        <v>0</v>
      </c>
      <c r="AB1080" s="116">
        <f t="shared" ca="1" si="58"/>
        <v>0</v>
      </c>
    </row>
    <row r="1081" spans="2:28">
      <c r="B1081" s="102"/>
      <c r="C1081" s="102"/>
      <c r="D1081" s="102" t="s">
        <v>170</v>
      </c>
      <c r="E1081" s="116" t="e">
        <f>+G1081-Adjustments!#REF!</f>
        <v>#REF!</v>
      </c>
      <c r="F1081" s="620">
        <f>'Rate Base'!$AE$130</f>
        <v>12102896.68</v>
      </c>
      <c r="G1081" s="620">
        <f>+Adjustments!AW1065</f>
        <v>0</v>
      </c>
      <c r="H1081" s="620"/>
      <c r="I1081" s="620">
        <f t="shared" si="59"/>
        <v>12102896.68</v>
      </c>
      <c r="J1081" s="116"/>
      <c r="K1081" s="116"/>
      <c r="L1081" s="620"/>
      <c r="M1081" s="620">
        <f ca="1">SUM(M1078:M1080)</f>
        <v>11060442.789999999</v>
      </c>
      <c r="N1081" s="620">
        <f ca="1">SUM(N1078:N1080)</f>
        <v>1042453.89</v>
      </c>
      <c r="O1081" s="272"/>
      <c r="P1081" s="1052" t="s">
        <v>560</v>
      </c>
      <c r="Q1081" s="620">
        <f ca="1">IF(P1081="G",M1081,IF(P1081="PT",0,ERR))</f>
        <v>11060442.789999999</v>
      </c>
      <c r="R1081" s="620">
        <f>IF(P1081="PT",M1081,IF(P1081="G",0,ERR))</f>
        <v>0</v>
      </c>
      <c r="S1081" s="1053" t="s">
        <v>560</v>
      </c>
      <c r="T1081" s="620">
        <f ca="1">IF(S1081="G",N1081,IF(S1081="PT",0,ERR))</f>
        <v>1042453.89</v>
      </c>
      <c r="U1081" s="620">
        <f>IF(S1081="PT",N1081,IF(S1081="G",0,ERR))</f>
        <v>0</v>
      </c>
      <c r="V1081" s="273"/>
      <c r="W1081" s="620">
        <f ca="1">HLOOKUP($W$9,'ROR-Model'!$Q$10:$U$1263,Y1081)</f>
        <v>11060442.789999999</v>
      </c>
      <c r="X1081" s="118"/>
      <c r="Y1081" s="577">
        <f t="shared" si="57"/>
        <v>1072</v>
      </c>
      <c r="AA1081" s="620">
        <v>11144360.78083333</v>
      </c>
      <c r="AB1081" s="116">
        <f t="shared" ca="1" si="58"/>
        <v>-83917.990833330899</v>
      </c>
    </row>
    <row r="1082" spans="2:28">
      <c r="B1082" s="102"/>
      <c r="C1082" s="102"/>
      <c r="D1082" s="102"/>
      <c r="E1082" s="116" t="e">
        <f>+G1082-Adjustments!#REF!</f>
        <v>#REF!</v>
      </c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272"/>
      <c r="P1082" s="207"/>
      <c r="Q1082" s="116"/>
      <c r="R1082" s="116"/>
      <c r="S1082" s="240"/>
      <c r="T1082" s="116"/>
      <c r="U1082" s="116"/>
      <c r="V1082" s="273"/>
      <c r="W1082" s="116"/>
      <c r="X1082" s="118"/>
      <c r="Y1082" s="577">
        <f t="shared" si="57"/>
        <v>1073</v>
      </c>
      <c r="AA1082" s="116"/>
      <c r="AB1082" s="116">
        <f t="shared" si="58"/>
        <v>0</v>
      </c>
    </row>
    <row r="1083" spans="2:28">
      <c r="B1083" s="102" t="s">
        <v>272</v>
      </c>
      <c r="C1083" s="102" t="s">
        <v>273</v>
      </c>
      <c r="D1083" s="102"/>
      <c r="E1083" s="116">
        <f>+G1083-Adjustments!H1078</f>
        <v>0</v>
      </c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272"/>
      <c r="P1083" s="207"/>
      <c r="Q1083" s="116"/>
      <c r="R1083" s="116"/>
      <c r="S1083" s="240"/>
      <c r="T1083" s="116"/>
      <c r="U1083" s="116"/>
      <c r="V1083" s="273"/>
      <c r="W1083" s="116"/>
      <c r="X1083" s="118"/>
      <c r="Y1083" s="577">
        <f t="shared" si="57"/>
        <v>1074</v>
      </c>
      <c r="AA1083" s="116"/>
      <c r="AB1083" s="116">
        <f t="shared" si="58"/>
        <v>0</v>
      </c>
    </row>
    <row r="1084" spans="2:28">
      <c r="B1084" s="102"/>
      <c r="C1084" s="102"/>
      <c r="D1084" s="102" t="s">
        <v>24</v>
      </c>
      <c r="E1084" s="116">
        <f ca="1">+G1084-Adjustments!H1079</f>
        <v>77173.175178299847</v>
      </c>
      <c r="F1084" s="116">
        <f>'Rate Base'!$AE$133</f>
        <v>100471.2800000003</v>
      </c>
      <c r="G1084" s="116">
        <f ca="1">+Adjustments!AW1068</f>
        <v>77173.175178299847</v>
      </c>
      <c r="H1084" s="116"/>
      <c r="I1084" s="116">
        <f t="shared" ca="1" si="59"/>
        <v>177644.45517830015</v>
      </c>
      <c r="J1084" s="116"/>
      <c r="K1084" s="116"/>
      <c r="L1084" s="116" t="s">
        <v>24</v>
      </c>
      <c r="M1084" s="116">
        <f ca="1">VLOOKUP($L1084,$L$2:$N$7,2,FALSE)*I1084</f>
        <v>0</v>
      </c>
      <c r="N1084" s="116">
        <f ca="1">VLOOKUP($L1084,$L$2:$N$7,3,FALSE)*I1084</f>
        <v>177644.45517830015</v>
      </c>
      <c r="O1084" s="272"/>
      <c r="P1084" s="207" t="s">
        <v>560</v>
      </c>
      <c r="Q1084" s="116">
        <f ca="1">IF(P1084="G",M1084,IF(P1084="PT",0,ERR))</f>
        <v>0</v>
      </c>
      <c r="R1084" s="116">
        <f>IF(P1084="PT",M1084,IF(P1084="G",0,ERR))</f>
        <v>0</v>
      </c>
      <c r="S1084" s="240" t="s">
        <v>560</v>
      </c>
      <c r="T1084" s="116">
        <f ca="1">IF(S1084="G",N1084,IF(S1084="PT",0,ERR))</f>
        <v>177644.45517830015</v>
      </c>
      <c r="U1084" s="116">
        <f>IF(S1084="PT",N1084,IF(S1084="G",0,ERR))</f>
        <v>0</v>
      </c>
      <c r="V1084" s="273"/>
      <c r="W1084" s="116">
        <f ca="1">HLOOKUP($W$9,'ROR-Model'!$Q$10:$U$1263,Y1084)</f>
        <v>0</v>
      </c>
      <c r="X1084" s="118"/>
      <c r="Y1084" s="577">
        <f t="shared" si="57"/>
        <v>1075</v>
      </c>
      <c r="AA1084" s="116">
        <v>0</v>
      </c>
      <c r="AB1084" s="116">
        <f t="shared" ca="1" si="58"/>
        <v>0</v>
      </c>
    </row>
    <row r="1085" spans="2:28">
      <c r="B1085" s="102"/>
      <c r="C1085" s="102"/>
      <c r="D1085" s="102" t="s">
        <v>14</v>
      </c>
      <c r="E1085" s="116">
        <f ca="1">+G1085-Adjustments!H1080</f>
        <v>11635933.754591599</v>
      </c>
      <c r="F1085" s="116">
        <f>'Rate Base'!$AE$134</f>
        <v>15148750.27</v>
      </c>
      <c r="G1085" s="116">
        <f ca="1">+Adjustments!AW1069</f>
        <v>11635933.754591599</v>
      </c>
      <c r="H1085" s="116"/>
      <c r="I1085" s="116">
        <f t="shared" ca="1" si="59"/>
        <v>26784684.024591599</v>
      </c>
      <c r="J1085" s="116"/>
      <c r="K1085" s="116"/>
      <c r="L1085" s="116" t="s">
        <v>14</v>
      </c>
      <c r="M1085" s="116">
        <f ca="1">VLOOKUP($L1085,$L$2:$N$7,2,FALSE)*I1085</f>
        <v>26784684.024591599</v>
      </c>
      <c r="N1085" s="116">
        <f ca="1">VLOOKUP($L1085,$L$2:$N$7,3,FALSE)*I1085</f>
        <v>0</v>
      </c>
      <c r="O1085" s="272"/>
      <c r="P1085" s="207" t="s">
        <v>560</v>
      </c>
      <c r="Q1085" s="116">
        <f ca="1">IF(P1085="G",M1085,IF(P1085="PT",0,ERR))</f>
        <v>26784684.024591599</v>
      </c>
      <c r="R1085" s="116">
        <f>IF(P1085="PT",M1085,IF(P1085="G",0,ERR))</f>
        <v>0</v>
      </c>
      <c r="S1085" s="240" t="s">
        <v>560</v>
      </c>
      <c r="T1085" s="116">
        <f ca="1">IF(S1085="G",N1085,IF(S1085="PT",0,ERR))</f>
        <v>0</v>
      </c>
      <c r="U1085" s="116">
        <f>IF(S1085="PT",N1085,IF(S1085="G",0,ERR))</f>
        <v>0</v>
      </c>
      <c r="V1085" s="273"/>
      <c r="W1085" s="116">
        <f ca="1">HLOOKUP($W$9,'ROR-Model'!$Q$10:$U$1263,Y1085)</f>
        <v>26784684.024591599</v>
      </c>
      <c r="X1085" s="118"/>
      <c r="Y1085" s="577">
        <f t="shared" si="57"/>
        <v>1076</v>
      </c>
      <c r="AA1085" s="116">
        <v>15108375.695416667</v>
      </c>
      <c r="AB1085" s="116">
        <f t="shared" ca="1" si="58"/>
        <v>11676308.329174932</v>
      </c>
    </row>
    <row r="1086" spans="2:28">
      <c r="B1086" s="102"/>
      <c r="C1086" s="102"/>
      <c r="D1086" s="102" t="s">
        <v>170</v>
      </c>
      <c r="E1086" s="116">
        <f ca="1">+G1086-Adjustments!H1081</f>
        <v>11713106.9297699</v>
      </c>
      <c r="F1086" s="620">
        <f>'Rate Base'!$AE$135</f>
        <v>15249221.550000001</v>
      </c>
      <c r="G1086" s="620">
        <f ca="1">+Adjustments!AW1070</f>
        <v>11713106.9297699</v>
      </c>
      <c r="H1086" s="620"/>
      <c r="I1086" s="620">
        <f t="shared" ca="1" si="59"/>
        <v>26962328.4797699</v>
      </c>
      <c r="J1086" s="116"/>
      <c r="K1086" s="116"/>
      <c r="L1086" s="620" t="s">
        <v>170</v>
      </c>
      <c r="M1086" s="620">
        <f ca="1">SUM(M1084:M1085)</f>
        <v>26784684.024591599</v>
      </c>
      <c r="N1086" s="620">
        <f ca="1">SUM(N1084:N1085)</f>
        <v>177644.45517830015</v>
      </c>
      <c r="O1086" s="272"/>
      <c r="P1086" s="1052" t="s">
        <v>560</v>
      </c>
      <c r="Q1086" s="620">
        <f ca="1">IF(P1086="G",M1086,IF(P1086="PT",0,ERR))</f>
        <v>26784684.024591599</v>
      </c>
      <c r="R1086" s="620">
        <f>IF(P1086="PT",M1086,IF(P1086="G",0,ERR))</f>
        <v>0</v>
      </c>
      <c r="S1086" s="1053" t="s">
        <v>560</v>
      </c>
      <c r="T1086" s="620">
        <f ca="1">IF(S1086="G",N1086,IF(S1086="PT",0,ERR))</f>
        <v>177644.45517830015</v>
      </c>
      <c r="U1086" s="620">
        <f>IF(S1086="PT",N1086,IF(S1086="G",0,ERR))</f>
        <v>0</v>
      </c>
      <c r="V1086" s="273"/>
      <c r="W1086" s="620">
        <f ca="1">HLOOKUP($W$9,'ROR-Model'!$Q$10:$U$1263,Y1086)</f>
        <v>26784684.024591599</v>
      </c>
      <c r="X1086" s="118"/>
      <c r="Y1086" s="577">
        <f t="shared" si="57"/>
        <v>1077</v>
      </c>
      <c r="AA1086" s="620">
        <v>15108375.695416667</v>
      </c>
      <c r="AB1086" s="116">
        <f t="shared" ca="1" si="58"/>
        <v>11676308.329174932</v>
      </c>
    </row>
    <row r="1087" spans="2:28">
      <c r="B1087" s="102"/>
      <c r="C1087" s="102"/>
      <c r="D1087" s="102"/>
      <c r="E1087" s="116">
        <f>+G1087-Adjustments!H1082</f>
        <v>0</v>
      </c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272"/>
      <c r="P1087" s="207"/>
      <c r="Q1087" s="116"/>
      <c r="R1087" s="116"/>
      <c r="S1087" s="240"/>
      <c r="T1087" s="116"/>
      <c r="U1087" s="116"/>
      <c r="V1087" s="273"/>
      <c r="W1087" s="116"/>
      <c r="X1087" s="118"/>
      <c r="Y1087" s="577">
        <f t="shared" si="57"/>
        <v>1078</v>
      </c>
      <c r="AA1087" s="116"/>
      <c r="AB1087" s="116">
        <f t="shared" si="58"/>
        <v>0</v>
      </c>
    </row>
    <row r="1088" spans="2:28">
      <c r="B1088" s="102" t="s">
        <v>274</v>
      </c>
      <c r="C1088" s="102" t="s">
        <v>275</v>
      </c>
      <c r="D1088" s="102"/>
      <c r="E1088" s="116">
        <f>+G1088-Adjustments!H1083</f>
        <v>0</v>
      </c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272"/>
      <c r="P1088" s="207"/>
      <c r="Q1088" s="116"/>
      <c r="R1088" s="116"/>
      <c r="S1088" s="240"/>
      <c r="T1088" s="116"/>
      <c r="U1088" s="116"/>
      <c r="V1088" s="273"/>
      <c r="W1088" s="116"/>
      <c r="X1088" s="118"/>
      <c r="Y1088" s="577">
        <f t="shared" si="57"/>
        <v>1079</v>
      </c>
      <c r="AA1088" s="116"/>
      <c r="AB1088" s="116">
        <f t="shared" si="58"/>
        <v>0</v>
      </c>
    </row>
    <row r="1089" spans="1:28">
      <c r="B1089" s="102"/>
      <c r="C1089" s="102"/>
      <c r="D1089" s="102" t="s">
        <v>24</v>
      </c>
      <c r="E1089" s="116">
        <f>+G1089-Adjustments!H1084</f>
        <v>-67.953872148960272</v>
      </c>
      <c r="F1089" s="116">
        <f>'Rate Base'!$AE$138</f>
        <v>3863.92</v>
      </c>
      <c r="G1089" s="116">
        <f>+Adjustments!AW1073</f>
        <v>-67.953872148960272</v>
      </c>
      <c r="H1089" s="116"/>
      <c r="I1089" s="116">
        <f t="shared" si="59"/>
        <v>3795.9661278510398</v>
      </c>
      <c r="J1089" s="116"/>
      <c r="K1089" s="116"/>
      <c r="L1089" s="116" t="s">
        <v>24</v>
      </c>
      <c r="M1089" s="116">
        <f>VLOOKUP($L1089,$L$2:$N$7,2,FALSE)*I1089</f>
        <v>0</v>
      </c>
      <c r="N1089" s="116">
        <f>VLOOKUP($L1089,$L$2:$N$7,3,FALSE)*I1089</f>
        <v>3795.9661278510398</v>
      </c>
      <c r="O1089" s="272"/>
      <c r="P1089" s="207" t="s">
        <v>560</v>
      </c>
      <c r="Q1089" s="116">
        <f>IF(P1089="G",M1089,IF(P1089="PT",0,ERR))</f>
        <v>0</v>
      </c>
      <c r="R1089" s="116">
        <f>IF(P1089="PT",M1089,IF(P1089="G",0,ERR))</f>
        <v>0</v>
      </c>
      <c r="S1089" s="240" t="s">
        <v>560</v>
      </c>
      <c r="T1089" s="116">
        <f>IF(S1089="G",N1089,IF(S1089="PT",0,ERR))</f>
        <v>3795.9661278510398</v>
      </c>
      <c r="U1089" s="116">
        <f>IF(S1089="PT",N1089,IF(S1089="G",0,ERR))</f>
        <v>0</v>
      </c>
      <c r="V1089" s="273"/>
      <c r="W1089" s="116">
        <f>HLOOKUP($W$9,'ROR-Model'!$Q$10:$U$1263,Y1089)</f>
        <v>0</v>
      </c>
      <c r="X1089" s="118"/>
      <c r="Y1089" s="577">
        <f t="shared" si="57"/>
        <v>1080</v>
      </c>
      <c r="AA1089" s="116">
        <v>0</v>
      </c>
      <c r="AB1089" s="116">
        <f t="shared" si="58"/>
        <v>0</v>
      </c>
    </row>
    <row r="1090" spans="1:28">
      <c r="B1090" s="102"/>
      <c r="C1090" s="102"/>
      <c r="D1090" s="102" t="s">
        <v>14</v>
      </c>
      <c r="E1090" s="116">
        <f>+G1090-Adjustments!H1085</f>
        <v>-5671.4608901219908</v>
      </c>
      <c r="F1090" s="116">
        <f>'Rate Base'!$AE$139</f>
        <v>322484.51</v>
      </c>
      <c r="G1090" s="116">
        <f>+Adjustments!AW1074</f>
        <v>-5671.4608901219908</v>
      </c>
      <c r="H1090" s="116"/>
      <c r="I1090" s="116">
        <f t="shared" si="59"/>
        <v>316813.04910987802</v>
      </c>
      <c r="J1090" s="116"/>
      <c r="K1090" s="116"/>
      <c r="L1090" s="116" t="s">
        <v>14</v>
      </c>
      <c r="M1090" s="116">
        <f>VLOOKUP($L1090,$L$2:$N$7,2,FALSE)*I1090</f>
        <v>316813.04910987802</v>
      </c>
      <c r="N1090" s="116">
        <f>VLOOKUP($L1090,$L$2:$N$7,3,FALSE)*I1090</f>
        <v>0</v>
      </c>
      <c r="O1090" s="272"/>
      <c r="P1090" s="207" t="s">
        <v>560</v>
      </c>
      <c r="Q1090" s="116">
        <f>IF(P1090="G",M1090,IF(P1090="PT",0,ERR))</f>
        <v>316813.04910987802</v>
      </c>
      <c r="R1090" s="116">
        <f>IF(P1090="PT",M1090,IF(P1090="G",0,ERR))</f>
        <v>0</v>
      </c>
      <c r="S1090" s="240" t="s">
        <v>560</v>
      </c>
      <c r="T1090" s="116">
        <f>IF(S1090="G",N1090,IF(S1090="PT",0,ERR))</f>
        <v>0</v>
      </c>
      <c r="U1090" s="116">
        <f>IF(S1090="PT",N1090,IF(S1090="G",0,ERR))</f>
        <v>0</v>
      </c>
      <c r="V1090" s="273"/>
      <c r="W1090" s="116">
        <f>HLOOKUP($W$9,'ROR-Model'!$Q$10:$U$1263,Y1090)</f>
        <v>316813.04910987802</v>
      </c>
      <c r="X1090" s="118"/>
      <c r="Y1090" s="577">
        <f t="shared" si="57"/>
        <v>1081</v>
      </c>
      <c r="AA1090" s="116">
        <v>325627.54958333331</v>
      </c>
      <c r="AB1090" s="116">
        <f t="shared" si="58"/>
        <v>-8814.5004734552931</v>
      </c>
    </row>
    <row r="1091" spans="1:28">
      <c r="B1091" s="102"/>
      <c r="C1091" s="102"/>
      <c r="D1091" s="102" t="s">
        <v>595</v>
      </c>
      <c r="E1091" s="116">
        <f>+G1091-Adjustments!H1086</f>
        <v>0</v>
      </c>
      <c r="F1091" s="116">
        <f>'Rate Base'!$AE$140</f>
        <v>0</v>
      </c>
      <c r="G1091" s="116">
        <f>+Adjustments!AW1075</f>
        <v>0</v>
      </c>
      <c r="H1091" s="116"/>
      <c r="I1091" s="116">
        <f t="shared" si="59"/>
        <v>0</v>
      </c>
      <c r="J1091" s="116"/>
      <c r="K1091" s="116"/>
      <c r="L1091" s="116" t="s">
        <v>473</v>
      </c>
      <c r="M1091" s="116">
        <f ca="1">VLOOKUP($L1091,$L$2:$N$7,2,FALSE)*I1091</f>
        <v>0</v>
      </c>
      <c r="N1091" s="116">
        <f ca="1">VLOOKUP($L1091,$L$2:$N$7,3,FALSE)*I1091</f>
        <v>0</v>
      </c>
      <c r="O1091" s="272"/>
      <c r="P1091" s="207" t="s">
        <v>560</v>
      </c>
      <c r="Q1091" s="116">
        <f ca="1">IF(P1091="G",M1091,IF(P1091="PT",0,ERR))</f>
        <v>0</v>
      </c>
      <c r="R1091" s="116">
        <f>IF(P1091="PT",M1091,IF(P1091="G",0,ERR))</f>
        <v>0</v>
      </c>
      <c r="S1091" s="240" t="s">
        <v>560</v>
      </c>
      <c r="T1091" s="116">
        <f ca="1">IF(S1091="G",N1091,IF(S1091="PT",0,ERR))</f>
        <v>0</v>
      </c>
      <c r="U1091" s="116">
        <f>IF(S1091="PT",N1091,IF(S1091="G",0,ERR))</f>
        <v>0</v>
      </c>
      <c r="V1091" s="273"/>
      <c r="W1091" s="116">
        <f ca="1">HLOOKUP($W$9,'ROR-Model'!$Q$10:$U$1263,Y1091)</f>
        <v>0</v>
      </c>
      <c r="X1091" s="118"/>
      <c r="Y1091" s="577">
        <f t="shared" si="57"/>
        <v>1082</v>
      </c>
      <c r="AA1091" s="116">
        <v>0</v>
      </c>
      <c r="AB1091" s="116">
        <f t="shared" ca="1" si="58"/>
        <v>0</v>
      </c>
    </row>
    <row r="1092" spans="1:28">
      <c r="B1092" s="102"/>
      <c r="C1092" s="102"/>
      <c r="D1092" s="102" t="s">
        <v>170</v>
      </c>
      <c r="E1092" s="116">
        <f>+G1092-Adjustments!H1087</f>
        <v>-5739.4147622709279</v>
      </c>
      <c r="F1092" s="620">
        <f>'Rate Base'!$AE$141</f>
        <v>326348.43</v>
      </c>
      <c r="G1092" s="620">
        <f>+Adjustments!AW1076</f>
        <v>-5739.4147622709279</v>
      </c>
      <c r="H1092" s="620"/>
      <c r="I1092" s="620">
        <f t="shared" si="59"/>
        <v>320609.01523772907</v>
      </c>
      <c r="J1092" s="116"/>
      <c r="K1092" s="116"/>
      <c r="L1092" s="620" t="s">
        <v>170</v>
      </c>
      <c r="M1092" s="620">
        <f ca="1">SUM(M1089:M1091)</f>
        <v>316813.04910987802</v>
      </c>
      <c r="N1092" s="620">
        <f ca="1">SUM(N1089:N1091)</f>
        <v>3795.9661278510398</v>
      </c>
      <c r="O1092" s="272"/>
      <c r="P1092" s="1052" t="s">
        <v>560</v>
      </c>
      <c r="Q1092" s="620">
        <f ca="1">IF(P1092="G",M1092,IF(P1092="PT",0,ERR))</f>
        <v>316813.04910987802</v>
      </c>
      <c r="R1092" s="620">
        <f>IF(P1092="PT",M1092,IF(P1092="G",0,ERR))</f>
        <v>0</v>
      </c>
      <c r="S1092" s="1053" t="s">
        <v>560</v>
      </c>
      <c r="T1092" s="620">
        <f ca="1">IF(S1092="G",N1092,IF(S1092="PT",0,ERR))</f>
        <v>3795.9661278510398</v>
      </c>
      <c r="U1092" s="620">
        <f>IF(S1092="PT",N1092,IF(S1092="G",0,ERR))</f>
        <v>0</v>
      </c>
      <c r="V1092" s="273"/>
      <c r="W1092" s="620">
        <f ca="1">HLOOKUP($W$9,'ROR-Model'!$Q$10:$U$1263,Y1092)</f>
        <v>316813.04910987802</v>
      </c>
      <c r="X1092" s="118"/>
      <c r="Y1092" s="577">
        <f t="shared" si="57"/>
        <v>1083</v>
      </c>
      <c r="AA1092" s="620">
        <v>325627.54958333331</v>
      </c>
      <c r="AB1092" s="116">
        <f t="shared" ca="1" si="58"/>
        <v>-8814.5004734552931</v>
      </c>
    </row>
    <row r="1093" spans="1:28">
      <c r="B1093" s="102"/>
      <c r="C1093" s="102"/>
      <c r="D1093" s="102"/>
      <c r="E1093" s="116">
        <f>+G1093-Adjustments!H1088</f>
        <v>0</v>
      </c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272"/>
      <c r="P1093" s="207"/>
      <c r="Q1093" s="116"/>
      <c r="R1093" s="116"/>
      <c r="S1093" s="240"/>
      <c r="T1093" s="116"/>
      <c r="U1093" s="116"/>
      <c r="V1093" s="273"/>
      <c r="W1093" s="116"/>
      <c r="X1093" s="118"/>
      <c r="Y1093" s="577">
        <f t="shared" si="57"/>
        <v>1084</v>
      </c>
      <c r="AA1093" s="116"/>
      <c r="AB1093" s="116">
        <f t="shared" si="58"/>
        <v>0</v>
      </c>
    </row>
    <row r="1094" spans="1:28">
      <c r="A1094" s="102"/>
      <c r="B1094" s="102" t="s">
        <v>276</v>
      </c>
      <c r="C1094" s="102"/>
      <c r="E1094" s="116">
        <f ca="1">+G1094-Adjustments!H1095</f>
        <v>26209123.887204401</v>
      </c>
      <c r="F1094" s="116">
        <f>F1092+F1086+F1081+F1075+F1069+F1063+F1058+F1052+F1046+F1040</f>
        <v>265546026.53</v>
      </c>
      <c r="G1094" s="116">
        <f t="shared" ref="G1094:I1094" ca="1" si="60">G1092+G1086+G1081+G1075+G1069+G1063+G1058+G1052+G1046+G1040</f>
        <v>26209123.887204401</v>
      </c>
      <c r="H1094" s="116">
        <f t="shared" si="60"/>
        <v>0</v>
      </c>
      <c r="I1094" s="116">
        <f t="shared" ca="1" si="60"/>
        <v>291755150.41720438</v>
      </c>
      <c r="J1094" s="116"/>
      <c r="K1094" s="116"/>
      <c r="L1094" s="116"/>
      <c r="M1094" s="116">
        <f t="shared" ref="M1094:N1094" ca="1" si="61">M1092+M1086+M1081+M1075+M1069+M1063+M1058+M1052+M1046+M1040</f>
        <v>279516548.20113862</v>
      </c>
      <c r="N1094" s="116">
        <f t="shared" ca="1" si="61"/>
        <v>12238602.216065781</v>
      </c>
      <c r="O1094" s="272"/>
      <c r="P1094" s="240"/>
      <c r="Q1094" s="116">
        <f t="shared" ref="Q1094:U1094" ca="1" si="62">Q1092+Q1086+Q1081+Q1075+Q1069+Q1063+Q1058+Q1052+Q1046+Q1040</f>
        <v>279516548.20113862</v>
      </c>
      <c r="R1094" s="116">
        <f t="shared" si="62"/>
        <v>0</v>
      </c>
      <c r="S1094" s="240"/>
      <c r="T1094" s="116">
        <f t="shared" ca="1" si="62"/>
        <v>12238602.216065781</v>
      </c>
      <c r="U1094" s="116">
        <f t="shared" si="62"/>
        <v>0</v>
      </c>
      <c r="V1094" s="273"/>
      <c r="W1094" s="116">
        <f ca="1">W1092+W1086+W1081+W1075+W1069+W1063+W1058+W1052+W1046+W1040</f>
        <v>279516548.20113862</v>
      </c>
      <c r="X1094" s="118"/>
      <c r="Y1094" s="1311">
        <f t="shared" si="57"/>
        <v>1085</v>
      </c>
      <c r="AA1094" s="116">
        <v>256420583.76026756</v>
      </c>
      <c r="AB1094" s="116">
        <f t="shared" ca="1" si="58"/>
        <v>23095964.44087106</v>
      </c>
    </row>
    <row r="1095" spans="1:28" ht="13.5" thickBot="1">
      <c r="A1095" s="36"/>
      <c r="B1095" s="14"/>
      <c r="C1095" s="14"/>
      <c r="D1095" s="14"/>
      <c r="E1095" s="235">
        <f>+G1095-Adjustments!H1096</f>
        <v>0</v>
      </c>
      <c r="F1095" s="235"/>
      <c r="G1095" s="235"/>
      <c r="H1095" s="235"/>
      <c r="I1095" s="235"/>
      <c r="J1095" s="116"/>
      <c r="K1095" s="235"/>
      <c r="L1095" s="235"/>
      <c r="M1095" s="235"/>
      <c r="N1095" s="235"/>
      <c r="O1095" s="272"/>
      <c r="P1095" s="235"/>
      <c r="Q1095" s="235"/>
      <c r="R1095" s="235"/>
      <c r="S1095" s="613"/>
      <c r="T1095" s="235"/>
      <c r="U1095" s="235"/>
      <c r="V1095" s="273"/>
      <c r="W1095" s="235"/>
      <c r="X1095" s="118"/>
      <c r="Y1095" s="577">
        <f t="shared" ref="Y1095:Y1161" si="63">Y1094+1</f>
        <v>1086</v>
      </c>
      <c r="AA1095" s="235"/>
      <c r="AB1095" s="116">
        <f t="shared" si="58"/>
        <v>0</v>
      </c>
    </row>
    <row r="1096" spans="1:28" ht="13.5" thickTop="1">
      <c r="A1096" s="36"/>
      <c r="B1096" s="14"/>
      <c r="C1096" s="14"/>
      <c r="D1096" s="14"/>
      <c r="E1096" s="116">
        <f>+G1096-Adjustments!H1097</f>
        <v>0</v>
      </c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272"/>
      <c r="P1096" s="116"/>
      <c r="Q1096" s="116"/>
      <c r="R1096" s="116"/>
      <c r="S1096" s="240"/>
      <c r="T1096" s="116"/>
      <c r="U1096" s="116"/>
      <c r="V1096" s="273"/>
      <c r="W1096" s="116"/>
      <c r="X1096" s="118"/>
      <c r="Y1096" s="577">
        <f t="shared" si="63"/>
        <v>1087</v>
      </c>
      <c r="AA1096" s="116"/>
      <c r="AB1096" s="116">
        <f t="shared" si="58"/>
        <v>0</v>
      </c>
    </row>
    <row r="1097" spans="1:28">
      <c r="A1097" s="134" t="s">
        <v>204</v>
      </c>
      <c r="B1097" s="232" t="s">
        <v>660</v>
      </c>
      <c r="C1097" s="106"/>
      <c r="D1097" s="106"/>
      <c r="E1097" s="116">
        <f>+G1097-Adjustments!H1098</f>
        <v>0</v>
      </c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272"/>
      <c r="P1097" s="240"/>
      <c r="Q1097" s="116"/>
      <c r="R1097" s="116"/>
      <c r="S1097" s="240"/>
      <c r="T1097" s="116"/>
      <c r="U1097" s="116"/>
      <c r="V1097" s="273"/>
      <c r="W1097" s="116"/>
      <c r="X1097" s="118"/>
      <c r="Y1097" s="577">
        <f t="shared" si="63"/>
        <v>1088</v>
      </c>
      <c r="AA1097" s="116"/>
      <c r="AB1097" s="116">
        <f t="shared" si="58"/>
        <v>0</v>
      </c>
    </row>
    <row r="1098" spans="1:28">
      <c r="A1098" s="134"/>
      <c r="B1098" s="106"/>
      <c r="C1098" s="106" t="s">
        <v>443</v>
      </c>
      <c r="D1098" s="106"/>
      <c r="E1098" s="116">
        <f>+G1098-Adjustments!H1099</f>
        <v>-5037992.5680000009</v>
      </c>
      <c r="F1098" s="116">
        <f>F980</f>
        <v>79968136</v>
      </c>
      <c r="G1098" s="116">
        <f>G980</f>
        <v>-5037992.5680000009</v>
      </c>
      <c r="H1098" s="116">
        <f>H980</f>
        <v>0</v>
      </c>
      <c r="I1098" s="116">
        <f>I980</f>
        <v>74930143.431999996</v>
      </c>
      <c r="J1098" s="116"/>
      <c r="K1098" s="116"/>
      <c r="L1098" s="116" t="s">
        <v>693</v>
      </c>
      <c r="M1098" s="116">
        <f>M980</f>
        <v>72292570.682765931</v>
      </c>
      <c r="N1098" s="116">
        <f>N980</f>
        <v>2637572.7492340435</v>
      </c>
      <c r="O1098" s="272"/>
      <c r="P1098" s="207" t="s">
        <v>560</v>
      </c>
      <c r="Q1098" s="116">
        <f t="shared" ref="Q1098:R1098" si="64">Q980</f>
        <v>72292570.682765931</v>
      </c>
      <c r="R1098" s="116">
        <f t="shared" si="64"/>
        <v>0</v>
      </c>
      <c r="S1098" s="240" t="s">
        <v>559</v>
      </c>
      <c r="T1098" s="116">
        <f t="shared" ref="T1098:U1098" si="65">T980</f>
        <v>0</v>
      </c>
      <c r="U1098" s="116">
        <f t="shared" si="65"/>
        <v>2637572.7492340435</v>
      </c>
      <c r="V1098" s="273"/>
      <c r="W1098" s="116">
        <f>HLOOKUP($W$9,'ROR-Model'!$Q$10:$U$1263,Y1098)</f>
        <v>72292570.682765931</v>
      </c>
      <c r="X1098" s="118"/>
      <c r="Y1098" s="577">
        <f t="shared" si="63"/>
        <v>1089</v>
      </c>
      <c r="AA1098" s="116">
        <v>72292570.682765931</v>
      </c>
      <c r="AB1098" s="116">
        <f t="shared" si="58"/>
        <v>0</v>
      </c>
    </row>
    <row r="1099" spans="1:28">
      <c r="A1099" s="134"/>
      <c r="B1099" s="106"/>
      <c r="C1099" s="106" t="s">
        <v>592</v>
      </c>
      <c r="D1099" s="106"/>
      <c r="E1099" s="116">
        <f ca="1">+G1099-Adjustments!H1100</f>
        <v>8923278.1687404402</v>
      </c>
      <c r="F1099" s="116">
        <f>F1030+F1025+F1020+F1015+F1010+F1005+F997+F989+F984+F966</f>
        <v>82055245.603999987</v>
      </c>
      <c r="G1099" s="116">
        <f ca="1">G1030+G1025+G1020+G1015+G1010+G1005+G997+G989+G984+G966</f>
        <v>8923278.1687404402</v>
      </c>
      <c r="H1099" s="116">
        <f>H1030+H1025+H1020+H1015+H1010+H1005+H997+H989+H984+H966</f>
        <v>0</v>
      </c>
      <c r="I1099" s="116">
        <f ca="1">I1030+I1025+I1020+I1015+I1010+I1005+I997+I989+I984+I966</f>
        <v>90978523.772740439</v>
      </c>
      <c r="J1099" s="116"/>
      <c r="K1099" s="116"/>
      <c r="L1099" s="116" t="s">
        <v>24</v>
      </c>
      <c r="M1099" s="116">
        <f ca="1">M1030+M1025+M1020+M1015+M1010+M1005+M997+M989+M984+M966</f>
        <v>0</v>
      </c>
      <c r="N1099" s="116">
        <f ca="1">N1030+N1025+N1020+N1015+N1010+N1005+N997+N989+N984+N966</f>
        <v>90978523.772740439</v>
      </c>
      <c r="O1099" s="272"/>
      <c r="P1099" s="207" t="s">
        <v>560</v>
      </c>
      <c r="Q1099" s="116">
        <f t="shared" ref="Q1099:R1099" ca="1" si="66">Q1030+Q1025+Q1020+Q1015+Q1010+Q1005+Q997+Q989+Q984+Q966</f>
        <v>0</v>
      </c>
      <c r="R1099" s="116">
        <f t="shared" si="66"/>
        <v>0</v>
      </c>
      <c r="S1099" s="240" t="s">
        <v>560</v>
      </c>
      <c r="T1099" s="116">
        <f t="shared" ref="T1099:U1099" ca="1" si="67">T1030+T1025+T1020+T1015+T1010+T1005+T997+T989+T984+T966</f>
        <v>90978523.772740439</v>
      </c>
      <c r="U1099" s="116">
        <f t="shared" si="67"/>
        <v>0</v>
      </c>
      <c r="V1099" s="273"/>
      <c r="W1099" s="116">
        <f ca="1">HLOOKUP($W$9,'ROR-Model'!$Q$10:$U$1263,Y1099)</f>
        <v>0</v>
      </c>
      <c r="X1099" s="118"/>
      <c r="Y1099" s="577">
        <f t="shared" si="63"/>
        <v>1090</v>
      </c>
      <c r="AA1099" s="116">
        <v>0</v>
      </c>
      <c r="AB1099" s="116">
        <f t="shared" ca="1" si="58"/>
        <v>0</v>
      </c>
    </row>
    <row r="1100" spans="1:28">
      <c r="A1100" s="134"/>
      <c r="B1100" s="106"/>
      <c r="C1100" s="106" t="s">
        <v>593</v>
      </c>
      <c r="D1100" s="106"/>
      <c r="E1100" s="116">
        <f ca="1">+G1100-Adjustments!H1101</f>
        <v>267605660.86333176</v>
      </c>
      <c r="F1100" s="116">
        <f>+F1031+F1026+F1021+F1016+F1011+F1006+F1001+F990+F985+F967</f>
        <v>2447896239.6560001</v>
      </c>
      <c r="G1100" s="116">
        <f ca="1">+G1031+G1026+G1021+G1016+G1011+G1006+G1001+G990+G985+G967</f>
        <v>267605660.86333176</v>
      </c>
      <c r="H1100" s="116">
        <f>+H1031+H1026+H1021+H1016+H1011+H1006+H1001+H990+H985+H967</f>
        <v>0</v>
      </c>
      <c r="I1100" s="116">
        <f ca="1">+I1031+I1026+I1021+I1016+I1011+I1006+I1001+I990+I985+I967</f>
        <v>2715501900.5193319</v>
      </c>
      <c r="J1100" s="116"/>
      <c r="K1100" s="116"/>
      <c r="L1100" s="116" t="s">
        <v>14</v>
      </c>
      <c r="M1100" s="116">
        <f ca="1">+M1031+M1026+M1021+M1016+M1011+M1006+M1001+M990+M985+M967</f>
        <v>2715501900.5193319</v>
      </c>
      <c r="N1100" s="116">
        <f ca="1">+N1031+N1026+N1021+N1016+N1011+N1006+N1001+N990+N985+N967</f>
        <v>0</v>
      </c>
      <c r="O1100" s="272"/>
      <c r="P1100" s="207" t="s">
        <v>560</v>
      </c>
      <c r="Q1100" s="116">
        <f t="shared" ref="Q1100:R1100" ca="1" si="68">+Q1031+Q1026+Q1021+Q1016+Q1011+Q1006+Q1001+Q990+Q985+Q967</f>
        <v>2715501900.5193319</v>
      </c>
      <c r="R1100" s="116">
        <f t="shared" si="68"/>
        <v>0</v>
      </c>
      <c r="S1100" s="240" t="s">
        <v>560</v>
      </c>
      <c r="T1100" s="116">
        <f t="shared" ref="T1100:U1100" ca="1" si="69">+T1031+T1026+T1021+T1016+T1011+T1006+T1001+T990+T985+T967</f>
        <v>0</v>
      </c>
      <c r="U1100" s="116">
        <f t="shared" si="69"/>
        <v>0</v>
      </c>
      <c r="V1100" s="273"/>
      <c r="W1100" s="116">
        <f ca="1">HLOOKUP($W$9,'ROR-Model'!$Q$10:$U$1263,Y1100)</f>
        <v>2715501900.5193319</v>
      </c>
      <c r="X1100" s="118"/>
      <c r="Y1100" s="577">
        <f t="shared" si="63"/>
        <v>1091</v>
      </c>
      <c r="AA1100" s="116">
        <v>2356168952.5658336</v>
      </c>
      <c r="AB1100" s="116">
        <f t="shared" ca="1" si="58"/>
        <v>359332947.95349836</v>
      </c>
    </row>
    <row r="1101" spans="1:28">
      <c r="A1101" s="134"/>
      <c r="B1101" s="106"/>
      <c r="C1101" s="106" t="s">
        <v>595</v>
      </c>
      <c r="D1101" s="106"/>
      <c r="E1101" s="116">
        <f ca="1">+G1101-Adjustments!H1102</f>
        <v>26209123.887204401</v>
      </c>
      <c r="F1101" s="116">
        <f>F1094</f>
        <v>265546026.53</v>
      </c>
      <c r="G1101" s="116">
        <f ca="1">G1094</f>
        <v>26209123.887204401</v>
      </c>
      <c r="H1101" s="116">
        <f>H1094</f>
        <v>0</v>
      </c>
      <c r="I1101" s="116">
        <f ca="1">I1094</f>
        <v>291755150.41720438</v>
      </c>
      <c r="J1101" s="116"/>
      <c r="K1101" s="116"/>
      <c r="L1101" s="116" t="s">
        <v>473</v>
      </c>
      <c r="M1101" s="116">
        <f ca="1">M1094</f>
        <v>279516548.20113862</v>
      </c>
      <c r="N1101" s="116">
        <f ca="1">N1094</f>
        <v>12238602.216065781</v>
      </c>
      <c r="O1101" s="272"/>
      <c r="P1101" s="207" t="s">
        <v>560</v>
      </c>
      <c r="Q1101" s="116">
        <f t="shared" ref="Q1101:R1101" ca="1" si="70">Q1094</f>
        <v>279516548.20113862</v>
      </c>
      <c r="R1101" s="116">
        <f t="shared" si="70"/>
        <v>0</v>
      </c>
      <c r="S1101" s="240" t="s">
        <v>560</v>
      </c>
      <c r="T1101" s="116">
        <f t="shared" ref="T1101:U1101" ca="1" si="71">T1094</f>
        <v>12238602.216065781</v>
      </c>
      <c r="U1101" s="116">
        <f t="shared" si="71"/>
        <v>0</v>
      </c>
      <c r="V1101" s="273"/>
      <c r="W1101" s="116">
        <f ca="1">HLOOKUP($W$9,'ROR-Model'!$Q$10:$U$1263,Y1101)</f>
        <v>279516548.20113862</v>
      </c>
      <c r="X1101" s="118"/>
      <c r="Y1101" s="577">
        <f t="shared" si="63"/>
        <v>1092</v>
      </c>
      <c r="AA1101" s="116">
        <v>256420583.76026756</v>
      </c>
      <c r="AB1101" s="116">
        <f t="shared" ca="1" si="58"/>
        <v>23095964.44087106</v>
      </c>
    </row>
    <row r="1102" spans="1:28">
      <c r="A1102" s="134"/>
      <c r="B1102" s="106"/>
      <c r="C1102" s="106" t="s">
        <v>660</v>
      </c>
      <c r="D1102" s="106"/>
      <c r="E1102" s="131">
        <f ca="1">+G1102-Adjustments!H1103</f>
        <v>297700070.35127664</v>
      </c>
      <c r="F1102" s="131">
        <f>SUM(F1098:F1101)</f>
        <v>2875465647.7900004</v>
      </c>
      <c r="G1102" s="394">
        <f ca="1">SUM(G1098:G1101)</f>
        <v>297700070.35127664</v>
      </c>
      <c r="H1102" s="131">
        <f>SUM(H1098:H1101)</f>
        <v>0</v>
      </c>
      <c r="I1102" s="131">
        <f ca="1">SUM(I1098:I1101)</f>
        <v>3173165718.1412768</v>
      </c>
      <c r="J1102" s="116"/>
      <c r="K1102" s="116"/>
      <c r="L1102" s="131"/>
      <c r="M1102" s="131">
        <f ca="1">SUM(M1098:M1101)</f>
        <v>3067311019.4032364</v>
      </c>
      <c r="N1102" s="131">
        <f ca="1">SUM(N1098:N1101)</f>
        <v>105854698.73804027</v>
      </c>
      <c r="O1102" s="272"/>
      <c r="P1102" s="257"/>
      <c r="Q1102" s="131">
        <f t="shared" ref="Q1102:R1102" ca="1" si="72">SUM(Q1098:Q1101)</f>
        <v>3067311019.4032364</v>
      </c>
      <c r="R1102" s="131">
        <f t="shared" si="72"/>
        <v>0</v>
      </c>
      <c r="S1102" s="257"/>
      <c r="T1102" s="131">
        <f t="shared" ref="T1102:U1102" ca="1" si="73">SUM(T1098:T1101)</f>
        <v>103217125.98880622</v>
      </c>
      <c r="U1102" s="131">
        <f t="shared" si="73"/>
        <v>2637572.7492340435</v>
      </c>
      <c r="V1102" s="273"/>
      <c r="W1102" s="131">
        <f ca="1">HLOOKUP($W$9,'ROR-Model'!$Q$10:$U$1263,Y1102)</f>
        <v>3067311019.4032364</v>
      </c>
      <c r="X1102" s="118"/>
      <c r="Y1102" s="577">
        <f t="shared" si="63"/>
        <v>1093</v>
      </c>
      <c r="AA1102" s="131">
        <v>2684882107.0088673</v>
      </c>
      <c r="AB1102" s="116">
        <f t="shared" ca="1" si="58"/>
        <v>382428912.39436913</v>
      </c>
    </row>
    <row r="1103" spans="1:28">
      <c r="A1103" s="134"/>
      <c r="B1103" s="106"/>
      <c r="C1103" s="106"/>
      <c r="D1103" s="106"/>
      <c r="E1103" s="116">
        <f>+G1103-Adjustments!H1104</f>
        <v>0</v>
      </c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272"/>
      <c r="P1103" s="240"/>
      <c r="Q1103" s="116"/>
      <c r="R1103" s="116"/>
      <c r="S1103" s="240"/>
      <c r="T1103" s="116"/>
      <c r="U1103" s="116"/>
      <c r="V1103" s="273"/>
      <c r="W1103" s="116"/>
      <c r="X1103" s="118"/>
      <c r="Y1103" s="577">
        <f t="shared" si="63"/>
        <v>1094</v>
      </c>
      <c r="AA1103" s="116"/>
      <c r="AB1103" s="116">
        <f t="shared" si="58"/>
        <v>0</v>
      </c>
    </row>
    <row r="1104" spans="1:28">
      <c r="A1104" s="136">
        <v>105</v>
      </c>
      <c r="B1104" s="102" t="s">
        <v>299</v>
      </c>
      <c r="C1104" s="102"/>
      <c r="D1104" s="102"/>
      <c r="E1104" s="116">
        <f>+G1104-Adjustments!H1105</f>
        <v>0</v>
      </c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272"/>
      <c r="P1104" s="240"/>
      <c r="Q1104" s="116"/>
      <c r="R1104" s="116"/>
      <c r="S1104" s="240"/>
      <c r="T1104" s="116"/>
      <c r="U1104" s="116"/>
      <c r="V1104" s="273"/>
      <c r="W1104" s="116"/>
      <c r="X1104" s="118"/>
      <c r="Y1104" s="577">
        <f t="shared" si="63"/>
        <v>1095</v>
      </c>
      <c r="AA1104" s="116"/>
      <c r="AB1104" s="116">
        <f t="shared" si="58"/>
        <v>0</v>
      </c>
    </row>
    <row r="1105" spans="1:28">
      <c r="A1105" s="136"/>
      <c r="B1105" s="102"/>
      <c r="C1105" s="102" t="s">
        <v>593</v>
      </c>
      <c r="D1105" s="102"/>
      <c r="E1105" s="116">
        <f>+G1105-Adjustments!H1106</f>
        <v>0</v>
      </c>
      <c r="F1105" s="116">
        <f>+'Rate Base'!$AE$153</f>
        <v>5036.83</v>
      </c>
      <c r="G1105" s="116">
        <f>+Adjustments!AW1088</f>
        <v>0</v>
      </c>
      <c r="H1105" s="116"/>
      <c r="I1105" s="116">
        <f>SUM($F$1105:$H$1105)</f>
        <v>5036.83</v>
      </c>
      <c r="J1105" s="116"/>
      <c r="K1105" s="116"/>
      <c r="L1105" s="116" t="s">
        <v>14</v>
      </c>
      <c r="M1105" s="116">
        <f>VLOOKUP($L1105,$L$2:$N$7,2,FALSE)*I1105</f>
        <v>5036.83</v>
      </c>
      <c r="N1105" s="116">
        <f>VLOOKUP($L1105,$L$2:$N$7,3,FALSE)*I1105</f>
        <v>0</v>
      </c>
      <c r="O1105" s="272"/>
      <c r="P1105" s="207" t="s">
        <v>560</v>
      </c>
      <c r="Q1105" s="116">
        <f>IF(P1105="G",M1105,IF(P1105="PT",0,ERR))</f>
        <v>5036.83</v>
      </c>
      <c r="R1105" s="116">
        <f>IF(P1105="PT",M1105,IF(P1105="G",0,ERR))</f>
        <v>0</v>
      </c>
      <c r="S1105" s="240" t="s">
        <v>560</v>
      </c>
      <c r="T1105" s="116">
        <f>IF(S1105="G",N1105,IF(S1105="PT",0,ERR))</f>
        <v>0</v>
      </c>
      <c r="U1105" s="116">
        <f>IF(S1105="PT",N1105,IF(S1105="G",0,ERR))</f>
        <v>0</v>
      </c>
      <c r="V1105" s="273"/>
      <c r="W1105" s="116">
        <f>HLOOKUP($W$9,'ROR-Model'!$Q$10:$U$1263,Y1105)</f>
        <v>5036.83</v>
      </c>
      <c r="X1105" s="118"/>
      <c r="Y1105" s="577">
        <f t="shared" si="63"/>
        <v>1096</v>
      </c>
      <c r="AA1105" s="116">
        <v>5036.83</v>
      </c>
      <c r="AB1105" s="116">
        <f t="shared" ref="AB1105:AB1168" si="74">W1105-AA1105</f>
        <v>0</v>
      </c>
    </row>
    <row r="1106" spans="1:28">
      <c r="A1106" s="136"/>
      <c r="B1106" s="102"/>
      <c r="C1106" s="102" t="s">
        <v>170</v>
      </c>
      <c r="D1106" s="102"/>
      <c r="E1106" s="131">
        <f>+G1106-Adjustments!H1107</f>
        <v>0</v>
      </c>
      <c r="F1106" s="131">
        <f>SUM(F1105)</f>
        <v>5036.83</v>
      </c>
      <c r="G1106" s="131">
        <f>SUM(G1105)</f>
        <v>0</v>
      </c>
      <c r="H1106" s="131">
        <f>SUM(H1105)</f>
        <v>0</v>
      </c>
      <c r="I1106" s="131">
        <f>SUM(I1105)</f>
        <v>5036.83</v>
      </c>
      <c r="J1106" s="116"/>
      <c r="K1106" s="116"/>
      <c r="L1106" s="131"/>
      <c r="M1106" s="131">
        <f>SUM(M1105)</f>
        <v>5036.83</v>
      </c>
      <c r="N1106" s="131">
        <f>SUM(N1105)</f>
        <v>0</v>
      </c>
      <c r="O1106" s="272"/>
      <c r="P1106" s="257"/>
      <c r="Q1106" s="131">
        <f>SUM(Q1105)</f>
        <v>5036.83</v>
      </c>
      <c r="R1106" s="131">
        <f>SUM(R1105)</f>
        <v>0</v>
      </c>
      <c r="S1106" s="257"/>
      <c r="T1106" s="131">
        <f>SUM(T1105)</f>
        <v>0</v>
      </c>
      <c r="U1106" s="131">
        <f>SUM(U1105)</f>
        <v>0</v>
      </c>
      <c r="V1106" s="273"/>
      <c r="W1106" s="131">
        <f>HLOOKUP($W$9,'ROR-Model'!$Q$10:$U$1263,Y1106)</f>
        <v>5036.83</v>
      </c>
      <c r="X1106" s="118"/>
      <c r="Y1106" s="577">
        <f t="shared" si="63"/>
        <v>1097</v>
      </c>
      <c r="AA1106" s="131">
        <v>5036.83</v>
      </c>
      <c r="AB1106" s="116">
        <f t="shared" si="74"/>
        <v>0</v>
      </c>
    </row>
    <row r="1107" spans="1:28">
      <c r="A1107" s="136"/>
      <c r="B1107" s="102"/>
      <c r="C1107" s="102"/>
      <c r="D1107" s="102"/>
      <c r="E1107" s="116">
        <f>+G1107-Adjustments!H1108</f>
        <v>0</v>
      </c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272"/>
      <c r="P1107" s="240"/>
      <c r="Q1107" s="116"/>
      <c r="R1107" s="116"/>
      <c r="S1107" s="240"/>
      <c r="T1107" s="116"/>
      <c r="U1107" s="116"/>
      <c r="V1107" s="273"/>
      <c r="W1107" s="116"/>
      <c r="X1107" s="118"/>
      <c r="Y1107" s="577">
        <f t="shared" si="63"/>
        <v>1098</v>
      </c>
      <c r="AA1107" s="116"/>
      <c r="AB1107" s="116">
        <f t="shared" si="74"/>
        <v>0</v>
      </c>
    </row>
    <row r="1108" spans="1:28">
      <c r="A1108" s="136">
        <v>106</v>
      </c>
      <c r="B1108" s="102" t="s">
        <v>661</v>
      </c>
      <c r="C1108" s="102"/>
      <c r="D1108" s="102"/>
      <c r="E1108" s="116">
        <f>+G1108-Adjustments!H1109</f>
        <v>0</v>
      </c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272"/>
      <c r="P1108" s="240"/>
      <c r="Q1108" s="116"/>
      <c r="R1108" s="116"/>
      <c r="S1108" s="240"/>
      <c r="T1108" s="116"/>
      <c r="U1108" s="116"/>
      <c r="V1108" s="273"/>
      <c r="W1108" s="116"/>
      <c r="X1108" s="118"/>
      <c r="Y1108" s="577">
        <f t="shared" si="63"/>
        <v>1099</v>
      </c>
      <c r="AA1108" s="116"/>
      <c r="AB1108" s="116">
        <f t="shared" si="74"/>
        <v>0</v>
      </c>
    </row>
    <row r="1109" spans="1:28">
      <c r="A1109" s="136"/>
      <c r="B1109" s="102"/>
      <c r="C1109" s="102" t="s">
        <v>443</v>
      </c>
      <c r="D1109" s="102"/>
      <c r="E1109" s="116">
        <f>+G1109-Adjustments!H1110</f>
        <v>0</v>
      </c>
      <c r="F1109" s="116">
        <f>+'Rate Base'!$AE$157</f>
        <v>0</v>
      </c>
      <c r="G1109" s="116">
        <f>+Adjustments!AW1092</f>
        <v>0</v>
      </c>
      <c r="H1109" s="116"/>
      <c r="I1109" s="116">
        <f>SUM($F$1109:$H$1109)</f>
        <v>0</v>
      </c>
      <c r="J1109" s="116"/>
      <c r="K1109" s="116"/>
      <c r="L1109" s="116" t="s">
        <v>693</v>
      </c>
      <c r="M1109" s="116">
        <f>VLOOKUP($L1109,$L$2:$N$7,2,FALSE)*I1109</f>
        <v>0</v>
      </c>
      <c r="N1109" s="116">
        <f>VLOOKUP($L1109,$L$2:$N$7,3,FALSE)*I1109</f>
        <v>0</v>
      </c>
      <c r="O1109" s="272"/>
      <c r="P1109" s="207" t="s">
        <v>560</v>
      </c>
      <c r="Q1109" s="116">
        <f>IF(P1109="G",M1109,IF(P1109="PT",0,ERR))</f>
        <v>0</v>
      </c>
      <c r="R1109" s="116">
        <f>IF(P1109="PT",M1109,IF(P1109="G",0,ERR))</f>
        <v>0</v>
      </c>
      <c r="S1109" s="240" t="s">
        <v>560</v>
      </c>
      <c r="T1109" s="116">
        <f>IF(S1109="G",N1109,IF(S1109="PT",0,ERR))</f>
        <v>0</v>
      </c>
      <c r="U1109" s="116">
        <f>IF(S1109="PT",N1109,IF(S1109="G",0,ERR))</f>
        <v>0</v>
      </c>
      <c r="V1109" s="273"/>
      <c r="W1109" s="116">
        <f>HLOOKUP($W$9,'ROR-Model'!$Q$10:$U$1263,Y1109)</f>
        <v>0</v>
      </c>
      <c r="X1109" s="118"/>
      <c r="Y1109" s="577">
        <f t="shared" si="63"/>
        <v>1100</v>
      </c>
      <c r="AA1109" s="116">
        <v>0</v>
      </c>
      <c r="AB1109" s="116">
        <f t="shared" si="74"/>
        <v>0</v>
      </c>
    </row>
    <row r="1110" spans="1:28">
      <c r="A1110" s="136"/>
      <c r="B1110" s="102"/>
      <c r="C1110" s="102" t="s">
        <v>592</v>
      </c>
      <c r="D1110" s="102"/>
      <c r="E1110" s="116">
        <f>+G1110-Adjustments!H1117</f>
        <v>0</v>
      </c>
      <c r="F1110" s="116">
        <f>+'Rate Base'!$AE$158</f>
        <v>710920.69000000006</v>
      </c>
      <c r="G1110" s="116">
        <f>+Adjustments!AW1093</f>
        <v>0</v>
      </c>
      <c r="H1110" s="116"/>
      <c r="I1110" s="116">
        <f>SUM($F$1110:$H$1110)</f>
        <v>710920.69000000006</v>
      </c>
      <c r="J1110" s="116"/>
      <c r="K1110" s="116"/>
      <c r="L1110" s="116" t="s">
        <v>24</v>
      </c>
      <c r="M1110" s="116">
        <f>VLOOKUP($L1110,$L$2:$N$7,2,FALSE)*I1110</f>
        <v>0</v>
      </c>
      <c r="N1110" s="116">
        <f>VLOOKUP($L1110,$L$2:$N$7,3,FALSE)*I1110</f>
        <v>710920.69000000006</v>
      </c>
      <c r="O1110" s="272"/>
      <c r="P1110" s="207" t="s">
        <v>560</v>
      </c>
      <c r="Q1110" s="116">
        <f>IF(P1110="G",M1110,IF(P1110="PT",0,ERR))</f>
        <v>0</v>
      </c>
      <c r="R1110" s="116">
        <f>IF(P1110="PT",M1110,IF(P1110="G",0,ERR))</f>
        <v>0</v>
      </c>
      <c r="S1110" s="240" t="s">
        <v>560</v>
      </c>
      <c r="T1110" s="116">
        <f>IF(S1110="G",N1110,IF(S1110="PT",0,ERR))</f>
        <v>710920.69000000006</v>
      </c>
      <c r="U1110" s="116">
        <f>IF(S1110="PT",N1110,IF(S1110="G",0,ERR))</f>
        <v>0</v>
      </c>
      <c r="V1110" s="273"/>
      <c r="W1110" s="116">
        <f>HLOOKUP($W$9,'ROR-Model'!$Q$10:$U$1263,Y1110)</f>
        <v>0</v>
      </c>
      <c r="X1110" s="118"/>
      <c r="Y1110" s="577">
        <f t="shared" si="63"/>
        <v>1101</v>
      </c>
      <c r="AA1110" s="116">
        <v>0</v>
      </c>
      <c r="AB1110" s="116">
        <f t="shared" si="74"/>
        <v>0</v>
      </c>
    </row>
    <row r="1111" spans="1:28">
      <c r="A1111" s="136"/>
      <c r="B1111" s="102"/>
      <c r="C1111" s="102" t="s">
        <v>593</v>
      </c>
      <c r="D1111" s="102"/>
      <c r="E1111" s="116">
        <f>+G1111-Adjustments!H1118</f>
        <v>0</v>
      </c>
      <c r="F1111" s="116">
        <f>+'Rate Base'!$AE$159</f>
        <v>22418304.782000002</v>
      </c>
      <c r="G1111" s="116">
        <f>+Adjustments!AW1094</f>
        <v>0</v>
      </c>
      <c r="H1111" s="116"/>
      <c r="I1111" s="116">
        <f>SUM($F$1111:$H$1111)</f>
        <v>22418304.782000002</v>
      </c>
      <c r="J1111" s="116"/>
      <c r="K1111" s="116"/>
      <c r="L1111" s="116" t="s">
        <v>14</v>
      </c>
      <c r="M1111" s="116">
        <f>VLOOKUP($L1111,$L$2:$N$7,2,FALSE)*I1111</f>
        <v>22418304.782000002</v>
      </c>
      <c r="N1111" s="116">
        <f>VLOOKUP($L1111,$L$2:$N$7,3,FALSE)*I1111</f>
        <v>0</v>
      </c>
      <c r="O1111" s="272"/>
      <c r="P1111" s="207" t="s">
        <v>560</v>
      </c>
      <c r="Q1111" s="116">
        <f>IF(P1111="G",M1111,IF(P1111="PT",0,ERR))</f>
        <v>22418304.782000002</v>
      </c>
      <c r="R1111" s="116">
        <f>IF(P1111="PT",M1111,IF(P1111="G",0,ERR))</f>
        <v>0</v>
      </c>
      <c r="S1111" s="240" t="s">
        <v>560</v>
      </c>
      <c r="T1111" s="116">
        <f>IF(S1111="G",N1111,IF(S1111="PT",0,ERR))</f>
        <v>0</v>
      </c>
      <c r="U1111" s="116">
        <f>IF(S1111="PT",N1111,IF(S1111="G",0,ERR))</f>
        <v>0</v>
      </c>
      <c r="V1111" s="273"/>
      <c r="W1111" s="116">
        <f>HLOOKUP($W$9,'ROR-Model'!$Q$10:$U$1263,Y1111)</f>
        <v>22418304.782000002</v>
      </c>
      <c r="X1111" s="118"/>
      <c r="Y1111" s="577">
        <f t="shared" si="63"/>
        <v>1102</v>
      </c>
      <c r="AA1111" s="116">
        <v>13074567.023916664</v>
      </c>
      <c r="AB1111" s="116">
        <f t="shared" si="74"/>
        <v>9343737.7580833379</v>
      </c>
    </row>
    <row r="1112" spans="1:28">
      <c r="A1112" s="136"/>
      <c r="B1112" s="102"/>
      <c r="C1112" s="102" t="s">
        <v>595</v>
      </c>
      <c r="D1112" s="102"/>
      <c r="E1112" s="116">
        <f>+G1112-Adjustments!H1120</f>
        <v>0</v>
      </c>
      <c r="F1112" s="116">
        <f>+'Rate Base'!$AE$160</f>
        <v>3618205.25</v>
      </c>
      <c r="G1112" s="116">
        <f>+Adjustments!AW1095</f>
        <v>0</v>
      </c>
      <c r="H1112" s="116"/>
      <c r="I1112" s="116">
        <f>SUM($F$1112:$H$1112)</f>
        <v>3618205.25</v>
      </c>
      <c r="J1112" s="116"/>
      <c r="K1112" s="116"/>
      <c r="L1112" s="116" t="s">
        <v>473</v>
      </c>
      <c r="M1112" s="116">
        <f ca="1">VLOOKUP($L1112,$L$2:$N$7,2,FALSE)*I1112</f>
        <v>3500701.43418288</v>
      </c>
      <c r="N1112" s="116">
        <f ca="1">VLOOKUP($L1112,$L$2:$N$7,3,FALSE)*I1112</f>
        <v>117503.81581711976</v>
      </c>
      <c r="O1112" s="272"/>
      <c r="P1112" s="207" t="s">
        <v>560</v>
      </c>
      <c r="Q1112" s="116">
        <f ca="1">IF(P1112="G",M1112,IF(P1112="PT",0,ERR))</f>
        <v>3500701.43418288</v>
      </c>
      <c r="R1112" s="116">
        <f>IF(P1112="PT",M1112,IF(P1112="G",0,ERR))</f>
        <v>0</v>
      </c>
      <c r="S1112" s="240" t="s">
        <v>560</v>
      </c>
      <c r="T1112" s="116">
        <f ca="1">IF(S1112="G",N1112,IF(S1112="PT",0,ERR))</f>
        <v>117503.81581711976</v>
      </c>
      <c r="U1112" s="116">
        <f>IF(S1112="PT",N1112,IF(S1112="G",0,ERR))</f>
        <v>0</v>
      </c>
      <c r="V1112" s="273"/>
      <c r="W1112" s="116">
        <f ca="1">HLOOKUP($W$9,'ROR-Model'!$Q$10:$U$1263,Y1112)</f>
        <v>3500701.43418288</v>
      </c>
      <c r="X1112" s="118"/>
      <c r="Y1112" s="577">
        <f t="shared" si="63"/>
        <v>1103</v>
      </c>
      <c r="AA1112" s="116">
        <v>1309119.3151302456</v>
      </c>
      <c r="AB1112" s="116">
        <f t="shared" ca="1" si="74"/>
        <v>2191582.1190526346</v>
      </c>
    </row>
    <row r="1113" spans="1:28">
      <c r="A1113" s="136"/>
      <c r="B1113" s="102"/>
      <c r="C1113" s="102" t="s">
        <v>170</v>
      </c>
      <c r="D1113" s="102"/>
      <c r="E1113" s="131">
        <f>+G1113-Adjustments!H1121</f>
        <v>0</v>
      </c>
      <c r="F1113" s="131">
        <f>SUM(F1109:F1112)</f>
        <v>26747430.722000003</v>
      </c>
      <c r="G1113" s="131">
        <f>SUM(G1109:G1112)</f>
        <v>0</v>
      </c>
      <c r="H1113" s="131">
        <f>SUM(H1109:H1112)</f>
        <v>0</v>
      </c>
      <c r="I1113" s="131">
        <f>SUM(I1109:I1112)</f>
        <v>26747430.722000003</v>
      </c>
      <c r="J1113" s="116"/>
      <c r="K1113" s="116"/>
      <c r="L1113" s="131"/>
      <c r="M1113" s="131">
        <f ca="1">SUM(M1109:M1112)</f>
        <v>25919006.21618288</v>
      </c>
      <c r="N1113" s="131">
        <f ca="1">SUM(N1109:N1112)</f>
        <v>828424.50581711985</v>
      </c>
      <c r="O1113" s="272"/>
      <c r="P1113" s="257"/>
      <c r="Q1113" s="131">
        <f ca="1">SUM(Q1109:Q1112)</f>
        <v>25919006.21618288</v>
      </c>
      <c r="R1113" s="131">
        <f>SUM(R1109:R1112)</f>
        <v>0</v>
      </c>
      <c r="S1113" s="257"/>
      <c r="T1113" s="131">
        <f ca="1">SUM(T1109:T1112)</f>
        <v>828424.50581711985</v>
      </c>
      <c r="U1113" s="131">
        <f>SUM(U1109:U1112)</f>
        <v>0</v>
      </c>
      <c r="V1113" s="273"/>
      <c r="W1113" s="131">
        <f ca="1">HLOOKUP($W$9,'ROR-Model'!$Q$10:$U$1263,Y1113)</f>
        <v>25919006.21618288</v>
      </c>
      <c r="X1113" s="118"/>
      <c r="Y1113" s="577">
        <f t="shared" si="63"/>
        <v>1104</v>
      </c>
      <c r="AA1113" s="131">
        <v>14383686.339046909</v>
      </c>
      <c r="AB1113" s="116">
        <f t="shared" ca="1" si="74"/>
        <v>11535319.877135972</v>
      </c>
    </row>
    <row r="1114" spans="1:28">
      <c r="A1114" s="136"/>
      <c r="B1114" s="102"/>
      <c r="C1114" s="102"/>
      <c r="D1114" s="102"/>
      <c r="E1114" s="116">
        <f>+G1114-Adjustments!H1122</f>
        <v>0</v>
      </c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272"/>
      <c r="P1114" s="240"/>
      <c r="Q1114" s="116"/>
      <c r="R1114" s="116"/>
      <c r="S1114" s="240"/>
      <c r="T1114" s="116"/>
      <c r="U1114" s="116"/>
      <c r="V1114" s="273"/>
      <c r="W1114" s="116"/>
      <c r="X1114" s="118"/>
      <c r="Y1114" s="577">
        <f t="shared" si="63"/>
        <v>1105</v>
      </c>
      <c r="AA1114" s="116"/>
      <c r="AB1114" s="116">
        <f t="shared" si="74"/>
        <v>0</v>
      </c>
    </row>
    <row r="1115" spans="1:28">
      <c r="A1115" s="136">
        <v>108</v>
      </c>
      <c r="B1115" s="102" t="s">
        <v>662</v>
      </c>
      <c r="C1115" s="102"/>
      <c r="D1115" s="102"/>
      <c r="E1115" s="116">
        <f>+G1115-Adjustments!H1123</f>
        <v>0</v>
      </c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272"/>
      <c r="P1115" s="240"/>
      <c r="Q1115" s="116"/>
      <c r="R1115" s="116"/>
      <c r="S1115" s="240"/>
      <c r="T1115" s="116"/>
      <c r="U1115" s="116"/>
      <c r="V1115" s="273"/>
      <c r="W1115" s="116"/>
      <c r="X1115" s="118"/>
      <c r="Y1115" s="577">
        <f t="shared" si="63"/>
        <v>1106</v>
      </c>
      <c r="AA1115" s="116"/>
      <c r="AB1115" s="116">
        <f t="shared" si="74"/>
        <v>0</v>
      </c>
    </row>
    <row r="1116" spans="1:28">
      <c r="A1116" s="136"/>
      <c r="B1116" s="102"/>
      <c r="C1116" s="102" t="s">
        <v>443</v>
      </c>
      <c r="D1116" s="102"/>
      <c r="E1116" s="116">
        <f ca="1">+G1116-Adjustments!H1124</f>
        <v>3539467.0941326506</v>
      </c>
      <c r="F1116" s="116">
        <f>+'Rate Base'!$AE$164</f>
        <v>-69576718.010000005</v>
      </c>
      <c r="G1116" s="116">
        <f ca="1">+Adjustments!AW1099</f>
        <v>3539467.0941326506</v>
      </c>
      <c r="H1116" s="116"/>
      <c r="I1116" s="116">
        <f ca="1">SUM($F$1116:$H$1116)</f>
        <v>-66037250.915867358</v>
      </c>
      <c r="J1116" s="116"/>
      <c r="K1116" s="116"/>
      <c r="L1116" s="116" t="s">
        <v>693</v>
      </c>
      <c r="M1116" s="116">
        <f ca="1">VLOOKUP($L1116,$L$2:$N$7,2,FALSE)*I1116</f>
        <v>-63712711.745485395</v>
      </c>
      <c r="N1116" s="116">
        <f ca="1">VLOOKUP($L1116,$L$2:$N$7,3,FALSE)*I1116</f>
        <v>-2324539.1703819605</v>
      </c>
      <c r="O1116" s="272"/>
      <c r="P1116" s="207" t="s">
        <v>560</v>
      </c>
      <c r="Q1116" s="116">
        <f ca="1">IF(P1116="G",M1116,IF(P1116="PT",0,ERR))</f>
        <v>-63712711.745485395</v>
      </c>
      <c r="R1116" s="116">
        <f>IF(P1116="PT",M1116,IF(P1116="G",0,ERR))</f>
        <v>0</v>
      </c>
      <c r="S1116" s="240" t="s">
        <v>559</v>
      </c>
      <c r="T1116" s="116">
        <f>IF(S1116="G",N1116,IF(S1116="PT",0,ERR))</f>
        <v>0</v>
      </c>
      <c r="U1116" s="116">
        <f ca="1">IF(S1116="PT",N1116,IF(S1116="G",0,ERR))</f>
        <v>-2324539.1703819605</v>
      </c>
      <c r="V1116" s="273"/>
      <c r="W1116" s="116">
        <f ca="1">HLOOKUP($W$9,'ROR-Model'!$Q$10:$U$1263,Y1116)</f>
        <v>-63712711.745485395</v>
      </c>
      <c r="X1116" s="118"/>
      <c r="Y1116" s="577">
        <f t="shared" si="63"/>
        <v>1107</v>
      </c>
      <c r="AA1116" s="116">
        <v>-62610474.755841054</v>
      </c>
      <c r="AB1116" s="116">
        <f t="shared" ca="1" si="74"/>
        <v>-1102236.9896443412</v>
      </c>
    </row>
    <row r="1117" spans="1:28">
      <c r="A1117" s="136"/>
      <c r="B1117" s="102"/>
      <c r="C1117" s="102" t="s">
        <v>592</v>
      </c>
      <c r="D1117" s="102"/>
      <c r="E1117" s="116">
        <f ca="1">+G1117-Adjustments!H1125</f>
        <v>-353805.35916847363</v>
      </c>
      <c r="F1117" s="116">
        <f>+'Rate Base'!$AE$165</f>
        <v>-27333445.210000001</v>
      </c>
      <c r="G1117" s="116">
        <f ca="1">+Adjustments!AW1100</f>
        <v>-353805.35916847363</v>
      </c>
      <c r="H1117" s="116"/>
      <c r="I1117" s="116">
        <f ca="1">SUM($F$1117:$H$1117)</f>
        <v>-27687250.569168475</v>
      </c>
      <c r="J1117" s="116"/>
      <c r="K1117" s="116"/>
      <c r="L1117" s="116" t="s">
        <v>24</v>
      </c>
      <c r="M1117" s="116">
        <f ca="1">VLOOKUP($L1117,$L$2:$N$7,2,FALSE)*I1117</f>
        <v>0</v>
      </c>
      <c r="N1117" s="116">
        <f ca="1">VLOOKUP($L1117,$L$2:$N$7,3,FALSE)*I1117</f>
        <v>-27687250.569168475</v>
      </c>
      <c r="O1117" s="272"/>
      <c r="P1117" s="207" t="s">
        <v>560</v>
      </c>
      <c r="Q1117" s="116">
        <f ca="1">IF(P1117="G",M1117,IF(P1117="PT",0,ERR))</f>
        <v>0</v>
      </c>
      <c r="R1117" s="116">
        <f>IF(P1117="PT",M1117,IF(P1117="G",0,ERR))</f>
        <v>0</v>
      </c>
      <c r="S1117" s="240" t="s">
        <v>560</v>
      </c>
      <c r="T1117" s="116">
        <f ca="1">IF(S1117="G",N1117,IF(S1117="PT",0,ERR))</f>
        <v>-27687250.569168475</v>
      </c>
      <c r="U1117" s="116">
        <f>IF(S1117="PT",N1117,IF(S1117="G",0,ERR))</f>
        <v>0</v>
      </c>
      <c r="V1117" s="273"/>
      <c r="W1117" s="116">
        <f ca="1">HLOOKUP($W$9,'ROR-Model'!$Q$10:$U$1263,Y1117)</f>
        <v>0</v>
      </c>
      <c r="X1117" s="118"/>
      <c r="Y1117" s="577">
        <f t="shared" si="63"/>
        <v>1108</v>
      </c>
      <c r="AA1117" s="116">
        <v>0</v>
      </c>
      <c r="AB1117" s="116">
        <f t="shared" ca="1" si="74"/>
        <v>0</v>
      </c>
    </row>
    <row r="1118" spans="1:28">
      <c r="A1118" s="136"/>
      <c r="B1118" s="102"/>
      <c r="C1118" s="102" t="s">
        <v>593</v>
      </c>
      <c r="D1118" s="102"/>
      <c r="E1118" s="116">
        <f ca="1">+G1118-Adjustments!H1126</f>
        <v>-6639672.0206350088</v>
      </c>
      <c r="F1118" s="116">
        <f>+'Rate Base'!$AE$166</f>
        <v>-512951843.95999998</v>
      </c>
      <c r="G1118" s="116">
        <f ca="1">+Adjustments!AW1101</f>
        <v>-6639672.0206350088</v>
      </c>
      <c r="H1118" s="116"/>
      <c r="I1118" s="116">
        <f ca="1">SUM($F$1118:$H$1118)</f>
        <v>-519591515.98063499</v>
      </c>
      <c r="J1118" s="116"/>
      <c r="K1118" s="116"/>
      <c r="L1118" s="116" t="s">
        <v>14</v>
      </c>
      <c r="M1118" s="116">
        <f ca="1">VLOOKUP($L1118,$L$2:$N$7,2,FALSE)*I1118</f>
        <v>-519591515.98063499</v>
      </c>
      <c r="N1118" s="116">
        <f ca="1">VLOOKUP($L1118,$L$2:$N$7,3,FALSE)*I1118</f>
        <v>0</v>
      </c>
      <c r="O1118" s="272"/>
      <c r="P1118" s="207" t="s">
        <v>560</v>
      </c>
      <c r="Q1118" s="116">
        <f ca="1">IF(P1118="G",M1118,IF(P1118="PT",0,ERR))</f>
        <v>-519591515.98063499</v>
      </c>
      <c r="R1118" s="116">
        <f>IF(P1118="PT",M1118,IF(P1118="G",0,ERR))</f>
        <v>0</v>
      </c>
      <c r="S1118" s="240" t="s">
        <v>560</v>
      </c>
      <c r="T1118" s="116">
        <f ca="1">IF(S1118="G",N1118,IF(S1118="PT",0,ERR))</f>
        <v>0</v>
      </c>
      <c r="U1118" s="116">
        <f>IF(S1118="PT",N1118,IF(S1118="G",0,ERR))</f>
        <v>0</v>
      </c>
      <c r="V1118" s="273"/>
      <c r="W1118" s="116">
        <f ca="1">HLOOKUP($W$9,'ROR-Model'!$Q$10:$U$1263,Y1118)</f>
        <v>-519591515.98063499</v>
      </c>
      <c r="X1118" s="118"/>
      <c r="Y1118" s="577">
        <f t="shared" si="63"/>
        <v>1109</v>
      </c>
      <c r="AA1118" s="116">
        <v>-504221078.20208329</v>
      </c>
      <c r="AB1118" s="116">
        <f t="shared" ca="1" si="74"/>
        <v>-15370437.778551698</v>
      </c>
    </row>
    <row r="1119" spans="1:28">
      <c r="A1119" s="136"/>
      <c r="B1119" s="102"/>
      <c r="C1119" s="102" t="s">
        <v>595</v>
      </c>
      <c r="D1119" s="102"/>
      <c r="E1119" s="116">
        <f ca="1">+G1119-Adjustments!H1127</f>
        <v>-1667770.874233976</v>
      </c>
      <c r="F1119" s="116">
        <f>+'Rate Base'!$AE$167</f>
        <v>-128844639.09999999</v>
      </c>
      <c r="G1119" s="116">
        <f ca="1">+Adjustments!AW1102</f>
        <v>-1667770.874233976</v>
      </c>
      <c r="H1119" s="116"/>
      <c r="I1119" s="116">
        <f ca="1">SUM($F$1119:$H$1119)</f>
        <v>-130512409.97423397</v>
      </c>
      <c r="J1119" s="116"/>
      <c r="K1119" s="116"/>
      <c r="L1119" s="116" t="s">
        <v>473</v>
      </c>
      <c r="M1119" s="116">
        <f ca="1">VLOOKUP($L1119,$L$2:$N$7,2,FALSE)*I1119</f>
        <v>-126273925.66396417</v>
      </c>
      <c r="N1119" s="116">
        <f ca="1">VLOOKUP($L1119,$L$2:$N$7,3,FALSE)*I1119</f>
        <v>-4238484.3102697982</v>
      </c>
      <c r="O1119" s="272"/>
      <c r="P1119" s="207" t="s">
        <v>560</v>
      </c>
      <c r="Q1119" s="116">
        <f ca="1">IF(P1119="G",M1119,IF(P1119="PT",0,ERR))</f>
        <v>-126273925.66396417</v>
      </c>
      <c r="R1119" s="116">
        <f>IF(P1119="PT",M1119,IF(P1119="G",0,ERR))</f>
        <v>0</v>
      </c>
      <c r="S1119" s="240" t="s">
        <v>560</v>
      </c>
      <c r="T1119" s="116">
        <f ca="1">IF(S1119="G",N1119,IF(S1119="PT",0,ERR))</f>
        <v>-4238484.3102697982</v>
      </c>
      <c r="U1119" s="116">
        <f>IF(S1119="PT",N1119,IF(S1119="G",0,ERR))</f>
        <v>0</v>
      </c>
      <c r="V1119" s="273"/>
      <c r="W1119" s="116">
        <f ca="1">HLOOKUP($W$9,'ROR-Model'!$Q$10:$U$1263,Y1119)</f>
        <v>-126273925.66396417</v>
      </c>
      <c r="X1119" s="118"/>
      <c r="Y1119" s="577">
        <f t="shared" si="63"/>
        <v>1110</v>
      </c>
      <c r="AA1119" s="116">
        <v>-126254018.07311438</v>
      </c>
      <c r="AB1119" s="116">
        <f t="shared" ca="1" si="74"/>
        <v>-19907.590849786997</v>
      </c>
    </row>
    <row r="1120" spans="1:28">
      <c r="A1120" s="136"/>
      <c r="B1120" s="102"/>
      <c r="C1120" s="102" t="s">
        <v>170</v>
      </c>
      <c r="D1120" s="102"/>
      <c r="E1120" s="131">
        <f ca="1">+G1120-Adjustments!H1128</f>
        <v>-5121781.1599048078</v>
      </c>
      <c r="F1120" s="131">
        <f>SUM(F1116:F1119)</f>
        <v>-738706646.27999997</v>
      </c>
      <c r="G1120" s="131">
        <f ca="1">SUM(G1116:G1119)</f>
        <v>-5121781.1599048078</v>
      </c>
      <c r="H1120" s="131">
        <f>SUM(H1116:H1119)</f>
        <v>0</v>
      </c>
      <c r="I1120" s="131">
        <f ca="1">SUM(I1116:I1119)</f>
        <v>-743828427.43990481</v>
      </c>
      <c r="J1120" s="116"/>
      <c r="K1120" s="116"/>
      <c r="L1120" s="131"/>
      <c r="M1120" s="131">
        <f ca="1">SUM(M1116:M1119)</f>
        <v>-709578153.39008451</v>
      </c>
      <c r="N1120" s="131">
        <f ca="1">SUM(N1116:N1119)</f>
        <v>-34250274.049820229</v>
      </c>
      <c r="O1120" s="272"/>
      <c r="P1120" s="257"/>
      <c r="Q1120" s="131">
        <f ca="1">SUM(Q1116:Q1119)</f>
        <v>-709578153.39008451</v>
      </c>
      <c r="R1120" s="131">
        <f>SUM(R1116:R1119)</f>
        <v>0</v>
      </c>
      <c r="S1120" s="257"/>
      <c r="T1120" s="131">
        <f ca="1">SUM(T1116:T1119)</f>
        <v>-31925734.879438274</v>
      </c>
      <c r="U1120" s="131">
        <f ca="1">SUM(U1116:U1119)</f>
        <v>-2324539.1703819605</v>
      </c>
      <c r="V1120" s="273"/>
      <c r="W1120" s="131">
        <f ca="1">HLOOKUP($W$9,'ROR-Model'!$Q$10:$U$1263,Y1120)</f>
        <v>-709578153.39008451</v>
      </c>
      <c r="X1120" s="118"/>
      <c r="Y1120" s="577">
        <f t="shared" si="63"/>
        <v>1111</v>
      </c>
      <c r="AA1120" s="131">
        <v>-693085571.03103876</v>
      </c>
      <c r="AB1120" s="116">
        <f t="shared" ca="1" si="74"/>
        <v>-16492582.359045744</v>
      </c>
    </row>
    <row r="1121" spans="1:28">
      <c r="A1121" s="136"/>
      <c r="B1121" s="102"/>
      <c r="C1121" s="102"/>
      <c r="D1121" s="102"/>
      <c r="E1121" s="116">
        <f>+G1121-Adjustments!H1129</f>
        <v>0</v>
      </c>
      <c r="F1121" s="116"/>
      <c r="G1121" s="116"/>
      <c r="H1121" s="116"/>
      <c r="I1121" s="116"/>
      <c r="J1121" s="116"/>
      <c r="K1121" s="116"/>
      <c r="L1121" s="116"/>
      <c r="M1121" s="219"/>
      <c r="N1121" s="116"/>
      <c r="O1121" s="272"/>
      <c r="P1121" s="240"/>
      <c r="Q1121" s="278">
        <f ca="1">+Q1120/I1120</f>
        <v>0.95395406684347583</v>
      </c>
      <c r="R1121" s="116"/>
      <c r="S1121" s="240"/>
      <c r="T1121" s="116"/>
      <c r="U1121" s="116"/>
      <c r="V1121" s="273"/>
      <c r="W1121" s="116"/>
      <c r="X1121" s="118"/>
      <c r="Y1121" s="577">
        <f t="shared" si="63"/>
        <v>1112</v>
      </c>
      <c r="AA1121" s="116"/>
      <c r="AB1121" s="116">
        <f t="shared" si="74"/>
        <v>0</v>
      </c>
    </row>
    <row r="1122" spans="1:28">
      <c r="A1122" s="136">
        <v>111</v>
      </c>
      <c r="B1122" s="102" t="s">
        <v>300</v>
      </c>
      <c r="C1122" s="102"/>
      <c r="D1122" s="102"/>
      <c r="E1122" s="116">
        <f>+G1122-Adjustments!H1130</f>
        <v>0</v>
      </c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272"/>
      <c r="P1122" s="240"/>
      <c r="Q1122" s="116"/>
      <c r="R1122" s="116"/>
      <c r="S1122" s="240"/>
      <c r="T1122" s="116"/>
      <c r="U1122" s="116"/>
      <c r="V1122" s="273"/>
      <c r="W1122" s="116"/>
      <c r="X1122" s="118"/>
      <c r="Y1122" s="577">
        <f t="shared" si="63"/>
        <v>1113</v>
      </c>
      <c r="AA1122" s="116"/>
      <c r="AB1122" s="116">
        <f t="shared" si="74"/>
        <v>0</v>
      </c>
    </row>
    <row r="1123" spans="1:28">
      <c r="A1123" s="227"/>
      <c r="B1123" s="102"/>
      <c r="C1123" s="102" t="s">
        <v>443</v>
      </c>
      <c r="D1123" s="102"/>
      <c r="E1123" s="116">
        <f>+G1123-Adjustments!H1131</f>
        <v>387467.42957999994</v>
      </c>
      <c r="F1123" s="116">
        <f>+'Rate Base'!$AE$171</f>
        <v>-6150276.6600000001</v>
      </c>
      <c r="G1123" s="116">
        <f>+Adjustments!AW1106</f>
        <v>387467.42957999994</v>
      </c>
      <c r="H1123" s="116"/>
      <c r="I1123" s="116">
        <f>SUM($F$1123:$H$1123)</f>
        <v>-5762809.2304199999</v>
      </c>
      <c r="J1123" s="116"/>
      <c r="K1123" s="116"/>
      <c r="L1123" s="116" t="s">
        <v>693</v>
      </c>
      <c r="M1123" s="116">
        <f>VLOOKUP($L1123,$L$2:$N$7,2,FALSE)*I1123</f>
        <v>-5559955.9074581368</v>
      </c>
      <c r="N1123" s="116">
        <f>VLOOKUP($L1123,$L$2:$N$7,3,FALSE)*I1123</f>
        <v>-202853.32296186278</v>
      </c>
      <c r="O1123" s="272"/>
      <c r="P1123" s="207" t="s">
        <v>560</v>
      </c>
      <c r="Q1123" s="116">
        <f>IF(P1123="G",M1123,IF(P1123="PT",0,ERR))</f>
        <v>-5559955.9074581368</v>
      </c>
      <c r="R1123" s="116">
        <f>IF(P1123="PT",M1123,IF(P1123="G",0,ERR))</f>
        <v>0</v>
      </c>
      <c r="S1123" s="240" t="s">
        <v>559</v>
      </c>
      <c r="T1123" s="116">
        <f>IF(S1123="G",N1123,IF(S1123="PT",0,ERR))</f>
        <v>0</v>
      </c>
      <c r="U1123" s="116">
        <f>IF(S1123="PT",N1123,IF(S1123="G",0,ERR))</f>
        <v>-202853.32296186278</v>
      </c>
      <c r="V1123" s="273"/>
      <c r="W1123" s="116">
        <f>HLOOKUP($W$9,'ROR-Model'!$Q$10:$U$1263,Y1123)</f>
        <v>-5559955.9074581368</v>
      </c>
      <c r="X1123" s="118"/>
      <c r="Y1123" s="577">
        <f t="shared" si="63"/>
        <v>1114</v>
      </c>
      <c r="AA1123" s="116">
        <v>-5552366.202774886</v>
      </c>
      <c r="AB1123" s="116">
        <f t="shared" si="74"/>
        <v>-7589.7046832507476</v>
      </c>
    </row>
    <row r="1124" spans="1:28">
      <c r="A1124" s="227"/>
      <c r="B1124" s="102"/>
      <c r="C1124" s="102" t="s">
        <v>592</v>
      </c>
      <c r="D1124" s="102"/>
      <c r="E1124" s="116">
        <f>+G1124-Adjustments!H1132</f>
        <v>0</v>
      </c>
      <c r="F1124" s="116">
        <f>+'Rate Base'!$AE$172</f>
        <v>-10883.08</v>
      </c>
      <c r="G1124" s="116">
        <f>+Adjustments!AW1107</f>
        <v>0</v>
      </c>
      <c r="H1124" s="116"/>
      <c r="I1124" s="116">
        <f>SUM($F$1124:$H$1124)</f>
        <v>-10883.08</v>
      </c>
      <c r="J1124" s="116"/>
      <c r="K1124" s="116"/>
      <c r="L1124" s="116" t="s">
        <v>24</v>
      </c>
      <c r="M1124" s="116">
        <f>VLOOKUP($L1124,$L$2:$N$7,2,FALSE)*I1124</f>
        <v>0</v>
      </c>
      <c r="N1124" s="116">
        <f>VLOOKUP($L1124,$L$2:$N$7,3,FALSE)*I1124</f>
        <v>-10883.08</v>
      </c>
      <c r="O1124" s="272"/>
      <c r="P1124" s="207" t="s">
        <v>560</v>
      </c>
      <c r="Q1124" s="116">
        <f>IF(P1124="G",M1124,IF(P1124="PT",0,ERR))</f>
        <v>0</v>
      </c>
      <c r="R1124" s="116">
        <f>IF(P1124="PT",M1124,IF(P1124="G",0,ERR))</f>
        <v>0</v>
      </c>
      <c r="S1124" s="240" t="s">
        <v>560</v>
      </c>
      <c r="T1124" s="116">
        <f>IF(S1124="G",N1124,IF(S1124="PT",0,ERR))</f>
        <v>-10883.08</v>
      </c>
      <c r="U1124" s="116">
        <f>IF(S1124="PT",N1124,IF(S1124="G",0,ERR))</f>
        <v>0</v>
      </c>
      <c r="V1124" s="273"/>
      <c r="W1124" s="116">
        <f>HLOOKUP($W$9,'ROR-Model'!$Q$10:$U$1263,Y1124)</f>
        <v>0</v>
      </c>
      <c r="X1124" s="118"/>
      <c r="Y1124" s="577">
        <f t="shared" si="63"/>
        <v>1115</v>
      </c>
      <c r="AA1124" s="116">
        <v>0</v>
      </c>
      <c r="AB1124" s="116">
        <f t="shared" si="74"/>
        <v>0</v>
      </c>
    </row>
    <row r="1125" spans="1:28">
      <c r="A1125" s="227"/>
      <c r="B1125" s="102"/>
      <c r="C1125" s="102" t="s">
        <v>593</v>
      </c>
      <c r="D1125" s="102"/>
      <c r="E1125" s="116">
        <f>+G1125-Adjustments!H1133</f>
        <v>0</v>
      </c>
      <c r="F1125" s="116">
        <f>+'Rate Base'!$AE$173</f>
        <v>-58742.880000000005</v>
      </c>
      <c r="G1125" s="116">
        <f>+Adjustments!AW1108</f>
        <v>0</v>
      </c>
      <c r="H1125" s="116"/>
      <c r="I1125" s="116">
        <f>SUM($F$1125:$H$1125)</f>
        <v>-58742.880000000005</v>
      </c>
      <c r="J1125" s="116"/>
      <c r="K1125" s="116"/>
      <c r="L1125" s="116" t="s">
        <v>14</v>
      </c>
      <c r="M1125" s="116">
        <f>VLOOKUP($L1125,$L$2:$N$7,2,FALSE)*I1125</f>
        <v>-58742.880000000005</v>
      </c>
      <c r="N1125" s="116">
        <f>VLOOKUP($L1125,$L$2:$N$7,3,FALSE)*I1125</f>
        <v>0</v>
      </c>
      <c r="O1125" s="272"/>
      <c r="P1125" s="207" t="s">
        <v>560</v>
      </c>
      <c r="Q1125" s="116">
        <f>IF(P1125="G",M1125,IF(P1125="PT",0,ERR))</f>
        <v>-58742.880000000005</v>
      </c>
      <c r="R1125" s="116">
        <f>IF(P1125="PT",M1125,IF(P1125="G",0,ERR))</f>
        <v>0</v>
      </c>
      <c r="S1125" s="240" t="s">
        <v>560</v>
      </c>
      <c r="T1125" s="116">
        <f>IF(S1125="G",N1125,IF(S1125="PT",0,ERR))</f>
        <v>0</v>
      </c>
      <c r="U1125" s="116">
        <f>IF(S1125="PT",N1125,IF(S1125="G",0,ERR))</f>
        <v>0</v>
      </c>
      <c r="V1125" s="273"/>
      <c r="W1125" s="116">
        <f>HLOOKUP($W$9,'ROR-Model'!$Q$10:$U$1263,Y1125)</f>
        <v>-58742.880000000005</v>
      </c>
      <c r="X1125" s="118"/>
      <c r="Y1125" s="577">
        <f t="shared" si="63"/>
        <v>1116</v>
      </c>
      <c r="AA1125" s="116">
        <v>-58742.880000000005</v>
      </c>
      <c r="AB1125" s="116">
        <f t="shared" si="74"/>
        <v>0</v>
      </c>
    </row>
    <row r="1126" spans="1:28">
      <c r="A1126" s="227"/>
      <c r="B1126" s="102"/>
      <c r="C1126" s="102" t="s">
        <v>595</v>
      </c>
      <c r="D1126" s="102"/>
      <c r="E1126" s="116">
        <f>+G1126-Adjustments!H1134</f>
        <v>0</v>
      </c>
      <c r="F1126" s="116">
        <f>+'Rate Base'!$AE$174</f>
        <v>0</v>
      </c>
      <c r="G1126" s="116">
        <f>+Adjustments!AW1109</f>
        <v>0</v>
      </c>
      <c r="H1126" s="116"/>
      <c r="I1126" s="116">
        <f>SUM($F$1126:$H$1126)</f>
        <v>0</v>
      </c>
      <c r="J1126" s="116"/>
      <c r="K1126" s="116"/>
      <c r="L1126" s="116" t="s">
        <v>473</v>
      </c>
      <c r="M1126" s="116">
        <f ca="1">VLOOKUP($L1126,$L$2:$N$7,2,FALSE)*I1126</f>
        <v>0</v>
      </c>
      <c r="N1126" s="116">
        <f ca="1">VLOOKUP($L1126,$L$2:$N$7,3,FALSE)*I1126</f>
        <v>0</v>
      </c>
      <c r="O1126" s="272"/>
      <c r="P1126" s="207" t="s">
        <v>560</v>
      </c>
      <c r="Q1126" s="116">
        <f ca="1">IF(P1126="G",M1126,IF(P1126="PT",0,ERR))</f>
        <v>0</v>
      </c>
      <c r="R1126" s="116">
        <f>IF(P1126="PT",M1126,IF(P1126="G",0,ERR))</f>
        <v>0</v>
      </c>
      <c r="S1126" s="240" t="s">
        <v>560</v>
      </c>
      <c r="T1126" s="116">
        <f ca="1">IF(S1126="G",N1126,IF(S1126="PT",0,ERR))</f>
        <v>0</v>
      </c>
      <c r="U1126" s="116">
        <f>IF(S1126="PT",N1126,IF(S1126="G",0,ERR))</f>
        <v>0</v>
      </c>
      <c r="V1126" s="273"/>
      <c r="W1126" s="116">
        <f ca="1">HLOOKUP($W$9,'ROR-Model'!$Q$10:$U$1263,Y1126)</f>
        <v>0</v>
      </c>
      <c r="X1126" s="118"/>
      <c r="Y1126" s="577">
        <f t="shared" si="63"/>
        <v>1117</v>
      </c>
      <c r="AA1126" s="116">
        <v>0</v>
      </c>
      <c r="AB1126" s="116">
        <f t="shared" ca="1" si="74"/>
        <v>0</v>
      </c>
    </row>
    <row r="1127" spans="1:28">
      <c r="A1127" s="227"/>
      <c r="B1127" s="102"/>
      <c r="C1127" s="102" t="s">
        <v>170</v>
      </c>
      <c r="D1127" s="102"/>
      <c r="E1127" s="131">
        <f>+G1127-Adjustments!H1135</f>
        <v>387467.42957999994</v>
      </c>
      <c r="F1127" s="131">
        <f>SUM(F1123:F1126)</f>
        <v>-6219902.6200000001</v>
      </c>
      <c r="G1127" s="131">
        <f>SUM(G1123:G1126)</f>
        <v>387467.42957999994</v>
      </c>
      <c r="H1127" s="131">
        <f>SUM(H1123:H1126)</f>
        <v>0</v>
      </c>
      <c r="I1127" s="131">
        <f>SUM(I1123:I1126)</f>
        <v>-5832435.1904199999</v>
      </c>
      <c r="J1127" s="116"/>
      <c r="K1127" s="116"/>
      <c r="L1127" s="131"/>
      <c r="M1127" s="131">
        <f ca="1">SUM(M1123:M1126)</f>
        <v>-5618698.7874581367</v>
      </c>
      <c r="N1127" s="131">
        <f ca="1">SUM(N1123:N1126)</f>
        <v>-213736.40296186277</v>
      </c>
      <c r="O1127" s="272"/>
      <c r="P1127" s="257"/>
      <c r="Q1127" s="131">
        <f ca="1">SUM(Q1123:Q1126)</f>
        <v>-5618698.7874581367</v>
      </c>
      <c r="R1127" s="131">
        <f>SUM(R1123:R1126)</f>
        <v>0</v>
      </c>
      <c r="S1127" s="257"/>
      <c r="T1127" s="131">
        <f ca="1">SUM(T1123:T1126)</f>
        <v>-10883.08</v>
      </c>
      <c r="U1127" s="131">
        <f>SUM(U1123:U1126)</f>
        <v>-202853.32296186278</v>
      </c>
      <c r="V1127" s="273"/>
      <c r="W1127" s="131">
        <f ca="1">HLOOKUP($W$9,'ROR-Model'!$Q$10:$U$1263,Y1127)</f>
        <v>-5618698.7874581367</v>
      </c>
      <c r="X1127" s="118"/>
      <c r="Y1127" s="577">
        <f t="shared" si="63"/>
        <v>1118</v>
      </c>
      <c r="AA1127" s="131">
        <v>-5611109.0827748859</v>
      </c>
      <c r="AB1127" s="116">
        <f t="shared" ca="1" si="74"/>
        <v>-7589.7046832507476</v>
      </c>
    </row>
    <row r="1128" spans="1:28">
      <c r="D1128" s="102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272"/>
      <c r="P1128" s="240"/>
      <c r="Q1128" s="116"/>
      <c r="R1128" s="116"/>
      <c r="S1128" s="240"/>
      <c r="T1128" s="116"/>
      <c r="U1128" s="116"/>
      <c r="V1128" s="273"/>
      <c r="W1128" s="116"/>
      <c r="X1128" s="118"/>
      <c r="Y1128" s="971">
        <f t="shared" si="63"/>
        <v>1119</v>
      </c>
      <c r="AA1128" s="116"/>
      <c r="AB1128" s="116">
        <f t="shared" si="74"/>
        <v>0</v>
      </c>
    </row>
    <row r="1129" spans="1:28">
      <c r="A1129" s="969" t="s">
        <v>1134</v>
      </c>
      <c r="B1129" s="102" t="s">
        <v>1135</v>
      </c>
      <c r="C1129" s="9"/>
      <c r="D1129" s="102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272"/>
      <c r="P1129" s="240"/>
      <c r="Q1129" s="116"/>
      <c r="R1129" s="116"/>
      <c r="S1129" s="240"/>
      <c r="T1129" s="116"/>
      <c r="U1129" s="116"/>
      <c r="V1129" s="273"/>
      <c r="W1129" s="116"/>
      <c r="X1129" s="118"/>
      <c r="Y1129" s="971">
        <f t="shared" si="63"/>
        <v>1120</v>
      </c>
      <c r="AA1129" s="116"/>
      <c r="AB1129" s="116">
        <f t="shared" si="74"/>
        <v>0</v>
      </c>
    </row>
    <row r="1130" spans="1:28">
      <c r="A1130" s="970"/>
      <c r="B1130" s="9"/>
      <c r="C1130" s="9" t="s">
        <v>443</v>
      </c>
      <c r="D1130" s="102"/>
      <c r="E1130" s="116"/>
      <c r="F1130" s="116">
        <f>+'Rate Base'!$AE$178</f>
        <v>0</v>
      </c>
      <c r="G1130" s="116">
        <f ca="1">+Adjustments!AW1113</f>
        <v>0</v>
      </c>
      <c r="H1130" s="116"/>
      <c r="I1130" s="116">
        <f ca="1">SUM($F$1130:$H$1130)</f>
        <v>0</v>
      </c>
      <c r="J1130" s="116"/>
      <c r="K1130" s="116"/>
      <c r="L1130" s="116" t="s">
        <v>693</v>
      </c>
      <c r="M1130" s="116">
        <f ca="1">VLOOKUP($L1130,$L$2:$N$7,2,FALSE)*I1130</f>
        <v>0</v>
      </c>
      <c r="N1130" s="116">
        <f ca="1">VLOOKUP($L1130,$L$2:$N$7,3,FALSE)*I1130</f>
        <v>0</v>
      </c>
      <c r="O1130" s="272"/>
      <c r="P1130" s="207" t="s">
        <v>560</v>
      </c>
      <c r="Q1130" s="116">
        <f ca="1">IF(P1130="G",M1130,IF(P1130="PT",0,ERR))</f>
        <v>0</v>
      </c>
      <c r="R1130" s="116">
        <f>IF(P1130="PT",M1130,IF(P1130="G",0,ERR))</f>
        <v>0</v>
      </c>
      <c r="S1130" s="240" t="s">
        <v>559</v>
      </c>
      <c r="T1130" s="116">
        <f>IF(S1130="G",N1130,IF(S1130="PT",0,ERR))</f>
        <v>0</v>
      </c>
      <c r="U1130" s="116">
        <f ca="1">IF(S1130="PT",N1130,IF(S1130="G",0,ERR))</f>
        <v>0</v>
      </c>
      <c r="V1130" s="273"/>
      <c r="W1130" s="116">
        <f ca="1">HLOOKUP($W$9,'ROR-Model'!$Q$10:$U$1263,Y1130)</f>
        <v>0</v>
      </c>
      <c r="X1130" s="118"/>
      <c r="Y1130" s="971">
        <f t="shared" si="63"/>
        <v>1121</v>
      </c>
      <c r="AA1130" s="116">
        <v>0</v>
      </c>
      <c r="AB1130" s="116">
        <f t="shared" ca="1" si="74"/>
        <v>0</v>
      </c>
    </row>
    <row r="1131" spans="1:28">
      <c r="A1131" s="970"/>
      <c r="B1131" s="9"/>
      <c r="C1131" s="9" t="s">
        <v>592</v>
      </c>
      <c r="D1131" s="102"/>
      <c r="E1131" s="116"/>
      <c r="F1131" s="116">
        <f>+'Rate Base'!$AE$179</f>
        <v>-6315729.0099999998</v>
      </c>
      <c r="G1131" s="116">
        <f ca="1">+Adjustments!AW1114</f>
        <v>15644.161227236502</v>
      </c>
      <c r="H1131" s="116"/>
      <c r="I1131" s="116">
        <f ca="1">SUM($F$1131:$H$1131)</f>
        <v>-6300084.8487727633</v>
      </c>
      <c r="J1131" s="116"/>
      <c r="K1131" s="116"/>
      <c r="L1131" s="116" t="s">
        <v>24</v>
      </c>
      <c r="M1131" s="116">
        <f ca="1">VLOOKUP($L1131,$L$2:$N$7,2,FALSE)*I1131</f>
        <v>0</v>
      </c>
      <c r="N1131" s="116">
        <f ca="1">VLOOKUP($L1131,$L$2:$N$7,3,FALSE)*I1131</f>
        <v>-6300084.8487727633</v>
      </c>
      <c r="O1131" s="272"/>
      <c r="P1131" s="207" t="s">
        <v>560</v>
      </c>
      <c r="Q1131" s="116">
        <f ca="1">IF(P1131="G",M1131,IF(P1131="PT",0,ERR))</f>
        <v>0</v>
      </c>
      <c r="R1131" s="116">
        <f>IF(P1131="PT",M1131,IF(P1131="G",0,ERR))</f>
        <v>0</v>
      </c>
      <c r="S1131" s="240" t="s">
        <v>560</v>
      </c>
      <c r="T1131" s="116">
        <f ca="1">IF(S1131="G",N1131,IF(S1131="PT",0,ERR))</f>
        <v>-6300084.8487727633</v>
      </c>
      <c r="U1131" s="116">
        <f>IF(S1131="PT",N1131,IF(S1131="G",0,ERR))</f>
        <v>0</v>
      </c>
      <c r="V1131" s="273"/>
      <c r="W1131" s="116">
        <f ca="1">HLOOKUP($W$9,'ROR-Model'!$Q$10:$U$1263,Y1131)</f>
        <v>0</v>
      </c>
      <c r="X1131" s="118"/>
      <c r="Y1131" s="971">
        <f t="shared" si="63"/>
        <v>1122</v>
      </c>
      <c r="AA1131" s="116">
        <v>0</v>
      </c>
      <c r="AB1131" s="116">
        <f t="shared" ca="1" si="74"/>
        <v>0</v>
      </c>
    </row>
    <row r="1132" spans="1:28">
      <c r="A1132" s="970"/>
      <c r="B1132" s="9"/>
      <c r="C1132" s="9" t="s">
        <v>593</v>
      </c>
      <c r="D1132" s="102"/>
      <c r="E1132" s="116"/>
      <c r="F1132" s="116">
        <f>+'Rate Base'!$AE$180</f>
        <v>-188074206.56999999</v>
      </c>
      <c r="G1132" s="116">
        <f ca="1">+Adjustments!AW1115</f>
        <v>465862.8015242219</v>
      </c>
      <c r="H1132" s="116"/>
      <c r="I1132" s="116">
        <f ca="1">SUM($F$1132:$H$1132)</f>
        <v>-187608343.76847577</v>
      </c>
      <c r="J1132" s="116"/>
      <c r="K1132" s="116"/>
      <c r="L1132" s="116" t="s">
        <v>14</v>
      </c>
      <c r="M1132" s="116">
        <f ca="1">VLOOKUP($L1132,$L$2:$N$7,2,FALSE)*I1132</f>
        <v>-187608343.76847577</v>
      </c>
      <c r="N1132" s="116">
        <f ca="1">VLOOKUP($L1132,$L$2:$N$7,3,FALSE)*I1132</f>
        <v>0</v>
      </c>
      <c r="O1132" s="272"/>
      <c r="P1132" s="207" t="s">
        <v>560</v>
      </c>
      <c r="Q1132" s="116">
        <f ca="1">IF(P1132="G",M1132,IF(P1132="PT",0,ERR))</f>
        <v>-187608343.76847577</v>
      </c>
      <c r="R1132" s="116">
        <f>IF(P1132="PT",M1132,IF(P1132="G",0,ERR))</f>
        <v>0</v>
      </c>
      <c r="S1132" s="240" t="s">
        <v>560</v>
      </c>
      <c r="T1132" s="116">
        <f ca="1">IF(S1132="G",N1132,IF(S1132="PT",0,ERR))</f>
        <v>0</v>
      </c>
      <c r="U1132" s="116">
        <f>IF(S1132="PT",N1132,IF(S1132="G",0,ERR))</f>
        <v>0</v>
      </c>
      <c r="V1132" s="273"/>
      <c r="W1132" s="116">
        <f ca="1">HLOOKUP($W$9,'ROR-Model'!$Q$10:$U$1263,Y1132)</f>
        <v>-187608343.76847577</v>
      </c>
      <c r="X1132" s="118"/>
      <c r="Y1132" s="971">
        <f t="shared" si="63"/>
        <v>1123</v>
      </c>
      <c r="AA1132" s="116">
        <v>-186286707.18000004</v>
      </c>
      <c r="AB1132" s="116">
        <f t="shared" ca="1" si="74"/>
        <v>-1321636.588475734</v>
      </c>
    </row>
    <row r="1133" spans="1:28">
      <c r="A1133" s="970"/>
      <c r="B1133" s="9"/>
      <c r="C1133" s="9" t="s">
        <v>595</v>
      </c>
      <c r="D1133" s="102"/>
      <c r="E1133" s="116"/>
      <c r="F1133" s="116">
        <f>+'Rate Base'!$AE$181</f>
        <v>-243070289</v>
      </c>
      <c r="G1133" s="116">
        <f ca="1">+Adjustments!AW1116</f>
        <v>602088.97257092595</v>
      </c>
      <c r="H1133" s="116"/>
      <c r="I1133" s="116">
        <f ca="1">SUM($F$1133:$H$1133)</f>
        <v>-242468200.02742907</v>
      </c>
      <c r="J1133" s="116"/>
      <c r="K1133" s="116"/>
      <c r="L1133" s="116" t="s">
        <v>473</v>
      </c>
      <c r="M1133" s="116">
        <f ca="1">VLOOKUP($L1133,$L$2:$N$7,2,FALSE)*I1133</f>
        <v>-234593870.97505385</v>
      </c>
      <c r="N1133" s="116">
        <f ca="1">VLOOKUP($L1133,$L$2:$N$7,3,FALSE)*I1133</f>
        <v>-7874329.0523752291</v>
      </c>
      <c r="O1133" s="272"/>
      <c r="P1133" s="207" t="s">
        <v>560</v>
      </c>
      <c r="Q1133" s="116">
        <f ca="1">IF(P1133="G",M1133,IF(P1133="PT",0,ERR))</f>
        <v>-234593870.97505385</v>
      </c>
      <c r="R1133" s="116">
        <f>IF(P1133="PT",M1133,IF(P1133="G",0,ERR))</f>
        <v>0</v>
      </c>
      <c r="S1133" s="240" t="s">
        <v>560</v>
      </c>
      <c r="T1133" s="116">
        <f ca="1">IF(S1133="G",N1133,IF(S1133="PT",0,ERR))</f>
        <v>-7874329.0523752291</v>
      </c>
      <c r="U1133" s="116">
        <f>IF(S1133="PT",N1133,IF(S1133="G",0,ERR))</f>
        <v>0</v>
      </c>
      <c r="V1133" s="273"/>
      <c r="W1133" s="116">
        <f ca="1">HLOOKUP($W$9,'ROR-Model'!$Q$10:$U$1263,Y1133)</f>
        <v>-234593870.97505385</v>
      </c>
      <c r="X1133" s="118"/>
      <c r="Y1133" s="971">
        <f t="shared" si="63"/>
        <v>1124</v>
      </c>
      <c r="AA1133" s="116">
        <v>-9797569.3759874403</v>
      </c>
      <c r="AB1133" s="116">
        <f t="shared" ca="1" si="74"/>
        <v>-224796301.59906641</v>
      </c>
    </row>
    <row r="1134" spans="1:28">
      <c r="A1134" s="970"/>
      <c r="B1134" s="9"/>
      <c r="C1134" s="9" t="s">
        <v>170</v>
      </c>
      <c r="D1134" s="102"/>
      <c r="E1134" s="116"/>
      <c r="F1134" s="131">
        <f>SUM(F1130:F1133)</f>
        <v>-437460224.57999998</v>
      </c>
      <c r="G1134" s="131">
        <f ca="1">SUM(G1130:G1133)</f>
        <v>1083595.9353223844</v>
      </c>
      <c r="H1134" s="131">
        <f>SUM(H1130:H1133)</f>
        <v>0</v>
      </c>
      <c r="I1134" s="131">
        <f ca="1">SUM(I1130:I1133)</f>
        <v>-436376628.64467764</v>
      </c>
      <c r="J1134" s="116"/>
      <c r="K1134" s="116"/>
      <c r="L1134" s="131"/>
      <c r="M1134" s="131">
        <f ca="1">SUM(M1130:M1133)</f>
        <v>-422202214.74352962</v>
      </c>
      <c r="N1134" s="131">
        <f ca="1">SUM(N1130:N1133)</f>
        <v>-14174413.901147991</v>
      </c>
      <c r="O1134" s="272"/>
      <c r="P1134" s="257"/>
      <c r="Q1134" s="131">
        <f ca="1">SUM(Q1130:Q1133)</f>
        <v>-422202214.74352962</v>
      </c>
      <c r="R1134" s="131">
        <f>SUM(R1130:R1133)</f>
        <v>0</v>
      </c>
      <c r="S1134" s="257"/>
      <c r="T1134" s="131">
        <f ca="1">SUM(T1130:T1133)</f>
        <v>-14174413.901147991</v>
      </c>
      <c r="U1134" s="131">
        <f ca="1">SUM(U1130:U1133)</f>
        <v>0</v>
      </c>
      <c r="V1134" s="273"/>
      <c r="W1134" s="131">
        <f ca="1">HLOOKUP($W$9,'ROR-Model'!$Q$10:$U$1263,Y1134)</f>
        <v>-422202214.74352962</v>
      </c>
      <c r="X1134" s="118"/>
      <c r="Y1134" s="971">
        <f t="shared" si="63"/>
        <v>1125</v>
      </c>
      <c r="AA1134" s="131">
        <v>-196084276.55598748</v>
      </c>
      <c r="AB1134" s="116">
        <f t="shared" ca="1" si="74"/>
        <v>-226117938.18754214</v>
      </c>
    </row>
    <row r="1135" spans="1:28" ht="13.5" thickBot="1">
      <c r="A1135" s="227"/>
      <c r="B1135" s="102"/>
      <c r="C1135" s="102"/>
      <c r="D1135" s="102"/>
      <c r="E1135" s="235">
        <f>+G1135-Adjustments!H1136</f>
        <v>0</v>
      </c>
      <c r="F1135" s="235"/>
      <c r="G1135" s="235"/>
      <c r="H1135" s="235"/>
      <c r="I1135" s="235"/>
      <c r="J1135" s="116"/>
      <c r="K1135" s="116"/>
      <c r="L1135" s="235"/>
      <c r="M1135" s="235"/>
      <c r="N1135" s="235"/>
      <c r="O1135" s="272"/>
      <c r="P1135" s="613"/>
      <c r="Q1135" s="235"/>
      <c r="R1135" s="235"/>
      <c r="S1135" s="613"/>
      <c r="T1135" s="235"/>
      <c r="U1135" s="235"/>
      <c r="V1135" s="273"/>
      <c r="W1135" s="235"/>
      <c r="X1135" s="118"/>
      <c r="Y1135" s="971">
        <f t="shared" si="63"/>
        <v>1126</v>
      </c>
      <c r="AA1135" s="235"/>
      <c r="AB1135" s="116">
        <f t="shared" si="74"/>
        <v>0</v>
      </c>
    </row>
    <row r="1136" spans="1:28" ht="13.5" thickTop="1">
      <c r="A1136" s="227"/>
      <c r="B1136" s="102"/>
      <c r="C1136" s="102"/>
      <c r="D1136" s="102"/>
      <c r="E1136" s="116">
        <f>+G1136-Adjustments!H1137</f>
        <v>0</v>
      </c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272"/>
      <c r="P1136" s="240"/>
      <c r="Q1136" s="116"/>
      <c r="R1136" s="116"/>
      <c r="S1136" s="240"/>
      <c r="T1136" s="116"/>
      <c r="U1136" s="116"/>
      <c r="V1136" s="273"/>
      <c r="W1136" s="116"/>
      <c r="X1136" s="118"/>
      <c r="Y1136" s="577">
        <f t="shared" si="63"/>
        <v>1127</v>
      </c>
      <c r="AA1136" s="116"/>
      <c r="AB1136" s="116">
        <f t="shared" si="74"/>
        <v>0</v>
      </c>
    </row>
    <row r="1137" spans="1:28">
      <c r="A1137" s="73" t="s">
        <v>291</v>
      </c>
      <c r="B1137" s="102"/>
      <c r="C1137" s="102"/>
      <c r="D1137" s="102"/>
      <c r="E1137" s="116">
        <f>+G1137-Adjustments!H1138</f>
        <v>0</v>
      </c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272"/>
      <c r="P1137" s="240"/>
      <c r="Q1137" s="116"/>
      <c r="R1137" s="116"/>
      <c r="S1137" s="240"/>
      <c r="T1137" s="116"/>
      <c r="U1137" s="116"/>
      <c r="V1137" s="273"/>
      <c r="W1137" s="116"/>
      <c r="X1137" s="118"/>
      <c r="Y1137" s="577">
        <f t="shared" si="63"/>
        <v>1128</v>
      </c>
      <c r="AA1137" s="116"/>
      <c r="AB1137" s="116">
        <f t="shared" si="74"/>
        <v>0</v>
      </c>
    </row>
    <row r="1138" spans="1:28">
      <c r="A1138" s="227"/>
      <c r="B1138" s="102" t="s">
        <v>443</v>
      </c>
      <c r="C1138" s="102"/>
      <c r="D1138" s="102"/>
      <c r="E1138" s="116">
        <f ca="1">+G1138-Adjustments!H1139</f>
        <v>-1111058.0442873503</v>
      </c>
      <c r="F1138" s="116">
        <f>F1098+F1109+F1116+F1123+F1130</f>
        <v>4241141.3299999945</v>
      </c>
      <c r="G1138" s="116">
        <f ca="1">G1098+G1109+G1116+G1123+G1130</f>
        <v>-1111058.0442873503</v>
      </c>
      <c r="H1138" s="116">
        <f t="shared" ref="H1138:I1138" si="75">H1098+H1109+H1116+H1123+H1130</f>
        <v>0</v>
      </c>
      <c r="I1138" s="116">
        <f t="shared" ca="1" si="75"/>
        <v>3130083.2857126379</v>
      </c>
      <c r="J1138" s="116"/>
      <c r="K1138" s="116"/>
      <c r="L1138" s="116"/>
      <c r="M1138" s="116">
        <f ca="1">M1098+M1109+M1116+M1123+M1130</f>
        <v>3019903.0298223989</v>
      </c>
      <c r="N1138" s="116">
        <f ca="1">N1098+N1109+N1116+N1123+N1130</f>
        <v>110180.25589022029</v>
      </c>
      <c r="O1138" s="272"/>
      <c r="P1138" s="207"/>
      <c r="Q1138" s="116">
        <f ca="1">Q1098+Q1109+Q1116+Q1123+Q1130</f>
        <v>3019903.0298223989</v>
      </c>
      <c r="R1138" s="116">
        <f>R1098+R1109+R1116+R1123</f>
        <v>0</v>
      </c>
      <c r="S1138" s="240"/>
      <c r="T1138" s="116">
        <f>T1098+T1109+T1116+T1123+T1130</f>
        <v>0</v>
      </c>
      <c r="U1138" s="116">
        <f ca="1">U1098+U1109+U1116+U1123+U1130</f>
        <v>110180.25589022029</v>
      </c>
      <c r="V1138" s="273"/>
      <c r="W1138" s="116">
        <f ca="1">HLOOKUP($W$9,'ROR-Model'!$Q$10:$U$1263,Y1138)</f>
        <v>3019903.0298223989</v>
      </c>
      <c r="X1138" s="118"/>
      <c r="Y1138" s="577">
        <f t="shared" si="63"/>
        <v>1129</v>
      </c>
      <c r="AA1138" s="116">
        <v>4129729.7241499908</v>
      </c>
      <c r="AB1138" s="116">
        <f t="shared" ca="1" si="74"/>
        <v>-1109826.6943275919</v>
      </c>
    </row>
    <row r="1139" spans="1:28">
      <c r="A1139" s="227"/>
      <c r="B1139" s="102" t="s">
        <v>592</v>
      </c>
      <c r="C1139" s="102"/>
      <c r="D1139" s="102"/>
      <c r="E1139" s="116">
        <f ca="1">+G1139-Adjustments!H1140</f>
        <v>8585116.970799204</v>
      </c>
      <c r="F1139" s="116">
        <f>F1099+F1110+F1117+F1124+F1131</f>
        <v>49106108.993999988</v>
      </c>
      <c r="G1139" s="116">
        <f ca="1">G1099+G1110+G1117+G1124+G1131</f>
        <v>8585116.970799204</v>
      </c>
      <c r="H1139" s="116">
        <f t="shared" ref="H1139:I1139" si="76">H1099+H1110+H1117+H1124+H1131</f>
        <v>0</v>
      </c>
      <c r="I1139" s="116">
        <f t="shared" ca="1" si="76"/>
        <v>57691225.964799196</v>
      </c>
      <c r="J1139" s="116"/>
      <c r="K1139" s="116"/>
      <c r="L1139" s="116"/>
      <c r="M1139" s="116">
        <f ca="1">M1099+M1110+M1117+M1124+M1131</f>
        <v>0</v>
      </c>
      <c r="N1139" s="116">
        <f ca="1">N1099+N1110+N1117+N1124+N1131</f>
        <v>57691225.964799196</v>
      </c>
      <c r="O1139" s="272"/>
      <c r="P1139" s="207"/>
      <c r="Q1139" s="116">
        <f ca="1">Q1099+Q1110+Q1117+Q1124+Q1131</f>
        <v>0</v>
      </c>
      <c r="R1139" s="116">
        <f>R1099+R1110+R1117+R1124</f>
        <v>0</v>
      </c>
      <c r="S1139" s="240"/>
      <c r="T1139" s="116">
        <f ca="1">T1099+T1110+T1117+T1124+T1131</f>
        <v>57691225.964799196</v>
      </c>
      <c r="U1139" s="116">
        <f>U1099+U1110+U1117+U1124+U1131</f>
        <v>0</v>
      </c>
      <c r="V1139" s="273"/>
      <c r="W1139" s="116">
        <f ca="1">HLOOKUP($W$9,'ROR-Model'!$Q$10:$U$1263,Y1139)</f>
        <v>0</v>
      </c>
      <c r="X1139" s="118"/>
      <c r="Y1139" s="577">
        <f t="shared" si="63"/>
        <v>1130</v>
      </c>
      <c r="AA1139" s="116">
        <v>0</v>
      </c>
      <c r="AB1139" s="116">
        <f t="shared" ca="1" si="74"/>
        <v>0</v>
      </c>
    </row>
    <row r="1140" spans="1:28">
      <c r="A1140" s="227"/>
      <c r="B1140" s="102" t="s">
        <v>593</v>
      </c>
      <c r="C1140" s="102"/>
      <c r="D1140" s="102"/>
      <c r="E1140" s="116">
        <f ca="1">+G1140-Adjustments!H1141</f>
        <v>261431851.64422098</v>
      </c>
      <c r="F1140" s="116">
        <f>F1100+F1105+F1111+F1118+F1125+F1132</f>
        <v>1769234787.858</v>
      </c>
      <c r="G1140" s="116">
        <f ca="1">G1100+G1105+G1111+G1118+G1125+G1132</f>
        <v>261431851.64422098</v>
      </c>
      <c r="H1140" s="116">
        <f t="shared" ref="H1140:I1140" si="77">H1100+H1105+H1111+H1118+H1125+H1132</f>
        <v>0</v>
      </c>
      <c r="I1140" s="116">
        <f t="shared" ca="1" si="77"/>
        <v>2030666639.5022209</v>
      </c>
      <c r="J1140" s="116"/>
      <c r="K1140" s="116"/>
      <c r="L1140" s="116"/>
      <c r="M1140" s="116">
        <f ca="1">M1100+M1105+M1111+M1118+M1125+M1132</f>
        <v>2030666639.5022209</v>
      </c>
      <c r="N1140" s="116">
        <f ca="1">N1100+N1105+N1111+N1118+N1125+N1132</f>
        <v>0</v>
      </c>
      <c r="O1140" s="272"/>
      <c r="P1140" s="207"/>
      <c r="Q1140" s="116">
        <f ca="1">Q1100+Q1105+Q1111+Q1118+Q1125+Q1132</f>
        <v>2030666639.5022209</v>
      </c>
      <c r="R1140" s="116">
        <f>R1100+R1105+R1111+R1118+R1125</f>
        <v>0</v>
      </c>
      <c r="S1140" s="240"/>
      <c r="T1140" s="116">
        <f ca="1">T1100+T1105+T1111+T1118+T1125+T1132</f>
        <v>0</v>
      </c>
      <c r="U1140" s="116">
        <f>U1100+U1105+U1111+U1118+U1125+U1132</f>
        <v>0</v>
      </c>
      <c r="V1140" s="273"/>
      <c r="W1140" s="116">
        <f ca="1">HLOOKUP($W$9,'ROR-Model'!$Q$10:$U$1263,Y1140)</f>
        <v>2030666639.5022209</v>
      </c>
      <c r="X1140" s="118"/>
      <c r="Y1140" s="577">
        <f t="shared" si="63"/>
        <v>1131</v>
      </c>
      <c r="AA1140" s="116">
        <v>1678682028.1576667</v>
      </c>
      <c r="AB1140" s="116">
        <f t="shared" ca="1" si="74"/>
        <v>351984611.34455419</v>
      </c>
    </row>
    <row r="1141" spans="1:28">
      <c r="A1141" s="227"/>
      <c r="B1141" s="102" t="s">
        <v>595</v>
      </c>
      <c r="C1141" s="102"/>
      <c r="D1141" s="102"/>
      <c r="E1141" s="116">
        <f ca="1">+G1141-Adjustments!H1142</f>
        <v>25143441.985541351</v>
      </c>
      <c r="F1141" s="116">
        <f>F1101+F1112+F1119+F1126+F1133</f>
        <v>-102750696.32000002</v>
      </c>
      <c r="G1141" s="116">
        <f ca="1">G1101+G1112+G1119+G1126+G1133</f>
        <v>25143441.985541351</v>
      </c>
      <c r="H1141" s="116">
        <f t="shared" ref="H1141:I1141" si="78">H1101+H1112+H1119+H1126+H1133</f>
        <v>0</v>
      </c>
      <c r="I1141" s="116">
        <f t="shared" ca="1" si="78"/>
        <v>-77607254.334458679</v>
      </c>
      <c r="J1141" s="116"/>
      <c r="K1141" s="116"/>
      <c r="L1141" s="116"/>
      <c r="M1141" s="116">
        <f ca="1">M1101+M1112+M1119+M1126+M1133</f>
        <v>-77850547.003696501</v>
      </c>
      <c r="N1141" s="116">
        <f ca="1">N1101+N1112+N1119+N1126+N1133</f>
        <v>243292.66923787352</v>
      </c>
      <c r="O1141" s="272"/>
      <c r="P1141" s="207"/>
      <c r="Q1141" s="116">
        <f ca="1">Q1101+Q1112+Q1119+Q1126+Q1133</f>
        <v>-77850547.003696501</v>
      </c>
      <c r="R1141" s="116">
        <f>R1101+R1112+R1119+R1126</f>
        <v>0</v>
      </c>
      <c r="S1141" s="240"/>
      <c r="T1141" s="116">
        <f ca="1">T1101+T1112+T1119+T1126+T1133</f>
        <v>243292.66923787352</v>
      </c>
      <c r="U1141" s="116">
        <f>U1101+U1112+U1119+U1126+U1133</f>
        <v>0</v>
      </c>
      <c r="V1141" s="273"/>
      <c r="W1141" s="116">
        <f ca="1">HLOOKUP($W$9,'ROR-Model'!$Q$10:$U$1263,Y1141)</f>
        <v>-77850547.003696501</v>
      </c>
      <c r="X1141" s="118"/>
      <c r="Y1141" s="577">
        <f t="shared" si="63"/>
        <v>1132</v>
      </c>
      <c r="AA1141" s="116">
        <v>121678115.62629597</v>
      </c>
      <c r="AB1141" s="116">
        <f t="shared" ca="1" si="74"/>
        <v>-199528662.62999249</v>
      </c>
    </row>
    <row r="1142" spans="1:28" ht="13.5" thickBot="1">
      <c r="A1142" s="227"/>
      <c r="B1142" s="102"/>
      <c r="C1142" s="102"/>
      <c r="D1142" s="102"/>
      <c r="E1142" s="235">
        <f>+G1142-Adjustments!H1143</f>
        <v>0</v>
      </c>
      <c r="F1142" s="235"/>
      <c r="G1142" s="235"/>
      <c r="H1142" s="235"/>
      <c r="I1142" s="235"/>
      <c r="J1142" s="116"/>
      <c r="K1142" s="116"/>
      <c r="L1142" s="235"/>
      <c r="M1142" s="235"/>
      <c r="N1142" s="235"/>
      <c r="O1142" s="272"/>
      <c r="P1142" s="613"/>
      <c r="Q1142" s="235"/>
      <c r="R1142" s="235"/>
      <c r="S1142" s="613"/>
      <c r="T1142" s="235"/>
      <c r="U1142" s="235"/>
      <c r="V1142" s="273"/>
      <c r="W1142" s="235"/>
      <c r="X1142" s="118"/>
      <c r="Y1142" s="577">
        <f t="shared" si="63"/>
        <v>1133</v>
      </c>
      <c r="AA1142" s="235"/>
      <c r="AB1142" s="116">
        <f t="shared" si="74"/>
        <v>0</v>
      </c>
    </row>
    <row r="1143" spans="1:28" ht="13.5" thickTop="1">
      <c r="A1143" s="227"/>
      <c r="B1143" s="102"/>
      <c r="C1143" s="102"/>
      <c r="D1143" s="102"/>
      <c r="E1143" s="116">
        <f>+G1143-Adjustments!H1144</f>
        <v>0</v>
      </c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272"/>
      <c r="P1143" s="207"/>
      <c r="Q1143" s="116"/>
      <c r="R1143" s="116"/>
      <c r="S1143" s="240"/>
      <c r="T1143" s="116"/>
      <c r="U1143" s="116"/>
      <c r="V1143" s="273"/>
      <c r="W1143" s="116"/>
      <c r="X1143" s="118"/>
      <c r="Y1143" s="577">
        <f t="shared" si="63"/>
        <v>1134</v>
      </c>
      <c r="AA1143" s="116"/>
      <c r="AB1143" s="116">
        <f t="shared" si="74"/>
        <v>0</v>
      </c>
    </row>
    <row r="1144" spans="1:28">
      <c r="A1144" s="227"/>
      <c r="B1144" s="74" t="s">
        <v>291</v>
      </c>
      <c r="C1144" s="102"/>
      <c r="D1144" s="102"/>
      <c r="E1144" s="116">
        <f ca="1">+G1144-Adjustments!H1145</f>
        <v>294049352.55627418</v>
      </c>
      <c r="F1144" s="116">
        <f>F1102+F1106+F1113+F1120+F1127+F1134</f>
        <v>1719831341.8620005</v>
      </c>
      <c r="G1144" s="116">
        <f ca="1">G1102+G1106+G1113+G1120+G1127+G1134</f>
        <v>294049352.55627418</v>
      </c>
      <c r="H1144" s="116">
        <f>H1102+H1106+H1113+H1120+H1127+H1134</f>
        <v>0</v>
      </c>
      <c r="I1144" s="116">
        <f ca="1">I1102+I1106+I1113+I1120+I1127+I1134</f>
        <v>2013880694.4182744</v>
      </c>
      <c r="J1144" s="116"/>
      <c r="K1144" s="116"/>
      <c r="L1144" s="116"/>
      <c r="M1144" s="116">
        <f ca="1">M1102+M1106+M1113+M1120+M1127+M1134</f>
        <v>1955835995.5283473</v>
      </c>
      <c r="N1144" s="116">
        <f ca="1">N1102+N1106+N1113+N1120+N1127+N1134</f>
        <v>58044698.889927298</v>
      </c>
      <c r="O1144" s="272"/>
      <c r="P1144" s="207"/>
      <c r="Q1144" s="116">
        <f ca="1">Q1102+Q1106+Q1113+Q1120+Q1127+Q1134</f>
        <v>1955835995.5283473</v>
      </c>
      <c r="R1144" s="116">
        <f>R1102+R1106+R1113+R1120+R1127</f>
        <v>0</v>
      </c>
      <c r="S1144" s="240"/>
      <c r="T1144" s="116">
        <f ca="1">T1102+T1106+T1113+T1120+T1127+T1134</f>
        <v>57934518.634037063</v>
      </c>
      <c r="U1144" s="116">
        <f ca="1">U1102+U1106+U1113+U1120+U1127+U1134</f>
        <v>110180.25589022029</v>
      </c>
      <c r="V1144" s="273"/>
      <c r="W1144" s="116">
        <f ca="1">HLOOKUP($W$9,'ROR-Model'!$Q$10:$U$1263,Y1144)</f>
        <v>1955835995.5283473</v>
      </c>
      <c r="X1144" s="118"/>
      <c r="Y1144" s="577">
        <f t="shared" si="63"/>
        <v>1135</v>
      </c>
      <c r="AA1144" s="116">
        <v>1804489873.5081129</v>
      </c>
      <c r="AB1144" s="116">
        <f t="shared" ca="1" si="74"/>
        <v>151346122.02023435</v>
      </c>
    </row>
    <row r="1145" spans="1:28">
      <c r="A1145" s="227"/>
      <c r="B1145" s="102"/>
      <c r="C1145" s="102"/>
      <c r="D1145" s="102"/>
      <c r="E1145" s="116">
        <f>+G1145-Adjustments!H1146</f>
        <v>0</v>
      </c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272"/>
      <c r="P1145" s="240"/>
      <c r="Q1145" s="116"/>
      <c r="R1145" s="116"/>
      <c r="S1145" s="240"/>
      <c r="T1145" s="116"/>
      <c r="U1145" s="116"/>
      <c r="V1145" s="273"/>
      <c r="W1145" s="116"/>
      <c r="X1145" s="118"/>
      <c r="Y1145" s="577">
        <f t="shared" si="63"/>
        <v>1136</v>
      </c>
      <c r="AA1145" s="116"/>
      <c r="AB1145" s="116">
        <f t="shared" si="74"/>
        <v>0</v>
      </c>
    </row>
    <row r="1146" spans="1:28">
      <c r="A1146" s="227"/>
      <c r="B1146" s="102"/>
      <c r="C1146" s="102"/>
      <c r="D1146" s="102"/>
      <c r="E1146" s="116">
        <f>+G1146-Adjustments!H1147</f>
        <v>0</v>
      </c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272"/>
      <c r="P1146" s="240"/>
      <c r="Q1146" s="116"/>
      <c r="R1146" s="116"/>
      <c r="S1146" s="240"/>
      <c r="T1146" s="116"/>
      <c r="U1146" s="116"/>
      <c r="V1146" s="273"/>
      <c r="W1146" s="116"/>
      <c r="X1146" s="118"/>
      <c r="Y1146" s="577">
        <f t="shared" si="63"/>
        <v>1137</v>
      </c>
      <c r="AA1146" s="116"/>
      <c r="AB1146" s="116">
        <f t="shared" si="74"/>
        <v>0</v>
      </c>
    </row>
    <row r="1147" spans="1:28">
      <c r="A1147" s="36" t="s">
        <v>177</v>
      </c>
      <c r="B1147" s="102"/>
      <c r="C1147" s="102"/>
      <c r="D1147" s="102"/>
      <c r="E1147" s="116">
        <f>+G1147-Adjustments!H1148</f>
        <v>0</v>
      </c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272"/>
      <c r="P1147" s="240"/>
      <c r="Q1147" s="116"/>
      <c r="R1147" s="116"/>
      <c r="S1147" s="240"/>
      <c r="T1147" s="116"/>
      <c r="U1147" s="116"/>
      <c r="V1147" s="273"/>
      <c r="W1147" s="116"/>
      <c r="X1147" s="118"/>
      <c r="Y1147" s="577">
        <f t="shared" si="63"/>
        <v>1138</v>
      </c>
      <c r="AA1147" s="116"/>
      <c r="AB1147" s="116">
        <f t="shared" si="74"/>
        <v>0</v>
      </c>
    </row>
    <row r="1148" spans="1:28">
      <c r="A1148" s="227"/>
      <c r="B1148" s="102"/>
      <c r="C1148" s="102"/>
      <c r="D1148" s="102"/>
      <c r="E1148" s="116">
        <f>+G1148-Adjustments!H1149</f>
        <v>0</v>
      </c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272"/>
      <c r="P1148" s="240"/>
      <c r="Q1148" s="116"/>
      <c r="R1148" s="116"/>
      <c r="S1148" s="240"/>
      <c r="T1148" s="116"/>
      <c r="U1148" s="116"/>
      <c r="V1148" s="273"/>
      <c r="W1148" s="116"/>
      <c r="X1148" s="118"/>
      <c r="Y1148" s="577">
        <f t="shared" si="63"/>
        <v>1139</v>
      </c>
      <c r="AA1148" s="116"/>
      <c r="AB1148" s="116">
        <f t="shared" si="74"/>
        <v>0</v>
      </c>
    </row>
    <row r="1149" spans="1:28">
      <c r="A1149" s="136">
        <v>154</v>
      </c>
      <c r="B1149" s="102" t="s">
        <v>308</v>
      </c>
      <c r="C1149" s="102"/>
      <c r="D1149" s="102"/>
      <c r="E1149" s="116">
        <f>+G1149-Adjustments!H1150</f>
        <v>0</v>
      </c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272"/>
      <c r="P1149" s="240"/>
      <c r="Q1149" s="116"/>
      <c r="R1149" s="116"/>
      <c r="S1149" s="240"/>
      <c r="T1149" s="116"/>
      <c r="U1149" s="116"/>
      <c r="V1149" s="273"/>
      <c r="W1149" s="116"/>
      <c r="X1149" s="118"/>
      <c r="Y1149" s="577">
        <f t="shared" si="63"/>
        <v>1140</v>
      </c>
      <c r="AA1149" s="116"/>
      <c r="AB1149" s="116">
        <f t="shared" si="74"/>
        <v>0</v>
      </c>
    </row>
    <row r="1150" spans="1:28">
      <c r="A1150" s="136"/>
      <c r="B1150" s="102"/>
      <c r="C1150" s="102" t="s">
        <v>24</v>
      </c>
      <c r="D1150" s="102"/>
      <c r="E1150" s="116">
        <f>+G1150-Adjustments!H1151</f>
        <v>20995.793751930469</v>
      </c>
      <c r="F1150" s="116">
        <f>+'Rate Base'!$AE$198</f>
        <v>821279.85365963727</v>
      </c>
      <c r="G1150" s="116">
        <f>+Adjustments!AW1133</f>
        <v>20995.793751930469</v>
      </c>
      <c r="H1150" s="116"/>
      <c r="I1150" s="116">
        <f>SUM($F$1150:$H$1150)</f>
        <v>842275.64741156774</v>
      </c>
      <c r="J1150" s="116"/>
      <c r="K1150" s="116"/>
      <c r="L1150" s="116" t="s">
        <v>24</v>
      </c>
      <c r="M1150" s="116">
        <f>VLOOKUP($L1150,$L$2:$N$7,2,FALSE)*I1150</f>
        <v>0</v>
      </c>
      <c r="N1150" s="116">
        <f>VLOOKUP($L1150,$L$2:$N$7,3,FALSE)*I1150</f>
        <v>842275.64741156774</v>
      </c>
      <c r="O1150" s="272"/>
      <c r="P1150" s="207" t="s">
        <v>560</v>
      </c>
      <c r="Q1150" s="116">
        <f>IF(P1150="G",M1150,IF(P1150="PT",0,ERR))</f>
        <v>0</v>
      </c>
      <c r="R1150" s="116">
        <f>IF(P1150="PT",M1150,IF(P1150="G",0,ERR))</f>
        <v>0</v>
      </c>
      <c r="S1150" s="240" t="s">
        <v>560</v>
      </c>
      <c r="T1150" s="116">
        <f>IF(S1150="G",N1150,IF(S1150="PT",0,ERR))</f>
        <v>842275.64741156774</v>
      </c>
      <c r="U1150" s="116">
        <f>IF(S1150="PT",N1150,IF(S1150="G",0,ERR))</f>
        <v>0</v>
      </c>
      <c r="V1150" s="273"/>
      <c r="W1150" s="116">
        <f>HLOOKUP($W$9,'ROR-Model'!$Q$10:$U$1263,Y1150)</f>
        <v>0</v>
      </c>
      <c r="X1150" s="118"/>
      <c r="Y1150" s="577">
        <f t="shared" si="63"/>
        <v>1141</v>
      </c>
      <c r="AA1150" s="116">
        <v>0</v>
      </c>
      <c r="AB1150" s="116">
        <f t="shared" si="74"/>
        <v>0</v>
      </c>
    </row>
    <row r="1151" spans="1:28">
      <c r="A1151" s="136"/>
      <c r="B1151" s="102"/>
      <c r="C1151" s="102" t="s">
        <v>14</v>
      </c>
      <c r="D1151" s="102"/>
      <c r="E1151" s="116">
        <f>+G1151-Adjustments!H1152</f>
        <v>622678.77958139777</v>
      </c>
      <c r="F1151" s="116">
        <f>+'Rate Base'!$AE$199</f>
        <v>24356951.826340362</v>
      </c>
      <c r="G1151" s="116">
        <f>+Adjustments!AW1134</f>
        <v>622678.77958139777</v>
      </c>
      <c r="H1151" s="116"/>
      <c r="I1151" s="116">
        <f>SUM($F$1151:$H$1151)</f>
        <v>24979630.60592176</v>
      </c>
      <c r="J1151" s="116"/>
      <c r="K1151" s="116"/>
      <c r="L1151" s="116" t="s">
        <v>14</v>
      </c>
      <c r="M1151" s="116">
        <f>VLOOKUP($L1151,$L$2:$N$7,2,FALSE)*I1151</f>
        <v>24979630.60592176</v>
      </c>
      <c r="N1151" s="116">
        <f>VLOOKUP($L1151,$L$2:$N$7,3,FALSE)*I1151</f>
        <v>0</v>
      </c>
      <c r="O1151" s="272"/>
      <c r="P1151" s="207" t="s">
        <v>560</v>
      </c>
      <c r="Q1151" s="116">
        <f>IF(P1151="G",M1151,IF(P1151="PT",0,ERR))</f>
        <v>24979630.60592176</v>
      </c>
      <c r="R1151" s="116">
        <f>IF(P1151="PT",M1151,IF(P1151="G",0,ERR))</f>
        <v>0</v>
      </c>
      <c r="S1151" s="240" t="s">
        <v>560</v>
      </c>
      <c r="T1151" s="116">
        <f>IF(S1151="G",N1151,IF(S1151="PT",0,ERR))</f>
        <v>0</v>
      </c>
      <c r="U1151" s="116">
        <f>IF(S1151="PT",N1151,IF(S1151="G",0,ERR))</f>
        <v>0</v>
      </c>
      <c r="V1151" s="273"/>
      <c r="W1151" s="116">
        <f>HLOOKUP($W$9,'ROR-Model'!$Q$10:$U$1263,Y1151)</f>
        <v>24979630.60592176</v>
      </c>
      <c r="X1151" s="118"/>
      <c r="Y1151" s="577">
        <f t="shared" si="63"/>
        <v>1142</v>
      </c>
      <c r="AA1151" s="116">
        <v>25071453.841744561</v>
      </c>
      <c r="AB1151" s="116">
        <f t="shared" si="74"/>
        <v>-91823.235822800547</v>
      </c>
    </row>
    <row r="1152" spans="1:28">
      <c r="A1152" s="136"/>
      <c r="B1152" s="102"/>
      <c r="C1152" s="102" t="s">
        <v>170</v>
      </c>
      <c r="D1152" s="102"/>
      <c r="E1152" s="131">
        <f>+G1152-Adjustments!H1153</f>
        <v>643674.57333332824</v>
      </c>
      <c r="F1152" s="131">
        <f>SUM(F1150:F1151)</f>
        <v>25178231.68</v>
      </c>
      <c r="G1152" s="131">
        <f>SUM(G1150:G1151)</f>
        <v>643674.57333332824</v>
      </c>
      <c r="H1152" s="131">
        <f>SUM(H1150:H1151)</f>
        <v>0</v>
      </c>
      <c r="I1152" s="131">
        <f>SUM(I1150:I1151)</f>
        <v>25821906.253333326</v>
      </c>
      <c r="J1152" s="116"/>
      <c r="K1152" s="116"/>
      <c r="L1152" s="131"/>
      <c r="M1152" s="131">
        <f>SUM(M1150:M1151)</f>
        <v>24979630.60592176</v>
      </c>
      <c r="N1152" s="131">
        <f>SUM(N1150:N1151)</f>
        <v>842275.64741156774</v>
      </c>
      <c r="O1152" s="272"/>
      <c r="P1152" s="257"/>
      <c r="Q1152" s="131">
        <f>SUM(Q1150:Q1151)</f>
        <v>24979630.60592176</v>
      </c>
      <c r="R1152" s="131">
        <f>SUM(R1150:R1151)</f>
        <v>0</v>
      </c>
      <c r="S1152" s="257"/>
      <c r="T1152" s="131">
        <f>SUM(T1150:T1151)</f>
        <v>842275.64741156774</v>
      </c>
      <c r="U1152" s="131">
        <f>SUM(U1150:U1151)</f>
        <v>0</v>
      </c>
      <c r="V1152" s="273"/>
      <c r="W1152" s="131">
        <f>HLOOKUP($W$9,'ROR-Model'!$Q$10:$U$1263,Y1152)</f>
        <v>24979630.60592176</v>
      </c>
      <c r="X1152" s="118"/>
      <c r="Y1152" s="577">
        <f t="shared" si="63"/>
        <v>1143</v>
      </c>
      <c r="AA1152" s="131">
        <v>25071453.841744561</v>
      </c>
      <c r="AB1152" s="116">
        <f t="shared" si="74"/>
        <v>-91823.235822800547</v>
      </c>
    </row>
    <row r="1153" spans="1:28">
      <c r="A1153" s="136"/>
      <c r="B1153" s="102"/>
      <c r="C1153" s="102"/>
      <c r="D1153" s="102"/>
      <c r="E1153" s="116">
        <f>+G1153-Adjustments!H1154</f>
        <v>0</v>
      </c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272"/>
      <c r="P1153" s="240"/>
      <c r="Q1153" s="116"/>
      <c r="R1153" s="116"/>
      <c r="S1153" s="240"/>
      <c r="T1153" s="116"/>
      <c r="U1153" s="116"/>
      <c r="V1153" s="273"/>
      <c r="W1153" s="116"/>
      <c r="X1153" s="118"/>
      <c r="Y1153" s="577">
        <f t="shared" si="63"/>
        <v>1144</v>
      </c>
      <c r="AA1153" s="116"/>
      <c r="AB1153" s="116">
        <f t="shared" si="74"/>
        <v>0</v>
      </c>
    </row>
    <row r="1154" spans="1:28">
      <c r="A1154" s="136">
        <v>1641</v>
      </c>
      <c r="B1154" s="102" t="s">
        <v>309</v>
      </c>
      <c r="C1154" s="102"/>
      <c r="D1154" s="102"/>
      <c r="E1154" s="116">
        <f>+G1154-Adjustments!H1155</f>
        <v>0</v>
      </c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272"/>
      <c r="P1154" s="240"/>
      <c r="Q1154" s="116"/>
      <c r="R1154" s="116"/>
      <c r="S1154" s="240"/>
      <c r="T1154" s="116"/>
      <c r="U1154" s="116"/>
      <c r="V1154" s="273"/>
      <c r="W1154" s="116"/>
      <c r="X1154" s="118"/>
      <c r="Y1154" s="577">
        <f t="shared" si="63"/>
        <v>1145</v>
      </c>
      <c r="AA1154" s="116"/>
      <c r="AB1154" s="116">
        <f t="shared" si="74"/>
        <v>0</v>
      </c>
    </row>
    <row r="1155" spans="1:28">
      <c r="A1155" s="136"/>
      <c r="B1155" s="102"/>
      <c r="C1155" s="102" t="s">
        <v>443</v>
      </c>
      <c r="D1155" s="102"/>
      <c r="E1155" s="116">
        <f>+G1155-Adjustments!H1156</f>
        <v>-52891066.75</v>
      </c>
      <c r="F1155" s="116">
        <f>+'Rate Base'!$AE$203</f>
        <v>52891066.75</v>
      </c>
      <c r="G1155" s="116">
        <f>-F1155</f>
        <v>-52891066.75</v>
      </c>
      <c r="H1155" s="116"/>
      <c r="I1155" s="116">
        <f>SUM($F$1155:$H$1155)</f>
        <v>0</v>
      </c>
      <c r="J1155" s="116"/>
      <c r="K1155" s="116"/>
      <c r="L1155" s="116" t="s">
        <v>693</v>
      </c>
      <c r="M1155" s="116">
        <f>VLOOKUP($L1155,$L$2:$N$7,2,FALSE)*I1155</f>
        <v>0</v>
      </c>
      <c r="N1155" s="116">
        <f>VLOOKUP($L1155,$L$2:$N$7,3,FALSE)*I1155</f>
        <v>0</v>
      </c>
      <c r="O1155" s="272"/>
      <c r="P1155" s="207" t="s">
        <v>560</v>
      </c>
      <c r="Q1155" s="116">
        <f>IF(P1155="G",M1155,IF(P1155="PT",0,ERR))</f>
        <v>0</v>
      </c>
      <c r="R1155" s="116">
        <f>IF(P1155="PT",M1155,IF(P1155="G",0,ERR))</f>
        <v>0</v>
      </c>
      <c r="S1155" s="240" t="s">
        <v>560</v>
      </c>
      <c r="T1155" s="116">
        <f>IF(S1155="G",N1155,IF(S1155="PT",0,ERR))</f>
        <v>0</v>
      </c>
      <c r="U1155" s="116">
        <f>IF(S1155="PT",N1155,IF(S1155="G",0,ERR))</f>
        <v>0</v>
      </c>
      <c r="V1155" s="273"/>
      <c r="W1155" s="116">
        <f>HLOOKUP($W$9,'ROR-Model'!$Q$10:$U$1263,Y1155)</f>
        <v>0</v>
      </c>
      <c r="X1155" s="118"/>
      <c r="Y1155" s="577">
        <f t="shared" si="63"/>
        <v>1146</v>
      </c>
      <c r="AA1155" s="116">
        <v>0</v>
      </c>
      <c r="AB1155" s="116">
        <f t="shared" si="74"/>
        <v>0</v>
      </c>
    </row>
    <row r="1156" spans="1:28">
      <c r="A1156" s="136"/>
      <c r="B1156" s="102"/>
      <c r="C1156" s="102" t="s">
        <v>170</v>
      </c>
      <c r="D1156" s="102"/>
      <c r="E1156" s="131">
        <f>+G1156-Adjustments!H1157</f>
        <v>-52891066.75</v>
      </c>
      <c r="F1156" s="131">
        <f>SUM(F1155)</f>
        <v>52891066.75</v>
      </c>
      <c r="G1156" s="131">
        <f>SUM(G1155)</f>
        <v>-52891066.75</v>
      </c>
      <c r="H1156" s="131">
        <f>SUM(H1155)</f>
        <v>0</v>
      </c>
      <c r="I1156" s="131">
        <f>SUM(I1155)</f>
        <v>0</v>
      </c>
      <c r="J1156" s="116"/>
      <c r="K1156" s="116"/>
      <c r="L1156" s="131"/>
      <c r="M1156" s="131">
        <f>SUM(M1155)</f>
        <v>0</v>
      </c>
      <c r="N1156" s="131">
        <f>SUM(N1155)</f>
        <v>0</v>
      </c>
      <c r="O1156" s="272"/>
      <c r="P1156" s="257"/>
      <c r="Q1156" s="131">
        <f>SUM(Q1155)</f>
        <v>0</v>
      </c>
      <c r="R1156" s="131">
        <f>SUM(R1155)</f>
        <v>0</v>
      </c>
      <c r="S1156" s="257"/>
      <c r="T1156" s="131">
        <f>SUM(T1155)</f>
        <v>0</v>
      </c>
      <c r="U1156" s="131">
        <f>SUM(U1155)</f>
        <v>0</v>
      </c>
      <c r="V1156" s="273"/>
      <c r="W1156" s="131">
        <f>HLOOKUP($W$9,'ROR-Model'!$Q$10:$U$1263,Y1156)</f>
        <v>0</v>
      </c>
      <c r="X1156" s="118"/>
      <c r="Y1156" s="577">
        <f t="shared" si="63"/>
        <v>1147</v>
      </c>
      <c r="AA1156" s="131">
        <v>0</v>
      </c>
      <c r="AB1156" s="116">
        <f t="shared" si="74"/>
        <v>0</v>
      </c>
    </row>
    <row r="1157" spans="1:28">
      <c r="A1157" s="136"/>
      <c r="B1157" s="102"/>
      <c r="C1157" s="102"/>
      <c r="D1157" s="102"/>
      <c r="E1157" s="116">
        <f>+G1157-Adjustments!H1158</f>
        <v>0</v>
      </c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272"/>
      <c r="P1157" s="240"/>
      <c r="Q1157" s="116"/>
      <c r="R1157" s="116"/>
      <c r="S1157" s="240"/>
      <c r="T1157" s="116"/>
      <c r="U1157" s="116"/>
      <c r="V1157" s="273"/>
      <c r="W1157" s="116"/>
      <c r="X1157" s="118"/>
      <c r="Y1157" s="577">
        <f t="shared" si="63"/>
        <v>1148</v>
      </c>
      <c r="AA1157" s="116"/>
      <c r="AB1157" s="116">
        <f t="shared" si="74"/>
        <v>0</v>
      </c>
    </row>
    <row r="1158" spans="1:28">
      <c r="A1158" s="136">
        <v>165</v>
      </c>
      <c r="B1158" s="102" t="s">
        <v>310</v>
      </c>
      <c r="C1158" s="102"/>
      <c r="D1158" s="102"/>
      <c r="E1158" s="116">
        <f>+G1158-Adjustments!H1159</f>
        <v>0</v>
      </c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272"/>
      <c r="P1158" s="240"/>
      <c r="Q1158" s="116"/>
      <c r="R1158" s="116"/>
      <c r="S1158" s="240"/>
      <c r="T1158" s="116"/>
      <c r="U1158" s="116"/>
      <c r="V1158" s="273"/>
      <c r="W1158" s="116"/>
      <c r="X1158" s="118"/>
      <c r="Y1158" s="577">
        <f t="shared" si="63"/>
        <v>1149</v>
      </c>
      <c r="AA1158" s="116"/>
      <c r="AB1158" s="116">
        <f t="shared" si="74"/>
        <v>0</v>
      </c>
    </row>
    <row r="1159" spans="1:28">
      <c r="A1159" s="136"/>
      <c r="B1159" s="102"/>
      <c r="C1159" s="102" t="s">
        <v>595</v>
      </c>
      <c r="D1159" s="102"/>
      <c r="E1159" s="116">
        <f>+G1159-Adjustments!H1160</f>
        <v>-257724.94083333341</v>
      </c>
      <c r="F1159" s="116">
        <f>+'Rate Base'!$AE$207</f>
        <v>3910153.76</v>
      </c>
      <c r="G1159" s="116">
        <f>+Adjustments!AW1142</f>
        <v>-257724.94083333341</v>
      </c>
      <c r="H1159" s="116"/>
      <c r="I1159" s="116">
        <f>SUM($F$1159:$H$1159)</f>
        <v>3652428.8191666664</v>
      </c>
      <c r="J1159" s="116"/>
      <c r="K1159" s="116"/>
      <c r="L1159" s="116" t="s">
        <v>473</v>
      </c>
      <c r="M1159" s="116">
        <f ca="1">VLOOKUP($L1159,$L$2:$N$7,2,FALSE)*I1159</f>
        <v>3533813.5683451435</v>
      </c>
      <c r="N1159" s="116">
        <f ca="1">VLOOKUP($L1159,$L$2:$N$7,3,FALSE)*I1159</f>
        <v>118615.25082152268</v>
      </c>
      <c r="O1159" s="272"/>
      <c r="P1159" s="207" t="s">
        <v>560</v>
      </c>
      <c r="Q1159" s="116">
        <f ca="1">IF(P1159="G",M1159,IF(P1159="PT",0,ERR))</f>
        <v>3533813.5683451435</v>
      </c>
      <c r="R1159" s="116">
        <f>IF(P1159="PT",M1159,IF(P1159="G",0,ERR))</f>
        <v>0</v>
      </c>
      <c r="S1159" s="240" t="s">
        <v>560</v>
      </c>
      <c r="T1159" s="116">
        <f ca="1">IF(S1159="G",N1159,IF(S1159="PT",0,ERR))</f>
        <v>118615.25082152268</v>
      </c>
      <c r="U1159" s="116">
        <f>IF(S1159="PT",N1159,IF(S1159="G",0,ERR))</f>
        <v>0</v>
      </c>
      <c r="V1159" s="273"/>
      <c r="W1159" s="116">
        <f ca="1">HLOOKUP($W$9,'ROR-Model'!$Q$10:$U$1263,Y1159)</f>
        <v>3533813.5683451435</v>
      </c>
      <c r="X1159" s="118"/>
      <c r="Y1159" s="577">
        <f t="shared" si="63"/>
        <v>1150</v>
      </c>
      <c r="AA1159" s="116">
        <v>3515608.9968637214</v>
      </c>
      <c r="AB1159" s="116">
        <f t="shared" ca="1" si="74"/>
        <v>18204.571481422056</v>
      </c>
    </row>
    <row r="1160" spans="1:28">
      <c r="A1160" s="136"/>
      <c r="B1160" s="102"/>
      <c r="C1160" s="102" t="s">
        <v>170</v>
      </c>
      <c r="D1160" s="102"/>
      <c r="E1160" s="131">
        <f>+G1160-Adjustments!H1161</f>
        <v>-257724.94083333341</v>
      </c>
      <c r="F1160" s="131">
        <f>SUM(F1159)</f>
        <v>3910153.76</v>
      </c>
      <c r="G1160" s="131">
        <f>SUM(G1159)</f>
        <v>-257724.94083333341</v>
      </c>
      <c r="H1160" s="131">
        <f>SUM(H1159)</f>
        <v>0</v>
      </c>
      <c r="I1160" s="131">
        <f>SUM(I1159)</f>
        <v>3652428.8191666664</v>
      </c>
      <c r="J1160" s="116"/>
      <c r="K1160" s="116"/>
      <c r="L1160" s="131"/>
      <c r="M1160" s="131">
        <f ca="1">SUM(M1159)</f>
        <v>3533813.5683451435</v>
      </c>
      <c r="N1160" s="131">
        <f ca="1">SUM(N1159)</f>
        <v>118615.25082152268</v>
      </c>
      <c r="O1160" s="272"/>
      <c r="P1160" s="257"/>
      <c r="Q1160" s="131">
        <f ca="1">SUM(Q1159)</f>
        <v>3533813.5683451435</v>
      </c>
      <c r="R1160" s="131">
        <f>SUM(R1159)</f>
        <v>0</v>
      </c>
      <c r="S1160" s="257"/>
      <c r="T1160" s="131">
        <f ca="1">SUM(T1159)</f>
        <v>118615.25082152268</v>
      </c>
      <c r="U1160" s="131">
        <f>SUM(U1159)</f>
        <v>0</v>
      </c>
      <c r="V1160" s="273"/>
      <c r="W1160" s="131">
        <f ca="1">HLOOKUP($W$9,'ROR-Model'!$Q$10:$U$1263,Y1160)</f>
        <v>3533813.5683451435</v>
      </c>
      <c r="X1160" s="118"/>
      <c r="Y1160" s="577">
        <f t="shared" si="63"/>
        <v>1151</v>
      </c>
      <c r="AA1160" s="131">
        <v>3515608.9968637214</v>
      </c>
      <c r="AB1160" s="116">
        <f t="shared" ca="1" si="74"/>
        <v>18204.571481422056</v>
      </c>
    </row>
    <row r="1161" spans="1:28">
      <c r="A1161" s="136"/>
      <c r="B1161" s="102"/>
      <c r="C1161" s="102"/>
      <c r="D1161" s="102"/>
      <c r="E1161" s="116">
        <f>+G1161-Adjustments!H1162</f>
        <v>0</v>
      </c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272"/>
      <c r="P1161" s="240"/>
      <c r="Q1161" s="116"/>
      <c r="R1161" s="116"/>
      <c r="S1161" s="240"/>
      <c r="T1161" s="116"/>
      <c r="U1161" s="116"/>
      <c r="V1161" s="273"/>
      <c r="W1161" s="116"/>
      <c r="X1161" s="118"/>
      <c r="Y1161" s="577">
        <f t="shared" si="63"/>
        <v>1152</v>
      </c>
      <c r="AA1161" s="116"/>
      <c r="AB1161" s="116">
        <f t="shared" si="74"/>
        <v>0</v>
      </c>
    </row>
    <row r="1162" spans="1:28">
      <c r="A1162" s="238" t="s">
        <v>303</v>
      </c>
      <c r="B1162" s="119" t="s">
        <v>305</v>
      </c>
      <c r="C1162" s="102"/>
      <c r="D1162" s="102"/>
      <c r="E1162" s="116">
        <f>+G1162-Adjustments!H1163</f>
        <v>0</v>
      </c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272"/>
      <c r="P1162" s="240"/>
      <c r="Q1162" s="116"/>
      <c r="R1162" s="116"/>
      <c r="S1162" s="240"/>
      <c r="T1162" s="116"/>
      <c r="U1162" s="116"/>
      <c r="V1162" s="273"/>
      <c r="W1162" s="116"/>
      <c r="X1162" s="118"/>
      <c r="Y1162" s="577">
        <f t="shared" ref="Y1162:Y1225" si="79">Y1161+1</f>
        <v>1153</v>
      </c>
      <c r="AA1162" s="116"/>
      <c r="AB1162" s="116">
        <f t="shared" si="74"/>
        <v>0</v>
      </c>
    </row>
    <row r="1163" spans="1:28">
      <c r="A1163" s="136"/>
      <c r="B1163" s="102"/>
      <c r="C1163" s="102" t="s">
        <v>443</v>
      </c>
      <c r="D1163" s="102"/>
      <c r="E1163" s="116">
        <f>+G1163-Adjustments!H1164</f>
        <v>0</v>
      </c>
      <c r="F1163" s="116">
        <f>+'Rate Base'!$AE$211</f>
        <v>0</v>
      </c>
      <c r="G1163" s="116">
        <f>+Adjustments!AW1146</f>
        <v>0</v>
      </c>
      <c r="H1163" s="116"/>
      <c r="I1163" s="116">
        <f>SUM($F$1163:$H$1163)</f>
        <v>0</v>
      </c>
      <c r="J1163" s="116"/>
      <c r="K1163" s="116"/>
      <c r="L1163" s="116" t="s">
        <v>693</v>
      </c>
      <c r="M1163" s="116">
        <f>VLOOKUP($L1163,$L$2:$N$7,2,FALSE)*I1163</f>
        <v>0</v>
      </c>
      <c r="N1163" s="116">
        <f>VLOOKUP($L1163,$L$2:$N$7,3,FALSE)*I1163</f>
        <v>0</v>
      </c>
      <c r="O1163" s="272"/>
      <c r="P1163" s="207" t="s">
        <v>560</v>
      </c>
      <c r="Q1163" s="116">
        <f>IF(P1163="G",M1163,IF(P1163="PT",0,ERR))</f>
        <v>0</v>
      </c>
      <c r="R1163" s="116">
        <f>IF(P1163="PT",M1163,IF(P1163="G",0,ERR))</f>
        <v>0</v>
      </c>
      <c r="S1163" s="240" t="s">
        <v>559</v>
      </c>
      <c r="T1163" s="116">
        <f>IF(S1163="G",N1163,IF(S1163="PT",0,ERR))</f>
        <v>0</v>
      </c>
      <c r="U1163" s="116">
        <f>IF(S1163="PT",N1163,IF(S1163="G",0,ERR))</f>
        <v>0</v>
      </c>
      <c r="V1163" s="273"/>
      <c r="W1163" s="116">
        <f>HLOOKUP($W$9,'ROR-Model'!$Q$10:$U$1263,Y1163)</f>
        <v>0</v>
      </c>
      <c r="X1163" s="118"/>
      <c r="Y1163" s="577">
        <f t="shared" si="79"/>
        <v>1154</v>
      </c>
      <c r="AA1163" s="116">
        <v>0</v>
      </c>
      <c r="AB1163" s="116">
        <f t="shared" si="74"/>
        <v>0</v>
      </c>
    </row>
    <row r="1164" spans="1:28">
      <c r="A1164" s="136"/>
      <c r="B1164" s="102"/>
      <c r="C1164" s="102" t="s">
        <v>592</v>
      </c>
      <c r="D1164" s="102"/>
      <c r="E1164" s="116">
        <f>+G1164-Adjustments!H1165</f>
        <v>-1832178.8287000023</v>
      </c>
      <c r="F1164" s="116">
        <f>+'Rate Base'!$AE$212</f>
        <v>1832178.8287000023</v>
      </c>
      <c r="G1164" s="116">
        <f>+Adjustments!AW1147</f>
        <v>-1832178.8287000023</v>
      </c>
      <c r="H1164" s="116"/>
      <c r="I1164" s="116">
        <f>SUM($F$1164:$H$1164)</f>
        <v>0</v>
      </c>
      <c r="J1164" s="116"/>
      <c r="K1164" s="116"/>
      <c r="L1164" s="116" t="s">
        <v>24</v>
      </c>
      <c r="M1164" s="116">
        <f>VLOOKUP($L1164,$L$2:$N$7,2,FALSE)*I1164</f>
        <v>0</v>
      </c>
      <c r="N1164" s="116">
        <f>VLOOKUP($L1164,$L$2:$N$7,3,FALSE)*I1164</f>
        <v>0</v>
      </c>
      <c r="O1164" s="272"/>
      <c r="P1164" s="207" t="s">
        <v>560</v>
      </c>
      <c r="Q1164" s="116">
        <f>IF(P1164="G",M1164,IF(P1164="PT",0,ERR))</f>
        <v>0</v>
      </c>
      <c r="R1164" s="116">
        <f>IF(P1164="PT",M1164,IF(P1164="G",0,ERR))</f>
        <v>0</v>
      </c>
      <c r="S1164" s="240" t="s">
        <v>560</v>
      </c>
      <c r="T1164" s="116">
        <f>IF(S1164="G",N1164,IF(S1164="PT",0,ERR))</f>
        <v>0</v>
      </c>
      <c r="U1164" s="116">
        <f>IF(S1164="PT",N1164,IF(S1164="G",0,ERR))</f>
        <v>0</v>
      </c>
      <c r="V1164" s="273"/>
      <c r="W1164" s="116">
        <f>HLOOKUP($W$9,'ROR-Model'!$Q$10:$U$1263,Y1164)</f>
        <v>0</v>
      </c>
      <c r="X1164" s="118"/>
      <c r="Y1164" s="577">
        <f t="shared" si="79"/>
        <v>1155</v>
      </c>
      <c r="AA1164" s="116">
        <v>0</v>
      </c>
      <c r="AB1164" s="116">
        <f t="shared" si="74"/>
        <v>0</v>
      </c>
    </row>
    <row r="1165" spans="1:28">
      <c r="A1165" s="136"/>
      <c r="B1165" s="102"/>
      <c r="C1165" s="102" t="s">
        <v>593</v>
      </c>
      <c r="D1165" s="102"/>
      <c r="E1165" s="116">
        <f>+G1165-Adjustments!H1166</f>
        <v>-55602894.171299994</v>
      </c>
      <c r="F1165" s="116">
        <f>+'Rate Base'!$AE$213</f>
        <v>55602894.171299994</v>
      </c>
      <c r="G1165" s="116">
        <f>+Adjustments!AW1148</f>
        <v>-55602894.171299994</v>
      </c>
      <c r="H1165" s="116"/>
      <c r="I1165" s="116">
        <f>SUM($F$1165:$H$1165)</f>
        <v>0</v>
      </c>
      <c r="J1165" s="116"/>
      <c r="K1165" s="116"/>
      <c r="L1165" s="116" t="s">
        <v>14</v>
      </c>
      <c r="M1165" s="116">
        <f>VLOOKUP($L1165,$L$2:$N$7,2,FALSE)*I1165</f>
        <v>0</v>
      </c>
      <c r="N1165" s="116">
        <f>VLOOKUP($L1165,$L$2:$N$7,3,FALSE)*I1165</f>
        <v>0</v>
      </c>
      <c r="O1165" s="272"/>
      <c r="P1165" s="207" t="s">
        <v>560</v>
      </c>
      <c r="Q1165" s="116">
        <f>IF(P1165="G",M1165,IF(P1165="PT",0,ERR))</f>
        <v>0</v>
      </c>
      <c r="R1165" s="116">
        <f>IF(P1165="PT",M1165,IF(P1165="G",0,ERR))</f>
        <v>0</v>
      </c>
      <c r="S1165" s="240" t="s">
        <v>560</v>
      </c>
      <c r="T1165" s="116">
        <f>IF(S1165="G",N1165,IF(S1165="PT",0,ERR))</f>
        <v>0</v>
      </c>
      <c r="U1165" s="116">
        <f>IF(S1165="PT",N1165,IF(S1165="G",0,ERR))</f>
        <v>0</v>
      </c>
      <c r="V1165" s="273"/>
      <c r="W1165" s="116">
        <f>HLOOKUP($W$9,'ROR-Model'!$Q$10:$U$1263,Y1165)</f>
        <v>0</v>
      </c>
      <c r="X1165" s="118"/>
      <c r="Y1165" s="577">
        <f t="shared" si="79"/>
        <v>1156</v>
      </c>
      <c r="AA1165" s="116">
        <v>2316787.2571374997</v>
      </c>
      <c r="AB1165" s="116">
        <f t="shared" si="74"/>
        <v>-2316787.2571374997</v>
      </c>
    </row>
    <row r="1166" spans="1:28">
      <c r="A1166" s="136"/>
      <c r="B1166" s="102"/>
      <c r="C1166" s="102" t="s">
        <v>595</v>
      </c>
      <c r="D1166" s="102"/>
      <c r="E1166" s="116">
        <f>+G1166-Adjustments!H1167</f>
        <v>0</v>
      </c>
      <c r="F1166" s="116">
        <f>+'Rate Base'!$AE$214</f>
        <v>0</v>
      </c>
      <c r="G1166" s="116">
        <f>+Adjustments!AW1149</f>
        <v>0</v>
      </c>
      <c r="H1166" s="116"/>
      <c r="I1166" s="116">
        <f>SUM($F$1166:$H$1166)</f>
        <v>0</v>
      </c>
      <c r="J1166" s="116"/>
      <c r="K1166" s="116"/>
      <c r="L1166" s="116" t="s">
        <v>473</v>
      </c>
      <c r="M1166" s="116">
        <f ca="1">VLOOKUP($L1166,$L$2:$N$7,2,FALSE)*I1166</f>
        <v>0</v>
      </c>
      <c r="N1166" s="116">
        <f ca="1">VLOOKUP($L1166,$L$2:$N$7,3,FALSE)*I1166</f>
        <v>0</v>
      </c>
      <c r="O1166" s="272"/>
      <c r="P1166" s="207" t="s">
        <v>560</v>
      </c>
      <c r="Q1166" s="116">
        <f ca="1">IF(P1166="G",M1166,IF(P1166="PT",0,ERR))</f>
        <v>0</v>
      </c>
      <c r="R1166" s="116">
        <f>IF(P1166="PT",M1166,IF(P1166="G",0,ERR))</f>
        <v>0</v>
      </c>
      <c r="S1166" s="240" t="s">
        <v>560</v>
      </c>
      <c r="T1166" s="116">
        <f ca="1">IF(S1166="G",N1166,IF(S1166="PT",0,ERR))</f>
        <v>0</v>
      </c>
      <c r="U1166" s="116">
        <f>IF(S1166="PT",N1166,IF(S1166="G",0,ERR))</f>
        <v>0</v>
      </c>
      <c r="V1166" s="273"/>
      <c r="W1166" s="116">
        <f ca="1">HLOOKUP($W$9,'ROR-Model'!$Q$10:$U$1263,Y1166)</f>
        <v>0</v>
      </c>
      <c r="X1166" s="118"/>
      <c r="Y1166" s="577">
        <f t="shared" si="79"/>
        <v>1157</v>
      </c>
      <c r="AA1166" s="116">
        <v>0</v>
      </c>
      <c r="AB1166" s="116">
        <f t="shared" ca="1" si="74"/>
        <v>0</v>
      </c>
    </row>
    <row r="1167" spans="1:28">
      <c r="A1167" s="136"/>
      <c r="B1167" s="102"/>
      <c r="C1167" s="102" t="s">
        <v>170</v>
      </c>
      <c r="D1167" s="102"/>
      <c r="E1167" s="131">
        <f>+G1167-Adjustments!H1168</f>
        <v>-57435073</v>
      </c>
      <c r="F1167" s="131">
        <f>SUM(F1163:F1166)</f>
        <v>57435073</v>
      </c>
      <c r="G1167" s="131">
        <f>SUM(G1163:G1166)</f>
        <v>-57435073</v>
      </c>
      <c r="H1167" s="131">
        <f>SUM(H1163:H1166)</f>
        <v>0</v>
      </c>
      <c r="I1167" s="131">
        <f>SUM(I1163:I1166)</f>
        <v>0</v>
      </c>
      <c r="J1167" s="116"/>
      <c r="K1167" s="116"/>
      <c r="L1167" s="131"/>
      <c r="M1167" s="131">
        <f ca="1">SUM(M1163:M1166)</f>
        <v>0</v>
      </c>
      <c r="N1167" s="131">
        <f ca="1">SUM(N1163:N1166)</f>
        <v>0</v>
      </c>
      <c r="O1167" s="272"/>
      <c r="P1167" s="257"/>
      <c r="Q1167" s="131">
        <f ca="1">SUM(Q1163:Q1166)</f>
        <v>0</v>
      </c>
      <c r="R1167" s="131">
        <f>SUM(R1163:R1166)</f>
        <v>0</v>
      </c>
      <c r="S1167" s="257"/>
      <c r="T1167" s="131">
        <f ca="1">SUM(T1163:T1166)</f>
        <v>0</v>
      </c>
      <c r="U1167" s="131">
        <f>SUM(U1163:U1166)</f>
        <v>0</v>
      </c>
      <c r="V1167" s="273"/>
      <c r="W1167" s="131">
        <f ca="1">HLOOKUP($W$9,'ROR-Model'!$Q$10:$U$1263,Y1167)</f>
        <v>0</v>
      </c>
      <c r="X1167" s="118"/>
      <c r="Y1167" s="577">
        <f t="shared" si="79"/>
        <v>1158</v>
      </c>
      <c r="AA1167" s="131">
        <v>2316787.2571374997</v>
      </c>
      <c r="AB1167" s="116">
        <f t="shared" ca="1" si="74"/>
        <v>-2316787.2571374997</v>
      </c>
    </row>
    <row r="1168" spans="1:28">
      <c r="A1168" s="136"/>
      <c r="B1168" s="102"/>
      <c r="C1168" s="102"/>
      <c r="D1168" s="102"/>
      <c r="E1168" s="116">
        <f>+G1168-Adjustments!H1169</f>
        <v>0</v>
      </c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272"/>
      <c r="P1168" s="240"/>
      <c r="Q1168" s="116"/>
      <c r="R1168" s="116"/>
      <c r="S1168" s="240"/>
      <c r="T1168" s="116"/>
      <c r="U1168" s="116"/>
      <c r="V1168" s="273"/>
      <c r="W1168" s="116"/>
      <c r="X1168" s="118"/>
      <c r="Y1168" s="577">
        <f t="shared" si="79"/>
        <v>1159</v>
      </c>
      <c r="AA1168" s="116"/>
      <c r="AB1168" s="116">
        <f t="shared" si="74"/>
        <v>0</v>
      </c>
    </row>
    <row r="1169" spans="1:28">
      <c r="A1169" s="238" t="s">
        <v>304</v>
      </c>
      <c r="B1169" s="119" t="s">
        <v>306</v>
      </c>
      <c r="C1169" s="102"/>
      <c r="D1169" s="102"/>
      <c r="E1169" s="116">
        <f>+G1169-Adjustments!H1170</f>
        <v>0</v>
      </c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272"/>
      <c r="P1169" s="240"/>
      <c r="Q1169" s="116"/>
      <c r="R1169" s="116"/>
      <c r="S1169" s="240"/>
      <c r="T1169" s="116"/>
      <c r="U1169" s="116"/>
      <c r="V1169" s="273"/>
      <c r="W1169" s="116"/>
      <c r="X1169" s="118"/>
      <c r="Y1169" s="577">
        <f t="shared" si="79"/>
        <v>1160</v>
      </c>
      <c r="AA1169" s="116"/>
      <c r="AB1169" s="116">
        <f t="shared" ref="AB1169:AB1232" si="80">W1169-AA1169</f>
        <v>0</v>
      </c>
    </row>
    <row r="1170" spans="1:28">
      <c r="A1170" s="136"/>
      <c r="B1170" s="102"/>
      <c r="C1170" s="102" t="s">
        <v>443</v>
      </c>
      <c r="D1170" s="102"/>
      <c r="E1170" s="116">
        <f>+G1170-Adjustments!H1171</f>
        <v>0</v>
      </c>
      <c r="F1170" s="116">
        <f>+'Rate Base'!$AE$218</f>
        <v>0</v>
      </c>
      <c r="G1170" s="116">
        <f>+Adjustments!AW1153</f>
        <v>0</v>
      </c>
      <c r="H1170" s="116"/>
      <c r="I1170" s="116">
        <f>SUM($F$1170:$H$1170)</f>
        <v>0</v>
      </c>
      <c r="J1170" s="116"/>
      <c r="K1170" s="116"/>
      <c r="L1170" s="116" t="s">
        <v>693</v>
      </c>
      <c r="M1170" s="116">
        <f>VLOOKUP($L1170,$L$2:$N$7,2,FALSE)*I1170</f>
        <v>0</v>
      </c>
      <c r="N1170" s="116">
        <f>VLOOKUP($L1170,$L$2:$N$7,3,FALSE)*I1170</f>
        <v>0</v>
      </c>
      <c r="O1170" s="272"/>
      <c r="P1170" s="207" t="s">
        <v>560</v>
      </c>
      <c r="Q1170" s="116">
        <f>IF(P1170="G",M1170,IF(P1170="PT",0,ERR))</f>
        <v>0</v>
      </c>
      <c r="R1170" s="116">
        <f>IF(P1170="PT",M1170,IF(P1170="G",0,ERR))</f>
        <v>0</v>
      </c>
      <c r="S1170" s="240" t="s">
        <v>559</v>
      </c>
      <c r="T1170" s="116">
        <f>IF(S1170="G",N1170,IF(S1170="PT",0,ERR))</f>
        <v>0</v>
      </c>
      <c r="U1170" s="116">
        <f>IF(S1170="PT",N1170,IF(S1170="G",0,ERR))</f>
        <v>0</v>
      </c>
      <c r="V1170" s="273"/>
      <c r="W1170" s="116">
        <f>HLOOKUP($W$9,'ROR-Model'!$Q$10:$U$1263,Y1170)</f>
        <v>0</v>
      </c>
      <c r="X1170" s="118"/>
      <c r="Y1170" s="577">
        <f t="shared" si="79"/>
        <v>1161</v>
      </c>
      <c r="AA1170" s="116">
        <v>0</v>
      </c>
      <c r="AB1170" s="116">
        <f t="shared" si="80"/>
        <v>0</v>
      </c>
    </row>
    <row r="1171" spans="1:28">
      <c r="A1171" s="136"/>
      <c r="B1171" s="102"/>
      <c r="C1171" s="102" t="s">
        <v>592</v>
      </c>
      <c r="D1171" s="102"/>
      <c r="E1171" s="116">
        <f>+G1171-Adjustments!H1172</f>
        <v>0</v>
      </c>
      <c r="F1171" s="116">
        <f>+'Rate Base'!$AE$219</f>
        <v>0</v>
      </c>
      <c r="G1171" s="116">
        <f>+Adjustments!AW1154</f>
        <v>0</v>
      </c>
      <c r="H1171" s="116"/>
      <c r="I1171" s="116">
        <f>SUM($F$1171:$H$1171)</f>
        <v>0</v>
      </c>
      <c r="J1171" s="116"/>
      <c r="K1171" s="116"/>
      <c r="L1171" s="116" t="s">
        <v>24</v>
      </c>
      <c r="M1171" s="116">
        <f>VLOOKUP($L1171,$L$2:$N$7,2,FALSE)*I1171</f>
        <v>0</v>
      </c>
      <c r="N1171" s="116">
        <f>VLOOKUP($L1171,$L$2:$N$7,3,FALSE)*I1171</f>
        <v>0</v>
      </c>
      <c r="O1171" s="272"/>
      <c r="P1171" s="207" t="s">
        <v>560</v>
      </c>
      <c r="Q1171" s="116">
        <f>IF(P1171="G",M1171,IF(P1171="PT",0,ERR))</f>
        <v>0</v>
      </c>
      <c r="R1171" s="116">
        <f>IF(P1171="PT",M1171,IF(P1171="G",0,ERR))</f>
        <v>0</v>
      </c>
      <c r="S1171" s="240" t="s">
        <v>560</v>
      </c>
      <c r="T1171" s="116">
        <f>IF(S1171="G",N1171,IF(S1171="PT",0,ERR))</f>
        <v>0</v>
      </c>
      <c r="U1171" s="116">
        <f>IF(S1171="PT",N1171,IF(S1171="G",0,ERR))</f>
        <v>0</v>
      </c>
      <c r="V1171" s="273"/>
      <c r="W1171" s="116">
        <f>HLOOKUP($W$9,'ROR-Model'!$Q$10:$U$1263,Y1171)</f>
        <v>0</v>
      </c>
      <c r="X1171" s="118"/>
      <c r="Y1171" s="577">
        <f t="shared" si="79"/>
        <v>1162</v>
      </c>
      <c r="AA1171" s="116">
        <v>0</v>
      </c>
      <c r="AB1171" s="116">
        <f t="shared" si="80"/>
        <v>0</v>
      </c>
    </row>
    <row r="1172" spans="1:28">
      <c r="A1172" s="136"/>
      <c r="B1172" s="102"/>
      <c r="C1172" s="102" t="s">
        <v>593</v>
      </c>
      <c r="D1172" s="102"/>
      <c r="E1172" s="116">
        <f>+G1172-Adjustments!H1173</f>
        <v>-13135753</v>
      </c>
      <c r="F1172" s="116">
        <f>+'Rate Base'!$AE$220</f>
        <v>13135753</v>
      </c>
      <c r="G1172" s="116">
        <f>+Adjustments!AW1155</f>
        <v>-13135753</v>
      </c>
      <c r="H1172" s="116"/>
      <c r="I1172" s="116">
        <f>SUM($F$1172:$H$1172)</f>
        <v>0</v>
      </c>
      <c r="J1172" s="116"/>
      <c r="K1172" s="116"/>
      <c r="L1172" s="116" t="s">
        <v>14</v>
      </c>
      <c r="M1172" s="116">
        <f>VLOOKUP($L1172,$L$2:$N$7,2,FALSE)*I1172</f>
        <v>0</v>
      </c>
      <c r="N1172" s="116">
        <f>VLOOKUP($L1172,$L$2:$N$7,3,FALSE)*I1172</f>
        <v>0</v>
      </c>
      <c r="O1172" s="272"/>
      <c r="P1172" s="207" t="s">
        <v>560</v>
      </c>
      <c r="Q1172" s="116">
        <f>IF(P1172="G",M1172,IF(P1172="PT",0,ERR))</f>
        <v>0</v>
      </c>
      <c r="R1172" s="116">
        <f>IF(P1172="PT",M1172,IF(P1172="G",0,ERR))</f>
        <v>0</v>
      </c>
      <c r="S1172" s="240" t="s">
        <v>560</v>
      </c>
      <c r="T1172" s="116">
        <f>IF(S1172="G",N1172,IF(S1172="PT",0,ERR))</f>
        <v>0</v>
      </c>
      <c r="U1172" s="116">
        <f>IF(S1172="PT",N1172,IF(S1172="G",0,ERR))</f>
        <v>0</v>
      </c>
      <c r="V1172" s="273"/>
      <c r="W1172" s="116">
        <f>HLOOKUP($W$9,'ROR-Model'!$Q$10:$U$1263,Y1172)</f>
        <v>0</v>
      </c>
      <c r="X1172" s="118"/>
      <c r="Y1172" s="577">
        <f t="shared" si="79"/>
        <v>1163</v>
      </c>
      <c r="AA1172" s="116">
        <v>547323.04166666605</v>
      </c>
      <c r="AB1172" s="116">
        <f t="shared" si="80"/>
        <v>-547323.04166666605</v>
      </c>
    </row>
    <row r="1173" spans="1:28">
      <c r="A1173" s="136"/>
      <c r="B1173" s="102"/>
      <c r="C1173" s="102" t="s">
        <v>595</v>
      </c>
      <c r="D1173" s="102"/>
      <c r="E1173" s="116">
        <f>+G1173-Adjustments!H1174</f>
        <v>0</v>
      </c>
      <c r="F1173" s="116">
        <f>+'Rate Base'!$AE$221</f>
        <v>0</v>
      </c>
      <c r="G1173" s="116">
        <f>+Adjustments!AW1156</f>
        <v>0</v>
      </c>
      <c r="H1173" s="116"/>
      <c r="I1173" s="116">
        <f>SUM($F$1173:$H$1173)</f>
        <v>0</v>
      </c>
      <c r="J1173" s="116"/>
      <c r="K1173" s="116"/>
      <c r="L1173" s="116" t="s">
        <v>473</v>
      </c>
      <c r="M1173" s="116">
        <f ca="1">VLOOKUP($L1173,$L$2:$N$7,2,FALSE)*I1173</f>
        <v>0</v>
      </c>
      <c r="N1173" s="116">
        <f ca="1">VLOOKUP($L1173,$L$2:$N$7,3,FALSE)*I1173</f>
        <v>0</v>
      </c>
      <c r="O1173" s="272"/>
      <c r="P1173" s="207" t="s">
        <v>560</v>
      </c>
      <c r="Q1173" s="116">
        <f ca="1">IF(P1173="G",M1173,IF(P1173="PT",0,ERR))</f>
        <v>0</v>
      </c>
      <c r="R1173" s="116">
        <f>IF(P1173="PT",M1173,IF(P1173="G",0,ERR))</f>
        <v>0</v>
      </c>
      <c r="S1173" s="240" t="s">
        <v>560</v>
      </c>
      <c r="T1173" s="116">
        <f ca="1">IF(S1173="G",N1173,IF(S1173="PT",0,ERR))</f>
        <v>0</v>
      </c>
      <c r="U1173" s="116">
        <f>IF(S1173="PT",N1173,IF(S1173="G",0,ERR))</f>
        <v>0</v>
      </c>
      <c r="V1173" s="273"/>
      <c r="W1173" s="116">
        <f ca="1">HLOOKUP($W$9,'ROR-Model'!$Q$10:$U$1263,Y1173)</f>
        <v>0</v>
      </c>
      <c r="X1173" s="118"/>
      <c r="Y1173" s="577">
        <f t="shared" si="79"/>
        <v>1164</v>
      </c>
      <c r="AA1173" s="116">
        <v>0</v>
      </c>
      <c r="AB1173" s="116">
        <f t="shared" ca="1" si="80"/>
        <v>0</v>
      </c>
    </row>
    <row r="1174" spans="1:28">
      <c r="A1174" s="136"/>
      <c r="B1174" s="102"/>
      <c r="C1174" s="102" t="s">
        <v>170</v>
      </c>
      <c r="D1174" s="102"/>
      <c r="E1174" s="131">
        <f>+G1174-Adjustments!H1175</f>
        <v>-13135753</v>
      </c>
      <c r="F1174" s="131">
        <f>SUM(F1170:F1173)</f>
        <v>13135753</v>
      </c>
      <c r="G1174" s="131">
        <f>SUM(G1170:G1173)</f>
        <v>-13135753</v>
      </c>
      <c r="H1174" s="131">
        <f>SUM(H1170:H1173)</f>
        <v>0</v>
      </c>
      <c r="I1174" s="131">
        <f>SUM(I1170:I1173)</f>
        <v>0</v>
      </c>
      <c r="J1174" s="116"/>
      <c r="K1174" s="116"/>
      <c r="L1174" s="131"/>
      <c r="M1174" s="131">
        <f ca="1">SUM(M1170:M1173)</f>
        <v>0</v>
      </c>
      <c r="N1174" s="131">
        <f ca="1">SUM(N1170:N1173)</f>
        <v>0</v>
      </c>
      <c r="O1174" s="272"/>
      <c r="P1174" s="257"/>
      <c r="Q1174" s="131">
        <f ca="1">SUM(Q1170:Q1173)</f>
        <v>0</v>
      </c>
      <c r="R1174" s="131">
        <f>SUM(R1170:R1173)</f>
        <v>0</v>
      </c>
      <c r="S1174" s="257"/>
      <c r="T1174" s="131">
        <f ca="1">SUM(T1170:T1173)</f>
        <v>0</v>
      </c>
      <c r="U1174" s="131">
        <f>SUM(U1170:U1173)</f>
        <v>0</v>
      </c>
      <c r="V1174" s="273"/>
      <c r="W1174" s="131">
        <f ca="1">HLOOKUP($W$9,'ROR-Model'!$Q$10:$U$1263,Y1174)</f>
        <v>0</v>
      </c>
      <c r="X1174" s="118"/>
      <c r="Y1174" s="577">
        <f t="shared" si="79"/>
        <v>1165</v>
      </c>
      <c r="AA1174" s="131">
        <v>547323.04166666605</v>
      </c>
      <c r="AB1174" s="116">
        <f t="shared" ca="1" si="80"/>
        <v>-547323.04166666605</v>
      </c>
    </row>
    <row r="1175" spans="1:28">
      <c r="A1175" s="136"/>
      <c r="B1175" s="102"/>
      <c r="C1175" s="102"/>
      <c r="D1175" s="102"/>
      <c r="E1175" s="116">
        <f>+G1175-Adjustments!H1176</f>
        <v>0</v>
      </c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272"/>
      <c r="P1175" s="240"/>
      <c r="Q1175" s="116"/>
      <c r="R1175" s="116"/>
      <c r="S1175" s="240"/>
      <c r="T1175" s="116"/>
      <c r="U1175" s="116"/>
      <c r="V1175" s="273"/>
      <c r="W1175" s="116"/>
      <c r="X1175" s="118"/>
      <c r="Y1175" s="577">
        <f t="shared" si="79"/>
        <v>1166</v>
      </c>
      <c r="AA1175" s="116"/>
      <c r="AB1175" s="116">
        <f t="shared" si="80"/>
        <v>0</v>
      </c>
    </row>
    <row r="1176" spans="1:28">
      <c r="A1176" s="136">
        <v>2351</v>
      </c>
      <c r="B1176" s="102" t="s">
        <v>311</v>
      </c>
      <c r="C1176" s="102"/>
      <c r="D1176" s="102"/>
      <c r="E1176" s="116">
        <f>+G1176-Adjustments!H1177</f>
        <v>0</v>
      </c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272"/>
      <c r="P1176" s="240"/>
      <c r="Q1176" s="116"/>
      <c r="R1176" s="116"/>
      <c r="S1176" s="240"/>
      <c r="T1176" s="116"/>
      <c r="U1176" s="116"/>
      <c r="V1176" s="273"/>
      <c r="W1176" s="116"/>
      <c r="X1176" s="118"/>
      <c r="Y1176" s="577">
        <f t="shared" si="79"/>
        <v>1167</v>
      </c>
      <c r="AA1176" s="116"/>
      <c r="AB1176" s="116">
        <f t="shared" si="80"/>
        <v>0</v>
      </c>
    </row>
    <row r="1177" spans="1:28">
      <c r="A1177" s="136"/>
      <c r="B1177" s="102"/>
      <c r="C1177" s="102" t="s">
        <v>24</v>
      </c>
      <c r="D1177" s="102"/>
      <c r="E1177" s="116">
        <f>+G1177-Adjustments!H1178</f>
        <v>-15151.681666666671</v>
      </c>
      <c r="F1177" s="116">
        <f>+'Rate Base'!$AE$225</f>
        <v>-248143.61000000002</v>
      </c>
      <c r="G1177" s="116">
        <f>+Adjustments!AW1160</f>
        <v>-15151.681666666671</v>
      </c>
      <c r="H1177" s="116"/>
      <c r="I1177" s="116">
        <f>SUM($F$1177:$H$1177)</f>
        <v>-263295.29166666669</v>
      </c>
      <c r="J1177" s="116"/>
      <c r="K1177" s="116"/>
      <c r="L1177" s="116" t="s">
        <v>24</v>
      </c>
      <c r="M1177" s="116">
        <f>VLOOKUP($L1177,$L$2:$N$7,2,FALSE)*I1177</f>
        <v>0</v>
      </c>
      <c r="N1177" s="116">
        <f>VLOOKUP($L1177,$L$2:$N$7,3,FALSE)*I1177</f>
        <v>-263295.29166666669</v>
      </c>
      <c r="O1177" s="272"/>
      <c r="P1177" s="207" t="s">
        <v>560</v>
      </c>
      <c r="Q1177" s="116">
        <f>IF(P1177="G",M1177,IF(P1177="PT",0,ERR))</f>
        <v>0</v>
      </c>
      <c r="R1177" s="116">
        <f>IF(P1177="PT",M1177,IF(P1177="G",0,ERR))</f>
        <v>0</v>
      </c>
      <c r="S1177" s="240" t="s">
        <v>560</v>
      </c>
      <c r="T1177" s="116">
        <f>IF(S1177="G",N1177,IF(S1177="PT",0,ERR))</f>
        <v>-263295.29166666669</v>
      </c>
      <c r="U1177" s="116">
        <f>IF(S1177="PT",N1177,IF(S1177="G",0,ERR))</f>
        <v>0</v>
      </c>
      <c r="V1177" s="273"/>
      <c r="W1177" s="116">
        <f>HLOOKUP($W$9,'ROR-Model'!$Q$10:$U$1263,Y1177)</f>
        <v>0</v>
      </c>
      <c r="X1177" s="118"/>
      <c r="Y1177" s="577">
        <f t="shared" si="79"/>
        <v>1168</v>
      </c>
      <c r="AA1177" s="116">
        <v>0</v>
      </c>
      <c r="AB1177" s="116">
        <f t="shared" si="80"/>
        <v>0</v>
      </c>
    </row>
    <row r="1178" spans="1:28">
      <c r="A1178" s="136"/>
      <c r="B1178" s="102"/>
      <c r="C1178" s="102" t="s">
        <v>14</v>
      </c>
      <c r="D1178" s="102"/>
      <c r="E1178" s="116">
        <f>+G1178-Adjustments!H1179</f>
        <v>-1105959.54</v>
      </c>
      <c r="F1178" s="116">
        <f>+'Rate Base'!$AE$226</f>
        <v>-5457546.1899999995</v>
      </c>
      <c r="G1178" s="116">
        <f>+Adjustments!AW1161</f>
        <v>-1105959.54</v>
      </c>
      <c r="H1178" s="116"/>
      <c r="I1178" s="116">
        <f>SUM($F$1178:$H$1178)</f>
        <v>-6563505.7299999995</v>
      </c>
      <c r="J1178" s="116"/>
      <c r="K1178" s="116"/>
      <c r="L1178" s="116" t="s">
        <v>14</v>
      </c>
      <c r="M1178" s="116">
        <f>VLOOKUP($L1178,$L$2:$N$7,2,FALSE)*I1178</f>
        <v>-6563505.7299999995</v>
      </c>
      <c r="N1178" s="116">
        <f>VLOOKUP($L1178,$L$2:$N$7,3,FALSE)*I1178</f>
        <v>0</v>
      </c>
      <c r="O1178" s="272"/>
      <c r="P1178" s="207" t="s">
        <v>560</v>
      </c>
      <c r="Q1178" s="116">
        <f>IF(P1178="G",M1178,IF(P1178="PT",0,ERR))</f>
        <v>-6563505.7299999995</v>
      </c>
      <c r="R1178" s="116">
        <f>IF(P1178="PT",M1178,IF(P1178="G",0,ERR))</f>
        <v>0</v>
      </c>
      <c r="S1178" s="240" t="s">
        <v>560</v>
      </c>
      <c r="T1178" s="116">
        <f>IF(S1178="G",N1178,IF(S1178="PT",0,ERR))</f>
        <v>0</v>
      </c>
      <c r="U1178" s="116">
        <f>IF(S1178="PT",N1178,IF(S1178="G",0,ERR))</f>
        <v>0</v>
      </c>
      <c r="V1178" s="273"/>
      <c r="W1178" s="116">
        <f>HLOOKUP($W$9,'ROR-Model'!$Q$10:$U$1263,Y1178)</f>
        <v>-6563505.7299999995</v>
      </c>
      <c r="X1178" s="118"/>
      <c r="Y1178" s="577">
        <f t="shared" si="79"/>
        <v>1169</v>
      </c>
      <c r="AA1178" s="116">
        <v>-6605173.1624999987</v>
      </c>
      <c r="AB1178" s="116">
        <f t="shared" si="80"/>
        <v>41667.43249999918</v>
      </c>
    </row>
    <row r="1179" spans="1:28">
      <c r="A1179" s="136"/>
      <c r="B1179" s="102"/>
      <c r="C1179" s="102" t="s">
        <v>170</v>
      </c>
      <c r="D1179" s="102"/>
      <c r="E1179" s="131">
        <f>+G1179-Adjustments!H1180</f>
        <v>-1121111.2216666667</v>
      </c>
      <c r="F1179" s="131">
        <f>SUM(F1177:F1178)</f>
        <v>-5705689.7999999998</v>
      </c>
      <c r="G1179" s="131">
        <f>SUM(G1177:G1178)</f>
        <v>-1121111.2216666667</v>
      </c>
      <c r="H1179" s="131">
        <f>SUM(H1177:H1178)</f>
        <v>0</v>
      </c>
      <c r="I1179" s="131">
        <f>SUM(I1177:I1178)</f>
        <v>-6826801.0216666665</v>
      </c>
      <c r="J1179" s="116"/>
      <c r="K1179" s="116"/>
      <c r="L1179" s="131"/>
      <c r="M1179" s="131">
        <f>SUM(M1177:M1178)</f>
        <v>-6563505.7299999995</v>
      </c>
      <c r="N1179" s="131">
        <f>SUM(N1177:N1178)</f>
        <v>-263295.29166666669</v>
      </c>
      <c r="O1179" s="272"/>
      <c r="P1179" s="257"/>
      <c r="Q1179" s="131">
        <f>SUM(Q1177:Q1178)</f>
        <v>-6563505.7299999995</v>
      </c>
      <c r="R1179" s="131">
        <f>SUM(R1177:R1178)</f>
        <v>0</v>
      </c>
      <c r="S1179" s="257"/>
      <c r="T1179" s="131">
        <f>SUM(T1177:T1178)</f>
        <v>-263295.29166666669</v>
      </c>
      <c r="U1179" s="131">
        <f>SUM(U1177:U1178)</f>
        <v>0</v>
      </c>
      <c r="V1179" s="273"/>
      <c r="W1179" s="131">
        <f>HLOOKUP($W$9,'ROR-Model'!$Q$10:$U$1263,Y1179)</f>
        <v>-6563505.7299999995</v>
      </c>
      <c r="X1179" s="118"/>
      <c r="Y1179" s="577">
        <f t="shared" si="79"/>
        <v>1170</v>
      </c>
      <c r="AA1179" s="131">
        <v>-6605173.1624999987</v>
      </c>
      <c r="AB1179" s="116">
        <f t="shared" si="80"/>
        <v>41667.43249999918</v>
      </c>
    </row>
    <row r="1180" spans="1:28">
      <c r="A1180" s="136"/>
      <c r="B1180" s="102"/>
      <c r="C1180" s="102"/>
      <c r="D1180" s="102"/>
      <c r="E1180" s="116">
        <f>+G1180-Adjustments!H1181</f>
        <v>0</v>
      </c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272"/>
      <c r="P1180" s="240"/>
      <c r="Q1180" s="116"/>
      <c r="R1180" s="116"/>
      <c r="S1180" s="240"/>
      <c r="T1180" s="116"/>
      <c r="U1180" s="116"/>
      <c r="V1180" s="273"/>
      <c r="W1180" s="116"/>
      <c r="X1180" s="118"/>
      <c r="Y1180" s="577">
        <f t="shared" si="79"/>
        <v>1171</v>
      </c>
      <c r="AA1180" s="116"/>
      <c r="AB1180" s="116">
        <f t="shared" si="80"/>
        <v>0</v>
      </c>
    </row>
    <row r="1181" spans="1:28">
      <c r="A1181" s="212">
        <v>252</v>
      </c>
      <c r="B1181" s="114" t="s">
        <v>493</v>
      </c>
      <c r="C1181" s="102"/>
      <c r="D1181" s="102"/>
      <c r="E1181" s="116">
        <f>+G1181-Adjustments!H1182</f>
        <v>0</v>
      </c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272"/>
      <c r="P1181" s="240"/>
      <c r="Q1181" s="116"/>
      <c r="R1181" s="116"/>
      <c r="S1181" s="240"/>
      <c r="T1181" s="116"/>
      <c r="U1181" s="116"/>
      <c r="V1181" s="273"/>
      <c r="W1181" s="116"/>
      <c r="X1181" s="118"/>
      <c r="Y1181" s="577">
        <f t="shared" si="79"/>
        <v>1172</v>
      </c>
      <c r="AA1181" s="116"/>
      <c r="AB1181" s="116">
        <f t="shared" si="80"/>
        <v>0</v>
      </c>
    </row>
    <row r="1182" spans="1:28">
      <c r="A1182" s="212"/>
      <c r="B1182" s="114"/>
      <c r="C1182" s="102" t="s">
        <v>24</v>
      </c>
      <c r="D1182" s="102"/>
      <c r="E1182" s="116">
        <f>+G1182-Adjustments!H1183</f>
        <v>217843.33144290515</v>
      </c>
      <c r="F1182" s="116">
        <f>+'Rate Base'!AE230</f>
        <v>-404156.02</v>
      </c>
      <c r="G1182" s="116">
        <f>+Adjustments!AW1165</f>
        <v>217843.33144290515</v>
      </c>
      <c r="H1182" s="116"/>
      <c r="I1182" s="116">
        <f>SUM($F$1182:$H$1182)</f>
        <v>-186312.68855709487</v>
      </c>
      <c r="J1182" s="116"/>
      <c r="K1182" s="116"/>
      <c r="L1182" s="116" t="s">
        <v>24</v>
      </c>
      <c r="M1182" s="116">
        <f>VLOOKUP($L1182,$L$2:$N$7,2,FALSE)*I1182</f>
        <v>0</v>
      </c>
      <c r="N1182" s="116">
        <f>VLOOKUP($L1182,$L$2:$N$7,3,FALSE)*I1182</f>
        <v>-186312.68855709487</v>
      </c>
      <c r="O1182" s="272"/>
      <c r="P1182" s="207" t="s">
        <v>560</v>
      </c>
      <c r="Q1182" s="116">
        <f>IF(P1182="G",M1182,IF(P1182="PT",0,ERR))</f>
        <v>0</v>
      </c>
      <c r="R1182" s="116">
        <f>IF(P1182="PT",M1182,IF(P1182="G",0,ERR))</f>
        <v>0</v>
      </c>
      <c r="S1182" s="240" t="s">
        <v>560</v>
      </c>
      <c r="T1182" s="116">
        <f>IF(S1182="G",N1182,IF(S1182="PT",0,ERR))</f>
        <v>-186312.68855709487</v>
      </c>
      <c r="U1182" s="116">
        <f>IF(S1182="PT",N1182,IF(S1182="G",0,ERR))</f>
        <v>0</v>
      </c>
      <c r="V1182" s="273"/>
      <c r="W1182" s="116">
        <f>HLOOKUP($W$9,'ROR-Model'!$Q$10:$U$1263,Y1182)</f>
        <v>0</v>
      </c>
      <c r="X1182" s="118"/>
      <c r="Y1182" s="577">
        <f t="shared" si="79"/>
        <v>1173</v>
      </c>
      <c r="AA1182" s="116">
        <v>0</v>
      </c>
      <c r="AB1182" s="116">
        <f t="shared" si="80"/>
        <v>0</v>
      </c>
    </row>
    <row r="1183" spans="1:28">
      <c r="A1183" s="212"/>
      <c r="B1183" s="102"/>
      <c r="C1183" s="102" t="s">
        <v>14</v>
      </c>
      <c r="D1183" s="102"/>
      <c r="E1183" s="116">
        <f>+G1183-Adjustments!H1184</f>
        <v>6319566.515572683</v>
      </c>
      <c r="F1183" s="116">
        <f>+'Rate Base'!AE231</f>
        <v>-11724439</v>
      </c>
      <c r="G1183" s="116">
        <f>+Adjustments!AW1166</f>
        <v>6319566.515572683</v>
      </c>
      <c r="H1183" s="116"/>
      <c r="I1183" s="116">
        <f>SUM($F$1183:$H$1183)</f>
        <v>-5404872.484427317</v>
      </c>
      <c r="J1183" s="116"/>
      <c r="K1183" s="116"/>
      <c r="L1183" s="116" t="s">
        <v>14</v>
      </c>
      <c r="M1183" s="116">
        <f>VLOOKUP($L1183,$L$2:$N$7,2,FALSE)*I1183</f>
        <v>-5404872.484427317</v>
      </c>
      <c r="N1183" s="116">
        <f>VLOOKUP($L1183,$L$2:$N$7,3,FALSE)*I1183</f>
        <v>0</v>
      </c>
      <c r="O1183" s="272"/>
      <c r="P1183" s="207" t="s">
        <v>560</v>
      </c>
      <c r="Q1183" s="116">
        <f>IF(P1183="G",M1183,IF(P1183="PT",0,ERR))</f>
        <v>-5404872.484427317</v>
      </c>
      <c r="R1183" s="116">
        <f>IF(P1183="PT",M1183,IF(P1183="G",0,ERR))</f>
        <v>0</v>
      </c>
      <c r="S1183" s="240" t="s">
        <v>560</v>
      </c>
      <c r="T1183" s="116">
        <f>IF(S1183="G",N1183,IF(S1183="PT",0,ERR))</f>
        <v>0</v>
      </c>
      <c r="U1183" s="116">
        <f>IF(S1183="PT",N1183,IF(S1183="G",0,ERR))</f>
        <v>0</v>
      </c>
      <c r="V1183" s="273"/>
      <c r="W1183" s="116">
        <f>HLOOKUP($W$9,'ROR-Model'!$Q$10:$U$1263,Y1183)</f>
        <v>-5404872.484427317</v>
      </c>
      <c r="X1183" s="118"/>
      <c r="Y1183" s="577">
        <f t="shared" si="79"/>
        <v>1174</v>
      </c>
      <c r="AA1183" s="116">
        <v>-17011733.805000003</v>
      </c>
      <c r="AB1183" s="116">
        <f t="shared" si="80"/>
        <v>11606861.320572685</v>
      </c>
    </row>
    <row r="1184" spans="1:28">
      <c r="A1184" s="212"/>
      <c r="B1184" s="102"/>
      <c r="C1184" s="102" t="s">
        <v>170</v>
      </c>
      <c r="D1184" s="102"/>
      <c r="E1184" s="131">
        <f>+G1184-Adjustments!H1185</f>
        <v>6537409.8470155885</v>
      </c>
      <c r="F1184" s="131">
        <f>SUM(F1182:F1183)</f>
        <v>-12128595.02</v>
      </c>
      <c r="G1184" s="131">
        <f>SUM(G1182:G1183)</f>
        <v>6537409.8470155885</v>
      </c>
      <c r="H1184" s="131">
        <f>SUM(H1182:H1183)</f>
        <v>0</v>
      </c>
      <c r="I1184" s="131">
        <f>SUM(I1182:I1183)</f>
        <v>-5591185.1729844119</v>
      </c>
      <c r="J1184" s="116"/>
      <c r="K1184" s="116"/>
      <c r="L1184" s="131"/>
      <c r="M1184" s="131">
        <f>SUM(M1183)</f>
        <v>-5404872.484427317</v>
      </c>
      <c r="N1184" s="131">
        <f>SUM(N1183)</f>
        <v>0</v>
      </c>
      <c r="O1184" s="272"/>
      <c r="P1184" s="257"/>
      <c r="Q1184" s="131">
        <f>SUM(Q1182:Q1183)</f>
        <v>-5404872.484427317</v>
      </c>
      <c r="R1184" s="131">
        <f>SUM(R1182:R1183)</f>
        <v>0</v>
      </c>
      <c r="S1184" s="257"/>
      <c r="T1184" s="131">
        <f>SUM(T1182:T1183)</f>
        <v>-186312.68855709487</v>
      </c>
      <c r="U1184" s="131">
        <f>SUM(U1183)</f>
        <v>0</v>
      </c>
      <c r="V1184" s="273"/>
      <c r="W1184" s="131">
        <f>HLOOKUP($W$9,'ROR-Model'!$Q$10:$U$1263,Y1184)</f>
        <v>-5404872.484427317</v>
      </c>
      <c r="X1184" s="118"/>
      <c r="Y1184" s="577">
        <f t="shared" si="79"/>
        <v>1175</v>
      </c>
      <c r="AA1184" s="131">
        <v>-17011733.805000003</v>
      </c>
      <c r="AB1184" s="116">
        <f t="shared" si="80"/>
        <v>11606861.320572685</v>
      </c>
    </row>
    <row r="1185" spans="1:28">
      <c r="A1185" s="212"/>
      <c r="B1185" s="102"/>
      <c r="C1185" s="102"/>
      <c r="D1185" s="102"/>
      <c r="E1185" s="116">
        <f>+G1185-Adjustments!H1186</f>
        <v>0</v>
      </c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272"/>
      <c r="P1185" s="240"/>
      <c r="Q1185" s="116"/>
      <c r="R1185" s="116"/>
      <c r="S1185" s="240"/>
      <c r="T1185" s="116"/>
      <c r="U1185" s="116"/>
      <c r="V1185" s="273"/>
      <c r="W1185" s="116"/>
      <c r="X1185" s="118"/>
      <c r="Y1185" s="577">
        <f t="shared" si="79"/>
        <v>1176</v>
      </c>
      <c r="AA1185" s="116"/>
      <c r="AB1185" s="116">
        <f t="shared" si="80"/>
        <v>0</v>
      </c>
    </row>
    <row r="1186" spans="1:28">
      <c r="A1186" s="136">
        <v>2531</v>
      </c>
      <c r="B1186" s="102" t="s">
        <v>312</v>
      </c>
      <c r="C1186" s="102"/>
      <c r="D1186" s="102"/>
      <c r="E1186" s="116">
        <f>+G1186-Adjustments!H1187</f>
        <v>0</v>
      </c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272"/>
      <c r="P1186" s="240"/>
      <c r="Q1186" s="116"/>
      <c r="R1186" s="116"/>
      <c r="S1186" s="240"/>
      <c r="T1186" s="116"/>
      <c r="U1186" s="116"/>
      <c r="V1186" s="273"/>
      <c r="W1186" s="116"/>
      <c r="X1186" s="118"/>
      <c r="Y1186" s="577">
        <f t="shared" si="79"/>
        <v>1177</v>
      </c>
      <c r="AA1186" s="116"/>
      <c r="AB1186" s="116">
        <f t="shared" si="80"/>
        <v>0</v>
      </c>
    </row>
    <row r="1187" spans="1:28">
      <c r="A1187" s="136"/>
      <c r="B1187" s="102"/>
      <c r="C1187" s="102" t="s">
        <v>595</v>
      </c>
      <c r="D1187" s="102"/>
      <c r="E1187" s="116">
        <f>+G1187-Adjustments!H1188</f>
        <v>-6807.9666666666672</v>
      </c>
      <c r="F1187" s="116">
        <f>+'Rate Base'!$AE$236</f>
        <v>-29018.39</v>
      </c>
      <c r="G1187" s="116">
        <f>+Adjustments!AW1170</f>
        <v>-6807.9666666666672</v>
      </c>
      <c r="H1187" s="116"/>
      <c r="I1187" s="116">
        <f>SUM($F$1187:$H$1187)</f>
        <v>-35826.356666666667</v>
      </c>
      <c r="J1187" s="116"/>
      <c r="K1187" s="116"/>
      <c r="L1187" s="116" t="s">
        <v>473</v>
      </c>
      <c r="M1187" s="116">
        <f ca="1">VLOOKUP($L1187,$L$2:$N$7,2,FALSE)*I1187</f>
        <v>-34662.869986313628</v>
      </c>
      <c r="N1187" s="116">
        <f ca="1">VLOOKUP($L1187,$L$2:$N$7,3,FALSE)*I1187</f>
        <v>-1163.4866803530399</v>
      </c>
      <c r="O1187" s="272"/>
      <c r="P1187" s="207" t="s">
        <v>560</v>
      </c>
      <c r="Q1187" s="116">
        <f ca="1">IF(P1187="G",M1187,IF(P1187="PT",0,ERR))</f>
        <v>-34662.869986313628</v>
      </c>
      <c r="R1187" s="116">
        <f>IF(P1187="PT",M1187,IF(P1187="G",0,ERR))</f>
        <v>0</v>
      </c>
      <c r="S1187" s="240" t="s">
        <v>560</v>
      </c>
      <c r="T1187" s="116">
        <f ca="1">IF(S1187="G",N1187,IF(S1187="PT",0,ERR))</f>
        <v>-1163.4866803530399</v>
      </c>
      <c r="U1187" s="116">
        <f>IF(S1187="PT",N1187,IF(S1187="G",0,ERR))</f>
        <v>0</v>
      </c>
      <c r="V1187" s="273"/>
      <c r="W1187" s="116">
        <f ca="1">HLOOKUP($W$9,'ROR-Model'!$Q$10:$U$1263,Y1187)</f>
        <v>-34662.869986313628</v>
      </c>
      <c r="X1187" s="118"/>
      <c r="Y1187" s="577">
        <f t="shared" si="79"/>
        <v>1178</v>
      </c>
      <c r="AA1187" s="116">
        <v>-35250.797280253508</v>
      </c>
      <c r="AB1187" s="116">
        <f t="shared" ca="1" si="80"/>
        <v>587.92729393987975</v>
      </c>
    </row>
    <row r="1188" spans="1:28">
      <c r="A1188" s="136"/>
      <c r="B1188" s="102"/>
      <c r="C1188" s="102" t="s">
        <v>170</v>
      </c>
      <c r="D1188" s="102"/>
      <c r="E1188" s="131">
        <f>+G1188-Adjustments!H1189</f>
        <v>-6807.9666666666672</v>
      </c>
      <c r="F1188" s="131">
        <f>SUM(F1187)</f>
        <v>-29018.39</v>
      </c>
      <c r="G1188" s="131">
        <f>SUM(G1187)</f>
        <v>-6807.9666666666672</v>
      </c>
      <c r="H1188" s="131">
        <f>SUM(H1187)</f>
        <v>0</v>
      </c>
      <c r="I1188" s="131">
        <f>SUM(I1187)</f>
        <v>-35826.356666666667</v>
      </c>
      <c r="J1188" s="116"/>
      <c r="K1188" s="116"/>
      <c r="L1188" s="131"/>
      <c r="M1188" s="131">
        <f ca="1">SUM(M1187)</f>
        <v>-34662.869986313628</v>
      </c>
      <c r="N1188" s="131">
        <f ca="1">SUM(N1187)</f>
        <v>-1163.4866803530399</v>
      </c>
      <c r="O1188" s="272"/>
      <c r="P1188" s="257"/>
      <c r="Q1188" s="131">
        <f ca="1">SUM(Q1186:Q1187)</f>
        <v>-34662.869986313628</v>
      </c>
      <c r="R1188" s="131">
        <f>SUM(R1186:R1187)</f>
        <v>0</v>
      </c>
      <c r="S1188" s="257"/>
      <c r="T1188" s="131">
        <f ca="1">SUM(T1186:T1187)</f>
        <v>-1163.4866803530399</v>
      </c>
      <c r="U1188" s="131">
        <f>SUM(U1187)</f>
        <v>0</v>
      </c>
      <c r="V1188" s="273"/>
      <c r="W1188" s="131">
        <f ca="1">HLOOKUP($W$9,'ROR-Model'!$Q$10:$U$1263,Y1188)</f>
        <v>-34662.869986313628</v>
      </c>
      <c r="X1188" s="118"/>
      <c r="Y1188" s="577">
        <f t="shared" si="79"/>
        <v>1179</v>
      </c>
      <c r="AA1188" s="131">
        <v>-35250.797280253508</v>
      </c>
      <c r="AB1188" s="116">
        <f t="shared" ca="1" si="80"/>
        <v>587.92729393987975</v>
      </c>
    </row>
    <row r="1189" spans="1:28">
      <c r="A1189" s="136"/>
      <c r="B1189" s="102"/>
      <c r="C1189" s="102"/>
      <c r="D1189" s="102"/>
      <c r="E1189" s="116">
        <f>+G1189-Adjustments!H1190</f>
        <v>0</v>
      </c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272"/>
      <c r="P1189" s="240"/>
      <c r="Q1189" s="116"/>
      <c r="R1189" s="116"/>
      <c r="S1189" s="240"/>
      <c r="T1189" s="116"/>
      <c r="U1189" s="116"/>
      <c r="V1189" s="273"/>
      <c r="W1189" s="116"/>
      <c r="X1189" s="118"/>
      <c r="Y1189" s="577">
        <f t="shared" si="79"/>
        <v>1180</v>
      </c>
      <c r="AA1189" s="116"/>
      <c r="AB1189" s="116">
        <f t="shared" si="80"/>
        <v>0</v>
      </c>
    </row>
    <row r="1190" spans="1:28">
      <c r="A1190" s="136">
        <v>255</v>
      </c>
      <c r="B1190" s="102" t="s">
        <v>313</v>
      </c>
      <c r="C1190" s="102"/>
      <c r="D1190" s="102"/>
      <c r="E1190" s="116">
        <f>+G1190-Adjustments!H1191</f>
        <v>0</v>
      </c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272"/>
      <c r="P1190" s="240"/>
      <c r="Q1190" s="116"/>
      <c r="R1190" s="116"/>
      <c r="S1190" s="240"/>
      <c r="T1190" s="116"/>
      <c r="U1190" s="116"/>
      <c r="V1190" s="273"/>
      <c r="W1190" s="116"/>
      <c r="X1190" s="118"/>
      <c r="Y1190" s="577">
        <f t="shared" si="79"/>
        <v>1181</v>
      </c>
      <c r="AA1190" s="116"/>
      <c r="AB1190" s="116">
        <f t="shared" si="80"/>
        <v>0</v>
      </c>
    </row>
    <row r="1191" spans="1:28">
      <c r="A1191" s="136"/>
      <c r="B1191" s="102"/>
      <c r="C1191" s="102" t="s">
        <v>443</v>
      </c>
      <c r="D1191" s="102"/>
      <c r="E1191" s="116">
        <f>+G1191-Adjustments!H1192</f>
        <v>1310.79</v>
      </c>
      <c r="F1191" s="116">
        <f>+'Rate Base'!$AE$239</f>
        <v>-1310.79</v>
      </c>
      <c r="G1191" s="116">
        <f>+Adjustments!AW1174</f>
        <v>1310.79</v>
      </c>
      <c r="H1191" s="116"/>
      <c r="I1191" s="116">
        <f>SUM($F$1191:$H$1191)</f>
        <v>0</v>
      </c>
      <c r="J1191" s="116"/>
      <c r="K1191" s="116"/>
      <c r="L1191" s="116" t="s">
        <v>693</v>
      </c>
      <c r="M1191" s="116">
        <f>VLOOKUP($L1191,$L$2:$N$7,2,FALSE)*I1191</f>
        <v>0</v>
      </c>
      <c r="N1191" s="116">
        <f>VLOOKUP($L1191,$L$2:$N$7,3,FALSE)*I1191</f>
        <v>0</v>
      </c>
      <c r="O1191" s="272"/>
      <c r="P1191" s="207" t="s">
        <v>560</v>
      </c>
      <c r="Q1191" s="116">
        <f>IF(P1191="G",M1191,IF(P1191="PT",0,ERR))</f>
        <v>0</v>
      </c>
      <c r="R1191" s="116">
        <f>IF(P1191="PT",M1191,IF(P1191="G",0,ERR))</f>
        <v>0</v>
      </c>
      <c r="S1191" s="240" t="s">
        <v>559</v>
      </c>
      <c r="T1191" s="116">
        <f>IF(S1191="G",N1191,IF(S1191="PT",0,ERR))</f>
        <v>0</v>
      </c>
      <c r="U1191" s="116">
        <f>IF(S1191="PT",N1191,IF(S1191="G",0,ERR))</f>
        <v>0</v>
      </c>
      <c r="V1191" s="273"/>
      <c r="W1191" s="116">
        <f>HLOOKUP($W$9,'ROR-Model'!$Q$10:$U$1263,Y1191)</f>
        <v>0</v>
      </c>
      <c r="X1191" s="118"/>
      <c r="Y1191" s="577">
        <f t="shared" si="79"/>
        <v>1182</v>
      </c>
      <c r="AA1191" s="116">
        <v>-1174.9232767939427</v>
      </c>
      <c r="AB1191" s="116">
        <f t="shared" si="80"/>
        <v>1174.9232767939427</v>
      </c>
    </row>
    <row r="1192" spans="1:28">
      <c r="A1192" s="136"/>
      <c r="B1192" s="102"/>
      <c r="C1192" s="102" t="s">
        <v>592</v>
      </c>
      <c r="D1192" s="102"/>
      <c r="E1192" s="116">
        <f>+G1192-Adjustments!H1193</f>
        <v>854.65140200000099</v>
      </c>
      <c r="F1192" s="116">
        <f>+'Rate Base'!$AE$240</f>
        <v>-854.65140200000099</v>
      </c>
      <c r="G1192" s="116">
        <f>+Adjustments!AW1175</f>
        <v>854.65140200000099</v>
      </c>
      <c r="H1192" s="116"/>
      <c r="I1192" s="116">
        <f>SUM($F$1192:$H$1192)</f>
        <v>0</v>
      </c>
      <c r="J1192" s="116"/>
      <c r="K1192" s="116"/>
      <c r="L1192" s="116" t="s">
        <v>24</v>
      </c>
      <c r="M1192" s="116">
        <f>VLOOKUP($L1192,$L$2:$N$7,2,FALSE)*I1192</f>
        <v>0</v>
      </c>
      <c r="N1192" s="116">
        <f>VLOOKUP($L1192,$L$2:$N$7,3,FALSE)*I1192</f>
        <v>0</v>
      </c>
      <c r="O1192" s="272"/>
      <c r="P1192" s="207" t="s">
        <v>560</v>
      </c>
      <c r="Q1192" s="116">
        <f>IF(P1192="G",M1192,IF(P1192="PT",0,ERR))</f>
        <v>0</v>
      </c>
      <c r="R1192" s="116">
        <f>IF(P1192="PT",M1192,IF(P1192="G",0,ERR))</f>
        <v>0</v>
      </c>
      <c r="S1192" s="240" t="s">
        <v>560</v>
      </c>
      <c r="T1192" s="116">
        <f>IF(S1192="G",N1192,IF(S1192="PT",0,ERR))</f>
        <v>0</v>
      </c>
      <c r="U1192" s="116">
        <f>IF(S1192="PT",N1192,IF(S1192="G",0,ERR))</f>
        <v>0</v>
      </c>
      <c r="V1192" s="273"/>
      <c r="W1192" s="116">
        <f>HLOOKUP($W$9,'ROR-Model'!$Q$10:$U$1263,Y1192)</f>
        <v>0</v>
      </c>
      <c r="X1192" s="118"/>
      <c r="Y1192" s="577">
        <f t="shared" si="79"/>
        <v>1183</v>
      </c>
      <c r="AA1192" s="116">
        <v>0</v>
      </c>
      <c r="AB1192" s="116">
        <f t="shared" si="80"/>
        <v>0</v>
      </c>
    </row>
    <row r="1193" spans="1:28">
      <c r="A1193" s="136"/>
      <c r="B1193" s="102"/>
      <c r="C1193" s="102" t="s">
        <v>593</v>
      </c>
      <c r="D1193" s="102"/>
      <c r="E1193" s="116">
        <f>+G1193-Adjustments!H1194</f>
        <v>25936.928597999999</v>
      </c>
      <c r="F1193" s="116">
        <f>+'Rate Base'!$AE$241</f>
        <v>-25936.928597999999</v>
      </c>
      <c r="G1193" s="116">
        <f>+Adjustments!AW1176</f>
        <v>25936.928597999999</v>
      </c>
      <c r="H1193" s="116"/>
      <c r="I1193" s="116">
        <f>SUM($F$1193:$H$1193)</f>
        <v>0</v>
      </c>
      <c r="J1193" s="116"/>
      <c r="K1193" s="116"/>
      <c r="L1193" s="116" t="s">
        <v>14</v>
      </c>
      <c r="M1193" s="116">
        <f>VLOOKUP($L1193,$L$2:$N$7,2,FALSE)*I1193</f>
        <v>0</v>
      </c>
      <c r="N1193" s="116">
        <f>VLOOKUP($L1193,$L$2:$N$7,3,FALSE)*I1193</f>
        <v>0</v>
      </c>
      <c r="O1193" s="272"/>
      <c r="P1193" s="207" t="s">
        <v>560</v>
      </c>
      <c r="Q1193" s="116">
        <f>IF(P1193="G",M1193,IF(P1193="PT",0,ERR))</f>
        <v>0</v>
      </c>
      <c r="R1193" s="116">
        <f>IF(P1193="PT",M1193,IF(P1193="G",0,ERR))</f>
        <v>0</v>
      </c>
      <c r="S1193" s="240" t="s">
        <v>560</v>
      </c>
      <c r="T1193" s="116">
        <f>IF(S1193="G",N1193,IF(S1193="PT",0,ERR))</f>
        <v>0</v>
      </c>
      <c r="U1193" s="116">
        <f>IF(S1193="PT",N1193,IF(S1193="G",0,ERR))</f>
        <v>0</v>
      </c>
      <c r="V1193" s="273"/>
      <c r="W1193" s="116">
        <f>HLOOKUP($W$9,'ROR-Model'!$Q$10:$U$1263,Y1193)</f>
        <v>0</v>
      </c>
      <c r="X1193" s="118"/>
      <c r="Y1193" s="577">
        <f t="shared" si="79"/>
        <v>1184</v>
      </c>
      <c r="AA1193" s="116">
        <v>-61177.155413550063</v>
      </c>
      <c r="AB1193" s="116">
        <f t="shared" si="80"/>
        <v>61177.155413550063</v>
      </c>
    </row>
    <row r="1194" spans="1:28">
      <c r="A1194" s="136"/>
      <c r="B1194" s="102"/>
      <c r="C1194" s="102" t="s">
        <v>595</v>
      </c>
      <c r="D1194" s="102"/>
      <c r="E1194" s="116">
        <f>+G1194-Adjustments!H1195</f>
        <v>527.25</v>
      </c>
      <c r="F1194" s="116">
        <f>+'Rate Base'!$AE$242</f>
        <v>-527.25</v>
      </c>
      <c r="G1194" s="116">
        <f>+Adjustments!AW1177</f>
        <v>527.25</v>
      </c>
      <c r="H1194" s="116"/>
      <c r="I1194" s="116">
        <f>SUM($F$1194:$H$1194)</f>
        <v>0</v>
      </c>
      <c r="J1194" s="116"/>
      <c r="K1194" s="116"/>
      <c r="L1194" s="116" t="s">
        <v>473</v>
      </c>
      <c r="M1194" s="116">
        <f ca="1">VLOOKUP($L1194,$L$2:$N$7,2,FALSE)*I1194</f>
        <v>0</v>
      </c>
      <c r="N1194" s="116">
        <f ca="1">VLOOKUP($L1194,$L$2:$N$7,3,FALSE)*I1194</f>
        <v>0</v>
      </c>
      <c r="O1194" s="272"/>
      <c r="P1194" s="207" t="s">
        <v>560</v>
      </c>
      <c r="Q1194" s="116">
        <f ca="1">IF(P1194="G",M1194,IF(P1194="PT",0,ERR))</f>
        <v>0</v>
      </c>
      <c r="R1194" s="116">
        <f>IF(P1194="PT",M1194,IF(P1194="G",0,ERR))</f>
        <v>0</v>
      </c>
      <c r="S1194" s="240" t="s">
        <v>560</v>
      </c>
      <c r="T1194" s="116">
        <f ca="1">IF(S1194="G",N1194,IF(S1194="PT",0,ERR))</f>
        <v>0</v>
      </c>
      <c r="U1194" s="116">
        <f>IF(S1194="PT",N1194,IF(S1194="G",0,ERR))</f>
        <v>0</v>
      </c>
      <c r="V1194" s="273"/>
      <c r="W1194" s="116">
        <f ca="1">HLOOKUP($W$9,'ROR-Model'!$Q$10:$U$1263,Y1194)</f>
        <v>0</v>
      </c>
      <c r="X1194" s="118"/>
      <c r="Y1194" s="577">
        <f t="shared" si="79"/>
        <v>1185</v>
      </c>
      <c r="AA1194" s="116">
        <v>-600.01828413899204</v>
      </c>
      <c r="AB1194" s="116">
        <f t="shared" ca="1" si="80"/>
        <v>600.01828413899204</v>
      </c>
    </row>
    <row r="1195" spans="1:28">
      <c r="A1195" s="136"/>
      <c r="B1195" s="102"/>
      <c r="C1195" s="102" t="s">
        <v>170</v>
      </c>
      <c r="D1195" s="102"/>
      <c r="E1195" s="131">
        <f>+G1195-Adjustments!H1196</f>
        <v>28629.62</v>
      </c>
      <c r="F1195" s="131">
        <f>SUM(F1191:F1194)</f>
        <v>-28629.62</v>
      </c>
      <c r="G1195" s="131">
        <f>SUM(G1191:G1194)</f>
        <v>28629.62</v>
      </c>
      <c r="H1195" s="131">
        <f>SUM(H1191:H1194)</f>
        <v>0</v>
      </c>
      <c r="I1195" s="131">
        <f>SUM(I1191:I1194)</f>
        <v>0</v>
      </c>
      <c r="J1195" s="116"/>
      <c r="K1195" s="116"/>
      <c r="L1195" s="131"/>
      <c r="M1195" s="131">
        <f ca="1">SUM(M1191:M1194)</f>
        <v>0</v>
      </c>
      <c r="N1195" s="131">
        <f ca="1">SUM(N1191:N1194)</f>
        <v>0</v>
      </c>
      <c r="O1195" s="272"/>
      <c r="P1195" s="257"/>
      <c r="Q1195" s="131">
        <f ca="1">SUM(Q1191:Q1194)</f>
        <v>0</v>
      </c>
      <c r="R1195" s="131">
        <f>SUM(R1191:R1194)</f>
        <v>0</v>
      </c>
      <c r="S1195" s="257"/>
      <c r="T1195" s="131">
        <f ca="1">SUM(T1191:T1194)</f>
        <v>0</v>
      </c>
      <c r="U1195" s="131">
        <f>SUM(U1191:U1194)</f>
        <v>0</v>
      </c>
      <c r="V1195" s="273"/>
      <c r="W1195" s="131">
        <f ca="1">HLOOKUP($W$9,'ROR-Model'!$Q$10:$U$1263,Y1195)</f>
        <v>0</v>
      </c>
      <c r="X1195" s="118"/>
      <c r="Y1195" s="577">
        <f t="shared" si="79"/>
        <v>1186</v>
      </c>
      <c r="AA1195" s="131">
        <v>-62952.096974482993</v>
      </c>
      <c r="AB1195" s="116">
        <f t="shared" ca="1" si="80"/>
        <v>62952.096974482993</v>
      </c>
    </row>
    <row r="1196" spans="1:28">
      <c r="A1196" s="136"/>
      <c r="B1196" s="102"/>
      <c r="C1196" s="102"/>
      <c r="D1196" s="102"/>
      <c r="E1196" s="116">
        <f>+G1196-Adjustments!H1197</f>
        <v>0</v>
      </c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272"/>
      <c r="P1196" s="240"/>
      <c r="Q1196" s="116"/>
      <c r="R1196" s="116"/>
      <c r="S1196" s="240"/>
      <c r="T1196" s="116"/>
      <c r="U1196" s="116"/>
      <c r="V1196" s="273"/>
      <c r="W1196" s="116"/>
      <c r="X1196" s="118"/>
      <c r="Y1196" s="577">
        <f t="shared" si="79"/>
        <v>1187</v>
      </c>
      <c r="AA1196" s="116"/>
      <c r="AB1196" s="116">
        <f t="shared" si="80"/>
        <v>0</v>
      </c>
    </row>
    <row r="1197" spans="1:28">
      <c r="A1197" s="136">
        <v>2820</v>
      </c>
      <c r="B1197" s="102" t="s">
        <v>477</v>
      </c>
      <c r="C1197" s="102"/>
      <c r="D1197" s="102"/>
      <c r="E1197" s="116">
        <f>+G1197-Adjustments!H1198</f>
        <v>0</v>
      </c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272"/>
      <c r="P1197" s="240"/>
      <c r="Q1197" s="116"/>
      <c r="R1197" s="116"/>
      <c r="S1197" s="240"/>
      <c r="T1197" s="116"/>
      <c r="U1197" s="116"/>
      <c r="V1197" s="273"/>
      <c r="W1197" s="116"/>
      <c r="X1197" s="118"/>
      <c r="Y1197" s="577">
        <f t="shared" si="79"/>
        <v>1188</v>
      </c>
      <c r="AA1197" s="116"/>
      <c r="AB1197" s="116">
        <f t="shared" si="80"/>
        <v>0</v>
      </c>
    </row>
    <row r="1198" spans="1:28">
      <c r="A1198" s="136"/>
      <c r="B1198" s="102"/>
      <c r="C1198" s="102" t="s">
        <v>443</v>
      </c>
      <c r="D1198" s="102"/>
      <c r="E1198" s="116">
        <f>+G1198-Adjustments!H1199</f>
        <v>-3941.1490184740396</v>
      </c>
      <c r="F1198" s="116">
        <f>+'Rate Base'!$AE$246</f>
        <v>44147.49</v>
      </c>
      <c r="G1198" s="116">
        <f>+Adjustments!AW1181</f>
        <v>-3941.1490184740396</v>
      </c>
      <c r="H1198" s="116"/>
      <c r="I1198" s="116">
        <f>SUM($F$1198:$H$1198)</f>
        <v>40206.340981525958</v>
      </c>
      <c r="J1198" s="116"/>
      <c r="K1198" s="116"/>
      <c r="L1198" s="116" t="s">
        <v>693</v>
      </c>
      <c r="M1198" s="116">
        <f>VLOOKUP($L1198,$L$2:$N$7,2,FALSE)*I1198</f>
        <v>38791.060769023439</v>
      </c>
      <c r="N1198" s="116">
        <f>VLOOKUP($L1198,$L$2:$N$7,3,FALSE)*I1198</f>
        <v>1415.2802125025137</v>
      </c>
      <c r="O1198" s="272"/>
      <c r="P1198" s="207" t="s">
        <v>560</v>
      </c>
      <c r="Q1198" s="116">
        <f>IF(P1198="G",M1198,IF(P1198="PT",0,ERR))</f>
        <v>38791.060769023439</v>
      </c>
      <c r="R1198" s="116">
        <f>IF(P1198="PT",M1198,IF(P1198="G",0,ERR))</f>
        <v>0</v>
      </c>
      <c r="S1198" s="240" t="s">
        <v>559</v>
      </c>
      <c r="T1198" s="116">
        <f>IF(S1198="G",N1198,IF(S1198="PT",0,ERR))</f>
        <v>0</v>
      </c>
      <c r="U1198" s="116">
        <f>IF(S1198="PT",N1198,IF(S1198="G",0,ERR))</f>
        <v>1415.2802125025137</v>
      </c>
      <c r="V1198" s="273"/>
      <c r="W1198" s="116">
        <f>HLOOKUP($W$9,'ROR-Model'!$Q$10:$U$1263,Y1198)</f>
        <v>38791.060769023439</v>
      </c>
      <c r="X1198" s="118"/>
      <c r="Y1198" s="577">
        <f t="shared" si="79"/>
        <v>1189</v>
      </c>
      <c r="AA1198" s="116">
        <v>-131118.40114433548</v>
      </c>
      <c r="AB1198" s="116">
        <f t="shared" si="80"/>
        <v>169909.46191335891</v>
      </c>
    </row>
    <row r="1199" spans="1:28">
      <c r="A1199" s="136"/>
      <c r="B1199" s="102"/>
      <c r="C1199" s="102" t="s">
        <v>592</v>
      </c>
      <c r="D1199" s="102"/>
      <c r="E1199" s="116">
        <f>+G1199-Adjustments!H1200</f>
        <v>757644.39057443477</v>
      </c>
      <c r="F1199" s="116">
        <f>+'Rate Base'!$AE$247</f>
        <v>-8486889.9906229991</v>
      </c>
      <c r="G1199" s="116">
        <f>+Adjustments!AW1182</f>
        <v>757644.39057443477</v>
      </c>
      <c r="H1199" s="116"/>
      <c r="I1199" s="116">
        <f>SUM($F$1199:$H$1199)</f>
        <v>-7729245.6000485644</v>
      </c>
      <c r="J1199" s="116"/>
      <c r="K1199" s="116"/>
      <c r="L1199" s="116" t="s">
        <v>24</v>
      </c>
      <c r="M1199" s="116">
        <f>VLOOKUP($L1199,$L$2:$N$7,2,FALSE)*I1199</f>
        <v>0</v>
      </c>
      <c r="N1199" s="116">
        <f>VLOOKUP($L1199,$L$2:$N$7,3,FALSE)*I1199</f>
        <v>-7729245.6000485644</v>
      </c>
      <c r="O1199" s="944"/>
      <c r="P1199" s="207" t="s">
        <v>560</v>
      </c>
      <c r="Q1199" s="116">
        <f>IF(P1199="G",M1199,IF(P1199="PT",0,ERR))</f>
        <v>0</v>
      </c>
      <c r="R1199" s="116">
        <f>IF(P1199="PT",M1199,IF(P1199="G",0,ERR))</f>
        <v>0</v>
      </c>
      <c r="S1199" s="240" t="s">
        <v>560</v>
      </c>
      <c r="T1199" s="116">
        <f>IF(S1199="G",N1199,IF(S1199="PT",0,ERR))</f>
        <v>-7729245.6000485644</v>
      </c>
      <c r="U1199" s="116">
        <f>IF(S1199="PT",N1199,IF(S1199="G",0,ERR))</f>
        <v>0</v>
      </c>
      <c r="V1199" s="273"/>
      <c r="W1199" s="116">
        <f>HLOOKUP($W$9,'ROR-Model'!$Q$10:$U$1263,Y1199)</f>
        <v>0</v>
      </c>
      <c r="X1199" s="118"/>
      <c r="Y1199" s="577">
        <f t="shared" si="79"/>
        <v>1190</v>
      </c>
      <c r="AA1199" s="116">
        <v>0</v>
      </c>
      <c r="AB1199" s="116">
        <f t="shared" si="80"/>
        <v>0</v>
      </c>
    </row>
    <row r="1200" spans="1:28">
      <c r="A1200" s="136"/>
      <c r="B1200" s="102"/>
      <c r="C1200" s="102" t="s">
        <v>593</v>
      </c>
      <c r="D1200" s="102"/>
      <c r="E1200" s="116">
        <f>+G1200-Adjustments!H1201</f>
        <v>22992963.464423597</v>
      </c>
      <c r="F1200" s="116">
        <f>+'Rate Base'!$AE$248</f>
        <v>-257559818.17937699</v>
      </c>
      <c r="G1200" s="116">
        <f>+Adjustments!AW1183</f>
        <v>22992963.464423597</v>
      </c>
      <c r="H1200" s="116"/>
      <c r="I1200" s="116">
        <f>SUM($F$1200:$H$1200)</f>
        <v>-234566854.71495339</v>
      </c>
      <c r="J1200" s="116"/>
      <c r="K1200" s="116"/>
      <c r="L1200" s="116" t="s">
        <v>14</v>
      </c>
      <c r="M1200" s="116">
        <f>VLOOKUP($L1200,$L$2:$N$7,2,FALSE)*I1200</f>
        <v>-234566854.71495339</v>
      </c>
      <c r="N1200" s="116">
        <f>VLOOKUP($L1200,$L$2:$N$7,3,FALSE)*I1200</f>
        <v>0</v>
      </c>
      <c r="O1200" s="272"/>
      <c r="P1200" s="207" t="s">
        <v>560</v>
      </c>
      <c r="Q1200" s="116">
        <f>IF(P1200="G",M1200,IF(P1200="PT",0,ERR))</f>
        <v>-234566854.71495339</v>
      </c>
      <c r="R1200" s="116">
        <f>IF(P1200="PT",M1200,IF(P1200="G",0,ERR))</f>
        <v>0</v>
      </c>
      <c r="S1200" s="240" t="s">
        <v>560</v>
      </c>
      <c r="T1200" s="116">
        <f>IF(S1200="G",N1200,IF(S1200="PT",0,ERR))</f>
        <v>0</v>
      </c>
      <c r="U1200" s="116">
        <f>IF(S1200="PT",N1200,IF(S1200="G",0,ERR))</f>
        <v>0</v>
      </c>
      <c r="V1200" s="273"/>
      <c r="W1200" s="116">
        <f>HLOOKUP($W$9,'ROR-Model'!$Q$10:$U$1263,Y1200)</f>
        <v>-234566854.71495339</v>
      </c>
      <c r="X1200" s="118"/>
      <c r="Y1200" s="577">
        <f t="shared" si="79"/>
        <v>1191</v>
      </c>
      <c r="AA1200" s="116">
        <v>-405378854.14791399</v>
      </c>
      <c r="AB1200" s="116">
        <f t="shared" si="80"/>
        <v>170811999.4329606</v>
      </c>
    </row>
    <row r="1201" spans="1:28">
      <c r="A1201" s="136"/>
      <c r="B1201" s="102"/>
      <c r="C1201" s="102" t="s">
        <v>595</v>
      </c>
      <c r="D1201" s="102"/>
      <c r="E1201" s="116">
        <f>+G1201-Adjustments!H1202</f>
        <v>1144227.3016057033</v>
      </c>
      <c r="F1201" s="116">
        <f>+'Rate Base'!$AE$249</f>
        <v>-12817268.039999999</v>
      </c>
      <c r="G1201" s="116">
        <f>+Adjustments!AW1184</f>
        <v>1144227.3016057033</v>
      </c>
      <c r="H1201" s="116"/>
      <c r="I1201" s="116">
        <f>SUM($F$1201:$H$1201)</f>
        <v>-11673040.738394296</v>
      </c>
      <c r="J1201" s="116"/>
      <c r="K1201" s="116"/>
      <c r="L1201" s="116" t="s">
        <v>473</v>
      </c>
      <c r="M1201" s="116">
        <f ca="1">VLOOKUP($L1201,$L$2:$N$7,2,FALSE)*I1201</f>
        <v>-11293950.351261055</v>
      </c>
      <c r="N1201" s="116">
        <f ca="1">VLOOKUP($L1201,$L$2:$N$7,3,FALSE)*I1201</f>
        <v>-379090.3871332393</v>
      </c>
      <c r="O1201" s="272"/>
      <c r="P1201" s="207" t="s">
        <v>560</v>
      </c>
      <c r="Q1201" s="116">
        <f ca="1">IF(P1201="G",M1201,IF(P1201="PT",0,ERR))</f>
        <v>-11293950.351261055</v>
      </c>
      <c r="R1201" s="116">
        <f>IF(P1201="PT",M1201,IF(P1201="G",0,ERR))</f>
        <v>0</v>
      </c>
      <c r="S1201" s="240" t="s">
        <v>560</v>
      </c>
      <c r="T1201" s="116">
        <f ca="1">IF(S1201="G",N1201,IF(S1201="PT",0,ERR))</f>
        <v>-379090.3871332393</v>
      </c>
      <c r="U1201" s="116">
        <f>IF(S1201="PT",N1201,IF(S1201="G",0,ERR))</f>
        <v>0</v>
      </c>
      <c r="V1201" s="273"/>
      <c r="W1201" s="116">
        <f ca="1">HLOOKUP($W$9,'ROR-Model'!$Q$10:$U$1263,Y1201)</f>
        <v>-11293950.351261055</v>
      </c>
      <c r="X1201" s="118"/>
      <c r="Y1201" s="577">
        <f t="shared" si="79"/>
        <v>1192</v>
      </c>
      <c r="AA1201" s="116">
        <v>-12660451.176607618</v>
      </c>
      <c r="AB1201" s="116">
        <f t="shared" ca="1" si="80"/>
        <v>1366500.825346563</v>
      </c>
    </row>
    <row r="1202" spans="1:28">
      <c r="A1202" s="136"/>
      <c r="B1202" s="102"/>
      <c r="C1202" s="102" t="s">
        <v>170</v>
      </c>
      <c r="D1202" s="102"/>
      <c r="E1202" s="131">
        <f>+G1202-Adjustments!H1203</f>
        <v>24890894.007585257</v>
      </c>
      <c r="F1202" s="131">
        <f>SUM(F1198:F1201)</f>
        <v>-278819828.71999997</v>
      </c>
      <c r="G1202" s="131">
        <f>SUM(G1198:G1201)</f>
        <v>24890894.007585257</v>
      </c>
      <c r="H1202" s="131">
        <f>SUM(H1198:H1201)</f>
        <v>0</v>
      </c>
      <c r="I1202" s="131">
        <f>SUM(I1198:I1201)</f>
        <v>-253928934.71241471</v>
      </c>
      <c r="J1202" s="116"/>
      <c r="K1202" s="116"/>
      <c r="L1202" s="131"/>
      <c r="M1202" s="131">
        <f ca="1">SUM(M1198:M1201)</f>
        <v>-245822014.00544542</v>
      </c>
      <c r="N1202" s="131">
        <f ca="1">SUM(N1198:N1201)</f>
        <v>-8106920.7069693003</v>
      </c>
      <c r="O1202" s="944"/>
      <c r="P1202" s="257"/>
      <c r="Q1202" s="131">
        <f ca="1">SUM(Q1198:Q1201)</f>
        <v>-245822014.00544542</v>
      </c>
      <c r="R1202" s="131">
        <f>SUM(R1198:R1201)</f>
        <v>0</v>
      </c>
      <c r="S1202" s="257"/>
      <c r="T1202" s="131">
        <f ca="1">SUM(T1198:T1201)</f>
        <v>-8108335.9871818032</v>
      </c>
      <c r="U1202" s="131">
        <f>SUM(U1198:U1201)</f>
        <v>1415.2802125025137</v>
      </c>
      <c r="V1202" s="273"/>
      <c r="W1202" s="131">
        <f ca="1">HLOOKUP($W$9,'ROR-Model'!$Q$10:$U$1263,Y1202)</f>
        <v>-245822014.00544542</v>
      </c>
      <c r="X1202" s="118"/>
      <c r="Y1202" s="577">
        <f t="shared" si="79"/>
        <v>1193</v>
      </c>
      <c r="AA1202" s="131">
        <v>-418170423.72566593</v>
      </c>
      <c r="AB1202" s="116">
        <f t="shared" ca="1" si="80"/>
        <v>172348409.72022051</v>
      </c>
    </row>
    <row r="1203" spans="1:28">
      <c r="A1203" s="136"/>
      <c r="B1203" s="102"/>
      <c r="C1203" s="102"/>
      <c r="D1203" s="102"/>
      <c r="E1203" s="116">
        <f>+G1203-Adjustments!H1204</f>
        <v>0</v>
      </c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959"/>
      <c r="P1203" s="240"/>
      <c r="Q1203" s="116"/>
      <c r="R1203" s="116"/>
      <c r="S1203" s="240"/>
      <c r="T1203" s="116"/>
      <c r="U1203" s="116"/>
      <c r="V1203" s="273"/>
      <c r="W1203" s="116"/>
      <c r="X1203" s="118"/>
      <c r="Y1203" s="577">
        <f t="shared" si="79"/>
        <v>1194</v>
      </c>
      <c r="AA1203" s="116"/>
      <c r="AB1203" s="116">
        <f t="shared" si="80"/>
        <v>0</v>
      </c>
    </row>
    <row r="1204" spans="1:28">
      <c r="A1204" s="136">
        <v>2821</v>
      </c>
      <c r="B1204" s="102" t="s">
        <v>478</v>
      </c>
      <c r="C1204" s="102"/>
      <c r="D1204" s="102"/>
      <c r="E1204" s="116">
        <f>+G1204-Adjustments!H1205</f>
        <v>0</v>
      </c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272"/>
      <c r="P1204" s="240"/>
      <c r="Q1204" s="116"/>
      <c r="R1204" s="116"/>
      <c r="S1204" s="240"/>
      <c r="T1204" s="116"/>
      <c r="U1204" s="116"/>
      <c r="V1204" s="273"/>
      <c r="W1204" s="116"/>
      <c r="X1204" s="118"/>
      <c r="Y1204" s="577">
        <f t="shared" si="79"/>
        <v>1195</v>
      </c>
      <c r="AA1204" s="116"/>
      <c r="AB1204" s="116">
        <f t="shared" si="80"/>
        <v>0</v>
      </c>
    </row>
    <row r="1205" spans="1:28">
      <c r="A1205" s="136"/>
      <c r="B1205" s="102"/>
      <c r="C1205" s="102" t="s">
        <v>443</v>
      </c>
      <c r="D1205" s="102"/>
      <c r="E1205" s="116">
        <f>+G1205-Adjustments!H1206</f>
        <v>58693.613515745383</v>
      </c>
      <c r="F1205" s="116">
        <f>+'Rate Base'!$AE$253</f>
        <v>-700755.31</v>
      </c>
      <c r="G1205" s="116">
        <f>+Adjustments!AW1188</f>
        <v>58693.613515745383</v>
      </c>
      <c r="H1205" s="116"/>
      <c r="I1205" s="116">
        <f>SUM($F$1205:$H$1205)</f>
        <v>-642061.69648425467</v>
      </c>
      <c r="J1205" s="116"/>
      <c r="K1205" s="116"/>
      <c r="L1205" s="116" t="s">
        <v>693</v>
      </c>
      <c r="M1205" s="116">
        <f>VLOOKUP($L1205,$L$2:$N$7,2,FALSE)*I1205</f>
        <v>-619460.85313326458</v>
      </c>
      <c r="N1205" s="116">
        <f>VLOOKUP($L1205,$L$2:$N$7,3,FALSE)*I1205</f>
        <v>-22600.843350990068</v>
      </c>
      <c r="O1205" s="272"/>
      <c r="P1205" s="207" t="s">
        <v>560</v>
      </c>
      <c r="Q1205" s="116">
        <f>IF(P1205="G",M1205,IF(P1205="PT",0,ERR))</f>
        <v>-619460.85313326458</v>
      </c>
      <c r="R1205" s="116">
        <f>IF(P1205="PT",M1205,IF(P1205="G",0,ERR))</f>
        <v>0</v>
      </c>
      <c r="S1205" s="240" t="s">
        <v>559</v>
      </c>
      <c r="T1205" s="116">
        <f>IF(S1205="G",N1205,IF(S1205="PT",0,ERR))</f>
        <v>0</v>
      </c>
      <c r="U1205" s="116">
        <f>IF(S1205="PT",N1205,IF(S1205="G",0,ERR))</f>
        <v>-22600.843350990068</v>
      </c>
      <c r="V1205" s="273"/>
      <c r="W1205" s="116">
        <f>HLOOKUP($W$9,'ROR-Model'!$Q$10:$U$1263,Y1205)</f>
        <v>-619460.85313326458</v>
      </c>
      <c r="X1205" s="118"/>
      <c r="Y1205" s="577">
        <f t="shared" si="79"/>
        <v>1196</v>
      </c>
      <c r="AA1205" s="116">
        <v>-676088.42662195861</v>
      </c>
      <c r="AB1205" s="116">
        <f t="shared" si="80"/>
        <v>56627.573488694034</v>
      </c>
    </row>
    <row r="1206" spans="1:28">
      <c r="A1206" s="136"/>
      <c r="B1206" s="102"/>
      <c r="C1206" s="102" t="s">
        <v>592</v>
      </c>
      <c r="D1206" s="102"/>
      <c r="E1206" s="116">
        <f>+G1206-Adjustments!H1207</f>
        <v>0</v>
      </c>
      <c r="F1206" s="116">
        <f>+'Rate Base'!$AE$254</f>
        <v>0</v>
      </c>
      <c r="G1206" s="116">
        <f>+Adjustments!AW1189</f>
        <v>0</v>
      </c>
      <c r="H1206" s="116"/>
      <c r="I1206" s="116">
        <f>SUM($F$1206:$H$1206)</f>
        <v>0</v>
      </c>
      <c r="J1206" s="116"/>
      <c r="K1206" s="116"/>
      <c r="L1206" s="116" t="s">
        <v>24</v>
      </c>
      <c r="M1206" s="116">
        <f>VLOOKUP($L1206,$L$2:$N$7,2,FALSE)*I1206</f>
        <v>0</v>
      </c>
      <c r="N1206" s="116">
        <f>VLOOKUP($L1206,$L$2:$N$7,3,FALSE)*I1206</f>
        <v>0</v>
      </c>
      <c r="O1206" s="272"/>
      <c r="P1206" s="207" t="s">
        <v>560</v>
      </c>
      <c r="Q1206" s="116">
        <f>IF(P1206="G",M1206,IF(P1206="PT",0,ERR))</f>
        <v>0</v>
      </c>
      <c r="R1206" s="116">
        <f>IF(P1206="PT",M1206,IF(P1206="G",0,ERR))</f>
        <v>0</v>
      </c>
      <c r="S1206" s="240" t="s">
        <v>560</v>
      </c>
      <c r="T1206" s="116">
        <f>IF(S1206="G",N1206,IF(S1206="PT",0,ERR))</f>
        <v>0</v>
      </c>
      <c r="U1206" s="116">
        <f>IF(S1206="PT",N1206,IF(S1206="G",0,ERR))</f>
        <v>0</v>
      </c>
      <c r="V1206" s="273"/>
      <c r="W1206" s="116">
        <f>HLOOKUP($W$9,'ROR-Model'!$Q$10:$U$1263,Y1206)</f>
        <v>0</v>
      </c>
      <c r="X1206" s="118"/>
      <c r="Y1206" s="577">
        <f t="shared" si="79"/>
        <v>1197</v>
      </c>
      <c r="AA1206" s="116">
        <v>0</v>
      </c>
      <c r="AB1206" s="116">
        <f t="shared" si="80"/>
        <v>0</v>
      </c>
    </row>
    <row r="1207" spans="1:28">
      <c r="A1207" s="136"/>
      <c r="B1207" s="102"/>
      <c r="C1207" s="102" t="s">
        <v>593</v>
      </c>
      <c r="D1207" s="102"/>
      <c r="E1207" s="116">
        <f>+G1207-Adjustments!H1208</f>
        <v>5366452.0939512625</v>
      </c>
      <c r="F1207" s="116">
        <f>+'Rate Base'!$AE$255</f>
        <v>-64071192.340000004</v>
      </c>
      <c r="G1207" s="116">
        <f>+Adjustments!AW1190</f>
        <v>5366452.0939512625</v>
      </c>
      <c r="H1207" s="116"/>
      <c r="I1207" s="116">
        <f>SUM($F$1207:$H$1207)</f>
        <v>-58704740.246048741</v>
      </c>
      <c r="J1207" s="116"/>
      <c r="K1207" s="116"/>
      <c r="L1207" s="116" t="s">
        <v>14</v>
      </c>
      <c r="M1207" s="116">
        <f>VLOOKUP($L1207,$L$2:$N$7,2,FALSE)*I1207</f>
        <v>-58704740.246048741</v>
      </c>
      <c r="N1207" s="116">
        <f>VLOOKUP($L1207,$L$2:$N$7,3,FALSE)*I1207</f>
        <v>0</v>
      </c>
      <c r="O1207" s="272"/>
      <c r="P1207" s="207" t="s">
        <v>560</v>
      </c>
      <c r="Q1207" s="116">
        <f>IF(P1207="G",M1207,IF(P1207="PT",0,ERR))</f>
        <v>-58704740.246048741</v>
      </c>
      <c r="R1207" s="116">
        <f>IF(P1207="PT",M1207,IF(P1207="G",0,ERR))</f>
        <v>0</v>
      </c>
      <c r="S1207" s="240" t="s">
        <v>560</v>
      </c>
      <c r="T1207" s="116">
        <f>IF(S1207="G",N1207,IF(S1207="PT",0,ERR))</f>
        <v>0</v>
      </c>
      <c r="U1207" s="116">
        <f>IF(S1207="PT",N1207,IF(S1207="G",0,ERR))</f>
        <v>0</v>
      </c>
      <c r="V1207" s="273"/>
      <c r="W1207" s="116">
        <f>HLOOKUP($W$9,'ROR-Model'!$Q$10:$U$1263,Y1207)</f>
        <v>-58704740.246048741</v>
      </c>
      <c r="X1207" s="118"/>
      <c r="Y1207" s="577">
        <f t="shared" si="79"/>
        <v>1198</v>
      </c>
      <c r="AA1207" s="116">
        <v>-61315042.53708332</v>
      </c>
      <c r="AB1207" s="116">
        <f t="shared" si="80"/>
        <v>2610302.2910345793</v>
      </c>
    </row>
    <row r="1208" spans="1:28">
      <c r="A1208" s="136"/>
      <c r="B1208" s="102"/>
      <c r="C1208" s="102" t="s">
        <v>595</v>
      </c>
      <c r="D1208" s="102"/>
      <c r="E1208" s="116">
        <f>+G1208-Adjustments!H1209</f>
        <v>93728.266582864919</v>
      </c>
      <c r="F1208" s="116">
        <f>+'Rate Base'!$AE$256</f>
        <v>-1119041.3500000001</v>
      </c>
      <c r="G1208" s="116">
        <f>+Adjustments!AW1191</f>
        <v>93728.266582864919</v>
      </c>
      <c r="H1208" s="116"/>
      <c r="I1208" s="116">
        <f>SUM($F$1208:$H$1208)</f>
        <v>-1025313.0834171352</v>
      </c>
      <c r="J1208" s="116"/>
      <c r="K1208" s="116"/>
      <c r="L1208" s="116" t="s">
        <v>473</v>
      </c>
      <c r="M1208" s="116">
        <f ca="1">VLOOKUP($L1208,$L$2:$N$7,2,FALSE)*I1208</f>
        <v>-992015.3041635314</v>
      </c>
      <c r="N1208" s="116">
        <f ca="1">VLOOKUP($L1208,$L$2:$N$7,3,FALSE)*I1208</f>
        <v>-33297.77925360376</v>
      </c>
      <c r="O1208" s="272"/>
      <c r="P1208" s="207" t="s">
        <v>560</v>
      </c>
      <c r="Q1208" s="116">
        <f ca="1">IF(P1208="G",M1208,IF(P1208="PT",0,ERR))</f>
        <v>-992015.3041635314</v>
      </c>
      <c r="R1208" s="116">
        <f>IF(P1208="PT",M1208,IF(P1208="G",0,ERR))</f>
        <v>0</v>
      </c>
      <c r="S1208" s="240" t="s">
        <v>560</v>
      </c>
      <c r="T1208" s="116">
        <f ca="1">IF(S1208="G",N1208,IF(S1208="PT",0,ERR))</f>
        <v>-33297.77925360376</v>
      </c>
      <c r="U1208" s="116">
        <f>IF(S1208="PT",N1208,IF(S1208="G",0,ERR))</f>
        <v>0</v>
      </c>
      <c r="V1208" s="273"/>
      <c r="W1208" s="116">
        <f ca="1">HLOOKUP($W$9,'ROR-Model'!$Q$10:$U$1263,Y1208)</f>
        <v>-992015.3041635314</v>
      </c>
      <c r="X1208" s="118"/>
      <c r="Y1208" s="577">
        <f t="shared" si="79"/>
        <v>1199</v>
      </c>
      <c r="AA1208" s="116">
        <v>-1082539.7351190348</v>
      </c>
      <c r="AB1208" s="116">
        <f t="shared" ca="1" si="80"/>
        <v>90524.430955503369</v>
      </c>
    </row>
    <row r="1209" spans="1:28">
      <c r="A1209" s="136"/>
      <c r="B1209" s="102"/>
      <c r="C1209" s="102" t="s">
        <v>170</v>
      </c>
      <c r="D1209" s="102"/>
      <c r="E1209" s="131">
        <f>+G1209-Adjustments!H1210</f>
        <v>5518873.9740498737</v>
      </c>
      <c r="F1209" s="131">
        <f>SUM(F1205:F1208)</f>
        <v>-65890989.000000007</v>
      </c>
      <c r="G1209" s="131">
        <f>SUM(G1205:G1208)</f>
        <v>5518873.9740498737</v>
      </c>
      <c r="H1209" s="131">
        <f>SUM(H1205:H1208)</f>
        <v>0</v>
      </c>
      <c r="I1209" s="131">
        <f>SUM(I1205:I1208)</f>
        <v>-60372115.025950126</v>
      </c>
      <c r="J1209" s="116"/>
      <c r="K1209" s="116"/>
      <c r="L1209" s="131"/>
      <c r="M1209" s="131">
        <f ca="1">SUM(M1205:M1208)</f>
        <v>-60316216.403345533</v>
      </c>
      <c r="N1209" s="131">
        <f ca="1">SUM(N1205:N1208)</f>
        <v>-55898.622604593824</v>
      </c>
      <c r="O1209" s="958"/>
      <c r="P1209" s="257"/>
      <c r="Q1209" s="131">
        <f ca="1">SUM(Q1205:Q1208)</f>
        <v>-60316216.403345533</v>
      </c>
      <c r="R1209" s="131">
        <f>SUM(R1205:R1208)</f>
        <v>0</v>
      </c>
      <c r="S1209" s="257"/>
      <c r="T1209" s="131">
        <f ca="1">SUM(T1205:T1208)</f>
        <v>-33297.77925360376</v>
      </c>
      <c r="U1209" s="131">
        <f>SUM(U1205:U1208)</f>
        <v>-22600.843350990068</v>
      </c>
      <c r="V1209" s="273"/>
      <c r="W1209" s="131">
        <f ca="1">HLOOKUP($W$9,'ROR-Model'!$Q$10:$U$1263,Y1209)</f>
        <v>-60316216.403345533</v>
      </c>
      <c r="X1209" s="118"/>
      <c r="Y1209" s="577">
        <f t="shared" si="79"/>
        <v>1200</v>
      </c>
      <c r="AA1209" s="131">
        <v>-63073670.698824316</v>
      </c>
      <c r="AB1209" s="116">
        <f t="shared" ca="1" si="80"/>
        <v>2757454.2954787835</v>
      </c>
    </row>
    <row r="1210" spans="1:28">
      <c r="A1210" s="136"/>
      <c r="B1210" s="102"/>
      <c r="C1210" s="102"/>
      <c r="D1210" s="102"/>
      <c r="E1210" s="116">
        <f>+G1210-Adjustments!H1211</f>
        <v>0</v>
      </c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272"/>
      <c r="P1210" s="240"/>
      <c r="Q1210" s="116"/>
      <c r="R1210" s="116"/>
      <c r="S1210" s="240"/>
      <c r="T1210" s="116"/>
      <c r="U1210" s="116"/>
      <c r="V1210" s="273"/>
      <c r="W1210" s="116"/>
      <c r="X1210" s="118"/>
      <c r="Y1210" s="577">
        <f t="shared" si="79"/>
        <v>1201</v>
      </c>
      <c r="AA1210" s="116"/>
      <c r="AB1210" s="116">
        <f t="shared" si="80"/>
        <v>0</v>
      </c>
    </row>
    <row r="1211" spans="1:28">
      <c r="A1211" s="388" t="s">
        <v>158</v>
      </c>
      <c r="B1211" s="119" t="s">
        <v>157</v>
      </c>
      <c r="C1211" s="102"/>
      <c r="D1211" s="102"/>
      <c r="E1211" s="116">
        <f>+G1211-Adjustments!H1212</f>
        <v>0</v>
      </c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272"/>
      <c r="P1211" s="240"/>
      <c r="Q1211" s="116"/>
      <c r="R1211" s="116"/>
      <c r="S1211" s="240"/>
      <c r="T1211" s="116"/>
      <c r="U1211" s="116"/>
      <c r="V1211" s="273"/>
      <c r="W1211" s="116"/>
      <c r="X1211" s="118"/>
      <c r="Y1211" s="577">
        <f t="shared" si="79"/>
        <v>1202</v>
      </c>
      <c r="AA1211" s="116"/>
      <c r="AB1211" s="116">
        <f t="shared" si="80"/>
        <v>0</v>
      </c>
    </row>
    <row r="1212" spans="1:28">
      <c r="A1212" s="227"/>
      <c r="B1212" s="102" t="s">
        <v>595</v>
      </c>
      <c r="C1212" s="102"/>
      <c r="D1212" s="102"/>
      <c r="E1212" s="116">
        <f>+G1212-Adjustments!H1213</f>
        <v>0</v>
      </c>
      <c r="F1212" s="116">
        <f>+'Rate Base'!$AE$260</f>
        <v>0</v>
      </c>
      <c r="G1212" s="116">
        <f>+Adjustments!AW1195</f>
        <v>0</v>
      </c>
      <c r="H1212" s="116"/>
      <c r="I1212" s="116">
        <f>SUM($F$1212:$H$1212)</f>
        <v>0</v>
      </c>
      <c r="J1212" s="116"/>
      <c r="K1212" s="116"/>
      <c r="L1212" s="116" t="s">
        <v>473</v>
      </c>
      <c r="M1212" s="116">
        <f ca="1">VLOOKUP($L1212,$L$2:$N$7,2,FALSE)*I1212</f>
        <v>0</v>
      </c>
      <c r="N1212" s="116">
        <f ca="1">VLOOKUP($L1212,$L$2:$N$7,3,FALSE)*I1212</f>
        <v>0</v>
      </c>
      <c r="O1212" s="272"/>
      <c r="P1212" s="207" t="s">
        <v>560</v>
      </c>
      <c r="Q1212" s="116">
        <f ca="1">IF(P1212="G",M1212,IF(P1212="PT",0,ERR))</f>
        <v>0</v>
      </c>
      <c r="R1212" s="116">
        <f>IF(P1212="PT",M1212,IF(P1212="G",0,ERR))</f>
        <v>0</v>
      </c>
      <c r="S1212" s="240" t="s">
        <v>560</v>
      </c>
      <c r="T1212" s="116">
        <f ca="1">IF(S1212="G",N1212,IF(S1212="PT",0,ERR))</f>
        <v>0</v>
      </c>
      <c r="U1212" s="116">
        <f>IF(S1212="PT",N1212,IF(S1212="G",0,ERR))</f>
        <v>0</v>
      </c>
      <c r="V1212" s="273"/>
      <c r="W1212" s="116">
        <f ca="1">HLOOKUP($W$9,'ROR-Model'!$Q$10:$U$1263,Y1212)</f>
        <v>0</v>
      </c>
      <c r="X1212" s="118"/>
      <c r="Y1212" s="577">
        <f t="shared" si="79"/>
        <v>1203</v>
      </c>
      <c r="AA1212" s="116">
        <v>0</v>
      </c>
      <c r="AB1212" s="116">
        <f t="shared" ca="1" si="80"/>
        <v>0</v>
      </c>
    </row>
    <row r="1213" spans="1:28">
      <c r="A1213" s="227"/>
      <c r="B1213" s="102" t="s">
        <v>170</v>
      </c>
      <c r="C1213" s="102"/>
      <c r="D1213" s="102"/>
      <c r="E1213" s="131">
        <f>+G1213-Adjustments!H1214</f>
        <v>0</v>
      </c>
      <c r="F1213" s="131">
        <f>SUM(F1212)</f>
        <v>0</v>
      </c>
      <c r="G1213" s="131">
        <f>SUM(G1212)</f>
        <v>0</v>
      </c>
      <c r="H1213" s="131">
        <f>SUM(H1212)</f>
        <v>0</v>
      </c>
      <c r="I1213" s="131">
        <f>SUM(I1212)</f>
        <v>0</v>
      </c>
      <c r="J1213" s="116"/>
      <c r="K1213" s="116"/>
      <c r="L1213" s="131"/>
      <c r="M1213" s="131">
        <f ca="1">SUM(M1212)</f>
        <v>0</v>
      </c>
      <c r="N1213" s="131">
        <f ca="1">SUM(N1212)</f>
        <v>0</v>
      </c>
      <c r="O1213" s="272"/>
      <c r="P1213" s="257"/>
      <c r="Q1213" s="131">
        <f ca="1">SUM(Q1212)</f>
        <v>0</v>
      </c>
      <c r="R1213" s="131">
        <f>SUM(R1212)</f>
        <v>0</v>
      </c>
      <c r="S1213" s="257"/>
      <c r="T1213" s="131">
        <f ca="1">SUM(T1212)</f>
        <v>0</v>
      </c>
      <c r="U1213" s="131">
        <f>SUM(U1212)</f>
        <v>0</v>
      </c>
      <c r="V1213" s="273"/>
      <c r="W1213" s="131">
        <f ca="1">HLOOKUP($W$9,'ROR-Model'!$Q$10:$U$1263,Y1213)</f>
        <v>0</v>
      </c>
      <c r="X1213" s="118"/>
      <c r="Y1213" s="577">
        <f t="shared" si="79"/>
        <v>1204</v>
      </c>
      <c r="AA1213" s="131">
        <v>0</v>
      </c>
      <c r="AB1213" s="116">
        <f t="shared" ca="1" si="80"/>
        <v>0</v>
      </c>
    </row>
    <row r="1214" spans="1:28" ht="13.5" thickBot="1">
      <c r="A1214" s="227"/>
      <c r="B1214" s="102"/>
      <c r="C1214" s="102"/>
      <c r="D1214" s="102"/>
      <c r="E1214" s="235">
        <f>+G1214-Adjustments!H1215</f>
        <v>0</v>
      </c>
      <c r="F1214" s="235"/>
      <c r="G1214" s="235"/>
      <c r="H1214" s="235"/>
      <c r="I1214" s="235"/>
      <c r="J1214" s="116"/>
      <c r="K1214" s="116"/>
      <c r="L1214" s="235"/>
      <c r="M1214" s="235"/>
      <c r="N1214" s="235"/>
      <c r="O1214" s="272"/>
      <c r="P1214" s="613"/>
      <c r="Q1214" s="235"/>
      <c r="R1214" s="235"/>
      <c r="S1214" s="613"/>
      <c r="T1214" s="235"/>
      <c r="U1214" s="235"/>
      <c r="V1214" s="273"/>
      <c r="W1214" s="235"/>
      <c r="X1214" s="118"/>
      <c r="Y1214" s="577">
        <f t="shared" si="79"/>
        <v>1205</v>
      </c>
      <c r="AA1214" s="235"/>
      <c r="AB1214" s="116">
        <f t="shared" si="80"/>
        <v>0</v>
      </c>
    </row>
    <row r="1215" spans="1:28" ht="13.5" thickTop="1">
      <c r="A1215" s="73" t="s">
        <v>292</v>
      </c>
      <c r="B1215" s="102"/>
      <c r="C1215" s="102"/>
      <c r="D1215" s="102"/>
      <c r="E1215" s="116">
        <f>+G1215-Adjustments!H1216</f>
        <v>0</v>
      </c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272"/>
      <c r="P1215" s="240"/>
      <c r="Q1215" s="116"/>
      <c r="R1215" s="116"/>
      <c r="S1215" s="240"/>
      <c r="T1215" s="116"/>
      <c r="U1215" s="116"/>
      <c r="V1215" s="273"/>
      <c r="W1215" s="116"/>
      <c r="X1215" s="118"/>
      <c r="Y1215" s="577">
        <f t="shared" si="79"/>
        <v>1206</v>
      </c>
      <c r="AA1215" s="116"/>
      <c r="AB1215" s="116">
        <f t="shared" si="80"/>
        <v>0</v>
      </c>
    </row>
    <row r="1216" spans="1:28">
      <c r="A1216" s="227"/>
      <c r="B1216" s="102" t="s">
        <v>443</v>
      </c>
      <c r="C1216" s="102"/>
      <c r="D1216" s="102"/>
      <c r="E1216" s="116">
        <f>+G1216-Adjustments!H1217</f>
        <v>-52835003.495502733</v>
      </c>
      <c r="F1216" s="116">
        <f>F1155+F1191+F1198+F1205+F1170+F1163</f>
        <v>52233148.140000001</v>
      </c>
      <c r="G1216" s="116">
        <f>G1155+G1191+G1198+G1205+G1170+G1163</f>
        <v>-52835003.495502733</v>
      </c>
      <c r="H1216" s="116">
        <f>H1155+H1191+H1198+H1205+H1170+H1163</f>
        <v>0</v>
      </c>
      <c r="I1216" s="116">
        <f>I1155+I1191+I1198+I1205+I1170+I1163</f>
        <v>-601855.35550272872</v>
      </c>
      <c r="J1216" s="116"/>
      <c r="K1216" s="116"/>
      <c r="L1216" s="116"/>
      <c r="M1216" s="116">
        <f>M1155+M1191+M1198+M1205+M1170+M1163</f>
        <v>-580669.79236424109</v>
      </c>
      <c r="N1216" s="116">
        <f>N1155+N1191+N1198+N1205+N1170+N1163</f>
        <v>-21185.563138487552</v>
      </c>
      <c r="O1216" s="272"/>
      <c r="P1216" s="207"/>
      <c r="Q1216" s="116">
        <f>Q1155+Q1191+Q1198+Q1205+Q1170+Q1163</f>
        <v>-580669.79236424109</v>
      </c>
      <c r="R1216" s="116">
        <f>R1155+R1191+R1198+R1205+R1170+R1163</f>
        <v>0</v>
      </c>
      <c r="S1216" s="240"/>
      <c r="T1216" s="116">
        <f>T1155+T1191+T1198+T1205+T1170+T1163</f>
        <v>0</v>
      </c>
      <c r="U1216" s="116">
        <f>U1155+U1191+U1198+U1205+U1170+U1163</f>
        <v>-21185.563138487552</v>
      </c>
      <c r="V1216" s="273"/>
      <c r="W1216" s="116">
        <f>HLOOKUP($W$9,'ROR-Model'!$Q$10:$U$1263,Y1216)</f>
        <v>-580669.79236424109</v>
      </c>
      <c r="X1216" s="118"/>
      <c r="Y1216" s="577">
        <f t="shared" si="79"/>
        <v>1207</v>
      </c>
      <c r="AA1216" s="116">
        <v>-808381.75104308804</v>
      </c>
      <c r="AB1216" s="116">
        <f t="shared" si="80"/>
        <v>227711.95867884695</v>
      </c>
    </row>
    <row r="1217" spans="1:28">
      <c r="A1217" s="227"/>
      <c r="B1217" s="102" t="s">
        <v>592</v>
      </c>
      <c r="C1217" s="102"/>
      <c r="D1217" s="102"/>
      <c r="E1217" s="116">
        <f>+G1217-Adjustments!H1218</f>
        <v>-849992.34319539857</v>
      </c>
      <c r="F1217" s="116">
        <f>F1150+F1177+F1171+F1164+F1192+F1199+F1206+F1182</f>
        <v>-6486585.5896653589</v>
      </c>
      <c r="G1217" s="116">
        <f>G1150+G1177+G1171+G1164+G1192+G1199+G1206+G1182</f>
        <v>-849992.34319539857</v>
      </c>
      <c r="H1217" s="116">
        <f>H1150+H1177+H1171+H1164+H1192+H1199+H1206+H1182</f>
        <v>0</v>
      </c>
      <c r="I1217" s="116">
        <f>I1150+I1177+I1171+I1164+I1192+I1199+I1206+I1182</f>
        <v>-7336577.9328607582</v>
      </c>
      <c r="J1217" s="116"/>
      <c r="K1217" s="116"/>
      <c r="L1217" s="116"/>
      <c r="M1217" s="116">
        <f>M1150+M1177+M1171+M1164+M1192+M1199+M1206+M1182</f>
        <v>0</v>
      </c>
      <c r="N1217" s="116">
        <f>N1150+N1177+N1171+N1164+N1192+N1199+N1206+N1182</f>
        <v>-7336577.9328607582</v>
      </c>
      <c r="O1217" s="272"/>
      <c r="P1217" s="207"/>
      <c r="Q1217" s="116">
        <f>Q1150+Q1177+Q1171+Q1164+Q1192+Q1199+Q1206+Q1182</f>
        <v>0</v>
      </c>
      <c r="R1217" s="116">
        <f>R1150+R1177+R1171+R1164+R1192+R1199+R1206+R1182</f>
        <v>0</v>
      </c>
      <c r="S1217" s="240"/>
      <c r="T1217" s="116">
        <f>T1150+T1177+T1171+T1164+T1192+T1199+T1206+T1182</f>
        <v>-7336577.9328607582</v>
      </c>
      <c r="U1217" s="116">
        <f>U1150+U1177+U1171+U1164+U1192+U1199+U1206+U1182</f>
        <v>0</v>
      </c>
      <c r="V1217" s="273"/>
      <c r="W1217" s="116">
        <f>HLOOKUP($W$9,'ROR-Model'!$Q$10:$U$1263,Y1217)</f>
        <v>0</v>
      </c>
      <c r="X1217" s="118"/>
      <c r="Y1217" s="577">
        <f t="shared" si="79"/>
        <v>1208</v>
      </c>
      <c r="AA1217" s="116">
        <v>0</v>
      </c>
      <c r="AB1217" s="116">
        <f t="shared" si="80"/>
        <v>0</v>
      </c>
    </row>
    <row r="1218" spans="1:28">
      <c r="A1218" s="227"/>
      <c r="B1218" s="102" t="s">
        <v>593</v>
      </c>
      <c r="C1218" s="102"/>
      <c r="D1218" s="102"/>
      <c r="E1218" s="116">
        <f>+G1218-Adjustments!H1219</f>
        <v>-23183852.025695302</v>
      </c>
      <c r="F1218" s="116">
        <f>F1151+F1178+F1193+F1172+F1165+F1200+F1207+F1183</f>
        <v>-245743333.64033464</v>
      </c>
      <c r="G1218" s="116">
        <f>G1151+G1178+G1193+G1172+G1165+G1200+G1207+G1183</f>
        <v>-34517008.92917306</v>
      </c>
      <c r="H1218" s="116">
        <f>H1151+H1178+H1193+H1172+H1165+H1200+H1207+H1183</f>
        <v>0</v>
      </c>
      <c r="I1218" s="116">
        <f>I1151+I1178+I1193+I1172+I1165+I1200+I1207+I1183</f>
        <v>-280260342.56950772</v>
      </c>
      <c r="J1218" s="116"/>
      <c r="K1218" s="116"/>
      <c r="L1218" s="116"/>
      <c r="M1218" s="116">
        <f>M1151+M1178+M1193+M1172+M1165+M1200+M1207+M1183</f>
        <v>-280260342.56950772</v>
      </c>
      <c r="N1218" s="116">
        <f>N1151+N1178+N1193+N1172+N1165+N1200+N1207+N1183</f>
        <v>0</v>
      </c>
      <c r="O1218" s="272"/>
      <c r="P1218" s="207"/>
      <c r="Q1218" s="116">
        <f>Q1151+Q1178+Q1193+Q1172+Q1165+Q1200+Q1207+Q1183</f>
        <v>-280260342.56950772</v>
      </c>
      <c r="R1218" s="116">
        <f>R1151+R1178+R1193+R1172+R1165+R1200+R1207+R1183</f>
        <v>0</v>
      </c>
      <c r="S1218" s="240"/>
      <c r="T1218" s="116">
        <f>T1151+T1178+T1193+T1172+T1165+T1200+T1207+T1183</f>
        <v>0</v>
      </c>
      <c r="U1218" s="116">
        <f>U1151+U1178+U1193+U1172+U1165+U1200+U1207+U1183</f>
        <v>0</v>
      </c>
      <c r="V1218" s="273"/>
      <c r="W1218" s="116">
        <f>HLOOKUP($W$9,'ROR-Model'!$Q$10:$U$1263,Y1218)</f>
        <v>-280260342.56950772</v>
      </c>
      <c r="X1218" s="118"/>
      <c r="Y1218" s="577">
        <f t="shared" si="79"/>
        <v>1209</v>
      </c>
      <c r="AA1218" s="116">
        <v>-462436416.66736215</v>
      </c>
      <c r="AB1218" s="116">
        <f t="shared" si="80"/>
        <v>182176074.09785444</v>
      </c>
    </row>
    <row r="1219" spans="1:28">
      <c r="A1219" s="227"/>
      <c r="B1219" s="102" t="s">
        <v>595</v>
      </c>
      <c r="C1219" s="102"/>
      <c r="D1219" s="102"/>
      <c r="E1219" s="116">
        <f>+G1219-Adjustments!H1220</f>
        <v>973949.91068856814</v>
      </c>
      <c r="F1219" s="116">
        <f>F1159+F1187+F1194+F1201+F1208+F1212+F1173+F1166</f>
        <v>-10055701.27</v>
      </c>
      <c r="G1219" s="116">
        <f>G1159+G1187+G1194+G1201+G1208+G1212+G1173+G1166</f>
        <v>973949.91068856814</v>
      </c>
      <c r="H1219" s="116">
        <f>H1159+H1187+H1194+H1201+H1208+H1212+H1173+H1166</f>
        <v>0</v>
      </c>
      <c r="I1219" s="116">
        <f>I1159+I1187+I1194+I1201+I1208+I1212+I1173+I1166</f>
        <v>-9081751.3593114298</v>
      </c>
      <c r="J1219" s="116"/>
      <c r="K1219" s="116"/>
      <c r="L1219" s="116"/>
      <c r="M1219" s="116">
        <f ca="1">M1159+M1187+M1194+M1201+M1208+M1212+M1173+M1166</f>
        <v>-8786814.9570657574</v>
      </c>
      <c r="N1219" s="116">
        <f ca="1">N1159+N1187+N1194+N1201+N1208+N1212+N1173+N1166</f>
        <v>-294936.40224567341</v>
      </c>
      <c r="O1219" s="272"/>
      <c r="P1219" s="207"/>
      <c r="Q1219" s="116">
        <f ca="1">Q1159+Q1187+Q1194+Q1201+Q1208+Q1212+Q1173+Q1166</f>
        <v>-8786814.9570657574</v>
      </c>
      <c r="R1219" s="116">
        <f>R1159+R1187+R1194+R1201+R1208+R1212+R1173+R1166</f>
        <v>0</v>
      </c>
      <c r="S1219" s="240"/>
      <c r="T1219" s="116">
        <f ca="1">T1159+T1187+T1194+T1201+T1208+T1212+T1173+T1166</f>
        <v>-294936.40224567341</v>
      </c>
      <c r="U1219" s="116">
        <f>U1159+U1187+U1194+U1201+U1208+U1212+U1173+U1166</f>
        <v>0</v>
      </c>
      <c r="V1219" s="273"/>
      <c r="W1219" s="116">
        <f ca="1">HLOOKUP($W$9,'ROR-Model'!$Q$10:$U$1263,Y1219)</f>
        <v>-8786814.9570657574</v>
      </c>
      <c r="X1219" s="118"/>
      <c r="Y1219" s="577">
        <f t="shared" si="79"/>
        <v>1210</v>
      </c>
      <c r="AA1219" s="116">
        <v>-10263232.730427325</v>
      </c>
      <c r="AB1219" s="116">
        <f t="shared" ca="1" si="80"/>
        <v>1476417.7733615674</v>
      </c>
    </row>
    <row r="1220" spans="1:28" ht="13.5" thickBot="1">
      <c r="A1220" s="227"/>
      <c r="B1220" s="102"/>
      <c r="C1220" s="102"/>
      <c r="D1220" s="102"/>
      <c r="E1220" s="235">
        <f>+G1220-Adjustments!H1221</f>
        <v>0</v>
      </c>
      <c r="F1220" s="235"/>
      <c r="G1220" s="235"/>
      <c r="H1220" s="235"/>
      <c r="I1220" s="235"/>
      <c r="J1220" s="116"/>
      <c r="K1220" s="116"/>
      <c r="L1220" s="235"/>
      <c r="M1220" s="235"/>
      <c r="N1220" s="235"/>
      <c r="O1220" s="272"/>
      <c r="P1220" s="613"/>
      <c r="Q1220" s="235"/>
      <c r="R1220" s="235"/>
      <c r="S1220" s="613"/>
      <c r="T1220" s="235"/>
      <c r="U1220" s="235"/>
      <c r="V1220" s="273"/>
      <c r="W1220" s="235"/>
      <c r="X1220" s="118"/>
      <c r="Y1220" s="577">
        <f t="shared" si="79"/>
        <v>1211</v>
      </c>
      <c r="AA1220" s="235"/>
      <c r="AB1220" s="116">
        <f t="shared" si="80"/>
        <v>0</v>
      </c>
    </row>
    <row r="1221" spans="1:28" ht="13.5" thickTop="1">
      <c r="A1221" s="227"/>
      <c r="B1221" s="102"/>
      <c r="C1221" s="102"/>
      <c r="D1221" s="102"/>
      <c r="E1221" s="116">
        <f>+G1221-Adjustments!H1222</f>
        <v>0</v>
      </c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272"/>
      <c r="P1221" s="207"/>
      <c r="Q1221" s="116"/>
      <c r="R1221" s="116"/>
      <c r="S1221" s="240"/>
      <c r="T1221" s="116"/>
      <c r="U1221" s="116"/>
      <c r="V1221" s="273"/>
      <c r="W1221" s="116"/>
      <c r="X1221" s="118"/>
      <c r="Y1221" s="577">
        <f t="shared" si="79"/>
        <v>1212</v>
      </c>
      <c r="AA1221" s="116"/>
      <c r="AB1221" s="116">
        <f t="shared" si="80"/>
        <v>0</v>
      </c>
    </row>
    <row r="1222" spans="1:28">
      <c r="A1222" s="227"/>
      <c r="B1222" s="75" t="s">
        <v>292</v>
      </c>
      <c r="C1222" s="102"/>
      <c r="D1222" s="102"/>
      <c r="E1222" s="116">
        <f>+G1222-Adjustments!H1223</f>
        <v>-85751257.902113244</v>
      </c>
      <c r="F1222" s="116">
        <f>SUM(F1216:F1220)</f>
        <v>-210052472.36000001</v>
      </c>
      <c r="G1222" s="116">
        <f>SUM(G1216:G1220)</f>
        <v>-87228054.857182637</v>
      </c>
      <c r="H1222" s="116">
        <f>SUM(H1216:H1220)</f>
        <v>0</v>
      </c>
      <c r="I1222" s="116">
        <f>SUM(I1216:I1220)</f>
        <v>-297280527.21718258</v>
      </c>
      <c r="J1222" s="116"/>
      <c r="K1222" s="116"/>
      <c r="L1222" s="116"/>
      <c r="M1222" s="116">
        <f ca="1">SUM(M1216:M1220)</f>
        <v>-289627827.31893772</v>
      </c>
      <c r="N1222" s="116">
        <f ca="1">SUM(N1216:N1220)</f>
        <v>-7652699.8982449193</v>
      </c>
      <c r="O1222" s="272"/>
      <c r="P1222" s="207"/>
      <c r="Q1222" s="116">
        <f ca="1">SUM(Q1216:Q1220)</f>
        <v>-289627827.31893772</v>
      </c>
      <c r="R1222" s="116">
        <f>SUM(R1216:R1220)</f>
        <v>0</v>
      </c>
      <c r="S1222" s="240"/>
      <c r="T1222" s="116">
        <f ca="1">SUM(T1216:T1220)</f>
        <v>-7631514.3351064315</v>
      </c>
      <c r="U1222" s="116">
        <f>SUM(U1216:U1220)</f>
        <v>-21185.563138487552</v>
      </c>
      <c r="V1222" s="273"/>
      <c r="W1222" s="116">
        <f ca="1">HLOOKUP($W$9,'ROR-Model'!$Q$10:$U$1263,Y1222)</f>
        <v>-289627827.31893772</v>
      </c>
      <c r="X1222" s="118"/>
      <c r="Y1222" s="577">
        <f t="shared" si="79"/>
        <v>1213</v>
      </c>
      <c r="AA1222" s="116">
        <v>-473508031.14883256</v>
      </c>
      <c r="AB1222" s="116">
        <f t="shared" ca="1" si="80"/>
        <v>183880203.82989484</v>
      </c>
    </row>
    <row r="1223" spans="1:28">
      <c r="A1223" s="227"/>
      <c r="B1223" s="102"/>
      <c r="C1223" s="102"/>
      <c r="D1223" s="102"/>
      <c r="E1223" s="116">
        <f>+G1223-Adjustments!H1224</f>
        <v>0</v>
      </c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272"/>
      <c r="P1223" s="240"/>
      <c r="Q1223" s="116"/>
      <c r="R1223" s="116"/>
      <c r="S1223" s="240"/>
      <c r="T1223" s="116"/>
      <c r="U1223" s="116"/>
      <c r="V1223" s="273"/>
      <c r="W1223" s="116"/>
      <c r="X1223" s="118"/>
      <c r="Y1223" s="577">
        <f t="shared" si="79"/>
        <v>1214</v>
      </c>
      <c r="AA1223" s="116"/>
      <c r="AB1223" s="116">
        <f t="shared" si="80"/>
        <v>0</v>
      </c>
    </row>
    <row r="1224" spans="1:28">
      <c r="A1224" s="36" t="s">
        <v>687</v>
      </c>
      <c r="B1224" s="102"/>
      <c r="C1224" s="102"/>
      <c r="D1224" s="102"/>
      <c r="E1224" s="106">
        <f>+G1224-Adjustments!H1225</f>
        <v>0</v>
      </c>
      <c r="F1224" s="106"/>
      <c r="G1224" s="106"/>
      <c r="H1224" s="106"/>
      <c r="I1224" s="106"/>
      <c r="J1224" s="116"/>
      <c r="K1224" s="106"/>
      <c r="L1224" s="106"/>
      <c r="M1224" s="106"/>
      <c r="N1224" s="106"/>
      <c r="O1224" s="273"/>
      <c r="P1224" s="207"/>
      <c r="Q1224" s="106"/>
      <c r="R1224" s="106"/>
      <c r="S1224" s="207"/>
      <c r="T1224" s="106"/>
      <c r="U1224" s="106"/>
      <c r="V1224" s="273"/>
      <c r="W1224" s="106"/>
      <c r="X1224" s="118"/>
      <c r="Y1224" s="577">
        <f t="shared" si="79"/>
        <v>1215</v>
      </c>
      <c r="AA1224" s="106"/>
      <c r="AB1224" s="116">
        <f t="shared" si="80"/>
        <v>0</v>
      </c>
    </row>
    <row r="1225" spans="1:28">
      <c r="A1225" s="36"/>
      <c r="B1225" s="102" t="s">
        <v>443</v>
      </c>
      <c r="C1225" s="102"/>
      <c r="D1225" s="102"/>
      <c r="E1225" s="116">
        <f ca="1">+G1225-Adjustments!H1226</f>
        <v>-53946061.539790086</v>
      </c>
      <c r="F1225" s="116">
        <f t="shared" ref="F1225:I1228" si="81">F1138+F1216</f>
        <v>56474289.469999999</v>
      </c>
      <c r="G1225" s="116">
        <f t="shared" ca="1" si="81"/>
        <v>-53946061.539790086</v>
      </c>
      <c r="H1225" s="116">
        <f t="shared" si="81"/>
        <v>0</v>
      </c>
      <c r="I1225" s="116">
        <f t="shared" ca="1" si="81"/>
        <v>2528227.9302099091</v>
      </c>
      <c r="J1225" s="116"/>
      <c r="K1225" s="116"/>
      <c r="L1225" s="116"/>
      <c r="M1225" s="116">
        <f t="shared" ref="M1225:N1228" ca="1" si="82">M1138+M1216</f>
        <v>2439233.2374581578</v>
      </c>
      <c r="N1225" s="116">
        <f t="shared" ca="1" si="82"/>
        <v>88994.692751732742</v>
      </c>
      <c r="O1225" s="272"/>
      <c r="P1225" s="207"/>
      <c r="Q1225" s="116">
        <f t="shared" ref="Q1225:R1228" ca="1" si="83">Q1138+Q1216</f>
        <v>2439233.2374581578</v>
      </c>
      <c r="R1225" s="116">
        <f t="shared" si="83"/>
        <v>0</v>
      </c>
      <c r="S1225" s="240"/>
      <c r="T1225" s="116">
        <f t="shared" ref="T1225:U1228" si="84">T1138+T1216</f>
        <v>0</v>
      </c>
      <c r="U1225" s="116">
        <f t="shared" ca="1" si="84"/>
        <v>88994.692751732742</v>
      </c>
      <c r="V1225" s="273"/>
      <c r="W1225" s="116">
        <f ca="1">HLOOKUP($W$9,'ROR-Model'!$Q$10:$U$1263,Y1225)</f>
        <v>2439233.2374581578</v>
      </c>
      <c r="X1225" s="118"/>
      <c r="Y1225" s="577">
        <f t="shared" si="79"/>
        <v>1216</v>
      </c>
      <c r="AA1225" s="116">
        <v>3321347.973106903</v>
      </c>
      <c r="AB1225" s="116">
        <f t="shared" ca="1" si="80"/>
        <v>-882114.73564874521</v>
      </c>
    </row>
    <row r="1226" spans="1:28">
      <c r="A1226" s="36"/>
      <c r="B1226" s="102" t="s">
        <v>592</v>
      </c>
      <c r="C1226" s="102"/>
      <c r="D1226" s="102"/>
      <c r="E1226" s="116">
        <f ca="1">+G1226-Adjustments!H1227</f>
        <v>20545078.486150958</v>
      </c>
      <c r="F1226" s="116">
        <f t="shared" si="81"/>
        <v>42619523.404334627</v>
      </c>
      <c r="G1226" s="116">
        <f t="shared" ca="1" si="81"/>
        <v>7735124.6276038056</v>
      </c>
      <c r="H1226" s="116">
        <f t="shared" si="81"/>
        <v>0</v>
      </c>
      <c r="I1226" s="116">
        <f t="shared" ca="1" si="81"/>
        <v>50354648.031938434</v>
      </c>
      <c r="J1226" s="116"/>
      <c r="K1226" s="116"/>
      <c r="L1226" s="116"/>
      <c r="M1226" s="116">
        <f t="shared" ca="1" si="82"/>
        <v>0</v>
      </c>
      <c r="N1226" s="116">
        <f t="shared" ca="1" si="82"/>
        <v>50354648.031938434</v>
      </c>
      <c r="O1226" s="272"/>
      <c r="P1226" s="207"/>
      <c r="Q1226" s="116">
        <f t="shared" ca="1" si="83"/>
        <v>0</v>
      </c>
      <c r="R1226" s="116">
        <f t="shared" si="83"/>
        <v>0</v>
      </c>
      <c r="S1226" s="240"/>
      <c r="T1226" s="116">
        <f t="shared" ca="1" si="84"/>
        <v>50354648.031938434</v>
      </c>
      <c r="U1226" s="116">
        <f t="shared" si="84"/>
        <v>0</v>
      </c>
      <c r="V1226" s="273"/>
      <c r="W1226" s="116">
        <f ca="1">HLOOKUP($W$9,'ROR-Model'!$Q$10:$U$1263,Y1226)</f>
        <v>0</v>
      </c>
      <c r="X1226" s="118"/>
      <c r="Y1226" s="577">
        <f t="shared" ref="Y1226:Y1263" si="85">Y1225+1</f>
        <v>1217</v>
      </c>
      <c r="AA1226" s="116">
        <v>0</v>
      </c>
      <c r="AB1226" s="116">
        <f t="shared" ca="1" si="80"/>
        <v>0</v>
      </c>
    </row>
    <row r="1227" spans="1:28">
      <c r="A1227" s="36"/>
      <c r="B1227" s="102" t="s">
        <v>593</v>
      </c>
      <c r="C1227" s="102"/>
      <c r="D1227" s="102"/>
      <c r="E1227" s="116">
        <f ca="1">+G1227-Adjustments!H1228</f>
        <v>226914842.71504793</v>
      </c>
      <c r="F1227" s="116">
        <f t="shared" si="81"/>
        <v>1523491454.2176654</v>
      </c>
      <c r="G1227" s="116">
        <f t="shared" ca="1" si="81"/>
        <v>226914842.71504793</v>
      </c>
      <c r="H1227" s="116">
        <f t="shared" si="81"/>
        <v>0</v>
      </c>
      <c r="I1227" s="116">
        <f t="shared" ca="1" si="81"/>
        <v>1750406296.932713</v>
      </c>
      <c r="J1227" s="116"/>
      <c r="K1227" s="116"/>
      <c r="L1227" s="116"/>
      <c r="M1227" s="116">
        <f t="shared" ca="1" si="82"/>
        <v>1750406296.932713</v>
      </c>
      <c r="N1227" s="116">
        <f t="shared" ca="1" si="82"/>
        <v>0</v>
      </c>
      <c r="O1227" s="272"/>
      <c r="P1227" s="207"/>
      <c r="Q1227" s="116">
        <f t="shared" ca="1" si="83"/>
        <v>1750406296.932713</v>
      </c>
      <c r="R1227" s="116">
        <f t="shared" si="83"/>
        <v>0</v>
      </c>
      <c r="S1227" s="240"/>
      <c r="T1227" s="116">
        <f t="shared" ca="1" si="84"/>
        <v>0</v>
      </c>
      <c r="U1227" s="116">
        <f t="shared" si="84"/>
        <v>0</v>
      </c>
      <c r="V1227" s="273"/>
      <c r="W1227" s="116">
        <f ca="1">HLOOKUP($W$9,'ROR-Model'!$Q$10:$U$1263,Y1227)</f>
        <v>1750406296.932713</v>
      </c>
      <c r="X1227" s="118"/>
      <c r="Y1227" s="577">
        <f t="shared" si="85"/>
        <v>1218</v>
      </c>
      <c r="AA1227" s="116">
        <v>1216245611.4903045</v>
      </c>
      <c r="AB1227" s="116">
        <f t="shared" ca="1" si="80"/>
        <v>534160685.44240856</v>
      </c>
    </row>
    <row r="1228" spans="1:28">
      <c r="A1228" s="36"/>
      <c r="B1228" s="102" t="s">
        <v>595</v>
      </c>
      <c r="C1228" s="102"/>
      <c r="D1228" s="102"/>
      <c r="E1228" s="116">
        <f ca="1">+G1228-Adjustments!H1229</f>
        <v>26152487.660225939</v>
      </c>
      <c r="F1228" s="116">
        <f t="shared" si="81"/>
        <v>-112806397.59000002</v>
      </c>
      <c r="G1228" s="116">
        <f t="shared" ca="1" si="81"/>
        <v>26117391.896229919</v>
      </c>
      <c r="H1228" s="116">
        <f t="shared" si="81"/>
        <v>0</v>
      </c>
      <c r="I1228" s="116">
        <f t="shared" ca="1" si="81"/>
        <v>-86689005.693770111</v>
      </c>
      <c r="J1228" s="116"/>
      <c r="K1228" s="116"/>
      <c r="L1228" s="116"/>
      <c r="M1228" s="116">
        <f t="shared" ca="1" si="82"/>
        <v>-86637361.960762262</v>
      </c>
      <c r="N1228" s="116">
        <f t="shared" ca="1" si="82"/>
        <v>-51643.733007799892</v>
      </c>
      <c r="O1228" s="272"/>
      <c r="P1228" s="207"/>
      <c r="Q1228" s="116">
        <f t="shared" ca="1" si="83"/>
        <v>-86637361.960762262</v>
      </c>
      <c r="R1228" s="116">
        <f t="shared" si="83"/>
        <v>0</v>
      </c>
      <c r="S1228" s="240"/>
      <c r="T1228" s="116">
        <f t="shared" ca="1" si="84"/>
        <v>-51643.733007799892</v>
      </c>
      <c r="U1228" s="116">
        <f t="shared" si="84"/>
        <v>0</v>
      </c>
      <c r="V1228" s="273"/>
      <c r="W1228" s="116">
        <f ca="1">HLOOKUP($W$9,'ROR-Model'!$Q$10:$U$1263,Y1228)</f>
        <v>-86637361.960762262</v>
      </c>
      <c r="X1228" s="118"/>
      <c r="Y1228" s="577">
        <f t="shared" si="85"/>
        <v>1219</v>
      </c>
      <c r="AA1228" s="116">
        <v>111414882.89586864</v>
      </c>
      <c r="AB1228" s="116">
        <f t="shared" ca="1" si="80"/>
        <v>-198052244.85663092</v>
      </c>
    </row>
    <row r="1229" spans="1:28" ht="13.5" thickBot="1">
      <c r="A1229" s="36"/>
      <c r="B1229" s="102"/>
      <c r="C1229" s="102"/>
      <c r="D1229" s="102"/>
      <c r="E1229" s="235">
        <f>+G1229-Adjustments!H1230</f>
        <v>0</v>
      </c>
      <c r="F1229" s="235"/>
      <c r="G1229" s="235"/>
      <c r="H1229" s="235"/>
      <c r="I1229" s="235"/>
      <c r="J1229" s="116"/>
      <c r="K1229" s="116"/>
      <c r="L1229" s="235"/>
      <c r="M1229" s="235"/>
      <c r="N1229" s="235"/>
      <c r="O1229" s="272"/>
      <c r="P1229" s="613"/>
      <c r="Q1229" s="235"/>
      <c r="R1229" s="235"/>
      <c r="S1229" s="613"/>
      <c r="T1229" s="235"/>
      <c r="U1229" s="235"/>
      <c r="V1229" s="273"/>
      <c r="W1229" s="235"/>
      <c r="X1229" s="118"/>
      <c r="Y1229" s="577">
        <f t="shared" si="85"/>
        <v>1220</v>
      </c>
      <c r="AA1229" s="235"/>
      <c r="AB1229" s="116">
        <f t="shared" si="80"/>
        <v>0</v>
      </c>
    </row>
    <row r="1230" spans="1:28" ht="13.5" thickTop="1">
      <c r="A1230" s="36"/>
      <c r="B1230" s="102"/>
      <c r="C1230" s="102"/>
      <c r="D1230" s="102"/>
      <c r="E1230" s="116">
        <f>+G1230-Adjustments!H1231</f>
        <v>-1.0149999999999999</v>
      </c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272"/>
      <c r="P1230" s="207"/>
      <c r="Q1230" s="116"/>
      <c r="R1230" s="116"/>
      <c r="S1230" s="240"/>
      <c r="T1230" s="116"/>
      <c r="U1230" s="116"/>
      <c r="V1230" s="273"/>
      <c r="W1230" s="116"/>
      <c r="X1230" s="118"/>
      <c r="Y1230" s="577">
        <f t="shared" si="85"/>
        <v>1221</v>
      </c>
      <c r="AA1230" s="116"/>
      <c r="AB1230" s="116">
        <f t="shared" si="80"/>
        <v>0</v>
      </c>
    </row>
    <row r="1231" spans="1:28">
      <c r="A1231" s="227"/>
      <c r="B1231" s="49" t="s">
        <v>687</v>
      </c>
      <c r="C1231" s="102"/>
      <c r="D1231" s="102"/>
      <c r="E1231" s="116">
        <f ca="1">+G1231-Adjustments!H1232</f>
        <v>206821297.69909155</v>
      </c>
      <c r="F1231" s="116">
        <f>F1144+F1222</f>
        <v>1509778869.5020003</v>
      </c>
      <c r="G1231" s="116">
        <f ca="1">G1144+G1222</f>
        <v>206821297.69909155</v>
      </c>
      <c r="H1231" s="116">
        <f>H1144+H1222</f>
        <v>0</v>
      </c>
      <c r="I1231" s="116">
        <f ca="1">I1144+I1222</f>
        <v>1716600167.2010918</v>
      </c>
      <c r="J1231" s="116"/>
      <c r="K1231" s="116"/>
      <c r="L1231" s="116"/>
      <c r="M1231" s="116">
        <f ca="1">M1144+M1222</f>
        <v>1666208168.2094095</v>
      </c>
      <c r="N1231" s="116">
        <f ca="1">N1144+N1222</f>
        <v>50391998.99168238</v>
      </c>
      <c r="O1231" s="272"/>
      <c r="P1231" s="207"/>
      <c r="Q1231" s="116">
        <f ca="1">Q1144+Q1222</f>
        <v>1666208168.2094095</v>
      </c>
      <c r="R1231" s="116">
        <f>R1144+R1222</f>
        <v>0</v>
      </c>
      <c r="S1231" s="240"/>
      <c r="T1231" s="116">
        <f ca="1">T1144+T1222</f>
        <v>50303004.29893063</v>
      </c>
      <c r="U1231" s="116">
        <f ca="1">U1144+U1222</f>
        <v>88994.692751732742</v>
      </c>
      <c r="V1231" s="273"/>
      <c r="W1231" s="116">
        <f ca="1">HLOOKUP($W$9,'ROR-Model'!$Q$10:$U$1263,Y1231)</f>
        <v>1666208168.2094095</v>
      </c>
      <c r="X1231" s="118"/>
      <c r="Y1231" s="577">
        <f t="shared" si="85"/>
        <v>1222</v>
      </c>
      <c r="AA1231" s="116">
        <v>1330981842.3592803</v>
      </c>
      <c r="AB1231" s="116">
        <f t="shared" ca="1" si="80"/>
        <v>335226325.85012913</v>
      </c>
    </row>
    <row r="1232" spans="1:28">
      <c r="A1232" s="227"/>
      <c r="B1232" s="102"/>
      <c r="C1232" s="102"/>
      <c r="D1232" s="102"/>
      <c r="E1232" s="116">
        <f>+G1232-Adjustments!H1233</f>
        <v>0</v>
      </c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272"/>
      <c r="P1232" s="240"/>
      <c r="Q1232" s="116"/>
      <c r="R1232" s="116"/>
      <c r="S1232" s="240"/>
      <c r="T1232" s="116"/>
      <c r="U1232" s="116"/>
      <c r="V1232" s="273"/>
      <c r="W1232" s="116"/>
      <c r="X1232" s="118"/>
      <c r="Y1232" s="577">
        <f t="shared" si="85"/>
        <v>1223</v>
      </c>
      <c r="AA1232" s="116"/>
      <c r="AB1232" s="116">
        <f t="shared" si="80"/>
        <v>0</v>
      </c>
    </row>
    <row r="1233" spans="1:28">
      <c r="A1233" s="36" t="s">
        <v>691</v>
      </c>
      <c r="B1233" s="102"/>
      <c r="C1233" s="102"/>
      <c r="D1233" s="102"/>
      <c r="E1233" s="116">
        <f>+G1233-Adjustments!H1234</f>
        <v>35622.200455959886</v>
      </c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272"/>
      <c r="P1233" s="240"/>
      <c r="Q1233" s="116"/>
      <c r="R1233" s="116"/>
      <c r="S1233" s="240"/>
      <c r="T1233" s="116"/>
      <c r="U1233" s="116"/>
      <c r="V1233" s="273"/>
      <c r="W1233" s="116"/>
      <c r="X1233" s="118"/>
      <c r="Y1233" s="577">
        <f t="shared" si="85"/>
        <v>1224</v>
      </c>
      <c r="AA1233" s="116"/>
      <c r="AB1233" s="116">
        <f t="shared" ref="AB1233:AB1263" si="86">W1233-AA1233</f>
        <v>0</v>
      </c>
    </row>
    <row r="1234" spans="1:28">
      <c r="A1234" s="227"/>
      <c r="B1234" s="102"/>
      <c r="C1234" s="102"/>
      <c r="D1234" s="102"/>
      <c r="E1234" s="116">
        <f>+G1234-Adjustments!H1235</f>
        <v>0</v>
      </c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272"/>
      <c r="P1234" s="240"/>
      <c r="Q1234" s="116"/>
      <c r="R1234" s="116"/>
      <c r="S1234" s="240"/>
      <c r="T1234" s="116"/>
      <c r="U1234" s="116"/>
      <c r="V1234" s="273"/>
      <c r="W1234" s="116"/>
      <c r="X1234" s="118"/>
      <c r="Y1234" s="577">
        <f t="shared" si="85"/>
        <v>1225</v>
      </c>
      <c r="AA1234" s="116"/>
      <c r="AB1234" s="116">
        <f t="shared" si="86"/>
        <v>0</v>
      </c>
    </row>
    <row r="1235" spans="1:28">
      <c r="A1235" s="227"/>
      <c r="B1235" s="14" t="s">
        <v>481</v>
      </c>
      <c r="C1235" s="102"/>
      <c r="D1235" s="102"/>
      <c r="E1235" s="116">
        <f>+G1235-Adjustments!H1236</f>
        <v>0</v>
      </c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272"/>
      <c r="P1235" s="240"/>
      <c r="Q1235" s="116"/>
      <c r="R1235" s="116"/>
      <c r="S1235" s="240"/>
      <c r="T1235" s="116"/>
      <c r="U1235" s="116"/>
      <c r="V1235" s="273"/>
      <c r="W1235" s="116"/>
      <c r="X1235" s="118"/>
      <c r="Y1235" s="577">
        <f t="shared" si="85"/>
        <v>1226</v>
      </c>
      <c r="AA1235" s="116"/>
      <c r="AB1235" s="116">
        <f t="shared" si="86"/>
        <v>0</v>
      </c>
    </row>
    <row r="1236" spans="1:28">
      <c r="A1236" s="227"/>
      <c r="B1236" s="102"/>
      <c r="C1236" s="102" t="s">
        <v>482</v>
      </c>
      <c r="D1236" s="102"/>
      <c r="E1236" s="116">
        <f>+G1236-Adjustments!H1237</f>
        <v>-11333156.903477758</v>
      </c>
      <c r="F1236" s="116">
        <f>F640</f>
        <v>555949684.56595278</v>
      </c>
      <c r="G1236" s="116">
        <f>G640</f>
        <v>-11333156.903477758</v>
      </c>
      <c r="H1236" s="116">
        <f>H640</f>
        <v>0</v>
      </c>
      <c r="I1236" s="116">
        <f>I640</f>
        <v>544616527.66247499</v>
      </c>
      <c r="J1236" s="116"/>
      <c r="K1236" s="116"/>
      <c r="L1236" s="116"/>
      <c r="M1236" s="116">
        <f>M640</f>
        <v>526411526.73077357</v>
      </c>
      <c r="N1236" s="116">
        <f t="shared" ref="N1236:N1244" si="87">I1236-M1236</f>
        <v>18205000.931701422</v>
      </c>
      <c r="O1236" s="272"/>
      <c r="P1236" s="240"/>
      <c r="Q1236" s="116"/>
      <c r="R1236" s="116"/>
      <c r="S1236" s="240"/>
      <c r="T1236" s="116"/>
      <c r="U1236" s="116"/>
      <c r="V1236" s="273"/>
      <c r="W1236" s="116"/>
      <c r="X1236" s="118"/>
      <c r="Y1236" s="577">
        <f t="shared" si="85"/>
        <v>1227</v>
      </c>
      <c r="AA1236" s="116"/>
      <c r="AB1236" s="116">
        <f t="shared" si="86"/>
        <v>0</v>
      </c>
    </row>
    <row r="1237" spans="1:28">
      <c r="A1237" s="227"/>
      <c r="B1237" s="102"/>
      <c r="C1237" s="102" t="s">
        <v>483</v>
      </c>
      <c r="D1237" s="102"/>
      <c r="E1237" s="116">
        <f ca="1">+G1237-Adjustments!H1238</f>
        <v>-9773319.2268548682</v>
      </c>
      <c r="F1237" s="116">
        <f>F905</f>
        <v>137434097.47000003</v>
      </c>
      <c r="G1237" s="116">
        <f ca="1">G905</f>
        <v>-9773319.2268548682</v>
      </c>
      <c r="H1237" s="116">
        <f>H905</f>
        <v>0</v>
      </c>
      <c r="I1237" s="116">
        <f ca="1">I905</f>
        <v>127660778.24314514</v>
      </c>
      <c r="J1237" s="116"/>
      <c r="K1237" s="116"/>
      <c r="L1237" s="116"/>
      <c r="M1237" s="116">
        <f ca="1">M905</f>
        <v>122030956.45700756</v>
      </c>
      <c r="N1237" s="116">
        <f t="shared" ca="1" si="87"/>
        <v>5629821.7861375809</v>
      </c>
      <c r="O1237" s="272"/>
      <c r="P1237" s="240"/>
      <c r="Q1237" s="116"/>
      <c r="R1237" s="116"/>
      <c r="S1237" s="240"/>
      <c r="T1237" s="116"/>
      <c r="U1237" s="116"/>
      <c r="V1237" s="273"/>
      <c r="W1237" s="116"/>
      <c r="X1237" s="118"/>
      <c r="Y1237" s="577">
        <f t="shared" si="85"/>
        <v>1228</v>
      </c>
      <c r="AA1237" s="116"/>
      <c r="AB1237" s="116">
        <f t="shared" si="86"/>
        <v>0</v>
      </c>
    </row>
    <row r="1238" spans="1:28">
      <c r="A1238" s="227"/>
      <c r="B1238" s="102"/>
      <c r="C1238" s="102" t="s">
        <v>665</v>
      </c>
      <c r="D1238" s="102"/>
      <c r="E1238" s="116">
        <f>+G1238-Adjustments!H1239</f>
        <v>0</v>
      </c>
      <c r="F1238" s="116">
        <v>0</v>
      </c>
      <c r="G1238" s="116">
        <v>0</v>
      </c>
      <c r="H1238" s="116">
        <v>0</v>
      </c>
      <c r="I1238" s="116">
        <v>0</v>
      </c>
      <c r="J1238" s="116"/>
      <c r="K1238" s="116"/>
      <c r="L1238" s="116"/>
      <c r="M1238" s="116">
        <v>0</v>
      </c>
      <c r="N1238" s="116">
        <f t="shared" si="87"/>
        <v>0</v>
      </c>
      <c r="O1238" s="272"/>
      <c r="P1238" s="240"/>
      <c r="Q1238" s="116"/>
      <c r="R1238" s="116"/>
      <c r="S1238" s="240"/>
      <c r="T1238" s="116"/>
      <c r="U1238" s="116"/>
      <c r="V1238" s="273"/>
      <c r="W1238" s="116"/>
      <c r="X1238" s="118"/>
      <c r="Y1238" s="577">
        <f t="shared" si="85"/>
        <v>1229</v>
      </c>
      <c r="AA1238" s="116"/>
      <c r="AB1238" s="116">
        <f t="shared" si="86"/>
        <v>0</v>
      </c>
    </row>
    <row r="1239" spans="1:28">
      <c r="A1239" s="227"/>
      <c r="B1239" s="102"/>
      <c r="C1239" s="102" t="s">
        <v>484</v>
      </c>
      <c r="D1239" s="102"/>
      <c r="E1239" s="116">
        <f>+G1239-Adjustments!H1240</f>
        <v>2342699.9424766232</v>
      </c>
      <c r="F1239" s="116">
        <f>F934</f>
        <v>22257842.259999998</v>
      </c>
      <c r="G1239" s="116">
        <f>G934</f>
        <v>2342699.9424766232</v>
      </c>
      <c r="H1239" s="116">
        <f>H934</f>
        <v>0</v>
      </c>
      <c r="I1239" s="116">
        <f>I934</f>
        <v>24600542.202476621</v>
      </c>
      <c r="J1239" s="116"/>
      <c r="K1239" s="116"/>
      <c r="L1239" s="116"/>
      <c r="M1239" s="116">
        <f ca="1">M934</f>
        <v>23609036.220154293</v>
      </c>
      <c r="N1239" s="116">
        <f t="shared" ca="1" si="87"/>
        <v>991505.98232232779</v>
      </c>
      <c r="O1239" s="272"/>
      <c r="P1239" s="240"/>
      <c r="Q1239" s="116"/>
      <c r="R1239" s="116"/>
      <c r="S1239" s="240"/>
      <c r="T1239" s="116"/>
      <c r="U1239" s="116"/>
      <c r="V1239" s="273"/>
      <c r="W1239" s="116"/>
      <c r="X1239" s="118"/>
      <c r="Y1239" s="577">
        <f t="shared" si="85"/>
        <v>1230</v>
      </c>
      <c r="AA1239" s="116"/>
      <c r="AB1239" s="116">
        <f t="shared" si="86"/>
        <v>0</v>
      </c>
    </row>
    <row r="1240" spans="1:28">
      <c r="A1240" s="227"/>
      <c r="B1240" s="102"/>
      <c r="C1240" s="102" t="s">
        <v>485</v>
      </c>
      <c r="D1240" s="102"/>
      <c r="E1240" s="116">
        <f ca="1">+G1240-Adjustments!H1241</f>
        <v>-1482924.3884842915</v>
      </c>
      <c r="F1240" s="116">
        <f>F936+F938+F940</f>
        <v>47644557.899999991</v>
      </c>
      <c r="G1240" s="116">
        <f ca="1">G936+G938+G940</f>
        <v>-1518546.5889402514</v>
      </c>
      <c r="H1240" s="116">
        <f ca="1">H936+H938+H940</f>
        <v>-19245597.568459932</v>
      </c>
      <c r="I1240" s="116">
        <f ca="1">I936+I938+I940</f>
        <v>26880413.742599815</v>
      </c>
      <c r="J1240" s="116"/>
      <c r="K1240" s="116"/>
      <c r="L1240" s="116"/>
      <c r="M1240" s="116">
        <f ca="1">M936+M938+M940</f>
        <v>26212535.170701433</v>
      </c>
      <c r="N1240" s="116">
        <f ca="1">N936+N938+N940</f>
        <v>-32166964.099721532</v>
      </c>
      <c r="O1240" s="272"/>
      <c r="P1240" s="240"/>
      <c r="Q1240" s="116"/>
      <c r="R1240" s="116"/>
      <c r="S1240" s="240"/>
      <c r="T1240" s="116"/>
      <c r="U1240" s="116"/>
      <c r="V1240" s="273"/>
      <c r="W1240" s="116"/>
      <c r="X1240" s="118"/>
      <c r="Y1240" s="577">
        <f t="shared" si="85"/>
        <v>1231</v>
      </c>
      <c r="AA1240" s="116"/>
      <c r="AB1240" s="116">
        <f t="shared" si="86"/>
        <v>0</v>
      </c>
    </row>
    <row r="1241" spans="1:28">
      <c r="A1241" s="227"/>
      <c r="B1241" s="102"/>
      <c r="C1241" s="102" t="s">
        <v>605</v>
      </c>
      <c r="D1241" s="102"/>
      <c r="E1241" s="116">
        <f>+G1241-Adjustments!H1242</f>
        <v>0</v>
      </c>
      <c r="F1241" s="116">
        <v>0</v>
      </c>
      <c r="G1241" s="116">
        <v>0</v>
      </c>
      <c r="H1241" s="116">
        <v>0</v>
      </c>
      <c r="I1241" s="116">
        <v>0</v>
      </c>
      <c r="J1241" s="116"/>
      <c r="K1241" s="116"/>
      <c r="L1241" s="116"/>
      <c r="M1241" s="116">
        <v>0</v>
      </c>
      <c r="N1241" s="116">
        <f t="shared" si="87"/>
        <v>0</v>
      </c>
      <c r="O1241" s="272"/>
      <c r="P1241" s="240"/>
      <c r="Q1241" s="116"/>
      <c r="R1241" s="116"/>
      <c r="S1241" s="240"/>
      <c r="T1241" s="116"/>
      <c r="U1241" s="116"/>
      <c r="V1241" s="273"/>
      <c r="W1241" s="116"/>
      <c r="X1241" s="118"/>
      <c r="Y1241" s="577">
        <f t="shared" si="85"/>
        <v>1232</v>
      </c>
      <c r="AA1241" s="116"/>
      <c r="AB1241" s="116">
        <f t="shared" si="86"/>
        <v>0</v>
      </c>
    </row>
    <row r="1242" spans="1:28">
      <c r="A1242" s="227"/>
      <c r="B1242" s="102"/>
      <c r="C1242" s="102" t="s">
        <v>606</v>
      </c>
      <c r="D1242" s="102"/>
      <c r="E1242" s="116">
        <f>+G1242-Adjustments!H1243</f>
        <v>0</v>
      </c>
      <c r="F1242" s="116">
        <v>0</v>
      </c>
      <c r="G1242" s="116">
        <v>0</v>
      </c>
      <c r="H1242" s="116">
        <v>0</v>
      </c>
      <c r="I1242" s="116">
        <v>0</v>
      </c>
      <c r="J1242" s="116"/>
      <c r="K1242" s="116"/>
      <c r="L1242" s="116"/>
      <c r="M1242" s="116">
        <v>0</v>
      </c>
      <c r="N1242" s="116">
        <f t="shared" si="87"/>
        <v>0</v>
      </c>
      <c r="O1242" s="272"/>
      <c r="P1242" s="240"/>
      <c r="Q1242" s="116"/>
      <c r="R1242" s="116"/>
      <c r="S1242" s="240"/>
      <c r="T1242" s="116"/>
      <c r="U1242" s="116"/>
      <c r="V1242" s="273"/>
      <c r="W1242" s="116"/>
      <c r="X1242" s="118"/>
      <c r="Y1242" s="577">
        <f t="shared" si="85"/>
        <v>1233</v>
      </c>
      <c r="AA1242" s="116"/>
      <c r="AB1242" s="116">
        <f t="shared" si="86"/>
        <v>0</v>
      </c>
    </row>
    <row r="1243" spans="1:28">
      <c r="A1243" s="227"/>
      <c r="B1243" s="102"/>
      <c r="C1243" s="102" t="s">
        <v>295</v>
      </c>
      <c r="D1243" s="102"/>
      <c r="E1243" s="116">
        <f>+G1243-Adjustments!H1244</f>
        <v>35622.200455959886</v>
      </c>
      <c r="F1243" s="116">
        <f>F946</f>
        <v>0</v>
      </c>
      <c r="G1243" s="116">
        <f>G946</f>
        <v>0</v>
      </c>
      <c r="H1243" s="116">
        <f>H946</f>
        <v>0</v>
      </c>
      <c r="I1243" s="116">
        <f>I946</f>
        <v>0</v>
      </c>
      <c r="J1243" s="116"/>
      <c r="K1243" s="116"/>
      <c r="L1243" s="116"/>
      <c r="M1243" s="116">
        <f>M946</f>
        <v>0</v>
      </c>
      <c r="N1243" s="116">
        <f t="shared" si="87"/>
        <v>0</v>
      </c>
      <c r="O1243" s="272"/>
      <c r="P1243" s="240"/>
      <c r="Q1243" s="116"/>
      <c r="R1243" s="116"/>
      <c r="S1243" s="240"/>
      <c r="T1243" s="116"/>
      <c r="U1243" s="116"/>
      <c r="V1243" s="273"/>
      <c r="W1243" s="116"/>
      <c r="X1243" s="118"/>
      <c r="Y1243" s="577">
        <f t="shared" si="85"/>
        <v>1234</v>
      </c>
      <c r="AA1243" s="116"/>
      <c r="AB1243" s="116">
        <f t="shared" si="86"/>
        <v>0</v>
      </c>
    </row>
    <row r="1244" spans="1:28">
      <c r="A1244" s="227"/>
      <c r="B1244" s="102"/>
      <c r="C1244" s="102" t="s">
        <v>296</v>
      </c>
      <c r="D1244" s="102"/>
      <c r="E1244" s="116">
        <f>+G1244-Adjustments!H1245</f>
        <v>0</v>
      </c>
      <c r="F1244" s="116">
        <f>F948</f>
        <v>0</v>
      </c>
      <c r="G1244" s="116">
        <f>G948</f>
        <v>0</v>
      </c>
      <c r="H1244" s="116">
        <f>H948</f>
        <v>0</v>
      </c>
      <c r="I1244" s="116">
        <f>I948</f>
        <v>0</v>
      </c>
      <c r="J1244" s="116"/>
      <c r="K1244" s="116"/>
      <c r="L1244" s="116"/>
      <c r="M1244" s="116">
        <f>M948</f>
        <v>0</v>
      </c>
      <c r="N1244" s="116">
        <f t="shared" si="87"/>
        <v>0</v>
      </c>
      <c r="O1244" s="272"/>
      <c r="P1244" s="240"/>
      <c r="Q1244" s="116"/>
      <c r="R1244" s="116"/>
      <c r="S1244" s="240"/>
      <c r="T1244" s="116"/>
      <c r="U1244" s="116"/>
      <c r="V1244" s="273"/>
      <c r="W1244" s="116"/>
      <c r="X1244" s="118"/>
      <c r="Y1244" s="577">
        <f t="shared" si="85"/>
        <v>1235</v>
      </c>
      <c r="AA1244" s="116"/>
      <c r="AB1244" s="116">
        <f t="shared" si="86"/>
        <v>0</v>
      </c>
    </row>
    <row r="1245" spans="1:28" ht="13.5" thickBot="1">
      <c r="A1245" s="227"/>
      <c r="B1245" s="102"/>
      <c r="C1245" s="102"/>
      <c r="D1245" s="102"/>
      <c r="E1245" s="236">
        <f>+G1245-Adjustments!H1246</f>
        <v>0</v>
      </c>
      <c r="F1245" s="236"/>
      <c r="G1245" s="236"/>
      <c r="H1245" s="236"/>
      <c r="I1245" s="236"/>
      <c r="J1245" s="116"/>
      <c r="K1245" s="116"/>
      <c r="L1245" s="236"/>
      <c r="M1245" s="236"/>
      <c r="N1245" s="236"/>
      <c r="O1245" s="272"/>
      <c r="P1245" s="731"/>
      <c r="Q1245" s="236"/>
      <c r="R1245" s="236"/>
      <c r="S1245" s="731"/>
      <c r="T1245" s="236"/>
      <c r="U1245" s="236"/>
      <c r="V1245" s="273"/>
      <c r="W1245" s="236"/>
      <c r="X1245" s="118"/>
      <c r="Y1245" s="577">
        <f t="shared" si="85"/>
        <v>1236</v>
      </c>
      <c r="AA1245" s="236"/>
      <c r="AB1245" s="116">
        <f t="shared" si="86"/>
        <v>0</v>
      </c>
    </row>
    <row r="1246" spans="1:28">
      <c r="A1246" s="227"/>
      <c r="B1246" s="102"/>
      <c r="C1246" s="14" t="s">
        <v>481</v>
      </c>
      <c r="D1246" s="102"/>
      <c r="E1246" s="116">
        <f ca="1">+G1246-Adjustments!H1247</f>
        <v>-20282322.776796255</v>
      </c>
      <c r="F1246" s="116">
        <f>SUM(F1236:F1244)</f>
        <v>763286182.19595277</v>
      </c>
      <c r="G1246" s="116">
        <f ca="1">SUM(G1236:G1244)</f>
        <v>-20282322.776796255</v>
      </c>
      <c r="H1246" s="116">
        <f ca="1">SUM(H1236:H1244)</f>
        <v>-19245597.568459932</v>
      </c>
      <c r="I1246" s="116">
        <f ca="1">SUM(I1236:I1244)</f>
        <v>723758261.85069656</v>
      </c>
      <c r="J1246" s="116"/>
      <c r="K1246" s="116"/>
      <c r="L1246" s="116"/>
      <c r="M1246" s="116">
        <f ca="1">SUM(M1236:M1244)</f>
        <v>698264054.57863677</v>
      </c>
      <c r="N1246" s="116">
        <f ca="1">SUM(N1236:N1244)</f>
        <v>-7340635.3995602019</v>
      </c>
      <c r="O1246" s="272"/>
      <c r="P1246" s="240"/>
      <c r="Q1246" s="116"/>
      <c r="R1246" s="116"/>
      <c r="S1246" s="240"/>
      <c r="T1246" s="116"/>
      <c r="U1246" s="116"/>
      <c r="V1246" s="273"/>
      <c r="W1246" s="116"/>
      <c r="X1246" s="118"/>
      <c r="Y1246" s="577">
        <f t="shared" si="85"/>
        <v>1237</v>
      </c>
      <c r="AA1246" s="116"/>
      <c r="AB1246" s="116">
        <f t="shared" si="86"/>
        <v>0</v>
      </c>
    </row>
    <row r="1247" spans="1:28">
      <c r="A1247" s="227"/>
      <c r="B1247" s="102"/>
      <c r="C1247" s="14"/>
      <c r="D1247" s="102"/>
      <c r="E1247" s="116">
        <f>+G1247-Adjustments!H1248</f>
        <v>0</v>
      </c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272"/>
      <c r="P1247" s="240"/>
      <c r="Q1247" s="116"/>
      <c r="R1247" s="116"/>
      <c r="S1247" s="240"/>
      <c r="T1247" s="116"/>
      <c r="U1247" s="116"/>
      <c r="V1247" s="273"/>
      <c r="W1247" s="116"/>
      <c r="X1247" s="118"/>
      <c r="Y1247" s="577">
        <f t="shared" si="85"/>
        <v>1238</v>
      </c>
      <c r="AA1247" s="116"/>
      <c r="AB1247" s="116">
        <f t="shared" si="86"/>
        <v>0</v>
      </c>
    </row>
    <row r="1248" spans="1:28">
      <c r="A1248" s="227"/>
      <c r="B1248" s="102"/>
      <c r="C1248" s="14" t="s">
        <v>671</v>
      </c>
      <c r="D1248" s="102"/>
      <c r="E1248" s="116">
        <f ca="1">+G1248-Adjustments!H1249</f>
        <v>-55568.007607660977</v>
      </c>
      <c r="F1248" s="116">
        <f>+F1246/365</f>
        <v>2091195.0197149392</v>
      </c>
      <c r="G1248" s="116">
        <f ca="1">+G1246/365</f>
        <v>-55568.007607660977</v>
      </c>
      <c r="H1248" s="116">
        <f ca="1">+H1246/365</f>
        <v>-52727.664571123103</v>
      </c>
      <c r="I1248" s="116">
        <f ca="1">+I1246/365</f>
        <v>1982899.347536155</v>
      </c>
      <c r="J1248" s="116"/>
      <c r="K1248" s="116"/>
      <c r="L1248" s="116"/>
      <c r="M1248" s="116">
        <f ca="1">+M1246/365</f>
        <v>1913052.2043250322</v>
      </c>
      <c r="N1248" s="116">
        <f ca="1">+N1246/365</f>
        <v>-20111.329861808772</v>
      </c>
      <c r="O1248" s="272"/>
      <c r="P1248" s="240"/>
      <c r="Q1248" s="116"/>
      <c r="R1248" s="116"/>
      <c r="S1248" s="240"/>
      <c r="T1248" s="116"/>
      <c r="U1248" s="116"/>
      <c r="V1248" s="273"/>
      <c r="W1248" s="116"/>
      <c r="X1248" s="118"/>
      <c r="Y1248" s="577">
        <f t="shared" si="85"/>
        <v>1239</v>
      </c>
      <c r="AA1248" s="116"/>
      <c r="AB1248" s="116">
        <f t="shared" si="86"/>
        <v>0</v>
      </c>
    </row>
    <row r="1249" spans="1:28">
      <c r="A1249" s="227"/>
      <c r="B1249" s="102"/>
      <c r="C1249" s="102"/>
      <c r="D1249" s="102"/>
      <c r="E1249" s="116">
        <f>+G1249-Adjustments!H1250</f>
        <v>0</v>
      </c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272"/>
      <c r="P1249" s="240"/>
      <c r="Q1249" s="116"/>
      <c r="R1249" s="116"/>
      <c r="S1249" s="240"/>
      <c r="T1249" s="116"/>
      <c r="U1249" s="116"/>
      <c r="V1249" s="273"/>
      <c r="W1249" s="116"/>
      <c r="X1249" s="118"/>
      <c r="Y1249" s="577">
        <f t="shared" si="85"/>
        <v>1240</v>
      </c>
      <c r="AA1249" s="116"/>
      <c r="AB1249" s="116">
        <f t="shared" si="86"/>
        <v>0</v>
      </c>
    </row>
    <row r="1250" spans="1:28">
      <c r="A1250" s="227"/>
      <c r="B1250" s="14" t="s">
        <v>486</v>
      </c>
      <c r="C1250" s="102"/>
      <c r="D1250" s="102"/>
      <c r="E1250" s="138" t="e">
        <f>+G1250-Adjustments!#REF!</f>
        <v>#REF!</v>
      </c>
      <c r="F1250" s="138">
        <f>+'Control Panel'!$F$21</f>
        <v>1.0149999999999999</v>
      </c>
      <c r="G1250" s="138">
        <f>+'Control Panel'!$F$21</f>
        <v>1.0149999999999999</v>
      </c>
      <c r="H1250" s="138">
        <f>+'Control Panel'!$F$21</f>
        <v>1.0149999999999999</v>
      </c>
      <c r="I1250" s="138">
        <f>+'Control Panel'!$F$21</f>
        <v>1.0149999999999999</v>
      </c>
      <c r="J1250" s="116"/>
      <c r="K1250" s="244"/>
      <c r="L1250" s="244"/>
      <c r="M1250" s="138">
        <f>+'Control Panel'!$F$21</f>
        <v>1.0149999999999999</v>
      </c>
      <c r="N1250" s="138">
        <f>+'Control Panel'!$F$21</f>
        <v>1.0149999999999999</v>
      </c>
      <c r="O1250" s="736"/>
      <c r="P1250" s="737"/>
      <c r="Q1250" s="244"/>
      <c r="R1250" s="244"/>
      <c r="S1250" s="737"/>
      <c r="T1250" s="244"/>
      <c r="U1250" s="244"/>
      <c r="V1250" s="273"/>
      <c r="W1250" s="244"/>
      <c r="X1250" s="118"/>
      <c r="Y1250" s="577">
        <f t="shared" si="85"/>
        <v>1241</v>
      </c>
      <c r="AA1250" s="244"/>
      <c r="AB1250" s="116">
        <f t="shared" si="86"/>
        <v>0</v>
      </c>
    </row>
    <row r="1251" spans="1:28" ht="13.5" thickBot="1">
      <c r="A1251" s="227"/>
      <c r="B1251" s="102"/>
      <c r="C1251" s="102"/>
      <c r="D1251" s="102"/>
      <c r="E1251" s="235">
        <f>+G1251-Adjustments!H1251</f>
        <v>0</v>
      </c>
      <c r="F1251" s="235"/>
      <c r="G1251" s="235"/>
      <c r="H1251" s="235"/>
      <c r="I1251" s="235"/>
      <c r="J1251" s="116"/>
      <c r="K1251" s="116"/>
      <c r="L1251" s="235"/>
      <c r="M1251" s="235"/>
      <c r="N1251" s="235"/>
      <c r="O1251" s="272"/>
      <c r="P1251" s="613"/>
      <c r="Q1251" s="235"/>
      <c r="R1251" s="235"/>
      <c r="S1251" s="613"/>
      <c r="T1251" s="235"/>
      <c r="U1251" s="235"/>
      <c r="V1251" s="273"/>
      <c r="W1251" s="235"/>
      <c r="X1251" s="118"/>
      <c r="Y1251" s="577">
        <f t="shared" si="85"/>
        <v>1242</v>
      </c>
      <c r="AA1251" s="235"/>
      <c r="AB1251" s="116">
        <f t="shared" si="86"/>
        <v>0</v>
      </c>
    </row>
    <row r="1252" spans="1:28" ht="13.5" thickTop="1">
      <c r="A1252" s="227"/>
      <c r="B1252" s="102"/>
      <c r="C1252" s="102"/>
      <c r="D1252" s="102"/>
      <c r="E1252" s="116">
        <f>+G1252-Adjustments!H1252</f>
        <v>0</v>
      </c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272"/>
      <c r="P1252" s="240"/>
      <c r="Q1252" s="116"/>
      <c r="R1252" s="116"/>
      <c r="S1252" s="240"/>
      <c r="T1252" s="116"/>
      <c r="U1252" s="116"/>
      <c r="V1252" s="273"/>
      <c r="W1252" s="116"/>
      <c r="X1252" s="118"/>
      <c r="Y1252" s="577">
        <f t="shared" si="85"/>
        <v>1243</v>
      </c>
      <c r="AA1252" s="116"/>
      <c r="AB1252" s="116">
        <f t="shared" si="86"/>
        <v>0</v>
      </c>
    </row>
    <row r="1253" spans="1:28">
      <c r="A1253" s="227"/>
      <c r="B1253" s="49" t="s">
        <v>691</v>
      </c>
      <c r="C1253" s="102"/>
      <c r="D1253" s="102"/>
      <c r="E1253" s="116">
        <f ca="1">+G1253-Adjustments!H1253</f>
        <v>-56401.527721775885</v>
      </c>
      <c r="F1253" s="116">
        <f>F1248*F1250</f>
        <v>2122562.945010663</v>
      </c>
      <c r="G1253" s="116">
        <f ca="1">+Adjustments!AW1234</f>
        <v>-56401.527721775885</v>
      </c>
      <c r="H1253" s="116">
        <f ca="1">+H1248*H1250</f>
        <v>-53518.579539689941</v>
      </c>
      <c r="I1253" s="116">
        <f ca="1">+I1248*I1250</f>
        <v>2012642.8377491971</v>
      </c>
      <c r="J1253" s="116"/>
      <c r="K1253" s="116"/>
      <c r="L1253" s="116"/>
      <c r="M1253" s="116">
        <f ca="1">+M1248*M1250</f>
        <v>1941747.9873899075</v>
      </c>
      <c r="N1253" s="116">
        <f ca="1">+N1248*N1250</f>
        <v>-20412.999809735902</v>
      </c>
      <c r="O1253" s="272"/>
      <c r="P1253" s="207" t="s">
        <v>560</v>
      </c>
      <c r="Q1253" s="116">
        <f ca="1">IF(P1253="G",M1253,IF(P1253="PT",0,ERR))</f>
        <v>1941747.9873899075</v>
      </c>
      <c r="R1253" s="116">
        <f>IF(P1253="PT",M1253,IF(P1253="G",0,ERR))</f>
        <v>0</v>
      </c>
      <c r="S1253" s="240" t="s">
        <v>560</v>
      </c>
      <c r="T1253" s="116">
        <f ca="1">IF(S1253="G",N1253,IF(S1253="PT",0,ERR))</f>
        <v>-20412.999809735902</v>
      </c>
      <c r="U1253" s="116">
        <f>IF(S1253="PT",N1253,IF(S1253="G",0,ERR))</f>
        <v>0</v>
      </c>
      <c r="V1253" s="273"/>
      <c r="W1253" s="116">
        <f ca="1">HLOOKUP($W$9,'ROR-Model'!$Q$10:$U$1263,Y1253)</f>
        <v>1941747.9873899075</v>
      </c>
      <c r="X1253" s="118"/>
      <c r="Y1253" s="577">
        <f t="shared" si="85"/>
        <v>1244</v>
      </c>
      <c r="AA1253" s="116">
        <v>2033475.0746460569</v>
      </c>
      <c r="AB1253" s="116">
        <f t="shared" ca="1" si="86"/>
        <v>-91727.087256149389</v>
      </c>
    </row>
    <row r="1254" spans="1:28" ht="13.5" thickBot="1">
      <c r="A1254" s="227"/>
      <c r="B1254" s="102"/>
      <c r="C1254" s="102"/>
      <c r="D1254" s="102"/>
      <c r="E1254" s="235">
        <f ca="1">+G1254-Adjustments!H1254</f>
        <v>-56401.527721775885</v>
      </c>
      <c r="F1254" s="235"/>
      <c r="G1254" s="235">
        <f ca="1">G1250*G1248</f>
        <v>-56401.527721775885</v>
      </c>
      <c r="H1254" s="235"/>
      <c r="I1254" s="235"/>
      <c r="J1254" s="116"/>
      <c r="K1254" s="116"/>
      <c r="L1254" s="235"/>
      <c r="M1254" s="235"/>
      <c r="N1254" s="235"/>
      <c r="O1254" s="272"/>
      <c r="P1254" s="613"/>
      <c r="Q1254" s="235"/>
      <c r="R1254" s="235"/>
      <c r="S1254" s="613"/>
      <c r="T1254" s="235"/>
      <c r="U1254" s="235"/>
      <c r="V1254" s="273"/>
      <c r="W1254" s="235"/>
      <c r="X1254" s="118"/>
      <c r="Y1254" s="577">
        <f t="shared" si="85"/>
        <v>1245</v>
      </c>
      <c r="AA1254" s="235"/>
      <c r="AB1254" s="116">
        <f t="shared" si="86"/>
        <v>0</v>
      </c>
    </row>
    <row r="1255" spans="1:28" ht="13.5" thickTop="1">
      <c r="A1255" s="227"/>
      <c r="B1255" s="102"/>
      <c r="C1255" s="102"/>
      <c r="D1255" s="102"/>
      <c r="E1255" s="116">
        <f>+G1255-Adjustments!H1255</f>
        <v>0</v>
      </c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272"/>
      <c r="P1255" s="240"/>
      <c r="Q1255" s="116"/>
      <c r="R1255" s="116"/>
      <c r="S1255" s="240"/>
      <c r="T1255" s="116"/>
      <c r="U1255" s="116"/>
      <c r="V1255" s="273"/>
      <c r="W1255" s="116"/>
      <c r="X1255" s="118"/>
      <c r="Y1255" s="577">
        <f t="shared" si="85"/>
        <v>1246</v>
      </c>
      <c r="AA1255" s="116"/>
      <c r="AB1255" s="116">
        <f t="shared" si="86"/>
        <v>0</v>
      </c>
    </row>
    <row r="1256" spans="1:28">
      <c r="A1256" s="73" t="s">
        <v>802</v>
      </c>
      <c r="B1256" s="102"/>
      <c r="C1256" s="102"/>
      <c r="D1256" s="102"/>
      <c r="E1256" s="116">
        <f>+G1256-Adjustments!H1256</f>
        <v>0</v>
      </c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272"/>
      <c r="P1256" s="240"/>
      <c r="Q1256" s="116"/>
      <c r="R1256" s="116"/>
      <c r="S1256" s="240"/>
      <c r="T1256" s="116"/>
      <c r="U1256" s="116"/>
      <c r="V1256" s="273"/>
      <c r="W1256" s="116"/>
      <c r="X1256" s="118"/>
      <c r="Y1256" s="577">
        <f t="shared" si="85"/>
        <v>1247</v>
      </c>
      <c r="AA1256" s="116"/>
      <c r="AB1256" s="116">
        <f t="shared" si="86"/>
        <v>0</v>
      </c>
    </row>
    <row r="1257" spans="1:28">
      <c r="A1257" s="36"/>
      <c r="B1257" s="102" t="s">
        <v>443</v>
      </c>
      <c r="C1257" s="102"/>
      <c r="D1257" s="102"/>
      <c r="E1257" s="116">
        <f ca="1">+G1257-Adjustments!H1257</f>
        <v>-53946061.539790086</v>
      </c>
      <c r="F1257" s="116">
        <f t="shared" ref="F1257:I1259" si="88">F1225</f>
        <v>56474289.469999999</v>
      </c>
      <c r="G1257" s="116">
        <f t="shared" ca="1" si="88"/>
        <v>-53946061.539790086</v>
      </c>
      <c r="H1257" s="116">
        <f t="shared" si="88"/>
        <v>0</v>
      </c>
      <c r="I1257" s="116">
        <f t="shared" ca="1" si="88"/>
        <v>2528227.9302099091</v>
      </c>
      <c r="J1257" s="116"/>
      <c r="K1257" s="116"/>
      <c r="L1257" s="116"/>
      <c r="M1257" s="116">
        <f t="shared" ref="M1257:N1259" ca="1" si="89">M1225</f>
        <v>2439233.2374581578</v>
      </c>
      <c r="N1257" s="116">
        <f t="shared" ca="1" si="89"/>
        <v>88994.692751732742</v>
      </c>
      <c r="O1257" s="272"/>
      <c r="P1257" s="207"/>
      <c r="Q1257" s="116">
        <f t="shared" ref="Q1257:R1259" ca="1" si="90">Q1225</f>
        <v>2439233.2374581578</v>
      </c>
      <c r="R1257" s="116">
        <f t="shared" si="90"/>
        <v>0</v>
      </c>
      <c r="S1257" s="240"/>
      <c r="T1257" s="116">
        <f t="shared" ref="T1257:U1259" si="91">T1225</f>
        <v>0</v>
      </c>
      <c r="U1257" s="116">
        <f t="shared" ca="1" si="91"/>
        <v>88994.692751732742</v>
      </c>
      <c r="V1257" s="273"/>
      <c r="W1257" s="116">
        <f ca="1">HLOOKUP($W$9,'ROR-Model'!$Q$10:$U$1263,Y1257)</f>
        <v>2439233.2374581578</v>
      </c>
      <c r="X1257" s="118"/>
      <c r="Y1257" s="577">
        <f t="shared" si="85"/>
        <v>1248</v>
      </c>
      <c r="AA1257" s="116">
        <v>3321347.973106903</v>
      </c>
      <c r="AB1257" s="116">
        <f t="shared" ca="1" si="86"/>
        <v>-882114.73564874521</v>
      </c>
    </row>
    <row r="1258" spans="1:28">
      <c r="A1258" s="36"/>
      <c r="B1258" s="102" t="s">
        <v>592</v>
      </c>
      <c r="C1258" s="102"/>
      <c r="D1258" s="102"/>
      <c r="E1258" s="116">
        <f ca="1">+G1258-Adjustments!H1258</f>
        <v>7735124.6276038056</v>
      </c>
      <c r="F1258" s="116">
        <f>F1226</f>
        <v>42619523.404334627</v>
      </c>
      <c r="G1258" s="116">
        <f t="shared" ca="1" si="88"/>
        <v>7735124.6276038056</v>
      </c>
      <c r="H1258" s="116">
        <f t="shared" si="88"/>
        <v>0</v>
      </c>
      <c r="I1258" s="116">
        <f t="shared" ca="1" si="88"/>
        <v>50354648.031938434</v>
      </c>
      <c r="J1258" s="116"/>
      <c r="K1258" s="116"/>
      <c r="L1258" s="116"/>
      <c r="M1258" s="116">
        <f t="shared" ca="1" si="89"/>
        <v>0</v>
      </c>
      <c r="N1258" s="116">
        <f t="shared" ca="1" si="89"/>
        <v>50354648.031938434</v>
      </c>
      <c r="O1258" s="272"/>
      <c r="P1258" s="207"/>
      <c r="Q1258" s="116">
        <f t="shared" ca="1" si="90"/>
        <v>0</v>
      </c>
      <c r="R1258" s="116">
        <f t="shared" si="90"/>
        <v>0</v>
      </c>
      <c r="S1258" s="240"/>
      <c r="T1258" s="116">
        <f t="shared" ca="1" si="91"/>
        <v>50354648.031938434</v>
      </c>
      <c r="U1258" s="116">
        <f t="shared" si="91"/>
        <v>0</v>
      </c>
      <c r="V1258" s="273"/>
      <c r="W1258" s="116">
        <f ca="1">HLOOKUP($W$9,'ROR-Model'!$Q$10:$U$1263,Y1258)</f>
        <v>0</v>
      </c>
      <c r="X1258" s="118"/>
      <c r="Y1258" s="577">
        <f t="shared" si="85"/>
        <v>1249</v>
      </c>
      <c r="AA1258" s="116">
        <v>0</v>
      </c>
      <c r="AB1258" s="116">
        <f t="shared" ca="1" si="86"/>
        <v>0</v>
      </c>
    </row>
    <row r="1259" spans="1:28">
      <c r="A1259" s="36"/>
      <c r="B1259" s="102" t="s">
        <v>593</v>
      </c>
      <c r="C1259" s="102"/>
      <c r="D1259" s="102"/>
      <c r="E1259" s="116">
        <f ca="1">+G1259-Adjustments!H1259</f>
        <v>226914842.71504793</v>
      </c>
      <c r="F1259" s="116">
        <f t="shared" si="88"/>
        <v>1523491454.2176654</v>
      </c>
      <c r="G1259" s="116">
        <f t="shared" ca="1" si="88"/>
        <v>226914842.71504793</v>
      </c>
      <c r="H1259" s="116">
        <f t="shared" si="88"/>
        <v>0</v>
      </c>
      <c r="I1259" s="116">
        <f t="shared" ca="1" si="88"/>
        <v>1750406296.932713</v>
      </c>
      <c r="J1259" s="116"/>
      <c r="K1259" s="116"/>
      <c r="L1259" s="116"/>
      <c r="M1259" s="116">
        <f t="shared" ca="1" si="89"/>
        <v>1750406296.932713</v>
      </c>
      <c r="N1259" s="116">
        <f t="shared" ca="1" si="89"/>
        <v>0</v>
      </c>
      <c r="O1259" s="272"/>
      <c r="P1259" s="207"/>
      <c r="Q1259" s="116">
        <f t="shared" ca="1" si="90"/>
        <v>1750406296.932713</v>
      </c>
      <c r="R1259" s="116">
        <f t="shared" si="90"/>
        <v>0</v>
      </c>
      <c r="S1259" s="240"/>
      <c r="T1259" s="116">
        <f t="shared" ca="1" si="91"/>
        <v>0</v>
      </c>
      <c r="U1259" s="116">
        <f t="shared" si="91"/>
        <v>0</v>
      </c>
      <c r="V1259" s="273"/>
      <c r="W1259" s="116">
        <f ca="1">HLOOKUP($W$9,'ROR-Model'!$Q$10:$U$1263,Y1259)</f>
        <v>1750406296.932713</v>
      </c>
      <c r="X1259" s="118"/>
      <c r="Y1259" s="577">
        <f t="shared" si="85"/>
        <v>1250</v>
      </c>
      <c r="AA1259" s="116">
        <v>1216245611.4903045</v>
      </c>
      <c r="AB1259" s="116">
        <f t="shared" ca="1" si="86"/>
        <v>534160685.44240856</v>
      </c>
    </row>
    <row r="1260" spans="1:28">
      <c r="A1260" s="36"/>
      <c r="B1260" s="102" t="s">
        <v>595</v>
      </c>
      <c r="C1260" s="102"/>
      <c r="D1260" s="102"/>
      <c r="E1260" s="116">
        <f ca="1">+G1260-Adjustments!H1260</f>
        <v>26060990.368508141</v>
      </c>
      <c r="F1260" s="116">
        <f>F1228+F1253</f>
        <v>-110683834.64498936</v>
      </c>
      <c r="G1260" s="116">
        <f ca="1">G1228+G1253</f>
        <v>26060990.368508141</v>
      </c>
      <c r="H1260" s="116">
        <f ca="1">H1228+H1253</f>
        <v>-53518.579539689941</v>
      </c>
      <c r="I1260" s="116">
        <f ca="1">I1228+I1253</f>
        <v>-84676362.856020913</v>
      </c>
      <c r="J1260" s="116"/>
      <c r="K1260" s="116"/>
      <c r="L1260" s="116"/>
      <c r="M1260" s="116">
        <f ca="1">M1228+M1253</f>
        <v>-84695613.973372355</v>
      </c>
      <c r="N1260" s="116">
        <f ca="1">N1228+N1253</f>
        <v>-72056.732817535798</v>
      </c>
      <c r="O1260" s="272"/>
      <c r="P1260" s="207"/>
      <c r="Q1260" s="116">
        <f ca="1">Q1228+Q1253</f>
        <v>-84695613.973372355</v>
      </c>
      <c r="R1260" s="116">
        <f>R1228+R1253</f>
        <v>0</v>
      </c>
      <c r="S1260" s="240"/>
      <c r="T1260" s="116">
        <f ca="1">T1228+T1253</f>
        <v>-72056.732817535798</v>
      </c>
      <c r="U1260" s="116">
        <f>U1228+U1253</f>
        <v>0</v>
      </c>
      <c r="V1260" s="273"/>
      <c r="W1260" s="116">
        <f ca="1">HLOOKUP($W$9,'ROR-Model'!$Q$10:$U$1263,Y1260)</f>
        <v>-84695613.973372355</v>
      </c>
      <c r="X1260" s="118"/>
      <c r="Y1260" s="577">
        <f t="shared" si="85"/>
        <v>1251</v>
      </c>
      <c r="AA1260" s="116">
        <v>113448357.9705147</v>
      </c>
      <c r="AB1260" s="116">
        <f t="shared" ca="1" si="86"/>
        <v>-198143971.94388705</v>
      </c>
    </row>
    <row r="1261" spans="1:28" ht="13.5" thickBot="1">
      <c r="A1261" s="36"/>
      <c r="B1261" s="102"/>
      <c r="C1261" s="102"/>
      <c r="D1261" s="102"/>
      <c r="E1261" s="235">
        <f>+G1261-Adjustments!H1261</f>
        <v>0</v>
      </c>
      <c r="F1261" s="235"/>
      <c r="G1261" s="235"/>
      <c r="H1261" s="235"/>
      <c r="I1261" s="235"/>
      <c r="J1261" s="116"/>
      <c r="K1261" s="116"/>
      <c r="L1261" s="235"/>
      <c r="M1261" s="235"/>
      <c r="N1261" s="235"/>
      <c r="O1261" s="272"/>
      <c r="P1261" s="613"/>
      <c r="Q1261" s="235"/>
      <c r="R1261" s="235"/>
      <c r="S1261" s="613"/>
      <c r="T1261" s="235"/>
      <c r="U1261" s="235"/>
      <c r="V1261" s="273"/>
      <c r="W1261" s="235"/>
      <c r="X1261" s="118"/>
      <c r="Y1261" s="577">
        <f t="shared" si="85"/>
        <v>1252</v>
      </c>
      <c r="AA1261" s="235"/>
      <c r="AB1261" s="116">
        <f t="shared" si="86"/>
        <v>0</v>
      </c>
    </row>
    <row r="1262" spans="1:28" ht="13.5" thickTop="1">
      <c r="A1262" s="36"/>
      <c r="B1262" s="102"/>
      <c r="C1262" s="102"/>
      <c r="D1262" s="102"/>
      <c r="E1262" s="116">
        <f>+G1262-Adjustments!H1262</f>
        <v>0</v>
      </c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272"/>
      <c r="P1262" s="207"/>
      <c r="Q1262" s="116"/>
      <c r="R1262" s="116"/>
      <c r="S1262" s="240"/>
      <c r="T1262" s="116"/>
      <c r="U1262" s="116"/>
      <c r="V1262" s="273"/>
      <c r="W1262" s="116"/>
      <c r="X1262" s="118"/>
      <c r="Y1262" s="577">
        <f t="shared" si="85"/>
        <v>1253</v>
      </c>
      <c r="AA1262" s="116"/>
      <c r="AB1262" s="116">
        <f t="shared" si="86"/>
        <v>0</v>
      </c>
    </row>
    <row r="1263" spans="1:28">
      <c r="A1263" s="227"/>
      <c r="B1263" s="49" t="s">
        <v>802</v>
      </c>
      <c r="C1263" s="102"/>
      <c r="D1263" s="102"/>
      <c r="E1263" s="116">
        <f ca="1">+G1263-Adjustments!H1263</f>
        <v>206764896.17136979</v>
      </c>
      <c r="F1263" s="116">
        <f>F1231+F1253</f>
        <v>1511901432.447011</v>
      </c>
      <c r="G1263" s="116">
        <f ca="1">G1231+G1253</f>
        <v>206764896.17136979</v>
      </c>
      <c r="H1263" s="116">
        <f ca="1">H1231+H1253</f>
        <v>-53518.579539689941</v>
      </c>
      <c r="I1263" s="116">
        <f ca="1">I1231+I1253</f>
        <v>1718612810.038841</v>
      </c>
      <c r="J1263" s="116"/>
      <c r="K1263" s="116"/>
      <c r="L1263" s="116"/>
      <c r="M1263" s="116">
        <f ca="1">M1231+M1253</f>
        <v>1668149916.1967993</v>
      </c>
      <c r="N1263" s="116">
        <f ca="1">N1231+N1253</f>
        <v>50371585.991872646</v>
      </c>
      <c r="O1263" s="272"/>
      <c r="P1263" s="207"/>
      <c r="Q1263" s="116">
        <f ca="1">Q1231+Q1253</f>
        <v>1668149916.1967993</v>
      </c>
      <c r="R1263" s="116">
        <f>R1231+R1253</f>
        <v>0</v>
      </c>
      <c r="S1263" s="240"/>
      <c r="T1263" s="116">
        <f ca="1">T1231+T1253</f>
        <v>50282591.299120896</v>
      </c>
      <c r="U1263" s="116">
        <f ca="1">U1231+U1253</f>
        <v>88994.692751732742</v>
      </c>
      <c r="V1263" s="273"/>
      <c r="W1263" s="116">
        <f ca="1">HLOOKUP($W$9,'ROR-Model'!$Q$10:$U$1263,Y1263)</f>
        <v>1668149916.1967993</v>
      </c>
      <c r="X1263" s="118"/>
      <c r="Y1263" s="577">
        <f t="shared" si="85"/>
        <v>1254</v>
      </c>
      <c r="AA1263" s="116">
        <v>1333015317.4339263</v>
      </c>
      <c r="AB1263" s="116">
        <f t="shared" ca="1" si="86"/>
        <v>335134598.76287293</v>
      </c>
    </row>
  </sheetData>
  <mergeCells count="15">
    <mergeCell ref="T7:U7"/>
    <mergeCell ref="P2:U2"/>
    <mergeCell ref="S8:U8"/>
    <mergeCell ref="P3:U3"/>
    <mergeCell ref="P4:U4"/>
    <mergeCell ref="P6:R6"/>
    <mergeCell ref="P5:U5"/>
    <mergeCell ref="P8:R8"/>
    <mergeCell ref="Q7:R7"/>
    <mergeCell ref="A959:D959"/>
    <mergeCell ref="A8:B8"/>
    <mergeCell ref="A9:B9"/>
    <mergeCell ref="C9:D9"/>
    <mergeCell ref="A11:D11"/>
    <mergeCell ref="A515:D515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733" r:id="rId4" name="Button 19533">
              <controlPr defaultSize="0" print="0" autoFill="0" autoPict="0" macro="[0]!Macro5">
                <anchor moveWithCells="1" sizeWithCells="1">
                  <from>
                    <xdr:col>0</xdr:col>
                    <xdr:colOff>133350</xdr:colOff>
                    <xdr:row>4</xdr:row>
                    <xdr:rowOff>104775</xdr:rowOff>
                  </from>
                  <to>
                    <xdr:col>1</xdr:col>
                    <xdr:colOff>190500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454" r:id="rId5" name="Button 20550">
              <controlPr defaultSize="0" print="0" autoFill="0" autoPict="0" macro="[0]!Macro5">
                <anchor moveWithCells="1" sizeWithCells="1">
                  <from>
                    <xdr:col>0</xdr:col>
                    <xdr:colOff>133350</xdr:colOff>
                    <xdr:row>4</xdr:row>
                    <xdr:rowOff>104775</xdr:rowOff>
                  </from>
                  <to>
                    <xdr:col>1</xdr:col>
                    <xdr:colOff>190500</xdr:colOff>
                    <xdr:row>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W148"/>
  <sheetViews>
    <sheetView workbookViewId="0">
      <selection activeCell="B13" sqref="B13"/>
    </sheetView>
  </sheetViews>
  <sheetFormatPr defaultRowHeight="12.75"/>
  <cols>
    <col min="1" max="1" width="5.7109375" style="15" customWidth="1"/>
    <col min="2" max="2" width="15.7109375" style="15" customWidth="1"/>
    <col min="3" max="4" width="5.7109375" style="15" customWidth="1"/>
    <col min="5" max="5" width="25.7109375" style="15" customWidth="1"/>
    <col min="6" max="7" width="16" style="15" customWidth="1"/>
    <col min="8" max="8" width="15.85546875" style="1" customWidth="1"/>
    <col min="9" max="9" width="3.5703125" style="15" customWidth="1"/>
    <col min="10" max="14" width="15.85546875" style="15" customWidth="1"/>
    <col min="15" max="15" width="4.5703125" style="15" customWidth="1"/>
    <col min="16" max="16" width="1.85546875" style="15" customWidth="1"/>
    <col min="17" max="18" width="12.7109375" style="15" customWidth="1"/>
    <col min="19" max="19" width="4.7109375" style="15" customWidth="1"/>
    <col min="20" max="20" width="12.7109375" style="15" customWidth="1"/>
    <col min="21" max="21" width="16.140625" style="15" customWidth="1"/>
    <col min="22" max="23" width="12.7109375" style="15" hidden="1" customWidth="1"/>
    <col min="24" max="24" width="18.42578125" style="15" customWidth="1"/>
    <col min="25" max="25" width="6.140625" style="15" customWidth="1"/>
    <col min="26" max="27" width="5.7109375" style="15" customWidth="1"/>
    <col min="28" max="28" width="25.7109375" style="15" customWidth="1"/>
    <col min="29" max="29" width="4.85546875" style="15" customWidth="1"/>
    <col min="30" max="30" width="12.7109375" style="15" customWidth="1"/>
    <col min="31" max="31" width="1.42578125" style="15" customWidth="1"/>
    <col min="32" max="32" width="15.7109375" style="15" bestFit="1" customWidth="1"/>
    <col min="33" max="33" width="13.7109375" style="15" customWidth="1"/>
    <col min="34" max="35" width="5.140625" style="15" customWidth="1"/>
    <col min="36" max="36" width="6.140625" style="15" customWidth="1"/>
    <col min="37" max="38" width="5.7109375" style="15" customWidth="1"/>
    <col min="39" max="39" width="25.7109375" style="15" customWidth="1"/>
    <col min="40" max="40" width="9.140625" style="15"/>
    <col min="41" max="43" width="12.7109375" style="15" customWidth="1"/>
    <col min="44" max="16384" width="9.140625" style="15"/>
  </cols>
  <sheetData>
    <row r="1" spans="1:12">
      <c r="B1" s="578" t="s">
        <v>670</v>
      </c>
      <c r="C1" s="34"/>
      <c r="D1" s="14"/>
      <c r="E1" s="14"/>
      <c r="F1" s="14"/>
      <c r="G1" s="14"/>
      <c r="H1" s="11"/>
      <c r="J1" s="194"/>
      <c r="K1" s="194"/>
      <c r="L1" s="194"/>
    </row>
    <row r="2" spans="1:12">
      <c r="B2" s="34" t="str">
        <f>'Control Panel'!$B$1</f>
        <v>Dominion Energy</v>
      </c>
      <c r="C2" s="34"/>
      <c r="D2" s="14"/>
      <c r="E2" s="14"/>
      <c r="F2" s="14"/>
      <c r="G2" s="14"/>
      <c r="H2" s="11"/>
      <c r="L2" s="194"/>
    </row>
    <row r="3" spans="1:12">
      <c r="B3" s="578" t="str">
        <f>'Control Panel'!$B$2</f>
        <v>Utah - DEC 2019 Adjusted Avg  Results</v>
      </c>
      <c r="C3" s="745"/>
      <c r="D3" s="113"/>
      <c r="E3" s="14"/>
      <c r="F3" s="14"/>
      <c r="G3" s="14"/>
      <c r="H3" s="11"/>
      <c r="L3" s="194"/>
    </row>
    <row r="4" spans="1:12">
      <c r="B4" s="578" t="str">
        <f>'Control Panel'!$B$3</f>
        <v>12 Months Ended : Dec-2019</v>
      </c>
      <c r="C4" s="745"/>
      <c r="D4" s="114"/>
      <c r="E4" s="114"/>
      <c r="F4" s="14"/>
      <c r="G4" s="14"/>
      <c r="H4" s="1056"/>
      <c r="L4" s="194"/>
    </row>
    <row r="5" spans="1:12">
      <c r="B5" s="8"/>
      <c r="C5" s="114"/>
      <c r="D5" s="114"/>
      <c r="E5" s="114"/>
      <c r="F5" s="102"/>
      <c r="G5" s="102"/>
      <c r="H5" s="11"/>
      <c r="J5" s="194"/>
      <c r="K5" s="194"/>
      <c r="L5" s="194"/>
    </row>
    <row r="6" spans="1:12">
      <c r="B6" s="23"/>
      <c r="C6" s="114"/>
      <c r="D6" s="114"/>
      <c r="E6" s="114"/>
      <c r="F6" s="14"/>
      <c r="G6" s="14"/>
      <c r="H6" s="11"/>
      <c r="J6" s="582" t="s">
        <v>768</v>
      </c>
      <c r="K6" s="582" t="s">
        <v>551</v>
      </c>
      <c r="L6" s="194">
        <v>1</v>
      </c>
    </row>
    <row r="7" spans="1:12" ht="36" customHeight="1">
      <c r="A7" s="746"/>
      <c r="B7" s="157"/>
      <c r="C7" s="158"/>
      <c r="D7" s="158"/>
      <c r="E7" s="158"/>
      <c r="F7" s="158"/>
      <c r="G7" s="158"/>
      <c r="H7" s="159" t="str">
        <f>"Other Rev "&amp;'Control Panel'!H8</f>
        <v>Other Rev 2017</v>
      </c>
      <c r="I7" s="648"/>
      <c r="J7" s="159" t="str">
        <f>H7</f>
        <v>Other Rev 2017</v>
      </c>
      <c r="K7" s="159"/>
      <c r="L7" s="194">
        <v>2</v>
      </c>
    </row>
    <row r="8" spans="1:12">
      <c r="B8" s="36"/>
      <c r="C8" s="14"/>
      <c r="D8" s="14"/>
      <c r="E8" s="14"/>
      <c r="F8" s="14"/>
      <c r="G8" s="14"/>
      <c r="H8" s="1060"/>
      <c r="L8" s="194">
        <f t="shared" ref="L8:L66" si="0">+L7+1</f>
        <v>3</v>
      </c>
    </row>
    <row r="9" spans="1:12" ht="13.5" thickBot="1">
      <c r="B9" s="47" t="s">
        <v>841</v>
      </c>
      <c r="C9" s="48"/>
      <c r="D9" s="1552" t="s">
        <v>842</v>
      </c>
      <c r="E9" s="1552"/>
      <c r="F9" s="48"/>
      <c r="G9" s="1258"/>
      <c r="H9" s="517"/>
      <c r="J9" s="6"/>
      <c r="K9" s="6"/>
      <c r="L9" s="194">
        <f t="shared" si="0"/>
        <v>4</v>
      </c>
    </row>
    <row r="10" spans="1:12">
      <c r="A10" s="15">
        <v>369</v>
      </c>
      <c r="B10" s="36" t="s">
        <v>167</v>
      </c>
      <c r="C10" s="102"/>
      <c r="D10" s="102"/>
      <c r="E10" s="102"/>
      <c r="F10" s="102"/>
      <c r="G10" s="102"/>
      <c r="H10" s="116"/>
      <c r="J10" s="116"/>
      <c r="K10" s="116"/>
      <c r="L10" s="194">
        <f t="shared" si="0"/>
        <v>5</v>
      </c>
    </row>
    <row r="11" spans="1:12">
      <c r="A11" s="15">
        <v>370</v>
      </c>
      <c r="B11" s="227"/>
      <c r="C11" s="102"/>
      <c r="D11" s="102"/>
      <c r="E11" s="102"/>
      <c r="F11" s="102"/>
      <c r="G11" s="102"/>
      <c r="H11" s="116"/>
      <c r="J11" s="116"/>
      <c r="K11" s="116"/>
      <c r="L11" s="194">
        <f t="shared" si="0"/>
        <v>6</v>
      </c>
    </row>
    <row r="12" spans="1:12">
      <c r="A12" s="15">
        <v>371</v>
      </c>
      <c r="B12" s="136"/>
      <c r="C12" s="102"/>
      <c r="D12" s="102"/>
      <c r="E12" s="102"/>
      <c r="F12" s="102"/>
      <c r="G12" s="102"/>
      <c r="H12" s="278"/>
      <c r="J12" s="278"/>
      <c r="K12" s="278"/>
      <c r="L12" s="194">
        <f t="shared" si="0"/>
        <v>7</v>
      </c>
    </row>
    <row r="13" spans="1:12">
      <c r="A13" s="15">
        <v>372</v>
      </c>
      <c r="B13" s="136"/>
      <c r="C13" s="102"/>
      <c r="D13" s="102"/>
      <c r="E13" s="102"/>
      <c r="F13" s="102"/>
      <c r="G13" s="102"/>
      <c r="H13" s="116"/>
      <c r="J13" s="116"/>
      <c r="K13" s="116"/>
      <c r="L13" s="194">
        <f t="shared" si="0"/>
        <v>8</v>
      </c>
    </row>
    <row r="14" spans="1:12">
      <c r="A14" s="15">
        <v>373</v>
      </c>
      <c r="B14" s="136">
        <v>483</v>
      </c>
      <c r="C14" s="119" t="s">
        <v>434</v>
      </c>
      <c r="D14" s="102"/>
      <c r="E14" s="102"/>
      <c r="F14" s="102"/>
      <c r="G14" s="102"/>
      <c r="H14" s="116"/>
      <c r="J14" s="116"/>
      <c r="K14" s="116"/>
      <c r="L14" s="194">
        <f t="shared" si="0"/>
        <v>9</v>
      </c>
    </row>
    <row r="15" spans="1:12">
      <c r="A15" s="15">
        <v>374</v>
      </c>
      <c r="B15" s="136"/>
      <c r="C15" s="102"/>
      <c r="D15" s="102" t="s">
        <v>14</v>
      </c>
      <c r="E15" s="102"/>
      <c r="F15" s="207" t="s">
        <v>559</v>
      </c>
      <c r="G15" s="207"/>
      <c r="H15" s="116">
        <v>1922718.8614775999</v>
      </c>
      <c r="J15" s="116">
        <f t="shared" ref="J15:J46" si="1">HLOOKUP($J$7,$H$7:$H$146,L14,FALSE)</f>
        <v>1922718.8614775999</v>
      </c>
      <c r="K15" s="116">
        <f t="shared" ref="K15:K46" si="2">+J15-H15</f>
        <v>0</v>
      </c>
      <c r="L15" s="194">
        <f t="shared" si="0"/>
        <v>10</v>
      </c>
    </row>
    <row r="16" spans="1:12">
      <c r="A16" s="15">
        <v>375</v>
      </c>
      <c r="B16" s="136"/>
      <c r="C16" s="102"/>
      <c r="D16" s="102" t="s">
        <v>24</v>
      </c>
      <c r="E16" s="102"/>
      <c r="F16" s="207" t="s">
        <v>559</v>
      </c>
      <c r="G16" s="207"/>
      <c r="H16" s="116">
        <v>71559.988522400032</v>
      </c>
      <c r="J16" s="116">
        <f t="shared" si="1"/>
        <v>71559.988522400032</v>
      </c>
      <c r="K16" s="116">
        <f t="shared" si="2"/>
        <v>0</v>
      </c>
      <c r="L16" s="194">
        <f t="shared" si="0"/>
        <v>11</v>
      </c>
    </row>
    <row r="17" spans="1:12">
      <c r="A17" s="15">
        <v>376</v>
      </c>
      <c r="B17" s="136"/>
      <c r="C17" s="102"/>
      <c r="D17" s="102" t="s">
        <v>170</v>
      </c>
      <c r="E17" s="102"/>
      <c r="F17" s="207"/>
      <c r="G17" s="207"/>
      <c r="H17" s="550">
        <v>1994278.85</v>
      </c>
      <c r="J17" s="131">
        <f t="shared" si="1"/>
        <v>1994278.85</v>
      </c>
      <c r="K17" s="131">
        <f t="shared" si="2"/>
        <v>0</v>
      </c>
      <c r="L17" s="194">
        <f t="shared" si="0"/>
        <v>12</v>
      </c>
    </row>
    <row r="18" spans="1:12">
      <c r="A18" s="15">
        <v>377</v>
      </c>
      <c r="B18" s="136"/>
      <c r="C18" s="102"/>
      <c r="D18" s="102"/>
      <c r="E18" s="102"/>
      <c r="F18" s="207"/>
      <c r="G18" s="207"/>
      <c r="H18" s="116"/>
      <c r="J18" s="116">
        <f t="shared" si="1"/>
        <v>0</v>
      </c>
      <c r="K18" s="116">
        <f t="shared" si="2"/>
        <v>0</v>
      </c>
      <c r="L18" s="194">
        <f t="shared" si="0"/>
        <v>13</v>
      </c>
    </row>
    <row r="19" spans="1:12">
      <c r="A19" s="15">
        <v>378</v>
      </c>
      <c r="B19" s="136">
        <v>487</v>
      </c>
      <c r="C19" s="102" t="s">
        <v>173</v>
      </c>
      <c r="D19" s="102"/>
      <c r="E19" s="102"/>
      <c r="F19" s="207"/>
      <c r="G19" s="207"/>
      <c r="H19" s="116"/>
      <c r="J19" s="116">
        <f t="shared" si="1"/>
        <v>0</v>
      </c>
      <c r="K19" s="116">
        <f t="shared" si="2"/>
        <v>0</v>
      </c>
      <c r="L19" s="194">
        <f t="shared" si="0"/>
        <v>14</v>
      </c>
    </row>
    <row r="20" spans="1:12">
      <c r="A20" s="15">
        <v>379</v>
      </c>
      <c r="B20" s="136"/>
      <c r="C20" s="102"/>
      <c r="D20" s="102" t="s">
        <v>14</v>
      </c>
      <c r="E20" s="102"/>
      <c r="F20" s="207" t="s">
        <v>560</v>
      </c>
      <c r="G20" s="207"/>
      <c r="H20" s="116">
        <v>2002957.85</v>
      </c>
      <c r="J20" s="116">
        <f t="shared" si="1"/>
        <v>2002957.85</v>
      </c>
      <c r="K20" s="116">
        <f t="shared" si="2"/>
        <v>0</v>
      </c>
      <c r="L20" s="194">
        <f t="shared" si="0"/>
        <v>15</v>
      </c>
    </row>
    <row r="21" spans="1:12">
      <c r="A21" s="15">
        <v>380</v>
      </c>
      <c r="B21" s="136"/>
      <c r="C21" s="102"/>
      <c r="D21" s="102" t="s">
        <v>24</v>
      </c>
      <c r="E21" s="102"/>
      <c r="F21" s="207" t="s">
        <v>560</v>
      </c>
      <c r="G21" s="207"/>
      <c r="H21" s="116">
        <v>101544.61</v>
      </c>
      <c r="J21" s="116">
        <f t="shared" si="1"/>
        <v>101544.61</v>
      </c>
      <c r="K21" s="116">
        <f t="shared" si="2"/>
        <v>0</v>
      </c>
      <c r="L21" s="194">
        <f t="shared" si="0"/>
        <v>16</v>
      </c>
    </row>
    <row r="22" spans="1:12">
      <c r="A22" s="15">
        <v>381</v>
      </c>
      <c r="B22" s="136"/>
      <c r="C22" s="102"/>
      <c r="D22" s="102" t="s">
        <v>170</v>
      </c>
      <c r="E22" s="102"/>
      <c r="F22" s="207"/>
      <c r="G22" s="207"/>
      <c r="H22" s="550">
        <v>2104502.46</v>
      </c>
      <c r="J22" s="131">
        <f t="shared" si="1"/>
        <v>2104502.46</v>
      </c>
      <c r="K22" s="131">
        <f t="shared" si="2"/>
        <v>0</v>
      </c>
      <c r="L22" s="194">
        <f t="shared" si="0"/>
        <v>17</v>
      </c>
    </row>
    <row r="23" spans="1:12">
      <c r="A23" s="15">
        <v>382</v>
      </c>
      <c r="B23" s="136"/>
      <c r="C23" s="102"/>
      <c r="D23" s="102"/>
      <c r="E23" s="102"/>
      <c r="F23" s="207"/>
      <c r="G23" s="207"/>
      <c r="H23" s="116"/>
      <c r="J23" s="116">
        <f t="shared" si="1"/>
        <v>0</v>
      </c>
      <c r="K23" s="116">
        <f t="shared" si="2"/>
        <v>0</v>
      </c>
      <c r="L23" s="194">
        <f t="shared" si="0"/>
        <v>18</v>
      </c>
    </row>
    <row r="24" spans="1:12">
      <c r="A24" s="15">
        <v>383</v>
      </c>
      <c r="B24" s="136" t="s">
        <v>196</v>
      </c>
      <c r="C24" s="102" t="s">
        <v>314</v>
      </c>
      <c r="D24" s="102"/>
      <c r="E24" s="102"/>
      <c r="F24" s="207"/>
      <c r="G24" s="207"/>
      <c r="H24" s="116"/>
      <c r="J24" s="116">
        <f t="shared" si="1"/>
        <v>0</v>
      </c>
      <c r="K24" s="116">
        <f t="shared" si="2"/>
        <v>0</v>
      </c>
      <c r="L24" s="194">
        <f t="shared" si="0"/>
        <v>19</v>
      </c>
    </row>
    <row r="25" spans="1:12">
      <c r="A25" s="15">
        <v>384</v>
      </c>
      <c r="B25" s="136"/>
      <c r="C25" s="102"/>
      <c r="D25" s="102" t="s">
        <v>14</v>
      </c>
      <c r="E25" s="102"/>
      <c r="F25" s="207" t="s">
        <v>560</v>
      </c>
      <c r="G25" s="207"/>
      <c r="H25" s="116">
        <v>0</v>
      </c>
      <c r="J25" s="116">
        <f t="shared" si="1"/>
        <v>0</v>
      </c>
      <c r="K25" s="116">
        <f t="shared" si="2"/>
        <v>0</v>
      </c>
      <c r="L25" s="194">
        <f t="shared" si="0"/>
        <v>20</v>
      </c>
    </row>
    <row r="26" spans="1:12">
      <c r="A26" s="15">
        <v>385</v>
      </c>
      <c r="B26" s="136"/>
      <c r="C26" s="102"/>
      <c r="D26" s="102" t="s">
        <v>24</v>
      </c>
      <c r="E26" s="102"/>
      <c r="F26" s="207" t="s">
        <v>560</v>
      </c>
      <c r="G26" s="207"/>
      <c r="H26" s="116">
        <v>0</v>
      </c>
      <c r="J26" s="116">
        <f t="shared" si="1"/>
        <v>0</v>
      </c>
      <c r="K26" s="116">
        <f t="shared" si="2"/>
        <v>0</v>
      </c>
      <c r="L26" s="194">
        <f t="shared" si="0"/>
        <v>21</v>
      </c>
    </row>
    <row r="27" spans="1:12">
      <c r="A27" s="15">
        <v>386</v>
      </c>
      <c r="B27" s="136"/>
      <c r="C27" s="102"/>
      <c r="D27" s="102" t="s">
        <v>170</v>
      </c>
      <c r="E27" s="102"/>
      <c r="F27" s="207"/>
      <c r="G27" s="207"/>
      <c r="H27" s="550">
        <v>0</v>
      </c>
      <c r="J27" s="131">
        <f t="shared" si="1"/>
        <v>0</v>
      </c>
      <c r="K27" s="131">
        <f t="shared" si="2"/>
        <v>0</v>
      </c>
      <c r="L27" s="194">
        <f t="shared" si="0"/>
        <v>22</v>
      </c>
    </row>
    <row r="28" spans="1:12">
      <c r="A28" s="15">
        <v>387</v>
      </c>
      <c r="B28" s="136"/>
      <c r="C28" s="102"/>
      <c r="D28" s="102"/>
      <c r="E28" s="102"/>
      <c r="F28" s="207"/>
      <c r="G28" s="207"/>
      <c r="H28" s="116"/>
      <c r="J28" s="116">
        <f t="shared" si="1"/>
        <v>0</v>
      </c>
      <c r="K28" s="116">
        <f t="shared" si="2"/>
        <v>0</v>
      </c>
      <c r="L28" s="194">
        <f t="shared" si="0"/>
        <v>23</v>
      </c>
    </row>
    <row r="29" spans="1:12">
      <c r="A29" s="15">
        <v>388</v>
      </c>
      <c r="B29" s="136" t="s">
        <v>197</v>
      </c>
      <c r="C29" s="102" t="s">
        <v>315</v>
      </c>
      <c r="D29" s="102"/>
      <c r="E29" s="102"/>
      <c r="F29" s="207"/>
      <c r="G29" s="207"/>
      <c r="H29" s="116"/>
      <c r="J29" s="116">
        <f t="shared" si="1"/>
        <v>0</v>
      </c>
      <c r="K29" s="116">
        <f t="shared" si="2"/>
        <v>0</v>
      </c>
      <c r="L29" s="194">
        <f t="shared" si="0"/>
        <v>24</v>
      </c>
    </row>
    <row r="30" spans="1:12">
      <c r="A30" s="15">
        <v>389</v>
      </c>
      <c r="B30" s="136"/>
      <c r="C30" s="102"/>
      <c r="D30" s="102" t="s">
        <v>14</v>
      </c>
      <c r="E30" s="102"/>
      <c r="F30" s="207" t="s">
        <v>560</v>
      </c>
      <c r="G30" s="207"/>
      <c r="H30" s="116">
        <v>2201.5</v>
      </c>
      <c r="J30" s="116">
        <f t="shared" si="1"/>
        <v>2201.5</v>
      </c>
      <c r="K30" s="116">
        <f t="shared" si="2"/>
        <v>0</v>
      </c>
      <c r="L30" s="194">
        <f t="shared" si="0"/>
        <v>25</v>
      </c>
    </row>
    <row r="31" spans="1:12">
      <c r="A31" s="15">
        <v>390</v>
      </c>
      <c r="B31" s="136"/>
      <c r="C31" s="102"/>
      <c r="D31" s="102" t="s">
        <v>24</v>
      </c>
      <c r="E31" s="102"/>
      <c r="F31" s="207" t="s">
        <v>560</v>
      </c>
      <c r="G31" s="207"/>
      <c r="H31" s="116">
        <v>823.5</v>
      </c>
      <c r="J31" s="116">
        <f t="shared" si="1"/>
        <v>823.5</v>
      </c>
      <c r="K31" s="116">
        <f t="shared" si="2"/>
        <v>0</v>
      </c>
      <c r="L31" s="194">
        <f t="shared" si="0"/>
        <v>26</v>
      </c>
    </row>
    <row r="32" spans="1:12">
      <c r="A32" s="15">
        <v>391</v>
      </c>
      <c r="B32" s="136"/>
      <c r="C32" s="102"/>
      <c r="D32" s="102" t="s">
        <v>170</v>
      </c>
      <c r="E32" s="102"/>
      <c r="F32" s="207"/>
      <c r="G32" s="207"/>
      <c r="H32" s="550">
        <v>3025</v>
      </c>
      <c r="J32" s="131">
        <f t="shared" si="1"/>
        <v>3025</v>
      </c>
      <c r="K32" s="131">
        <f t="shared" si="2"/>
        <v>0</v>
      </c>
      <c r="L32" s="194">
        <f t="shared" si="0"/>
        <v>27</v>
      </c>
    </row>
    <row r="33" spans="1:12">
      <c r="A33" s="15">
        <v>392</v>
      </c>
      <c r="B33" s="136"/>
      <c r="C33" s="102"/>
      <c r="D33" s="102"/>
      <c r="E33" s="102"/>
      <c r="F33" s="207"/>
      <c r="G33" s="207"/>
      <c r="H33" s="116"/>
      <c r="J33" s="116">
        <f t="shared" si="1"/>
        <v>0</v>
      </c>
      <c r="K33" s="116">
        <f t="shared" si="2"/>
        <v>0</v>
      </c>
      <c r="L33" s="194">
        <f t="shared" si="0"/>
        <v>28</v>
      </c>
    </row>
    <row r="34" spans="1:12">
      <c r="A34" s="15">
        <v>393</v>
      </c>
      <c r="B34" s="136" t="s">
        <v>198</v>
      </c>
      <c r="C34" s="102" t="s">
        <v>316</v>
      </c>
      <c r="D34" s="102"/>
      <c r="E34" s="102"/>
      <c r="F34" s="207"/>
      <c r="G34" s="207"/>
      <c r="H34" s="116"/>
      <c r="J34" s="116">
        <f t="shared" si="1"/>
        <v>0</v>
      </c>
      <c r="K34" s="116">
        <f t="shared" si="2"/>
        <v>0</v>
      </c>
      <c r="L34" s="194">
        <f t="shared" si="0"/>
        <v>29</v>
      </c>
    </row>
    <row r="35" spans="1:12">
      <c r="A35" s="15">
        <v>394</v>
      </c>
      <c r="B35" s="136"/>
      <c r="C35" s="102"/>
      <c r="D35" s="102" t="s">
        <v>14</v>
      </c>
      <c r="E35" s="102"/>
      <c r="F35" s="207" t="s">
        <v>560</v>
      </c>
      <c r="G35" s="207"/>
      <c r="H35" s="116">
        <v>72082.070000000007</v>
      </c>
      <c r="J35" s="116">
        <f t="shared" si="1"/>
        <v>72082.070000000007</v>
      </c>
      <c r="K35" s="116">
        <f t="shared" si="2"/>
        <v>0</v>
      </c>
      <c r="L35" s="194">
        <f t="shared" si="0"/>
        <v>30</v>
      </c>
    </row>
    <row r="36" spans="1:12">
      <c r="A36" s="15">
        <v>395</v>
      </c>
      <c r="B36" s="136"/>
      <c r="C36" s="102"/>
      <c r="D36" s="102" t="s">
        <v>24</v>
      </c>
      <c r="E36" s="102"/>
      <c r="F36" s="207" t="s">
        <v>560</v>
      </c>
      <c r="G36" s="207"/>
      <c r="H36" s="116">
        <v>957</v>
      </c>
      <c r="J36" s="116">
        <f t="shared" si="1"/>
        <v>957</v>
      </c>
      <c r="K36" s="116">
        <f t="shared" si="2"/>
        <v>0</v>
      </c>
      <c r="L36" s="194">
        <f t="shared" si="0"/>
        <v>31</v>
      </c>
    </row>
    <row r="37" spans="1:12">
      <c r="A37" s="15">
        <v>396</v>
      </c>
      <c r="B37" s="136"/>
      <c r="C37" s="102"/>
      <c r="D37" s="102" t="s">
        <v>170</v>
      </c>
      <c r="E37" s="102"/>
      <c r="F37" s="207"/>
      <c r="G37" s="207"/>
      <c r="H37" s="550">
        <v>73039.070000000007</v>
      </c>
      <c r="J37" s="131">
        <f t="shared" si="1"/>
        <v>73039.070000000007</v>
      </c>
      <c r="K37" s="131">
        <f t="shared" si="2"/>
        <v>0</v>
      </c>
      <c r="L37" s="194">
        <f t="shared" si="0"/>
        <v>32</v>
      </c>
    </row>
    <row r="38" spans="1:12">
      <c r="A38" s="15">
        <v>397</v>
      </c>
      <c r="B38" s="136"/>
      <c r="C38" s="102"/>
      <c r="D38" s="102"/>
      <c r="E38" s="102"/>
      <c r="F38" s="207"/>
      <c r="G38" s="207"/>
      <c r="H38" s="116"/>
      <c r="J38" s="116">
        <f t="shared" si="1"/>
        <v>0</v>
      </c>
      <c r="K38" s="116">
        <f t="shared" si="2"/>
        <v>0</v>
      </c>
      <c r="L38" s="194">
        <f t="shared" si="0"/>
        <v>33</v>
      </c>
    </row>
    <row r="39" spans="1:12">
      <c r="A39" s="15">
        <v>398</v>
      </c>
      <c r="B39" s="134" t="s">
        <v>411</v>
      </c>
      <c r="C39" s="106" t="s">
        <v>317</v>
      </c>
      <c r="D39" s="106"/>
      <c r="E39" s="106"/>
      <c r="F39" s="207"/>
      <c r="G39" s="207"/>
      <c r="H39" s="116"/>
      <c r="J39" s="116">
        <f t="shared" si="1"/>
        <v>0</v>
      </c>
      <c r="K39" s="116">
        <f t="shared" si="2"/>
        <v>0</v>
      </c>
      <c r="L39" s="194">
        <f t="shared" si="0"/>
        <v>34</v>
      </c>
    </row>
    <row r="40" spans="1:12">
      <c r="A40" s="15">
        <v>399</v>
      </c>
      <c r="B40" s="134"/>
      <c r="C40" s="106"/>
      <c r="D40" s="106" t="s">
        <v>14</v>
      </c>
      <c r="E40" s="106"/>
      <c r="F40" s="207" t="s">
        <v>560</v>
      </c>
      <c r="G40" s="207"/>
      <c r="H40" s="116">
        <v>2374708</v>
      </c>
      <c r="J40" s="116">
        <f t="shared" si="1"/>
        <v>2374708</v>
      </c>
      <c r="K40" s="116">
        <f t="shared" si="2"/>
        <v>0</v>
      </c>
      <c r="L40" s="194">
        <f t="shared" si="0"/>
        <v>35</v>
      </c>
    </row>
    <row r="41" spans="1:12">
      <c r="A41" s="15">
        <v>400</v>
      </c>
      <c r="B41" s="134"/>
      <c r="C41" s="106"/>
      <c r="D41" s="106" t="s">
        <v>24</v>
      </c>
      <c r="E41" s="106"/>
      <c r="F41" s="207" t="s">
        <v>560</v>
      </c>
      <c r="G41" s="207"/>
      <c r="H41" s="116">
        <v>9075</v>
      </c>
      <c r="J41" s="116">
        <f t="shared" si="1"/>
        <v>9075</v>
      </c>
      <c r="K41" s="116">
        <f t="shared" si="2"/>
        <v>0</v>
      </c>
      <c r="L41" s="194">
        <f t="shared" si="0"/>
        <v>36</v>
      </c>
    </row>
    <row r="42" spans="1:12">
      <c r="A42" s="15">
        <v>401</v>
      </c>
      <c r="B42" s="134"/>
      <c r="C42" s="106"/>
      <c r="D42" s="106" t="s">
        <v>170</v>
      </c>
      <c r="E42" s="106"/>
      <c r="F42" s="207"/>
      <c r="G42" s="207"/>
      <c r="H42" s="550">
        <v>2383783</v>
      </c>
      <c r="J42" s="131">
        <f t="shared" si="1"/>
        <v>2383783</v>
      </c>
      <c r="K42" s="131">
        <f t="shared" si="2"/>
        <v>0</v>
      </c>
      <c r="L42" s="194">
        <f t="shared" si="0"/>
        <v>37</v>
      </c>
    </row>
    <row r="43" spans="1:12">
      <c r="A43" s="15">
        <v>402</v>
      </c>
      <c r="B43" s="134"/>
      <c r="C43" s="106"/>
      <c r="D43" s="106"/>
      <c r="E43" s="106"/>
      <c r="F43" s="207"/>
      <c r="G43" s="207"/>
      <c r="H43" s="116"/>
      <c r="J43" s="116">
        <f t="shared" si="1"/>
        <v>0</v>
      </c>
      <c r="K43" s="116">
        <f t="shared" si="2"/>
        <v>0</v>
      </c>
      <c r="L43" s="194">
        <f t="shared" si="0"/>
        <v>38</v>
      </c>
    </row>
    <row r="44" spans="1:12">
      <c r="A44" s="15">
        <v>403</v>
      </c>
      <c r="B44" s="134" t="s">
        <v>412</v>
      </c>
      <c r="C44" s="106" t="s">
        <v>318</v>
      </c>
      <c r="D44" s="106"/>
      <c r="E44" s="106"/>
      <c r="F44" s="207"/>
      <c r="G44" s="207"/>
      <c r="H44" s="116"/>
      <c r="J44" s="116">
        <f t="shared" si="1"/>
        <v>0</v>
      </c>
      <c r="K44" s="116">
        <f t="shared" si="2"/>
        <v>0</v>
      </c>
      <c r="L44" s="194">
        <f t="shared" si="0"/>
        <v>39</v>
      </c>
    </row>
    <row r="45" spans="1:12">
      <c r="A45" s="15">
        <v>404</v>
      </c>
      <c r="B45" s="134"/>
      <c r="C45" s="106"/>
      <c r="D45" s="106" t="s">
        <v>14</v>
      </c>
      <c r="E45" s="106"/>
      <c r="F45" s="207" t="s">
        <v>560</v>
      </c>
      <c r="G45" s="207"/>
      <c r="H45" s="116">
        <v>0</v>
      </c>
      <c r="J45" s="116">
        <f t="shared" si="1"/>
        <v>0</v>
      </c>
      <c r="K45" s="116">
        <f t="shared" si="2"/>
        <v>0</v>
      </c>
      <c r="L45" s="194">
        <f t="shared" si="0"/>
        <v>40</v>
      </c>
    </row>
    <row r="46" spans="1:12">
      <c r="A46" s="15">
        <v>405</v>
      </c>
      <c r="B46" s="134"/>
      <c r="C46" s="106"/>
      <c r="D46" s="106" t="s">
        <v>24</v>
      </c>
      <c r="E46" s="106"/>
      <c r="F46" s="207" t="s">
        <v>560</v>
      </c>
      <c r="G46" s="207"/>
      <c r="H46" s="116">
        <v>0</v>
      </c>
      <c r="J46" s="116">
        <f t="shared" si="1"/>
        <v>0</v>
      </c>
      <c r="K46" s="116">
        <f t="shared" si="2"/>
        <v>0</v>
      </c>
      <c r="L46" s="194">
        <f t="shared" si="0"/>
        <v>41</v>
      </c>
    </row>
    <row r="47" spans="1:12">
      <c r="A47" s="15">
        <v>406</v>
      </c>
      <c r="B47" s="134"/>
      <c r="C47" s="106"/>
      <c r="D47" s="106" t="s">
        <v>170</v>
      </c>
      <c r="E47" s="106"/>
      <c r="F47" s="207"/>
      <c r="G47" s="207"/>
      <c r="H47" s="550">
        <v>0</v>
      </c>
      <c r="J47" s="131">
        <f t="shared" ref="J47:J78" si="3">HLOOKUP($J$7,$H$7:$H$146,L46,FALSE)</f>
        <v>0</v>
      </c>
      <c r="K47" s="131">
        <f t="shared" ref="K47:K78" si="4">+J47-H47</f>
        <v>0</v>
      </c>
      <c r="L47" s="194">
        <f t="shared" si="0"/>
        <v>42</v>
      </c>
    </row>
    <row r="48" spans="1:12">
      <c r="A48" s="15">
        <v>407</v>
      </c>
      <c r="B48" s="134"/>
      <c r="C48" s="106"/>
      <c r="D48" s="106"/>
      <c r="E48" s="106"/>
      <c r="F48" s="207"/>
      <c r="G48" s="207"/>
      <c r="H48" s="116"/>
      <c r="J48" s="116">
        <f t="shared" si="3"/>
        <v>0</v>
      </c>
      <c r="K48" s="116">
        <f t="shared" si="4"/>
        <v>0</v>
      </c>
      <c r="L48" s="194">
        <f t="shared" si="0"/>
        <v>43</v>
      </c>
    </row>
    <row r="49" spans="1:12">
      <c r="A49" s="15">
        <v>408</v>
      </c>
      <c r="B49" s="134" t="s">
        <v>413</v>
      </c>
      <c r="C49" s="106" t="s">
        <v>319</v>
      </c>
      <c r="D49" s="106"/>
      <c r="E49" s="106"/>
      <c r="F49" s="207"/>
      <c r="G49" s="207"/>
      <c r="H49" s="116"/>
      <c r="J49" s="116">
        <f t="shared" si="3"/>
        <v>0</v>
      </c>
      <c r="K49" s="116">
        <f t="shared" si="4"/>
        <v>0</v>
      </c>
      <c r="L49" s="194">
        <f t="shared" si="0"/>
        <v>44</v>
      </c>
    </row>
    <row r="50" spans="1:12">
      <c r="A50" s="15">
        <v>409</v>
      </c>
      <c r="B50" s="134"/>
      <c r="C50" s="106"/>
      <c r="D50" s="106" t="s">
        <v>14</v>
      </c>
      <c r="E50" s="106"/>
      <c r="F50" s="207" t="s">
        <v>560</v>
      </c>
      <c r="G50" s="207"/>
      <c r="H50" s="116">
        <v>245060</v>
      </c>
      <c r="J50" s="116">
        <f t="shared" si="3"/>
        <v>245060</v>
      </c>
      <c r="K50" s="116">
        <f t="shared" si="4"/>
        <v>0</v>
      </c>
      <c r="L50" s="194">
        <f t="shared" si="0"/>
        <v>45</v>
      </c>
    </row>
    <row r="51" spans="1:12">
      <c r="A51" s="15">
        <v>410</v>
      </c>
      <c r="B51" s="134"/>
      <c r="C51" s="106"/>
      <c r="D51" s="106" t="s">
        <v>24</v>
      </c>
      <c r="E51" s="106"/>
      <c r="F51" s="207" t="s">
        <v>560</v>
      </c>
      <c r="G51" s="207"/>
      <c r="H51" s="116">
        <v>5040</v>
      </c>
      <c r="J51" s="116">
        <f t="shared" si="3"/>
        <v>5040</v>
      </c>
      <c r="K51" s="116">
        <f t="shared" si="4"/>
        <v>0</v>
      </c>
      <c r="L51" s="194">
        <f t="shared" si="0"/>
        <v>46</v>
      </c>
    </row>
    <row r="52" spans="1:12">
      <c r="A52" s="15">
        <v>411</v>
      </c>
      <c r="B52" s="134"/>
      <c r="C52" s="106"/>
      <c r="D52" s="106" t="s">
        <v>170</v>
      </c>
      <c r="E52" s="106"/>
      <c r="F52" s="207"/>
      <c r="G52" s="207"/>
      <c r="H52" s="550">
        <v>250100</v>
      </c>
      <c r="J52" s="131">
        <f t="shared" si="3"/>
        <v>250100</v>
      </c>
      <c r="K52" s="131">
        <f t="shared" si="4"/>
        <v>0</v>
      </c>
      <c r="L52" s="194">
        <f t="shared" si="0"/>
        <v>47</v>
      </c>
    </row>
    <row r="53" spans="1:12">
      <c r="A53" s="15">
        <v>412</v>
      </c>
      <c r="B53" s="134"/>
      <c r="C53" s="106"/>
      <c r="D53" s="106"/>
      <c r="E53" s="106"/>
      <c r="F53" s="207"/>
      <c r="G53" s="207"/>
      <c r="H53" s="116"/>
      <c r="J53" s="116">
        <f t="shared" si="3"/>
        <v>0</v>
      </c>
      <c r="K53" s="116">
        <f t="shared" si="4"/>
        <v>0</v>
      </c>
      <c r="L53" s="194">
        <f t="shared" si="0"/>
        <v>48</v>
      </c>
    </row>
    <row r="54" spans="1:12">
      <c r="A54" s="15">
        <v>413</v>
      </c>
      <c r="B54" s="134" t="s">
        <v>414</v>
      </c>
      <c r="C54" s="106" t="s">
        <v>415</v>
      </c>
      <c r="D54" s="106"/>
      <c r="E54" s="106"/>
      <c r="F54" s="207"/>
      <c r="G54" s="207"/>
      <c r="H54" s="116"/>
      <c r="J54" s="116">
        <f t="shared" si="3"/>
        <v>0</v>
      </c>
      <c r="K54" s="116">
        <f t="shared" si="4"/>
        <v>0</v>
      </c>
      <c r="L54" s="194">
        <f t="shared" si="0"/>
        <v>49</v>
      </c>
    </row>
    <row r="55" spans="1:12">
      <c r="A55" s="15">
        <v>414</v>
      </c>
      <c r="B55" s="134"/>
      <c r="C55" s="106"/>
      <c r="D55" s="106" t="s">
        <v>14</v>
      </c>
      <c r="E55" s="106"/>
      <c r="F55" s="207" t="s">
        <v>560</v>
      </c>
      <c r="G55" s="207"/>
      <c r="H55" s="116">
        <v>0</v>
      </c>
      <c r="J55" s="116">
        <f t="shared" si="3"/>
        <v>0</v>
      </c>
      <c r="K55" s="116">
        <f t="shared" si="4"/>
        <v>0</v>
      </c>
      <c r="L55" s="194">
        <f t="shared" si="0"/>
        <v>50</v>
      </c>
    </row>
    <row r="56" spans="1:12">
      <c r="A56" s="15">
        <v>415</v>
      </c>
      <c r="B56" s="134"/>
      <c r="C56" s="106"/>
      <c r="D56" s="106" t="s">
        <v>24</v>
      </c>
      <c r="E56" s="106"/>
      <c r="F56" s="207" t="s">
        <v>560</v>
      </c>
      <c r="G56" s="207"/>
      <c r="H56" s="116">
        <v>0</v>
      </c>
      <c r="J56" s="116">
        <f t="shared" si="3"/>
        <v>0</v>
      </c>
      <c r="K56" s="116">
        <f t="shared" si="4"/>
        <v>0</v>
      </c>
      <c r="L56" s="194">
        <f t="shared" si="0"/>
        <v>51</v>
      </c>
    </row>
    <row r="57" spans="1:12">
      <c r="A57" s="15">
        <v>416</v>
      </c>
      <c r="B57" s="134"/>
      <c r="C57" s="106"/>
      <c r="D57" s="106" t="s">
        <v>170</v>
      </c>
      <c r="E57" s="106"/>
      <c r="F57" s="207"/>
      <c r="G57" s="207"/>
      <c r="H57" s="550">
        <v>0</v>
      </c>
      <c r="J57" s="131">
        <f t="shared" si="3"/>
        <v>0</v>
      </c>
      <c r="K57" s="131">
        <f t="shared" si="4"/>
        <v>0</v>
      </c>
      <c r="L57" s="194">
        <f t="shared" si="0"/>
        <v>52</v>
      </c>
    </row>
    <row r="58" spans="1:12">
      <c r="A58" s="15">
        <v>417</v>
      </c>
      <c r="B58" s="134"/>
      <c r="C58" s="106"/>
      <c r="D58" s="106"/>
      <c r="E58" s="106"/>
      <c r="F58" s="207"/>
      <c r="G58" s="207"/>
      <c r="H58" s="116"/>
      <c r="J58" s="116">
        <f t="shared" si="3"/>
        <v>0</v>
      </c>
      <c r="K58" s="116">
        <f t="shared" si="4"/>
        <v>0</v>
      </c>
      <c r="L58" s="194">
        <f t="shared" si="0"/>
        <v>53</v>
      </c>
    </row>
    <row r="59" spans="1:12">
      <c r="A59" s="15">
        <v>418</v>
      </c>
      <c r="B59" s="134" t="s">
        <v>416</v>
      </c>
      <c r="C59" s="106" t="s">
        <v>320</v>
      </c>
      <c r="D59" s="106"/>
      <c r="E59" s="106"/>
      <c r="F59" s="207"/>
      <c r="G59" s="207"/>
      <c r="H59" s="116"/>
      <c r="J59" s="116">
        <f t="shared" si="3"/>
        <v>0</v>
      </c>
      <c r="K59" s="116">
        <f t="shared" si="4"/>
        <v>0</v>
      </c>
      <c r="L59" s="194">
        <f t="shared" si="0"/>
        <v>54</v>
      </c>
    </row>
    <row r="60" spans="1:12">
      <c r="A60" s="15">
        <v>419</v>
      </c>
      <c r="B60" s="134"/>
      <c r="C60" s="106"/>
      <c r="D60" s="106" t="s">
        <v>14</v>
      </c>
      <c r="E60" s="106"/>
      <c r="F60" s="207" t="s">
        <v>560</v>
      </c>
      <c r="G60" s="207"/>
      <c r="H60" s="116">
        <v>0</v>
      </c>
      <c r="J60" s="116">
        <f t="shared" si="3"/>
        <v>0</v>
      </c>
      <c r="K60" s="116">
        <f t="shared" si="4"/>
        <v>0</v>
      </c>
      <c r="L60" s="194">
        <f t="shared" si="0"/>
        <v>55</v>
      </c>
    </row>
    <row r="61" spans="1:12">
      <c r="A61" s="15">
        <v>420</v>
      </c>
      <c r="B61" s="134"/>
      <c r="C61" s="106"/>
      <c r="D61" s="106" t="s">
        <v>24</v>
      </c>
      <c r="E61" s="106"/>
      <c r="F61" s="207" t="s">
        <v>560</v>
      </c>
      <c r="G61" s="207"/>
      <c r="H61" s="116">
        <v>0</v>
      </c>
      <c r="J61" s="116">
        <f t="shared" si="3"/>
        <v>0</v>
      </c>
      <c r="K61" s="116">
        <f t="shared" si="4"/>
        <v>0</v>
      </c>
      <c r="L61" s="194">
        <f t="shared" si="0"/>
        <v>56</v>
      </c>
    </row>
    <row r="62" spans="1:12">
      <c r="A62" s="15">
        <v>421</v>
      </c>
      <c r="B62" s="134"/>
      <c r="C62" s="106"/>
      <c r="D62" s="106" t="s">
        <v>170</v>
      </c>
      <c r="E62" s="106"/>
      <c r="F62" s="207"/>
      <c r="G62" s="207"/>
      <c r="H62" s="550">
        <v>0</v>
      </c>
      <c r="J62" s="131">
        <f t="shared" si="3"/>
        <v>0</v>
      </c>
      <c r="K62" s="131">
        <f t="shared" si="4"/>
        <v>0</v>
      </c>
      <c r="L62" s="194">
        <f t="shared" si="0"/>
        <v>57</v>
      </c>
    </row>
    <row r="63" spans="1:12">
      <c r="A63" s="15">
        <v>422</v>
      </c>
      <c r="B63" s="134"/>
      <c r="C63" s="106"/>
      <c r="D63" s="106"/>
      <c r="E63" s="106"/>
      <c r="F63" s="207"/>
      <c r="G63" s="207"/>
      <c r="H63" s="116"/>
      <c r="J63" s="116">
        <f t="shared" si="3"/>
        <v>0</v>
      </c>
      <c r="K63" s="116">
        <f t="shared" si="4"/>
        <v>0</v>
      </c>
      <c r="L63" s="194">
        <f t="shared" si="0"/>
        <v>58</v>
      </c>
    </row>
    <row r="64" spans="1:12">
      <c r="A64" s="15">
        <v>423</v>
      </c>
      <c r="B64" s="135" t="s">
        <v>417</v>
      </c>
      <c r="C64" s="106" t="s">
        <v>321</v>
      </c>
      <c r="D64" s="106"/>
      <c r="E64" s="106"/>
      <c r="F64" s="207"/>
      <c r="G64" s="207"/>
      <c r="H64" s="116"/>
      <c r="J64" s="116">
        <f t="shared" si="3"/>
        <v>0</v>
      </c>
      <c r="K64" s="116">
        <f t="shared" si="4"/>
        <v>0</v>
      </c>
      <c r="L64" s="194">
        <f t="shared" si="0"/>
        <v>59</v>
      </c>
    </row>
    <row r="65" spans="1:12">
      <c r="A65" s="15">
        <v>424</v>
      </c>
      <c r="B65" s="134"/>
      <c r="C65" s="106"/>
      <c r="D65" s="106" t="s">
        <v>14</v>
      </c>
      <c r="E65" s="106"/>
      <c r="F65" s="207" t="s">
        <v>560</v>
      </c>
      <c r="G65" s="207"/>
      <c r="H65" s="116">
        <v>0</v>
      </c>
      <c r="J65" s="116">
        <f t="shared" si="3"/>
        <v>0</v>
      </c>
      <c r="K65" s="116">
        <f t="shared" si="4"/>
        <v>0</v>
      </c>
      <c r="L65" s="194">
        <f t="shared" si="0"/>
        <v>60</v>
      </c>
    </row>
    <row r="66" spans="1:12">
      <c r="A66" s="15">
        <v>425</v>
      </c>
      <c r="B66" s="134"/>
      <c r="C66" s="106"/>
      <c r="D66" s="106" t="s">
        <v>24</v>
      </c>
      <c r="E66" s="106"/>
      <c r="F66" s="207" t="s">
        <v>560</v>
      </c>
      <c r="G66" s="207"/>
      <c r="H66" s="116">
        <v>0</v>
      </c>
      <c r="J66" s="116">
        <f t="shared" si="3"/>
        <v>0</v>
      </c>
      <c r="K66" s="116">
        <f t="shared" si="4"/>
        <v>0</v>
      </c>
      <c r="L66" s="194">
        <f t="shared" si="0"/>
        <v>61</v>
      </c>
    </row>
    <row r="67" spans="1:12">
      <c r="A67" s="15">
        <v>426</v>
      </c>
      <c r="B67" s="134"/>
      <c r="C67" s="106"/>
      <c r="D67" s="106" t="s">
        <v>170</v>
      </c>
      <c r="E67" s="106"/>
      <c r="F67" s="207"/>
      <c r="G67" s="207"/>
      <c r="H67" s="550">
        <v>0</v>
      </c>
      <c r="J67" s="131">
        <f t="shared" si="3"/>
        <v>0</v>
      </c>
      <c r="K67" s="131">
        <f t="shared" si="4"/>
        <v>0</v>
      </c>
      <c r="L67" s="194">
        <f t="shared" ref="L67:L130" si="5">+L66+1</f>
        <v>62</v>
      </c>
    </row>
    <row r="68" spans="1:12">
      <c r="A68" s="15">
        <v>427</v>
      </c>
      <c r="B68" s="134"/>
      <c r="C68" s="106"/>
      <c r="D68" s="106"/>
      <c r="E68" s="106"/>
      <c r="F68" s="207"/>
      <c r="G68" s="207"/>
      <c r="H68" s="116"/>
      <c r="J68" s="116">
        <f t="shared" si="3"/>
        <v>0</v>
      </c>
      <c r="K68" s="116">
        <f t="shared" si="4"/>
        <v>0</v>
      </c>
      <c r="L68" s="194">
        <f t="shared" si="5"/>
        <v>63</v>
      </c>
    </row>
    <row r="69" spans="1:12">
      <c r="A69" s="15">
        <v>428</v>
      </c>
      <c r="B69" s="134" t="s">
        <v>418</v>
      </c>
      <c r="C69" s="106" t="s">
        <v>323</v>
      </c>
      <c r="D69" s="106"/>
      <c r="E69" s="106"/>
      <c r="F69" s="207"/>
      <c r="G69" s="207"/>
      <c r="H69" s="116"/>
      <c r="J69" s="116">
        <f t="shared" si="3"/>
        <v>0</v>
      </c>
      <c r="K69" s="116">
        <f t="shared" si="4"/>
        <v>0</v>
      </c>
      <c r="L69" s="194">
        <f t="shared" si="5"/>
        <v>64</v>
      </c>
    </row>
    <row r="70" spans="1:12">
      <c r="A70" s="15">
        <v>429</v>
      </c>
      <c r="B70" s="134"/>
      <c r="C70" s="106"/>
      <c r="D70" s="106" t="s">
        <v>14</v>
      </c>
      <c r="E70" s="106"/>
      <c r="F70" s="207" t="s">
        <v>560</v>
      </c>
      <c r="G70" s="207"/>
      <c r="H70" s="116">
        <v>0</v>
      </c>
      <c r="J70" s="116">
        <f t="shared" si="3"/>
        <v>0</v>
      </c>
      <c r="K70" s="116">
        <f t="shared" si="4"/>
        <v>0</v>
      </c>
      <c r="L70" s="194">
        <f t="shared" si="5"/>
        <v>65</v>
      </c>
    </row>
    <row r="71" spans="1:12">
      <c r="A71" s="15">
        <v>430</v>
      </c>
      <c r="B71" s="134"/>
      <c r="C71" s="106"/>
      <c r="D71" s="106" t="s">
        <v>24</v>
      </c>
      <c r="E71" s="106"/>
      <c r="F71" s="207" t="s">
        <v>560</v>
      </c>
      <c r="G71" s="207"/>
      <c r="H71" s="116">
        <v>0</v>
      </c>
      <c r="J71" s="116">
        <f t="shared" si="3"/>
        <v>0</v>
      </c>
      <c r="K71" s="116">
        <f t="shared" si="4"/>
        <v>0</v>
      </c>
      <c r="L71" s="194">
        <f t="shared" si="5"/>
        <v>66</v>
      </c>
    </row>
    <row r="72" spans="1:12">
      <c r="A72" s="15">
        <v>431</v>
      </c>
      <c r="B72" s="134"/>
      <c r="C72" s="106"/>
      <c r="D72" s="106" t="s">
        <v>170</v>
      </c>
      <c r="E72" s="106"/>
      <c r="F72" s="207"/>
      <c r="G72" s="207"/>
      <c r="H72" s="550">
        <v>0</v>
      </c>
      <c r="J72" s="131">
        <f t="shared" si="3"/>
        <v>0</v>
      </c>
      <c r="K72" s="131">
        <f t="shared" si="4"/>
        <v>0</v>
      </c>
      <c r="L72" s="194">
        <f t="shared" si="5"/>
        <v>67</v>
      </c>
    </row>
    <row r="73" spans="1:12">
      <c r="A73" s="15">
        <v>432</v>
      </c>
      <c r="B73" s="134"/>
      <c r="C73" s="106"/>
      <c r="D73" s="106"/>
      <c r="E73" s="106"/>
      <c r="F73" s="207"/>
      <c r="G73" s="207"/>
      <c r="H73" s="116"/>
      <c r="J73" s="116">
        <f t="shared" si="3"/>
        <v>0</v>
      </c>
      <c r="K73" s="116">
        <f t="shared" si="4"/>
        <v>0</v>
      </c>
      <c r="L73" s="194">
        <f t="shared" si="5"/>
        <v>68</v>
      </c>
    </row>
    <row r="74" spans="1:12">
      <c r="A74" s="15">
        <v>433</v>
      </c>
      <c r="B74" s="134" t="s">
        <v>419</v>
      </c>
      <c r="C74" s="106" t="s">
        <v>324</v>
      </c>
      <c r="D74" s="106"/>
      <c r="E74" s="106"/>
      <c r="F74" s="207"/>
      <c r="G74" s="207"/>
      <c r="H74" s="116"/>
      <c r="J74" s="116">
        <f t="shared" si="3"/>
        <v>0</v>
      </c>
      <c r="K74" s="116">
        <f t="shared" si="4"/>
        <v>0</v>
      </c>
      <c r="L74" s="194">
        <f t="shared" si="5"/>
        <v>69</v>
      </c>
    </row>
    <row r="75" spans="1:12">
      <c r="A75" s="15">
        <v>434</v>
      </c>
      <c r="B75" s="134"/>
      <c r="C75" s="106"/>
      <c r="D75" s="106" t="s">
        <v>14</v>
      </c>
      <c r="E75" s="106"/>
      <c r="F75" s="207" t="s">
        <v>560</v>
      </c>
      <c r="G75" s="207"/>
      <c r="H75" s="116">
        <v>0</v>
      </c>
      <c r="J75" s="116">
        <f t="shared" si="3"/>
        <v>0</v>
      </c>
      <c r="K75" s="116">
        <f t="shared" si="4"/>
        <v>0</v>
      </c>
      <c r="L75" s="194">
        <f t="shared" si="5"/>
        <v>70</v>
      </c>
    </row>
    <row r="76" spans="1:12">
      <c r="A76" s="15">
        <v>435</v>
      </c>
      <c r="B76" s="134"/>
      <c r="C76" s="106"/>
      <c r="D76" s="106" t="s">
        <v>24</v>
      </c>
      <c r="E76" s="106"/>
      <c r="F76" s="207" t="s">
        <v>560</v>
      </c>
      <c r="G76" s="207"/>
      <c r="H76" s="116">
        <v>0</v>
      </c>
      <c r="J76" s="116">
        <f t="shared" si="3"/>
        <v>0</v>
      </c>
      <c r="K76" s="116">
        <f t="shared" si="4"/>
        <v>0</v>
      </c>
      <c r="L76" s="194">
        <f t="shared" si="5"/>
        <v>71</v>
      </c>
    </row>
    <row r="77" spans="1:12">
      <c r="A77" s="15">
        <v>436</v>
      </c>
      <c r="B77" s="134"/>
      <c r="C77" s="106"/>
      <c r="D77" s="106" t="s">
        <v>170</v>
      </c>
      <c r="E77" s="106"/>
      <c r="F77" s="207"/>
      <c r="G77" s="207"/>
      <c r="H77" s="550">
        <v>0</v>
      </c>
      <c r="J77" s="131">
        <f t="shared" si="3"/>
        <v>0</v>
      </c>
      <c r="K77" s="131">
        <f t="shared" si="4"/>
        <v>0</v>
      </c>
      <c r="L77" s="194">
        <f t="shared" si="5"/>
        <v>72</v>
      </c>
    </row>
    <row r="78" spans="1:12">
      <c r="A78" s="15">
        <v>437</v>
      </c>
      <c r="B78" s="134"/>
      <c r="C78" s="106"/>
      <c r="D78" s="106"/>
      <c r="E78" s="106"/>
      <c r="F78" s="207"/>
      <c r="G78" s="207"/>
      <c r="H78" s="116"/>
      <c r="J78" s="116">
        <f t="shared" si="3"/>
        <v>0</v>
      </c>
      <c r="K78" s="116">
        <f t="shared" si="4"/>
        <v>0</v>
      </c>
      <c r="L78" s="194">
        <f t="shared" si="5"/>
        <v>73</v>
      </c>
    </row>
    <row r="79" spans="1:12">
      <c r="A79" s="15">
        <v>438</v>
      </c>
      <c r="B79" s="134" t="s">
        <v>420</v>
      </c>
      <c r="C79" s="106" t="s">
        <v>325</v>
      </c>
      <c r="D79" s="106"/>
      <c r="E79" s="106"/>
      <c r="F79" s="207"/>
      <c r="G79" s="207"/>
      <c r="H79" s="116"/>
      <c r="J79" s="116">
        <f t="shared" ref="J79:J110" si="6">HLOOKUP($J$7,$H$7:$H$146,L78,FALSE)</f>
        <v>0</v>
      </c>
      <c r="K79" s="116">
        <f t="shared" ref="K79:K110" si="7">+J79-H79</f>
        <v>0</v>
      </c>
      <c r="L79" s="194">
        <f t="shared" si="5"/>
        <v>74</v>
      </c>
    </row>
    <row r="80" spans="1:12">
      <c r="A80" s="15">
        <v>439</v>
      </c>
      <c r="B80" s="134"/>
      <c r="C80" s="106"/>
      <c r="D80" s="106" t="s">
        <v>14</v>
      </c>
      <c r="E80" s="106"/>
      <c r="F80" s="207" t="s">
        <v>560</v>
      </c>
      <c r="G80" s="207"/>
      <c r="H80" s="116">
        <v>0</v>
      </c>
      <c r="J80" s="116">
        <f t="shared" si="6"/>
        <v>0</v>
      </c>
      <c r="K80" s="116">
        <f t="shared" si="7"/>
        <v>0</v>
      </c>
      <c r="L80" s="194">
        <f t="shared" si="5"/>
        <v>75</v>
      </c>
    </row>
    <row r="81" spans="1:12">
      <c r="A81" s="15">
        <v>440</v>
      </c>
      <c r="B81" s="134"/>
      <c r="C81" s="106"/>
      <c r="D81" s="106" t="s">
        <v>24</v>
      </c>
      <c r="E81" s="106"/>
      <c r="F81" s="207" t="s">
        <v>560</v>
      </c>
      <c r="G81" s="207"/>
      <c r="H81" s="116">
        <v>0</v>
      </c>
      <c r="J81" s="116">
        <f t="shared" si="6"/>
        <v>0</v>
      </c>
      <c r="K81" s="116">
        <f t="shared" si="7"/>
        <v>0</v>
      </c>
      <c r="L81" s="194">
        <f t="shared" si="5"/>
        <v>76</v>
      </c>
    </row>
    <row r="82" spans="1:12">
      <c r="A82" s="15">
        <v>441</v>
      </c>
      <c r="B82" s="134"/>
      <c r="C82" s="106"/>
      <c r="D82" s="106" t="s">
        <v>170</v>
      </c>
      <c r="E82" s="106"/>
      <c r="F82" s="207"/>
      <c r="G82" s="207"/>
      <c r="H82" s="550">
        <v>0</v>
      </c>
      <c r="J82" s="131">
        <f t="shared" si="6"/>
        <v>0</v>
      </c>
      <c r="K82" s="131">
        <f t="shared" si="7"/>
        <v>0</v>
      </c>
      <c r="L82" s="194">
        <f t="shared" si="5"/>
        <v>77</v>
      </c>
    </row>
    <row r="83" spans="1:12">
      <c r="A83" s="15">
        <v>442</v>
      </c>
      <c r="B83" s="134"/>
      <c r="C83" s="106"/>
      <c r="D83" s="106"/>
      <c r="E83" s="106"/>
      <c r="F83" s="207"/>
      <c r="G83" s="207"/>
      <c r="H83" s="116"/>
      <c r="J83" s="116">
        <f t="shared" si="6"/>
        <v>0</v>
      </c>
      <c r="K83" s="116">
        <f t="shared" si="7"/>
        <v>0</v>
      </c>
      <c r="L83" s="194">
        <f t="shared" si="5"/>
        <v>78</v>
      </c>
    </row>
    <row r="84" spans="1:12">
      <c r="A84" s="15">
        <v>443</v>
      </c>
      <c r="B84" s="134" t="s">
        <v>421</v>
      </c>
      <c r="C84" s="106" t="s">
        <v>326</v>
      </c>
      <c r="D84" s="106"/>
      <c r="E84" s="106"/>
      <c r="F84" s="207"/>
      <c r="G84" s="207"/>
      <c r="H84" s="116"/>
      <c r="J84" s="116">
        <f t="shared" si="6"/>
        <v>0</v>
      </c>
      <c r="K84" s="116">
        <f t="shared" si="7"/>
        <v>0</v>
      </c>
      <c r="L84" s="194">
        <f t="shared" si="5"/>
        <v>79</v>
      </c>
    </row>
    <row r="85" spans="1:12">
      <c r="A85" s="15">
        <v>444</v>
      </c>
      <c r="B85" s="134"/>
      <c r="C85" s="106"/>
      <c r="D85" s="106" t="s">
        <v>14</v>
      </c>
      <c r="E85" s="106"/>
      <c r="F85" s="207" t="s">
        <v>560</v>
      </c>
      <c r="G85" s="207"/>
      <c r="H85" s="116">
        <v>0</v>
      </c>
      <c r="J85" s="116">
        <f t="shared" si="6"/>
        <v>0</v>
      </c>
      <c r="K85" s="116">
        <f t="shared" si="7"/>
        <v>0</v>
      </c>
      <c r="L85" s="194">
        <f t="shared" si="5"/>
        <v>80</v>
      </c>
    </row>
    <row r="86" spans="1:12">
      <c r="A86" s="15">
        <v>445</v>
      </c>
      <c r="B86" s="134"/>
      <c r="C86" s="106"/>
      <c r="D86" s="106" t="s">
        <v>24</v>
      </c>
      <c r="E86" s="106"/>
      <c r="F86" s="207" t="s">
        <v>560</v>
      </c>
      <c r="G86" s="207"/>
      <c r="H86" s="116">
        <v>0</v>
      </c>
      <c r="J86" s="116">
        <f t="shared" si="6"/>
        <v>0</v>
      </c>
      <c r="K86" s="116">
        <f t="shared" si="7"/>
        <v>0</v>
      </c>
      <c r="L86" s="194">
        <f t="shared" si="5"/>
        <v>81</v>
      </c>
    </row>
    <row r="87" spans="1:12">
      <c r="A87" s="15">
        <v>446</v>
      </c>
      <c r="B87" s="134"/>
      <c r="C87" s="106"/>
      <c r="D87" s="106" t="s">
        <v>170</v>
      </c>
      <c r="E87" s="106"/>
      <c r="F87" s="207"/>
      <c r="G87" s="207"/>
      <c r="H87" s="550">
        <v>0</v>
      </c>
      <c r="J87" s="131">
        <f t="shared" si="6"/>
        <v>0</v>
      </c>
      <c r="K87" s="131">
        <f t="shared" si="7"/>
        <v>0</v>
      </c>
      <c r="L87" s="194">
        <f t="shared" si="5"/>
        <v>82</v>
      </c>
    </row>
    <row r="88" spans="1:12">
      <c r="A88" s="15">
        <v>447</v>
      </c>
      <c r="B88" s="136"/>
      <c r="C88" s="102"/>
      <c r="D88" s="102"/>
      <c r="E88" s="102"/>
      <c r="F88" s="207"/>
      <c r="G88" s="207"/>
      <c r="H88" s="116"/>
      <c r="J88" s="116">
        <f t="shared" si="6"/>
        <v>0</v>
      </c>
      <c r="K88" s="116">
        <f t="shared" si="7"/>
        <v>0</v>
      </c>
      <c r="L88" s="194">
        <f t="shared" si="5"/>
        <v>83</v>
      </c>
    </row>
    <row r="89" spans="1:12">
      <c r="A89" s="15">
        <v>448</v>
      </c>
      <c r="B89" s="136">
        <v>4891</v>
      </c>
      <c r="C89" s="102" t="s">
        <v>327</v>
      </c>
      <c r="D89" s="102"/>
      <c r="E89" s="102"/>
      <c r="F89" s="207"/>
      <c r="G89" s="207"/>
      <c r="H89" s="116"/>
      <c r="J89" s="116">
        <f t="shared" si="6"/>
        <v>0</v>
      </c>
      <c r="K89" s="116">
        <f t="shared" si="7"/>
        <v>0</v>
      </c>
      <c r="L89" s="194">
        <f t="shared" si="5"/>
        <v>84</v>
      </c>
    </row>
    <row r="90" spans="1:12">
      <c r="A90" s="15">
        <v>449</v>
      </c>
      <c r="B90" s="136"/>
      <c r="C90" s="102"/>
      <c r="D90" s="102" t="s">
        <v>14</v>
      </c>
      <c r="E90" s="102"/>
      <c r="F90" s="207" t="s">
        <v>560</v>
      </c>
      <c r="G90" s="207"/>
      <c r="H90" s="116">
        <v>0</v>
      </c>
      <c r="J90" s="116">
        <f t="shared" si="6"/>
        <v>0</v>
      </c>
      <c r="K90" s="116">
        <f t="shared" si="7"/>
        <v>0</v>
      </c>
      <c r="L90" s="194">
        <f t="shared" si="5"/>
        <v>85</v>
      </c>
    </row>
    <row r="91" spans="1:12">
      <c r="A91" s="15">
        <v>450</v>
      </c>
      <c r="B91" s="136"/>
      <c r="C91" s="102"/>
      <c r="D91" s="102" t="s">
        <v>24</v>
      </c>
      <c r="E91" s="102"/>
      <c r="F91" s="207" t="s">
        <v>560</v>
      </c>
      <c r="G91" s="207"/>
      <c r="H91" s="116">
        <v>0</v>
      </c>
      <c r="J91" s="116">
        <f t="shared" si="6"/>
        <v>0</v>
      </c>
      <c r="K91" s="116">
        <f t="shared" si="7"/>
        <v>0</v>
      </c>
      <c r="L91" s="194">
        <f t="shared" si="5"/>
        <v>86</v>
      </c>
    </row>
    <row r="92" spans="1:12">
      <c r="A92" s="15">
        <v>451</v>
      </c>
      <c r="B92" s="136"/>
      <c r="C92" s="102"/>
      <c r="D92" s="102" t="s">
        <v>170</v>
      </c>
      <c r="E92" s="102"/>
      <c r="F92" s="207"/>
      <c r="G92" s="207"/>
      <c r="H92" s="550">
        <v>0</v>
      </c>
      <c r="J92" s="131">
        <f t="shared" si="6"/>
        <v>0</v>
      </c>
      <c r="K92" s="131">
        <f t="shared" si="7"/>
        <v>0</v>
      </c>
      <c r="L92" s="194">
        <f t="shared" si="5"/>
        <v>87</v>
      </c>
    </row>
    <row r="93" spans="1:12">
      <c r="A93" s="15">
        <v>452</v>
      </c>
      <c r="B93" s="136"/>
      <c r="C93" s="102"/>
      <c r="D93" s="102"/>
      <c r="E93" s="102"/>
      <c r="F93" s="207"/>
      <c r="G93" s="207"/>
      <c r="H93" s="116"/>
      <c r="J93" s="116">
        <f t="shared" si="6"/>
        <v>0</v>
      </c>
      <c r="K93" s="116">
        <f t="shared" si="7"/>
        <v>0</v>
      </c>
      <c r="L93" s="194">
        <f t="shared" si="5"/>
        <v>88</v>
      </c>
    </row>
    <row r="94" spans="1:12">
      <c r="A94" s="15">
        <v>453</v>
      </c>
      <c r="B94" s="136">
        <v>490</v>
      </c>
      <c r="C94" s="102" t="s">
        <v>328</v>
      </c>
      <c r="D94" s="102"/>
      <c r="E94" s="102"/>
      <c r="F94" s="207"/>
      <c r="G94" s="207"/>
      <c r="H94" s="116"/>
      <c r="J94" s="116">
        <f t="shared" si="6"/>
        <v>0</v>
      </c>
      <c r="K94" s="116">
        <f t="shared" si="7"/>
        <v>0</v>
      </c>
      <c r="L94" s="194">
        <f t="shared" si="5"/>
        <v>89</v>
      </c>
    </row>
    <row r="95" spans="1:12">
      <c r="A95" s="15">
        <v>454</v>
      </c>
      <c r="B95" s="136"/>
      <c r="C95" s="102"/>
      <c r="D95" s="102" t="s">
        <v>14</v>
      </c>
      <c r="E95" s="102"/>
      <c r="F95" s="207" t="s">
        <v>559</v>
      </c>
      <c r="G95" s="207"/>
      <c r="H95" s="116">
        <v>5277157.1893031001</v>
      </c>
      <c r="J95" s="116">
        <f t="shared" si="6"/>
        <v>5277157.1893031001</v>
      </c>
      <c r="K95" s="116">
        <f t="shared" si="7"/>
        <v>0</v>
      </c>
      <c r="L95" s="194">
        <f t="shared" si="5"/>
        <v>90</v>
      </c>
    </row>
    <row r="96" spans="1:12">
      <c r="A96" s="15">
        <v>455</v>
      </c>
      <c r="B96" s="136"/>
      <c r="C96" s="102"/>
      <c r="D96" s="102" t="s">
        <v>24</v>
      </c>
      <c r="E96" s="102"/>
      <c r="F96" s="207" t="s">
        <v>559</v>
      </c>
      <c r="G96" s="207"/>
      <c r="H96" s="116">
        <v>179117.15069690009</v>
      </c>
      <c r="J96" s="116">
        <f t="shared" si="6"/>
        <v>179117.15069690009</v>
      </c>
      <c r="K96" s="116">
        <f t="shared" si="7"/>
        <v>0</v>
      </c>
      <c r="L96" s="194">
        <f t="shared" si="5"/>
        <v>91</v>
      </c>
    </row>
    <row r="97" spans="1:12">
      <c r="A97" s="15">
        <v>456</v>
      </c>
      <c r="B97" s="136"/>
      <c r="C97" s="102"/>
      <c r="D97" s="102" t="s">
        <v>170</v>
      </c>
      <c r="E97" s="102"/>
      <c r="F97" s="207"/>
      <c r="G97" s="207"/>
      <c r="H97" s="550">
        <v>5456274.3400000008</v>
      </c>
      <c r="J97" s="131">
        <f t="shared" si="6"/>
        <v>5456274.3400000008</v>
      </c>
      <c r="K97" s="131">
        <f t="shared" si="7"/>
        <v>0</v>
      </c>
      <c r="L97" s="194">
        <f t="shared" si="5"/>
        <v>92</v>
      </c>
    </row>
    <row r="98" spans="1:12">
      <c r="A98" s="15">
        <v>457</v>
      </c>
      <c r="B98" s="136"/>
      <c r="C98" s="102"/>
      <c r="D98" s="102"/>
      <c r="E98" s="102"/>
      <c r="F98" s="207"/>
      <c r="G98" s="207"/>
      <c r="H98" s="116"/>
      <c r="J98" s="116">
        <f t="shared" si="6"/>
        <v>0</v>
      </c>
      <c r="K98" s="116">
        <f t="shared" si="7"/>
        <v>0</v>
      </c>
      <c r="L98" s="194">
        <f t="shared" si="5"/>
        <v>93</v>
      </c>
    </row>
    <row r="99" spans="1:12">
      <c r="A99" s="15">
        <v>458</v>
      </c>
      <c r="B99" s="136">
        <v>491</v>
      </c>
      <c r="C99" s="102" t="s">
        <v>329</v>
      </c>
      <c r="D99" s="102"/>
      <c r="E99" s="102"/>
      <c r="F99" s="207"/>
      <c r="G99" s="207"/>
      <c r="H99" s="116"/>
      <c r="J99" s="116">
        <f t="shared" si="6"/>
        <v>0</v>
      </c>
      <c r="K99" s="116">
        <f t="shared" si="7"/>
        <v>0</v>
      </c>
      <c r="L99" s="194">
        <f t="shared" si="5"/>
        <v>94</v>
      </c>
    </row>
    <row r="100" spans="1:12">
      <c r="A100" s="15">
        <v>459</v>
      </c>
      <c r="B100" s="136"/>
      <c r="C100" s="102"/>
      <c r="D100" s="102" t="s">
        <v>14</v>
      </c>
      <c r="E100" s="102"/>
      <c r="F100" s="207" t="s">
        <v>559</v>
      </c>
      <c r="G100" s="207"/>
      <c r="H100" s="116">
        <v>0</v>
      </c>
      <c r="J100" s="116">
        <f t="shared" si="6"/>
        <v>0</v>
      </c>
      <c r="K100" s="116">
        <f t="shared" si="7"/>
        <v>0</v>
      </c>
      <c r="L100" s="194">
        <f t="shared" si="5"/>
        <v>95</v>
      </c>
    </row>
    <row r="101" spans="1:12">
      <c r="A101" s="15">
        <v>460</v>
      </c>
      <c r="B101" s="136"/>
      <c r="C101" s="102"/>
      <c r="D101" s="102" t="s">
        <v>24</v>
      </c>
      <c r="E101" s="102"/>
      <c r="F101" s="207" t="s">
        <v>560</v>
      </c>
      <c r="G101" s="207"/>
      <c r="H101" s="116">
        <v>0</v>
      </c>
      <c r="J101" s="116">
        <f t="shared" si="6"/>
        <v>0</v>
      </c>
      <c r="K101" s="116">
        <f t="shared" si="7"/>
        <v>0</v>
      </c>
      <c r="L101" s="194">
        <f t="shared" si="5"/>
        <v>96</v>
      </c>
    </row>
    <row r="102" spans="1:12">
      <c r="A102" s="15">
        <v>461</v>
      </c>
      <c r="B102" s="136"/>
      <c r="C102" s="102"/>
      <c r="D102" s="102" t="s">
        <v>170</v>
      </c>
      <c r="E102" s="102"/>
      <c r="F102" s="207"/>
      <c r="G102" s="207"/>
      <c r="H102" s="550">
        <v>0</v>
      </c>
      <c r="J102" s="131">
        <f t="shared" si="6"/>
        <v>0</v>
      </c>
      <c r="K102" s="131">
        <f t="shared" si="7"/>
        <v>0</v>
      </c>
      <c r="L102" s="194">
        <f t="shared" si="5"/>
        <v>97</v>
      </c>
    </row>
    <row r="103" spans="1:12">
      <c r="A103" s="15">
        <v>462</v>
      </c>
      <c r="B103" s="136"/>
      <c r="C103" s="102"/>
      <c r="D103" s="102"/>
      <c r="E103" s="102"/>
      <c r="F103" s="207"/>
      <c r="G103" s="207"/>
      <c r="H103" s="116"/>
      <c r="J103" s="116">
        <f t="shared" si="6"/>
        <v>0</v>
      </c>
      <c r="K103" s="116">
        <f t="shared" si="7"/>
        <v>0</v>
      </c>
      <c r="L103" s="194">
        <f t="shared" si="5"/>
        <v>98</v>
      </c>
    </row>
    <row r="104" spans="1:12">
      <c r="A104" s="15">
        <v>463</v>
      </c>
      <c r="B104" s="136">
        <v>492</v>
      </c>
      <c r="C104" s="102" t="s">
        <v>330</v>
      </c>
      <c r="D104" s="102"/>
      <c r="E104" s="102"/>
      <c r="F104" s="207"/>
      <c r="G104" s="207"/>
      <c r="H104" s="116"/>
      <c r="J104" s="116">
        <f t="shared" si="6"/>
        <v>0</v>
      </c>
      <c r="K104" s="116">
        <f t="shared" si="7"/>
        <v>0</v>
      </c>
      <c r="L104" s="194">
        <f t="shared" si="5"/>
        <v>99</v>
      </c>
    </row>
    <row r="105" spans="1:12">
      <c r="A105" s="15">
        <v>464</v>
      </c>
      <c r="B105" s="136"/>
      <c r="C105" s="102"/>
      <c r="D105" s="102" t="s">
        <v>14</v>
      </c>
      <c r="E105" s="102"/>
      <c r="F105" s="207" t="s">
        <v>559</v>
      </c>
      <c r="G105" s="207"/>
      <c r="H105" s="116">
        <v>1746447.8848289</v>
      </c>
      <c r="J105" s="116">
        <f t="shared" si="6"/>
        <v>1746447.8848289</v>
      </c>
      <c r="K105" s="116">
        <f t="shared" si="7"/>
        <v>0</v>
      </c>
      <c r="L105" s="194">
        <f t="shared" si="5"/>
        <v>100</v>
      </c>
    </row>
    <row r="106" spans="1:12">
      <c r="A106" s="15">
        <v>465</v>
      </c>
      <c r="B106" s="136"/>
      <c r="C106" s="102"/>
      <c r="D106" s="102" t="s">
        <v>24</v>
      </c>
      <c r="E106" s="102"/>
      <c r="F106" s="207" t="s">
        <v>559</v>
      </c>
      <c r="G106" s="207"/>
      <c r="H106" s="116">
        <v>62998.605171099989</v>
      </c>
      <c r="J106" s="116">
        <f t="shared" si="6"/>
        <v>62998.605171099989</v>
      </c>
      <c r="K106" s="116">
        <f t="shared" si="7"/>
        <v>0</v>
      </c>
      <c r="L106" s="194">
        <f t="shared" si="5"/>
        <v>101</v>
      </c>
    </row>
    <row r="107" spans="1:12">
      <c r="A107" s="15">
        <v>466</v>
      </c>
      <c r="B107" s="136"/>
      <c r="C107" s="102"/>
      <c r="D107" s="102" t="s">
        <v>170</v>
      </c>
      <c r="E107" s="102"/>
      <c r="F107" s="207"/>
      <c r="G107" s="207"/>
      <c r="H107" s="550">
        <v>1809446.49</v>
      </c>
      <c r="J107" s="131">
        <f t="shared" si="6"/>
        <v>1809446.49</v>
      </c>
      <c r="K107" s="131">
        <f t="shared" si="7"/>
        <v>0</v>
      </c>
      <c r="L107" s="194">
        <f t="shared" si="5"/>
        <v>102</v>
      </c>
    </row>
    <row r="108" spans="1:12">
      <c r="A108" s="15">
        <v>467</v>
      </c>
      <c r="B108" s="136"/>
      <c r="C108" s="102"/>
      <c r="D108" s="102"/>
      <c r="E108" s="102"/>
      <c r="F108" s="207"/>
      <c r="G108" s="207"/>
      <c r="H108" s="116"/>
      <c r="J108" s="116">
        <f t="shared" si="6"/>
        <v>0</v>
      </c>
      <c r="K108" s="116">
        <f t="shared" si="7"/>
        <v>0</v>
      </c>
      <c r="L108" s="194">
        <f t="shared" si="5"/>
        <v>103</v>
      </c>
    </row>
    <row r="109" spans="1:12">
      <c r="A109" s="15">
        <v>468</v>
      </c>
      <c r="B109" s="136">
        <v>493</v>
      </c>
      <c r="C109" s="102" t="s">
        <v>331</v>
      </c>
      <c r="D109" s="102"/>
      <c r="E109" s="102"/>
      <c r="F109" s="207"/>
      <c r="G109" s="207"/>
      <c r="H109" s="116"/>
      <c r="J109" s="116">
        <f t="shared" si="6"/>
        <v>0</v>
      </c>
      <c r="K109" s="116">
        <f t="shared" si="7"/>
        <v>0</v>
      </c>
      <c r="L109" s="194">
        <f t="shared" si="5"/>
        <v>104</v>
      </c>
    </row>
    <row r="110" spans="1:12">
      <c r="A110" s="15">
        <v>469</v>
      </c>
      <c r="B110" s="136"/>
      <c r="C110" s="102"/>
      <c r="D110" s="102" t="s">
        <v>14</v>
      </c>
      <c r="E110" s="102"/>
      <c r="F110" s="207" t="s">
        <v>559</v>
      </c>
      <c r="G110" s="207"/>
      <c r="H110" s="116">
        <v>0</v>
      </c>
      <c r="J110" s="116">
        <f t="shared" si="6"/>
        <v>0</v>
      </c>
      <c r="K110" s="116">
        <f t="shared" si="7"/>
        <v>0</v>
      </c>
      <c r="L110" s="194">
        <f t="shared" si="5"/>
        <v>105</v>
      </c>
    </row>
    <row r="111" spans="1:12">
      <c r="A111" s="15">
        <v>470</v>
      </c>
      <c r="B111" s="136"/>
      <c r="C111" s="102"/>
      <c r="D111" s="102" t="s">
        <v>24</v>
      </c>
      <c r="E111" s="102"/>
      <c r="F111" s="207" t="s">
        <v>560</v>
      </c>
      <c r="G111" s="207"/>
      <c r="H111" s="116">
        <v>0</v>
      </c>
      <c r="J111" s="116">
        <f t="shared" ref="J111:J144" si="8">HLOOKUP($J$7,$H$7:$H$146,L110,FALSE)</f>
        <v>0</v>
      </c>
      <c r="K111" s="116">
        <f t="shared" ref="K111:K134" si="9">+J111-H111</f>
        <v>0</v>
      </c>
      <c r="L111" s="194">
        <f t="shared" si="5"/>
        <v>106</v>
      </c>
    </row>
    <row r="112" spans="1:12">
      <c r="A112" s="15">
        <v>471</v>
      </c>
      <c r="B112" s="136"/>
      <c r="C112" s="102"/>
      <c r="D112" s="102" t="s">
        <v>170</v>
      </c>
      <c r="E112" s="102"/>
      <c r="F112" s="207"/>
      <c r="G112" s="207"/>
      <c r="H112" s="550">
        <v>0</v>
      </c>
      <c r="J112" s="131">
        <f t="shared" si="8"/>
        <v>0</v>
      </c>
      <c r="K112" s="131">
        <f t="shared" si="9"/>
        <v>0</v>
      </c>
      <c r="L112" s="194">
        <f t="shared" si="5"/>
        <v>107</v>
      </c>
    </row>
    <row r="113" spans="1:12">
      <c r="A113" s="15">
        <v>472</v>
      </c>
      <c r="B113" s="136"/>
      <c r="C113" s="102"/>
      <c r="D113" s="102"/>
      <c r="E113" s="102"/>
      <c r="F113" s="207"/>
      <c r="G113" s="207"/>
      <c r="H113" s="116"/>
      <c r="J113" s="116">
        <f t="shared" si="8"/>
        <v>0</v>
      </c>
      <c r="K113" s="116">
        <f t="shared" si="9"/>
        <v>0</v>
      </c>
      <c r="L113" s="194">
        <f t="shared" si="5"/>
        <v>108</v>
      </c>
    </row>
    <row r="114" spans="1:12">
      <c r="A114" s="15">
        <v>473</v>
      </c>
      <c r="B114" s="136">
        <v>495</v>
      </c>
      <c r="C114" s="102" t="s">
        <v>334</v>
      </c>
      <c r="D114" s="102"/>
      <c r="E114" s="102"/>
      <c r="F114" s="207"/>
      <c r="G114" s="207"/>
      <c r="H114" s="116"/>
      <c r="J114" s="116">
        <f t="shared" si="8"/>
        <v>0</v>
      </c>
      <c r="K114" s="116">
        <f t="shared" si="9"/>
        <v>0</v>
      </c>
      <c r="L114" s="194">
        <f t="shared" si="5"/>
        <v>109</v>
      </c>
    </row>
    <row r="115" spans="1:12">
      <c r="A115" s="15">
        <v>474</v>
      </c>
      <c r="B115" s="136"/>
      <c r="C115" s="102"/>
      <c r="D115" s="102" t="s">
        <v>14</v>
      </c>
      <c r="E115" s="102"/>
      <c r="F115" s="207" t="s">
        <v>559</v>
      </c>
      <c r="G115" s="207"/>
      <c r="H115" s="116">
        <v>-263367.86752480001</v>
      </c>
      <c r="J115" s="116">
        <f t="shared" si="8"/>
        <v>-263367.86752480001</v>
      </c>
      <c r="K115" s="116">
        <f t="shared" si="9"/>
        <v>0</v>
      </c>
      <c r="L115" s="194">
        <f t="shared" si="5"/>
        <v>110</v>
      </c>
    </row>
    <row r="116" spans="1:12">
      <c r="A116" s="15">
        <v>475</v>
      </c>
      <c r="B116" s="136"/>
      <c r="C116" s="102"/>
      <c r="D116" s="102" t="s">
        <v>24</v>
      </c>
      <c r="E116" s="102"/>
      <c r="F116" s="207" t="s">
        <v>560</v>
      </c>
      <c r="G116" s="207"/>
      <c r="H116" s="116">
        <v>-9909.1524752000041</v>
      </c>
      <c r="J116" s="116">
        <f t="shared" si="8"/>
        <v>-9909.1524752000041</v>
      </c>
      <c r="K116" s="116">
        <f t="shared" si="9"/>
        <v>0</v>
      </c>
      <c r="L116" s="194">
        <f t="shared" si="5"/>
        <v>111</v>
      </c>
    </row>
    <row r="117" spans="1:12">
      <c r="A117" s="15">
        <v>476</v>
      </c>
      <c r="B117" s="136"/>
      <c r="C117" s="102"/>
      <c r="D117" s="102" t="s">
        <v>170</v>
      </c>
      <c r="E117" s="102"/>
      <c r="F117" s="207"/>
      <c r="G117" s="207"/>
      <c r="H117" s="550">
        <v>-273277.02</v>
      </c>
      <c r="J117" s="131">
        <f t="shared" si="8"/>
        <v>-273277.02</v>
      </c>
      <c r="K117" s="131">
        <f t="shared" si="9"/>
        <v>0</v>
      </c>
      <c r="L117" s="194">
        <f t="shared" si="5"/>
        <v>112</v>
      </c>
    </row>
    <row r="118" spans="1:12">
      <c r="A118" s="15">
        <v>477</v>
      </c>
      <c r="B118" s="136"/>
      <c r="C118" s="102"/>
      <c r="D118" s="102"/>
      <c r="E118" s="102"/>
      <c r="F118" s="207"/>
      <c r="G118" s="207"/>
      <c r="H118" s="116"/>
      <c r="J118" s="116">
        <f t="shared" si="8"/>
        <v>0</v>
      </c>
      <c r="K118" s="116">
        <f t="shared" si="9"/>
        <v>0</v>
      </c>
      <c r="L118" s="194">
        <f t="shared" si="5"/>
        <v>113</v>
      </c>
    </row>
    <row r="119" spans="1:12">
      <c r="A119" s="15">
        <v>478</v>
      </c>
      <c r="B119" s="136">
        <v>4951</v>
      </c>
      <c r="C119" s="102" t="s">
        <v>335</v>
      </c>
      <c r="D119" s="102"/>
      <c r="E119" s="102"/>
      <c r="F119" s="207"/>
      <c r="G119" s="207"/>
      <c r="H119" s="116"/>
      <c r="J119" s="116">
        <f t="shared" si="8"/>
        <v>0</v>
      </c>
      <c r="K119" s="116">
        <f t="shared" si="9"/>
        <v>0</v>
      </c>
      <c r="L119" s="194">
        <f t="shared" si="5"/>
        <v>114</v>
      </c>
    </row>
    <row r="120" spans="1:12">
      <c r="A120" s="15">
        <v>479</v>
      </c>
      <c r="B120" s="136"/>
      <c r="C120" s="102"/>
      <c r="D120" s="102" t="s">
        <v>14</v>
      </c>
      <c r="E120" s="102"/>
      <c r="F120" s="207" t="s">
        <v>559</v>
      </c>
      <c r="G120" s="207"/>
      <c r="H120" s="116">
        <v>10370524.584048901</v>
      </c>
      <c r="J120" s="116">
        <f t="shared" si="8"/>
        <v>10370524.584048901</v>
      </c>
      <c r="K120" s="116">
        <f t="shared" si="9"/>
        <v>0</v>
      </c>
      <c r="L120" s="194">
        <f t="shared" si="5"/>
        <v>115</v>
      </c>
    </row>
    <row r="121" spans="1:12">
      <c r="A121" s="15">
        <v>480</v>
      </c>
      <c r="B121" s="136"/>
      <c r="C121" s="102"/>
      <c r="D121" s="102" t="s">
        <v>24</v>
      </c>
      <c r="E121" s="102"/>
      <c r="F121" s="207" t="s">
        <v>559</v>
      </c>
      <c r="G121" s="207"/>
      <c r="H121" s="116">
        <v>375650.00595109991</v>
      </c>
      <c r="J121" s="116">
        <f t="shared" si="8"/>
        <v>375650.00595109991</v>
      </c>
      <c r="K121" s="116">
        <f t="shared" si="9"/>
        <v>0</v>
      </c>
      <c r="L121" s="194">
        <f t="shared" si="5"/>
        <v>116</v>
      </c>
    </row>
    <row r="122" spans="1:12">
      <c r="A122" s="15">
        <v>481</v>
      </c>
      <c r="B122" s="136"/>
      <c r="C122" s="102"/>
      <c r="D122" s="102" t="s">
        <v>170</v>
      </c>
      <c r="E122" s="102"/>
      <c r="F122" s="207"/>
      <c r="G122" s="207"/>
      <c r="H122" s="550">
        <v>10746174.590000002</v>
      </c>
      <c r="J122" s="131">
        <f t="shared" si="8"/>
        <v>10746174.590000002</v>
      </c>
      <c r="K122" s="131">
        <f t="shared" si="9"/>
        <v>0</v>
      </c>
      <c r="L122" s="194">
        <f t="shared" si="5"/>
        <v>117</v>
      </c>
    </row>
    <row r="123" spans="1:12">
      <c r="A123" s="15">
        <v>482</v>
      </c>
      <c r="B123" s="136"/>
      <c r="C123" s="102"/>
      <c r="D123" s="102"/>
      <c r="E123" s="102"/>
      <c r="F123" s="207"/>
      <c r="G123" s="207"/>
      <c r="H123" s="116"/>
      <c r="J123" s="116">
        <f t="shared" si="8"/>
        <v>0</v>
      </c>
      <c r="K123" s="116">
        <f t="shared" si="9"/>
        <v>0</v>
      </c>
      <c r="L123" s="194">
        <f t="shared" si="5"/>
        <v>118</v>
      </c>
    </row>
    <row r="124" spans="1:12">
      <c r="A124" s="15">
        <v>483</v>
      </c>
      <c r="B124" s="136">
        <v>4952</v>
      </c>
      <c r="C124" s="102" t="s">
        <v>336</v>
      </c>
      <c r="D124" s="102"/>
      <c r="E124" s="102"/>
      <c r="F124" s="207"/>
      <c r="G124" s="207"/>
      <c r="H124" s="116"/>
      <c r="J124" s="116">
        <f t="shared" si="8"/>
        <v>0</v>
      </c>
      <c r="K124" s="116">
        <f t="shared" si="9"/>
        <v>0</v>
      </c>
      <c r="L124" s="194">
        <f t="shared" si="5"/>
        <v>119</v>
      </c>
    </row>
    <row r="125" spans="1:12">
      <c r="A125" s="15">
        <v>484</v>
      </c>
      <c r="B125" s="136"/>
      <c r="C125" s="102"/>
      <c r="D125" s="102" t="s">
        <v>14</v>
      </c>
      <c r="E125" s="102"/>
      <c r="F125" s="207" t="s">
        <v>559</v>
      </c>
      <c r="G125" s="207"/>
      <c r="H125" s="116">
        <v>118657.68864000001</v>
      </c>
      <c r="J125" s="116">
        <f t="shared" si="8"/>
        <v>118657.68864000001</v>
      </c>
      <c r="K125" s="116">
        <f t="shared" si="9"/>
        <v>0</v>
      </c>
      <c r="L125" s="194">
        <f t="shared" si="5"/>
        <v>120</v>
      </c>
    </row>
    <row r="126" spans="1:12">
      <c r="A126" s="15">
        <v>485</v>
      </c>
      <c r="B126" s="136"/>
      <c r="C126" s="102"/>
      <c r="D126" s="102" t="s">
        <v>24</v>
      </c>
      <c r="E126" s="102"/>
      <c r="F126" s="207" t="s">
        <v>559</v>
      </c>
      <c r="G126" s="207"/>
      <c r="H126" s="116">
        <v>4187.3113599999997</v>
      </c>
      <c r="J126" s="116">
        <f t="shared" si="8"/>
        <v>4187.3113599999997</v>
      </c>
      <c r="K126" s="116">
        <f t="shared" si="9"/>
        <v>0</v>
      </c>
      <c r="L126" s="194">
        <f t="shared" si="5"/>
        <v>121</v>
      </c>
    </row>
    <row r="127" spans="1:12">
      <c r="A127" s="15">
        <v>486</v>
      </c>
      <c r="B127" s="136"/>
      <c r="C127" s="102"/>
      <c r="D127" s="102" t="s">
        <v>170</v>
      </c>
      <c r="E127" s="102"/>
      <c r="F127" s="207"/>
      <c r="G127" s="207"/>
      <c r="H127" s="550">
        <v>122845</v>
      </c>
      <c r="J127" s="131">
        <f t="shared" si="8"/>
        <v>122845</v>
      </c>
      <c r="K127" s="131">
        <f t="shared" si="9"/>
        <v>0</v>
      </c>
      <c r="L127" s="194">
        <f t="shared" si="5"/>
        <v>122</v>
      </c>
    </row>
    <row r="128" spans="1:12">
      <c r="A128" s="15">
        <v>487</v>
      </c>
      <c r="B128" s="136"/>
      <c r="C128" s="102"/>
      <c r="D128" s="102"/>
      <c r="E128" s="102"/>
      <c r="F128" s="207"/>
      <c r="G128" s="207"/>
      <c r="H128" s="116"/>
      <c r="J128" s="116">
        <f t="shared" si="8"/>
        <v>0</v>
      </c>
      <c r="K128" s="116">
        <f t="shared" si="9"/>
        <v>0</v>
      </c>
      <c r="L128" s="194">
        <f t="shared" si="5"/>
        <v>123</v>
      </c>
    </row>
    <row r="129" spans="1:12">
      <c r="A129" s="15">
        <v>488</v>
      </c>
      <c r="B129" s="136">
        <v>4974</v>
      </c>
      <c r="C129" s="102" t="s">
        <v>340</v>
      </c>
      <c r="D129" s="102"/>
      <c r="E129" s="102"/>
      <c r="F129" s="207"/>
      <c r="G129" s="207"/>
      <c r="H129" s="116"/>
      <c r="J129" s="116">
        <f t="shared" si="8"/>
        <v>0</v>
      </c>
      <c r="K129" s="116">
        <f t="shared" si="9"/>
        <v>0</v>
      </c>
      <c r="L129" s="194">
        <f t="shared" si="5"/>
        <v>124</v>
      </c>
    </row>
    <row r="130" spans="1:12">
      <c r="A130" s="15">
        <v>489</v>
      </c>
      <c r="B130" s="227"/>
      <c r="C130" s="102"/>
      <c r="D130" s="102" t="s">
        <v>14</v>
      </c>
      <c r="E130" s="102"/>
      <c r="F130" s="207" t="s">
        <v>560</v>
      </c>
      <c r="G130" s="207"/>
      <c r="H130" s="116">
        <v>0</v>
      </c>
      <c r="J130" s="116">
        <f t="shared" si="8"/>
        <v>0</v>
      </c>
      <c r="K130" s="116">
        <f t="shared" si="9"/>
        <v>0</v>
      </c>
      <c r="L130" s="194">
        <f t="shared" si="5"/>
        <v>125</v>
      </c>
    </row>
    <row r="131" spans="1:12">
      <c r="A131" s="15">
        <v>490</v>
      </c>
      <c r="B131" s="227"/>
      <c r="C131" s="102"/>
      <c r="D131" s="102" t="s">
        <v>24</v>
      </c>
      <c r="E131" s="102"/>
      <c r="F131" s="207" t="s">
        <v>560</v>
      </c>
      <c r="G131" s="207"/>
      <c r="H131" s="116">
        <v>0</v>
      </c>
      <c r="J131" s="116">
        <f t="shared" si="8"/>
        <v>0</v>
      </c>
      <c r="K131" s="116">
        <f t="shared" si="9"/>
        <v>0</v>
      </c>
      <c r="L131" s="194">
        <f t="shared" ref="L131:L148" si="10">+L130+1</f>
        <v>126</v>
      </c>
    </row>
    <row r="132" spans="1:12">
      <c r="A132" s="15">
        <v>491</v>
      </c>
      <c r="B132" s="227"/>
      <c r="C132" s="102"/>
      <c r="D132" s="102" t="s">
        <v>170</v>
      </c>
      <c r="E132" s="102"/>
      <c r="F132" s="102"/>
      <c r="G132" s="102"/>
      <c r="H132" s="550">
        <v>0</v>
      </c>
      <c r="J132" s="131">
        <f t="shared" si="8"/>
        <v>0</v>
      </c>
      <c r="K132" s="131">
        <f t="shared" si="9"/>
        <v>0</v>
      </c>
      <c r="L132" s="194">
        <f t="shared" si="10"/>
        <v>127</v>
      </c>
    </row>
    <row r="133" spans="1:12" ht="13.5" thickBot="1">
      <c r="A133" s="15">
        <v>492</v>
      </c>
      <c r="B133" s="227"/>
      <c r="C133" s="102"/>
      <c r="D133" s="102"/>
      <c r="E133" s="102"/>
      <c r="F133" s="102"/>
      <c r="G133" s="102"/>
      <c r="H133" s="235"/>
      <c r="J133" s="235">
        <f t="shared" si="8"/>
        <v>0</v>
      </c>
      <c r="K133" s="235">
        <f t="shared" si="9"/>
        <v>0</v>
      </c>
      <c r="L133" s="194">
        <f t="shared" si="10"/>
        <v>128</v>
      </c>
    </row>
    <row r="134" spans="1:12" ht="13.5" thickTop="1">
      <c r="A134" s="15">
        <v>493</v>
      </c>
      <c r="B134" s="36" t="s">
        <v>549</v>
      </c>
      <c r="C134" s="102"/>
      <c r="D134" s="102"/>
      <c r="E134" s="102"/>
      <c r="F134" s="102"/>
      <c r="G134" s="102"/>
      <c r="H134" s="116">
        <v>0</v>
      </c>
      <c r="J134" s="116">
        <f t="shared" si="8"/>
        <v>0</v>
      </c>
      <c r="K134" s="116">
        <f t="shared" si="9"/>
        <v>0</v>
      </c>
      <c r="L134" s="194">
        <f t="shared" si="10"/>
        <v>129</v>
      </c>
    </row>
    <row r="135" spans="1:12">
      <c r="A135" s="15">
        <v>494</v>
      </c>
      <c r="B135" s="227"/>
      <c r="C135" s="14" t="s">
        <v>552</v>
      </c>
      <c r="D135" s="102"/>
      <c r="E135" s="102"/>
      <c r="F135" s="102"/>
      <c r="G135" s="102"/>
      <c r="H135" s="116"/>
      <c r="J135" s="116">
        <f t="shared" si="8"/>
        <v>0</v>
      </c>
      <c r="K135" s="116"/>
      <c r="L135" s="194">
        <f t="shared" si="10"/>
        <v>130</v>
      </c>
    </row>
    <row r="136" spans="1:12">
      <c r="A136" s="15">
        <v>495</v>
      </c>
      <c r="B136" s="227"/>
      <c r="C136" s="102"/>
      <c r="D136" s="102" t="s">
        <v>553</v>
      </c>
      <c r="E136" s="102"/>
      <c r="F136" s="102"/>
      <c r="G136" s="102"/>
      <c r="H136" s="116">
        <v>19172138.340773702</v>
      </c>
      <c r="J136" s="116">
        <f t="shared" si="8"/>
        <v>19172138.340773702</v>
      </c>
      <c r="K136" s="116">
        <f>+J136-H136</f>
        <v>0</v>
      </c>
      <c r="L136" s="194">
        <f t="shared" si="10"/>
        <v>131</v>
      </c>
    </row>
    <row r="137" spans="1:12">
      <c r="A137" s="15">
        <v>496</v>
      </c>
      <c r="B137" s="227"/>
      <c r="C137" s="102"/>
      <c r="D137" s="102" t="s">
        <v>554</v>
      </c>
      <c r="E137" s="102"/>
      <c r="F137" s="102"/>
      <c r="G137" s="102"/>
      <c r="H137" s="117">
        <v>4697009.42</v>
      </c>
      <c r="J137" s="117">
        <f t="shared" si="8"/>
        <v>4697009.42</v>
      </c>
      <c r="K137" s="117">
        <f>+J137-H137</f>
        <v>0</v>
      </c>
      <c r="L137" s="194">
        <f t="shared" si="10"/>
        <v>132</v>
      </c>
    </row>
    <row r="138" spans="1:12">
      <c r="A138" s="15">
        <v>497</v>
      </c>
      <c r="B138" s="227"/>
      <c r="C138" s="102"/>
      <c r="D138" s="14" t="s">
        <v>555</v>
      </c>
      <c r="E138" s="102"/>
      <c r="F138" s="102"/>
      <c r="G138" s="102"/>
      <c r="H138" s="1061">
        <v>23869147.760773696</v>
      </c>
      <c r="J138" s="131">
        <f t="shared" si="8"/>
        <v>23869147.760773696</v>
      </c>
      <c r="K138" s="131">
        <f>+J138-H138</f>
        <v>0</v>
      </c>
      <c r="L138" s="194">
        <f t="shared" si="10"/>
        <v>133</v>
      </c>
    </row>
    <row r="139" spans="1:12">
      <c r="A139" s="15">
        <v>498</v>
      </c>
      <c r="B139" s="227"/>
      <c r="C139" s="14" t="s">
        <v>556</v>
      </c>
      <c r="D139" s="102"/>
      <c r="E139" s="102"/>
      <c r="F139" s="102"/>
      <c r="G139" s="102"/>
      <c r="H139" s="1062"/>
      <c r="J139" s="239">
        <f t="shared" si="8"/>
        <v>0</v>
      </c>
      <c r="K139" s="239"/>
      <c r="L139" s="194">
        <f t="shared" si="10"/>
        <v>134</v>
      </c>
    </row>
    <row r="140" spans="1:12">
      <c r="A140" s="15">
        <v>499</v>
      </c>
      <c r="B140" s="227"/>
      <c r="C140" s="102"/>
      <c r="D140" s="102" t="s">
        <v>553</v>
      </c>
      <c r="E140" s="102"/>
      <c r="F140" s="102"/>
      <c r="G140" s="102"/>
      <c r="H140" s="117">
        <v>693513.06170149997</v>
      </c>
      <c r="J140" s="117">
        <f t="shared" si="8"/>
        <v>693513.06170149997</v>
      </c>
      <c r="K140" s="117">
        <f>+J140-H140</f>
        <v>0</v>
      </c>
      <c r="L140" s="194">
        <f t="shared" si="10"/>
        <v>135</v>
      </c>
    </row>
    <row r="141" spans="1:12">
      <c r="A141" s="15">
        <v>500</v>
      </c>
      <c r="B141" s="227"/>
      <c r="C141" s="102"/>
      <c r="D141" s="102" t="s">
        <v>554</v>
      </c>
      <c r="E141" s="102"/>
      <c r="F141" s="102"/>
      <c r="G141" s="102"/>
      <c r="H141" s="117">
        <v>107530.9575248</v>
      </c>
      <c r="J141" s="117">
        <f t="shared" si="8"/>
        <v>107530.9575248</v>
      </c>
      <c r="K141" s="117">
        <f>+J141-H141</f>
        <v>0</v>
      </c>
      <c r="L141" s="194">
        <f t="shared" si="10"/>
        <v>136</v>
      </c>
    </row>
    <row r="142" spans="1:12">
      <c r="A142" s="15">
        <v>501</v>
      </c>
      <c r="B142" s="227"/>
      <c r="C142" s="102"/>
      <c r="D142" s="14" t="s">
        <v>557</v>
      </c>
      <c r="E142" s="102"/>
      <c r="F142" s="102"/>
      <c r="G142" s="102"/>
      <c r="H142" s="1061">
        <v>801044.01922630006</v>
      </c>
      <c r="J142" s="131">
        <f t="shared" si="8"/>
        <v>801044.01922630006</v>
      </c>
      <c r="K142" s="131">
        <f>+J142-H142</f>
        <v>0</v>
      </c>
      <c r="L142" s="194">
        <f t="shared" si="10"/>
        <v>137</v>
      </c>
    </row>
    <row r="143" spans="1:12" ht="13.5" thickBot="1">
      <c r="A143" s="15">
        <v>502</v>
      </c>
      <c r="B143" s="227"/>
      <c r="C143" s="102"/>
      <c r="D143" s="102"/>
      <c r="E143" s="102"/>
      <c r="F143" s="102"/>
      <c r="G143" s="102"/>
      <c r="H143" s="1063"/>
      <c r="J143" s="236">
        <f t="shared" si="8"/>
        <v>0</v>
      </c>
      <c r="K143" s="236"/>
      <c r="L143" s="194">
        <f t="shared" si="10"/>
        <v>138</v>
      </c>
    </row>
    <row r="144" spans="1:12">
      <c r="A144" s="15">
        <v>503</v>
      </c>
      <c r="B144" s="227"/>
      <c r="C144" s="49" t="s">
        <v>558</v>
      </c>
      <c r="D144" s="102"/>
      <c r="E144" s="102"/>
      <c r="F144" s="102"/>
      <c r="G144" s="102"/>
      <c r="H144" s="1064">
        <v>24670191.780000001</v>
      </c>
      <c r="J144" s="116">
        <f t="shared" si="8"/>
        <v>24670191.780000001</v>
      </c>
      <c r="K144" s="116">
        <f>+J144-H144</f>
        <v>0</v>
      </c>
      <c r="L144" s="194">
        <f t="shared" si="10"/>
        <v>139</v>
      </c>
    </row>
    <row r="145" spans="3:12">
      <c r="J145" s="116"/>
      <c r="K145" s="116"/>
      <c r="L145" s="194">
        <f t="shared" si="10"/>
        <v>140</v>
      </c>
    </row>
    <row r="146" spans="3:12">
      <c r="C146" s="49" t="s">
        <v>492</v>
      </c>
      <c r="H146" s="3">
        <v>4804540.3775247997</v>
      </c>
      <c r="J146" s="3">
        <f>+J137+J141</f>
        <v>4804540.3775247997</v>
      </c>
      <c r="K146" s="3">
        <f>+K137+K141</f>
        <v>0</v>
      </c>
      <c r="L146" s="194">
        <f t="shared" si="10"/>
        <v>141</v>
      </c>
    </row>
    <row r="147" spans="3:12">
      <c r="L147" s="194">
        <f t="shared" si="10"/>
        <v>142</v>
      </c>
    </row>
    <row r="148" spans="3:12">
      <c r="L148" s="194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54" fitToWidth="2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CY49"/>
  <sheetViews>
    <sheetView zoomScaleNormal="100" workbookViewId="0">
      <selection activeCell="D8" sqref="D8"/>
    </sheetView>
  </sheetViews>
  <sheetFormatPr defaultRowHeight="12.75"/>
  <cols>
    <col min="1" max="1" width="9.140625" style="15"/>
    <col min="2" max="2" width="47.140625" style="15" customWidth="1"/>
    <col min="3" max="3" width="14.85546875" style="15" customWidth="1"/>
    <col min="4" max="4" width="15.42578125" style="15" customWidth="1"/>
    <col min="5" max="5" width="16.7109375" style="15" customWidth="1"/>
    <col min="6" max="6" width="3.140625" style="15" customWidth="1"/>
    <col min="7" max="7" width="13.28515625" style="15" customWidth="1"/>
    <col min="8" max="8" width="9.140625" style="15" customWidth="1"/>
    <col min="9" max="9" width="3" style="15" bestFit="1" customWidth="1"/>
    <col min="10" max="14" width="13.85546875" style="15" customWidth="1"/>
    <col min="15" max="15" width="21.5703125" style="15" customWidth="1"/>
    <col min="16" max="16" width="21" style="15" customWidth="1"/>
    <col min="17" max="17" width="16.85546875" style="15" customWidth="1"/>
    <col min="18" max="18" width="15.28515625" style="15" bestFit="1" customWidth="1"/>
    <col min="19" max="19" width="13.85546875" style="15" customWidth="1"/>
    <col min="20" max="21" width="9.140625" style="15"/>
    <col min="22" max="22" width="16.5703125" style="15" customWidth="1"/>
    <col min="23" max="23" width="10.140625" style="15" bestFit="1" customWidth="1"/>
    <col min="24" max="24" width="59.5703125" style="15" customWidth="1"/>
    <col min="25" max="25" width="18" style="15" customWidth="1"/>
    <col min="26" max="26" width="16" style="15" customWidth="1"/>
    <col min="27" max="27" width="15" style="15" bestFit="1" customWidth="1"/>
    <col min="28" max="28" width="16.140625" style="15" customWidth="1"/>
    <col min="29" max="29" width="18" style="15" bestFit="1" customWidth="1"/>
    <col min="30" max="30" width="16.140625" style="15" customWidth="1"/>
    <col min="31" max="31" width="15.5703125" style="15" bestFit="1" customWidth="1"/>
    <col min="32" max="32" width="15.28515625" style="15" customWidth="1"/>
    <col min="33" max="33" width="13.85546875" style="15" customWidth="1"/>
    <col min="34" max="16384" width="9.140625" style="15"/>
  </cols>
  <sheetData>
    <row r="1" spans="2:103">
      <c r="B1" s="108" t="s">
        <v>164</v>
      </c>
      <c r="J1" s="108" t="s">
        <v>164</v>
      </c>
    </row>
    <row r="2" spans="2:103">
      <c r="B2" s="578" t="str">
        <f>'Control Panel'!$B$2</f>
        <v>Utah - DEC 2019 Adjusted Avg  Results</v>
      </c>
      <c r="J2" s="578" t="str">
        <f>'Control Panel'!$B$2</f>
        <v>Utah - DEC 2019 Adjusted Avg  Results</v>
      </c>
    </row>
    <row r="3" spans="2:103">
      <c r="B3" s="578" t="str">
        <f>'Control Panel'!$B$3</f>
        <v>12 Months Ended : Dec-2019</v>
      </c>
      <c r="J3" s="578" t="str">
        <f>'Control Panel'!$B$3</f>
        <v>12 Months Ended : Dec-2019</v>
      </c>
    </row>
    <row r="4" spans="2:103" ht="18" customHeight="1">
      <c r="B4" s="578" t="str">
        <f>'Control Panel'!$B$4</f>
        <v>Capital Structure : ORDERED CAP STR 13-057-05</v>
      </c>
      <c r="G4" s="15" t="s">
        <v>768</v>
      </c>
      <c r="J4" s="578" t="str">
        <f>'Control Panel'!$B$4</f>
        <v>Capital Structure : ORDERED CAP STR 13-057-05</v>
      </c>
    </row>
    <row r="5" spans="2:103" s="648" customFormat="1" ht="26.25" thickBot="1">
      <c r="C5" s="139" t="str">
        <f>"Utah Bad Debt "&amp;Q33</f>
        <v>Utah Bad Debt 2017</v>
      </c>
      <c r="D5" s="139" t="str">
        <f>"Utah Bad Debt "&amp;R33</f>
        <v>Utah Bad Debt 2018</v>
      </c>
      <c r="E5" s="139" t="str">
        <f>"Utah Bad Debt "&amp;S33</f>
        <v>Utah Bad Debt 2019</v>
      </c>
      <c r="F5" s="139"/>
      <c r="G5" s="139" t="str">
        <f>+'Control Panel'!B33</f>
        <v>Utah Bad Debt 2019</v>
      </c>
      <c r="H5" s="648">
        <v>1</v>
      </c>
      <c r="J5" s="161"/>
      <c r="M5" s="206" t="s">
        <v>796</v>
      </c>
      <c r="N5" s="15"/>
      <c r="O5" s="206" t="s">
        <v>797</v>
      </c>
      <c r="P5" s="206" t="s">
        <v>798</v>
      </c>
      <c r="Q5" s="206" t="s">
        <v>799</v>
      </c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</row>
    <row r="6" spans="2:103">
      <c r="C6" s="50"/>
      <c r="D6" s="50"/>
      <c r="E6" s="50"/>
      <c r="F6" s="50"/>
      <c r="G6" s="50"/>
      <c r="H6" s="15">
        <f>+H5+1</f>
        <v>2</v>
      </c>
      <c r="M6" s="50">
        <f>'Control Panel'!H12</f>
        <v>43100</v>
      </c>
      <c r="O6" s="50">
        <f>M6+365</f>
        <v>43465</v>
      </c>
      <c r="P6" s="50">
        <f>O6+365</f>
        <v>43830</v>
      </c>
    </row>
    <row r="7" spans="2:103">
      <c r="H7" s="15">
        <f t="shared" ref="H7:H42" si="0">+H6+1</f>
        <v>3</v>
      </c>
      <c r="M7" s="574" t="s">
        <v>190</v>
      </c>
      <c r="O7" s="1231" t="s">
        <v>190</v>
      </c>
      <c r="P7" s="1231" t="s">
        <v>190</v>
      </c>
    </row>
    <row r="8" spans="2:103">
      <c r="C8" s="574" t="s">
        <v>191</v>
      </c>
      <c r="D8" s="1231" t="s">
        <v>191</v>
      </c>
      <c r="E8" s="1231" t="s">
        <v>191</v>
      </c>
      <c r="F8" s="574"/>
      <c r="G8" s="574"/>
      <c r="H8" s="15">
        <f t="shared" si="0"/>
        <v>4</v>
      </c>
      <c r="M8" s="574" t="s">
        <v>191</v>
      </c>
      <c r="O8" s="1231" t="s">
        <v>191</v>
      </c>
      <c r="P8" s="1231" t="s">
        <v>191</v>
      </c>
    </row>
    <row r="9" spans="2:103">
      <c r="C9" s="574" t="s">
        <v>192</v>
      </c>
      <c r="D9" s="1231" t="s">
        <v>192</v>
      </c>
      <c r="E9" s="1231" t="s">
        <v>192</v>
      </c>
      <c r="F9" s="574"/>
      <c r="G9" s="574"/>
      <c r="H9" s="15">
        <f t="shared" si="0"/>
        <v>5</v>
      </c>
      <c r="M9" s="574" t="s">
        <v>192</v>
      </c>
      <c r="O9" s="1231" t="s">
        <v>192</v>
      </c>
      <c r="P9" s="1231" t="s">
        <v>192</v>
      </c>
    </row>
    <row r="10" spans="2:103">
      <c r="C10" s="574" t="s">
        <v>42</v>
      </c>
      <c r="D10" s="1231" t="s">
        <v>42</v>
      </c>
      <c r="E10" s="1231" t="s">
        <v>42</v>
      </c>
      <c r="F10" s="574"/>
      <c r="G10" s="574"/>
      <c r="H10" s="15">
        <f t="shared" si="0"/>
        <v>6</v>
      </c>
      <c r="M10" s="574" t="s">
        <v>42</v>
      </c>
      <c r="O10" s="1231" t="s">
        <v>42</v>
      </c>
      <c r="P10" s="1231" t="s">
        <v>42</v>
      </c>
    </row>
    <row r="11" spans="2:103">
      <c r="B11" s="102"/>
      <c r="H11" s="15">
        <f t="shared" si="0"/>
        <v>7</v>
      </c>
      <c r="J11" s="136">
        <v>904</v>
      </c>
      <c r="K11" s="102" t="s">
        <v>407</v>
      </c>
      <c r="L11" s="102"/>
      <c r="P11" s="116"/>
    </row>
    <row r="12" spans="2:103">
      <c r="B12" s="102" t="s">
        <v>14</v>
      </c>
      <c r="C12" s="186">
        <f>$Q$44</f>
        <v>91049.368103791145</v>
      </c>
      <c r="D12" s="186">
        <f>R44</f>
        <v>122104.46332058846</v>
      </c>
      <c r="E12" s="186">
        <f>S44</f>
        <v>92396.929226375534</v>
      </c>
      <c r="F12" s="186"/>
      <c r="G12" s="186">
        <f>HLOOKUP($G$5,BadDebtScenario,H12,FALSE)</f>
        <v>92396.929226375534</v>
      </c>
      <c r="H12" s="15">
        <f t="shared" si="0"/>
        <v>8</v>
      </c>
      <c r="J12" s="250"/>
      <c r="K12" s="102"/>
      <c r="L12" s="102" t="s">
        <v>14</v>
      </c>
      <c r="M12" s="186">
        <f>+Q44</f>
        <v>91049.368103791145</v>
      </c>
      <c r="O12" s="186">
        <f>R44</f>
        <v>122104.46332058846</v>
      </c>
      <c r="P12" s="186">
        <f>S44</f>
        <v>92396.929226375534</v>
      </c>
    </row>
    <row r="13" spans="2:103" ht="13.5" thickBot="1">
      <c r="B13" s="102" t="s">
        <v>24</v>
      </c>
      <c r="C13" s="889">
        <f>$Q$45</f>
        <v>-37425.575731088218</v>
      </c>
      <c r="D13" s="889">
        <f>R45</f>
        <v>-63801.19999999999</v>
      </c>
      <c r="E13" s="889">
        <f>S45</f>
        <v>-63801.19999999999</v>
      </c>
      <c r="F13" s="889"/>
      <c r="G13" s="889">
        <f>HLOOKUP($G$5,BadDebtScenario,H13,FALSE)</f>
        <v>-63801.19999999999</v>
      </c>
      <c r="H13" s="15">
        <f t="shared" si="0"/>
        <v>9</v>
      </c>
      <c r="J13" s="250"/>
      <c r="K13" s="102"/>
      <c r="L13" s="102" t="s">
        <v>24</v>
      </c>
      <c r="M13" s="889">
        <f>+Q45</f>
        <v>-37425.575731088218</v>
      </c>
      <c r="O13" s="889">
        <f>R45</f>
        <v>-63801.19999999999</v>
      </c>
      <c r="P13" s="889">
        <f>S45</f>
        <v>-63801.19999999999</v>
      </c>
    </row>
    <row r="14" spans="2:103" ht="13.5" thickTop="1">
      <c r="B14" s="102" t="s">
        <v>170</v>
      </c>
      <c r="C14" s="116">
        <f>SUM(C12:C13)</f>
        <v>53623.792372702927</v>
      </c>
      <c r="D14" s="116">
        <f t="shared" ref="D14:E14" si="1">SUM(D12:D13)</f>
        <v>58303.26332058847</v>
      </c>
      <c r="E14" s="116">
        <f t="shared" si="1"/>
        <v>28595.729226375544</v>
      </c>
      <c r="F14" s="116"/>
      <c r="G14" s="116">
        <f>SUM(G12:G13)</f>
        <v>28595.729226375544</v>
      </c>
      <c r="H14" s="15">
        <f t="shared" si="0"/>
        <v>10</v>
      </c>
      <c r="J14" s="250"/>
      <c r="K14" s="102"/>
      <c r="L14" s="102" t="s">
        <v>170</v>
      </c>
      <c r="M14" s="116">
        <f>SUM(M12:M13)</f>
        <v>53623.792372702927</v>
      </c>
      <c r="O14" s="116">
        <f>SUM(O12:O13)</f>
        <v>58303.26332058847</v>
      </c>
      <c r="P14" s="116">
        <f>SUM(P12:P13)</f>
        <v>28595.729226375544</v>
      </c>
    </row>
    <row r="15" spans="2:103">
      <c r="H15" s="15">
        <f t="shared" si="0"/>
        <v>11</v>
      </c>
      <c r="J15" s="250"/>
      <c r="K15" s="102"/>
      <c r="L15" s="102"/>
      <c r="P15" s="116"/>
    </row>
    <row r="16" spans="2:103" ht="13.5" thickBot="1">
      <c r="H16" s="15">
        <f t="shared" si="0"/>
        <v>12</v>
      </c>
    </row>
    <row r="17" spans="1:20" ht="25.5" customHeight="1" thickBot="1">
      <c r="B17" s="864" t="s">
        <v>894</v>
      </c>
      <c r="C17" s="101">
        <f>$R$31</f>
        <v>2.0388824180169176E-3</v>
      </c>
      <c r="D17" s="101">
        <f t="shared" ref="D17:E17" si="2">$R$31</f>
        <v>2.0388824180169176E-3</v>
      </c>
      <c r="E17" s="101">
        <f t="shared" si="2"/>
        <v>2.0388824180169176E-3</v>
      </c>
      <c r="F17" s="101"/>
      <c r="G17" s="101">
        <f>HLOOKUP($G$5,BadDebtScenario,H17,FALSE)</f>
        <v>2.0388824180169176E-3</v>
      </c>
      <c r="H17" s="15">
        <f>+H16+1</f>
        <v>13</v>
      </c>
      <c r="J17" s="890" t="s">
        <v>396</v>
      </c>
      <c r="K17" s="663"/>
      <c r="L17" s="663"/>
      <c r="M17" s="663"/>
      <c r="N17" s="663"/>
      <c r="O17" s="891" t="s">
        <v>773</v>
      </c>
      <c r="P17" s="891" t="s">
        <v>773</v>
      </c>
      <c r="Q17" s="891" t="s">
        <v>773</v>
      </c>
      <c r="R17" s="288"/>
    </row>
    <row r="18" spans="1:20">
      <c r="H18" s="15">
        <f t="shared" si="0"/>
        <v>14</v>
      </c>
      <c r="J18" s="890" t="s">
        <v>510</v>
      </c>
      <c r="K18" s="663"/>
      <c r="L18" s="663"/>
      <c r="M18" s="663"/>
      <c r="N18" s="663"/>
      <c r="O18" s="891">
        <v>2015</v>
      </c>
      <c r="P18" s="891">
        <v>2016</v>
      </c>
      <c r="Q18" s="891">
        <v>2017</v>
      </c>
      <c r="R18" s="288" t="s">
        <v>772</v>
      </c>
    </row>
    <row r="19" spans="1:20">
      <c r="H19" s="15">
        <f t="shared" si="0"/>
        <v>15</v>
      </c>
      <c r="J19" s="694"/>
      <c r="K19" s="194"/>
      <c r="L19" s="194"/>
      <c r="M19" s="194"/>
      <c r="N19" s="194"/>
      <c r="O19" s="194"/>
      <c r="R19" s="668"/>
    </row>
    <row r="20" spans="1:20" ht="13.5" thickBot="1">
      <c r="A20" s="224" t="s">
        <v>876</v>
      </c>
      <c r="B20" s="224"/>
      <c r="C20" s="224"/>
      <c r="D20" s="224"/>
      <c r="E20" s="224"/>
      <c r="F20" s="224"/>
      <c r="G20" s="224"/>
      <c r="H20" s="15">
        <f t="shared" si="0"/>
        <v>16</v>
      </c>
      <c r="J20" s="694"/>
      <c r="K20" s="194"/>
      <c r="L20" s="194"/>
      <c r="M20" s="194"/>
      <c r="N20" s="194"/>
      <c r="O20" s="194"/>
      <c r="R20" s="668"/>
    </row>
    <row r="21" spans="1:20">
      <c r="B21" s="892"/>
      <c r="C21" s="106"/>
      <c r="D21" s="106"/>
      <c r="E21" s="106"/>
      <c r="F21" s="106"/>
      <c r="G21" s="106"/>
      <c r="H21" s="15">
        <f>+H20+1</f>
        <v>17</v>
      </c>
      <c r="J21" s="694"/>
      <c r="K21" s="194"/>
      <c r="L21" s="194"/>
      <c r="M21" s="194"/>
      <c r="N21" s="194"/>
      <c r="O21" s="194"/>
      <c r="R21" s="668"/>
    </row>
    <row r="22" spans="1:20">
      <c r="C22" s="15" t="s">
        <v>102</v>
      </c>
      <c r="D22" s="15" t="s">
        <v>102</v>
      </c>
      <c r="E22" s="15" t="s">
        <v>102</v>
      </c>
      <c r="G22" s="15" t="s">
        <v>102</v>
      </c>
      <c r="H22" s="15">
        <f t="shared" si="0"/>
        <v>18</v>
      </c>
      <c r="I22" s="15">
        <v>1</v>
      </c>
      <c r="J22" s="893" t="s">
        <v>507</v>
      </c>
      <c r="K22" s="610"/>
      <c r="L22" s="194"/>
      <c r="M22" s="194"/>
      <c r="N22" s="116"/>
      <c r="O22" s="186">
        <v>3638318.4900000007</v>
      </c>
      <c r="P22" s="282">
        <v>3798537.9899999993</v>
      </c>
      <c r="Q22" s="282">
        <v>3316135.7399999998</v>
      </c>
      <c r="R22" s="298">
        <f>AVERAGE(O22:Q22)</f>
        <v>3584330.74</v>
      </c>
    </row>
    <row r="23" spans="1:20" ht="13.5" thickBot="1">
      <c r="A23" s="193">
        <v>904.1</v>
      </c>
      <c r="B23" s="106" t="s">
        <v>407</v>
      </c>
      <c r="H23" s="15">
        <f t="shared" si="0"/>
        <v>19</v>
      </c>
      <c r="I23" s="15">
        <f>I22+1</f>
        <v>2</v>
      </c>
      <c r="J23" s="893" t="s">
        <v>508</v>
      </c>
      <c r="K23" s="271"/>
      <c r="L23" s="194"/>
      <c r="M23" s="194"/>
      <c r="N23" s="116"/>
      <c r="O23" s="202">
        <v>-1856811.4200000002</v>
      </c>
      <c r="P23" s="202">
        <v>-1689277.55</v>
      </c>
      <c r="Q23" s="202">
        <v>-1683522.24</v>
      </c>
      <c r="R23" s="819">
        <f>AVERAGE(O23:Q23)</f>
        <v>-1743203.7366666666</v>
      </c>
    </row>
    <row r="24" spans="1:20">
      <c r="B24" s="106" t="s">
        <v>14</v>
      </c>
      <c r="C24" s="30">
        <f>-EXPENSES!$K$279</f>
        <v>-212317.07000000004</v>
      </c>
      <c r="D24" s="30">
        <f>-EXPENSES!$K$279</f>
        <v>-212317.07000000004</v>
      </c>
      <c r="E24" s="30">
        <f>-EXPENSES!$K$279</f>
        <v>-212317.07000000004</v>
      </c>
      <c r="F24" s="30"/>
      <c r="G24" s="30">
        <f>HLOOKUP($G$5,BadDebtScenario,H24,FALSE)</f>
        <v>-212317.07000000004</v>
      </c>
      <c r="H24" s="15">
        <f t="shared" si="0"/>
        <v>20</v>
      </c>
      <c r="I24" s="15">
        <f t="shared" ref="I24:I47" si="3">I23+1</f>
        <v>3</v>
      </c>
      <c r="J24" s="893" t="s">
        <v>163</v>
      </c>
      <c r="K24" s="194"/>
      <c r="L24" s="194"/>
      <c r="M24" s="194"/>
      <c r="N24" s="116"/>
      <c r="O24" s="186">
        <v>1781507.0700000005</v>
      </c>
      <c r="P24" s="186">
        <v>2109260.4399999995</v>
      </c>
      <c r="Q24" s="186">
        <v>1632613.4999999998</v>
      </c>
      <c r="R24" s="298">
        <f>AVERAGE(O24:Q24)</f>
        <v>1841127.0033333332</v>
      </c>
    </row>
    <row r="25" spans="1:20">
      <c r="B25" s="106" t="s">
        <v>24</v>
      </c>
      <c r="C25" s="30">
        <f>-EXPENSES!$K$280</f>
        <v>0</v>
      </c>
      <c r="D25" s="30">
        <f>-EXPENSES!$K$280</f>
        <v>0</v>
      </c>
      <c r="E25" s="30">
        <f>-EXPENSES!$K$280</f>
        <v>0</v>
      </c>
      <c r="F25" s="30"/>
      <c r="G25" s="30">
        <f>HLOOKUP($G$5,BadDebtScenario,H25,FALSE)</f>
        <v>0</v>
      </c>
      <c r="H25" s="15">
        <f t="shared" si="0"/>
        <v>21</v>
      </c>
      <c r="I25" s="15">
        <f t="shared" si="3"/>
        <v>4</v>
      </c>
      <c r="J25" s="694"/>
      <c r="K25" s="194"/>
      <c r="L25" s="194"/>
      <c r="M25" s="194"/>
      <c r="N25" s="194"/>
      <c r="O25" s="186"/>
      <c r="R25" s="298"/>
    </row>
    <row r="26" spans="1:20">
      <c r="B26" s="106" t="s">
        <v>170</v>
      </c>
      <c r="C26" s="30">
        <f>SUM(C24:C25)</f>
        <v>-212317.07000000004</v>
      </c>
      <c r="D26" s="30">
        <f t="shared" ref="D26:E26" si="4">SUM(D24:D25)</f>
        <v>-212317.07000000004</v>
      </c>
      <c r="E26" s="30">
        <f t="shared" si="4"/>
        <v>-212317.07000000004</v>
      </c>
      <c r="F26" s="30"/>
      <c r="G26" s="30">
        <f>HLOOKUP($G$5,BadDebtScenario,H26,FALSE)</f>
        <v>-212317.07000000004</v>
      </c>
      <c r="H26" s="15">
        <f t="shared" si="0"/>
        <v>22</v>
      </c>
      <c r="I26" s="15">
        <f t="shared" si="3"/>
        <v>5</v>
      </c>
      <c r="J26" s="894" t="s">
        <v>1296</v>
      </c>
      <c r="K26" s="106"/>
      <c r="L26" s="106"/>
      <c r="M26" s="106"/>
      <c r="N26" s="239"/>
      <c r="O26" s="186">
        <v>903873494.43000007</v>
      </c>
      <c r="P26" s="186">
        <v>914522580.5999999</v>
      </c>
      <c r="Q26" s="186">
        <v>890627731.93000007</v>
      </c>
      <c r="R26" s="298">
        <f>AVERAGE(O26:Q26)</f>
        <v>903007935.65333331</v>
      </c>
    </row>
    <row r="27" spans="1:20">
      <c r="H27" s="15">
        <f t="shared" si="0"/>
        <v>23</v>
      </c>
      <c r="I27" s="15">
        <f t="shared" si="3"/>
        <v>6</v>
      </c>
      <c r="J27" s="893" t="s">
        <v>163</v>
      </c>
      <c r="K27" s="106"/>
      <c r="L27" s="194"/>
      <c r="M27" s="194"/>
      <c r="N27" s="186"/>
      <c r="O27" s="186">
        <v>1781507.0700000005</v>
      </c>
      <c r="P27" s="30">
        <v>2109260.4399999995</v>
      </c>
      <c r="Q27" s="30">
        <v>1632613.4999999998</v>
      </c>
      <c r="R27" s="298">
        <f>AVERAGE(O27:Q27)</f>
        <v>1841127.0033333332</v>
      </c>
    </row>
    <row r="28" spans="1:20">
      <c r="A28" s="193">
        <v>904.2</v>
      </c>
      <c r="B28" s="106" t="s">
        <v>407</v>
      </c>
      <c r="C28" s="577" t="s">
        <v>156</v>
      </c>
      <c r="D28" s="577" t="s">
        <v>156</v>
      </c>
      <c r="E28" s="577" t="s">
        <v>156</v>
      </c>
      <c r="F28" s="577"/>
      <c r="G28" s="577" t="s">
        <v>156</v>
      </c>
      <c r="H28" s="15">
        <f t="shared" si="0"/>
        <v>24</v>
      </c>
      <c r="I28" s="15">
        <f t="shared" si="3"/>
        <v>7</v>
      </c>
      <c r="J28" s="694"/>
      <c r="K28" s="194"/>
      <c r="L28" s="194"/>
      <c r="M28" s="194"/>
      <c r="N28" s="194"/>
      <c r="O28" s="194"/>
      <c r="R28" s="668"/>
    </row>
    <row r="29" spans="1:20">
      <c r="B29" s="106" t="s">
        <v>14</v>
      </c>
      <c r="C29" s="30">
        <f>-EXPENSES!$K$284</f>
        <v>-841817.97</v>
      </c>
      <c r="D29" s="30">
        <f>-EXPENSES!$K$284</f>
        <v>-841817.97</v>
      </c>
      <c r="E29" s="30">
        <f>-EXPENSES!$K$284</f>
        <v>-841817.97</v>
      </c>
      <c r="F29" s="30"/>
      <c r="G29" s="30">
        <f>HLOOKUP($G$5,BadDebtScenario,H29,FALSE)</f>
        <v>-841817.97</v>
      </c>
      <c r="H29" s="15">
        <f t="shared" si="0"/>
        <v>25</v>
      </c>
      <c r="I29" s="15">
        <f t="shared" si="3"/>
        <v>8</v>
      </c>
      <c r="J29" s="895" t="s">
        <v>496</v>
      </c>
      <c r="K29" s="194"/>
      <c r="L29" s="194"/>
      <c r="M29" s="194"/>
      <c r="N29" s="194"/>
      <c r="O29" s="896">
        <f>O27/O26</f>
        <v>1.9709694785590023E-3</v>
      </c>
      <c r="P29" s="896">
        <f>P27/P26</f>
        <v>2.3064060797888183E-3</v>
      </c>
      <c r="Q29" s="896">
        <f>Q27/Q26</f>
        <v>1.8331042718174836E-3</v>
      </c>
      <c r="R29" s="897">
        <f>R27/R26</f>
        <v>2.0388824180169176E-3</v>
      </c>
      <c r="S29" s="261"/>
      <c r="T29" s="199"/>
    </row>
    <row r="30" spans="1:20">
      <c r="B30" s="106" t="s">
        <v>24</v>
      </c>
      <c r="C30" s="30">
        <f>-EXPENSES!$K$285</f>
        <v>0</v>
      </c>
      <c r="D30" s="30">
        <f>-EXPENSES!$K$285</f>
        <v>0</v>
      </c>
      <c r="E30" s="30">
        <f>-EXPENSES!$K$285</f>
        <v>0</v>
      </c>
      <c r="F30" s="30"/>
      <c r="G30" s="30">
        <f>HLOOKUP($G$5,BadDebtScenario,H30,FALSE)</f>
        <v>0</v>
      </c>
      <c r="H30" s="15">
        <f t="shared" si="0"/>
        <v>26</v>
      </c>
      <c r="I30" s="15">
        <f t="shared" si="3"/>
        <v>9</v>
      </c>
      <c r="J30" s="694" t="s">
        <v>853</v>
      </c>
      <c r="K30" s="194"/>
      <c r="L30" s="194"/>
      <c r="M30" s="194"/>
      <c r="N30" s="194"/>
      <c r="O30" s="194"/>
      <c r="P30" s="194"/>
      <c r="Q30" s="194"/>
      <c r="R30" s="897"/>
      <c r="S30" s="749"/>
    </row>
    <row r="31" spans="1:20" ht="13.5" thickBot="1">
      <c r="B31" s="106" t="s">
        <v>170</v>
      </c>
      <c r="C31" s="30">
        <f>SUM(C29:C30)</f>
        <v>-841817.97</v>
      </c>
      <c r="D31" s="30">
        <f t="shared" ref="D31:E31" si="5">SUM(D29:D30)</f>
        <v>-841817.97</v>
      </c>
      <c r="E31" s="30">
        <f t="shared" si="5"/>
        <v>-841817.97</v>
      </c>
      <c r="F31" s="30"/>
      <c r="G31" s="30">
        <f>HLOOKUP($G$5,BadDebtScenario,H31,FALSE)</f>
        <v>-841817.97</v>
      </c>
      <c r="H31" s="15">
        <f t="shared" si="0"/>
        <v>27</v>
      </c>
      <c r="I31" s="15">
        <f t="shared" si="3"/>
        <v>10</v>
      </c>
      <c r="J31" s="694" t="s">
        <v>398</v>
      </c>
      <c r="K31" s="194"/>
      <c r="L31" s="194"/>
      <c r="M31" s="194"/>
      <c r="N31" s="194"/>
      <c r="O31" s="194"/>
      <c r="P31" s="194"/>
      <c r="Q31" s="194"/>
      <c r="R31" s="897">
        <f>SUM(R29:R30)</f>
        <v>2.0388824180169176E-3</v>
      </c>
      <c r="S31" s="584"/>
    </row>
    <row r="32" spans="1:20">
      <c r="H32" s="15">
        <f t="shared" si="0"/>
        <v>28</v>
      </c>
      <c r="I32" s="15">
        <f t="shared" si="3"/>
        <v>11</v>
      </c>
      <c r="J32" s="662"/>
      <c r="K32" s="663"/>
      <c r="L32" s="663"/>
      <c r="M32" s="663"/>
      <c r="N32" s="663"/>
      <c r="O32" s="663"/>
      <c r="P32" s="663"/>
      <c r="Q32" s="891" t="s">
        <v>1063</v>
      </c>
      <c r="R32" s="891" t="s">
        <v>913</v>
      </c>
      <c r="S32" s="288" t="s">
        <v>913</v>
      </c>
    </row>
    <row r="33" spans="1:19">
      <c r="A33" s="15" t="s">
        <v>873</v>
      </c>
      <c r="C33" s="30">
        <f>C31+C26+C14</f>
        <v>-1000511.2476272971</v>
      </c>
      <c r="D33" s="30">
        <f t="shared" ref="D33:E33" si="6">D31+D26+D14</f>
        <v>-995831.77667941153</v>
      </c>
      <c r="E33" s="30">
        <f t="shared" si="6"/>
        <v>-1025539.3107736245</v>
      </c>
      <c r="F33" s="30"/>
      <c r="G33" s="30">
        <f>G31+G26+G14</f>
        <v>-1025539.3107736245</v>
      </c>
      <c r="H33" s="15">
        <f t="shared" si="0"/>
        <v>29</v>
      </c>
      <c r="I33" s="15">
        <f t="shared" si="3"/>
        <v>12</v>
      </c>
      <c r="J33" s="1580"/>
      <c r="K33" s="1581"/>
      <c r="L33" s="1581"/>
      <c r="M33" s="1581"/>
      <c r="N33" s="1581"/>
      <c r="O33" s="194"/>
      <c r="P33" s="194"/>
      <c r="Q33" s="1445">
        <f>YEAR('Control Panel'!H12)</f>
        <v>2017</v>
      </c>
      <c r="R33" s="1445">
        <f>Q33+1</f>
        <v>2018</v>
      </c>
      <c r="S33" s="1446">
        <f>R33+1</f>
        <v>2019</v>
      </c>
    </row>
    <row r="34" spans="1:19">
      <c r="H34" s="15">
        <f t="shared" si="0"/>
        <v>30</v>
      </c>
      <c r="I34" s="15">
        <f t="shared" si="3"/>
        <v>13</v>
      </c>
      <c r="J34" s="694"/>
      <c r="K34" s="194"/>
      <c r="L34" s="194"/>
      <c r="M34" s="1233"/>
      <c r="N34" s="1233"/>
      <c r="O34" s="194" t="s">
        <v>1281</v>
      </c>
      <c r="P34" s="194"/>
      <c r="Q34" s="186">
        <v>366442366.41683167</v>
      </c>
      <c r="R34" s="186">
        <f>Revenue!H199+'ENERGY EFFICIENCY SERVICES ADJ'!T22</f>
        <v>381673796.60739779</v>
      </c>
      <c r="S34" s="298">
        <f>Revenue!G199+'ENERGY EFFICIENCY SERVICES ADJ'!Y22</f>
        <v>367103297.67538607</v>
      </c>
    </row>
    <row r="35" spans="1:19">
      <c r="H35" s="15">
        <f t="shared" si="0"/>
        <v>31</v>
      </c>
      <c r="I35" s="15">
        <f t="shared" si="3"/>
        <v>14</v>
      </c>
      <c r="J35" s="694"/>
      <c r="K35" s="194"/>
      <c r="L35" s="194"/>
      <c r="M35" s="1232"/>
      <c r="N35" s="1232"/>
      <c r="O35" s="194" t="s">
        <v>892</v>
      </c>
      <c r="P35" s="194"/>
      <c r="Q35" s="186">
        <v>12936314.539690599</v>
      </c>
      <c r="R35" s="186">
        <v>0</v>
      </c>
      <c r="S35" s="298">
        <v>0</v>
      </c>
    </row>
    <row r="36" spans="1:19">
      <c r="H36" s="15">
        <f t="shared" si="0"/>
        <v>32</v>
      </c>
      <c r="I36" s="15">
        <f t="shared" si="3"/>
        <v>15</v>
      </c>
      <c r="J36" s="694"/>
      <c r="K36" s="194"/>
      <c r="L36" s="194"/>
      <c r="M36" s="194"/>
      <c r="N36" s="1232"/>
      <c r="O36" s="194" t="s">
        <v>816</v>
      </c>
      <c r="P36" s="194"/>
      <c r="Q36" s="46">
        <v>2.0388824180169176E-3</v>
      </c>
      <c r="R36" s="46">
        <f>R31</f>
        <v>2.0388824180169176E-3</v>
      </c>
      <c r="S36" s="944">
        <f>R31</f>
        <v>2.0388824180169176E-3</v>
      </c>
    </row>
    <row r="37" spans="1:19">
      <c r="H37" s="15">
        <f t="shared" si="0"/>
        <v>33</v>
      </c>
      <c r="I37" s="15">
        <f t="shared" si="3"/>
        <v>16</v>
      </c>
      <c r="J37" s="694"/>
      <c r="K37" s="194"/>
      <c r="L37" s="194"/>
      <c r="M37" s="1233"/>
      <c r="N37" s="1233"/>
      <c r="O37" s="267" t="s">
        <v>891</v>
      </c>
      <c r="P37" s="194"/>
      <c r="Q37" s="116">
        <v>747132.89810379106</v>
      </c>
      <c r="R37" s="116">
        <f>R34*R36</f>
        <v>778187.99332058837</v>
      </c>
      <c r="S37" s="298">
        <f>S34*S36</f>
        <v>748480.45922637545</v>
      </c>
    </row>
    <row r="38" spans="1:19">
      <c r="H38" s="15">
        <f t="shared" si="0"/>
        <v>34</v>
      </c>
      <c r="I38" s="15">
        <f t="shared" si="3"/>
        <v>17</v>
      </c>
      <c r="J38" s="898"/>
      <c r="K38" s="106"/>
      <c r="L38" s="106"/>
      <c r="M38" s="106"/>
      <c r="N38" s="1233"/>
      <c r="O38" s="194" t="s">
        <v>893</v>
      </c>
      <c r="P38" s="194"/>
      <c r="Q38" s="186">
        <v>26375.624268911775</v>
      </c>
      <c r="R38" s="194">
        <f>R35*R36</f>
        <v>0</v>
      </c>
      <c r="S38" s="298">
        <f>S35*S36</f>
        <v>0</v>
      </c>
    </row>
    <row r="39" spans="1:19">
      <c r="H39" s="15">
        <f t="shared" si="0"/>
        <v>35</v>
      </c>
      <c r="I39" s="15">
        <f t="shared" si="3"/>
        <v>18</v>
      </c>
      <c r="J39" s="899"/>
      <c r="K39" s="106"/>
      <c r="L39" s="106"/>
      <c r="M39" s="186"/>
      <c r="N39" s="900"/>
      <c r="O39" s="194"/>
      <c r="P39" s="194"/>
      <c r="Q39" s="186"/>
      <c r="R39" s="194"/>
      <c r="S39" s="298"/>
    </row>
    <row r="40" spans="1:19">
      <c r="H40" s="15">
        <f t="shared" si="0"/>
        <v>36</v>
      </c>
      <c r="I40" s="15">
        <f t="shared" si="3"/>
        <v>19</v>
      </c>
      <c r="J40" s="899"/>
      <c r="K40" s="106"/>
      <c r="L40" s="106"/>
      <c r="M40" s="186"/>
      <c r="N40" s="900"/>
      <c r="O40" s="267" t="s">
        <v>1279</v>
      </c>
      <c r="P40" s="194"/>
      <c r="Q40" s="186">
        <v>656083.52999999991</v>
      </c>
      <c r="R40" s="186">
        <f>'PROJECTED EXPENSES'!AS654</f>
        <v>656083.52999999991</v>
      </c>
      <c r="S40" s="298">
        <f>'PROJECTED EXPENSES'!AT654</f>
        <v>656083.52999999991</v>
      </c>
    </row>
    <row r="41" spans="1:19">
      <c r="H41" s="15">
        <f t="shared" si="0"/>
        <v>37</v>
      </c>
      <c r="I41" s="15">
        <f t="shared" si="3"/>
        <v>20</v>
      </c>
      <c r="J41" s="899"/>
      <c r="K41" s="106"/>
      <c r="L41" s="106"/>
      <c r="M41" s="133"/>
      <c r="N41" s="194"/>
      <c r="O41" s="267" t="s">
        <v>1280</v>
      </c>
      <c r="P41" s="194"/>
      <c r="Q41" s="186">
        <v>63801.19999999999</v>
      </c>
      <c r="R41" s="186">
        <f>'PROJECTED EXPENSES'!AS655</f>
        <v>63801.19999999999</v>
      </c>
      <c r="S41" s="298">
        <f>'PROJECTED EXPENSES'!AT655</f>
        <v>63801.19999999999</v>
      </c>
    </row>
    <row r="42" spans="1:19">
      <c r="H42" s="15">
        <f t="shared" si="0"/>
        <v>38</v>
      </c>
      <c r="I42" s="15">
        <f t="shared" si="3"/>
        <v>21</v>
      </c>
      <c r="J42" s="899"/>
      <c r="K42" s="106"/>
      <c r="L42" s="106"/>
      <c r="M42" s="116"/>
      <c r="N42" s="194"/>
      <c r="O42" s="194" t="s">
        <v>817</v>
      </c>
      <c r="P42" s="194"/>
      <c r="Q42" s="186">
        <f>SUM(Q40:Q41)</f>
        <v>719884.72999999986</v>
      </c>
      <c r="R42" s="186">
        <f>SUM(R40:R41)</f>
        <v>719884.72999999986</v>
      </c>
      <c r="S42" s="298">
        <f>SUM(S40:S41)</f>
        <v>719884.72999999986</v>
      </c>
    </row>
    <row r="43" spans="1:19">
      <c r="I43" s="15">
        <f t="shared" si="3"/>
        <v>22</v>
      </c>
      <c r="J43" s="694"/>
      <c r="K43" s="194"/>
      <c r="L43" s="194"/>
      <c r="M43" s="194"/>
      <c r="N43" s="186"/>
      <c r="O43" s="194"/>
      <c r="P43" s="194"/>
      <c r="Q43" s="194"/>
      <c r="R43" s="194"/>
      <c r="S43" s="668"/>
    </row>
    <row r="44" spans="1:19">
      <c r="I44" s="15">
        <f t="shared" si="3"/>
        <v>23</v>
      </c>
      <c r="J44" s="694"/>
      <c r="K44" s="194"/>
      <c r="L44" s="194"/>
      <c r="M44" s="186"/>
      <c r="N44" s="194"/>
      <c r="O44" s="194" t="s">
        <v>179</v>
      </c>
      <c r="P44" s="194"/>
      <c r="Q44" s="186">
        <f t="shared" ref="Q44:S45" si="7">Q37-Q40</f>
        <v>91049.368103791145</v>
      </c>
      <c r="R44" s="186">
        <f t="shared" si="7"/>
        <v>122104.46332058846</v>
      </c>
      <c r="S44" s="298">
        <f t="shared" si="7"/>
        <v>92396.929226375534</v>
      </c>
    </row>
    <row r="45" spans="1:19">
      <c r="I45" s="15">
        <f t="shared" si="3"/>
        <v>24</v>
      </c>
      <c r="J45" s="694"/>
      <c r="K45" s="194"/>
      <c r="L45" s="194"/>
      <c r="M45" s="194"/>
      <c r="N45" s="194"/>
      <c r="O45" s="194" t="s">
        <v>24</v>
      </c>
      <c r="P45" s="194"/>
      <c r="Q45" s="186">
        <f t="shared" si="7"/>
        <v>-37425.575731088218</v>
      </c>
      <c r="R45" s="186">
        <f t="shared" si="7"/>
        <v>-63801.19999999999</v>
      </c>
      <c r="S45" s="298">
        <f t="shared" si="7"/>
        <v>-63801.19999999999</v>
      </c>
    </row>
    <row r="46" spans="1:19">
      <c r="I46" s="15">
        <f t="shared" si="3"/>
        <v>25</v>
      </c>
      <c r="J46" s="694"/>
      <c r="K46" s="194"/>
      <c r="L46" s="194"/>
      <c r="M46" s="194"/>
      <c r="N46" s="194"/>
      <c r="O46" s="194" t="s">
        <v>818</v>
      </c>
      <c r="P46" s="194"/>
      <c r="Q46" s="186">
        <f>SUM(Q44:Q45)</f>
        <v>53623.792372702927</v>
      </c>
      <c r="R46" s="186">
        <f>SUM(R44:R45)</f>
        <v>58303.26332058847</v>
      </c>
      <c r="S46" s="298">
        <f>SUM(S44:S45)</f>
        <v>28595.729226375544</v>
      </c>
    </row>
    <row r="47" spans="1:19" ht="13.5" thickBot="1">
      <c r="I47" s="15">
        <f t="shared" si="3"/>
        <v>26</v>
      </c>
      <c r="J47" s="1194"/>
      <c r="K47" s="600"/>
      <c r="L47" s="600"/>
      <c r="M47" s="623"/>
      <c r="N47" s="600"/>
      <c r="O47" s="600"/>
      <c r="P47" s="600"/>
      <c r="Q47" s="600"/>
      <c r="R47" s="600"/>
      <c r="S47" s="1252"/>
    </row>
    <row r="49" spans="17:17">
      <c r="Q49" s="460"/>
    </row>
  </sheetData>
  <mergeCells count="1">
    <mergeCell ref="J33:N33"/>
  </mergeCells>
  <phoneticPr fontId="0" type="noConversion"/>
  <dataValidations count="1">
    <dataValidation showInputMessage="1" showErrorMessage="1" sqref="C5:E5"/>
  </dataValidations>
  <printOptions horizontalCentered="1"/>
  <pageMargins left="0.24" right="0.75" top="1" bottom="1" header="0.5" footer="0.5"/>
  <pageSetup scale="74" orientation="landscape" r:id="rId1"/>
  <headerFooter alignWithMargins="0"/>
  <colBreaks count="1" manualBreakCount="1">
    <brk id="22" max="4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N66"/>
  <sheetViews>
    <sheetView workbookViewId="0">
      <selection activeCell="E12" sqref="E12"/>
    </sheetView>
  </sheetViews>
  <sheetFormatPr defaultRowHeight="12.75"/>
  <cols>
    <col min="1" max="1" width="9.140625" style="15"/>
    <col min="2" max="2" width="38.28515625" style="15" customWidth="1"/>
    <col min="3" max="3" width="17" style="15" customWidth="1"/>
    <col min="4" max="4" width="15.5703125" style="15" customWidth="1"/>
    <col min="5" max="5" width="15.28515625" style="15" customWidth="1"/>
    <col min="6" max="6" width="17.140625" style="15" customWidth="1"/>
    <col min="7" max="7" width="16.7109375" style="15" customWidth="1"/>
    <col min="8" max="8" width="3.5703125" style="15" customWidth="1"/>
    <col min="9" max="9" width="14" style="15" customWidth="1"/>
    <col min="10" max="10" width="10.7109375" style="1270"/>
    <col min="11" max="16384" width="9.140625" style="15"/>
  </cols>
  <sheetData>
    <row r="1" spans="2:8">
      <c r="B1" s="690" t="s">
        <v>669</v>
      </c>
      <c r="C1" s="663"/>
      <c r="D1" s="663"/>
      <c r="E1" s="663"/>
      <c r="F1" s="667"/>
      <c r="G1" s="663"/>
      <c r="H1" s="663"/>
    </row>
    <row r="2" spans="2:8">
      <c r="B2" s="691" t="str">
        <f>+'Control Panel'!B1</f>
        <v>Dominion Energy</v>
      </c>
      <c r="C2" s="194"/>
      <c r="D2" s="194"/>
      <c r="E2" s="194"/>
      <c r="F2" s="668"/>
      <c r="G2" s="194"/>
      <c r="H2" s="194"/>
    </row>
    <row r="3" spans="2:8">
      <c r="B3" s="691" t="str">
        <f>+'Control Panel'!B2</f>
        <v>Utah - DEC 2019 Adjusted Avg  Results</v>
      </c>
      <c r="C3" s="194"/>
      <c r="D3" s="194"/>
      <c r="E3" s="194"/>
      <c r="F3" s="668"/>
      <c r="G3" s="194"/>
      <c r="H3" s="194"/>
    </row>
    <row r="4" spans="2:8">
      <c r="B4" s="691" t="str">
        <f>+'Control Panel'!B3</f>
        <v>12 Months Ended : Dec-2019</v>
      </c>
      <c r="C4" s="194"/>
      <c r="D4" s="254"/>
      <c r="E4" s="387"/>
      <c r="F4" s="692"/>
      <c r="G4" s="194"/>
      <c r="H4" s="254"/>
    </row>
    <row r="5" spans="2:8" ht="39.75" customHeight="1">
      <c r="B5" s="110"/>
      <c r="C5" s="28"/>
      <c r="D5" s="139" t="str">
        <f>+'Control Panel'!B70</f>
        <v>ORDERED CAP STR 13-057-05</v>
      </c>
      <c r="E5" s="579"/>
      <c r="F5" s="693" t="s">
        <v>51</v>
      </c>
      <c r="G5" s="28"/>
    </row>
    <row r="6" spans="2:8" ht="13.5" thickBot="1">
      <c r="B6" s="694"/>
      <c r="C6" s="194"/>
      <c r="D6" s="695" t="s">
        <v>52</v>
      </c>
      <c r="E6" s="695" t="s">
        <v>53</v>
      </c>
      <c r="F6" s="211" t="s">
        <v>53</v>
      </c>
      <c r="G6" s="194"/>
    </row>
    <row r="7" spans="2:8">
      <c r="B7" s="694"/>
      <c r="C7" s="194" t="s">
        <v>54</v>
      </c>
      <c r="D7" s="590">
        <f>G24</f>
        <v>0.47933429200017746</v>
      </c>
      <c r="E7" s="590">
        <f>G30</f>
        <v>5.2455893909448444E-2</v>
      </c>
      <c r="F7" s="597">
        <f>+E7*D7</f>
        <v>2.5143908768321892E-2</v>
      </c>
      <c r="G7" s="194"/>
    </row>
    <row r="8" spans="2:8">
      <c r="B8" s="694"/>
      <c r="C8" s="194" t="s">
        <v>781</v>
      </c>
      <c r="D8" s="590">
        <f>G25</f>
        <v>0</v>
      </c>
      <c r="E8" s="590">
        <f>G31</f>
        <v>0</v>
      </c>
      <c r="F8" s="597">
        <f>+E8*D8</f>
        <v>0</v>
      </c>
      <c r="G8" s="194"/>
    </row>
    <row r="9" spans="2:8">
      <c r="B9" s="694"/>
      <c r="C9" s="194" t="s">
        <v>55</v>
      </c>
      <c r="D9" s="590">
        <f>G26</f>
        <v>0.52066570799982248</v>
      </c>
      <c r="E9" s="590">
        <f>'Control Panel'!F19</f>
        <v>9.8500000000000004E-2</v>
      </c>
      <c r="F9" s="597">
        <f>+E9*D9</f>
        <v>5.1285572237982517E-2</v>
      </c>
      <c r="G9" s="194"/>
    </row>
    <row r="10" spans="2:8">
      <c r="B10" s="694"/>
      <c r="C10" s="194"/>
      <c r="D10" s="696">
        <f>SUM(D7:D9)</f>
        <v>1</v>
      </c>
      <c r="E10" s="696"/>
      <c r="F10" s="697">
        <f>SUM(F7:F9)</f>
        <v>7.6429481006304409E-2</v>
      </c>
      <c r="G10" s="194"/>
    </row>
    <row r="11" spans="2:8">
      <c r="B11" s="694"/>
      <c r="C11" s="194"/>
      <c r="D11" s="194"/>
      <c r="E11" s="194"/>
      <c r="F11" s="668"/>
      <c r="G11" s="194"/>
    </row>
    <row r="12" spans="2:8">
      <c r="B12" s="694"/>
      <c r="C12" s="267" t="s">
        <v>117</v>
      </c>
      <c r="D12" s="590">
        <f>SUM(D7:D8)</f>
        <v>0.47933429200017746</v>
      </c>
      <c r="E12" s="590"/>
      <c r="F12" s="597">
        <f>SUM(F7:F8)</f>
        <v>2.5143908768321892E-2</v>
      </c>
      <c r="G12" s="267"/>
      <c r="H12" s="590"/>
    </row>
    <row r="13" spans="2:8" ht="13.5" thickBot="1">
      <c r="B13" s="698"/>
      <c r="C13" s="699"/>
      <c r="D13" s="500"/>
      <c r="E13" s="600"/>
      <c r="F13" s="678"/>
      <c r="G13" s="943"/>
      <c r="H13" s="500"/>
    </row>
    <row r="14" spans="2:8">
      <c r="B14" s="194"/>
      <c r="C14" s="267"/>
      <c r="D14" s="106"/>
      <c r="E14" s="194"/>
      <c r="F14" s="194"/>
      <c r="G14" s="267"/>
      <c r="H14" s="106"/>
    </row>
    <row r="15" spans="2:8">
      <c r="B15" s="194"/>
      <c r="D15" s="139"/>
      <c r="E15" s="139"/>
    </row>
    <row r="16" spans="2:8">
      <c r="B16" s="700" t="str">
        <f>+B2</f>
        <v>Dominion Energy</v>
      </c>
      <c r="D16" s="194"/>
      <c r="E16" s="194"/>
    </row>
    <row r="17" spans="1:14">
      <c r="B17" s="700" t="str">
        <f>+B3</f>
        <v>Utah - DEC 2019 Adjusted Avg  Results</v>
      </c>
    </row>
    <row r="18" spans="1:14">
      <c r="B18" s="700" t="str">
        <f>+B4</f>
        <v>12 Months Ended : Dec-2019</v>
      </c>
      <c r="C18" s="574"/>
      <c r="D18" s="574"/>
      <c r="E18" s="574"/>
      <c r="H18" s="1270"/>
      <c r="J18" s="15"/>
    </row>
    <row r="19" spans="1:14">
      <c r="C19" s="194"/>
      <c r="D19" s="194"/>
      <c r="E19" s="584"/>
      <c r="F19" s="194"/>
      <c r="H19" s="1270"/>
      <c r="J19" s="15"/>
    </row>
    <row r="20" spans="1:14" ht="25.5">
      <c r="C20" s="584" t="s">
        <v>854</v>
      </c>
      <c r="D20" s="584" t="s">
        <v>854</v>
      </c>
      <c r="E20" s="864" t="s">
        <v>1373</v>
      </c>
      <c r="F20" s="627"/>
      <c r="G20" s="563" t="s">
        <v>768</v>
      </c>
      <c r="H20" s="584"/>
      <c r="I20" s="1270"/>
      <c r="J20" s="15"/>
    </row>
    <row r="21" spans="1:14">
      <c r="A21" s="19"/>
      <c r="B21" s="8" t="s">
        <v>124</v>
      </c>
      <c r="C21" s="28"/>
      <c r="D21" s="194"/>
      <c r="E21" s="194"/>
      <c r="F21" s="947"/>
      <c r="G21" s="194"/>
      <c r="H21" s="584"/>
      <c r="I21" s="1270"/>
      <c r="J21" s="15"/>
    </row>
    <row r="22" spans="1:14" s="194" customFormat="1" ht="42" customHeight="1">
      <c r="A22" s="701"/>
      <c r="B22" s="701"/>
      <c r="C22" s="139" t="s">
        <v>1370</v>
      </c>
      <c r="D22" s="139" t="s">
        <v>1371</v>
      </c>
      <c r="E22" s="139" t="s">
        <v>1373</v>
      </c>
      <c r="F22"/>
      <c r="G22" s="139" t="str">
        <f>+'Control Panel'!F70</f>
        <v>ORDERED CAP STR 13-057-05</v>
      </c>
      <c r="H22" s="584">
        <v>1</v>
      </c>
      <c r="I22" s="1270"/>
      <c r="M22"/>
      <c r="N22"/>
    </row>
    <row r="23" spans="1:14">
      <c r="B23" s="15" t="s">
        <v>125</v>
      </c>
      <c r="F23"/>
      <c r="H23" s="577">
        <v>2</v>
      </c>
      <c r="I23" s="1270"/>
      <c r="J23" s="15"/>
      <c r="M23"/>
      <c r="N23"/>
    </row>
    <row r="24" spans="1:14">
      <c r="B24" s="15" t="s">
        <v>54</v>
      </c>
      <c r="C24" s="199">
        <v>0.50094061942471246</v>
      </c>
      <c r="D24" s="199">
        <v>0.47773344778059684</v>
      </c>
      <c r="E24" s="199">
        <v>0.47933429200017746</v>
      </c>
      <c r="F24"/>
      <c r="G24" s="199">
        <f>HLOOKUP($G$22,CapStr,H24,FALSE)</f>
        <v>0.47933429200017746</v>
      </c>
      <c r="H24" s="577">
        <v>3</v>
      </c>
      <c r="I24" s="1270"/>
      <c r="J24" s="15"/>
      <c r="M24"/>
      <c r="N24"/>
    </row>
    <row r="25" spans="1:14">
      <c r="B25" s="15" t="s">
        <v>781</v>
      </c>
      <c r="C25" s="199">
        <v>0</v>
      </c>
      <c r="D25" s="199">
        <v>0</v>
      </c>
      <c r="E25" s="199">
        <v>0</v>
      </c>
      <c r="F25"/>
      <c r="G25" s="199">
        <f>HLOOKUP($G$22,CapStr,H25,FALSE)</f>
        <v>0</v>
      </c>
      <c r="H25" s="577">
        <f>H24+1</f>
        <v>4</v>
      </c>
      <c r="I25" s="1270"/>
      <c r="J25" s="15"/>
      <c r="M25"/>
      <c r="N25"/>
    </row>
    <row r="26" spans="1:14">
      <c r="B26" s="15" t="s">
        <v>55</v>
      </c>
      <c r="C26" s="199">
        <v>0.49905938057528765</v>
      </c>
      <c r="D26" s="199">
        <v>0.52226655221940321</v>
      </c>
      <c r="E26" s="199">
        <v>0.52066570799982248</v>
      </c>
      <c r="F26"/>
      <c r="G26" s="199">
        <f>HLOOKUP($G$22,CapStr,H26,FALSE)</f>
        <v>0.52066570799982248</v>
      </c>
      <c r="H26" s="1311">
        <f t="shared" ref="H26:H63" si="0">H25+1</f>
        <v>5</v>
      </c>
      <c r="I26" s="1270"/>
      <c r="J26" s="15"/>
      <c r="M26"/>
      <c r="N26"/>
    </row>
    <row r="27" spans="1:14">
      <c r="C27" s="1392">
        <f>SUM(C24:C26)</f>
        <v>1</v>
      </c>
      <c r="D27" s="1392">
        <f>SUM(D24:D26)</f>
        <v>1</v>
      </c>
      <c r="E27" s="1392">
        <f>SUM(E24:E26)</f>
        <v>1</v>
      </c>
      <c r="F27"/>
      <c r="G27" s="702">
        <f>HLOOKUP($G$22,CapStr,H27,FALSE)</f>
        <v>1</v>
      </c>
      <c r="H27" s="1311">
        <f t="shared" si="0"/>
        <v>6</v>
      </c>
      <c r="I27" s="1270"/>
      <c r="J27" s="15"/>
      <c r="M27"/>
      <c r="N27"/>
    </row>
    <row r="28" spans="1:14">
      <c r="F28"/>
      <c r="H28" s="1311">
        <f t="shared" si="0"/>
        <v>7</v>
      </c>
      <c r="I28" s="1270"/>
      <c r="J28" s="15"/>
      <c r="M28"/>
      <c r="N28"/>
    </row>
    <row r="29" spans="1:14">
      <c r="B29" s="15" t="s">
        <v>126</v>
      </c>
      <c r="C29" s="703"/>
      <c r="D29" s="703"/>
      <c r="E29" s="703"/>
      <c r="F29"/>
      <c r="G29" s="703"/>
      <c r="H29" s="1311">
        <f t="shared" si="0"/>
        <v>8</v>
      </c>
      <c r="I29" s="1270"/>
      <c r="J29" s="15"/>
      <c r="M29"/>
      <c r="N29"/>
    </row>
    <row r="30" spans="1:14">
      <c r="B30" s="15" t="s">
        <v>54</v>
      </c>
      <c r="C30" s="703">
        <v>4.6846048724257752E-2</v>
      </c>
      <c r="D30" s="703">
        <v>5.3226257353465888E-2</v>
      </c>
      <c r="E30" s="703">
        <v>5.2455893909448444E-2</v>
      </c>
      <c r="F30"/>
      <c r="G30" s="199">
        <f>HLOOKUP($G$22,CapStr,H30,FALSE)</f>
        <v>5.2455893909448444E-2</v>
      </c>
      <c r="H30" s="1311">
        <f t="shared" si="0"/>
        <v>9</v>
      </c>
      <c r="I30" s="1270"/>
      <c r="J30" s="15"/>
      <c r="M30"/>
      <c r="N30"/>
    </row>
    <row r="31" spans="1:14">
      <c r="B31" s="15" t="s">
        <v>781</v>
      </c>
      <c r="C31" s="703">
        <v>0</v>
      </c>
      <c r="D31" s="703">
        <v>0</v>
      </c>
      <c r="E31" s="703">
        <v>0</v>
      </c>
      <c r="F31"/>
      <c r="G31" s="199">
        <f>HLOOKUP($G$22,CapStr,H31,FALSE)</f>
        <v>0</v>
      </c>
      <c r="H31" s="1311">
        <f t="shared" si="0"/>
        <v>10</v>
      </c>
      <c r="I31" s="1270"/>
      <c r="J31" s="15"/>
      <c r="M31"/>
      <c r="N31"/>
    </row>
    <row r="32" spans="1:14">
      <c r="B32" s="15" t="s">
        <v>55</v>
      </c>
      <c r="C32" s="703">
        <v>9.8500000000000004E-2</v>
      </c>
      <c r="D32" s="703">
        <v>9.8500000000000004E-2</v>
      </c>
      <c r="E32" s="703">
        <v>9.8500000000000004E-2</v>
      </c>
      <c r="F32"/>
      <c r="G32" s="199">
        <f>HLOOKUP($G$22,CapStr,H32,FALSE)</f>
        <v>9.8500000000000004E-2</v>
      </c>
      <c r="H32" s="1311">
        <f t="shared" si="0"/>
        <v>11</v>
      </c>
      <c r="I32" s="1270"/>
      <c r="J32" s="15"/>
      <c r="M32"/>
      <c r="N32"/>
    </row>
    <row r="33" spans="1:14">
      <c r="C33" s="1"/>
      <c r="D33" s="1"/>
      <c r="E33" s="1"/>
      <c r="F33"/>
      <c r="H33" s="1311">
        <f t="shared" si="0"/>
        <v>12</v>
      </c>
      <c r="I33" s="1270"/>
      <c r="J33" s="15"/>
      <c r="M33"/>
      <c r="N33"/>
    </row>
    <row r="34" spans="1:14" ht="13.5" thickBot="1">
      <c r="A34" s="194"/>
      <c r="B34" s="600"/>
      <c r="C34" s="1393"/>
      <c r="D34" s="1393"/>
      <c r="E34" s="1393"/>
      <c r="F34"/>
      <c r="H34" s="1311">
        <f t="shared" si="0"/>
        <v>13</v>
      </c>
      <c r="I34" s="1270"/>
      <c r="J34" s="15"/>
      <c r="M34"/>
      <c r="N34"/>
    </row>
    <row r="35" spans="1:14" ht="12.75" customHeight="1">
      <c r="A35" s="194"/>
      <c r="B35" s="194"/>
      <c r="C35" s="704"/>
      <c r="D35" s="704"/>
      <c r="E35" s="704"/>
      <c r="F35"/>
      <c r="H35" s="1311">
        <f t="shared" si="0"/>
        <v>14</v>
      </c>
      <c r="I35" s="1270"/>
      <c r="J35" s="15"/>
      <c r="M35"/>
      <c r="N35"/>
    </row>
    <row r="36" spans="1:14">
      <c r="A36" s="194"/>
      <c r="B36" s="389"/>
      <c r="C36" s="627" t="s">
        <v>855</v>
      </c>
      <c r="D36" s="627" t="s">
        <v>855</v>
      </c>
      <c r="E36" s="627" t="s">
        <v>1386</v>
      </c>
      <c r="F36"/>
      <c r="G36" s="563" t="s">
        <v>768</v>
      </c>
      <c r="H36" s="1311">
        <f t="shared" si="0"/>
        <v>15</v>
      </c>
      <c r="I36" s="1270"/>
      <c r="J36" s="15"/>
      <c r="M36"/>
      <c r="N36"/>
    </row>
    <row r="37" spans="1:14" ht="44.25" customHeight="1">
      <c r="B37" s="389"/>
      <c r="C37" s="139" t="s">
        <v>1370</v>
      </c>
      <c r="D37" s="139" t="s">
        <v>1371</v>
      </c>
      <c r="E37" s="139" t="s">
        <v>1374</v>
      </c>
      <c r="F37"/>
      <c r="G37" s="139" t="str">
        <f>+'Control Panel'!B70</f>
        <v>ORDERED CAP STR 13-057-05</v>
      </c>
      <c r="H37" s="1311">
        <f t="shared" si="0"/>
        <v>16</v>
      </c>
      <c r="I37" s="1270"/>
      <c r="J37" s="15"/>
      <c r="M37"/>
      <c r="N37"/>
    </row>
    <row r="38" spans="1:14">
      <c r="B38" s="470"/>
      <c r="C38" s="90"/>
      <c r="D38" s="90"/>
      <c r="E38" s="90"/>
      <c r="F38"/>
      <c r="H38" s="1311">
        <f t="shared" si="0"/>
        <v>17</v>
      </c>
      <c r="I38" s="1270"/>
      <c r="J38" s="15"/>
      <c r="M38"/>
      <c r="N38"/>
    </row>
    <row r="39" spans="1:14" ht="13.5" thickBot="1">
      <c r="B39" s="705" t="s">
        <v>118</v>
      </c>
      <c r="C39" s="1394"/>
      <c r="D39" s="1394"/>
      <c r="E39" s="1394"/>
      <c r="F39"/>
      <c r="G39" s="706"/>
      <c r="H39" s="1311">
        <f t="shared" si="0"/>
        <v>18</v>
      </c>
      <c r="I39" s="1270"/>
      <c r="J39" s="15"/>
      <c r="M39"/>
      <c r="N39"/>
    </row>
    <row r="40" spans="1:14">
      <c r="A40" s="470" t="s">
        <v>144</v>
      </c>
      <c r="B40" s="707" t="s">
        <v>733</v>
      </c>
      <c r="C40" s="102">
        <v>0</v>
      </c>
      <c r="D40" s="102">
        <v>108333333.33333333</v>
      </c>
      <c r="E40" s="102">
        <v>559500000</v>
      </c>
      <c r="F40"/>
      <c r="G40" s="102">
        <f>HLOOKUP($G$22,CapStr,H40,FALSE)</f>
        <v>559500000</v>
      </c>
      <c r="H40" s="1311">
        <f t="shared" si="0"/>
        <v>19</v>
      </c>
      <c r="I40" s="1270"/>
      <c r="J40" s="15"/>
      <c r="M40"/>
      <c r="N40"/>
    </row>
    <row r="41" spans="1:14">
      <c r="A41" s="1397" t="s">
        <v>1133</v>
      </c>
      <c r="B41" s="707" t="s">
        <v>1372</v>
      </c>
      <c r="C41" s="102">
        <v>600000000</v>
      </c>
      <c r="D41" s="102">
        <v>433333333.33333331</v>
      </c>
      <c r="E41" s="102">
        <v>0</v>
      </c>
      <c r="F41"/>
      <c r="G41" s="102">
        <f>HLOOKUP($G$22,CapStr,H41,FALSE)</f>
        <v>0</v>
      </c>
      <c r="H41" s="1311">
        <f t="shared" si="0"/>
        <v>20</v>
      </c>
      <c r="I41" s="1270"/>
      <c r="J41" s="15"/>
      <c r="M41"/>
      <c r="N41"/>
    </row>
    <row r="42" spans="1:14">
      <c r="A42" s="470" t="s">
        <v>145</v>
      </c>
      <c r="B42" s="707" t="s">
        <v>734</v>
      </c>
      <c r="C42" s="102">
        <v>-2684743.1799999988</v>
      </c>
      <c r="D42" s="102">
        <v>-2950057.78</v>
      </c>
      <c r="E42" s="102">
        <v>-4542000</v>
      </c>
      <c r="F42"/>
      <c r="G42" s="102">
        <f>HLOOKUP($G$22,CapStr,H42,FALSE)</f>
        <v>-4542000</v>
      </c>
      <c r="H42" s="1311">
        <f t="shared" si="0"/>
        <v>21</v>
      </c>
      <c r="I42" s="1270"/>
      <c r="J42" s="15"/>
    </row>
    <row r="43" spans="1:14">
      <c r="A43" s="470" t="s">
        <v>146</v>
      </c>
      <c r="B43" s="707" t="s">
        <v>735</v>
      </c>
      <c r="C43" s="102">
        <v>-4071468.21</v>
      </c>
      <c r="D43" s="102">
        <v>-3540489.2708333335</v>
      </c>
      <c r="E43" s="102">
        <v>-3957000</v>
      </c>
      <c r="F43"/>
      <c r="G43" s="102">
        <f>HLOOKUP($G$22,CapStr,H43,FALSE)</f>
        <v>-3957000</v>
      </c>
      <c r="H43" s="1311">
        <f t="shared" si="0"/>
        <v>22</v>
      </c>
      <c r="I43" s="1270"/>
      <c r="J43" s="15"/>
    </row>
    <row r="44" spans="1:14">
      <c r="A44" s="708" t="s">
        <v>804</v>
      </c>
      <c r="B44" s="708" t="s">
        <v>805</v>
      </c>
      <c r="C44" s="102">
        <v>134500000</v>
      </c>
      <c r="D44" s="102">
        <v>105333333.33333333</v>
      </c>
      <c r="E44" s="102">
        <v>0</v>
      </c>
      <c r="F44"/>
      <c r="G44" s="102">
        <f>HLOOKUP($G$22,CapStr,H44,FALSE)</f>
        <v>0</v>
      </c>
      <c r="H44" s="1311">
        <f t="shared" si="0"/>
        <v>23</v>
      </c>
      <c r="I44" s="1270"/>
      <c r="J44" s="15"/>
    </row>
    <row r="45" spans="1:14">
      <c r="B45" s="92" t="s">
        <v>120</v>
      </c>
      <c r="C45" s="1395">
        <f>SUM(C40:C44)</f>
        <v>727743788.61000001</v>
      </c>
      <c r="D45" s="1395">
        <f>SUM(D40:D44)</f>
        <v>640509452.94916666</v>
      </c>
      <c r="E45" s="1395">
        <v>551001000</v>
      </c>
      <c r="F45"/>
      <c r="G45" s="709">
        <f>SUM(G40:G44)</f>
        <v>551001000</v>
      </c>
      <c r="H45" s="1311">
        <f t="shared" si="0"/>
        <v>24</v>
      </c>
      <c r="I45" s="1270"/>
      <c r="J45" s="15"/>
    </row>
    <row r="46" spans="1:14">
      <c r="B46" s="93"/>
      <c r="C46" s="710"/>
      <c r="D46" s="710"/>
      <c r="E46" s="710"/>
      <c r="F46"/>
      <c r="G46" s="710"/>
      <c r="H46" s="1311">
        <f t="shared" si="0"/>
        <v>25</v>
      </c>
      <c r="I46" s="1270"/>
      <c r="J46" s="15"/>
    </row>
    <row r="47" spans="1:14">
      <c r="C47" s="102"/>
      <c r="D47" s="102"/>
      <c r="E47" s="102"/>
      <c r="F47"/>
      <c r="G47" s="102"/>
      <c r="H47" s="1311">
        <f t="shared" si="0"/>
        <v>26</v>
      </c>
      <c r="I47" s="1270"/>
      <c r="J47" s="15"/>
    </row>
    <row r="48" spans="1:14" ht="13.5" thickBot="1">
      <c r="B48" s="705" t="s">
        <v>119</v>
      </c>
      <c r="C48" s="1396"/>
      <c r="D48" s="1396"/>
      <c r="E48" s="1396"/>
      <c r="F48"/>
      <c r="G48" s="500"/>
      <c r="H48" s="1311">
        <f t="shared" si="0"/>
        <v>27</v>
      </c>
      <c r="I48" s="1270"/>
      <c r="J48" s="15"/>
    </row>
    <row r="49" spans="1:10" ht="19.5" customHeight="1">
      <c r="A49" s="470" t="s">
        <v>143</v>
      </c>
      <c r="B49" s="708" t="s">
        <v>736</v>
      </c>
      <c r="C49" s="522">
        <v>33229107.169999998</v>
      </c>
      <c r="D49" s="522">
        <v>33229107.169999998</v>
      </c>
      <c r="E49" s="522">
        <v>28072750</v>
      </c>
      <c r="F49"/>
      <c r="G49" s="102">
        <f>HLOOKUP($G$22,CapStr,H49,FALSE)</f>
        <v>28072750</v>
      </c>
      <c r="H49" s="1311">
        <f t="shared" si="0"/>
        <v>28</v>
      </c>
      <c r="I49" s="1270"/>
      <c r="J49" s="15"/>
    </row>
    <row r="50" spans="1:10">
      <c r="A50" s="470" t="s">
        <v>147</v>
      </c>
      <c r="B50" s="470" t="s">
        <v>737</v>
      </c>
      <c r="C50" s="102">
        <v>862813.81</v>
      </c>
      <c r="D50" s="102">
        <v>862813.81</v>
      </c>
      <c r="E50" s="102">
        <v>830500</v>
      </c>
      <c r="F50"/>
      <c r="G50" s="102">
        <f>HLOOKUP($G$22,CapStr,H50,FALSE)</f>
        <v>830500</v>
      </c>
      <c r="H50" s="1311">
        <f t="shared" si="0"/>
        <v>29</v>
      </c>
      <c r="I50" s="1270"/>
      <c r="J50" s="15"/>
    </row>
    <row r="51" spans="1:10">
      <c r="B51" s="92" t="s">
        <v>121</v>
      </c>
      <c r="C51" s="1395">
        <f>SUM(C49:C50)</f>
        <v>34091920.979999997</v>
      </c>
      <c r="D51" s="1395">
        <f>SUM(D49:D50)</f>
        <v>34091920.979999997</v>
      </c>
      <c r="E51" s="1395">
        <v>28903250</v>
      </c>
      <c r="F51"/>
      <c r="G51" s="709">
        <f>HLOOKUP($G$22,CapStr,H51,FALSE)</f>
        <v>28903250</v>
      </c>
      <c r="H51" s="1311">
        <f t="shared" si="0"/>
        <v>30</v>
      </c>
      <c r="I51" s="1270"/>
      <c r="J51" s="15"/>
    </row>
    <row r="52" spans="1:10">
      <c r="C52" s="95"/>
      <c r="D52" s="95"/>
      <c r="E52" s="95"/>
      <c r="F52"/>
      <c r="G52" s="95"/>
      <c r="H52" s="1311">
        <f t="shared" si="0"/>
        <v>31</v>
      </c>
      <c r="I52" s="1270"/>
      <c r="J52" s="15"/>
    </row>
    <row r="53" spans="1:10">
      <c r="B53" s="93" t="s">
        <v>1446</v>
      </c>
      <c r="C53" s="711">
        <f>+C51/C45</f>
        <v>4.6846048724257752E-2</v>
      </c>
      <c r="D53" s="711">
        <f>+D51/D45</f>
        <v>5.3226257353465888E-2</v>
      </c>
      <c r="E53" s="711">
        <v>5.2455893909448444E-2</v>
      </c>
      <c r="F53"/>
      <c r="G53" s="711">
        <f>G51/G45</f>
        <v>5.2455893909448444E-2</v>
      </c>
      <c r="H53" s="1311">
        <f t="shared" si="0"/>
        <v>32</v>
      </c>
      <c r="I53" s="1270"/>
      <c r="J53" s="15"/>
    </row>
    <row r="54" spans="1:10">
      <c r="B54" s="92"/>
      <c r="C54" s="95"/>
      <c r="D54" s="95"/>
      <c r="E54" s="95"/>
      <c r="F54"/>
      <c r="G54" s="95"/>
      <c r="H54" s="1311">
        <f t="shared" si="0"/>
        <v>33</v>
      </c>
      <c r="I54" s="1270"/>
      <c r="J54" s="15"/>
    </row>
    <row r="55" spans="1:10">
      <c r="C55" s="199"/>
      <c r="D55" s="95"/>
      <c r="E55" s="95"/>
      <c r="F55"/>
      <c r="G55" s="95"/>
      <c r="H55" s="1311">
        <f t="shared" si="0"/>
        <v>34</v>
      </c>
      <c r="I55" s="1270"/>
      <c r="J55" s="15"/>
    </row>
    <row r="56" spans="1:10" ht="13.5" thickBot="1">
      <c r="B56" s="712" t="s">
        <v>738</v>
      </c>
      <c r="C56" s="1396"/>
      <c r="D56" s="1396"/>
      <c r="E56" s="1396"/>
      <c r="F56"/>
      <c r="G56" s="500"/>
      <c r="H56" s="1311">
        <f t="shared" si="0"/>
        <v>35</v>
      </c>
      <c r="I56" s="1270"/>
      <c r="J56" s="15"/>
    </row>
    <row r="57" spans="1:10">
      <c r="A57" s="713" t="s">
        <v>148</v>
      </c>
      <c r="B57" s="470" t="s">
        <v>739</v>
      </c>
      <c r="C57" s="102">
        <v>22974065</v>
      </c>
      <c r="D57" s="102">
        <v>22974065</v>
      </c>
      <c r="E57" s="102">
        <v>22974000</v>
      </c>
      <c r="F57"/>
      <c r="G57" s="102">
        <f>HLOOKUP($G$22,CapStr,H57,FALSE)</f>
        <v>22974000</v>
      </c>
      <c r="H57" s="1311">
        <f t="shared" si="0"/>
        <v>36</v>
      </c>
      <c r="I57" s="1270"/>
      <c r="J57" s="15"/>
    </row>
    <row r="58" spans="1:10">
      <c r="A58" s="713" t="s">
        <v>149</v>
      </c>
      <c r="B58" s="470" t="s">
        <v>740</v>
      </c>
      <c r="C58" s="102">
        <v>272445462.82999998</v>
      </c>
      <c r="D58" s="102">
        <v>272445462.82999998</v>
      </c>
      <c r="E58" s="102">
        <v>279453000</v>
      </c>
      <c r="F58"/>
      <c r="G58" s="102">
        <f>HLOOKUP($G$22,CapStr,H58,FALSE)</f>
        <v>279453000</v>
      </c>
      <c r="H58" s="1311">
        <f t="shared" si="0"/>
        <v>37</v>
      </c>
      <c r="I58" s="1270"/>
      <c r="J58" s="15"/>
    </row>
    <row r="59" spans="1:10">
      <c r="A59" s="713" t="s">
        <v>150</v>
      </c>
      <c r="B59" s="470" t="s">
        <v>741</v>
      </c>
      <c r="C59" s="102">
        <v>429591282.39000052</v>
      </c>
      <c r="D59" s="102">
        <v>404796597.31208342</v>
      </c>
      <c r="E59" s="102">
        <v>296085000</v>
      </c>
      <c r="F59"/>
      <c r="G59" s="102">
        <f>HLOOKUP($G$22,CapStr,H59,FALSE)</f>
        <v>296085000</v>
      </c>
      <c r="H59" s="1311">
        <f t="shared" si="0"/>
        <v>38</v>
      </c>
      <c r="I59" s="1270"/>
      <c r="J59" s="15"/>
    </row>
    <row r="60" spans="1:10">
      <c r="B60" s="93" t="s">
        <v>742</v>
      </c>
      <c r="C60" s="1395">
        <f>SUM(C57:C59)</f>
        <v>725010810.22000051</v>
      </c>
      <c r="D60" s="1395">
        <f>SUM(D57:D59)</f>
        <v>700216125.14208341</v>
      </c>
      <c r="E60" s="1395">
        <v>598512000</v>
      </c>
      <c r="F60"/>
      <c r="G60" s="709">
        <f>SUM(G57:G59)</f>
        <v>598512000</v>
      </c>
      <c r="H60" s="1311">
        <f t="shared" si="0"/>
        <v>39</v>
      </c>
      <c r="I60" s="1270"/>
      <c r="J60" s="15"/>
    </row>
    <row r="61" spans="1:10" ht="13.5" thickBot="1">
      <c r="B61" s="714"/>
      <c r="C61" s="210"/>
      <c r="D61" s="210"/>
      <c r="E61" s="210"/>
      <c r="F61"/>
      <c r="G61" s="210"/>
      <c r="H61" s="1311">
        <f t="shared" si="0"/>
        <v>40</v>
      </c>
      <c r="I61" s="1270"/>
      <c r="J61" s="15"/>
    </row>
    <row r="62" spans="1:10" ht="13.5" thickTop="1">
      <c r="B62" s="93"/>
      <c r="C62" s="102"/>
      <c r="D62" s="102"/>
      <c r="E62" s="102"/>
      <c r="F62"/>
      <c r="G62" s="102"/>
      <c r="H62" s="1311">
        <f t="shared" si="0"/>
        <v>41</v>
      </c>
      <c r="I62" s="1270"/>
      <c r="J62" s="15"/>
    </row>
    <row r="63" spans="1:10">
      <c r="B63" s="93" t="s">
        <v>743</v>
      </c>
      <c r="C63" s="33">
        <f>+C60+C45</f>
        <v>1452754598.8300004</v>
      </c>
      <c r="D63" s="33">
        <f>+D60+D45</f>
        <v>1340725578.0912499</v>
      </c>
      <c r="E63" s="33">
        <v>1149513000</v>
      </c>
      <c r="F63"/>
      <c r="G63" s="14">
        <f>G60+G45</f>
        <v>1149513000</v>
      </c>
      <c r="H63" s="1311">
        <f t="shared" si="0"/>
        <v>42</v>
      </c>
      <c r="I63" s="1270"/>
      <c r="J63" s="15"/>
    </row>
    <row r="64" spans="1:10">
      <c r="E64" s="95"/>
      <c r="G64"/>
      <c r="I64"/>
    </row>
    <row r="65" spans="9:9">
      <c r="I65"/>
    </row>
    <row r="66" spans="9:9">
      <c r="I66"/>
    </row>
  </sheetData>
  <phoneticPr fontId="0" type="noConversion"/>
  <dataValidations count="3">
    <dataValidation type="list" showInputMessage="1" showErrorMessage="1" sqref="D15:E15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C37:D37">
      <formula1>"AVG CAP STR,YE CAP STR"</formula1>
    </dataValidation>
    <dataValidation showInputMessage="1" showErrorMessage="1" sqref="C22:E22"/>
  </dataValidations>
  <printOptions horizontalCentered="1"/>
  <pageMargins left="0.2" right="0.2" top="1" bottom="1" header="0.5" footer="0.5"/>
  <pageSetup scale="5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AU48"/>
  <sheetViews>
    <sheetView workbookViewId="0">
      <selection activeCell="C10" sqref="C10"/>
    </sheetView>
  </sheetViews>
  <sheetFormatPr defaultRowHeight="12.75"/>
  <cols>
    <col min="1" max="1" width="46.42578125" style="15" customWidth="1"/>
    <col min="2" max="2" width="13.7109375" style="15" customWidth="1"/>
    <col min="3" max="3" width="15.7109375" style="15" customWidth="1"/>
    <col min="4" max="6" width="13.7109375" style="15" customWidth="1"/>
    <col min="7" max="8" width="8.85546875" style="15" customWidth="1"/>
    <col min="9" max="9" width="14.85546875" style="15" bestFit="1" customWidth="1"/>
    <col min="10" max="10" width="14.28515625" style="15" bestFit="1" customWidth="1"/>
    <col min="11" max="11" width="16.5703125" style="15" bestFit="1" customWidth="1"/>
    <col min="12" max="12" width="14.28515625" style="15" bestFit="1" customWidth="1"/>
    <col min="13" max="13" width="16.5703125" style="15" bestFit="1" customWidth="1"/>
    <col min="14" max="15" width="8.85546875" style="15" customWidth="1"/>
    <col min="16" max="16" width="14.85546875" style="15" bestFit="1" customWidth="1"/>
    <col min="17" max="17" width="14.28515625" style="15" bestFit="1" customWidth="1"/>
    <col min="18" max="18" width="16.5703125" style="15" bestFit="1" customWidth="1"/>
    <col min="19" max="19" width="14.28515625" style="15" bestFit="1" customWidth="1"/>
    <col min="20" max="20" width="16.5703125" style="15" bestFit="1" customWidth="1"/>
    <col min="21" max="22" width="8.85546875" style="15" customWidth="1"/>
    <col min="23" max="23" width="14.85546875" style="15" bestFit="1" customWidth="1"/>
    <col min="24" max="24" width="14.28515625" style="15" bestFit="1" customWidth="1"/>
    <col min="25" max="25" width="16.5703125" style="15" bestFit="1" customWidth="1"/>
    <col min="26" max="26" width="14.28515625" style="15" bestFit="1" customWidth="1"/>
    <col min="27" max="27" width="16.5703125" style="15" bestFit="1" customWidth="1"/>
    <col min="28" max="47" width="8.85546875" style="15" customWidth="1"/>
    <col min="48" max="16384" width="9.140625" style="15"/>
  </cols>
  <sheetData>
    <row r="1" spans="1:47" s="269" customFormat="1">
      <c r="A1" s="578" t="s">
        <v>8</v>
      </c>
      <c r="D1" s="568"/>
      <c r="E1" s="568"/>
      <c r="F1" s="2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</row>
    <row r="2" spans="1:47" s="269" customFormat="1">
      <c r="A2" s="578" t="str">
        <f>'Control Panel'!$B$1</f>
        <v>Dominion Energy</v>
      </c>
      <c r="D2" s="568"/>
      <c r="E2" s="568"/>
      <c r="F2" s="39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</row>
    <row r="3" spans="1:47" s="269" customFormat="1">
      <c r="A3" s="578" t="str">
        <f>'Control Panel'!$B$2</f>
        <v>Utah - DEC 2019 Adjusted Avg  Results</v>
      </c>
      <c r="D3" s="568"/>
      <c r="E3" s="568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</row>
    <row r="4" spans="1:47">
      <c r="A4" s="578" t="str">
        <f>'Control Panel'!$B$3</f>
        <v>12 Months Ended : Dec-2019</v>
      </c>
    </row>
    <row r="5" spans="1:47">
      <c r="A5" s="8" t="str">
        <f>IF('Control Panel'!$B$4="","",'Control Panel'!$B$4)</f>
        <v>Capital Structure : ORDERED CAP STR 13-057-05</v>
      </c>
    </row>
    <row r="6" spans="1:47">
      <c r="A6" s="1568" t="s">
        <v>758</v>
      </c>
      <c r="B6" s="1568"/>
      <c r="C6" s="1568"/>
      <c r="D6" s="1568"/>
      <c r="E6" s="1568"/>
    </row>
    <row r="7" spans="1:47">
      <c r="A7" s="1568" t="s">
        <v>63</v>
      </c>
      <c r="B7" s="1568"/>
      <c r="C7" s="1568"/>
      <c r="D7" s="1568"/>
      <c r="E7" s="1568"/>
    </row>
    <row r="8" spans="1:47">
      <c r="B8" s="265"/>
      <c r="C8" s="265"/>
      <c r="D8" s="265"/>
      <c r="E8" s="265"/>
    </row>
    <row r="9" spans="1:47" ht="13.5" thickBot="1">
      <c r="A9" s="15" t="s">
        <v>838</v>
      </c>
      <c r="B9" s="583" t="s">
        <v>595</v>
      </c>
      <c r="C9" s="583" t="s">
        <v>443</v>
      </c>
      <c r="D9" s="583" t="s">
        <v>469</v>
      </c>
      <c r="E9" s="583" t="s">
        <v>468</v>
      </c>
      <c r="F9" s="583" t="s">
        <v>170</v>
      </c>
    </row>
    <row r="10" spans="1:47">
      <c r="A10" s="15" t="s">
        <v>470</v>
      </c>
      <c r="B10" s="265"/>
      <c r="C10" s="265">
        <f>'ROR-Model'!I1098+'ROR-Model'!I1109</f>
        <v>74930143.431999996</v>
      </c>
      <c r="D10" s="265">
        <f ca="1">'ROR-Model'!I1100+'ROR-Model'!I1111</f>
        <v>2737920205.301332</v>
      </c>
      <c r="E10" s="265">
        <f ca="1">'ROR-Model'!I1099+'ROR-Model'!I1110</f>
        <v>91689444.462740436</v>
      </c>
      <c r="F10" s="265">
        <f ca="1">SUM(B10:E10)</f>
        <v>2904539793.1960726</v>
      </c>
    </row>
    <row r="11" spans="1:47">
      <c r="B11" s="265"/>
      <c r="C11" s="265"/>
      <c r="D11" s="265"/>
      <c r="E11" s="265"/>
      <c r="F11" s="265"/>
    </row>
    <row r="12" spans="1:47">
      <c r="A12" s="15" t="s">
        <v>471</v>
      </c>
      <c r="B12" s="265"/>
      <c r="C12" s="265"/>
      <c r="D12" s="265">
        <f>$C10*D46</f>
        <v>72292570.682765946</v>
      </c>
      <c r="E12" s="265">
        <f>$C10*E46</f>
        <v>2637572.7492340426</v>
      </c>
      <c r="F12" s="265">
        <f>SUM(D12:E12)</f>
        <v>74930143.431999981</v>
      </c>
    </row>
    <row r="13" spans="1:47" ht="13.5" thickBot="1">
      <c r="B13" s="901"/>
      <c r="C13" s="901"/>
      <c r="D13" s="901"/>
      <c r="E13" s="901"/>
      <c r="F13" s="901"/>
    </row>
    <row r="14" spans="1:47" ht="13.5" thickTop="1"/>
    <row r="15" spans="1:47">
      <c r="A15" s="15" t="s">
        <v>64</v>
      </c>
      <c r="B15" s="265"/>
      <c r="C15" s="265"/>
      <c r="D15" s="265">
        <f ca="1">D10+D12</f>
        <v>2810212775.984098</v>
      </c>
      <c r="E15" s="265">
        <f ca="1">E10+E12</f>
        <v>94327017.211974472</v>
      </c>
      <c r="F15" s="265">
        <f ca="1">SUM(D15:E15)</f>
        <v>2904539793.1960726</v>
      </c>
    </row>
    <row r="16" spans="1:47">
      <c r="B16" s="333"/>
      <c r="C16" s="333"/>
      <c r="D16" s="333"/>
      <c r="E16" s="333"/>
      <c r="F16" s="333"/>
    </row>
    <row r="17" spans="1:6">
      <c r="B17" s="46"/>
      <c r="C17" s="46"/>
      <c r="D17" s="245"/>
      <c r="E17" s="46"/>
      <c r="F17" s="46"/>
    </row>
    <row r="18" spans="1:6">
      <c r="A18" s="15" t="s">
        <v>756</v>
      </c>
      <c r="B18" s="46"/>
      <c r="C18" s="46"/>
      <c r="D18" s="245">
        <f ca="1">+D$15/$F$15</f>
        <v>0.96752428132231583</v>
      </c>
      <c r="E18" s="245">
        <f ca="1">+E$15/$F$15</f>
        <v>3.2475718677684125E-2</v>
      </c>
      <c r="F18" s="46">
        <f ca="1">SUM(D18:E18)</f>
        <v>1</v>
      </c>
    </row>
    <row r="19" spans="1:6" ht="13.5" thickBot="1">
      <c r="A19" s="661"/>
      <c r="B19" s="661"/>
      <c r="C19" s="661"/>
      <c r="D19" s="661"/>
      <c r="E19" s="661"/>
      <c r="F19" s="661"/>
    </row>
    <row r="21" spans="1:6">
      <c r="A21" s="1568" t="s">
        <v>759</v>
      </c>
      <c r="B21" s="1568"/>
      <c r="C21" s="1568"/>
      <c r="D21" s="1568"/>
      <c r="E21" s="1568"/>
      <c r="F21" s="1568"/>
    </row>
    <row r="22" spans="1:6">
      <c r="A22" s="1568" t="s">
        <v>472</v>
      </c>
      <c r="B22" s="1568"/>
      <c r="C22" s="1568"/>
      <c r="D22" s="1568"/>
      <c r="E22" s="1568"/>
      <c r="F22" s="1568"/>
    </row>
    <row r="23" spans="1:6">
      <c r="D23" s="265"/>
      <c r="E23" s="265"/>
      <c r="F23" s="265"/>
    </row>
    <row r="24" spans="1:6" ht="13.5" thickBot="1">
      <c r="A24" s="15" t="s">
        <v>838</v>
      </c>
      <c r="B24" s="583" t="s">
        <v>595</v>
      </c>
      <c r="C24" s="583" t="s">
        <v>443</v>
      </c>
      <c r="D24" s="583" t="s">
        <v>469</v>
      </c>
      <c r="E24" s="583" t="s">
        <v>468</v>
      </c>
      <c r="F24" s="583" t="s">
        <v>170</v>
      </c>
    </row>
    <row r="25" spans="1:6">
      <c r="A25" s="15" t="s">
        <v>65</v>
      </c>
      <c r="B25" s="30">
        <f ca="1">'ROR-Model'!I1057+'ROR-Model'!I1068+'ROR-Model'!I1074+'ROR-Model'!I1080+'ROR-Model'!I1091+'ROR-Model'!I1112+'ROR-Model'!I1119+'ROR-Model'!I1126+'ROR-Model'!I1219</f>
        <v>-135975956.08354539</v>
      </c>
      <c r="C25" s="30">
        <f ca="1">'ROR-Model'!I1257</f>
        <v>2528227.9302099091</v>
      </c>
      <c r="D25" s="30">
        <f ca="1">'ROR-Model'!I1218+'ROR-Model'!I1111+'ROR-Model'!I1118+'ROR-Model'!I1125+'ROR-Model'!I1039+'ROR-Model'!I1044+'ROR-Model'!I1050+'ROR-Model'!I1056+'ROR-Model'!I1062+'ROR-Model'!I1067+'ROR-Model'!I1073+'ROR-Model'!I1079+'ROR-Model'!I1085+'ROR-Model'!I1090+'ROR-Model'!I1100</f>
        <v>2129246546.0665894</v>
      </c>
      <c r="E25" s="30">
        <f ca="1">'ROR-Model'!I1217+'ROR-Model'!I1110+'ROR-Model'!I1117+'ROR-Model'!I1124+'ROR-Model'!I1038+'ROR-Model'!I1043+'ROR-Model'!I1049+'ROR-Model'!I1055+'ROR-Model'!I1061+'ROR-Model'!I1066+'ROR-Model'!I1072+'ROR-Model'!I1078+'ROR-Model'!I1084+'ROR-Model'!I1089+'ROR-Model'!I1099</f>
        <v>65930160.213247553</v>
      </c>
      <c r="F25" s="30">
        <f ca="1">SUM(B25:E25)</f>
        <v>2061728978.1265013</v>
      </c>
    </row>
    <row r="26" spans="1:6">
      <c r="B26" s="265"/>
      <c r="C26" s="265"/>
      <c r="D26" s="265"/>
      <c r="E26" s="265"/>
      <c r="F26" s="265"/>
    </row>
    <row r="27" spans="1:6">
      <c r="A27" s="15" t="s">
        <v>66</v>
      </c>
      <c r="B27" s="30"/>
      <c r="C27" s="30"/>
      <c r="D27" s="30">
        <f ca="1">$B25*D$18</f>
        <v>-131560039.18684703</v>
      </c>
      <c r="E27" s="30">
        <f ca="1">$B25*E$18</f>
        <v>-4415916.896698351</v>
      </c>
      <c r="F27" s="30">
        <f ca="1">SUM(B27:E27)</f>
        <v>-135975956.08354539</v>
      </c>
    </row>
    <row r="28" spans="1:6">
      <c r="B28" s="30"/>
    </row>
    <row r="29" spans="1:6">
      <c r="A29" s="15" t="s">
        <v>471</v>
      </c>
      <c r="B29" s="30"/>
      <c r="C29" s="30"/>
      <c r="D29" s="30">
        <f ca="1">$C25*D$46</f>
        <v>2439233.2374581769</v>
      </c>
      <c r="E29" s="30">
        <f ca="1">$C25*E$46</f>
        <v>88994.692751731927</v>
      </c>
      <c r="F29" s="30">
        <f ca="1">SUM(B29:E29)</f>
        <v>2528227.9302099086</v>
      </c>
    </row>
    <row r="30" spans="1:6" ht="13.5" thickBot="1">
      <c r="B30" s="901"/>
      <c r="C30" s="901"/>
      <c r="D30" s="901"/>
      <c r="E30" s="901"/>
      <c r="F30" s="901"/>
    </row>
    <row r="31" spans="1:6" ht="13.5" thickTop="1"/>
    <row r="32" spans="1:6">
      <c r="A32" s="15" t="s">
        <v>67</v>
      </c>
      <c r="B32" s="265"/>
      <c r="C32" s="265"/>
      <c r="D32" s="265">
        <f ca="1">SUM(D25:D30)</f>
        <v>2000125740.1172006</v>
      </c>
      <c r="E32" s="265">
        <f ca="1">SUM(E25:E30)</f>
        <v>61603238.00930094</v>
      </c>
      <c r="F32" s="30">
        <f ca="1">SUM(B32:E32)</f>
        <v>2061728978.1265016</v>
      </c>
    </row>
    <row r="33" spans="1:6">
      <c r="B33" s="204"/>
      <c r="C33" s="204"/>
      <c r="D33" s="204"/>
      <c r="E33" s="204"/>
      <c r="F33" s="204"/>
    </row>
    <row r="34" spans="1:6">
      <c r="B34" s="46"/>
      <c r="C34" s="46"/>
      <c r="D34" s="245"/>
      <c r="E34" s="245"/>
      <c r="F34" s="46"/>
    </row>
    <row r="35" spans="1:6">
      <c r="A35" s="15" t="s">
        <v>761</v>
      </c>
      <c r="B35" s="46"/>
      <c r="C35" s="46"/>
      <c r="D35" s="245">
        <f ca="1">+D$32/$F$32</f>
        <v>0.97012059360717728</v>
      </c>
      <c r="E35" s="245">
        <f ca="1">+E$32/$F$32</f>
        <v>2.9879406392822765E-2</v>
      </c>
      <c r="F35" s="46">
        <f ca="1">SUM(D35:E35)</f>
        <v>1</v>
      </c>
    </row>
    <row r="36" spans="1:6" ht="13.5" thickBot="1">
      <c r="A36" s="661"/>
      <c r="B36" s="661"/>
      <c r="C36" s="661"/>
      <c r="D36" s="521"/>
      <c r="E36" s="521"/>
      <c r="F36" s="661"/>
    </row>
    <row r="38" spans="1:6">
      <c r="A38" s="1568" t="s">
        <v>475</v>
      </c>
      <c r="B38" s="1568"/>
      <c r="C38" s="1568"/>
      <c r="D38" s="1568"/>
      <c r="E38" s="1568"/>
    </row>
    <row r="39" spans="1:6">
      <c r="A39" s="1568" t="s">
        <v>474</v>
      </c>
      <c r="B39" s="1568"/>
      <c r="C39" s="1568"/>
      <c r="D39" s="1568"/>
      <c r="E39" s="1568"/>
    </row>
    <row r="40" spans="1:6">
      <c r="A40" s="573" t="s">
        <v>760</v>
      </c>
      <c r="B40" s="574"/>
      <c r="C40" s="574"/>
      <c r="D40" s="265"/>
      <c r="E40" s="265"/>
    </row>
    <row r="41" spans="1:6">
      <c r="A41" s="573"/>
      <c r="B41" s="574"/>
      <c r="C41" s="574"/>
      <c r="D41" s="265"/>
      <c r="E41" s="265"/>
    </row>
    <row r="42" spans="1:6" ht="13.5" thickBot="1">
      <c r="B42" s="583"/>
      <c r="C42" s="583"/>
      <c r="D42" s="583" t="s">
        <v>61</v>
      </c>
      <c r="E42" s="583" t="s">
        <v>62</v>
      </c>
      <c r="F42" s="583" t="s">
        <v>170</v>
      </c>
    </row>
    <row r="43" spans="1:6">
      <c r="A43" s="15" t="s">
        <v>58</v>
      </c>
      <c r="B43" s="265"/>
      <c r="C43" s="265"/>
      <c r="D43" s="265">
        <f>Revenue!F204+Revenue!F233</f>
        <v>102028079.61</v>
      </c>
      <c r="E43" s="265">
        <f>Revenue!F328+Revenue!F356</f>
        <v>3722463.87</v>
      </c>
      <c r="F43" s="265">
        <f>SUM(D43:E43)</f>
        <v>105750543.48</v>
      </c>
    </row>
    <row r="44" spans="1:6">
      <c r="B44" s="333"/>
      <c r="C44" s="333"/>
      <c r="D44" s="333"/>
      <c r="E44" s="333"/>
      <c r="F44" s="333"/>
    </row>
    <row r="45" spans="1:6">
      <c r="B45" s="46"/>
      <c r="C45" s="46"/>
      <c r="D45" s="245"/>
      <c r="E45" s="46"/>
      <c r="F45" s="46"/>
    </row>
    <row r="46" spans="1:6">
      <c r="A46" s="15" t="s">
        <v>757</v>
      </c>
      <c r="B46" s="46"/>
      <c r="C46" s="46"/>
      <c r="D46" s="245">
        <f>D$43/$F$43</f>
        <v>0.96479957693357843</v>
      </c>
      <c r="E46" s="46">
        <f>E$43/$F$43</f>
        <v>3.5200423066421481E-2</v>
      </c>
      <c r="F46" s="46">
        <f>SUM(D46:E46)</f>
        <v>0.99999999999999989</v>
      </c>
    </row>
    <row r="48" spans="1:6" ht="13.5" thickBot="1">
      <c r="A48" s="661"/>
      <c r="B48" s="661"/>
      <c r="C48" s="661"/>
      <c r="D48" s="521"/>
      <c r="E48" s="521"/>
      <c r="F48" s="661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5" r:id="rId4" name="Button 65">
              <controlPr defaultSize="0" print="0" autoFill="0" autoPict="0" macro="[0]!Macro5">
                <anchor moveWithCells="1" sizeWithCells="1">
                  <from>
                    <xdr:col>0</xdr:col>
                    <xdr:colOff>161925</xdr:colOff>
                    <xdr:row>4</xdr:row>
                    <xdr:rowOff>85725</xdr:rowOff>
                  </from>
                  <to>
                    <xdr:col>0</xdr:col>
                    <xdr:colOff>676275</xdr:colOff>
                    <xdr:row>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072" r:id="rId5" name="Button 1056">
              <controlPr defaultSize="0" print="0" autoFill="0" autoPict="0" macro="[0]!Macro5">
                <anchor moveWithCells="1" sizeWithCells="1">
                  <from>
                    <xdr:col>0</xdr:col>
                    <xdr:colOff>161925</xdr:colOff>
                    <xdr:row>4</xdr:row>
                    <xdr:rowOff>85725</xdr:rowOff>
                  </from>
                  <to>
                    <xdr:col>0</xdr:col>
                    <xdr:colOff>676275</xdr:colOff>
                    <xdr:row>5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AG60"/>
  <sheetViews>
    <sheetView workbookViewId="0">
      <selection activeCell="D19" sqref="D19"/>
    </sheetView>
  </sheetViews>
  <sheetFormatPr defaultRowHeight="12.75"/>
  <cols>
    <col min="1" max="1" width="41.85546875" style="15" bestFit="1" customWidth="1"/>
    <col min="2" max="4" width="21.42578125" style="15" customWidth="1"/>
    <col min="5" max="5" width="23.5703125" style="15" bestFit="1" customWidth="1"/>
    <col min="6" max="7" width="4.42578125" style="24" customWidth="1"/>
    <col min="8" max="8" width="3.140625" style="15" customWidth="1"/>
    <col min="9" max="9" width="36.5703125" style="15" bestFit="1" customWidth="1"/>
    <col min="10" max="10" width="9.140625" style="15"/>
    <col min="11" max="11" width="12.28515625" style="15" customWidth="1"/>
    <col min="12" max="12" width="24.140625" style="15" bestFit="1" customWidth="1"/>
    <col min="13" max="13" width="13.7109375" style="15" customWidth="1"/>
    <col min="14" max="14" width="12.7109375" style="15" bestFit="1" customWidth="1"/>
    <col min="15" max="15" width="5" customWidth="1"/>
    <col min="16" max="16" width="4.140625" customWidth="1"/>
    <col min="18" max="18" width="12.5703125" customWidth="1"/>
    <col min="19" max="19" width="10" customWidth="1"/>
    <col min="20" max="20" width="2.7109375" customWidth="1"/>
    <col min="21" max="21" width="11.7109375" customWidth="1"/>
    <col min="22" max="22" width="12.7109375" customWidth="1"/>
    <col min="23" max="23" width="2.7109375" customWidth="1"/>
    <col min="24" max="24" width="12.7109375" customWidth="1"/>
    <col min="25" max="25" width="14.7109375" customWidth="1"/>
    <col min="26" max="26" width="2.7109375" customWidth="1"/>
    <col min="27" max="27" width="12.7109375" customWidth="1"/>
    <col min="28" max="28" width="15" customWidth="1"/>
    <col min="29" max="29" width="2.7109375" customWidth="1"/>
    <col min="30" max="30" width="14.7109375" customWidth="1"/>
    <col min="31" max="31" width="2.7109375" customWidth="1"/>
    <col min="32" max="32" width="14.28515625" customWidth="1"/>
    <col min="33" max="33" width="14" bestFit="1" customWidth="1"/>
    <col min="34" max="38" width="9.140625" style="15"/>
    <col min="39" max="40" width="15.7109375" style="15" bestFit="1" customWidth="1"/>
    <col min="41" max="16384" width="9.140625" style="15"/>
  </cols>
  <sheetData>
    <row r="1" spans="1:12" ht="13.5" thickBot="1">
      <c r="A1" s="24"/>
      <c r="B1" s="23"/>
      <c r="C1" s="325"/>
      <c r="D1" s="325"/>
      <c r="E1" s="23" t="s">
        <v>768</v>
      </c>
      <c r="I1" s="578" t="s">
        <v>160</v>
      </c>
    </row>
    <row r="2" spans="1:12">
      <c r="A2" s="24"/>
      <c r="B2" s="369"/>
      <c r="C2" s="505"/>
      <c r="D2" s="507"/>
      <c r="E2" s="326"/>
      <c r="I2" s="578" t="str">
        <f>'Control Panel'!$B$1</f>
        <v>Dominion Energy</v>
      </c>
      <c r="L2" s="25"/>
    </row>
    <row r="3" spans="1:12">
      <c r="B3" s="312"/>
      <c r="C3" s="506"/>
      <c r="D3" s="313"/>
      <c r="E3" s="313"/>
      <c r="I3" s="578" t="str">
        <f>'Control Panel'!$B$2</f>
        <v>Utah - DEC 2019 Adjusted Avg  Results</v>
      </c>
      <c r="L3" s="39"/>
    </row>
    <row r="4" spans="1:12">
      <c r="A4" s="44"/>
      <c r="B4" s="902"/>
      <c r="C4" s="903"/>
      <c r="D4" s="861"/>
      <c r="E4" s="861"/>
      <c r="I4" s="578" t="str">
        <f>'Control Panel'!$B$3</f>
        <v>12 Months Ended : Dec-2019</v>
      </c>
    </row>
    <row r="5" spans="1:12">
      <c r="A5" s="523" t="s">
        <v>825</v>
      </c>
      <c r="B5" s="902"/>
      <c r="C5" s="903"/>
      <c r="D5" s="861"/>
      <c r="E5" s="861"/>
      <c r="H5" s="88"/>
      <c r="I5" s="578"/>
      <c r="J5" s="24"/>
      <c r="K5" s="24"/>
      <c r="L5" s="24"/>
    </row>
    <row r="6" spans="1:12" ht="33" customHeight="1" thickBot="1">
      <c r="A6" s="24"/>
      <c r="B6" s="368" t="s">
        <v>1592</v>
      </c>
      <c r="C6" s="368" t="s">
        <v>1593</v>
      </c>
      <c r="D6" s="368" t="s">
        <v>1445</v>
      </c>
      <c r="E6" s="314" t="str">
        <f>+'Control Panel'!B68</f>
        <v>Distrigas 2017</v>
      </c>
      <c r="F6" s="24">
        <v>1</v>
      </c>
      <c r="H6" s="88"/>
      <c r="I6" s="44"/>
      <c r="J6" s="576" t="s">
        <v>50</v>
      </c>
      <c r="K6" s="576"/>
      <c r="L6" s="576" t="s">
        <v>51</v>
      </c>
    </row>
    <row r="7" spans="1:12" ht="13.5" thickBot="1">
      <c r="A7" s="24"/>
      <c r="B7" s="904"/>
      <c r="C7" s="905"/>
      <c r="D7" s="906"/>
      <c r="E7" s="907"/>
      <c r="F7" s="24">
        <f>+F6+1</f>
        <v>2</v>
      </c>
      <c r="H7" s="88"/>
      <c r="I7" s="908" t="s">
        <v>806</v>
      </c>
      <c r="J7" s="909" t="s">
        <v>52</v>
      </c>
      <c r="K7" s="910" t="s">
        <v>807</v>
      </c>
      <c r="L7" s="911" t="s">
        <v>53</v>
      </c>
    </row>
    <row r="8" spans="1:12" ht="13.5" thickTop="1">
      <c r="A8" s="43" t="s">
        <v>71</v>
      </c>
      <c r="B8" s="508">
        <v>0.44719999999999999</v>
      </c>
      <c r="C8" s="508">
        <v>0.46539999999999998</v>
      </c>
      <c r="D8" s="509">
        <v>0.49099999999999999</v>
      </c>
      <c r="E8" s="327">
        <f>HLOOKUP($E$6,$B$6:$D$13,F8,FALSE)</f>
        <v>0.49099999999999999</v>
      </c>
      <c r="F8" s="24">
        <f t="shared" ref="F8:F27" si="0">+F7+1</f>
        <v>3</v>
      </c>
      <c r="H8" s="88"/>
      <c r="I8" s="44"/>
      <c r="J8" s="912"/>
      <c r="K8" s="163"/>
      <c r="L8" s="862"/>
    </row>
    <row r="9" spans="1:12">
      <c r="A9" s="24" t="s">
        <v>72</v>
      </c>
      <c r="B9" s="508">
        <v>0.27610000000000001</v>
      </c>
      <c r="C9" s="508">
        <v>0.25619999999999998</v>
      </c>
      <c r="D9" s="509">
        <v>0.26790000000000003</v>
      </c>
      <c r="E9" s="327">
        <f>HLOOKUP($E$6,$B$6:$D$13,F9,FALSE)</f>
        <v>0.26790000000000003</v>
      </c>
      <c r="F9" s="24">
        <f t="shared" si="0"/>
        <v>4</v>
      </c>
      <c r="H9" s="88">
        <v>1</v>
      </c>
      <c r="I9" s="24" t="s">
        <v>54</v>
      </c>
      <c r="J9" s="101">
        <f>'Capital Str'!G24</f>
        <v>0.47933429200017746</v>
      </c>
      <c r="K9" s="101">
        <f>'Capital Str'!G30</f>
        <v>5.2455893909448444E-2</v>
      </c>
      <c r="L9" s="101">
        <f>J9*K9</f>
        <v>2.5143908768321892E-2</v>
      </c>
    </row>
    <row r="10" spans="1:12">
      <c r="A10" s="43" t="s">
        <v>686</v>
      </c>
      <c r="B10" s="508">
        <v>0.27110000000000001</v>
      </c>
      <c r="C10" s="508">
        <v>0.27150000000000002</v>
      </c>
      <c r="D10" s="509">
        <v>0.24110000000000001</v>
      </c>
      <c r="E10" s="327">
        <f>HLOOKUP($E$6,$B$6:$D$13,F10,FALSE)</f>
        <v>0.24110000000000001</v>
      </c>
      <c r="F10" s="24">
        <f t="shared" si="0"/>
        <v>5</v>
      </c>
      <c r="H10" s="88">
        <v>2</v>
      </c>
      <c r="I10" s="24" t="s">
        <v>55</v>
      </c>
      <c r="J10" s="101">
        <f>'Capital Str'!G26</f>
        <v>0.52066570799982248</v>
      </c>
      <c r="K10" s="101">
        <f>'Capital Str'!G32</f>
        <v>9.8500000000000004E-2</v>
      </c>
      <c r="L10" s="101">
        <f>J10*K10</f>
        <v>5.1285572237982517E-2</v>
      </c>
    </row>
    <row r="11" spans="1:12">
      <c r="A11" s="24" t="s">
        <v>393</v>
      </c>
      <c r="B11" s="508">
        <v>5.5999999999999999E-3</v>
      </c>
      <c r="C11" s="508">
        <v>6.8999999999999999E-3</v>
      </c>
      <c r="D11" s="509">
        <v>0</v>
      </c>
      <c r="E11" s="327">
        <f>HLOOKUP($E$6,$B$6:$D$13,F11,FALSE)</f>
        <v>0</v>
      </c>
      <c r="F11" s="24">
        <f t="shared" si="0"/>
        <v>6</v>
      </c>
      <c r="H11" s="88">
        <v>3</v>
      </c>
      <c r="I11" s="24" t="s">
        <v>774</v>
      </c>
      <c r="J11" s="913">
        <f>SUM(J9:J10)</f>
        <v>1</v>
      </c>
      <c r="K11" s="24"/>
      <c r="L11" s="913">
        <f>SUM(L9:L10)</f>
        <v>7.6429481006304409E-2</v>
      </c>
    </row>
    <row r="12" spans="1:12">
      <c r="A12" s="24"/>
      <c r="B12" s="315"/>
      <c r="C12" s="508"/>
      <c r="D12" s="509"/>
      <c r="E12" s="327"/>
      <c r="F12" s="24">
        <f t="shared" si="0"/>
        <v>7</v>
      </c>
      <c r="H12" s="88"/>
      <c r="I12" s="24"/>
      <c r="J12" s="24"/>
      <c r="K12" s="101"/>
      <c r="L12" s="24"/>
    </row>
    <row r="13" spans="1:12" ht="13.5" thickBot="1">
      <c r="A13" s="24"/>
      <c r="B13" s="914">
        <f>SUM(B8:B12)</f>
        <v>1</v>
      </c>
      <c r="C13" s="915">
        <f>SUM(C8:C12)</f>
        <v>1</v>
      </c>
      <c r="D13" s="916">
        <f>SUM(D8:D12)</f>
        <v>1</v>
      </c>
      <c r="E13" s="916">
        <f>SUM(E8:E12)</f>
        <v>1</v>
      </c>
      <c r="F13" s="24">
        <f t="shared" si="0"/>
        <v>8</v>
      </c>
      <c r="H13" s="88"/>
      <c r="I13" s="24"/>
      <c r="J13" s="24"/>
      <c r="K13" s="24"/>
      <c r="L13" s="24"/>
    </row>
    <row r="14" spans="1:12">
      <c r="A14" s="24"/>
      <c r="B14" s="917"/>
      <c r="C14" s="917"/>
      <c r="D14" s="325"/>
      <c r="E14" s="327"/>
      <c r="F14" s="24">
        <f t="shared" si="0"/>
        <v>9</v>
      </c>
      <c r="H14" s="88"/>
      <c r="I14" s="44" t="s">
        <v>775</v>
      </c>
      <c r="J14" s="24"/>
      <c r="K14" s="24"/>
      <c r="L14" s="24"/>
    </row>
    <row r="15" spans="1:12">
      <c r="A15" s="24"/>
      <c r="B15" s="315"/>
      <c r="C15" s="315"/>
      <c r="D15" s="504"/>
      <c r="E15" s="327"/>
      <c r="F15" s="24">
        <f t="shared" si="0"/>
        <v>10</v>
      </c>
      <c r="H15" s="88"/>
      <c r="I15" s="44"/>
      <c r="J15" s="24"/>
      <c r="K15" s="24"/>
      <c r="L15" s="576" t="s">
        <v>51</v>
      </c>
    </row>
    <row r="16" spans="1:12" ht="13.5" thickBot="1">
      <c r="A16" s="576"/>
      <c r="B16" s="904"/>
      <c r="C16" s="904"/>
      <c r="D16" s="918"/>
      <c r="E16" s="327"/>
      <c r="F16" s="24">
        <f t="shared" si="0"/>
        <v>11</v>
      </c>
      <c r="H16" s="88"/>
      <c r="I16" s="908" t="s">
        <v>806</v>
      </c>
      <c r="J16" s="852"/>
      <c r="K16" s="852"/>
      <c r="L16" s="911" t="s">
        <v>53</v>
      </c>
    </row>
    <row r="17" spans="1:12" ht="13.5" thickTop="1">
      <c r="B17" s="902"/>
      <c r="C17" s="902"/>
      <c r="D17" s="588"/>
      <c r="E17" s="861"/>
      <c r="F17" s="24">
        <f t="shared" si="0"/>
        <v>12</v>
      </c>
      <c r="H17" s="88"/>
      <c r="I17" s="524"/>
      <c r="J17" s="300"/>
      <c r="K17" s="300"/>
      <c r="L17" s="86"/>
    </row>
    <row r="18" spans="1:12" ht="13.5" thickBot="1">
      <c r="A18" s="24"/>
      <c r="B18" s="698"/>
      <c r="C18" s="698"/>
      <c r="D18" s="600"/>
      <c r="E18" s="678"/>
      <c r="F18" s="24">
        <f t="shared" si="0"/>
        <v>13</v>
      </c>
      <c r="H18" s="88"/>
      <c r="I18" s="24"/>
      <c r="J18" s="24"/>
      <c r="K18" s="24"/>
      <c r="L18" s="24"/>
    </row>
    <row r="19" spans="1:12">
      <c r="A19" s="919"/>
      <c r="B19" s="920"/>
      <c r="F19" s="24">
        <f t="shared" si="0"/>
        <v>14</v>
      </c>
      <c r="H19" s="88"/>
      <c r="I19" s="24"/>
      <c r="J19" s="24"/>
      <c r="K19" s="24"/>
      <c r="L19" s="24"/>
    </row>
    <row r="20" spans="1:12">
      <c r="A20" s="45"/>
      <c r="B20" s="919"/>
      <c r="C20" s="919"/>
      <c r="D20" s="919"/>
      <c r="E20" s="919"/>
      <c r="F20" s="24">
        <f t="shared" si="0"/>
        <v>15</v>
      </c>
      <c r="H20" s="88"/>
      <c r="I20" s="24"/>
      <c r="J20" s="24"/>
      <c r="K20" s="24"/>
      <c r="L20" s="24"/>
    </row>
    <row r="21" spans="1:12">
      <c r="E21" s="45"/>
      <c r="F21" s="24">
        <f t="shared" si="0"/>
        <v>16</v>
      </c>
      <c r="H21" s="88"/>
      <c r="I21" s="24"/>
      <c r="J21" s="24"/>
      <c r="K21" s="24"/>
      <c r="L21" s="24"/>
    </row>
    <row r="22" spans="1:12">
      <c r="F22" s="24">
        <f t="shared" si="0"/>
        <v>17</v>
      </c>
      <c r="H22" s="88"/>
      <c r="I22" s="24"/>
      <c r="J22" s="24"/>
      <c r="K22" s="24"/>
      <c r="L22" s="24"/>
    </row>
    <row r="23" spans="1:12">
      <c r="F23" s="24">
        <f t="shared" si="0"/>
        <v>18</v>
      </c>
      <c r="H23" s="88">
        <v>4</v>
      </c>
      <c r="I23" s="24" t="s">
        <v>55</v>
      </c>
      <c r="J23" s="24"/>
      <c r="K23" s="24"/>
      <c r="L23" s="862">
        <f>+L10</f>
        <v>5.1285572237982517E-2</v>
      </c>
    </row>
    <row r="24" spans="1:12">
      <c r="F24" s="24">
        <f t="shared" si="0"/>
        <v>19</v>
      </c>
      <c r="H24" s="88"/>
      <c r="I24" s="24"/>
      <c r="J24" s="24"/>
      <c r="K24" s="24"/>
      <c r="L24" s="862"/>
    </row>
    <row r="25" spans="1:12">
      <c r="F25" s="24">
        <f t="shared" si="0"/>
        <v>20</v>
      </c>
      <c r="H25" s="88">
        <v>5</v>
      </c>
      <c r="I25" s="24" t="s">
        <v>776</v>
      </c>
      <c r="J25" s="24"/>
      <c r="K25" s="24"/>
      <c r="L25" s="921">
        <f>Taxes!L23</f>
        <v>0.24754877899999997</v>
      </c>
    </row>
    <row r="26" spans="1:12">
      <c r="E26" s="45"/>
      <c r="F26" s="24">
        <f t="shared" si="0"/>
        <v>21</v>
      </c>
      <c r="H26" s="88"/>
      <c r="I26" s="24"/>
      <c r="J26" s="24"/>
      <c r="K26" s="24"/>
      <c r="L26" s="862"/>
    </row>
    <row r="27" spans="1:12">
      <c r="E27" s="45"/>
      <c r="F27" s="24">
        <f t="shared" si="0"/>
        <v>22</v>
      </c>
      <c r="H27" s="88">
        <v>6</v>
      </c>
      <c r="I27" s="43" t="s">
        <v>242</v>
      </c>
      <c r="J27" s="24"/>
      <c r="K27" s="24"/>
      <c r="L27" s="862">
        <f>L23/(1-L25)</f>
        <v>6.8158002547759194E-2</v>
      </c>
    </row>
    <row r="28" spans="1:12">
      <c r="E28" s="45"/>
      <c r="H28" s="88"/>
      <c r="I28" s="24"/>
      <c r="J28" s="24"/>
      <c r="K28" s="24"/>
      <c r="L28" s="862"/>
    </row>
    <row r="29" spans="1:12" ht="13.5" thickBot="1">
      <c r="A29" s="45"/>
      <c r="B29" s="45"/>
      <c r="C29" s="45"/>
      <c r="D29" s="45"/>
      <c r="E29" s="45"/>
      <c r="H29" s="88">
        <v>7</v>
      </c>
      <c r="I29" s="24" t="s">
        <v>54</v>
      </c>
      <c r="J29" s="24"/>
      <c r="K29" s="24"/>
      <c r="L29" s="922">
        <f>+L9</f>
        <v>2.5143908768321892E-2</v>
      </c>
    </row>
    <row r="30" spans="1:12" ht="13.5" thickTop="1">
      <c r="A30" s="45"/>
      <c r="B30" s="45"/>
      <c r="C30" s="45"/>
      <c r="D30" s="45"/>
      <c r="E30" s="45"/>
      <c r="H30" s="88"/>
      <c r="I30" s="24"/>
      <c r="J30" s="24"/>
      <c r="K30" s="24"/>
      <c r="L30" s="923"/>
    </row>
    <row r="31" spans="1:12">
      <c r="A31" s="45"/>
      <c r="B31" s="45"/>
      <c r="C31" s="45"/>
      <c r="D31" s="45"/>
      <c r="E31" s="45"/>
      <c r="H31" s="88">
        <v>8</v>
      </c>
      <c r="I31" s="43" t="s">
        <v>241</v>
      </c>
      <c r="J31" s="24"/>
      <c r="K31" s="24"/>
      <c r="L31" s="862">
        <f>L29+L27</f>
        <v>9.3301911316081093E-2</v>
      </c>
    </row>
    <row r="32" spans="1:12">
      <c r="H32" s="88"/>
      <c r="I32" s="24"/>
      <c r="J32" s="24"/>
      <c r="K32" s="24"/>
      <c r="L32" s="101"/>
    </row>
    <row r="33" spans="1:12" ht="13.5" thickBot="1">
      <c r="A33" s="45"/>
      <c r="B33" s="45"/>
      <c r="C33" s="45"/>
      <c r="D33" s="45"/>
      <c r="E33" s="45"/>
      <c r="I33" s="91"/>
      <c r="J33" s="924"/>
      <c r="K33" s="567"/>
      <c r="L33" s="567"/>
    </row>
    <row r="34" spans="1:12">
      <c r="I34" s="470"/>
      <c r="J34" s="470"/>
      <c r="K34" s="470"/>
    </row>
    <row r="35" spans="1:12">
      <c r="I35" s="470"/>
      <c r="J35" s="470"/>
      <c r="K35" s="572"/>
      <c r="L35" s="572"/>
    </row>
    <row r="36" spans="1:12">
      <c r="I36" s="470"/>
      <c r="J36" s="470"/>
      <c r="K36" s="90"/>
      <c r="L36" s="572" t="str">
        <f>'Capital Str'!G37</f>
        <v>ORDERED CAP STR 13-057-05</v>
      </c>
    </row>
    <row r="37" spans="1:12" ht="13.5" thickBot="1">
      <c r="I37" s="91" t="s">
        <v>118</v>
      </c>
      <c r="J37" s="924"/>
      <c r="K37" s="567"/>
      <c r="L37" s="96"/>
    </row>
    <row r="38" spans="1:12">
      <c r="I38" s="470" t="s">
        <v>733</v>
      </c>
      <c r="J38" s="470"/>
      <c r="K38" s="102"/>
      <c r="L38" s="102">
        <f>+'Capital Str'!G40</f>
        <v>559500000</v>
      </c>
    </row>
    <row r="39" spans="1:12">
      <c r="I39" s="470" t="s">
        <v>734</v>
      </c>
      <c r="J39" s="470"/>
      <c r="L39" s="102">
        <f>+'Capital Str'!G42</f>
        <v>-4542000</v>
      </c>
    </row>
    <row r="40" spans="1:12">
      <c r="I40" s="470" t="s">
        <v>735</v>
      </c>
      <c r="J40" s="470"/>
      <c r="L40" s="102">
        <f>+'Capital Str'!G43</f>
        <v>-3957000</v>
      </c>
    </row>
    <row r="41" spans="1:12">
      <c r="I41" s="92" t="s">
        <v>120</v>
      </c>
      <c r="J41" s="470"/>
      <c r="L41" s="925">
        <f>+'Capital Str'!G45</f>
        <v>551001000</v>
      </c>
    </row>
    <row r="42" spans="1:12">
      <c r="A42" s="30"/>
      <c r="I42" s="93"/>
      <c r="J42" s="470"/>
      <c r="L42" s="926"/>
    </row>
    <row r="43" spans="1:12">
      <c r="L43" s="95"/>
    </row>
    <row r="44" spans="1:12" ht="13.5" thickBot="1">
      <c r="I44" s="91" t="s">
        <v>119</v>
      </c>
      <c r="J44" s="924"/>
      <c r="K44" s="419"/>
      <c r="L44" s="419"/>
    </row>
    <row r="45" spans="1:12">
      <c r="I45" s="470" t="s">
        <v>736</v>
      </c>
      <c r="J45" s="470"/>
      <c r="K45" s="102"/>
      <c r="L45" s="102">
        <f>+'Capital Str'!G49</f>
        <v>28072750</v>
      </c>
    </row>
    <row r="46" spans="1:12">
      <c r="I46" s="470" t="s">
        <v>737</v>
      </c>
      <c r="J46" s="470"/>
      <c r="L46" s="102">
        <f>+'Capital Str'!G50</f>
        <v>830500</v>
      </c>
    </row>
    <row r="47" spans="1:12">
      <c r="I47" s="92" t="s">
        <v>121</v>
      </c>
      <c r="J47" s="470"/>
      <c r="L47" s="925">
        <f>+'Capital Str'!G51</f>
        <v>28903250</v>
      </c>
    </row>
    <row r="48" spans="1:12">
      <c r="L48" s="95"/>
    </row>
    <row r="49" spans="9:13">
      <c r="I49" s="93" t="s">
        <v>530</v>
      </c>
      <c r="J49" s="470"/>
      <c r="L49" s="199">
        <f>+'Capital Str'!G53</f>
        <v>5.2455893909448444E-2</v>
      </c>
      <c r="M49" s="199"/>
    </row>
    <row r="50" spans="9:13">
      <c r="I50" s="92"/>
      <c r="K50" s="95"/>
      <c r="L50" s="95"/>
    </row>
    <row r="51" spans="9:13">
      <c r="K51" s="95"/>
      <c r="L51" s="95"/>
    </row>
    <row r="52" spans="9:13" ht="13.5" thickBot="1">
      <c r="I52" s="94" t="s">
        <v>738</v>
      </c>
      <c r="J52" s="924"/>
      <c r="K52" s="419"/>
      <c r="L52" s="419"/>
    </row>
    <row r="53" spans="9:13">
      <c r="I53" s="470" t="s">
        <v>739</v>
      </c>
      <c r="J53" s="470"/>
      <c r="K53" s="102"/>
      <c r="L53" s="102">
        <f>+'Capital Str'!G57</f>
        <v>22974000</v>
      </c>
    </row>
    <row r="54" spans="9:13">
      <c r="I54" s="470" t="s">
        <v>740</v>
      </c>
      <c r="J54" s="470"/>
      <c r="L54" s="102">
        <f>+'Capital Str'!G58</f>
        <v>279453000</v>
      </c>
    </row>
    <row r="55" spans="9:13">
      <c r="I55" s="470" t="s">
        <v>741</v>
      </c>
      <c r="J55" s="470"/>
      <c r="L55" s="102">
        <f>'Capital Str'!G59</f>
        <v>296085000</v>
      </c>
    </row>
    <row r="56" spans="9:13">
      <c r="I56" s="93" t="s">
        <v>742</v>
      </c>
      <c r="J56" s="470"/>
      <c r="L56" s="925">
        <f>+'Capital Str'!G60</f>
        <v>598512000</v>
      </c>
    </row>
    <row r="57" spans="9:13" ht="13.5" thickBot="1">
      <c r="I57" s="714"/>
      <c r="J57" s="714"/>
      <c r="K57" s="210"/>
      <c r="L57" s="210"/>
    </row>
    <row r="58" spans="9:13" ht="13.5" thickTop="1">
      <c r="I58" s="93"/>
      <c r="J58" s="470"/>
      <c r="K58" s="102"/>
      <c r="L58" s="102"/>
    </row>
    <row r="59" spans="9:13">
      <c r="I59" s="93" t="s">
        <v>743</v>
      </c>
      <c r="J59" s="470"/>
      <c r="K59" s="33"/>
      <c r="L59" s="106">
        <f>+'Capital Str'!G63</f>
        <v>1149513000</v>
      </c>
    </row>
    <row r="60" spans="9:13">
      <c r="K60" s="95"/>
    </row>
  </sheetData>
  <phoneticPr fontId="0" type="noConversion"/>
  <dataValidations count="1">
    <dataValidation showInputMessage="1" showErrorMessage="1" sqref="B6:D6"/>
  </dataValidations>
  <printOptions horizontalCentered="1"/>
  <pageMargins left="0.75" right="0.75" top="1" bottom="1" header="0.5" footer="0.5"/>
  <pageSetup scale="83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200025</xdr:colOff>
                    <xdr:row>0</xdr:row>
                    <xdr:rowOff>66675</xdr:rowOff>
                  </from>
                  <to>
                    <xdr:col>0</xdr:col>
                    <xdr:colOff>714375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286"/>
  <sheetViews>
    <sheetView view="pageBreakPreview" zoomScaleNormal="100" zoomScaleSheetLayoutView="100" workbookViewId="0">
      <selection activeCell="G28" sqref="G28"/>
    </sheetView>
  </sheetViews>
  <sheetFormatPr defaultRowHeight="12.75"/>
  <cols>
    <col min="1" max="1" width="7.28515625" style="15" customWidth="1"/>
    <col min="2" max="2" width="5.28515625" style="15" customWidth="1"/>
    <col min="3" max="3" width="17" style="15" customWidth="1"/>
    <col min="4" max="4" width="9.140625" style="221"/>
    <col min="5" max="5" width="17" style="501" customWidth="1"/>
    <col min="6" max="6" width="9.140625" style="221"/>
    <col min="7" max="7" width="11.5703125" style="221" customWidth="1"/>
    <col min="8" max="8" width="19.42578125" style="221" customWidth="1"/>
    <col min="9" max="9" width="18.42578125" style="221" customWidth="1"/>
    <col min="10" max="10" width="19.28515625" style="221" customWidth="1"/>
    <col min="11" max="11" width="18.140625" style="951" customWidth="1"/>
    <col min="12" max="12" width="2.5703125" style="221" bestFit="1" customWidth="1"/>
    <col min="13" max="16384" width="9.140625" style="221"/>
  </cols>
  <sheetData>
    <row r="1" spans="1:13">
      <c r="A1" s="578" t="str">
        <f>'Control Panel'!$B$1</f>
        <v>Dominion Energy</v>
      </c>
    </row>
    <row r="2" spans="1:13">
      <c r="A2" s="578" t="str">
        <f>'Control Panel'!$B$2</f>
        <v>Utah - DEC 2019 Adjusted Avg  Results</v>
      </c>
      <c r="B2" s="116"/>
      <c r="C2" s="116"/>
    </row>
    <row r="3" spans="1:13">
      <c r="A3" s="578" t="str">
        <f>'Control Panel'!$B$3</f>
        <v>12 Months Ended : Dec-2019</v>
      </c>
      <c r="B3" s="116"/>
      <c r="C3" s="116"/>
    </row>
    <row r="4" spans="1:13">
      <c r="A4" s="123"/>
      <c r="B4" s="116"/>
      <c r="C4" s="116"/>
    </row>
    <row r="5" spans="1:13">
      <c r="A5" s="105"/>
      <c r="B5" s="116"/>
      <c r="C5" s="239"/>
    </row>
    <row r="6" spans="1:13">
      <c r="A6" s="127"/>
      <c r="B6" s="116"/>
      <c r="C6" s="116"/>
    </row>
    <row r="7" spans="1:13" ht="15.75">
      <c r="A7" s="53"/>
      <c r="B7" s="116"/>
      <c r="C7" s="116"/>
    </row>
    <row r="8" spans="1:13" ht="15.75">
      <c r="A8" s="53"/>
      <c r="B8" s="116"/>
      <c r="C8" s="116"/>
    </row>
    <row r="9" spans="1:13" s="1" customFormat="1">
      <c r="B9" s="1582" t="s">
        <v>1447</v>
      </c>
      <c r="C9" s="1582"/>
      <c r="D9" s="1582"/>
      <c r="E9" s="1582"/>
      <c r="F9" s="1582"/>
      <c r="G9" s="1582"/>
      <c r="H9" s="1582"/>
      <c r="I9" s="1582"/>
      <c r="K9" s="19"/>
    </row>
    <row r="10" spans="1:13" s="1" customFormat="1">
      <c r="B10" s="1582"/>
      <c r="C10" s="1582"/>
      <c r="D10" s="1582"/>
      <c r="E10" s="1582"/>
      <c r="F10" s="1582"/>
      <c r="G10" s="1582"/>
      <c r="H10" s="1582"/>
      <c r="I10" s="1582"/>
      <c r="K10" s="1542" t="s">
        <v>1588</v>
      </c>
    </row>
    <row r="11" spans="1:13" s="1" customFormat="1">
      <c r="H11" s="1542" t="s">
        <v>1589</v>
      </c>
      <c r="I11" s="1542" t="s">
        <v>1590</v>
      </c>
      <c r="J11" s="1542" t="s">
        <v>1591</v>
      </c>
      <c r="K11" s="26" t="str">
        <f>'Control Panel'!F40</f>
        <v>2019 Transition</v>
      </c>
    </row>
    <row r="12" spans="1:13" s="1" customFormat="1">
      <c r="D12" s="1312" t="s">
        <v>796</v>
      </c>
      <c r="E12" s="1312" t="s">
        <v>797</v>
      </c>
      <c r="F12" s="1312" t="s">
        <v>798</v>
      </c>
      <c r="G12" s="1470" t="s">
        <v>799</v>
      </c>
      <c r="H12" s="1312" t="s">
        <v>778</v>
      </c>
      <c r="I12" s="1440" t="s">
        <v>779</v>
      </c>
      <c r="J12" s="1312" t="s">
        <v>560</v>
      </c>
      <c r="K12" s="1312" t="s">
        <v>766</v>
      </c>
    </row>
    <row r="13" spans="1:13" s="1" customFormat="1">
      <c r="D13" s="1312"/>
      <c r="E13" s="1312"/>
      <c r="F13" s="1440"/>
      <c r="H13" s="1440"/>
      <c r="K13" s="15"/>
    </row>
    <row r="14" spans="1:13" s="1" customFormat="1">
      <c r="E14" s="1437"/>
      <c r="F14" s="1311"/>
      <c r="H14" s="1440"/>
      <c r="K14" s="15"/>
    </row>
    <row r="15" spans="1:13" s="1" customFormat="1">
      <c r="B15" s="1471"/>
      <c r="C15" s="1471"/>
      <c r="D15" s="1472"/>
      <c r="E15" s="306"/>
      <c r="F15" s="306"/>
      <c r="G15" s="306"/>
      <c r="H15" s="306"/>
      <c r="I15" s="306"/>
      <c r="K15" s="15"/>
    </row>
    <row r="16" spans="1:13" s="1" customFormat="1" ht="13.5" thickBot="1">
      <c r="C16" s="1583" t="s">
        <v>1506</v>
      </c>
      <c r="D16" s="1584"/>
      <c r="E16" s="1473"/>
      <c r="F16" s="1473"/>
      <c r="G16" s="1473"/>
      <c r="H16" s="1474" t="s">
        <v>1589</v>
      </c>
      <c r="I16" s="1474" t="s">
        <v>1590</v>
      </c>
      <c r="J16" s="1474" t="s">
        <v>1591</v>
      </c>
      <c r="K16" s="1474" t="str">
        <f>K11</f>
        <v>2019 Transition</v>
      </c>
      <c r="M16" s="1">
        <v>1</v>
      </c>
    </row>
    <row r="17" spans="1:13" s="1" customFormat="1">
      <c r="C17" s="1085"/>
      <c r="D17" s="1431"/>
      <c r="E17" s="308"/>
      <c r="F17" s="308"/>
      <c r="H17" s="308"/>
      <c r="I17" s="308"/>
      <c r="J17" s="308"/>
      <c r="K17" s="308"/>
      <c r="M17" s="1">
        <f>M16+1</f>
        <v>2</v>
      </c>
    </row>
    <row r="18" spans="1:13" s="1" customFormat="1">
      <c r="C18" s="1085">
        <v>1</v>
      </c>
      <c r="D18" s="193" t="s">
        <v>1507</v>
      </c>
      <c r="E18" s="1085"/>
      <c r="F18" s="1085"/>
      <c r="G18" s="1107" t="s">
        <v>455</v>
      </c>
      <c r="H18" s="9">
        <v>184950</v>
      </c>
      <c r="I18" s="9">
        <f>I20-I19</f>
        <v>4306.6361965483229</v>
      </c>
      <c r="J18" s="9">
        <v>0</v>
      </c>
      <c r="K18" s="9">
        <f>HLOOKUP($K$16,$H$16:$J$25,M18,FALSE)</f>
        <v>0</v>
      </c>
      <c r="M18" s="1">
        <f t="shared" ref="M18:M27" si="0">M17+1</f>
        <v>3</v>
      </c>
    </row>
    <row r="19" spans="1:13" s="1" customFormat="1">
      <c r="C19" s="1085">
        <v>2</v>
      </c>
      <c r="D19" s="193" t="s">
        <v>1508</v>
      </c>
      <c r="E19" s="1475"/>
      <c r="F19" s="147"/>
      <c r="G19" s="1107" t="s">
        <v>455</v>
      </c>
      <c r="H19" s="1475">
        <v>7416377</v>
      </c>
      <c r="I19" s="1475">
        <f>I20*H19/H20</f>
        <v>172693.36380345168</v>
      </c>
      <c r="J19" s="9">
        <v>0</v>
      </c>
      <c r="K19" s="9">
        <f>HLOOKUP($K$16,$H$16:$J$25,M19,FALSE)</f>
        <v>0</v>
      </c>
      <c r="M19" s="1">
        <f t="shared" si="0"/>
        <v>4</v>
      </c>
    </row>
    <row r="20" spans="1:13" s="1" customFormat="1" ht="13.5" thickBot="1">
      <c r="C20" s="1085">
        <v>3</v>
      </c>
      <c r="D20" s="193" t="s">
        <v>1509</v>
      </c>
      <c r="E20" s="1475"/>
      <c r="F20" s="147"/>
      <c r="G20" s="1475"/>
      <c r="H20" s="1476">
        <f>SUM(H18:H19)</f>
        <v>7601327</v>
      </c>
      <c r="I20" s="1476">
        <v>177000</v>
      </c>
      <c r="J20" s="1545">
        <v>0</v>
      </c>
      <c r="K20" s="1546">
        <f>SUM(K18:K19)</f>
        <v>0</v>
      </c>
      <c r="M20" s="1">
        <f t="shared" si="0"/>
        <v>5</v>
      </c>
    </row>
    <row r="21" spans="1:13" s="1" customFormat="1" ht="13.5" thickTop="1">
      <c r="D21" s="1431"/>
      <c r="E21" s="15"/>
      <c r="F21" s="186"/>
      <c r="G21" s="102"/>
      <c r="H21" s="102"/>
      <c r="I21" s="102"/>
      <c r="J21" s="102"/>
      <c r="K21" s="102"/>
      <c r="M21" s="1">
        <f t="shared" si="0"/>
        <v>6</v>
      </c>
    </row>
    <row r="22" spans="1:13" s="1" customFormat="1">
      <c r="D22" s="1431"/>
      <c r="E22" s="15"/>
      <c r="F22" s="186"/>
      <c r="G22" s="102"/>
      <c r="H22" s="102"/>
      <c r="I22" s="102"/>
      <c r="J22" s="102"/>
      <c r="K22" s="102"/>
      <c r="M22" s="1">
        <f t="shared" si="0"/>
        <v>7</v>
      </c>
    </row>
    <row r="23" spans="1:13" s="1" customFormat="1">
      <c r="D23" s="193" t="s">
        <v>641</v>
      </c>
      <c r="E23" s="15"/>
      <c r="F23" s="186"/>
      <c r="G23" s="102"/>
      <c r="H23" s="102">
        <v>7353381.9971292093</v>
      </c>
      <c r="I23" s="102">
        <f>I25-I24</f>
        <v>171226.49946408963</v>
      </c>
      <c r="J23" s="102">
        <v>0</v>
      </c>
      <c r="K23" s="9">
        <f t="shared" ref="K23:K24" si="1">HLOOKUP($K$16,$H$16:$J$25,M23,FALSE)</f>
        <v>0</v>
      </c>
      <c r="M23" s="1">
        <f t="shared" si="0"/>
        <v>8</v>
      </c>
    </row>
    <row r="24" spans="1:13" s="1" customFormat="1">
      <c r="D24" s="193" t="s">
        <v>642</v>
      </c>
      <c r="E24" s="15"/>
      <c r="F24" s="186"/>
      <c r="G24" s="102"/>
      <c r="H24" s="102">
        <f>H20-H23</f>
        <v>247945.00287079066</v>
      </c>
      <c r="I24" s="102">
        <f>I20*H24/H25</f>
        <v>5773.500535910367</v>
      </c>
      <c r="J24" s="102">
        <v>0</v>
      </c>
      <c r="K24" s="9">
        <f t="shared" si="1"/>
        <v>0</v>
      </c>
      <c r="M24" s="1">
        <f t="shared" si="0"/>
        <v>9</v>
      </c>
    </row>
    <row r="25" spans="1:13" s="1" customFormat="1">
      <c r="D25" s="1438" t="s">
        <v>170</v>
      </c>
      <c r="E25" s="15"/>
      <c r="F25" s="186"/>
      <c r="G25" s="102"/>
      <c r="H25" s="1213">
        <f>SUM(H23:H24)</f>
        <v>7601327</v>
      </c>
      <c r="I25" s="1213">
        <f>I20</f>
        <v>177000</v>
      </c>
      <c r="J25" s="1213">
        <v>0</v>
      </c>
      <c r="K25" s="1213">
        <f>SUM(K23:K24)</f>
        <v>0</v>
      </c>
      <c r="M25" s="1">
        <f t="shared" si="0"/>
        <v>10</v>
      </c>
    </row>
    <row r="26" spans="1:13" s="1" customFormat="1">
      <c r="D26" s="1431"/>
      <c r="E26" s="15"/>
      <c r="F26" s="186"/>
      <c r="G26" s="102"/>
      <c r="H26" s="102"/>
      <c r="I26" s="102"/>
      <c r="J26" s="102"/>
      <c r="K26" s="102"/>
      <c r="M26" s="1">
        <f t="shared" si="0"/>
        <v>11</v>
      </c>
    </row>
    <row r="27" spans="1:13" s="1" customFormat="1">
      <c r="D27" s="1431"/>
      <c r="E27" s="15"/>
      <c r="F27" s="186"/>
      <c r="G27" s="102"/>
      <c r="H27" s="102"/>
      <c r="I27" s="102"/>
      <c r="J27" s="102"/>
      <c r="K27" s="102"/>
      <c r="M27" s="1">
        <f t="shared" si="0"/>
        <v>12</v>
      </c>
    </row>
    <row r="28" spans="1:13" s="1" customFormat="1">
      <c r="C28" s="1085" t="s">
        <v>455</v>
      </c>
      <c r="D28" s="209" t="s">
        <v>1510</v>
      </c>
    </row>
    <row r="29" spans="1:13" ht="15.75">
      <c r="A29" s="53"/>
      <c r="B29" s="116"/>
      <c r="C29" s="116"/>
      <c r="K29" s="221"/>
    </row>
    <row r="30" spans="1:13" ht="15.75">
      <c r="A30" s="53"/>
      <c r="B30" s="116"/>
      <c r="C30" s="116"/>
      <c r="K30" s="221"/>
    </row>
    <row r="31" spans="1:13" ht="15.75">
      <c r="A31" s="53"/>
      <c r="B31" s="116"/>
      <c r="C31" s="116"/>
      <c r="K31" s="221"/>
    </row>
    <row r="32" spans="1:13" ht="15.75">
      <c r="A32" s="53"/>
      <c r="B32" s="116"/>
      <c r="C32" s="116"/>
      <c r="K32" s="221"/>
    </row>
    <row r="33" spans="1:11" ht="15.75">
      <c r="A33" s="53"/>
      <c r="B33" s="116"/>
      <c r="C33" s="116"/>
      <c r="K33" s="221"/>
    </row>
    <row r="34" spans="1:11" ht="15.75">
      <c r="A34" s="53"/>
      <c r="B34" s="116"/>
      <c r="C34" s="116"/>
    </row>
    <row r="35" spans="1:11" ht="15.75">
      <c r="A35" s="53"/>
      <c r="B35" s="116"/>
      <c r="C35" s="116"/>
    </row>
    <row r="36" spans="1:11" ht="15.75">
      <c r="A36" s="53"/>
      <c r="B36" s="116"/>
      <c r="C36" s="116"/>
    </row>
    <row r="37" spans="1:11" ht="15.75">
      <c r="A37" s="53"/>
      <c r="B37" s="116"/>
      <c r="C37" s="116"/>
    </row>
    <row r="38" spans="1:11" ht="15.75">
      <c r="A38" s="53"/>
      <c r="B38" s="116"/>
      <c r="C38" s="116"/>
    </row>
    <row r="39" spans="1:11" ht="15.75">
      <c r="A39" s="53"/>
      <c r="B39" s="116"/>
      <c r="C39" s="116"/>
    </row>
    <row r="40" spans="1:11" ht="15.75">
      <c r="A40" s="53"/>
      <c r="B40" s="116"/>
      <c r="C40" s="116"/>
    </row>
    <row r="41" spans="1:11" ht="15.75">
      <c r="A41" s="53"/>
      <c r="B41" s="116"/>
      <c r="C41" s="116"/>
    </row>
    <row r="42" spans="1:11" ht="15.75">
      <c r="A42" s="53"/>
      <c r="B42" s="116"/>
      <c r="C42" s="116"/>
    </row>
    <row r="43" spans="1:11" ht="15.75">
      <c r="A43" s="53"/>
      <c r="B43" s="116"/>
      <c r="C43" s="116"/>
    </row>
    <row r="44" spans="1:11" ht="15.75">
      <c r="A44" s="53"/>
      <c r="B44" s="116"/>
      <c r="C44" s="116"/>
    </row>
    <row r="45" spans="1:11" ht="15.75">
      <c r="A45" s="53"/>
      <c r="B45" s="116"/>
      <c r="C45" s="116"/>
    </row>
    <row r="46" spans="1:11">
      <c r="A46" s="738"/>
      <c r="B46" s="116"/>
      <c r="C46" s="116"/>
    </row>
    <row r="47" spans="1:11" ht="13.5" thickBot="1">
      <c r="A47" s="55" t="s">
        <v>841</v>
      </c>
      <c r="B47" s="56"/>
      <c r="C47" s="554" t="s">
        <v>842</v>
      </c>
      <c r="D47" s="927"/>
      <c r="E47" s="560" t="s">
        <v>607</v>
      </c>
      <c r="G47" s="555" t="s">
        <v>1200</v>
      </c>
    </row>
    <row r="48" spans="1:11">
      <c r="A48" s="33" t="s">
        <v>843</v>
      </c>
      <c r="B48" s="33"/>
      <c r="C48" s="33"/>
    </row>
    <row r="49" spans="1:7">
      <c r="A49" s="33" t="s">
        <v>13</v>
      </c>
      <c r="B49" s="33"/>
      <c r="C49" s="33"/>
    </row>
    <row r="50" spans="1:7">
      <c r="A50" s="33"/>
      <c r="B50" s="33"/>
      <c r="C50" s="33"/>
    </row>
    <row r="51" spans="1:7">
      <c r="A51" s="33"/>
      <c r="B51" s="33"/>
      <c r="C51" s="33"/>
    </row>
    <row r="52" spans="1:7" ht="15.75">
      <c r="A52" s="53"/>
      <c r="B52" s="116"/>
      <c r="C52" s="116"/>
    </row>
    <row r="53" spans="1:7">
      <c r="A53" s="59" t="s">
        <v>14</v>
      </c>
      <c r="B53" s="740"/>
      <c r="C53" s="116"/>
    </row>
    <row r="54" spans="1:7" ht="15">
      <c r="A54" s="330"/>
      <c r="B54" s="728" t="s">
        <v>880</v>
      </c>
      <c r="C54" s="728" t="s">
        <v>16</v>
      </c>
      <c r="E54" s="928"/>
      <c r="G54" s="133">
        <f>SUM(E54:E54)</f>
        <v>0</v>
      </c>
    </row>
    <row r="55" spans="1:7">
      <c r="A55" s="330"/>
      <c r="B55" s="728"/>
      <c r="C55" s="728"/>
      <c r="G55" s="133"/>
    </row>
    <row r="56" spans="1:7" ht="15">
      <c r="A56" s="330"/>
      <c r="B56" s="728"/>
      <c r="C56" s="728" t="s">
        <v>17</v>
      </c>
      <c r="E56" s="928"/>
      <c r="G56" s="133">
        <f>SUM(E56:E56)</f>
        <v>0</v>
      </c>
    </row>
    <row r="57" spans="1:7">
      <c r="A57" s="330"/>
      <c r="B57" s="728"/>
      <c r="C57" s="728"/>
      <c r="G57" s="133"/>
    </row>
    <row r="58" spans="1:7" ht="15">
      <c r="A58" s="330"/>
      <c r="B58" s="728"/>
      <c r="C58" s="728" t="s">
        <v>18</v>
      </c>
      <c r="E58" s="928"/>
      <c r="G58" s="133">
        <f>SUM(E58:E58)</f>
        <v>0</v>
      </c>
    </row>
    <row r="59" spans="1:7">
      <c r="A59" s="330"/>
      <c r="B59" s="728"/>
      <c r="C59" s="728" t="s">
        <v>19</v>
      </c>
      <c r="E59" s="501">
        <f>SUM(E54:E58)</f>
        <v>0</v>
      </c>
      <c r="G59" s="241">
        <f>SUM(E59:E59)</f>
        <v>0</v>
      </c>
    </row>
    <row r="60" spans="1:7">
      <c r="A60" s="330"/>
      <c r="B60" s="728"/>
      <c r="C60" s="728"/>
      <c r="G60" s="133"/>
    </row>
    <row r="61" spans="1:7">
      <c r="A61" s="330"/>
      <c r="B61" s="728"/>
      <c r="C61" s="728" t="s">
        <v>20</v>
      </c>
      <c r="G61" s="133">
        <f>SUM(E61:E61)</f>
        <v>0</v>
      </c>
    </row>
    <row r="62" spans="1:7">
      <c r="A62" s="330"/>
      <c r="B62" s="728"/>
      <c r="C62" s="728"/>
      <c r="G62" s="133"/>
    </row>
    <row r="63" spans="1:7" hidden="1">
      <c r="A63" s="330"/>
      <c r="B63" s="728" t="s">
        <v>247</v>
      </c>
      <c r="C63" s="728" t="s">
        <v>16</v>
      </c>
      <c r="G63" s="133">
        <f>SUM(E63:E63)</f>
        <v>0</v>
      </c>
    </row>
    <row r="64" spans="1:7" hidden="1">
      <c r="A64" s="330"/>
      <c r="B64" s="728"/>
      <c r="C64" s="728"/>
      <c r="G64" s="133"/>
    </row>
    <row r="65" spans="1:7" hidden="1">
      <c r="A65" s="330"/>
      <c r="B65" s="728"/>
      <c r="C65" s="728" t="s">
        <v>17</v>
      </c>
      <c r="G65" s="133">
        <f>SUM(E65:E65)</f>
        <v>0</v>
      </c>
    </row>
    <row r="66" spans="1:7" hidden="1">
      <c r="A66" s="330"/>
      <c r="B66" s="728"/>
      <c r="C66" s="728"/>
      <c r="G66" s="133"/>
    </row>
    <row r="67" spans="1:7" hidden="1">
      <c r="A67" s="330"/>
      <c r="B67" s="728"/>
      <c r="C67" s="728" t="s">
        <v>18</v>
      </c>
      <c r="G67" s="133">
        <f>SUM(E67:E67)</f>
        <v>0</v>
      </c>
    </row>
    <row r="68" spans="1:7" hidden="1">
      <c r="A68" s="330"/>
      <c r="B68" s="728"/>
      <c r="C68" s="728" t="s">
        <v>19</v>
      </c>
      <c r="E68" s="501">
        <f>SUM(E63:E67)</f>
        <v>0</v>
      </c>
      <c r="G68" s="241">
        <f>SUM(E68:E68)</f>
        <v>0</v>
      </c>
    </row>
    <row r="69" spans="1:7" hidden="1">
      <c r="A69" s="330"/>
      <c r="B69" s="728"/>
      <c r="C69" s="728"/>
      <c r="G69" s="133"/>
    </row>
    <row r="70" spans="1:7" hidden="1">
      <c r="A70" s="330"/>
      <c r="B70" s="728"/>
      <c r="C70" s="728" t="s">
        <v>20</v>
      </c>
      <c r="G70" s="133">
        <f>SUM(E70:E70)</f>
        <v>0</v>
      </c>
    </row>
    <row r="71" spans="1:7" hidden="1">
      <c r="A71" s="330"/>
      <c r="B71" s="332"/>
      <c r="C71" s="728"/>
      <c r="G71" s="133"/>
    </row>
    <row r="72" spans="1:7" hidden="1">
      <c r="A72" s="330"/>
      <c r="B72" s="728" t="s">
        <v>808</v>
      </c>
      <c r="C72" s="728" t="s">
        <v>16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17</v>
      </c>
      <c r="G74" s="133">
        <f>SUM(E74:E74)</f>
        <v>0</v>
      </c>
    </row>
    <row r="75" spans="1:7" hidden="1">
      <c r="A75" s="330"/>
      <c r="B75" s="728"/>
      <c r="C75" s="728"/>
      <c r="G75" s="133"/>
    </row>
    <row r="76" spans="1:7" hidden="1">
      <c r="A76" s="330"/>
      <c r="B76" s="728"/>
      <c r="C76" s="728" t="s">
        <v>18</v>
      </c>
      <c r="G76" s="133">
        <f>SUM(E76:E76)</f>
        <v>0</v>
      </c>
    </row>
    <row r="77" spans="1:7" hidden="1">
      <c r="A77" s="330"/>
      <c r="B77" s="728"/>
      <c r="C77" s="728" t="s">
        <v>19</v>
      </c>
      <c r="E77" s="501">
        <f>SUM(E72:E76)</f>
        <v>0</v>
      </c>
      <c r="G77" s="241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/>
      <c r="C79" s="728" t="s">
        <v>20</v>
      </c>
      <c r="G79" s="133">
        <f>SUM(E79:E79)</f>
        <v>0</v>
      </c>
    </row>
    <row r="80" spans="1:7" hidden="1">
      <c r="A80" s="330"/>
      <c r="B80" s="332"/>
      <c r="C80" s="332"/>
      <c r="G80" s="133"/>
    </row>
    <row r="81" spans="1:7" ht="15">
      <c r="A81" s="330"/>
      <c r="B81" s="728" t="s">
        <v>948</v>
      </c>
      <c r="C81" s="728" t="s">
        <v>16</v>
      </c>
      <c r="E81" s="928"/>
      <c r="G81" s="133">
        <f>SUM(E81:E81)</f>
        <v>0</v>
      </c>
    </row>
    <row r="82" spans="1:7">
      <c r="A82" s="330"/>
      <c r="B82" s="728"/>
      <c r="C82" s="728"/>
      <c r="G82" s="133"/>
    </row>
    <row r="83" spans="1:7" ht="15">
      <c r="A83" s="330"/>
      <c r="B83" s="728"/>
      <c r="C83" s="728" t="s">
        <v>17</v>
      </c>
      <c r="E83" s="928"/>
      <c r="G83" s="133">
        <f>SUM(E83:E83)</f>
        <v>0</v>
      </c>
    </row>
    <row r="84" spans="1:7">
      <c r="A84" s="330"/>
      <c r="B84" s="728"/>
      <c r="C84" s="728"/>
      <c r="G84" s="133"/>
    </row>
    <row r="85" spans="1:7" ht="15">
      <c r="A85" s="330"/>
      <c r="B85" s="728"/>
      <c r="C85" s="728" t="s">
        <v>18</v>
      </c>
      <c r="E85" s="928"/>
      <c r="G85" s="133">
        <f>SUM(E85:E85)</f>
        <v>0</v>
      </c>
    </row>
    <row r="86" spans="1:7">
      <c r="A86" s="330"/>
      <c r="B86" s="728"/>
      <c r="C86" s="728" t="s">
        <v>19</v>
      </c>
      <c r="E86" s="501">
        <f>SUM(E81:E85)</f>
        <v>0</v>
      </c>
      <c r="G86" s="241">
        <f>SUM(G81:G85)</f>
        <v>0</v>
      </c>
    </row>
    <row r="87" spans="1:7">
      <c r="A87" s="330"/>
      <c r="B87" s="728"/>
      <c r="C87" s="728"/>
      <c r="G87" s="133"/>
    </row>
    <row r="88" spans="1:7">
      <c r="A88" s="330"/>
      <c r="B88" s="728"/>
      <c r="C88" s="728" t="s">
        <v>20</v>
      </c>
      <c r="G88" s="133">
        <f>SUM(E88:E88)</f>
        <v>0</v>
      </c>
    </row>
    <row r="89" spans="1:7">
      <c r="A89" s="330"/>
      <c r="B89" s="332"/>
      <c r="C89" s="332"/>
      <c r="G89" s="133"/>
    </row>
    <row r="90" spans="1:7" hidden="1">
      <c r="A90" s="330"/>
      <c r="B90" s="728" t="s">
        <v>811</v>
      </c>
      <c r="C90" s="728" t="s">
        <v>16</v>
      </c>
      <c r="G90" s="133">
        <f>SUM(E90:E90)</f>
        <v>0</v>
      </c>
    </row>
    <row r="91" spans="1:7" hidden="1">
      <c r="A91" s="330"/>
      <c r="B91" s="728"/>
      <c r="C91" s="728" t="s">
        <v>17</v>
      </c>
      <c r="G91" s="133">
        <f>SUM(E91:E91)</f>
        <v>0</v>
      </c>
    </row>
    <row r="92" spans="1:7" hidden="1">
      <c r="A92" s="330"/>
      <c r="B92" s="332"/>
      <c r="C92" s="728" t="s">
        <v>812</v>
      </c>
      <c r="G92" s="133">
        <f>SUM(E92:E92)</f>
        <v>0</v>
      </c>
    </row>
    <row r="93" spans="1:7" hidden="1">
      <c r="A93" s="330"/>
      <c r="B93" s="728"/>
      <c r="C93" s="728" t="s">
        <v>813</v>
      </c>
      <c r="G93" s="133">
        <f>SUM(E93:E93)</f>
        <v>0</v>
      </c>
    </row>
    <row r="94" spans="1:7" hidden="1">
      <c r="A94" s="330"/>
      <c r="B94" s="332"/>
      <c r="C94" s="332" t="s">
        <v>814</v>
      </c>
      <c r="G94" s="133">
        <f>SUM(E94:E94)</f>
        <v>0</v>
      </c>
    </row>
    <row r="95" spans="1:7" hidden="1">
      <c r="A95" s="330"/>
      <c r="B95" s="332"/>
      <c r="C95" s="728" t="s">
        <v>19</v>
      </c>
      <c r="E95" s="501">
        <f>SUM(E90:E94)</f>
        <v>0</v>
      </c>
      <c r="G95" s="241">
        <f>SUM(G90:G94)</f>
        <v>0</v>
      </c>
    </row>
    <row r="96" spans="1:7" hidden="1">
      <c r="A96" s="330"/>
      <c r="B96" s="332"/>
      <c r="C96" s="728"/>
      <c r="G96" s="133"/>
    </row>
    <row r="97" spans="1:7" hidden="1">
      <c r="A97" s="330"/>
      <c r="B97" s="332"/>
      <c r="C97" s="332" t="s">
        <v>83</v>
      </c>
      <c r="G97" s="133">
        <f>SUM(E97:E97)</f>
        <v>0</v>
      </c>
    </row>
    <row r="98" spans="1:7" hidden="1">
      <c r="A98" s="330"/>
      <c r="B98" s="332"/>
      <c r="C98" s="332"/>
      <c r="G98" s="133"/>
    </row>
    <row r="99" spans="1:7" ht="15">
      <c r="A99" s="330"/>
      <c r="B99" s="728" t="s">
        <v>810</v>
      </c>
      <c r="C99" s="728" t="s">
        <v>16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17</v>
      </c>
      <c r="E101" s="928"/>
      <c r="G101" s="133">
        <f>SUM(E101:E101)</f>
        <v>0</v>
      </c>
    </row>
    <row r="102" spans="1:7">
      <c r="A102" s="330"/>
      <c r="B102" s="728"/>
      <c r="C102" s="728"/>
      <c r="G102" s="133"/>
    </row>
    <row r="103" spans="1:7" ht="15">
      <c r="A103" s="330"/>
      <c r="B103" s="728"/>
      <c r="C103" s="728" t="s">
        <v>18</v>
      </c>
      <c r="E103" s="928"/>
      <c r="G103" s="133">
        <f>SUM(E103:E103)</f>
        <v>0</v>
      </c>
    </row>
    <row r="104" spans="1:7">
      <c r="A104" s="330"/>
      <c r="B104" s="728"/>
      <c r="C104" s="728" t="s">
        <v>19</v>
      </c>
      <c r="E104" s="501">
        <f>SUM(E99:E103)</f>
        <v>0</v>
      </c>
      <c r="G104" s="241">
        <f>SUM(G99:G103)</f>
        <v>0</v>
      </c>
    </row>
    <row r="105" spans="1:7">
      <c r="A105" s="330"/>
      <c r="B105" s="728"/>
      <c r="C105" s="728"/>
      <c r="G105" s="133"/>
    </row>
    <row r="106" spans="1:7">
      <c r="A106" s="330"/>
      <c r="B106" s="728"/>
      <c r="C106" s="728" t="s">
        <v>20</v>
      </c>
      <c r="G106" s="133">
        <f>SUM(E106:E106)</f>
        <v>0</v>
      </c>
    </row>
    <row r="107" spans="1:7">
      <c r="A107" s="330"/>
      <c r="B107" s="332"/>
      <c r="C107" s="332"/>
      <c r="G107" s="133"/>
    </row>
    <row r="108" spans="1:7" hidden="1">
      <c r="A108" s="330"/>
      <c r="B108" s="728" t="s">
        <v>4</v>
      </c>
      <c r="C108" s="728" t="s">
        <v>16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17</v>
      </c>
      <c r="G110" s="133">
        <f>SUM(E110:E110)</f>
        <v>0</v>
      </c>
    </row>
    <row r="111" spans="1:7" hidden="1">
      <c r="A111" s="330"/>
      <c r="B111" s="728"/>
      <c r="C111" s="728"/>
      <c r="G111" s="133"/>
    </row>
    <row r="112" spans="1:7" hidden="1">
      <c r="A112" s="330"/>
      <c r="B112" s="728"/>
      <c r="C112" s="728" t="s">
        <v>18</v>
      </c>
      <c r="G112" s="133">
        <f>SUM(E112:E112)</f>
        <v>0</v>
      </c>
    </row>
    <row r="113" spans="1:7" hidden="1">
      <c r="A113" s="330"/>
      <c r="B113" s="728"/>
      <c r="C113" s="728" t="s">
        <v>19</v>
      </c>
      <c r="E113" s="501">
        <f>SUM(E108:E112)</f>
        <v>0</v>
      </c>
      <c r="G113" s="241">
        <f>SUM(G108:G112)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/>
      <c r="C115" s="728" t="s">
        <v>20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 t="s">
        <v>88</v>
      </c>
      <c r="C117" s="728" t="s">
        <v>16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17</v>
      </c>
      <c r="G119" s="133">
        <f>SUM(E119:E119)</f>
        <v>0</v>
      </c>
    </row>
    <row r="120" spans="1:7" hidden="1">
      <c r="A120" s="330"/>
      <c r="B120" s="728"/>
      <c r="C120" s="728"/>
      <c r="G120" s="133"/>
    </row>
    <row r="121" spans="1:7" hidden="1">
      <c r="A121" s="330"/>
      <c r="B121" s="728"/>
      <c r="C121" s="728" t="s">
        <v>18</v>
      </c>
      <c r="G121" s="133">
        <f>SUM(E121:E121)</f>
        <v>0</v>
      </c>
    </row>
    <row r="122" spans="1:7" hidden="1">
      <c r="A122" s="330"/>
      <c r="B122" s="728"/>
      <c r="C122" s="728" t="s">
        <v>19</v>
      </c>
      <c r="E122" s="501">
        <f>SUM(E117:E121)</f>
        <v>0</v>
      </c>
      <c r="G122" s="241">
        <f>SUM(G117:G121)</f>
        <v>0</v>
      </c>
    </row>
    <row r="123" spans="1:7" hidden="1">
      <c r="A123" s="330"/>
      <c r="B123" s="728"/>
      <c r="C123" s="728"/>
      <c r="G123" s="133"/>
    </row>
    <row r="124" spans="1:7" hidden="1">
      <c r="A124" s="330"/>
      <c r="B124" s="728"/>
      <c r="C124" s="728" t="s">
        <v>20</v>
      </c>
      <c r="G124" s="133">
        <f>SUM(E124:E124)</f>
        <v>0</v>
      </c>
    </row>
    <row r="125" spans="1:7" hidden="1">
      <c r="A125" s="330"/>
      <c r="B125" s="728"/>
      <c r="C125" s="728"/>
      <c r="G125" s="133"/>
    </row>
    <row r="126" spans="1:7" hidden="1">
      <c r="A126" s="330"/>
      <c r="B126" s="728" t="s">
        <v>89</v>
      </c>
      <c r="C126" s="728" t="s">
        <v>16</v>
      </c>
      <c r="G126" s="133">
        <f>SUM(E126:E126)</f>
        <v>0</v>
      </c>
    </row>
    <row r="127" spans="1:7" hidden="1">
      <c r="A127" s="330"/>
      <c r="B127" s="728"/>
      <c r="C127" s="728"/>
      <c r="G127" s="133"/>
    </row>
    <row r="128" spans="1:7" hidden="1">
      <c r="A128" s="330"/>
      <c r="B128" s="728"/>
      <c r="C128" s="728" t="s">
        <v>17</v>
      </c>
      <c r="G128" s="133">
        <f>SUM(E128:E128)</f>
        <v>0</v>
      </c>
    </row>
    <row r="129" spans="1:7" hidden="1">
      <c r="A129" s="330"/>
      <c r="B129" s="728"/>
      <c r="C129" s="728"/>
      <c r="G129" s="133"/>
    </row>
    <row r="130" spans="1:7" hidden="1">
      <c r="A130" s="330"/>
      <c r="B130" s="728"/>
      <c r="C130" s="728" t="s">
        <v>18</v>
      </c>
      <c r="G130" s="133">
        <f>SUM(E130:E130)</f>
        <v>0</v>
      </c>
    </row>
    <row r="131" spans="1:7" hidden="1">
      <c r="A131" s="330"/>
      <c r="B131" s="728"/>
      <c r="C131" s="728" t="s">
        <v>19</v>
      </c>
      <c r="E131" s="501">
        <f>SUM(E126:E130)</f>
        <v>0</v>
      </c>
      <c r="G131" s="241">
        <f>SUM(G126:G130)</f>
        <v>0</v>
      </c>
    </row>
    <row r="132" spans="1:7" hidden="1">
      <c r="A132" s="330"/>
      <c r="B132" s="728"/>
      <c r="C132" s="728"/>
      <c r="G132" s="133"/>
    </row>
    <row r="133" spans="1:7" hidden="1">
      <c r="A133" s="330"/>
      <c r="B133" s="728"/>
      <c r="C133" s="728" t="s">
        <v>20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t="15">
      <c r="A135" s="330"/>
      <c r="B135" s="728" t="s">
        <v>951</v>
      </c>
      <c r="C135" s="728" t="s">
        <v>16</v>
      </c>
      <c r="E135" s="928"/>
      <c r="G135" s="133">
        <f>SUM(E135:E135)</f>
        <v>0</v>
      </c>
    </row>
    <row r="136" spans="1:7">
      <c r="A136" s="330"/>
      <c r="B136" s="728"/>
      <c r="C136" s="728"/>
      <c r="G136" s="133"/>
    </row>
    <row r="137" spans="1:7" ht="15">
      <c r="A137" s="330"/>
      <c r="B137" s="728"/>
      <c r="C137" s="728" t="s">
        <v>17</v>
      </c>
      <c r="E137" s="928"/>
      <c r="G137" s="133">
        <f>SUM(E137:E137)</f>
        <v>0</v>
      </c>
    </row>
    <row r="138" spans="1:7">
      <c r="A138" s="330"/>
      <c r="B138" s="728"/>
      <c r="C138" s="728"/>
      <c r="G138" s="133"/>
    </row>
    <row r="139" spans="1:7" ht="15">
      <c r="A139" s="330"/>
      <c r="B139" s="728"/>
      <c r="C139" s="728" t="s">
        <v>18</v>
      </c>
      <c r="E139" s="928"/>
      <c r="G139" s="133">
        <f>SUM(E139:E139)</f>
        <v>0</v>
      </c>
    </row>
    <row r="140" spans="1:7">
      <c r="A140" s="330"/>
      <c r="B140" s="728"/>
      <c r="C140" s="728" t="s">
        <v>19</v>
      </c>
      <c r="E140" s="501">
        <f>SUM(E135:E139)</f>
        <v>0</v>
      </c>
      <c r="G140" s="241">
        <f>SUM(G135:G139)</f>
        <v>0</v>
      </c>
    </row>
    <row r="141" spans="1:7">
      <c r="A141" s="330"/>
      <c r="B141" s="728"/>
      <c r="C141" s="728"/>
      <c r="G141" s="133"/>
    </row>
    <row r="142" spans="1:7">
      <c r="A142" s="330"/>
      <c r="B142" s="728"/>
      <c r="C142" s="728" t="s">
        <v>20</v>
      </c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idden="1">
      <c r="A144" s="330"/>
      <c r="B144" s="728" t="s">
        <v>87</v>
      </c>
      <c r="C144" s="728" t="s">
        <v>16</v>
      </c>
      <c r="G144" s="133">
        <f>SUM(E144:E144)</f>
        <v>0</v>
      </c>
    </row>
    <row r="145" spans="1:7" hidden="1">
      <c r="A145" s="330"/>
      <c r="B145" s="728"/>
      <c r="C145" s="728"/>
      <c r="G145" s="133"/>
    </row>
    <row r="146" spans="1:7" hidden="1">
      <c r="A146" s="330"/>
      <c r="B146" s="728"/>
      <c r="C146" s="728" t="s">
        <v>17</v>
      </c>
      <c r="G146" s="133">
        <f>SUM(E146:E146)</f>
        <v>0</v>
      </c>
    </row>
    <row r="147" spans="1:7" hidden="1">
      <c r="A147" s="330"/>
      <c r="B147" s="728"/>
      <c r="C147" s="728"/>
      <c r="G147" s="133"/>
    </row>
    <row r="148" spans="1:7" hidden="1">
      <c r="A148" s="330"/>
      <c r="B148" s="728"/>
      <c r="C148" s="728" t="s">
        <v>18</v>
      </c>
      <c r="G148" s="133">
        <f>SUM(E148:E148)</f>
        <v>0</v>
      </c>
    </row>
    <row r="149" spans="1:7" hidden="1">
      <c r="A149" s="330"/>
      <c r="B149" s="728"/>
      <c r="C149" s="728" t="s">
        <v>19</v>
      </c>
      <c r="E149" s="501">
        <f>SUM(E144:E148)</f>
        <v>0</v>
      </c>
      <c r="G149" s="241">
        <f>SUM(G144:G148)</f>
        <v>0</v>
      </c>
    </row>
    <row r="150" spans="1:7" hidden="1">
      <c r="A150" s="330"/>
      <c r="B150" s="728"/>
      <c r="C150" s="728"/>
      <c r="G150" s="133"/>
    </row>
    <row r="151" spans="1:7" hidden="1">
      <c r="A151" s="330"/>
      <c r="B151" s="728"/>
      <c r="C151" s="728" t="s">
        <v>20</v>
      </c>
      <c r="G151" s="133">
        <f>SUM(E151:E151)</f>
        <v>0</v>
      </c>
    </row>
    <row r="152" spans="1:7" hidden="1">
      <c r="A152" s="330"/>
      <c r="B152" s="728"/>
      <c r="C152" s="728"/>
      <c r="G152" s="133"/>
    </row>
    <row r="153" spans="1:7" hidden="1">
      <c r="A153" s="330"/>
      <c r="B153" s="728" t="s">
        <v>36</v>
      </c>
      <c r="C153" s="728" t="s">
        <v>16</v>
      </c>
      <c r="G153" s="133">
        <f>SUM(E153:E153)</f>
        <v>0</v>
      </c>
    </row>
    <row r="154" spans="1:7" hidden="1">
      <c r="A154" s="330"/>
      <c r="B154" s="728"/>
      <c r="C154" s="728"/>
      <c r="G154" s="133"/>
    </row>
    <row r="155" spans="1:7" hidden="1">
      <c r="A155" s="330"/>
      <c r="B155" s="728"/>
      <c r="C155" s="728" t="s">
        <v>17</v>
      </c>
      <c r="G155" s="133">
        <f>SUM(E155:E155)</f>
        <v>0</v>
      </c>
    </row>
    <row r="156" spans="1:7" hidden="1">
      <c r="A156" s="330"/>
      <c r="B156" s="728"/>
      <c r="C156" s="728"/>
      <c r="G156" s="133"/>
    </row>
    <row r="157" spans="1:7" hidden="1">
      <c r="A157" s="330"/>
      <c r="B157" s="728"/>
      <c r="C157" s="728" t="s">
        <v>18</v>
      </c>
      <c r="G157" s="133">
        <f>SUM(E157:E157)</f>
        <v>0</v>
      </c>
    </row>
    <row r="158" spans="1:7" hidden="1">
      <c r="A158" s="330"/>
      <c r="B158" s="728"/>
      <c r="C158" s="728" t="s">
        <v>19</v>
      </c>
      <c r="E158" s="501">
        <f>SUM(E153:E157)</f>
        <v>0</v>
      </c>
      <c r="G158" s="241">
        <f>SUM(G153:G157)</f>
        <v>0</v>
      </c>
    </row>
    <row r="159" spans="1:7" hidden="1">
      <c r="A159" s="330"/>
      <c r="B159" s="728"/>
      <c r="C159" s="728"/>
      <c r="G159" s="133"/>
    </row>
    <row r="160" spans="1:7" hidden="1">
      <c r="A160" s="330"/>
      <c r="B160" s="728"/>
      <c r="C160" s="728" t="s">
        <v>20</v>
      </c>
      <c r="G160" s="133">
        <f>SUM(E160:E160)</f>
        <v>0</v>
      </c>
    </row>
    <row r="161" spans="1:7" hidden="1">
      <c r="A161" s="330"/>
      <c r="B161" s="728"/>
      <c r="C161" s="728"/>
      <c r="G161" s="133"/>
    </row>
    <row r="162" spans="1:7" ht="15">
      <c r="A162" s="330"/>
      <c r="B162" s="728" t="s">
        <v>954</v>
      </c>
      <c r="C162" s="728" t="s">
        <v>16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17</v>
      </c>
      <c r="E164" s="928"/>
      <c r="G164" s="133">
        <f>SUM(E164:E164)</f>
        <v>0</v>
      </c>
    </row>
    <row r="165" spans="1:7">
      <c r="A165" s="330"/>
      <c r="B165" s="728"/>
      <c r="C165" s="728"/>
      <c r="G165" s="133"/>
    </row>
    <row r="166" spans="1:7" ht="15">
      <c r="A166" s="330"/>
      <c r="B166" s="728"/>
      <c r="C166" s="728" t="s">
        <v>18</v>
      </c>
      <c r="E166" s="928"/>
      <c r="G166" s="133">
        <f>SUM(E166:E166)</f>
        <v>0</v>
      </c>
    </row>
    <row r="167" spans="1:7">
      <c r="A167" s="330"/>
      <c r="B167" s="728"/>
      <c r="C167" s="728" t="s">
        <v>19</v>
      </c>
      <c r="E167" s="501">
        <f>SUM(E162:E166)</f>
        <v>0</v>
      </c>
      <c r="G167" s="241">
        <f>SUM(G162:G166)</f>
        <v>0</v>
      </c>
    </row>
    <row r="168" spans="1:7">
      <c r="A168" s="330"/>
      <c r="B168" s="728"/>
      <c r="C168" s="728"/>
      <c r="G168" s="133"/>
    </row>
    <row r="169" spans="1:7">
      <c r="A169" s="330"/>
      <c r="B169" s="728"/>
      <c r="C169" s="728" t="s">
        <v>20</v>
      </c>
      <c r="G169" s="133">
        <f>SUM(E169:E169)</f>
        <v>0</v>
      </c>
    </row>
    <row r="170" spans="1:7">
      <c r="A170" s="330"/>
      <c r="B170" s="728"/>
      <c r="C170" s="728"/>
      <c r="G170" s="133"/>
    </row>
    <row r="171" spans="1:7" hidden="1">
      <c r="A171" s="330"/>
      <c r="B171" s="728" t="s">
        <v>93</v>
      </c>
      <c r="C171" s="728" t="s">
        <v>16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17</v>
      </c>
      <c r="G173" s="133">
        <f>SUM(E173:E173)</f>
        <v>0</v>
      </c>
    </row>
    <row r="174" spans="1:7" hidden="1">
      <c r="A174" s="330"/>
      <c r="B174" s="728"/>
      <c r="C174" s="728"/>
      <c r="G174" s="133"/>
    </row>
    <row r="175" spans="1:7" hidden="1">
      <c r="A175" s="330"/>
      <c r="B175" s="728"/>
      <c r="C175" s="728" t="s">
        <v>18</v>
      </c>
      <c r="G175" s="133">
        <f>SUM(E175:E175)</f>
        <v>0</v>
      </c>
    </row>
    <row r="176" spans="1:7" hidden="1">
      <c r="A176" s="330"/>
      <c r="B176" s="728"/>
      <c r="C176" s="728" t="s">
        <v>19</v>
      </c>
      <c r="E176" s="501">
        <f>SUM(E171:E175)</f>
        <v>0</v>
      </c>
      <c r="G176" s="241">
        <f>SUM(G171:G175)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/>
      <c r="C178" s="728" t="s">
        <v>20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t="15">
      <c r="A180" s="330"/>
      <c r="B180" s="728" t="s">
        <v>692</v>
      </c>
      <c r="C180" s="728" t="s">
        <v>16</v>
      </c>
      <c r="E180" s="928"/>
      <c r="G180" s="133">
        <f>SUM(E180:E180)</f>
        <v>0</v>
      </c>
    </row>
    <row r="181" spans="1:7">
      <c r="A181" s="330"/>
      <c r="B181" s="728"/>
      <c r="C181" s="728"/>
      <c r="G181" s="133"/>
    </row>
    <row r="182" spans="1:7" ht="15">
      <c r="A182" s="330"/>
      <c r="B182" s="728"/>
      <c r="C182" s="728" t="s">
        <v>17</v>
      </c>
      <c r="E182" s="928"/>
      <c r="G182" s="133">
        <f>SUM(E182:E182)</f>
        <v>0</v>
      </c>
    </row>
    <row r="183" spans="1:7">
      <c r="A183" s="330"/>
      <c r="B183" s="728"/>
      <c r="C183" s="728"/>
      <c r="G183" s="133"/>
    </row>
    <row r="184" spans="1:7" ht="15">
      <c r="A184" s="330"/>
      <c r="B184" s="728"/>
      <c r="C184" s="728" t="s">
        <v>18</v>
      </c>
      <c r="E184" s="928"/>
      <c r="G184" s="133">
        <f>SUM(E184:E184)</f>
        <v>0</v>
      </c>
    </row>
    <row r="185" spans="1:7">
      <c r="A185" s="330"/>
      <c r="B185" s="728"/>
      <c r="C185" s="728" t="s">
        <v>19</v>
      </c>
      <c r="E185" s="501">
        <f>SUM(E180:E184)</f>
        <v>0</v>
      </c>
      <c r="G185" s="241">
        <f>SUM(G180:G184)</f>
        <v>0</v>
      </c>
    </row>
    <row r="186" spans="1:7">
      <c r="A186" s="330"/>
      <c r="B186" s="728"/>
      <c r="C186" s="728"/>
      <c r="G186" s="133"/>
    </row>
    <row r="187" spans="1:7">
      <c r="A187" s="330"/>
      <c r="B187" s="728"/>
      <c r="C187" s="728" t="s">
        <v>20</v>
      </c>
      <c r="G187" s="133">
        <f>SUM(E187:E187)</f>
        <v>0</v>
      </c>
    </row>
    <row r="188" spans="1:7">
      <c r="A188" s="330"/>
      <c r="B188" s="728"/>
      <c r="C188" s="728"/>
      <c r="G188" s="133"/>
    </row>
    <row r="189" spans="1:7" ht="15">
      <c r="A189" s="330"/>
      <c r="B189" s="728" t="s">
        <v>10</v>
      </c>
      <c r="C189" s="728" t="s">
        <v>16</v>
      </c>
      <c r="E189" s="928"/>
      <c r="G189" s="133">
        <f>SUM(E189:E189)</f>
        <v>0</v>
      </c>
    </row>
    <row r="190" spans="1:7">
      <c r="A190" s="330"/>
      <c r="B190" s="728"/>
      <c r="C190" s="728"/>
      <c r="G190" s="133"/>
    </row>
    <row r="191" spans="1:7" ht="15">
      <c r="A191" s="330"/>
      <c r="B191" s="728"/>
      <c r="C191" s="728" t="s">
        <v>17</v>
      </c>
      <c r="E191" s="928"/>
      <c r="G191" s="133">
        <f>SUM(E191:E191)</f>
        <v>0</v>
      </c>
    </row>
    <row r="192" spans="1:7">
      <c r="A192" s="330"/>
      <c r="B192" s="728"/>
      <c r="C192" s="728"/>
      <c r="G192" s="133"/>
    </row>
    <row r="193" spans="1:7" ht="15">
      <c r="A193" s="330"/>
      <c r="B193" s="728"/>
      <c r="C193" s="728" t="s">
        <v>18</v>
      </c>
      <c r="E193" s="928"/>
      <c r="G193" s="133">
        <f>SUM(E193:E193)</f>
        <v>0</v>
      </c>
    </row>
    <row r="194" spans="1:7">
      <c r="A194" s="330"/>
      <c r="B194" s="728"/>
      <c r="C194" s="728" t="s">
        <v>19</v>
      </c>
      <c r="E194" s="501">
        <f>SUM(E189:E193)</f>
        <v>0</v>
      </c>
      <c r="G194" s="241">
        <f>SUM(G189:G193)</f>
        <v>0</v>
      </c>
    </row>
    <row r="195" spans="1:7">
      <c r="A195" s="330"/>
      <c r="B195" s="728"/>
      <c r="C195" s="728"/>
      <c r="G195" s="133"/>
    </row>
    <row r="196" spans="1:7">
      <c r="A196" s="330"/>
      <c r="B196" s="728"/>
      <c r="C196" s="728" t="s">
        <v>20</v>
      </c>
      <c r="G196" s="133">
        <f>SUM(E196:E196)</f>
        <v>0</v>
      </c>
    </row>
    <row r="197" spans="1:7">
      <c r="A197" s="330"/>
      <c r="B197" s="728"/>
      <c r="C197" s="728"/>
      <c r="G197" s="133"/>
    </row>
    <row r="198" spans="1:7" ht="15">
      <c r="A198" s="330"/>
      <c r="B198" s="728" t="s">
        <v>958</v>
      </c>
      <c r="C198" s="728" t="s">
        <v>16</v>
      </c>
      <c r="E198" s="928"/>
      <c r="G198" s="133">
        <f>SUM(E198:E198)</f>
        <v>0</v>
      </c>
    </row>
    <row r="199" spans="1:7">
      <c r="A199" s="330"/>
      <c r="B199" s="728"/>
      <c r="C199" s="728"/>
      <c r="G199" s="133"/>
    </row>
    <row r="200" spans="1:7" ht="15">
      <c r="A200" s="330"/>
      <c r="B200" s="728"/>
      <c r="C200" s="728" t="s">
        <v>17</v>
      </c>
      <c r="E200" s="928"/>
      <c r="G200" s="133">
        <f>SUM(E200:E200)</f>
        <v>0</v>
      </c>
    </row>
    <row r="201" spans="1:7">
      <c r="A201" s="330"/>
      <c r="B201" s="728"/>
      <c r="C201" s="728"/>
      <c r="G201" s="133"/>
    </row>
    <row r="202" spans="1:7" ht="15">
      <c r="A202" s="330"/>
      <c r="B202" s="728"/>
      <c r="C202" s="728" t="s">
        <v>18</v>
      </c>
      <c r="E202" s="928"/>
      <c r="G202" s="133">
        <f>SUM(E202:E202)</f>
        <v>0</v>
      </c>
    </row>
    <row r="203" spans="1:7">
      <c r="A203" s="330"/>
      <c r="B203" s="728"/>
      <c r="C203" s="728" t="s">
        <v>19</v>
      </c>
      <c r="E203" s="501">
        <f>SUM(E198:E202)</f>
        <v>0</v>
      </c>
      <c r="G203" s="241">
        <f>SUM(G198:G202)</f>
        <v>0</v>
      </c>
    </row>
    <row r="204" spans="1:7">
      <c r="A204" s="330"/>
      <c r="B204" s="728"/>
      <c r="C204" s="728"/>
      <c r="G204" s="133"/>
    </row>
    <row r="205" spans="1:7">
      <c r="A205" s="330"/>
      <c r="B205" s="728"/>
      <c r="C205" s="728" t="s">
        <v>20</v>
      </c>
      <c r="G205" s="133">
        <f>SUM(E205:E205)</f>
        <v>0</v>
      </c>
    </row>
    <row r="206" spans="1:7">
      <c r="A206" s="330"/>
      <c r="B206" s="332"/>
      <c r="C206" s="332"/>
      <c r="G206" s="133"/>
    </row>
    <row r="207" spans="1:7" hidden="1">
      <c r="A207" s="330"/>
      <c r="B207" s="728" t="s">
        <v>91</v>
      </c>
      <c r="C207" s="728" t="s">
        <v>16</v>
      </c>
      <c r="G207" s="133">
        <f>SUM(E207:E207)</f>
        <v>0</v>
      </c>
    </row>
    <row r="208" spans="1:7" hidden="1">
      <c r="A208" s="330"/>
      <c r="B208" s="728"/>
      <c r="C208" s="728"/>
      <c r="G208" s="133"/>
    </row>
    <row r="209" spans="1:7" hidden="1">
      <c r="A209" s="330"/>
      <c r="B209" s="728"/>
      <c r="C209" s="728" t="s">
        <v>17</v>
      </c>
      <c r="G209" s="133">
        <f>SUM(E209:E209)</f>
        <v>0</v>
      </c>
    </row>
    <row r="210" spans="1:7" hidden="1">
      <c r="A210" s="330"/>
      <c r="B210" s="728"/>
      <c r="C210" s="728"/>
      <c r="G210" s="133"/>
    </row>
    <row r="211" spans="1:7" hidden="1">
      <c r="A211" s="330"/>
      <c r="B211" s="728"/>
      <c r="C211" s="728" t="s">
        <v>18</v>
      </c>
      <c r="G211" s="133">
        <f>SUM(E211:E211)</f>
        <v>0</v>
      </c>
    </row>
    <row r="212" spans="1:7" hidden="1">
      <c r="A212" s="330"/>
      <c r="B212" s="728"/>
      <c r="C212" s="728" t="s">
        <v>19</v>
      </c>
      <c r="E212" s="501">
        <f>SUM(E207:E211)</f>
        <v>0</v>
      </c>
      <c r="G212" s="241">
        <f>SUM(G207:G211)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20</v>
      </c>
      <c r="G214" s="133">
        <f>SUM(E214:E214)</f>
        <v>0</v>
      </c>
    </row>
    <row r="215" spans="1:7" hidden="1">
      <c r="A215" s="330"/>
      <c r="B215" s="728"/>
      <c r="C215" s="728"/>
      <c r="G215" s="133"/>
    </row>
    <row r="216" spans="1:7" hidden="1">
      <c r="A216" s="330"/>
      <c r="B216" s="728" t="s">
        <v>127</v>
      </c>
      <c r="C216" s="728" t="s">
        <v>16</v>
      </c>
      <c r="G216" s="133">
        <f>SUM(E216:E216)</f>
        <v>0</v>
      </c>
    </row>
    <row r="217" spans="1:7" hidden="1">
      <c r="A217" s="330"/>
      <c r="B217" s="728"/>
      <c r="C217" s="728"/>
      <c r="G217" s="133"/>
    </row>
    <row r="218" spans="1:7" hidden="1">
      <c r="A218" s="330"/>
      <c r="B218" s="728"/>
      <c r="C218" s="728" t="s">
        <v>17</v>
      </c>
      <c r="G218" s="133">
        <f>SUM(E218:E218)</f>
        <v>0</v>
      </c>
    </row>
    <row r="219" spans="1:7" hidden="1">
      <c r="A219" s="330"/>
      <c r="B219" s="728"/>
      <c r="C219" s="728"/>
      <c r="G219" s="133"/>
    </row>
    <row r="220" spans="1:7" hidden="1">
      <c r="A220" s="330"/>
      <c r="B220" s="728"/>
      <c r="C220" s="728" t="s">
        <v>18</v>
      </c>
      <c r="G220" s="133">
        <f>SUM(E220:E220)</f>
        <v>0</v>
      </c>
    </row>
    <row r="221" spans="1:7" hidden="1">
      <c r="A221" s="330"/>
      <c r="B221" s="728"/>
      <c r="C221" s="728" t="s">
        <v>19</v>
      </c>
      <c r="E221" s="501">
        <f>SUM(E216:E220)</f>
        <v>0</v>
      </c>
      <c r="G221" s="241">
        <f>SUM(G216:G220)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20</v>
      </c>
      <c r="G223" s="133">
        <f>SUM(E223:E223)</f>
        <v>0</v>
      </c>
    </row>
    <row r="224" spans="1:7" hidden="1">
      <c r="A224" s="330"/>
      <c r="B224" s="728"/>
      <c r="C224" s="728"/>
      <c r="G224" s="133"/>
    </row>
    <row r="225" spans="1:7" hidden="1">
      <c r="A225" s="330"/>
      <c r="B225" s="728" t="s">
        <v>84</v>
      </c>
      <c r="C225" s="728" t="s">
        <v>16</v>
      </c>
      <c r="G225" s="133">
        <f>SUM(E225:E225)</f>
        <v>0</v>
      </c>
    </row>
    <row r="226" spans="1:7" hidden="1">
      <c r="A226" s="330"/>
      <c r="B226" s="728"/>
      <c r="C226" s="728"/>
      <c r="G226" s="133"/>
    </row>
    <row r="227" spans="1:7" hidden="1">
      <c r="A227" s="330"/>
      <c r="B227" s="728"/>
      <c r="C227" s="728" t="s">
        <v>17</v>
      </c>
      <c r="G227" s="133">
        <f>SUM(E227:E227)</f>
        <v>0</v>
      </c>
    </row>
    <row r="228" spans="1:7" hidden="1">
      <c r="A228" s="330"/>
      <c r="B228" s="728"/>
      <c r="C228" s="728"/>
      <c r="G228" s="133"/>
    </row>
    <row r="229" spans="1:7" hidden="1">
      <c r="A229" s="330"/>
      <c r="B229" s="728"/>
      <c r="C229" s="728" t="s">
        <v>18</v>
      </c>
      <c r="G229" s="133">
        <f>SUM(E229:E229)</f>
        <v>0</v>
      </c>
    </row>
    <row r="230" spans="1:7" hidden="1">
      <c r="A230" s="330"/>
      <c r="B230" s="728"/>
      <c r="C230" s="728" t="s">
        <v>19</v>
      </c>
      <c r="E230" s="501">
        <f>SUM(E225:E229)</f>
        <v>0</v>
      </c>
      <c r="G230" s="241">
        <f>SUM(G225:G229)</f>
        <v>0</v>
      </c>
    </row>
    <row r="231" spans="1:7" hidden="1">
      <c r="A231" s="330"/>
      <c r="B231" s="728"/>
      <c r="C231" s="728"/>
      <c r="G231" s="133"/>
    </row>
    <row r="232" spans="1:7" hidden="1">
      <c r="A232" s="330"/>
      <c r="B232" s="728"/>
      <c r="C232" s="728" t="s">
        <v>20</v>
      </c>
      <c r="G232" s="133">
        <f>SUM(E232:E232)</f>
        <v>0</v>
      </c>
    </row>
    <row r="233" spans="1:7" hidden="1">
      <c r="A233" s="330"/>
      <c r="B233" s="728"/>
      <c r="C233" s="728"/>
      <c r="G233" s="133"/>
    </row>
    <row r="234" spans="1:7" ht="15">
      <c r="B234" s="728" t="s">
        <v>690</v>
      </c>
      <c r="C234" s="728" t="s">
        <v>96</v>
      </c>
      <c r="E234" s="928"/>
      <c r="G234" s="133">
        <f>SUM(E234:E234)</f>
        <v>0</v>
      </c>
    </row>
    <row r="235" spans="1:7" ht="15">
      <c r="A235" s="330"/>
      <c r="B235" s="728" t="s">
        <v>114</v>
      </c>
      <c r="C235" s="728" t="s">
        <v>96</v>
      </c>
      <c r="E235" s="928"/>
      <c r="G235" s="133">
        <f>SUM(E235:E235)</f>
        <v>0</v>
      </c>
    </row>
    <row r="236" spans="1:7" ht="13.5" thickBot="1">
      <c r="A236" s="330"/>
      <c r="B236" s="332" t="s">
        <v>543</v>
      </c>
      <c r="C236" s="728"/>
      <c r="G236" s="242"/>
    </row>
    <row r="237" spans="1:7" ht="13.5" thickTop="1">
      <c r="A237" s="330"/>
      <c r="G237" s="133"/>
    </row>
    <row r="238" spans="1:7">
      <c r="A238" s="330"/>
      <c r="B238" s="332"/>
      <c r="C238" s="728" t="s">
        <v>16</v>
      </c>
      <c r="E238" s="501">
        <f t="shared" ref="E238" si="2">+E54+E72+E81+E90+E99+E108+E117+E126+E135+E144+E153+E162+E171+E180+E189+E198+E207+E216+E225+E63+E234+E235</f>
        <v>0</v>
      </c>
      <c r="G238" s="117">
        <f>+G54+G72+G81+G90+G99+G108+G117+G126+G135+G144+G153+G162+G171+G180+G189+G198+G207+G216+G225+G63+G234+G235</f>
        <v>0</v>
      </c>
    </row>
    <row r="239" spans="1:7">
      <c r="A239" s="330"/>
      <c r="B239" s="332"/>
      <c r="C239" s="728" t="s">
        <v>17</v>
      </c>
      <c r="E239" s="501">
        <f>E1*+E56+E74+E83+E92+E100+E101+E110+E119+E128+E137+E146+E155+E164+E173+E182+E191+E200+E209+E218+E227+E65</f>
        <v>0</v>
      </c>
      <c r="G239" s="117">
        <f>+G56+G74+G83+G92+G100+G101+G110+G119+G128+G137+G146+G155+G164+G173+G182+G191+G200+G209+G218+G227+G65</f>
        <v>0</v>
      </c>
    </row>
    <row r="240" spans="1:7">
      <c r="A240" s="330"/>
      <c r="B240" s="332"/>
      <c r="C240" s="728" t="s">
        <v>18</v>
      </c>
      <c r="E240" s="501">
        <f>E1*+E58+E76+E85+E94+E102+E103+E112+E121+E130+E139+E148+E157+E166+E175+E184+E193+E202+E211+E220+E229+E67</f>
        <v>0</v>
      </c>
      <c r="G240" s="117">
        <f>+G58+G76+G85+G94+G102+G103+G112+G121+G130+G139+G148+G157+G166+G175+G184+G193+G202+G211+G220+G229+G67</f>
        <v>0</v>
      </c>
    </row>
    <row r="241" spans="1:7">
      <c r="A241" s="330"/>
      <c r="B241" s="332"/>
      <c r="C241" s="728" t="s">
        <v>457</v>
      </c>
      <c r="E241" s="501">
        <f>+E59+E77+E86+E95+E104+E113+E122+E131+E140+E149+E158+E167+E176+E185+E194+E203+E212+E221+E230+E68+E234+E235</f>
        <v>0</v>
      </c>
      <c r="G241" s="132">
        <f t="shared" ref="G241" si="3">+G59+G77+G86+G95+G104+G113+G122+G131+G140+G149+G158+G167+G176+G185+G194+G203+G212+G221+G230+G68+G234+G235</f>
        <v>0</v>
      </c>
    </row>
    <row r="242" spans="1:7">
      <c r="A242" s="330"/>
      <c r="B242" s="332"/>
      <c r="C242" s="728"/>
      <c r="G242" s="133"/>
    </row>
    <row r="243" spans="1:7">
      <c r="A243" s="330"/>
      <c r="B243" s="728"/>
      <c r="C243" s="728" t="s">
        <v>59</v>
      </c>
      <c r="E243" s="501">
        <f>E1*E61+E79+E88+E97+E106+E115+E124+E133+E142+E151+E232+E70</f>
        <v>0</v>
      </c>
      <c r="G243" s="117">
        <f>G61+G70+G79+G88+G97+G106+G115+G124+G133+G142+G151+G232</f>
        <v>0</v>
      </c>
    </row>
    <row r="244" spans="1:7">
      <c r="A244" s="330"/>
      <c r="B244" s="728"/>
      <c r="C244" s="728" t="s">
        <v>60</v>
      </c>
      <c r="E244" s="501">
        <f>E1*E169+E178+E187+E196+E205+E214+E223+E160</f>
        <v>0</v>
      </c>
      <c r="G244" s="117">
        <f>G169+G178+G187+G196+G205+G214+G223+G160</f>
        <v>0</v>
      </c>
    </row>
    <row r="245" spans="1:7">
      <c r="A245" s="330"/>
      <c r="B245" s="332"/>
      <c r="C245" s="728" t="s">
        <v>458</v>
      </c>
      <c r="E245" s="501">
        <f>E1*+E61+E79+E88+E97+E106+E115+E124+E133+E142+E151+E160+E169+E178+E187+E196+E205+E214+E223+E232+E70</f>
        <v>0</v>
      </c>
      <c r="G245" s="132">
        <f>+G61+G79+G88+G97+G106+G115+G124+G133+G142+G151+G160+G169+G178+G187+G196+G205+G214+G223+G232+G70</f>
        <v>0</v>
      </c>
    </row>
    <row r="246" spans="1:7">
      <c r="A246" s="330"/>
      <c r="B246" s="728"/>
      <c r="C246" s="728"/>
      <c r="G246" s="133"/>
    </row>
    <row r="247" spans="1:7" hidden="1">
      <c r="A247" s="59" t="s">
        <v>459</v>
      </c>
      <c r="B247" s="332"/>
      <c r="C247" s="332"/>
      <c r="G247" s="133"/>
    </row>
    <row r="248" spans="1:7" hidden="1">
      <c r="A248" s="330"/>
      <c r="B248" s="728" t="s">
        <v>15</v>
      </c>
      <c r="C248" s="728" t="s">
        <v>16</v>
      </c>
      <c r="G248" s="133">
        <f>SUM(E248:E248)</f>
        <v>0</v>
      </c>
    </row>
    <row r="249" spans="1:7" hidden="1">
      <c r="A249" s="330"/>
      <c r="B249" s="728"/>
      <c r="C249" s="728"/>
      <c r="G249" s="133"/>
    </row>
    <row r="250" spans="1:7" hidden="1">
      <c r="A250" s="330"/>
      <c r="B250" s="728"/>
      <c r="C250" s="728" t="s">
        <v>17</v>
      </c>
      <c r="G250" s="133">
        <f>SUM(E250:E250)</f>
        <v>0</v>
      </c>
    </row>
    <row r="251" spans="1:7" hidden="1">
      <c r="A251" s="330"/>
      <c r="B251" s="728"/>
      <c r="C251" s="728"/>
      <c r="G251" s="133"/>
    </row>
    <row r="252" spans="1:7" hidden="1">
      <c r="A252" s="330"/>
      <c r="B252" s="728"/>
      <c r="C252" s="728" t="s">
        <v>18</v>
      </c>
      <c r="G252" s="133">
        <f>SUM(E252:E252)</f>
        <v>0</v>
      </c>
    </row>
    <row r="253" spans="1:7" hidden="1">
      <c r="A253" s="330"/>
      <c r="B253" s="728"/>
      <c r="C253" s="728" t="s">
        <v>19</v>
      </c>
      <c r="E253" s="501">
        <f>SUM(E248:E252)</f>
        <v>0</v>
      </c>
      <c r="G253" s="241">
        <f>SUM(G248:G252)</f>
        <v>0</v>
      </c>
    </row>
    <row r="254" spans="1:7" hidden="1">
      <c r="A254" s="330"/>
      <c r="B254" s="728"/>
      <c r="C254" s="728"/>
      <c r="G254" s="133"/>
    </row>
    <row r="255" spans="1:7" hidden="1">
      <c r="A255" s="330"/>
      <c r="B255" s="728"/>
      <c r="C255" s="728" t="s">
        <v>20</v>
      </c>
      <c r="G255" s="133">
        <f>SUM(E255:E255)</f>
        <v>0</v>
      </c>
    </row>
    <row r="256" spans="1:7" hidden="1">
      <c r="A256" s="330"/>
      <c r="B256" s="728"/>
      <c r="C256" s="728"/>
      <c r="G256" s="133"/>
    </row>
    <row r="257" spans="1:7" hidden="1">
      <c r="A257" s="330"/>
      <c r="B257" s="728" t="s">
        <v>88</v>
      </c>
      <c r="C257" s="728" t="s">
        <v>16</v>
      </c>
      <c r="G257" s="133">
        <f>SUM(E257:E257)</f>
        <v>0</v>
      </c>
    </row>
    <row r="258" spans="1:7" hidden="1">
      <c r="A258" s="330"/>
      <c r="B258" s="728"/>
      <c r="C258" s="728"/>
      <c r="G258" s="133"/>
    </row>
    <row r="259" spans="1:7" hidden="1">
      <c r="A259" s="330"/>
      <c r="B259" s="728"/>
      <c r="C259" s="728" t="s">
        <v>17</v>
      </c>
      <c r="G259" s="133">
        <f>SUM(E259:E259)</f>
        <v>0</v>
      </c>
    </row>
    <row r="260" spans="1:7" hidden="1">
      <c r="A260" s="330"/>
      <c r="B260" s="728"/>
      <c r="C260" s="728"/>
      <c r="G260" s="133"/>
    </row>
    <row r="261" spans="1:7" hidden="1">
      <c r="A261" s="330"/>
      <c r="B261" s="728"/>
      <c r="C261" s="728" t="s">
        <v>18</v>
      </c>
      <c r="G261" s="133">
        <f>SUM(E261:E261)</f>
        <v>0</v>
      </c>
    </row>
    <row r="262" spans="1:7" hidden="1">
      <c r="A262" s="330"/>
      <c r="B262" s="728"/>
      <c r="C262" s="728" t="s">
        <v>19</v>
      </c>
      <c r="E262" s="501">
        <f>SUM(E257:E261)</f>
        <v>0</v>
      </c>
      <c r="G262" s="241">
        <f>SUM(G257:G261)</f>
        <v>0</v>
      </c>
    </row>
    <row r="263" spans="1:7" hidden="1">
      <c r="A263" s="330"/>
      <c r="B263" s="728"/>
      <c r="C263" s="728"/>
      <c r="G263" s="133"/>
    </row>
    <row r="264" spans="1:7" hidden="1">
      <c r="A264" s="330"/>
      <c r="B264" s="728"/>
      <c r="C264" s="728" t="s">
        <v>20</v>
      </c>
      <c r="G264" s="133">
        <f>SUM(E264:E264)</f>
        <v>0</v>
      </c>
    </row>
    <row r="265" spans="1:7" ht="13.5" hidden="1" thickBot="1">
      <c r="A265" s="330"/>
      <c r="B265" s="728"/>
      <c r="C265" s="728"/>
      <c r="G265" s="242"/>
    </row>
    <row r="266" spans="1:7" ht="13.5" hidden="1" thickTop="1">
      <c r="A266" s="330"/>
      <c r="B266" s="728" t="s">
        <v>544</v>
      </c>
      <c r="C266" s="728"/>
      <c r="G266" s="133"/>
    </row>
    <row r="267" spans="1:7" hidden="1">
      <c r="A267" s="330"/>
      <c r="B267" s="332"/>
      <c r="C267" s="728" t="s">
        <v>16</v>
      </c>
      <c r="E267" s="501">
        <f>+E248+E257</f>
        <v>0</v>
      </c>
      <c r="G267" s="133">
        <f>+G248+G257</f>
        <v>0</v>
      </c>
    </row>
    <row r="268" spans="1:7" hidden="1">
      <c r="A268" s="330"/>
      <c r="B268" s="332"/>
      <c r="C268" s="728" t="s">
        <v>17</v>
      </c>
      <c r="E268" s="501">
        <f>+E250+E259</f>
        <v>0</v>
      </c>
      <c r="G268" s="133">
        <f>+G250+G259</f>
        <v>0</v>
      </c>
    </row>
    <row r="269" spans="1:7" hidden="1">
      <c r="A269" s="330"/>
      <c r="B269" s="332"/>
      <c r="C269" s="728" t="s">
        <v>18</v>
      </c>
      <c r="E269" s="501">
        <f>+E252+E261</f>
        <v>0</v>
      </c>
      <c r="G269" s="133">
        <f>+G252+G261</f>
        <v>0</v>
      </c>
    </row>
    <row r="270" spans="1:7" hidden="1">
      <c r="A270" s="330"/>
      <c r="B270" s="332"/>
      <c r="C270" s="728" t="s">
        <v>461</v>
      </c>
      <c r="E270" s="501">
        <f>+E253+E262</f>
        <v>0</v>
      </c>
      <c r="G270" s="241">
        <f>+G253+G262</f>
        <v>0</v>
      </c>
    </row>
    <row r="271" spans="1:7" hidden="1">
      <c r="A271" s="330"/>
      <c r="B271" s="332"/>
      <c r="C271" s="728"/>
      <c r="G271" s="133"/>
    </row>
    <row r="272" spans="1:7" hidden="1">
      <c r="A272" s="330"/>
      <c r="B272" s="332"/>
      <c r="C272" s="728" t="s">
        <v>59</v>
      </c>
      <c r="E272" s="501">
        <f>E255+E264</f>
        <v>0</v>
      </c>
      <c r="G272" s="133">
        <f>G255+G264</f>
        <v>0</v>
      </c>
    </row>
    <row r="273" spans="1:7" hidden="1">
      <c r="A273" s="330"/>
      <c r="B273" s="728"/>
      <c r="C273" s="728" t="s">
        <v>60</v>
      </c>
      <c r="E273" s="501">
        <v>0</v>
      </c>
      <c r="G273" s="133">
        <v>0</v>
      </c>
    </row>
    <row r="274" spans="1:7" hidden="1">
      <c r="A274" s="330"/>
      <c r="B274" s="332"/>
      <c r="C274" s="728" t="s">
        <v>462</v>
      </c>
      <c r="E274" s="501">
        <f>+E255+E264</f>
        <v>0</v>
      </c>
      <c r="G274" s="241">
        <f>+G255+G264</f>
        <v>0</v>
      </c>
    </row>
    <row r="275" spans="1:7" hidden="1">
      <c r="A275" s="330"/>
      <c r="B275" s="113"/>
      <c r="C275" s="114"/>
      <c r="G275" s="133"/>
    </row>
    <row r="276" spans="1:7">
      <c r="A276" s="59" t="s">
        <v>24</v>
      </c>
      <c r="B276" s="113"/>
      <c r="C276" s="114"/>
      <c r="G276" s="133"/>
    </row>
    <row r="277" spans="1:7" ht="15">
      <c r="A277" s="330"/>
      <c r="B277" s="332" t="s">
        <v>15</v>
      </c>
      <c r="C277" s="332" t="s">
        <v>16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>
      <c r="A279" s="330"/>
      <c r="B279" s="728"/>
      <c r="C279" s="728"/>
      <c r="G279" s="133">
        <f>SUM(E279:E279)</f>
        <v>0</v>
      </c>
    </row>
    <row r="280" spans="1:7">
      <c r="A280" s="330"/>
      <c r="B280" s="728"/>
      <c r="C280" s="728"/>
      <c r="G280" s="133"/>
    </row>
    <row r="281" spans="1:7" ht="15">
      <c r="A281" s="330"/>
      <c r="B281" s="332"/>
      <c r="C281" s="332" t="s">
        <v>18</v>
      </c>
      <c r="E281" s="928"/>
      <c r="G281" s="133">
        <f>SUM(E281:E281)</f>
        <v>0</v>
      </c>
    </row>
    <row r="282" spans="1:7">
      <c r="A282" s="330"/>
      <c r="B282" s="332"/>
      <c r="C282" s="332" t="s">
        <v>19</v>
      </c>
      <c r="E282" s="501">
        <f>SUM(E277:E281)</f>
        <v>0</v>
      </c>
      <c r="G282" s="241">
        <f>SUM(G277:G281)</f>
        <v>0</v>
      </c>
    </row>
    <row r="283" spans="1:7">
      <c r="A283" s="330"/>
      <c r="B283" s="332"/>
      <c r="C283" s="332"/>
      <c r="G283" s="133"/>
    </row>
    <row r="284" spans="1:7">
      <c r="A284" s="330"/>
      <c r="B284" s="332"/>
      <c r="C284" s="332" t="s">
        <v>20</v>
      </c>
      <c r="G284" s="133">
        <f>SUM(E284:E284)</f>
        <v>0</v>
      </c>
    </row>
    <row r="285" spans="1:7">
      <c r="A285" s="330"/>
      <c r="B285" s="728"/>
      <c r="C285" s="728"/>
      <c r="G285" s="133"/>
    </row>
    <row r="286" spans="1:7" ht="15">
      <c r="A286" s="330"/>
      <c r="B286" s="332" t="s">
        <v>809</v>
      </c>
      <c r="C286" s="332" t="s">
        <v>16</v>
      </c>
      <c r="E286" s="928"/>
      <c r="G286" s="133">
        <f>SUM(E286:E286)</f>
        <v>0</v>
      </c>
    </row>
    <row r="287" spans="1:7">
      <c r="A287" s="330"/>
      <c r="B287" s="332"/>
      <c r="C287" s="332"/>
      <c r="G287" s="133"/>
    </row>
    <row r="288" spans="1:7">
      <c r="A288" s="330"/>
      <c r="B288" s="332"/>
      <c r="C288" s="332"/>
      <c r="G288" s="133">
        <f>SUM(E288:E288)</f>
        <v>0</v>
      </c>
    </row>
    <row r="289" spans="1:7">
      <c r="A289" s="330"/>
      <c r="B289" s="728"/>
      <c r="C289" s="728"/>
      <c r="G289" s="133"/>
    </row>
    <row r="290" spans="1:7" ht="15">
      <c r="A290" s="330"/>
      <c r="B290" s="332"/>
      <c r="C290" s="332" t="s">
        <v>18</v>
      </c>
      <c r="E290" s="928"/>
      <c r="G290" s="133">
        <f>SUM(E290:E290)</f>
        <v>0</v>
      </c>
    </row>
    <row r="291" spans="1:7">
      <c r="A291" s="330"/>
      <c r="B291" s="332"/>
      <c r="C291" s="332" t="s">
        <v>19</v>
      </c>
      <c r="E291" s="501">
        <f>SUM(E286:E290)</f>
        <v>0</v>
      </c>
      <c r="G291" s="241">
        <f>SUM(G286:G290)</f>
        <v>0</v>
      </c>
    </row>
    <row r="292" spans="1:7">
      <c r="A292" s="330"/>
      <c r="B292" s="332"/>
      <c r="C292" s="332"/>
      <c r="G292" s="133"/>
    </row>
    <row r="293" spans="1:7">
      <c r="A293" s="330"/>
      <c r="B293" s="332"/>
      <c r="C293" s="332" t="s">
        <v>20</v>
      </c>
      <c r="G293" s="133">
        <f>SUM(E293:E293)</f>
        <v>0</v>
      </c>
    </row>
    <row r="294" spans="1:7">
      <c r="A294" s="330"/>
      <c r="B294" s="728"/>
      <c r="C294" s="728"/>
      <c r="G294" s="133"/>
    </row>
    <row r="295" spans="1:7" ht="15">
      <c r="A295" s="330"/>
      <c r="B295" s="332" t="s">
        <v>810</v>
      </c>
      <c r="C295" s="332" t="s">
        <v>16</v>
      </c>
      <c r="E295" s="928"/>
      <c r="G295" s="133">
        <f>SUM(E295:E295)</f>
        <v>0</v>
      </c>
    </row>
    <row r="296" spans="1:7">
      <c r="A296" s="330"/>
      <c r="B296" s="332"/>
      <c r="C296" s="332"/>
      <c r="G296" s="133"/>
    </row>
    <row r="297" spans="1:7">
      <c r="A297" s="330"/>
      <c r="B297" s="332"/>
      <c r="C297" s="332"/>
      <c r="G297" s="133">
        <f>SUM(E297:E297)</f>
        <v>0</v>
      </c>
    </row>
    <row r="298" spans="1:7">
      <c r="A298" s="330"/>
      <c r="B298" s="728"/>
      <c r="C298" s="728"/>
      <c r="G298" s="133"/>
    </row>
    <row r="299" spans="1:7" ht="15">
      <c r="A299" s="330"/>
      <c r="B299" s="332"/>
      <c r="C299" s="332" t="s">
        <v>18</v>
      </c>
      <c r="E299" s="928"/>
      <c r="G299" s="133">
        <f>SUM(E299:E299)</f>
        <v>0</v>
      </c>
    </row>
    <row r="300" spans="1:7">
      <c r="A300" s="330"/>
      <c r="B300" s="332"/>
      <c r="C300" s="332" t="s">
        <v>19</v>
      </c>
      <c r="E300" s="501">
        <f>SUM(E295:E299)</f>
        <v>0</v>
      </c>
      <c r="G300" s="241">
        <f>SUM(G295:G299)</f>
        <v>0</v>
      </c>
    </row>
    <row r="301" spans="1:7">
      <c r="A301" s="330"/>
      <c r="B301" s="332"/>
      <c r="C301" s="332"/>
      <c r="G301" s="133"/>
    </row>
    <row r="302" spans="1:7">
      <c r="A302" s="330"/>
      <c r="B302" s="332"/>
      <c r="C302" s="332" t="s">
        <v>20</v>
      </c>
      <c r="G302" s="133">
        <f>SUM(E302:E302)</f>
        <v>0</v>
      </c>
    </row>
    <row r="303" spans="1:7">
      <c r="A303" s="330"/>
      <c r="B303" s="728"/>
      <c r="C303" s="728"/>
      <c r="G303" s="133"/>
    </row>
    <row r="304" spans="1:7" hidden="1">
      <c r="A304" s="330"/>
      <c r="B304" s="332" t="s">
        <v>765</v>
      </c>
      <c r="C304" s="332" t="s">
        <v>16</v>
      </c>
      <c r="G304" s="133">
        <f>SUM(E304:E304)</f>
        <v>0</v>
      </c>
    </row>
    <row r="305" spans="1:7" hidden="1">
      <c r="A305" s="330"/>
      <c r="B305" s="332"/>
      <c r="C305" s="332"/>
      <c r="G305" s="133"/>
    </row>
    <row r="306" spans="1:7" hidden="1">
      <c r="A306" s="330"/>
      <c r="B306" s="332"/>
      <c r="C306" s="332"/>
      <c r="G306" s="133">
        <f>SUM(E306:E306)</f>
        <v>0</v>
      </c>
    </row>
    <row r="307" spans="1:7" hidden="1">
      <c r="A307" s="330"/>
      <c r="B307" s="728"/>
      <c r="C307" s="728"/>
      <c r="G307" s="133"/>
    </row>
    <row r="308" spans="1:7" hidden="1">
      <c r="A308" s="330"/>
      <c r="B308" s="332"/>
      <c r="C308" s="332" t="s">
        <v>18</v>
      </c>
      <c r="G308" s="133">
        <f>SUM(E308:E308)</f>
        <v>0</v>
      </c>
    </row>
    <row r="309" spans="1:7" hidden="1">
      <c r="A309" s="330"/>
      <c r="B309" s="332"/>
      <c r="C309" s="332" t="s">
        <v>19</v>
      </c>
      <c r="E309" s="501">
        <f>SUM(E304:E308)</f>
        <v>0</v>
      </c>
      <c r="G309" s="241">
        <f>SUM(G304:G308)</f>
        <v>0</v>
      </c>
    </row>
    <row r="310" spans="1:7" hidden="1">
      <c r="A310" s="330"/>
      <c r="B310" s="332"/>
      <c r="C310" s="332"/>
      <c r="G310" s="133"/>
    </row>
    <row r="311" spans="1:7" hidden="1">
      <c r="A311" s="330"/>
      <c r="B311" s="332"/>
      <c r="C311" s="332" t="s">
        <v>20</v>
      </c>
      <c r="G311" s="133">
        <f>SUM(E311:E311)</f>
        <v>0</v>
      </c>
    </row>
    <row r="312" spans="1:7" hidden="1">
      <c r="A312" s="330"/>
      <c r="B312" s="728"/>
      <c r="C312" s="728"/>
      <c r="G312" s="133"/>
    </row>
    <row r="313" spans="1:7" ht="15">
      <c r="A313" s="330"/>
      <c r="B313" s="332" t="s">
        <v>88</v>
      </c>
      <c r="C313" s="728" t="s">
        <v>16</v>
      </c>
      <c r="E313" s="928"/>
      <c r="G313" s="133">
        <f>SUM(E313:E313)</f>
        <v>0</v>
      </c>
    </row>
    <row r="314" spans="1:7">
      <c r="A314" s="330"/>
      <c r="B314" s="728"/>
      <c r="C314" s="728"/>
      <c r="G314" s="133"/>
    </row>
    <row r="315" spans="1:7" ht="15">
      <c r="A315" s="330"/>
      <c r="B315" s="728"/>
      <c r="C315" s="728" t="s">
        <v>17</v>
      </c>
      <c r="E315" s="928"/>
      <c r="G315" s="133">
        <f>SUM(E315:E315)</f>
        <v>0</v>
      </c>
    </row>
    <row r="316" spans="1:7">
      <c r="A316" s="330"/>
      <c r="B316" s="728"/>
      <c r="C316" s="728"/>
      <c r="G316" s="133"/>
    </row>
    <row r="317" spans="1:7" ht="15">
      <c r="A317" s="330"/>
      <c r="B317" s="332"/>
      <c r="C317" s="728" t="s">
        <v>18</v>
      </c>
      <c r="E317" s="928"/>
      <c r="G317" s="133">
        <f>SUM(E317:E317)</f>
        <v>0</v>
      </c>
    </row>
    <row r="318" spans="1:7">
      <c r="A318" s="330"/>
      <c r="B318" s="332"/>
      <c r="C318" s="728" t="s">
        <v>19</v>
      </c>
      <c r="E318" s="501">
        <f>SUM(E313:E317)</f>
        <v>0</v>
      </c>
      <c r="G318" s="241">
        <f>SUM(G313:G317)</f>
        <v>0</v>
      </c>
    </row>
    <row r="319" spans="1:7">
      <c r="A319" s="330"/>
      <c r="B319" s="332"/>
      <c r="C319" s="728"/>
      <c r="G319" s="133"/>
    </row>
    <row r="320" spans="1:7">
      <c r="A320" s="330"/>
      <c r="B320" s="332"/>
      <c r="C320" s="728" t="s">
        <v>20</v>
      </c>
      <c r="G320" s="133">
        <f>SUM(E320:E320)</f>
        <v>0</v>
      </c>
    </row>
    <row r="321" spans="1:7">
      <c r="A321" s="330"/>
      <c r="B321" s="728"/>
      <c r="C321" s="728"/>
      <c r="G321" s="133"/>
    </row>
    <row r="322" spans="1:7" hidden="1">
      <c r="A322" s="330"/>
      <c r="B322" s="332" t="s">
        <v>89</v>
      </c>
      <c r="C322" s="728" t="s">
        <v>16</v>
      </c>
      <c r="G322" s="133">
        <f>SUM(E322:E322)</f>
        <v>0</v>
      </c>
    </row>
    <row r="323" spans="1:7" hidden="1">
      <c r="A323" s="330"/>
      <c r="B323" s="728"/>
      <c r="C323" s="728"/>
      <c r="G323" s="133"/>
    </row>
    <row r="324" spans="1:7" hidden="1">
      <c r="A324" s="330"/>
      <c r="B324" s="728"/>
      <c r="C324" s="728" t="s">
        <v>17</v>
      </c>
      <c r="G324" s="133">
        <f>SUM(E324:E324)</f>
        <v>0</v>
      </c>
    </row>
    <row r="325" spans="1:7" hidden="1">
      <c r="A325" s="330"/>
      <c r="B325" s="728"/>
      <c r="C325" s="728"/>
      <c r="G325" s="133"/>
    </row>
    <row r="326" spans="1:7" hidden="1">
      <c r="A326" s="330"/>
      <c r="B326" s="332"/>
      <c r="C326" s="728" t="s">
        <v>18</v>
      </c>
      <c r="G326" s="133">
        <f>SUM(E326:E326)</f>
        <v>0</v>
      </c>
    </row>
    <row r="327" spans="1:7" hidden="1">
      <c r="A327" s="330"/>
      <c r="B327" s="332"/>
      <c r="C327" s="728" t="s">
        <v>19</v>
      </c>
      <c r="E327" s="501">
        <f>SUM(E322:E326)</f>
        <v>0</v>
      </c>
      <c r="G327" s="241">
        <f>SUM(G322:G326)</f>
        <v>0</v>
      </c>
    </row>
    <row r="328" spans="1:7" hidden="1">
      <c r="A328" s="330"/>
      <c r="B328" s="332"/>
      <c r="C328" s="728"/>
      <c r="G328" s="133"/>
    </row>
    <row r="329" spans="1:7" hidden="1">
      <c r="A329" s="330"/>
      <c r="B329" s="332"/>
      <c r="C329" s="728" t="s">
        <v>20</v>
      </c>
      <c r="G329" s="133">
        <f>SUM(E329:E329)</f>
        <v>0</v>
      </c>
    </row>
    <row r="330" spans="1:7" hidden="1">
      <c r="A330" s="330"/>
      <c r="B330" s="728"/>
      <c r="C330" s="728"/>
      <c r="G330" s="133"/>
    </row>
    <row r="331" spans="1:7" hidden="1">
      <c r="A331" s="330"/>
      <c r="B331" s="728" t="s">
        <v>25</v>
      </c>
      <c r="C331" s="728" t="s">
        <v>16</v>
      </c>
      <c r="G331" s="133">
        <f>SUM(E331:E331)</f>
        <v>0</v>
      </c>
    </row>
    <row r="332" spans="1:7" hidden="1">
      <c r="A332" s="330"/>
      <c r="B332" s="728" t="s">
        <v>693</v>
      </c>
      <c r="C332" s="728" t="s">
        <v>463</v>
      </c>
      <c r="G332" s="133"/>
    </row>
    <row r="333" spans="1:7" hidden="1">
      <c r="A333" s="330"/>
      <c r="B333" s="728"/>
      <c r="C333" s="728"/>
      <c r="G333" s="133">
        <f>SUM(E333:E333)</f>
        <v>0</v>
      </c>
    </row>
    <row r="334" spans="1:7" hidden="1">
      <c r="A334" s="330"/>
      <c r="B334" s="728"/>
      <c r="C334" s="728"/>
      <c r="G334" s="133"/>
    </row>
    <row r="335" spans="1:7" hidden="1">
      <c r="A335" s="330"/>
      <c r="B335" s="332"/>
      <c r="C335" s="332" t="s">
        <v>18</v>
      </c>
      <c r="G335" s="133">
        <f>SUM(E335:E335)</f>
        <v>0</v>
      </c>
    </row>
    <row r="336" spans="1:7" hidden="1">
      <c r="A336" s="330"/>
      <c r="B336" s="332"/>
      <c r="C336" s="332" t="s">
        <v>19</v>
      </c>
      <c r="E336" s="501">
        <f>SUM(E331:E335)</f>
        <v>0</v>
      </c>
      <c r="G336" s="241">
        <f>SUM(G331:G335)</f>
        <v>0</v>
      </c>
    </row>
    <row r="337" spans="1:7" hidden="1">
      <c r="A337" s="330"/>
      <c r="B337" s="332"/>
      <c r="C337" s="332"/>
      <c r="G337" s="133"/>
    </row>
    <row r="338" spans="1:7" hidden="1">
      <c r="A338" s="330"/>
      <c r="B338" s="332"/>
      <c r="C338" s="332" t="s">
        <v>20</v>
      </c>
      <c r="G338" s="133">
        <f>SUM(E338:E338)</f>
        <v>0</v>
      </c>
    </row>
    <row r="339" spans="1:7" hidden="1">
      <c r="A339" s="330"/>
      <c r="B339" s="728"/>
      <c r="C339" s="728"/>
      <c r="G339" s="133"/>
    </row>
    <row r="340" spans="1:7" ht="15">
      <c r="A340" s="330"/>
      <c r="B340" s="332" t="s">
        <v>26</v>
      </c>
      <c r="C340" s="332" t="s">
        <v>16</v>
      </c>
      <c r="E340" s="928"/>
      <c r="G340" s="133">
        <f>SUM(E340:E340)</f>
        <v>0</v>
      </c>
    </row>
    <row r="341" spans="1:7">
      <c r="A341" s="330"/>
      <c r="B341" s="728"/>
      <c r="C341" s="332"/>
      <c r="G341" s="133"/>
    </row>
    <row r="342" spans="1:7">
      <c r="A342" s="330"/>
      <c r="B342" s="728"/>
      <c r="C342" s="332"/>
      <c r="G342" s="133">
        <f>SUM(E342:E342)</f>
        <v>0</v>
      </c>
    </row>
    <row r="343" spans="1:7">
      <c r="A343" s="330"/>
      <c r="B343" s="728"/>
      <c r="C343" s="332"/>
      <c r="G343" s="133"/>
    </row>
    <row r="344" spans="1:7" ht="15">
      <c r="A344" s="330"/>
      <c r="B344" s="332"/>
      <c r="C344" s="332" t="s">
        <v>18</v>
      </c>
      <c r="E344" s="928"/>
      <c r="G344" s="133">
        <f>SUM(E344:E344)</f>
        <v>0</v>
      </c>
    </row>
    <row r="345" spans="1:7">
      <c r="A345" s="330"/>
      <c r="B345" s="332"/>
      <c r="C345" s="332" t="s">
        <v>19</v>
      </c>
      <c r="E345" s="501">
        <f>SUM(E340:E344)</f>
        <v>0</v>
      </c>
      <c r="G345" s="241">
        <f>SUM(G340:G344)</f>
        <v>0</v>
      </c>
    </row>
    <row r="346" spans="1:7">
      <c r="A346" s="330"/>
      <c r="B346" s="332"/>
      <c r="C346" s="332"/>
      <c r="G346" s="133"/>
    </row>
    <row r="347" spans="1:7">
      <c r="A347" s="330"/>
      <c r="B347" s="332"/>
      <c r="C347" s="332" t="s">
        <v>20</v>
      </c>
      <c r="G347" s="133">
        <f>SUM(E347:E347)</f>
        <v>0</v>
      </c>
    </row>
    <row r="348" spans="1:7">
      <c r="A348" s="330"/>
      <c r="B348" s="728"/>
      <c r="C348" s="728"/>
      <c r="G348" s="133"/>
    </row>
    <row r="349" spans="1:7" ht="15">
      <c r="A349" s="330"/>
      <c r="B349" s="728" t="s">
        <v>25</v>
      </c>
      <c r="C349" s="332" t="s">
        <v>16</v>
      </c>
      <c r="E349" s="928"/>
      <c r="G349" s="133">
        <f>SUM(E349:E349)</f>
        <v>0</v>
      </c>
    </row>
    <row r="350" spans="1:7">
      <c r="A350" s="330"/>
      <c r="B350" s="728" t="s">
        <v>694</v>
      </c>
      <c r="C350" s="332"/>
      <c r="G350" s="133"/>
    </row>
    <row r="351" spans="1:7">
      <c r="A351" s="330"/>
      <c r="B351" s="728"/>
      <c r="C351" s="332"/>
      <c r="G351" s="133">
        <f>SUM(E351:E351)</f>
        <v>0</v>
      </c>
    </row>
    <row r="352" spans="1:7">
      <c r="A352" s="330"/>
      <c r="B352" s="728"/>
      <c r="C352" s="332"/>
      <c r="G352" s="133"/>
    </row>
    <row r="353" spans="1:7" ht="15">
      <c r="A353" s="330"/>
      <c r="B353" s="332"/>
      <c r="C353" s="332" t="s">
        <v>18</v>
      </c>
      <c r="E353" s="928"/>
      <c r="G353" s="133">
        <f>SUM(E353:E353)</f>
        <v>0</v>
      </c>
    </row>
    <row r="354" spans="1:7">
      <c r="A354" s="330"/>
      <c r="B354" s="332"/>
      <c r="C354" s="332" t="s">
        <v>19</v>
      </c>
      <c r="E354" s="501">
        <f>SUM(E349:E353)</f>
        <v>0</v>
      </c>
      <c r="G354" s="241">
        <f>SUM(G349:G353)</f>
        <v>0</v>
      </c>
    </row>
    <row r="355" spans="1:7">
      <c r="A355" s="330"/>
      <c r="B355" s="332"/>
      <c r="C355" s="332"/>
      <c r="G355" s="133"/>
    </row>
    <row r="356" spans="1:7">
      <c r="A356" s="330"/>
      <c r="B356" s="332"/>
      <c r="C356" s="332" t="s">
        <v>20</v>
      </c>
      <c r="G356" s="133">
        <f>SUM(E356:E356)</f>
        <v>0</v>
      </c>
    </row>
    <row r="357" spans="1:7">
      <c r="A357" s="330"/>
      <c r="B357" s="332"/>
      <c r="C357" s="332"/>
      <c r="G357" s="133"/>
    </row>
    <row r="358" spans="1:7" ht="15">
      <c r="A358" s="330"/>
      <c r="B358" s="728" t="s">
        <v>690</v>
      </c>
      <c r="C358" s="728" t="s">
        <v>96</v>
      </c>
      <c r="E358" s="928"/>
      <c r="G358" s="116">
        <f>SUM(E358:E358)</f>
        <v>0</v>
      </c>
    </row>
    <row r="359" spans="1:7" ht="15.75" thickBot="1">
      <c r="A359" s="330"/>
      <c r="B359" s="728" t="s">
        <v>114</v>
      </c>
      <c r="C359" s="728" t="s">
        <v>96</v>
      </c>
      <c r="E359" s="928"/>
      <c r="G359" s="235">
        <f>SUM(E359:E359)</f>
        <v>0</v>
      </c>
    </row>
    <row r="360" spans="1:7" ht="13.5" thickTop="1">
      <c r="A360" s="330"/>
      <c r="B360" s="728" t="s">
        <v>545</v>
      </c>
      <c r="C360" s="728"/>
      <c r="G360" s="133"/>
    </row>
    <row r="361" spans="1:7">
      <c r="A361" s="330"/>
      <c r="B361" s="332"/>
      <c r="C361" s="332" t="s">
        <v>16</v>
      </c>
      <c r="E361" s="501">
        <f>E1*(+E277+E286+E295+E304+E313+E358+E359)</f>
        <v>0</v>
      </c>
      <c r="G361" s="133">
        <f>+G277+G286+G295+G304+G313+G358+G359</f>
        <v>0</v>
      </c>
    </row>
    <row r="362" spans="1:7">
      <c r="A362" s="330"/>
      <c r="B362" s="332"/>
      <c r="C362" s="332" t="s">
        <v>17</v>
      </c>
      <c r="E362" s="501">
        <f>E1*(+E315+E324)</f>
        <v>0</v>
      </c>
      <c r="G362" s="133">
        <f>+G315+G324</f>
        <v>0</v>
      </c>
    </row>
    <row r="363" spans="1:7">
      <c r="A363" s="330"/>
      <c r="B363" s="332"/>
      <c r="C363" s="728" t="s">
        <v>548</v>
      </c>
      <c r="E363" s="501">
        <f>E1*(+E322+E331+E340+E349)</f>
        <v>0</v>
      </c>
      <c r="G363" s="133">
        <f>+G322+G331+G340+G349</f>
        <v>0</v>
      </c>
    </row>
    <row r="364" spans="1:7">
      <c r="A364" s="330"/>
      <c r="B364" s="332"/>
      <c r="C364" s="332" t="s">
        <v>18</v>
      </c>
      <c r="E364" s="501">
        <f>E1*(+E281+E290+E299+E308+E317+E326+E335+E344+E353)</f>
        <v>0</v>
      </c>
      <c r="G364" s="133">
        <f>+G281+G290+G299+G308+G317+G326+G335+G344+G353</f>
        <v>0</v>
      </c>
    </row>
    <row r="365" spans="1:7">
      <c r="A365" s="330"/>
      <c r="B365" s="332"/>
      <c r="C365" s="332" t="s">
        <v>27</v>
      </c>
      <c r="E365" s="501">
        <f t="shared" ref="E365" si="4">E1*+E282+E291+E300+E309+E318+E327+E336+E345+E354+E358+E359</f>
        <v>0</v>
      </c>
      <c r="G365" s="241">
        <f>G1*+G282+G291+G300+G309+G318+G327+G336+G345+G354+G358+G359</f>
        <v>0</v>
      </c>
    </row>
    <row r="366" spans="1:7">
      <c r="A366" s="330"/>
      <c r="B366" s="332"/>
      <c r="C366" s="332"/>
      <c r="G366" s="241"/>
    </row>
    <row r="367" spans="1:7">
      <c r="A367" s="330"/>
      <c r="B367" s="332"/>
      <c r="C367" s="728" t="s">
        <v>59</v>
      </c>
      <c r="E367" s="501">
        <f>E1*(E284+E293+E302+E311+E320+E329)</f>
        <v>0</v>
      </c>
      <c r="G367" s="133">
        <f>G284+G293+G302+G311+G320+G329</f>
        <v>0</v>
      </c>
    </row>
    <row r="368" spans="1:7">
      <c r="A368" s="330"/>
      <c r="B368" s="332"/>
      <c r="C368" s="332" t="s">
        <v>60</v>
      </c>
      <c r="E368" s="501">
        <f>E1*(E347+E356+E338)</f>
        <v>0</v>
      </c>
      <c r="G368" s="133">
        <f>G347+G356+G338</f>
        <v>0</v>
      </c>
    </row>
    <row r="369" spans="1:7">
      <c r="A369" s="330"/>
      <c r="B369" s="332"/>
      <c r="C369" s="332" t="s">
        <v>28</v>
      </c>
      <c r="E369" s="501">
        <f>E1*+E284+E293+E302+E311+E320+E329+E338+E347+E356</f>
        <v>0</v>
      </c>
      <c r="G369" s="241">
        <f>+G284+G293+G302+G311+G320+G329+G338+G347+G356</f>
        <v>0</v>
      </c>
    </row>
    <row r="370" spans="1:7">
      <c r="A370" s="330"/>
      <c r="B370" s="728"/>
      <c r="C370" s="728"/>
      <c r="G370" s="133"/>
    </row>
    <row r="371" spans="1:7" hidden="1">
      <c r="A371" s="59" t="s">
        <v>29</v>
      </c>
      <c r="B371" s="332"/>
      <c r="C371" s="332"/>
      <c r="G371" s="133"/>
    </row>
    <row r="372" spans="1:7" hidden="1">
      <c r="A372" s="330"/>
      <c r="B372" s="728" t="s">
        <v>89</v>
      </c>
      <c r="C372" s="728" t="s">
        <v>16</v>
      </c>
      <c r="G372" s="133">
        <f>SUM(E372:E372)</f>
        <v>0</v>
      </c>
    </row>
    <row r="373" spans="1:7" hidden="1">
      <c r="A373" s="330"/>
      <c r="B373" s="728"/>
      <c r="C373" s="728"/>
      <c r="G373" s="133"/>
    </row>
    <row r="374" spans="1:7" hidden="1">
      <c r="A374" s="330"/>
      <c r="B374" s="728"/>
      <c r="C374" s="728"/>
      <c r="G374" s="133">
        <f>SUM(E374:E374)</f>
        <v>0</v>
      </c>
    </row>
    <row r="375" spans="1:7" hidden="1">
      <c r="A375" s="330"/>
      <c r="B375" s="728"/>
      <c r="C375" s="728"/>
      <c r="G375" s="133"/>
    </row>
    <row r="376" spans="1:7" hidden="1">
      <c r="A376" s="330"/>
      <c r="B376" s="728"/>
      <c r="C376" s="728" t="s">
        <v>18</v>
      </c>
      <c r="G376" s="133">
        <f>SUM(E376:E376)</f>
        <v>0</v>
      </c>
    </row>
    <row r="377" spans="1:7" hidden="1">
      <c r="A377" s="330"/>
      <c r="B377" s="728"/>
      <c r="C377" s="728" t="s">
        <v>19</v>
      </c>
      <c r="E377" s="501">
        <f>SUM(E372:E376)</f>
        <v>0</v>
      </c>
      <c r="G377" s="241">
        <f>SUM(G372:G376)</f>
        <v>0</v>
      </c>
    </row>
    <row r="378" spans="1:7" hidden="1">
      <c r="A378" s="330"/>
      <c r="B378" s="728"/>
      <c r="C378" s="728"/>
      <c r="G378" s="133"/>
    </row>
    <row r="379" spans="1:7" hidden="1">
      <c r="A379" s="330"/>
      <c r="B379" s="728"/>
      <c r="C379" s="728" t="s">
        <v>20</v>
      </c>
      <c r="G379" s="133">
        <f>SUM(E379:E379)</f>
        <v>0</v>
      </c>
    </row>
    <row r="380" spans="1:7" hidden="1">
      <c r="A380" s="330"/>
      <c r="B380" s="332"/>
      <c r="C380" s="332"/>
      <c r="G380" s="133"/>
    </row>
    <row r="381" spans="1:7" hidden="1">
      <c r="A381" s="330"/>
      <c r="B381" s="728" t="s">
        <v>25</v>
      </c>
      <c r="C381" s="728" t="s">
        <v>16</v>
      </c>
      <c r="G381" s="133">
        <f>SUM(E381:E381)</f>
        <v>0</v>
      </c>
    </row>
    <row r="382" spans="1:7" hidden="1">
      <c r="A382" s="330"/>
      <c r="B382" s="728"/>
      <c r="C382" s="728"/>
      <c r="G382" s="133"/>
    </row>
    <row r="383" spans="1:7" hidden="1">
      <c r="A383" s="330"/>
      <c r="B383" s="728"/>
      <c r="C383" s="728"/>
      <c r="G383" s="133">
        <f>SUM(E383:E383)</f>
        <v>0</v>
      </c>
    </row>
    <row r="384" spans="1:7" hidden="1">
      <c r="A384" s="330"/>
      <c r="B384" s="728"/>
      <c r="C384" s="728"/>
      <c r="G384" s="133"/>
    </row>
    <row r="385" spans="1:7" hidden="1">
      <c r="A385" s="330"/>
      <c r="B385" s="728"/>
      <c r="C385" s="728" t="s">
        <v>18</v>
      </c>
      <c r="G385" s="133">
        <f>SUM(E385:E385)</f>
        <v>0</v>
      </c>
    </row>
    <row r="386" spans="1:7" hidden="1">
      <c r="A386" s="330"/>
      <c r="B386" s="728"/>
      <c r="C386" s="728" t="s">
        <v>19</v>
      </c>
      <c r="E386" s="501">
        <f>SUM(E381:E385)</f>
        <v>0</v>
      </c>
      <c r="G386" s="241">
        <f>SUM(G381:G385)</f>
        <v>0</v>
      </c>
    </row>
    <row r="387" spans="1:7" hidden="1">
      <c r="A387" s="330"/>
      <c r="B387" s="728"/>
      <c r="C387" s="728"/>
      <c r="G387" s="133"/>
    </row>
    <row r="388" spans="1:7" hidden="1">
      <c r="A388" s="330"/>
      <c r="B388" s="728"/>
      <c r="C388" s="728" t="s">
        <v>20</v>
      </c>
      <c r="G388" s="133">
        <f>SUM(E388:E388)</f>
        <v>0</v>
      </c>
    </row>
    <row r="389" spans="1:7" ht="13.5" hidden="1" thickBot="1">
      <c r="A389" s="330"/>
      <c r="B389" s="332"/>
      <c r="C389" s="332"/>
      <c r="G389" s="242"/>
    </row>
    <row r="390" spans="1:7" ht="13.5" hidden="1" thickTop="1">
      <c r="A390" s="330"/>
      <c r="B390" s="332" t="s">
        <v>547</v>
      </c>
      <c r="C390" s="728"/>
      <c r="G390" s="133"/>
    </row>
    <row r="391" spans="1:7" hidden="1">
      <c r="A391" s="330"/>
      <c r="B391" s="332"/>
      <c r="C391" s="728" t="s">
        <v>16</v>
      </c>
      <c r="E391" s="501">
        <f>+E372+E381</f>
        <v>0</v>
      </c>
      <c r="G391" s="133">
        <f>+G372+G381</f>
        <v>0</v>
      </c>
    </row>
    <row r="392" spans="1:7" hidden="1">
      <c r="A392" s="330"/>
      <c r="B392" s="332"/>
      <c r="C392" s="728" t="s">
        <v>18</v>
      </c>
      <c r="E392" s="501">
        <f>+E375+E384</f>
        <v>0</v>
      </c>
      <c r="G392" s="133">
        <f>+G375+G384</f>
        <v>0</v>
      </c>
    </row>
    <row r="393" spans="1:7" hidden="1">
      <c r="A393" s="330"/>
      <c r="B393" s="332"/>
      <c r="C393" s="332" t="s">
        <v>30</v>
      </c>
      <c r="E393" s="501">
        <f>E377+E386</f>
        <v>0</v>
      </c>
      <c r="G393" s="133">
        <f>G377+G386</f>
        <v>0</v>
      </c>
    </row>
    <row r="394" spans="1:7" hidden="1">
      <c r="A394" s="330"/>
      <c r="B394" s="332"/>
      <c r="C394" s="332"/>
      <c r="G394" s="133"/>
    </row>
    <row r="395" spans="1:7" hidden="1">
      <c r="A395" s="330"/>
      <c r="B395" s="728"/>
      <c r="C395" s="332" t="s">
        <v>59</v>
      </c>
      <c r="E395" s="501">
        <f>E379</f>
        <v>0</v>
      </c>
      <c r="G395" s="133">
        <f>G379</f>
        <v>0</v>
      </c>
    </row>
    <row r="396" spans="1:7" hidden="1">
      <c r="A396" s="330"/>
      <c r="B396" s="728"/>
      <c r="C396" s="728" t="s">
        <v>60</v>
      </c>
      <c r="E396" s="501">
        <f>E388</f>
        <v>0</v>
      </c>
      <c r="G396" s="133">
        <f>G388</f>
        <v>0</v>
      </c>
    </row>
    <row r="397" spans="1:7" hidden="1">
      <c r="A397" s="330"/>
      <c r="B397" s="728"/>
      <c r="C397" s="332" t="s">
        <v>31</v>
      </c>
      <c r="E397" s="501">
        <f>E379+E388</f>
        <v>0</v>
      </c>
      <c r="G397" s="133">
        <f>G379+G388</f>
        <v>0</v>
      </c>
    </row>
    <row r="398" spans="1:7" ht="13.5" hidden="1" thickBot="1">
      <c r="A398" s="330"/>
      <c r="B398" s="332"/>
      <c r="C398" s="332"/>
      <c r="G398" s="242"/>
    </row>
    <row r="399" spans="1:7">
      <c r="A399" s="59" t="s">
        <v>32</v>
      </c>
      <c r="B399" s="332"/>
      <c r="C399" s="332"/>
      <c r="G399" s="133"/>
    </row>
    <row r="400" spans="1:7">
      <c r="A400" s="330"/>
      <c r="B400" s="332" t="s">
        <v>659</v>
      </c>
      <c r="C400" s="728"/>
      <c r="G400" s="133"/>
    </row>
    <row r="401" spans="1:7">
      <c r="A401" s="330"/>
      <c r="B401" s="332"/>
      <c r="C401" s="728" t="s">
        <v>16</v>
      </c>
      <c r="E401" s="501">
        <f t="shared" ref="E401" si="5">E1*(E238+E267+E361+E391)</f>
        <v>0</v>
      </c>
      <c r="G401" s="133">
        <f>(G238+G267+G361+G391)</f>
        <v>0</v>
      </c>
    </row>
    <row r="402" spans="1:7">
      <c r="A402" s="330"/>
      <c r="B402" s="332"/>
      <c r="C402" s="728" t="s">
        <v>17</v>
      </c>
      <c r="E402" s="501">
        <f t="shared" ref="E402" si="6">E1*(E239+E268+E362)</f>
        <v>0</v>
      </c>
      <c r="G402" s="133">
        <f>(G239+G268+G362)</f>
        <v>0</v>
      </c>
    </row>
    <row r="403" spans="1:7">
      <c r="A403" s="330"/>
      <c r="B403" s="332"/>
      <c r="C403" s="728" t="s">
        <v>548</v>
      </c>
      <c r="E403" s="501">
        <f t="shared" ref="E403" si="7">E1*(E363)</f>
        <v>0</v>
      </c>
      <c r="G403" s="133">
        <f>(G363)</f>
        <v>0</v>
      </c>
    </row>
    <row r="404" spans="1:7">
      <c r="A404" s="330"/>
      <c r="B404" s="332"/>
      <c r="C404" s="728" t="s">
        <v>18</v>
      </c>
      <c r="E404" s="501">
        <f t="shared" ref="E404" si="8">E1*(E240+E269+E364+E392)</f>
        <v>0</v>
      </c>
      <c r="G404" s="133">
        <f>(G240+G269+G364+G392)</f>
        <v>0</v>
      </c>
    </row>
    <row r="405" spans="1:7">
      <c r="A405" s="330"/>
      <c r="B405" s="332"/>
      <c r="C405" s="728"/>
      <c r="G405" s="133"/>
    </row>
    <row r="406" spans="1:7">
      <c r="A406" s="330"/>
      <c r="B406" s="332"/>
      <c r="C406" s="332" t="s">
        <v>659</v>
      </c>
      <c r="E406" s="501">
        <f t="shared" ref="E406" si="9">E1*(E241+E270+E365+E393)</f>
        <v>0</v>
      </c>
      <c r="G406" s="133">
        <f>(G241+G270+G365+G393)</f>
        <v>0</v>
      </c>
    </row>
    <row r="407" spans="1:7">
      <c r="A407" s="330"/>
      <c r="B407" s="332"/>
      <c r="C407" s="332"/>
      <c r="G407" s="133"/>
    </row>
    <row r="408" spans="1:7">
      <c r="A408" s="330"/>
      <c r="B408" s="728"/>
      <c r="C408" s="332" t="s">
        <v>59</v>
      </c>
      <c r="E408" s="501">
        <f t="shared" ref="E408" si="10">E1*(E243+E272+E367+E395)</f>
        <v>0</v>
      </c>
      <c r="G408" s="133">
        <f>(G243+G272+G367+G395)</f>
        <v>0</v>
      </c>
    </row>
    <row r="409" spans="1:7">
      <c r="A409" s="330"/>
      <c r="B409" s="728"/>
      <c r="C409" s="728" t="s">
        <v>60</v>
      </c>
      <c r="E409" s="501">
        <f t="shared" ref="E409" si="11">E1*(E244+E273+E368+E396)</f>
        <v>0</v>
      </c>
      <c r="G409" s="133">
        <f>(G244+G273+G368+G396)</f>
        <v>0</v>
      </c>
    </row>
    <row r="410" spans="1:7">
      <c r="A410" s="330"/>
      <c r="C410" s="332" t="s">
        <v>33</v>
      </c>
      <c r="E410" s="501">
        <f t="shared" ref="E410" si="12">E1*(E245+E274+E369+E397)</f>
        <v>0</v>
      </c>
      <c r="G410" s="133">
        <f>(G245+G274+G369+G397)</f>
        <v>0</v>
      </c>
    </row>
    <row r="411" spans="1:7">
      <c r="A411" s="330"/>
      <c r="B411" s="106"/>
      <c r="C411" s="106"/>
      <c r="G411" s="133"/>
    </row>
    <row r="412" spans="1:7">
      <c r="A412" s="330"/>
      <c r="B412" s="106"/>
      <c r="C412" s="106"/>
      <c r="G412" s="133"/>
    </row>
    <row r="413" spans="1:7">
      <c r="A413" s="59" t="s">
        <v>167</v>
      </c>
      <c r="B413" s="106"/>
      <c r="C413" s="106"/>
      <c r="G413" s="133"/>
    </row>
    <row r="414" spans="1:7">
      <c r="A414" s="330"/>
      <c r="B414" s="106"/>
      <c r="C414" s="106"/>
      <c r="G414" s="133"/>
    </row>
    <row r="415" spans="1:7">
      <c r="A415" s="134"/>
      <c r="B415" s="106" t="s">
        <v>168</v>
      </c>
      <c r="C415" s="106"/>
      <c r="G415" s="133"/>
    </row>
    <row r="416" spans="1:7">
      <c r="A416" s="134"/>
      <c r="B416" s="106"/>
      <c r="C416" s="106"/>
      <c r="G416" s="133"/>
    </row>
    <row r="417" spans="1:7">
      <c r="A417" s="134">
        <v>483</v>
      </c>
      <c r="B417" s="106" t="s">
        <v>169</v>
      </c>
      <c r="C417" s="106"/>
      <c r="G417" s="133"/>
    </row>
    <row r="418" spans="1:7" ht="15">
      <c r="A418" s="134"/>
      <c r="B418" s="106"/>
      <c r="C418" s="106" t="s">
        <v>14</v>
      </c>
      <c r="E418" s="928"/>
      <c r="G418" s="133">
        <f>SUM(E418:E418)</f>
        <v>0</v>
      </c>
    </row>
    <row r="419" spans="1:7">
      <c r="A419" s="134"/>
      <c r="B419" s="106"/>
      <c r="C419" s="106" t="s">
        <v>24</v>
      </c>
      <c r="G419" s="133">
        <f>SUM(E419:E419)</f>
        <v>0</v>
      </c>
    </row>
    <row r="420" spans="1:7">
      <c r="A420" s="134"/>
      <c r="B420" s="106"/>
      <c r="C420" s="106" t="s">
        <v>170</v>
      </c>
      <c r="E420" s="501">
        <f>SUM(E418:E419)</f>
        <v>0</v>
      </c>
      <c r="G420" s="241">
        <f>SUM(G418:G419)</f>
        <v>0</v>
      </c>
    </row>
    <row r="421" spans="1:7">
      <c r="A421" s="134"/>
      <c r="B421" s="106"/>
      <c r="C421" s="106"/>
      <c r="G421" s="133"/>
    </row>
    <row r="422" spans="1:7">
      <c r="A422" s="134">
        <v>487</v>
      </c>
      <c r="B422" s="106" t="s">
        <v>173</v>
      </c>
      <c r="C422" s="106"/>
      <c r="G422" s="133"/>
    </row>
    <row r="423" spans="1:7" ht="15">
      <c r="A423" s="134"/>
      <c r="B423" s="106"/>
      <c r="C423" s="106" t="s">
        <v>14</v>
      </c>
      <c r="E423" s="928"/>
      <c r="G423" s="133">
        <f>SUM(E423:E423)</f>
        <v>0</v>
      </c>
    </row>
    <row r="424" spans="1:7">
      <c r="A424" s="134"/>
      <c r="B424" s="106"/>
      <c r="C424" s="106" t="s">
        <v>24</v>
      </c>
      <c r="G424" s="133">
        <f>SUM(E424:E424)</f>
        <v>0</v>
      </c>
    </row>
    <row r="425" spans="1:7">
      <c r="A425" s="134"/>
      <c r="B425" s="106"/>
      <c r="C425" s="106" t="s">
        <v>170</v>
      </c>
      <c r="E425" s="501">
        <f>SUM(E423:E424)</f>
        <v>0</v>
      </c>
      <c r="G425" s="241">
        <f>SUM(G423:G424)</f>
        <v>0</v>
      </c>
    </row>
    <row r="426" spans="1:7">
      <c r="A426" s="134"/>
      <c r="B426" s="106"/>
      <c r="C426" s="106"/>
      <c r="G426" s="133"/>
    </row>
    <row r="427" spans="1:7">
      <c r="A427" s="134">
        <v>4860</v>
      </c>
      <c r="B427" s="106" t="s">
        <v>314</v>
      </c>
      <c r="C427" s="106"/>
      <c r="G427" s="133"/>
    </row>
    <row r="428" spans="1:7" ht="15">
      <c r="A428" s="134"/>
      <c r="B428" s="106"/>
      <c r="C428" s="106" t="s">
        <v>14</v>
      </c>
      <c r="E428" s="928"/>
      <c r="G428" s="133">
        <f>SUM(E428:E428)</f>
        <v>0</v>
      </c>
    </row>
    <row r="429" spans="1:7">
      <c r="A429" s="134"/>
      <c r="B429" s="106"/>
      <c r="C429" s="106" t="s">
        <v>24</v>
      </c>
      <c r="G429" s="133">
        <f>SUM(E429:E429)</f>
        <v>0</v>
      </c>
    </row>
    <row r="430" spans="1:7">
      <c r="A430" s="134"/>
      <c r="B430" s="106"/>
      <c r="C430" s="106" t="s">
        <v>170</v>
      </c>
      <c r="E430" s="501">
        <f>SUM(E428:E429)</f>
        <v>0</v>
      </c>
      <c r="G430" s="241">
        <f>SUM(G428:G429)</f>
        <v>0</v>
      </c>
    </row>
    <row r="431" spans="1:7">
      <c r="A431" s="134"/>
      <c r="B431" s="106"/>
      <c r="C431" s="106"/>
      <c r="G431" s="133"/>
    </row>
    <row r="432" spans="1:7">
      <c r="A432" s="134">
        <v>4861</v>
      </c>
      <c r="B432" s="106" t="s">
        <v>315</v>
      </c>
      <c r="C432" s="106"/>
      <c r="G432" s="133"/>
    </row>
    <row r="433" spans="1:7" ht="15">
      <c r="A433" s="134"/>
      <c r="B433" s="106"/>
      <c r="C433" s="106" t="s">
        <v>14</v>
      </c>
      <c r="E433" s="928"/>
      <c r="G433" s="133">
        <f>SUM(E433:E433)</f>
        <v>0</v>
      </c>
    </row>
    <row r="434" spans="1:7">
      <c r="A434" s="134"/>
      <c r="B434" s="106"/>
      <c r="C434" s="106" t="s">
        <v>24</v>
      </c>
      <c r="G434" s="133">
        <f>SUM(E434:E434)</f>
        <v>0</v>
      </c>
    </row>
    <row r="435" spans="1:7">
      <c r="A435" s="134"/>
      <c r="B435" s="106"/>
      <c r="C435" s="106" t="s">
        <v>170</v>
      </c>
      <c r="E435" s="501">
        <f>SUM(E433:E434)</f>
        <v>0</v>
      </c>
      <c r="G435" s="241">
        <f>SUM(G433:G434)</f>
        <v>0</v>
      </c>
    </row>
    <row r="436" spans="1:7">
      <c r="A436" s="134"/>
      <c r="B436" s="106"/>
      <c r="C436" s="106"/>
      <c r="G436" s="133"/>
    </row>
    <row r="437" spans="1:7">
      <c r="A437" s="134">
        <v>4862</v>
      </c>
      <c r="B437" s="106" t="s">
        <v>316</v>
      </c>
      <c r="C437" s="106"/>
      <c r="G437" s="133"/>
    </row>
    <row r="438" spans="1:7" ht="15">
      <c r="A438" s="134"/>
      <c r="B438" s="106"/>
      <c r="C438" s="106" t="s">
        <v>14</v>
      </c>
      <c r="E438" s="928"/>
      <c r="G438" s="133">
        <f>SUM(E438:E438)</f>
        <v>0</v>
      </c>
    </row>
    <row r="439" spans="1:7">
      <c r="A439" s="134"/>
      <c r="B439" s="106"/>
      <c r="C439" s="106" t="s">
        <v>24</v>
      </c>
      <c r="G439" s="133">
        <f>SUM(E439:E439)</f>
        <v>0</v>
      </c>
    </row>
    <row r="440" spans="1:7">
      <c r="A440" s="134"/>
      <c r="B440" s="106"/>
      <c r="C440" s="106" t="s">
        <v>170</v>
      </c>
      <c r="E440" s="501">
        <f>SUM(E438:E439)</f>
        <v>0</v>
      </c>
      <c r="G440" s="241">
        <f>SUM(G438:G439)</f>
        <v>0</v>
      </c>
    </row>
    <row r="441" spans="1:7">
      <c r="A441" s="134"/>
      <c r="B441" s="106"/>
      <c r="C441" s="106"/>
      <c r="G441" s="133"/>
    </row>
    <row r="442" spans="1:7">
      <c r="A442" s="134" t="s">
        <v>411</v>
      </c>
      <c r="B442" s="106" t="s">
        <v>317</v>
      </c>
      <c r="C442" s="106"/>
      <c r="G442" s="133"/>
    </row>
    <row r="443" spans="1:7" ht="15">
      <c r="A443" s="134"/>
      <c r="B443" s="106"/>
      <c r="C443" s="106" t="s">
        <v>14</v>
      </c>
      <c r="E443" s="928"/>
      <c r="G443" s="133">
        <f>SUM(E443:E443)</f>
        <v>0</v>
      </c>
    </row>
    <row r="444" spans="1:7">
      <c r="A444" s="134"/>
      <c r="B444" s="106"/>
      <c r="C444" s="106" t="s">
        <v>24</v>
      </c>
      <c r="G444" s="133">
        <f>SUM(E444:E444)</f>
        <v>0</v>
      </c>
    </row>
    <row r="445" spans="1:7">
      <c r="A445" s="134"/>
      <c r="B445" s="106"/>
      <c r="C445" s="106" t="s">
        <v>170</v>
      </c>
      <c r="E445" s="501">
        <f>SUM(E443:E444)</f>
        <v>0</v>
      </c>
      <c r="G445" s="241">
        <f>SUM(G443:G444)</f>
        <v>0</v>
      </c>
    </row>
    <row r="446" spans="1:7">
      <c r="A446" s="134"/>
      <c r="B446" s="106"/>
      <c r="C446" s="106"/>
      <c r="G446" s="133"/>
    </row>
    <row r="447" spans="1:7">
      <c r="A447" s="134" t="s">
        <v>412</v>
      </c>
      <c r="B447" s="106" t="s">
        <v>318</v>
      </c>
      <c r="C447" s="106"/>
      <c r="G447" s="133"/>
    </row>
    <row r="448" spans="1:7" ht="15">
      <c r="A448" s="134"/>
      <c r="B448" s="106"/>
      <c r="C448" s="106" t="s">
        <v>14</v>
      </c>
      <c r="E448" s="928"/>
      <c r="G448" s="133">
        <f>SUM(E448:E448)</f>
        <v>0</v>
      </c>
    </row>
    <row r="449" spans="1:7">
      <c r="A449" s="134"/>
      <c r="B449" s="106"/>
      <c r="C449" s="106" t="s">
        <v>24</v>
      </c>
      <c r="G449" s="133">
        <f>SUM(E449:E449)</f>
        <v>0</v>
      </c>
    </row>
    <row r="450" spans="1:7">
      <c r="A450" s="134"/>
      <c r="B450" s="106"/>
      <c r="C450" s="106" t="s">
        <v>170</v>
      </c>
      <c r="E450" s="501">
        <f>SUM(E448:E449)</f>
        <v>0</v>
      </c>
      <c r="G450" s="241">
        <f>SUM(G448:G449)</f>
        <v>0</v>
      </c>
    </row>
    <row r="451" spans="1:7">
      <c r="A451" s="134"/>
      <c r="B451" s="106"/>
      <c r="C451" s="106"/>
      <c r="G451" s="133"/>
    </row>
    <row r="452" spans="1:7">
      <c r="A452" s="134" t="s">
        <v>413</v>
      </c>
      <c r="B452" s="106" t="s">
        <v>319</v>
      </c>
      <c r="C452" s="106"/>
      <c r="G452" s="133"/>
    </row>
    <row r="453" spans="1:7" ht="15">
      <c r="A453" s="134"/>
      <c r="B453" s="106"/>
      <c r="C453" s="106" t="s">
        <v>14</v>
      </c>
      <c r="E453" s="928"/>
      <c r="G453" s="133">
        <f>SUM(E453:E453)</f>
        <v>0</v>
      </c>
    </row>
    <row r="454" spans="1:7">
      <c r="A454" s="134"/>
      <c r="B454" s="106"/>
      <c r="C454" s="106" t="s">
        <v>24</v>
      </c>
      <c r="G454" s="133">
        <f>SUM(E454:E454)</f>
        <v>0</v>
      </c>
    </row>
    <row r="455" spans="1:7">
      <c r="A455" s="134"/>
      <c r="B455" s="106"/>
      <c r="C455" s="106" t="s">
        <v>170</v>
      </c>
      <c r="E455" s="501">
        <f>SUM(E453:E454)</f>
        <v>0</v>
      </c>
      <c r="G455" s="241">
        <f>SUM(G453:G454)</f>
        <v>0</v>
      </c>
    </row>
    <row r="456" spans="1:7">
      <c r="A456" s="134"/>
      <c r="B456" s="106"/>
      <c r="C456" s="106"/>
      <c r="G456" s="133"/>
    </row>
    <row r="457" spans="1:7">
      <c r="A457" s="134" t="s">
        <v>414</v>
      </c>
      <c r="B457" s="106" t="s">
        <v>415</v>
      </c>
      <c r="C457" s="106"/>
      <c r="G457" s="133"/>
    </row>
    <row r="458" spans="1:7" ht="15">
      <c r="A458" s="134"/>
      <c r="B458" s="106"/>
      <c r="C458" s="106" t="s">
        <v>14</v>
      </c>
      <c r="E458" s="928"/>
      <c r="G458" s="133">
        <f>SUM(E458:E458)</f>
        <v>0</v>
      </c>
    </row>
    <row r="459" spans="1:7">
      <c r="A459" s="134"/>
      <c r="B459" s="106"/>
      <c r="C459" s="106" t="s">
        <v>24</v>
      </c>
      <c r="G459" s="133">
        <f>SUM(E459:E459)</f>
        <v>0</v>
      </c>
    </row>
    <row r="460" spans="1:7">
      <c r="A460" s="134"/>
      <c r="B460" s="106"/>
      <c r="C460" s="106" t="s">
        <v>170</v>
      </c>
      <c r="E460" s="501">
        <f>SUM(E458:E459)</f>
        <v>0</v>
      </c>
      <c r="G460" s="241">
        <f>SUM(G458:G459)</f>
        <v>0</v>
      </c>
    </row>
    <row r="461" spans="1:7">
      <c r="A461" s="134"/>
      <c r="B461" s="106"/>
      <c r="C461" s="106"/>
      <c r="G461" s="133"/>
    </row>
    <row r="462" spans="1:7">
      <c r="A462" s="134" t="s">
        <v>416</v>
      </c>
      <c r="B462" s="106" t="s">
        <v>320</v>
      </c>
      <c r="C462" s="106"/>
      <c r="G462" s="133"/>
    </row>
    <row r="463" spans="1:7" ht="15">
      <c r="A463" s="134"/>
      <c r="B463" s="106"/>
      <c r="C463" s="106" t="s">
        <v>14</v>
      </c>
      <c r="E463" s="928"/>
      <c r="G463" s="133">
        <f>SUM(E463:E463)</f>
        <v>0</v>
      </c>
    </row>
    <row r="464" spans="1:7">
      <c r="A464" s="134"/>
      <c r="B464" s="106"/>
      <c r="C464" s="106" t="s">
        <v>24</v>
      </c>
      <c r="G464" s="133">
        <f>SUM(E464:E464)</f>
        <v>0</v>
      </c>
    </row>
    <row r="465" spans="1:7">
      <c r="A465" s="134"/>
      <c r="B465" s="106"/>
      <c r="C465" s="106" t="s">
        <v>170</v>
      </c>
      <c r="E465" s="501">
        <f>SUM(E463:E464)</f>
        <v>0</v>
      </c>
      <c r="G465" s="241">
        <f>SUM(G463:G464)</f>
        <v>0</v>
      </c>
    </row>
    <row r="466" spans="1:7">
      <c r="A466" s="134"/>
      <c r="B466" s="106"/>
      <c r="C466" s="106"/>
      <c r="G466" s="133"/>
    </row>
    <row r="467" spans="1:7">
      <c r="A467" s="135" t="s">
        <v>417</v>
      </c>
      <c r="B467" s="106" t="s">
        <v>321</v>
      </c>
      <c r="C467" s="106"/>
      <c r="G467" s="133"/>
    </row>
    <row r="468" spans="1:7" ht="15">
      <c r="A468" s="134"/>
      <c r="B468" s="106"/>
      <c r="C468" s="106" t="s">
        <v>14</v>
      </c>
      <c r="E468" s="928"/>
      <c r="G468" s="133">
        <f>SUM(E468:E468)</f>
        <v>0</v>
      </c>
    </row>
    <row r="469" spans="1:7">
      <c r="A469" s="134"/>
      <c r="B469" s="106"/>
      <c r="C469" s="106" t="s">
        <v>24</v>
      </c>
      <c r="G469" s="133">
        <f>SUM(E469:E469)</f>
        <v>0</v>
      </c>
    </row>
    <row r="470" spans="1:7">
      <c r="A470" s="134"/>
      <c r="B470" s="106"/>
      <c r="C470" s="106" t="s">
        <v>170</v>
      </c>
      <c r="E470" s="501">
        <f>SUM(E468:E469)</f>
        <v>0</v>
      </c>
      <c r="G470" s="241">
        <f>SUM(G468:G469)</f>
        <v>0</v>
      </c>
    </row>
    <row r="471" spans="1:7">
      <c r="A471" s="134"/>
      <c r="B471" s="106"/>
      <c r="C471" s="106"/>
      <c r="G471" s="133"/>
    </row>
    <row r="472" spans="1:7">
      <c r="A472" s="134" t="s">
        <v>418</v>
      </c>
      <c r="B472" s="106" t="s">
        <v>323</v>
      </c>
      <c r="C472" s="106"/>
      <c r="G472" s="133"/>
    </row>
    <row r="473" spans="1:7" ht="15">
      <c r="A473" s="134"/>
      <c r="B473" s="106"/>
      <c r="C473" s="106" t="s">
        <v>14</v>
      </c>
      <c r="E473" s="928"/>
      <c r="G473" s="133">
        <f>SUM(E473:E473)</f>
        <v>0</v>
      </c>
    </row>
    <row r="474" spans="1:7">
      <c r="A474" s="134"/>
      <c r="B474" s="106"/>
      <c r="C474" s="106" t="s">
        <v>24</v>
      </c>
      <c r="G474" s="133">
        <f>SUM(E474:E474)</f>
        <v>0</v>
      </c>
    </row>
    <row r="475" spans="1:7">
      <c r="A475" s="134"/>
      <c r="B475" s="106"/>
      <c r="C475" s="106" t="s">
        <v>170</v>
      </c>
      <c r="E475" s="501">
        <f>SUM(E473:E474)</f>
        <v>0</v>
      </c>
      <c r="G475" s="241">
        <f>SUM(G473:G474)</f>
        <v>0</v>
      </c>
    </row>
    <row r="476" spans="1:7">
      <c r="A476" s="134"/>
      <c r="B476" s="106"/>
      <c r="C476" s="106"/>
      <c r="G476" s="133"/>
    </row>
    <row r="477" spans="1:7">
      <c r="A477" s="134" t="s">
        <v>419</v>
      </c>
      <c r="B477" s="106" t="s">
        <v>324</v>
      </c>
      <c r="C477" s="106"/>
      <c r="G477" s="133"/>
    </row>
    <row r="478" spans="1:7" ht="15">
      <c r="A478" s="134"/>
      <c r="B478" s="106"/>
      <c r="C478" s="106" t="s">
        <v>14</v>
      </c>
      <c r="E478" s="928"/>
      <c r="G478" s="133">
        <f>SUM(E478:E478)</f>
        <v>0</v>
      </c>
    </row>
    <row r="479" spans="1:7">
      <c r="A479" s="134"/>
      <c r="B479" s="106"/>
      <c r="C479" s="106" t="s">
        <v>24</v>
      </c>
      <c r="G479" s="133">
        <f>SUM(E479:E479)</f>
        <v>0</v>
      </c>
    </row>
    <row r="480" spans="1:7">
      <c r="A480" s="134"/>
      <c r="B480" s="106"/>
      <c r="C480" s="106" t="s">
        <v>170</v>
      </c>
      <c r="E480" s="501">
        <f>SUM(E478:E479)</f>
        <v>0</v>
      </c>
      <c r="G480" s="241">
        <f>SUM(G478:G479)</f>
        <v>0</v>
      </c>
    </row>
    <row r="481" spans="1:7">
      <c r="A481" s="134"/>
      <c r="B481" s="106"/>
      <c r="C481" s="106"/>
      <c r="G481" s="133"/>
    </row>
    <row r="482" spans="1:7">
      <c r="A482" s="134" t="s">
        <v>420</v>
      </c>
      <c r="B482" s="106" t="s">
        <v>325</v>
      </c>
      <c r="C482" s="106"/>
      <c r="G482" s="133"/>
    </row>
    <row r="483" spans="1:7" ht="15">
      <c r="A483" s="134"/>
      <c r="B483" s="106"/>
      <c r="C483" s="106" t="s">
        <v>14</v>
      </c>
      <c r="E483" s="928"/>
      <c r="G483" s="133">
        <f>SUM(E483:E483)</f>
        <v>0</v>
      </c>
    </row>
    <row r="484" spans="1:7">
      <c r="A484" s="134"/>
      <c r="B484" s="106"/>
      <c r="C484" s="106" t="s">
        <v>24</v>
      </c>
      <c r="G484" s="133">
        <f>SUM(E484:E484)</f>
        <v>0</v>
      </c>
    </row>
    <row r="485" spans="1:7">
      <c r="A485" s="134"/>
      <c r="B485" s="106"/>
      <c r="C485" s="106" t="s">
        <v>170</v>
      </c>
      <c r="E485" s="501">
        <f>SUM(E483:E484)</f>
        <v>0</v>
      </c>
      <c r="G485" s="241">
        <f>SUM(G483:G484)</f>
        <v>0</v>
      </c>
    </row>
    <row r="486" spans="1:7">
      <c r="A486" s="134"/>
      <c r="B486" s="106"/>
      <c r="C486" s="106"/>
      <c r="G486" s="133"/>
    </row>
    <row r="487" spans="1:7">
      <c r="A487" s="134" t="s">
        <v>421</v>
      </c>
      <c r="B487" s="106" t="s">
        <v>326</v>
      </c>
      <c r="C487" s="106"/>
      <c r="G487" s="133"/>
    </row>
    <row r="488" spans="1:7" ht="15">
      <c r="A488" s="134"/>
      <c r="B488" s="106"/>
      <c r="C488" s="106" t="s">
        <v>14</v>
      </c>
      <c r="E488" s="928"/>
      <c r="G488" s="133">
        <f>SUM(E488:E488)</f>
        <v>0</v>
      </c>
    </row>
    <row r="489" spans="1:7">
      <c r="A489" s="134"/>
      <c r="B489" s="106"/>
      <c r="C489" s="106" t="s">
        <v>24</v>
      </c>
      <c r="G489" s="133">
        <f>SUM(E489:E489)</f>
        <v>0</v>
      </c>
    </row>
    <row r="490" spans="1:7">
      <c r="A490" s="134"/>
      <c r="B490" s="106"/>
      <c r="C490" s="106" t="s">
        <v>170</v>
      </c>
      <c r="E490" s="501">
        <f>SUM(E488:E489)</f>
        <v>0</v>
      </c>
      <c r="G490" s="241">
        <f>SUM(G488:G489)</f>
        <v>0</v>
      </c>
    </row>
    <row r="491" spans="1:7">
      <c r="A491" s="134"/>
      <c r="B491" s="106"/>
      <c r="C491" s="106"/>
      <c r="G491" s="133"/>
    </row>
    <row r="492" spans="1:7">
      <c r="A492" s="134">
        <v>4891</v>
      </c>
      <c r="B492" s="106" t="s">
        <v>327</v>
      </c>
      <c r="C492" s="106"/>
      <c r="G492" s="133"/>
    </row>
    <row r="493" spans="1:7" ht="15">
      <c r="A493" s="134"/>
      <c r="B493" s="106"/>
      <c r="C493" s="106" t="s">
        <v>14</v>
      </c>
      <c r="E493" s="928"/>
      <c r="G493" s="133">
        <f>SUM(E493:E493)</f>
        <v>0</v>
      </c>
    </row>
    <row r="494" spans="1:7">
      <c r="A494" s="134"/>
      <c r="B494" s="106"/>
      <c r="C494" s="106" t="s">
        <v>24</v>
      </c>
      <c r="G494" s="133">
        <f>SUM(E494:E494)</f>
        <v>0</v>
      </c>
    </row>
    <row r="495" spans="1:7">
      <c r="A495" s="134"/>
      <c r="B495" s="106"/>
      <c r="C495" s="106" t="s">
        <v>170</v>
      </c>
      <c r="E495" s="501">
        <f>SUM(E493:E494)</f>
        <v>0</v>
      </c>
      <c r="G495" s="241">
        <f>SUM(G493:G494)</f>
        <v>0</v>
      </c>
    </row>
    <row r="496" spans="1:7">
      <c r="A496" s="134"/>
      <c r="B496" s="106"/>
      <c r="C496" s="106"/>
      <c r="G496" s="133"/>
    </row>
    <row r="497" spans="1:7">
      <c r="A497" s="134">
        <v>490</v>
      </c>
      <c r="B497" s="106" t="s">
        <v>328</v>
      </c>
      <c r="C497" s="106"/>
      <c r="G497" s="133"/>
    </row>
    <row r="498" spans="1:7" ht="15">
      <c r="A498" s="134"/>
      <c r="B498" s="106"/>
      <c r="C498" s="106" t="s">
        <v>14</v>
      </c>
      <c r="E498" s="928"/>
      <c r="G498" s="133">
        <f>SUM(E498:E498)</f>
        <v>0</v>
      </c>
    </row>
    <row r="499" spans="1:7">
      <c r="A499" s="134"/>
      <c r="B499" s="106"/>
      <c r="C499" s="106" t="s">
        <v>24</v>
      </c>
      <c r="G499" s="133">
        <f>SUM(E499:E499)</f>
        <v>0</v>
      </c>
    </row>
    <row r="500" spans="1:7">
      <c r="A500" s="134"/>
      <c r="B500" s="106"/>
      <c r="C500" s="106" t="s">
        <v>170</v>
      </c>
      <c r="E500" s="501">
        <f>SUM(E498:E499)</f>
        <v>0</v>
      </c>
      <c r="G500" s="241">
        <f>SUM(G498:G499)</f>
        <v>0</v>
      </c>
    </row>
    <row r="501" spans="1:7">
      <c r="A501" s="134"/>
      <c r="B501" s="106"/>
      <c r="C501" s="106"/>
      <c r="G501" s="133"/>
    </row>
    <row r="502" spans="1:7">
      <c r="A502" s="134">
        <v>491</v>
      </c>
      <c r="B502" s="106" t="s">
        <v>329</v>
      </c>
      <c r="C502" s="106"/>
      <c r="G502" s="133"/>
    </row>
    <row r="503" spans="1:7" ht="15">
      <c r="A503" s="134"/>
      <c r="B503" s="106"/>
      <c r="C503" s="106" t="s">
        <v>14</v>
      </c>
      <c r="E503" s="928"/>
      <c r="G503" s="133">
        <f>SUM(E503:E503)</f>
        <v>0</v>
      </c>
    </row>
    <row r="504" spans="1:7">
      <c r="A504" s="134"/>
      <c r="B504" s="106"/>
      <c r="C504" s="106" t="s">
        <v>24</v>
      </c>
      <c r="G504" s="133">
        <f>SUM(E504:E504)</f>
        <v>0</v>
      </c>
    </row>
    <row r="505" spans="1:7">
      <c r="A505" s="134"/>
      <c r="B505" s="106"/>
      <c r="C505" s="106" t="s">
        <v>170</v>
      </c>
      <c r="E505" s="501">
        <f>SUM(E503:E504)</f>
        <v>0</v>
      </c>
      <c r="G505" s="241">
        <f>SUM(G503:G504)</f>
        <v>0</v>
      </c>
    </row>
    <row r="506" spans="1:7">
      <c r="A506" s="134"/>
      <c r="B506" s="106"/>
      <c r="C506" s="106"/>
      <c r="G506" s="133"/>
    </row>
    <row r="507" spans="1:7">
      <c r="A507" s="134">
        <v>492</v>
      </c>
      <c r="B507" s="106" t="s">
        <v>330</v>
      </c>
      <c r="C507" s="106"/>
      <c r="G507" s="133"/>
    </row>
    <row r="508" spans="1:7" ht="15">
      <c r="A508" s="134"/>
      <c r="B508" s="106"/>
      <c r="C508" s="106" t="s">
        <v>14</v>
      </c>
      <c r="E508" s="928"/>
      <c r="G508" s="133">
        <f>SUM(E508:E508)</f>
        <v>0</v>
      </c>
    </row>
    <row r="509" spans="1:7">
      <c r="A509" s="134"/>
      <c r="B509" s="106"/>
      <c r="C509" s="106" t="s">
        <v>24</v>
      </c>
      <c r="G509" s="133">
        <f>SUM(E509:E509)</f>
        <v>0</v>
      </c>
    </row>
    <row r="510" spans="1:7">
      <c r="A510" s="134"/>
      <c r="B510" s="106"/>
      <c r="C510" s="106" t="s">
        <v>170</v>
      </c>
      <c r="E510" s="501">
        <f>SUM(E508:E509)</f>
        <v>0</v>
      </c>
      <c r="G510" s="241">
        <f>SUM(G508:G509)</f>
        <v>0</v>
      </c>
    </row>
    <row r="511" spans="1:7">
      <c r="A511" s="134"/>
      <c r="B511" s="106"/>
      <c r="C511" s="106"/>
      <c r="G511" s="133"/>
    </row>
    <row r="512" spans="1:7">
      <c r="A512" s="134">
        <v>493</v>
      </c>
      <c r="B512" s="106" t="s">
        <v>331</v>
      </c>
      <c r="C512" s="106"/>
      <c r="G512" s="133"/>
    </row>
    <row r="513" spans="1:7" ht="15">
      <c r="A513" s="134"/>
      <c r="B513" s="106"/>
      <c r="C513" s="106" t="s">
        <v>14</v>
      </c>
      <c r="E513" s="928"/>
      <c r="G513" s="133">
        <f>SUM(E513:E513)</f>
        <v>0</v>
      </c>
    </row>
    <row r="514" spans="1:7">
      <c r="A514" s="134"/>
      <c r="B514" s="106"/>
      <c r="C514" s="106" t="s">
        <v>24</v>
      </c>
      <c r="G514" s="133">
        <f>SUM(E514:E514)</f>
        <v>0</v>
      </c>
    </row>
    <row r="515" spans="1:7">
      <c r="A515" s="134"/>
      <c r="B515" s="106"/>
      <c r="C515" s="106" t="s">
        <v>170</v>
      </c>
      <c r="E515" s="501">
        <f>SUM(E513:E514)</f>
        <v>0</v>
      </c>
      <c r="G515" s="241">
        <f>SUM(G513:G514)</f>
        <v>0</v>
      </c>
    </row>
    <row r="516" spans="1:7">
      <c r="A516" s="134"/>
      <c r="B516" s="106"/>
      <c r="C516" s="106"/>
      <c r="G516" s="133"/>
    </row>
    <row r="517" spans="1:7">
      <c r="A517" s="134">
        <v>495</v>
      </c>
      <c r="B517" s="106" t="s">
        <v>334</v>
      </c>
      <c r="C517" s="106"/>
      <c r="G517" s="133"/>
    </row>
    <row r="518" spans="1:7" ht="15">
      <c r="A518" s="134"/>
      <c r="B518" s="106"/>
      <c r="C518" s="106" t="s">
        <v>14</v>
      </c>
      <c r="E518" s="928"/>
      <c r="G518" s="133">
        <f>SUM(E518:E518)</f>
        <v>0</v>
      </c>
    </row>
    <row r="519" spans="1:7">
      <c r="A519" s="134"/>
      <c r="B519" s="106"/>
      <c r="C519" s="106" t="s">
        <v>24</v>
      </c>
      <c r="G519" s="133">
        <f>SUM(E519:E519)</f>
        <v>0</v>
      </c>
    </row>
    <row r="520" spans="1:7">
      <c r="A520" s="134"/>
      <c r="B520" s="106"/>
      <c r="C520" s="106" t="s">
        <v>170</v>
      </c>
      <c r="E520" s="501">
        <f>SUM(E518:E519)</f>
        <v>0</v>
      </c>
      <c r="G520" s="241">
        <f>SUM(G518:G519)</f>
        <v>0</v>
      </c>
    </row>
    <row r="521" spans="1:7">
      <c r="A521" s="134"/>
      <c r="B521" s="106"/>
      <c r="C521" s="106"/>
      <c r="G521" s="133"/>
    </row>
    <row r="522" spans="1:7">
      <c r="A522" s="134">
        <v>4951</v>
      </c>
      <c r="B522" s="106" t="s">
        <v>335</v>
      </c>
      <c r="C522" s="106"/>
      <c r="G522" s="133"/>
    </row>
    <row r="523" spans="1:7" ht="15">
      <c r="A523" s="134"/>
      <c r="B523" s="106"/>
      <c r="C523" s="106" t="s">
        <v>14</v>
      </c>
      <c r="E523" s="928"/>
      <c r="G523" s="133">
        <f>SUM(E523:E523)</f>
        <v>0</v>
      </c>
    </row>
    <row r="524" spans="1:7">
      <c r="A524" s="134"/>
      <c r="B524" s="106"/>
      <c r="C524" s="106" t="s">
        <v>24</v>
      </c>
      <c r="G524" s="133">
        <f>SUM(E524:E524)</f>
        <v>0</v>
      </c>
    </row>
    <row r="525" spans="1:7">
      <c r="A525" s="134"/>
      <c r="B525" s="106"/>
      <c r="C525" s="106" t="s">
        <v>170</v>
      </c>
      <c r="E525" s="501">
        <f>SUM(E523:E524)</f>
        <v>0</v>
      </c>
      <c r="G525" s="241">
        <f>SUM(G523:G524)</f>
        <v>0</v>
      </c>
    </row>
    <row r="526" spans="1:7">
      <c r="A526" s="134"/>
      <c r="B526" s="106"/>
      <c r="C526" s="106"/>
      <c r="G526" s="133"/>
    </row>
    <row r="527" spans="1:7">
      <c r="A527" s="134">
        <v>4952</v>
      </c>
      <c r="B527" s="106" t="s">
        <v>336</v>
      </c>
      <c r="C527" s="106"/>
      <c r="G527" s="133"/>
    </row>
    <row r="528" spans="1:7" ht="15">
      <c r="A528" s="134"/>
      <c r="B528" s="106"/>
      <c r="C528" s="106" t="s">
        <v>14</v>
      </c>
      <c r="E528" s="928"/>
      <c r="G528" s="133">
        <f>SUM(E528:E528)</f>
        <v>0</v>
      </c>
    </row>
    <row r="529" spans="1:7">
      <c r="A529" s="134"/>
      <c r="B529" s="106"/>
      <c r="C529" s="106" t="s">
        <v>24</v>
      </c>
      <c r="G529" s="133">
        <f>SUM(E529:E529)</f>
        <v>0</v>
      </c>
    </row>
    <row r="530" spans="1:7">
      <c r="A530" s="134"/>
      <c r="B530" s="106"/>
      <c r="C530" s="106" t="s">
        <v>170</v>
      </c>
      <c r="E530" s="501">
        <f>SUM(E528:E529)</f>
        <v>0</v>
      </c>
      <c r="G530" s="241">
        <f>SUM(G528:G529)</f>
        <v>0</v>
      </c>
    </row>
    <row r="531" spans="1:7">
      <c r="A531" s="134"/>
      <c r="B531" s="106"/>
      <c r="C531" s="106"/>
      <c r="G531" s="133"/>
    </row>
    <row r="532" spans="1:7">
      <c r="A532" s="134">
        <v>4974</v>
      </c>
      <c r="B532" s="106" t="s">
        <v>340</v>
      </c>
      <c r="C532" s="106"/>
      <c r="G532" s="133"/>
    </row>
    <row r="533" spans="1:7" ht="15">
      <c r="A533" s="330"/>
      <c r="B533" s="106"/>
      <c r="C533" s="106" t="s">
        <v>14</v>
      </c>
      <c r="E533" s="928"/>
      <c r="G533" s="133">
        <f>SUM(E533:E533)</f>
        <v>0</v>
      </c>
    </row>
    <row r="534" spans="1:7">
      <c r="A534" s="330"/>
      <c r="B534" s="106"/>
      <c r="C534" s="106" t="s">
        <v>24</v>
      </c>
      <c r="G534" s="133">
        <f>SUM(E534:E534)</f>
        <v>0</v>
      </c>
    </row>
    <row r="535" spans="1:7">
      <c r="A535" s="330"/>
      <c r="B535" s="106"/>
      <c r="C535" s="106" t="s">
        <v>170</v>
      </c>
      <c r="E535" s="501">
        <f>SUM(E533:E534)</f>
        <v>0</v>
      </c>
      <c r="G535" s="241">
        <f>SUM(G533:G534)</f>
        <v>0</v>
      </c>
    </row>
    <row r="536" spans="1:7" ht="13.5" thickBot="1">
      <c r="A536" s="330"/>
      <c r="B536" s="106"/>
      <c r="C536" s="106"/>
      <c r="G536" s="242"/>
    </row>
    <row r="537" spans="1:7" ht="13.5" thickTop="1">
      <c r="A537" s="59" t="s">
        <v>549</v>
      </c>
      <c r="B537" s="106"/>
      <c r="C537" s="106"/>
      <c r="G537" s="133"/>
    </row>
    <row r="538" spans="1:7">
      <c r="A538" s="330"/>
      <c r="B538" s="33" t="s">
        <v>552</v>
      </c>
      <c r="C538" s="106"/>
      <c r="G538" s="133"/>
    </row>
    <row r="539" spans="1:7">
      <c r="A539" s="330"/>
      <c r="B539" s="35"/>
      <c r="C539" s="116" t="s">
        <v>553</v>
      </c>
      <c r="E539" s="501">
        <f>E418+E498+E503+E508+E513+E518+E523+E528</f>
        <v>0</v>
      </c>
      <c r="G539" s="133">
        <f>G418+G498+G503+G508+G513+G518+G523+G528</f>
        <v>0</v>
      </c>
    </row>
    <row r="540" spans="1:7">
      <c r="A540" s="330"/>
      <c r="B540" s="35"/>
      <c r="C540" s="116" t="s">
        <v>554</v>
      </c>
      <c r="E540" s="501">
        <f>E423+E428+E433+E438+E443+E448+E453+E458+E463+E468+E473+E478+E483+E488+E493+E533</f>
        <v>0</v>
      </c>
      <c r="G540" s="133">
        <f>G423+G428+G433+G438+G443+G448+G453+G458+G463+G468+G473+G478+G483+G488+G493+G533</f>
        <v>0</v>
      </c>
    </row>
    <row r="541" spans="1:7">
      <c r="A541" s="330"/>
      <c r="B541" s="35"/>
      <c r="C541" s="60" t="s">
        <v>555</v>
      </c>
      <c r="E541" s="501">
        <f>E418+E423+E428+E433+E438+E443+E448+E453+E458+E463+E468+E473+E478+E483+E488+E493+E498+E503+E508+E513+E518+E523+E528+E533</f>
        <v>0</v>
      </c>
      <c r="G541" s="133">
        <f>G418+G423+G428+G433+G438+G443+G448+G453+G458+G463+G468+G473+G478+G483+G488+G493+G498+G503+G508+G513+G518+G523+G528+G533</f>
        <v>0</v>
      </c>
    </row>
    <row r="542" spans="1:7">
      <c r="A542" s="330"/>
      <c r="B542" s="35" t="s">
        <v>556</v>
      </c>
      <c r="C542" s="116"/>
      <c r="G542" s="133"/>
    </row>
    <row r="543" spans="1:7">
      <c r="A543" s="330"/>
      <c r="B543" s="35"/>
      <c r="C543" s="116" t="s">
        <v>553</v>
      </c>
      <c r="E543" s="501">
        <f>E524+E529</f>
        <v>0</v>
      </c>
      <c r="G543" s="133">
        <f>G524+G529</f>
        <v>0</v>
      </c>
    </row>
    <row r="544" spans="1:7">
      <c r="A544" s="330"/>
      <c r="B544" s="35"/>
      <c r="C544" s="116" t="s">
        <v>554</v>
      </c>
      <c r="E544" s="501">
        <f>E419+E424+E429+E434+E439+E444+E449+E454+E459+E464+E469+E474+E479+E484+E489+E494+E499+E504+E509+E514+E519+E534</f>
        <v>0</v>
      </c>
      <c r="G544" s="133">
        <f>G419+G424+G429+G434+G439+G444+G449+G454+G459+G464+G469+G474+G479+G484+G489+G494+G499+G504+G509+G514+G519+G534</f>
        <v>0</v>
      </c>
    </row>
    <row r="545" spans="1:7">
      <c r="A545" s="330"/>
      <c r="B545" s="35"/>
      <c r="C545" s="60" t="s">
        <v>557</v>
      </c>
      <c r="E545" s="501">
        <f>E419+E424+E429+E434+E439+E444+E449+E454+E459+E464+E469+E474+E479+E484+E489+E494+E499+E504+E509+E514+E519+E524+E529+E534</f>
        <v>0</v>
      </c>
      <c r="G545" s="133">
        <f>G419+G424+G429+G434+G439+G444+G449+G454+G459+G464+G469+G474+G479+G484+G489+G494+G499+G504+G509+G514+G519+G524+G529+G534</f>
        <v>0</v>
      </c>
    </row>
    <row r="546" spans="1:7">
      <c r="A546" s="330"/>
      <c r="B546" s="35"/>
      <c r="C546" s="116"/>
      <c r="G546" s="133"/>
    </row>
    <row r="547" spans="1:7">
      <c r="A547" s="330"/>
      <c r="B547" s="35" t="s">
        <v>558</v>
      </c>
      <c r="C547" s="116"/>
      <c r="E547" s="501">
        <f>E420+E425+E430+E435+E440+E445+E450+E455+E460+E465+E470+E475+E480+E485+E490+E495+E500+E505+E510+E515+E520+E525+E530+E535</f>
        <v>0</v>
      </c>
      <c r="G547" s="133">
        <f>G420+G425+G430+G435+G440+G445+G450+G455+G460+G465+G470+G475+G480+G485+G490+G495+G500+G505+G510+G515+G520+G525+G530+G535</f>
        <v>0</v>
      </c>
    </row>
    <row r="548" spans="1:7">
      <c r="A548" s="330"/>
      <c r="B548" s="35"/>
      <c r="C548" s="116"/>
      <c r="G548" s="133"/>
    </row>
    <row r="549" spans="1:7">
      <c r="A549" s="330"/>
      <c r="B549" s="35"/>
      <c r="C549" s="116"/>
      <c r="G549" s="133"/>
    </row>
    <row r="550" spans="1:7">
      <c r="A550" s="59" t="s">
        <v>341</v>
      </c>
      <c r="B550" s="35"/>
      <c r="C550" s="116"/>
      <c r="E550" s="501">
        <f>E406+E547</f>
        <v>0</v>
      </c>
      <c r="G550" s="133">
        <f>SUM(E550:E550)</f>
        <v>0</v>
      </c>
    </row>
    <row r="551" spans="1:7">
      <c r="A551" s="330"/>
      <c r="B551" s="106"/>
      <c r="C551" s="106"/>
      <c r="G551" s="133"/>
    </row>
    <row r="552" spans="1:7">
      <c r="A552" s="330"/>
      <c r="B552" s="106"/>
      <c r="C552" s="106"/>
      <c r="G552" s="133"/>
    </row>
    <row r="553" spans="1:7">
      <c r="A553" s="221"/>
      <c r="B553" s="221"/>
      <c r="C553" s="221"/>
      <c r="G553" s="133"/>
    </row>
    <row r="554" spans="1:7">
      <c r="A554" s="59" t="s">
        <v>343</v>
      </c>
      <c r="B554" s="106"/>
      <c r="C554" s="106"/>
      <c r="G554" s="133"/>
    </row>
    <row r="555" spans="1:7">
      <c r="A555" s="330"/>
      <c r="B555" s="106"/>
      <c r="C555" s="106"/>
      <c r="G555" s="133"/>
    </row>
    <row r="556" spans="1:7">
      <c r="A556" s="134"/>
      <c r="B556" s="106" t="s">
        <v>168</v>
      </c>
      <c r="C556" s="106"/>
      <c r="G556" s="133"/>
    </row>
    <row r="557" spans="1:7">
      <c r="A557" s="134"/>
      <c r="B557" s="106"/>
      <c r="C557" s="106"/>
      <c r="G557" s="133"/>
    </row>
    <row r="558" spans="1:7">
      <c r="A558" s="134">
        <v>758</v>
      </c>
      <c r="B558" s="106" t="s">
        <v>344</v>
      </c>
      <c r="C558" s="106"/>
      <c r="G558" s="133"/>
    </row>
    <row r="559" spans="1:7" ht="15">
      <c r="A559" s="134"/>
      <c r="B559" s="106"/>
      <c r="C559" s="106" t="s">
        <v>14</v>
      </c>
      <c r="E559" s="928"/>
      <c r="G559" s="133">
        <f>SUM(E559:E559)</f>
        <v>0</v>
      </c>
    </row>
    <row r="560" spans="1:7">
      <c r="A560" s="134"/>
      <c r="B560" s="106"/>
      <c r="C560" s="106" t="s">
        <v>24</v>
      </c>
      <c r="G560" s="133">
        <f>SUM(E560:E560)</f>
        <v>0</v>
      </c>
    </row>
    <row r="561" spans="1:7">
      <c r="A561" s="134"/>
      <c r="B561" s="106"/>
      <c r="C561" s="106" t="s">
        <v>170</v>
      </c>
      <c r="E561" s="501">
        <f>SUM(E559:E560)</f>
        <v>0</v>
      </c>
      <c r="G561" s="241">
        <f>SUM(G559:G560)</f>
        <v>0</v>
      </c>
    </row>
    <row r="562" spans="1:7">
      <c r="A562" s="134"/>
      <c r="B562" s="106"/>
      <c r="C562" s="106"/>
      <c r="G562" s="133"/>
    </row>
    <row r="563" spans="1:7">
      <c r="A563" s="134">
        <v>758.1</v>
      </c>
      <c r="B563" s="106" t="s">
        <v>345</v>
      </c>
      <c r="C563" s="106"/>
      <c r="G563" s="133"/>
    </row>
    <row r="564" spans="1:7" ht="15">
      <c r="A564" s="134"/>
      <c r="B564" s="106"/>
      <c r="C564" s="106" t="s">
        <v>14</v>
      </c>
      <c r="E564" s="928"/>
      <c r="G564" s="133">
        <f>SUM(E564:E564)</f>
        <v>0</v>
      </c>
    </row>
    <row r="565" spans="1:7">
      <c r="A565" s="134"/>
      <c r="B565" s="106"/>
      <c r="C565" s="106" t="s">
        <v>24</v>
      </c>
      <c r="G565" s="133">
        <f>SUM(E565:E565)</f>
        <v>0</v>
      </c>
    </row>
    <row r="566" spans="1:7">
      <c r="A566" s="134"/>
      <c r="B566" s="106"/>
      <c r="C566" s="106" t="s">
        <v>170</v>
      </c>
      <c r="E566" s="501">
        <f>SUM(E564:E565)</f>
        <v>0</v>
      </c>
      <c r="G566" s="241">
        <f>SUM(G564:G565)</f>
        <v>0</v>
      </c>
    </row>
    <row r="567" spans="1:7">
      <c r="A567" s="134"/>
      <c r="B567" s="106"/>
      <c r="C567" s="106"/>
      <c r="G567" s="133"/>
    </row>
    <row r="568" spans="1:7">
      <c r="A568" s="134">
        <v>759</v>
      </c>
      <c r="B568" s="106" t="s">
        <v>347</v>
      </c>
      <c r="C568" s="106"/>
      <c r="G568" s="133"/>
    </row>
    <row r="569" spans="1:7" ht="15">
      <c r="A569" s="134"/>
      <c r="B569" s="106"/>
      <c r="C569" s="106" t="s">
        <v>14</v>
      </c>
      <c r="E569" s="928"/>
      <c r="G569" s="133">
        <f>SUM(E569:E569)</f>
        <v>0</v>
      </c>
    </row>
    <row r="570" spans="1:7">
      <c r="A570" s="134"/>
      <c r="B570" s="106"/>
      <c r="C570" s="106" t="s">
        <v>24</v>
      </c>
      <c r="G570" s="133">
        <f>SUM(E570:E570)</f>
        <v>0</v>
      </c>
    </row>
    <row r="571" spans="1:7">
      <c r="A571" s="134"/>
      <c r="B571" s="106"/>
      <c r="C571" s="106" t="s">
        <v>170</v>
      </c>
      <c r="E571" s="501">
        <f>SUM(E569:E570)</f>
        <v>0</v>
      </c>
      <c r="G571" s="241">
        <f>SUM(G569:G570)</f>
        <v>0</v>
      </c>
    </row>
    <row r="572" spans="1:7">
      <c r="A572" s="134"/>
      <c r="B572" s="106"/>
      <c r="C572" s="106"/>
      <c r="G572" s="133"/>
    </row>
    <row r="573" spans="1:7">
      <c r="A573" s="134">
        <v>759</v>
      </c>
      <c r="B573" s="106" t="s">
        <v>348</v>
      </c>
      <c r="C573" s="106"/>
      <c r="G573" s="133"/>
    </row>
    <row r="574" spans="1:7" ht="15">
      <c r="A574" s="134"/>
      <c r="B574" s="106"/>
      <c r="C574" s="106" t="s">
        <v>14</v>
      </c>
      <c r="E574" s="928"/>
      <c r="G574" s="133">
        <f>SUM(E574:E574)</f>
        <v>0</v>
      </c>
    </row>
    <row r="575" spans="1:7">
      <c r="A575" s="134"/>
      <c r="B575" s="106"/>
      <c r="C575" s="106" t="s">
        <v>24</v>
      </c>
      <c r="G575" s="133">
        <f>SUM(E575:E575)</f>
        <v>0</v>
      </c>
    </row>
    <row r="576" spans="1:7">
      <c r="A576" s="134"/>
      <c r="B576" s="106"/>
      <c r="C576" s="106" t="s">
        <v>170</v>
      </c>
      <c r="E576" s="501">
        <f>SUM(E574:E575)</f>
        <v>0</v>
      </c>
      <c r="G576" s="241">
        <f>SUM(G574:G575)</f>
        <v>0</v>
      </c>
    </row>
    <row r="577" spans="1:7">
      <c r="A577" s="134"/>
      <c r="B577" s="106"/>
      <c r="C577" s="106"/>
      <c r="G577" s="133"/>
    </row>
    <row r="578" spans="1:7">
      <c r="A578" s="134">
        <v>800</v>
      </c>
      <c r="B578" s="106" t="s">
        <v>349</v>
      </c>
      <c r="C578" s="106"/>
      <c r="G578" s="133"/>
    </row>
    <row r="579" spans="1:7" ht="15">
      <c r="A579" s="134"/>
      <c r="B579" s="106"/>
      <c r="C579" s="106" t="s">
        <v>14</v>
      </c>
      <c r="E579" s="928"/>
      <c r="G579" s="133">
        <f>SUM(E579:E579)</f>
        <v>0</v>
      </c>
    </row>
    <row r="580" spans="1:7">
      <c r="A580" s="134"/>
      <c r="B580" s="106"/>
      <c r="C580" s="106" t="s">
        <v>24</v>
      </c>
      <c r="G580" s="133">
        <f>SUM(E580:E580)</f>
        <v>0</v>
      </c>
    </row>
    <row r="581" spans="1:7">
      <c r="A581" s="134"/>
      <c r="B581" s="106"/>
      <c r="C581" s="106" t="s">
        <v>170</v>
      </c>
      <c r="E581" s="501">
        <f>SUM(E579:E580)</f>
        <v>0</v>
      </c>
      <c r="G581" s="241">
        <f>SUM(G579:G580)</f>
        <v>0</v>
      </c>
    </row>
    <row r="582" spans="1:7">
      <c r="A582" s="134"/>
      <c r="B582" s="106"/>
      <c r="C582" s="106"/>
      <c r="G582" s="133"/>
    </row>
    <row r="583" spans="1:7">
      <c r="A583" s="134">
        <v>801</v>
      </c>
      <c r="B583" s="106" t="s">
        <v>350</v>
      </c>
      <c r="C583" s="106"/>
      <c r="G583" s="133"/>
    </row>
    <row r="584" spans="1:7" ht="15">
      <c r="A584" s="134"/>
      <c r="B584" s="106"/>
      <c r="C584" s="106" t="s">
        <v>14</v>
      </c>
      <c r="E584" s="928"/>
      <c r="G584" s="133">
        <f>SUM(E584:E584)</f>
        <v>0</v>
      </c>
    </row>
    <row r="585" spans="1:7">
      <c r="A585" s="134"/>
      <c r="B585" s="106"/>
      <c r="C585" s="106" t="s">
        <v>24</v>
      </c>
      <c r="G585" s="133">
        <f>SUM(E585:E585)</f>
        <v>0</v>
      </c>
    </row>
    <row r="586" spans="1:7">
      <c r="A586" s="134"/>
      <c r="B586" s="106"/>
      <c r="C586" s="106" t="s">
        <v>170</v>
      </c>
      <c r="E586" s="501">
        <f>SUM(E584:E585)</f>
        <v>0</v>
      </c>
      <c r="G586" s="241">
        <f>SUM(G584:G585)</f>
        <v>0</v>
      </c>
    </row>
    <row r="587" spans="1:7">
      <c r="A587" s="134"/>
      <c r="B587" s="106"/>
      <c r="C587" s="106"/>
      <c r="G587" s="133"/>
    </row>
    <row r="588" spans="1:7">
      <c r="A588" s="134">
        <v>802</v>
      </c>
      <c r="B588" s="106" t="s">
        <v>351</v>
      </c>
      <c r="C588" s="106"/>
      <c r="G588" s="133"/>
    </row>
    <row r="589" spans="1:7" ht="15">
      <c r="A589" s="134"/>
      <c r="B589" s="106"/>
      <c r="C589" s="106" t="s">
        <v>14</v>
      </c>
      <c r="E589" s="928"/>
      <c r="G589" s="133">
        <f>SUM(E589:E589)</f>
        <v>0</v>
      </c>
    </row>
    <row r="590" spans="1:7">
      <c r="A590" s="134"/>
      <c r="B590" s="106"/>
      <c r="C590" s="106" t="s">
        <v>24</v>
      </c>
      <c r="G590" s="133">
        <f>SUM(E590:E590)</f>
        <v>0</v>
      </c>
    </row>
    <row r="591" spans="1:7">
      <c r="A591" s="134"/>
      <c r="B591" s="106"/>
      <c r="C591" s="106" t="s">
        <v>170</v>
      </c>
      <c r="E591" s="501">
        <f>SUM(E589:E590)</f>
        <v>0</v>
      </c>
      <c r="G591" s="241">
        <f>SUM(G589:G590)</f>
        <v>0</v>
      </c>
    </row>
    <row r="592" spans="1:7">
      <c r="A592" s="134"/>
      <c r="B592" s="106"/>
      <c r="C592" s="106"/>
      <c r="G592" s="133"/>
    </row>
    <row r="593" spans="1:7">
      <c r="A593" s="134">
        <v>803</v>
      </c>
      <c r="B593" s="106" t="s">
        <v>352</v>
      </c>
      <c r="C593" s="106"/>
      <c r="G593" s="133"/>
    </row>
    <row r="594" spans="1:7" ht="15">
      <c r="A594" s="134"/>
      <c r="B594" s="106"/>
      <c r="C594" s="106" t="s">
        <v>14</v>
      </c>
      <c r="E594" s="928"/>
      <c r="G594" s="133">
        <f>SUM(E594:E594)</f>
        <v>0</v>
      </c>
    </row>
    <row r="595" spans="1:7">
      <c r="A595" s="134"/>
      <c r="B595" s="106"/>
      <c r="C595" s="106" t="s">
        <v>24</v>
      </c>
      <c r="G595" s="133">
        <f>SUM(E595:E595)</f>
        <v>0</v>
      </c>
    </row>
    <row r="596" spans="1:7">
      <c r="A596" s="134"/>
      <c r="B596" s="106"/>
      <c r="C596" s="106" t="s">
        <v>170</v>
      </c>
      <c r="E596" s="501">
        <f>SUM(E594:E595)</f>
        <v>0</v>
      </c>
      <c r="G596" s="241">
        <f>SUM(G594:G595)</f>
        <v>0</v>
      </c>
    </row>
    <row r="597" spans="1:7">
      <c r="A597" s="134"/>
      <c r="B597" s="106"/>
      <c r="C597" s="106"/>
      <c r="G597" s="133"/>
    </row>
    <row r="598" spans="1:7">
      <c r="A598" s="134">
        <v>804</v>
      </c>
      <c r="B598" s="106" t="s">
        <v>354</v>
      </c>
      <c r="C598" s="106"/>
      <c r="G598" s="133"/>
    </row>
    <row r="599" spans="1:7" ht="15">
      <c r="A599" s="134"/>
      <c r="B599" s="106"/>
      <c r="C599" s="106" t="s">
        <v>14</v>
      </c>
      <c r="E599" s="928"/>
      <c r="G599" s="133">
        <f>SUM(E599:E599)</f>
        <v>0</v>
      </c>
    </row>
    <row r="600" spans="1:7">
      <c r="A600" s="134"/>
      <c r="B600" s="106"/>
      <c r="C600" s="106" t="s">
        <v>24</v>
      </c>
      <c r="G600" s="133">
        <f>SUM(E600:E600)</f>
        <v>0</v>
      </c>
    </row>
    <row r="601" spans="1:7">
      <c r="A601" s="134"/>
      <c r="B601" s="106"/>
      <c r="C601" s="106" t="s">
        <v>170</v>
      </c>
      <c r="E601" s="501">
        <f>SUM(E599:E600)</f>
        <v>0</v>
      </c>
      <c r="G601" s="241">
        <f>SUM(G599:G600)</f>
        <v>0</v>
      </c>
    </row>
    <row r="602" spans="1:7">
      <c r="A602" s="134"/>
      <c r="B602" s="106"/>
      <c r="C602" s="106"/>
      <c r="G602" s="133"/>
    </row>
    <row r="603" spans="1:7">
      <c r="A603" s="134">
        <v>804.1</v>
      </c>
      <c r="B603" s="106" t="s">
        <v>355</v>
      </c>
      <c r="C603" s="106"/>
      <c r="G603" s="133"/>
    </row>
    <row r="604" spans="1:7" ht="15">
      <c r="A604" s="134"/>
      <c r="B604" s="106"/>
      <c r="C604" s="106" t="s">
        <v>14</v>
      </c>
      <c r="E604" s="928"/>
      <c r="G604" s="133">
        <f>SUM(E604:E604)</f>
        <v>0</v>
      </c>
    </row>
    <row r="605" spans="1:7">
      <c r="A605" s="134"/>
      <c r="B605" s="106"/>
      <c r="C605" s="106" t="s">
        <v>24</v>
      </c>
      <c r="G605" s="133">
        <f>SUM(E605:E605)</f>
        <v>0</v>
      </c>
    </row>
    <row r="606" spans="1:7">
      <c r="A606" s="134"/>
      <c r="B606" s="106"/>
      <c r="C606" s="106" t="s">
        <v>170</v>
      </c>
      <c r="E606" s="501">
        <f>SUM(E604:E605)</f>
        <v>0</v>
      </c>
      <c r="G606" s="241">
        <f>SUM(G604:G605)</f>
        <v>0</v>
      </c>
    </row>
    <row r="607" spans="1:7">
      <c r="A607" s="134"/>
      <c r="B607" s="106"/>
      <c r="C607" s="106"/>
      <c r="G607" s="133"/>
    </row>
    <row r="608" spans="1:7">
      <c r="A608" s="134">
        <v>805</v>
      </c>
      <c r="B608" s="106" t="s">
        <v>357</v>
      </c>
      <c r="C608" s="106"/>
      <c r="G608" s="133"/>
    </row>
    <row r="609" spans="1:7" ht="15">
      <c r="A609" s="134"/>
      <c r="B609" s="106"/>
      <c r="C609" s="106" t="s">
        <v>14</v>
      </c>
      <c r="E609" s="928"/>
      <c r="G609" s="133">
        <f>SUM(E609:E609)</f>
        <v>0</v>
      </c>
    </row>
    <row r="610" spans="1:7">
      <c r="A610" s="134"/>
      <c r="B610" s="106"/>
      <c r="C610" s="106" t="s">
        <v>24</v>
      </c>
      <c r="G610" s="133">
        <f>SUM(E610:E610)</f>
        <v>0</v>
      </c>
    </row>
    <row r="611" spans="1:7">
      <c r="A611" s="134"/>
      <c r="B611" s="106"/>
      <c r="C611" s="106" t="s">
        <v>170</v>
      </c>
      <c r="E611" s="501">
        <f>SUM(E609:E610)</f>
        <v>0</v>
      </c>
      <c r="G611" s="241">
        <f>SUM(G609:G610)</f>
        <v>0</v>
      </c>
    </row>
    <row r="612" spans="1:7">
      <c r="A612" s="134"/>
      <c r="B612" s="106"/>
      <c r="C612" s="106"/>
      <c r="G612" s="133"/>
    </row>
    <row r="613" spans="1:7">
      <c r="A613" s="134">
        <v>805.1</v>
      </c>
      <c r="B613" s="106" t="s">
        <v>358</v>
      </c>
      <c r="C613" s="106"/>
      <c r="G613" s="133"/>
    </row>
    <row r="614" spans="1:7" ht="15">
      <c r="A614" s="134"/>
      <c r="B614" s="106"/>
      <c r="C614" s="106" t="s">
        <v>14</v>
      </c>
      <c r="E614" s="928"/>
      <c r="G614" s="133">
        <f>SUM(E614:E614)</f>
        <v>0</v>
      </c>
    </row>
    <row r="615" spans="1:7">
      <c r="A615" s="134"/>
      <c r="B615" s="106"/>
      <c r="C615" s="106" t="s">
        <v>24</v>
      </c>
      <c r="G615" s="133">
        <f>SUM(E615:E615)</f>
        <v>0</v>
      </c>
    </row>
    <row r="616" spans="1:7">
      <c r="A616" s="134"/>
      <c r="B616" s="106"/>
      <c r="C616" s="106" t="s">
        <v>170</v>
      </c>
      <c r="E616" s="501">
        <f>SUM(E614:E615)</f>
        <v>0</v>
      </c>
      <c r="G616" s="241">
        <f>SUM(G614:G615)</f>
        <v>0</v>
      </c>
    </row>
    <row r="617" spans="1:7">
      <c r="A617" s="134"/>
      <c r="B617" s="106"/>
      <c r="C617" s="106"/>
      <c r="G617" s="133"/>
    </row>
    <row r="618" spans="1:7">
      <c r="A618" s="134">
        <v>806</v>
      </c>
      <c r="B618" s="106" t="s">
        <v>359</v>
      </c>
      <c r="C618" s="106"/>
      <c r="G618" s="133"/>
    </row>
    <row r="619" spans="1:7" ht="15">
      <c r="A619" s="134"/>
      <c r="B619" s="106"/>
      <c r="C619" s="106" t="s">
        <v>14</v>
      </c>
      <c r="E619" s="928"/>
      <c r="G619" s="133">
        <f>SUM(E619:E619)</f>
        <v>0</v>
      </c>
    </row>
    <row r="620" spans="1:7">
      <c r="A620" s="134"/>
      <c r="B620" s="106"/>
      <c r="C620" s="106" t="s">
        <v>24</v>
      </c>
      <c r="G620" s="133">
        <f>SUM(E620:E620)</f>
        <v>0</v>
      </c>
    </row>
    <row r="621" spans="1:7">
      <c r="A621" s="134"/>
      <c r="B621" s="106"/>
      <c r="C621" s="106" t="s">
        <v>170</v>
      </c>
      <c r="E621" s="501">
        <f>SUM(E619:E620)</f>
        <v>0</v>
      </c>
      <c r="G621" s="241">
        <f>SUM(G619:G620)</f>
        <v>0</v>
      </c>
    </row>
    <row r="622" spans="1:7">
      <c r="A622" s="134"/>
      <c r="B622" s="106"/>
      <c r="C622" s="106"/>
      <c r="G622" s="133"/>
    </row>
    <row r="623" spans="1:7">
      <c r="A623" s="134">
        <v>808.1</v>
      </c>
      <c r="B623" s="106" t="s">
        <v>360</v>
      </c>
      <c r="C623" s="106"/>
      <c r="G623" s="133"/>
    </row>
    <row r="624" spans="1:7" ht="15">
      <c r="A624" s="134"/>
      <c r="B624" s="106"/>
      <c r="C624" s="106" t="s">
        <v>14</v>
      </c>
      <c r="E624" s="928"/>
      <c r="G624" s="133">
        <f>SUM(E624:E624)</f>
        <v>0</v>
      </c>
    </row>
    <row r="625" spans="1:7">
      <c r="A625" s="134"/>
      <c r="B625" s="106"/>
      <c r="C625" s="106" t="s">
        <v>24</v>
      </c>
      <c r="G625" s="133">
        <f>SUM(E625:E625)</f>
        <v>0</v>
      </c>
    </row>
    <row r="626" spans="1:7">
      <c r="A626" s="134"/>
      <c r="B626" s="106"/>
      <c r="C626" s="106" t="s">
        <v>170</v>
      </c>
      <c r="E626" s="501">
        <f>SUM(E624:E625)</f>
        <v>0</v>
      </c>
      <c r="G626" s="241">
        <f>SUM(G624:G625)</f>
        <v>0</v>
      </c>
    </row>
    <row r="627" spans="1:7">
      <c r="A627" s="134"/>
      <c r="B627" s="106"/>
      <c r="C627" s="106"/>
      <c r="G627" s="133"/>
    </row>
    <row r="628" spans="1:7">
      <c r="A628" s="134">
        <v>808.2</v>
      </c>
      <c r="B628" s="106" t="s">
        <v>361</v>
      </c>
      <c r="C628" s="106"/>
      <c r="G628" s="133"/>
    </row>
    <row r="629" spans="1:7" ht="15">
      <c r="A629" s="134"/>
      <c r="B629" s="106"/>
      <c r="C629" s="106" t="s">
        <v>14</v>
      </c>
      <c r="E629" s="928"/>
      <c r="G629" s="133">
        <f>SUM(E629:E629)</f>
        <v>0</v>
      </c>
    </row>
    <row r="630" spans="1:7">
      <c r="A630" s="134"/>
      <c r="B630" s="106"/>
      <c r="C630" s="106" t="s">
        <v>24</v>
      </c>
      <c r="G630" s="133">
        <f>SUM(E630:E630)</f>
        <v>0</v>
      </c>
    </row>
    <row r="631" spans="1:7">
      <c r="A631" s="134"/>
      <c r="B631" s="106"/>
      <c r="C631" s="106" t="s">
        <v>170</v>
      </c>
      <c r="E631" s="501">
        <f>SUM(E629:E630)</f>
        <v>0</v>
      </c>
      <c r="G631" s="241">
        <f>SUM(G629:G630)</f>
        <v>0</v>
      </c>
    </row>
    <row r="632" spans="1:7">
      <c r="A632" s="134"/>
      <c r="B632" s="106"/>
      <c r="C632" s="106"/>
      <c r="G632" s="133"/>
    </row>
    <row r="633" spans="1:7">
      <c r="A633" s="134">
        <v>808.3</v>
      </c>
      <c r="B633" s="106" t="s">
        <v>359</v>
      </c>
      <c r="C633" s="106"/>
      <c r="G633" s="133"/>
    </row>
    <row r="634" spans="1:7" ht="15">
      <c r="A634" s="134"/>
      <c r="B634" s="106"/>
      <c r="C634" s="106" t="s">
        <v>14</v>
      </c>
      <c r="E634" s="928"/>
      <c r="G634" s="133">
        <f>SUM(E634:E634)</f>
        <v>0</v>
      </c>
    </row>
    <row r="635" spans="1:7">
      <c r="A635" s="134"/>
      <c r="B635" s="106"/>
      <c r="C635" s="106" t="s">
        <v>24</v>
      </c>
      <c r="G635" s="133">
        <f>SUM(E635:E635)</f>
        <v>0</v>
      </c>
    </row>
    <row r="636" spans="1:7">
      <c r="A636" s="134"/>
      <c r="B636" s="106"/>
      <c r="C636" s="106" t="s">
        <v>170</v>
      </c>
      <c r="E636" s="501">
        <f>SUM(E634:E635)</f>
        <v>0</v>
      </c>
      <c r="G636" s="241">
        <f>SUM(G634:G635)</f>
        <v>0</v>
      </c>
    </row>
    <row r="637" spans="1:7">
      <c r="A637" s="134"/>
      <c r="B637" s="106"/>
      <c r="C637" s="106"/>
      <c r="G637" s="133"/>
    </row>
    <row r="638" spans="1:7">
      <c r="A638" s="134">
        <v>813</v>
      </c>
      <c r="B638" s="106" t="s">
        <v>362</v>
      </c>
      <c r="C638" s="106"/>
      <c r="G638" s="133"/>
    </row>
    <row r="639" spans="1:7" ht="15">
      <c r="A639" s="134"/>
      <c r="B639" s="106"/>
      <c r="C639" s="106" t="s">
        <v>14</v>
      </c>
      <c r="E639" s="928"/>
      <c r="G639" s="133">
        <f>SUM(E639:E639)</f>
        <v>0</v>
      </c>
    </row>
    <row r="640" spans="1:7">
      <c r="A640" s="134"/>
      <c r="B640" s="106"/>
      <c r="C640" s="106" t="s">
        <v>24</v>
      </c>
      <c r="G640" s="133">
        <f>SUM(E640:E640)</f>
        <v>0</v>
      </c>
    </row>
    <row r="641" spans="1:7">
      <c r="A641" s="134"/>
      <c r="B641" s="106"/>
      <c r="C641" s="106" t="s">
        <v>170</v>
      </c>
      <c r="E641" s="501">
        <f>SUM(E639:E640)</f>
        <v>0</v>
      </c>
      <c r="G641" s="241">
        <f>SUM(G639:G640)</f>
        <v>0</v>
      </c>
    </row>
    <row r="642" spans="1:7">
      <c r="A642" s="134"/>
      <c r="B642" s="106"/>
      <c r="C642" s="106"/>
      <c r="G642" s="133"/>
    </row>
    <row r="643" spans="1:7">
      <c r="A643" s="134">
        <v>813</v>
      </c>
      <c r="B643" s="106" t="s">
        <v>363</v>
      </c>
      <c r="C643" s="106"/>
      <c r="G643" s="133"/>
    </row>
    <row r="644" spans="1:7" ht="15">
      <c r="A644" s="134"/>
      <c r="B644" s="106"/>
      <c r="C644" s="106" t="s">
        <v>14</v>
      </c>
      <c r="E644" s="928"/>
      <c r="G644" s="133">
        <f>SUM(E644:E644)</f>
        <v>0</v>
      </c>
    </row>
    <row r="645" spans="1:7">
      <c r="A645" s="134"/>
      <c r="B645" s="106"/>
      <c r="C645" s="106" t="s">
        <v>24</v>
      </c>
      <c r="G645" s="133">
        <f>SUM(E645:E645)</f>
        <v>0</v>
      </c>
    </row>
    <row r="646" spans="1:7">
      <c r="A646" s="134"/>
      <c r="B646" s="106"/>
      <c r="C646" s="106" t="s">
        <v>170</v>
      </c>
      <c r="E646" s="501">
        <f>SUM(E644:E645)</f>
        <v>0</v>
      </c>
      <c r="G646" s="241">
        <f>SUM(G644:G645)</f>
        <v>0</v>
      </c>
    </row>
    <row r="647" spans="1:7">
      <c r="A647" s="134"/>
      <c r="B647" s="106"/>
      <c r="C647" s="106"/>
      <c r="G647" s="133"/>
    </row>
    <row r="648" spans="1:7">
      <c r="A648" s="134" t="s">
        <v>695</v>
      </c>
      <c r="B648" s="106" t="s">
        <v>364</v>
      </c>
      <c r="C648" s="106"/>
      <c r="G648" s="133"/>
    </row>
    <row r="649" spans="1:7" ht="15">
      <c r="A649" s="134"/>
      <c r="B649" s="106"/>
      <c r="C649" s="106" t="s">
        <v>14</v>
      </c>
      <c r="E649" s="928"/>
      <c r="G649" s="133">
        <f>SUM(E649:E649)</f>
        <v>0</v>
      </c>
    </row>
    <row r="650" spans="1:7">
      <c r="A650" s="134"/>
      <c r="B650" s="106"/>
      <c r="C650" s="106" t="s">
        <v>24</v>
      </c>
      <c r="G650" s="133">
        <f>SUM(E650:E650)</f>
        <v>0</v>
      </c>
    </row>
    <row r="651" spans="1:7">
      <c r="A651" s="134"/>
      <c r="B651" s="106"/>
      <c r="C651" s="106" t="s">
        <v>170</v>
      </c>
      <c r="E651" s="501">
        <f>SUM(E649:E650)</f>
        <v>0</v>
      </c>
      <c r="G651" s="241">
        <f>SUM(G649:G650)</f>
        <v>0</v>
      </c>
    </row>
    <row r="652" spans="1:7">
      <c r="A652" s="134"/>
      <c r="B652" s="106"/>
      <c r="C652" s="106"/>
      <c r="G652" s="133"/>
    </row>
    <row r="653" spans="1:7">
      <c r="A653" s="134">
        <v>858</v>
      </c>
      <c r="B653" s="106" t="s">
        <v>365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 t="shared" ref="E656" si="13"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858</v>
      </c>
      <c r="B658" s="106" t="s">
        <v>366</v>
      </c>
      <c r="C658" s="106"/>
      <c r="G658" s="133"/>
    </row>
    <row r="659" spans="1:7" ht="15">
      <c r="A659" s="330"/>
      <c r="B659" s="106"/>
      <c r="C659" s="106" t="s">
        <v>14</v>
      </c>
      <c r="E659" s="928"/>
      <c r="G659" s="133">
        <f>SUM(E659:E659)</f>
        <v>0</v>
      </c>
    </row>
    <row r="660" spans="1:7">
      <c r="A660" s="330"/>
      <c r="B660" s="106"/>
      <c r="C660" s="106" t="s">
        <v>24</v>
      </c>
      <c r="G660" s="133">
        <f>SUM(E660:E660)</f>
        <v>0</v>
      </c>
    </row>
    <row r="661" spans="1:7">
      <c r="A661" s="330"/>
      <c r="B661" s="106"/>
      <c r="C661" s="106" t="s">
        <v>170</v>
      </c>
      <c r="E661" s="501">
        <f t="shared" ref="E661" si="14">SUM(E659:E660)</f>
        <v>0</v>
      </c>
      <c r="G661" s="241">
        <f>SUM(G659:G660)</f>
        <v>0</v>
      </c>
    </row>
    <row r="662" spans="1:7">
      <c r="A662" s="330"/>
      <c r="B662" s="106"/>
      <c r="C662" s="106"/>
      <c r="G662" s="133"/>
    </row>
    <row r="663" spans="1:7">
      <c r="A663" s="330"/>
      <c r="B663" s="119" t="s">
        <v>289</v>
      </c>
      <c r="C663" s="102"/>
      <c r="G663" s="133"/>
    </row>
    <row r="664" spans="1:7" ht="15">
      <c r="A664" s="330"/>
      <c r="B664" s="102"/>
      <c r="C664" s="102" t="s">
        <v>287</v>
      </c>
      <c r="E664" s="928"/>
      <c r="G664" s="133">
        <f>SUM(E664:E664)</f>
        <v>0</v>
      </c>
    </row>
    <row r="665" spans="1:7" ht="15">
      <c r="A665" s="330"/>
      <c r="B665" s="102"/>
      <c r="C665" s="102" t="s">
        <v>288</v>
      </c>
      <c r="E665" s="928"/>
      <c r="G665" s="133">
        <f>SUM(E665:E665)</f>
        <v>0</v>
      </c>
    </row>
    <row r="666" spans="1:7">
      <c r="A666" s="330"/>
      <c r="B666" s="102"/>
      <c r="C666" s="102" t="s">
        <v>170</v>
      </c>
      <c r="E666" s="501">
        <f t="shared" ref="E666" si="15">SUM(E664:E665)</f>
        <v>0</v>
      </c>
      <c r="G666" s="241">
        <f>SUM(G664:G665)</f>
        <v>0</v>
      </c>
    </row>
    <row r="667" spans="1:7" ht="13.5" thickBot="1">
      <c r="A667" s="330"/>
      <c r="B667" s="106"/>
      <c r="C667" s="106"/>
      <c r="G667" s="242"/>
    </row>
    <row r="668" spans="1:7" ht="13.5" thickTop="1">
      <c r="A668" s="59" t="s">
        <v>561</v>
      </c>
      <c r="B668" s="106"/>
      <c r="C668" s="106"/>
      <c r="G668" s="133"/>
    </row>
    <row r="669" spans="1:7">
      <c r="A669" s="330"/>
      <c r="B669" s="106" t="s">
        <v>696</v>
      </c>
      <c r="C669" s="106"/>
      <c r="E669" s="501">
        <f>E574+E649+E666</f>
        <v>0</v>
      </c>
      <c r="G669" s="133">
        <f>G574+G649+G666</f>
        <v>0</v>
      </c>
    </row>
    <row r="670" spans="1:7">
      <c r="A670" s="330"/>
      <c r="B670" s="106" t="s">
        <v>697</v>
      </c>
      <c r="C670" s="106"/>
      <c r="E670" s="501">
        <f t="shared" ref="E670" si="16">E559+E564+E569+E579+E584+E589+E594+E599+E604+E609+E614+E619+E624+E629+E634+E639+E644+E654+E659</f>
        <v>0</v>
      </c>
      <c r="G670" s="133">
        <f>G559+G564+G569+G579+G584+G589+G594+G599+G604+G609+G614+G619+G624+G629+G634+G639+G644+G654+G659</f>
        <v>0</v>
      </c>
    </row>
    <row r="671" spans="1:7">
      <c r="A671" s="330"/>
      <c r="B671" s="106" t="s">
        <v>700</v>
      </c>
      <c r="C671" s="106"/>
      <c r="E671" s="501">
        <f t="shared" ref="E671" si="17">E575+E650</f>
        <v>0</v>
      </c>
      <c r="G671" s="133">
        <f>G575+G650</f>
        <v>0</v>
      </c>
    </row>
    <row r="672" spans="1:7">
      <c r="A672" s="330"/>
      <c r="B672" s="106" t="s">
        <v>701</v>
      </c>
      <c r="C672" s="106"/>
      <c r="E672" s="501">
        <f t="shared" ref="E672" si="18">E560+E565+E570+E580+E585+E590+E595+E600+E605+E610+E615+E620+E625+E630+E635+E640+E645+E655+E660</f>
        <v>0</v>
      </c>
      <c r="G672" s="133">
        <f>G560+G565+G570+G580+G585+G590+G595+G600+G605+G610+G615+G620+G625+G630+G635+G640+G645+G655+G660</f>
        <v>0</v>
      </c>
    </row>
    <row r="673" spans="1:7">
      <c r="A673" s="330"/>
      <c r="B673" s="106" t="s">
        <v>698</v>
      </c>
      <c r="C673" s="106"/>
      <c r="E673" s="501">
        <f t="shared" ref="E673" si="19">+(E239+E240+E268+E269+E539)-E670</f>
        <v>0</v>
      </c>
      <c r="G673" s="116">
        <f>+(G239+G240+G268+G269+G539)-G670</f>
        <v>0</v>
      </c>
    </row>
    <row r="674" spans="1:7">
      <c r="A674" s="330"/>
      <c r="B674" s="106" t="s">
        <v>699</v>
      </c>
      <c r="C674" s="106"/>
      <c r="E674" s="501">
        <f t="shared" ref="E674" si="20">+(E362+E364+E392+E543)-E672</f>
        <v>0</v>
      </c>
      <c r="G674" s="133">
        <f>+(G362+G364+G392+G543)-G672-G671</f>
        <v>0</v>
      </c>
    </row>
    <row r="675" spans="1:7" ht="13.5" thickBot="1">
      <c r="A675" s="330"/>
      <c r="B675" s="106"/>
      <c r="C675" s="106"/>
      <c r="G675" s="242"/>
    </row>
    <row r="676" spans="1:7" ht="13.5" thickTop="1">
      <c r="A676" s="330"/>
      <c r="B676" s="106"/>
      <c r="C676" s="106"/>
      <c r="G676" s="133"/>
    </row>
    <row r="677" spans="1:7">
      <c r="A677" s="330"/>
      <c r="B677" s="61" t="s">
        <v>561</v>
      </c>
      <c r="C677" s="106"/>
      <c r="E677" s="501">
        <f>E561+E566+E571+E576+E581+E586+E591+E596+E601+E606+E611+E616+E621+E626+E631+E636+E641+E646+E651+E656+E661+E673+E674</f>
        <v>0</v>
      </c>
      <c r="G677" s="133">
        <f>G561+G566+G571+G576+G581+G586+G591+G596+G601+G606+G611+G616+G621+G626+G631+G636+G641+G646+G651+G656+G661+G673+G674</f>
        <v>0</v>
      </c>
    </row>
    <row r="678" spans="1:7">
      <c r="A678" s="330"/>
      <c r="B678" s="106"/>
      <c r="C678" s="106"/>
      <c r="G678" s="133"/>
    </row>
    <row r="679" spans="1:7">
      <c r="A679" s="330"/>
      <c r="B679" s="106"/>
      <c r="C679" s="106"/>
      <c r="G679" s="133"/>
    </row>
    <row r="680" spans="1:7">
      <c r="A680" s="59" t="s">
        <v>367</v>
      </c>
      <c r="B680" s="106"/>
      <c r="C680" s="106"/>
      <c r="G680" s="133"/>
    </row>
    <row r="681" spans="1:7">
      <c r="A681" s="330"/>
      <c r="B681" s="106"/>
      <c r="C681" s="106"/>
      <c r="G681" s="133"/>
    </row>
    <row r="682" spans="1:7">
      <c r="A682" s="59" t="s">
        <v>368</v>
      </c>
      <c r="B682" s="106"/>
      <c r="C682" s="106"/>
      <c r="G682" s="133"/>
    </row>
    <row r="683" spans="1:7">
      <c r="A683" s="330"/>
      <c r="B683" s="106"/>
      <c r="C683" s="106"/>
      <c r="G683" s="133"/>
    </row>
    <row r="684" spans="1:7" ht="15">
      <c r="A684" s="134">
        <v>810</v>
      </c>
      <c r="B684" s="106" t="s">
        <v>369</v>
      </c>
      <c r="C684" s="106"/>
      <c r="E684" s="928"/>
      <c r="G684" s="133">
        <f>SUM(E684:E684)</f>
        <v>0</v>
      </c>
    </row>
    <row r="685" spans="1:7" ht="15">
      <c r="A685" s="134">
        <v>812</v>
      </c>
      <c r="B685" s="106" t="s">
        <v>372</v>
      </c>
      <c r="C685" s="106"/>
      <c r="E685" s="928"/>
      <c r="G685" s="133">
        <f>SUM(E685:E685)</f>
        <v>0</v>
      </c>
    </row>
    <row r="686" spans="1:7" ht="13.5" thickBot="1">
      <c r="A686" s="330"/>
      <c r="B686" s="106"/>
      <c r="C686" s="106"/>
      <c r="G686" s="262"/>
    </row>
    <row r="687" spans="1:7">
      <c r="A687" s="330"/>
      <c r="B687" s="61" t="s">
        <v>373</v>
      </c>
      <c r="C687" s="106"/>
      <c r="E687" s="501">
        <f>SUM(E684:E685)</f>
        <v>0</v>
      </c>
      <c r="G687" s="133">
        <f>SUM(G684:G685)</f>
        <v>0</v>
      </c>
    </row>
    <row r="688" spans="1:7">
      <c r="A688" s="330"/>
      <c r="B688" s="106"/>
      <c r="C688" s="106"/>
      <c r="G688" s="133"/>
    </row>
    <row r="689" spans="1:7">
      <c r="A689" s="59" t="s">
        <v>374</v>
      </c>
      <c r="B689" s="106"/>
      <c r="C689" s="106"/>
      <c r="G689" s="133"/>
    </row>
    <row r="690" spans="1:7">
      <c r="A690" s="330"/>
      <c r="B690" s="106" t="s">
        <v>838</v>
      </c>
      <c r="C690" s="106"/>
      <c r="G690" s="133"/>
    </row>
    <row r="691" spans="1:7">
      <c r="A691" s="134">
        <v>870</v>
      </c>
      <c r="B691" s="106" t="s">
        <v>375</v>
      </c>
      <c r="C691" s="106"/>
      <c r="G691" s="133"/>
    </row>
    <row r="692" spans="1:7" ht="15">
      <c r="A692" s="134"/>
      <c r="B692" s="106"/>
      <c r="C692" s="106" t="s">
        <v>14</v>
      </c>
      <c r="E692" s="928"/>
      <c r="G692" s="133">
        <f>SUM(E692:E692)</f>
        <v>0</v>
      </c>
    </row>
    <row r="693" spans="1:7">
      <c r="A693" s="134"/>
      <c r="B693" s="106"/>
      <c r="C693" s="106" t="s">
        <v>24</v>
      </c>
      <c r="G693" s="133">
        <f>SUM(E693:E693)</f>
        <v>0</v>
      </c>
    </row>
    <row r="694" spans="1:7">
      <c r="A694" s="134"/>
      <c r="B694" s="106"/>
      <c r="C694" s="106" t="s">
        <v>170</v>
      </c>
      <c r="E694" s="501">
        <f>SUM(E692:E693)</f>
        <v>0</v>
      </c>
      <c r="G694" s="241">
        <f>SUM(G692:G693)</f>
        <v>0</v>
      </c>
    </row>
    <row r="695" spans="1:7">
      <c r="A695" s="134"/>
      <c r="B695" s="106"/>
      <c r="C695" s="106"/>
      <c r="G695" s="133"/>
    </row>
    <row r="696" spans="1:7">
      <c r="A696" s="134">
        <v>871</v>
      </c>
      <c r="B696" s="106" t="s">
        <v>376</v>
      </c>
      <c r="C696" s="106"/>
      <c r="G696" s="133"/>
    </row>
    <row r="697" spans="1:7" ht="15">
      <c r="A697" s="134"/>
      <c r="B697" s="106"/>
      <c r="C697" s="106" t="s">
        <v>14</v>
      </c>
      <c r="E697" s="928"/>
      <c r="G697" s="133">
        <f>SUM(E697:E697)</f>
        <v>0</v>
      </c>
    </row>
    <row r="698" spans="1:7">
      <c r="A698" s="134"/>
      <c r="B698" s="106"/>
      <c r="C698" s="106" t="s">
        <v>24</v>
      </c>
      <c r="G698" s="133">
        <f>SUM(E698:E698)</f>
        <v>0</v>
      </c>
    </row>
    <row r="699" spans="1:7">
      <c r="A699" s="134"/>
      <c r="B699" s="106"/>
      <c r="C699" s="106" t="s">
        <v>170</v>
      </c>
      <c r="E699" s="501">
        <f>SUM(E697:E698)</f>
        <v>0</v>
      </c>
      <c r="G699" s="241">
        <f>SUM(G697:G698)</f>
        <v>0</v>
      </c>
    </row>
    <row r="700" spans="1:7">
      <c r="A700" s="134"/>
      <c r="B700" s="106"/>
      <c r="C700" s="106"/>
      <c r="G700" s="133"/>
    </row>
    <row r="701" spans="1:7">
      <c r="A701" s="134">
        <v>872</v>
      </c>
      <c r="B701" s="106" t="s">
        <v>378</v>
      </c>
      <c r="C701" s="106"/>
      <c r="G701" s="133"/>
    </row>
    <row r="702" spans="1:7" ht="15">
      <c r="A702" s="134"/>
      <c r="B702" s="106"/>
      <c r="C702" s="106" t="s">
        <v>14</v>
      </c>
      <c r="E702" s="928"/>
      <c r="G702" s="133">
        <f>SUM(E702:E702)</f>
        <v>0</v>
      </c>
    </row>
    <row r="703" spans="1:7">
      <c r="A703" s="134"/>
      <c r="B703" s="106"/>
      <c r="C703" s="106" t="s">
        <v>24</v>
      </c>
      <c r="G703" s="133">
        <f>SUM(E703:E703)</f>
        <v>0</v>
      </c>
    </row>
    <row r="704" spans="1:7">
      <c r="A704" s="134"/>
      <c r="B704" s="106"/>
      <c r="C704" s="106" t="s">
        <v>170</v>
      </c>
      <c r="E704" s="501">
        <f>SUM(E702:E703)</f>
        <v>0</v>
      </c>
      <c r="G704" s="241">
        <f>SUM(G702:G703)</f>
        <v>0</v>
      </c>
    </row>
    <row r="705" spans="1:7">
      <c r="A705" s="134"/>
      <c r="B705" s="106"/>
      <c r="C705" s="106"/>
      <c r="G705" s="133"/>
    </row>
    <row r="706" spans="1:7">
      <c r="A706" s="134">
        <v>873</v>
      </c>
      <c r="B706" s="106" t="s">
        <v>379</v>
      </c>
      <c r="C706" s="106"/>
      <c r="G706" s="133"/>
    </row>
    <row r="707" spans="1:7" ht="15">
      <c r="A707" s="134"/>
      <c r="B707" s="106"/>
      <c r="C707" s="106" t="s">
        <v>14</v>
      </c>
      <c r="E707" s="928"/>
      <c r="G707" s="133">
        <f>SUM(E707:E707)</f>
        <v>0</v>
      </c>
    </row>
    <row r="708" spans="1:7">
      <c r="A708" s="134"/>
      <c r="B708" s="106"/>
      <c r="C708" s="106" t="s">
        <v>24</v>
      </c>
      <c r="G708" s="133">
        <f>SUM(E708:E708)</f>
        <v>0</v>
      </c>
    </row>
    <row r="709" spans="1:7">
      <c r="A709" s="134"/>
      <c r="B709" s="106"/>
      <c r="C709" s="106" t="s">
        <v>170</v>
      </c>
      <c r="E709" s="501">
        <f>SUM(E707:E708)</f>
        <v>0</v>
      </c>
      <c r="G709" s="241">
        <f>SUM(G707:G708)</f>
        <v>0</v>
      </c>
    </row>
    <row r="710" spans="1:7">
      <c r="A710" s="134"/>
      <c r="B710" s="106"/>
      <c r="C710" s="106"/>
      <c r="G710" s="133"/>
    </row>
    <row r="711" spans="1:7">
      <c r="A711" s="134">
        <v>874</v>
      </c>
      <c r="B711" s="106" t="s">
        <v>380</v>
      </c>
      <c r="C711" s="106"/>
      <c r="G711" s="133"/>
    </row>
    <row r="712" spans="1:7" ht="15">
      <c r="A712" s="134"/>
      <c r="B712" s="106"/>
      <c r="C712" s="106" t="s">
        <v>14</v>
      </c>
      <c r="E712" s="928"/>
      <c r="G712" s="133">
        <f>SUM(E712:E712)</f>
        <v>0</v>
      </c>
    </row>
    <row r="713" spans="1:7">
      <c r="A713" s="134"/>
      <c r="B713" s="106"/>
      <c r="C713" s="106" t="s">
        <v>24</v>
      </c>
      <c r="G713" s="133">
        <f>SUM(E713:E713)</f>
        <v>0</v>
      </c>
    </row>
    <row r="714" spans="1:7">
      <c r="A714" s="134"/>
      <c r="B714" s="106"/>
      <c r="C714" s="106" t="s">
        <v>170</v>
      </c>
      <c r="E714" s="501">
        <f>SUM(E712:E713)</f>
        <v>0</v>
      </c>
      <c r="G714" s="241">
        <f>SUM(G712:G713)</f>
        <v>0</v>
      </c>
    </row>
    <row r="715" spans="1:7">
      <c r="A715" s="134"/>
      <c r="B715" s="106"/>
      <c r="C715" s="106"/>
      <c r="G715" s="133"/>
    </row>
    <row r="716" spans="1:7">
      <c r="A716" s="134">
        <v>875</v>
      </c>
      <c r="B716" s="106" t="s">
        <v>381</v>
      </c>
      <c r="C716" s="106"/>
      <c r="G716" s="133"/>
    </row>
    <row r="717" spans="1:7" ht="15">
      <c r="A717" s="134"/>
      <c r="B717" s="106"/>
      <c r="C717" s="106" t="s">
        <v>14</v>
      </c>
      <c r="E717" s="928"/>
      <c r="G717" s="133">
        <f>SUM(E717:E717)</f>
        <v>0</v>
      </c>
    </row>
    <row r="718" spans="1:7">
      <c r="A718" s="134"/>
      <c r="B718" s="106"/>
      <c r="C718" s="106" t="s">
        <v>24</v>
      </c>
      <c r="G718" s="133">
        <f>SUM(E718:E718)</f>
        <v>0</v>
      </c>
    </row>
    <row r="719" spans="1:7">
      <c r="A719" s="134"/>
      <c r="B719" s="106"/>
      <c r="C719" s="106" t="s">
        <v>170</v>
      </c>
      <c r="E719" s="501">
        <f>SUM(E717:E718)</f>
        <v>0</v>
      </c>
      <c r="G719" s="241">
        <f>SUM(G717:G718)</f>
        <v>0</v>
      </c>
    </row>
    <row r="720" spans="1:7">
      <c r="A720" s="134"/>
      <c r="B720" s="106"/>
      <c r="C720" s="106"/>
      <c r="G720" s="133"/>
    </row>
    <row r="721" spans="1:7">
      <c r="A721" s="134">
        <v>878</v>
      </c>
      <c r="B721" s="106" t="s">
        <v>382</v>
      </c>
      <c r="C721" s="106"/>
      <c r="G721" s="133"/>
    </row>
    <row r="722" spans="1:7" ht="15">
      <c r="A722" s="134"/>
      <c r="B722" s="106"/>
      <c r="C722" s="106" t="s">
        <v>14</v>
      </c>
      <c r="E722" s="928"/>
      <c r="G722" s="133">
        <f>SUM(E722:E722)</f>
        <v>0</v>
      </c>
    </row>
    <row r="723" spans="1:7">
      <c r="A723" s="134"/>
      <c r="B723" s="106"/>
      <c r="C723" s="106" t="s">
        <v>24</v>
      </c>
      <c r="G723" s="133">
        <f>SUM(E723:E723)</f>
        <v>0</v>
      </c>
    </row>
    <row r="724" spans="1:7">
      <c r="A724" s="134"/>
      <c r="B724" s="106"/>
      <c r="C724" s="106" t="s">
        <v>170</v>
      </c>
      <c r="E724" s="501">
        <f>SUM(E722:E723)</f>
        <v>0</v>
      </c>
      <c r="G724" s="241">
        <f>SUM(G722:G723)</f>
        <v>0</v>
      </c>
    </row>
    <row r="725" spans="1:7">
      <c r="A725" s="134"/>
      <c r="B725" s="106"/>
      <c r="C725" s="106"/>
      <c r="G725" s="133"/>
    </row>
    <row r="726" spans="1:7">
      <c r="A726" s="134">
        <v>879</v>
      </c>
      <c r="B726" s="106" t="s">
        <v>383</v>
      </c>
      <c r="C726" s="106"/>
      <c r="G726" s="133"/>
    </row>
    <row r="727" spans="1:7" ht="15">
      <c r="A727" s="134"/>
      <c r="B727" s="106"/>
      <c r="C727" s="106" t="s">
        <v>14</v>
      </c>
      <c r="E727" s="928"/>
      <c r="G727" s="133">
        <f>SUM(E727:E727)</f>
        <v>0</v>
      </c>
    </row>
    <row r="728" spans="1:7">
      <c r="A728" s="134"/>
      <c r="B728" s="106"/>
      <c r="C728" s="106" t="s">
        <v>24</v>
      </c>
      <c r="G728" s="133">
        <f>SUM(E728:E728)</f>
        <v>0</v>
      </c>
    </row>
    <row r="729" spans="1:7">
      <c r="A729" s="134"/>
      <c r="B729" s="106"/>
      <c r="C729" s="106" t="s">
        <v>170</v>
      </c>
      <c r="E729" s="501">
        <f>SUM(E727:E728)</f>
        <v>0</v>
      </c>
      <c r="G729" s="241">
        <f>SUM(G727:G728)</f>
        <v>0</v>
      </c>
    </row>
    <row r="730" spans="1:7">
      <c r="A730" s="134"/>
      <c r="B730" s="106"/>
      <c r="C730" s="106"/>
      <c r="G730" s="133"/>
    </row>
    <row r="731" spans="1:7">
      <c r="A731" s="134">
        <v>880</v>
      </c>
      <c r="B731" s="106" t="s">
        <v>384</v>
      </c>
      <c r="C731" s="106"/>
      <c r="G731" s="133"/>
    </row>
    <row r="732" spans="1:7" ht="15">
      <c r="A732" s="134"/>
      <c r="B732" s="106"/>
      <c r="C732" s="106" t="s">
        <v>14</v>
      </c>
      <c r="E732" s="928"/>
      <c r="G732" s="133">
        <f>SUM(E732:E732)</f>
        <v>0</v>
      </c>
    </row>
    <row r="733" spans="1:7">
      <c r="A733" s="134"/>
      <c r="B733" s="106"/>
      <c r="C733" s="106" t="s">
        <v>24</v>
      </c>
      <c r="G733" s="133">
        <f>SUM(E733:E733)</f>
        <v>0</v>
      </c>
    </row>
    <row r="734" spans="1:7">
      <c r="A734" s="134"/>
      <c r="B734" s="106"/>
      <c r="C734" s="106" t="s">
        <v>170</v>
      </c>
      <c r="E734" s="501">
        <f>SUM(E732:E733)</f>
        <v>0</v>
      </c>
      <c r="G734" s="241">
        <f>SUM(G732:G733)</f>
        <v>0</v>
      </c>
    </row>
    <row r="735" spans="1:7">
      <c r="A735" s="134"/>
      <c r="B735" s="106"/>
      <c r="C735" s="106"/>
      <c r="G735" s="133"/>
    </row>
    <row r="736" spans="1:7">
      <c r="A736" s="134">
        <v>881</v>
      </c>
      <c r="B736" s="106" t="s">
        <v>385</v>
      </c>
      <c r="C736" s="106"/>
      <c r="G736" s="133"/>
    </row>
    <row r="737" spans="1:7" ht="15">
      <c r="A737" s="134"/>
      <c r="B737" s="106"/>
      <c r="C737" s="106" t="s">
        <v>14</v>
      </c>
      <c r="E737" s="928"/>
      <c r="G737" s="133">
        <f>SUM(E737:E737)</f>
        <v>0</v>
      </c>
    </row>
    <row r="738" spans="1:7">
      <c r="A738" s="134"/>
      <c r="B738" s="106"/>
      <c r="C738" s="106" t="s">
        <v>24</v>
      </c>
      <c r="G738" s="133">
        <f>SUM(E738:E738)</f>
        <v>0</v>
      </c>
    </row>
    <row r="739" spans="1:7">
      <c r="A739" s="134"/>
      <c r="B739" s="106"/>
      <c r="C739" s="106" t="s">
        <v>170</v>
      </c>
      <c r="E739" s="501">
        <f>SUM(E737:E738)</f>
        <v>0</v>
      </c>
      <c r="G739" s="241">
        <f>SUM(G737:G738)</f>
        <v>0</v>
      </c>
    </row>
    <row r="740" spans="1:7">
      <c r="A740" s="134"/>
      <c r="B740" s="106"/>
      <c r="C740" s="106"/>
      <c r="G740" s="133"/>
    </row>
    <row r="741" spans="1:7">
      <c r="A741" s="134">
        <v>885</v>
      </c>
      <c r="B741" s="106" t="s">
        <v>386</v>
      </c>
      <c r="C741" s="106"/>
      <c r="G741" s="133"/>
    </row>
    <row r="742" spans="1:7" ht="15">
      <c r="A742" s="134"/>
      <c r="B742" s="106"/>
      <c r="C742" s="106" t="s">
        <v>14</v>
      </c>
      <c r="E742" s="928"/>
      <c r="G742" s="133">
        <f>SUM(E742:E742)</f>
        <v>0</v>
      </c>
    </row>
    <row r="743" spans="1:7">
      <c r="A743" s="134"/>
      <c r="B743" s="106"/>
      <c r="C743" s="106" t="s">
        <v>24</v>
      </c>
      <c r="G743" s="133">
        <f>SUM(E743:E743)</f>
        <v>0</v>
      </c>
    </row>
    <row r="744" spans="1:7">
      <c r="A744" s="134"/>
      <c r="B744" s="106"/>
      <c r="C744" s="106" t="s">
        <v>170</v>
      </c>
      <c r="E744" s="501">
        <f>SUM(E742:E743)</f>
        <v>0</v>
      </c>
      <c r="G744" s="241">
        <f>SUM(G742:G743)</f>
        <v>0</v>
      </c>
    </row>
    <row r="745" spans="1:7">
      <c r="A745" s="134"/>
      <c r="B745" s="106"/>
      <c r="C745" s="106"/>
      <c r="G745" s="133"/>
    </row>
    <row r="746" spans="1:7">
      <c r="A746" s="134">
        <v>886</v>
      </c>
      <c r="B746" s="106" t="s">
        <v>387</v>
      </c>
      <c r="C746" s="106"/>
      <c r="G746" s="133"/>
    </row>
    <row r="747" spans="1:7" ht="15">
      <c r="A747" s="134"/>
      <c r="B747" s="106"/>
      <c r="C747" s="106" t="s">
        <v>14</v>
      </c>
      <c r="E747" s="928"/>
      <c r="G747" s="133">
        <f>SUM(E747:E747)</f>
        <v>0</v>
      </c>
    </row>
    <row r="748" spans="1:7">
      <c r="A748" s="134"/>
      <c r="B748" s="106"/>
      <c r="C748" s="106" t="s">
        <v>24</v>
      </c>
      <c r="G748" s="133">
        <f>SUM(E748:E748)</f>
        <v>0</v>
      </c>
    </row>
    <row r="749" spans="1:7">
      <c r="A749" s="134"/>
      <c r="B749" s="106"/>
      <c r="C749" s="106" t="s">
        <v>170</v>
      </c>
      <c r="E749" s="501">
        <f>SUM(E747:E748)</f>
        <v>0</v>
      </c>
      <c r="G749" s="241">
        <f>SUM(G747:G748)</f>
        <v>0</v>
      </c>
    </row>
    <row r="750" spans="1:7">
      <c r="A750" s="134"/>
      <c r="B750" s="106"/>
      <c r="C750" s="106"/>
      <c r="G750" s="133"/>
    </row>
    <row r="751" spans="1:7">
      <c r="A751" s="134">
        <v>887</v>
      </c>
      <c r="B751" s="106" t="s">
        <v>388</v>
      </c>
      <c r="C751" s="106"/>
      <c r="G751" s="133"/>
    </row>
    <row r="752" spans="1:7" ht="15">
      <c r="A752" s="134"/>
      <c r="B752" s="106"/>
      <c r="C752" s="106" t="s">
        <v>14</v>
      </c>
      <c r="E752" s="928"/>
      <c r="G752" s="133">
        <f>SUM(E752:E752)</f>
        <v>0</v>
      </c>
    </row>
    <row r="753" spans="1:7">
      <c r="A753" s="134"/>
      <c r="B753" s="106"/>
      <c r="C753" s="106" t="s">
        <v>24</v>
      </c>
      <c r="G753" s="133">
        <f>SUM(E753:E753)</f>
        <v>0</v>
      </c>
    </row>
    <row r="754" spans="1:7">
      <c r="A754" s="134"/>
      <c r="B754" s="106"/>
      <c r="C754" s="106" t="s">
        <v>170</v>
      </c>
      <c r="E754" s="501">
        <f>SUM(E752:E753)</f>
        <v>0</v>
      </c>
      <c r="G754" s="241">
        <f>SUM(G752:G753)</f>
        <v>0</v>
      </c>
    </row>
    <row r="755" spans="1:7">
      <c r="A755" s="134"/>
      <c r="B755" s="106"/>
      <c r="C755" s="106"/>
      <c r="G755" s="133"/>
    </row>
    <row r="756" spans="1:7">
      <c r="A756" s="134">
        <v>888</v>
      </c>
      <c r="B756" s="106" t="s">
        <v>389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889</v>
      </c>
      <c r="B761" s="106" t="s">
        <v>391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892</v>
      </c>
      <c r="B766" s="106" t="s">
        <v>392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893</v>
      </c>
      <c r="B771" s="106" t="s">
        <v>395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8941</v>
      </c>
      <c r="B776" s="106" t="s">
        <v>397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>
        <v>8942</v>
      </c>
      <c r="B781" s="106" t="s">
        <v>399</v>
      </c>
      <c r="C781" s="106"/>
      <c r="G781" s="133"/>
    </row>
    <row r="782" spans="1:7" ht="15">
      <c r="A782" s="330"/>
      <c r="B782" s="106"/>
      <c r="C782" s="106" t="s">
        <v>14</v>
      </c>
      <c r="E782" s="928"/>
      <c r="G782" s="133">
        <f>SUM(E782:E782)</f>
        <v>0</v>
      </c>
    </row>
    <row r="783" spans="1:7">
      <c r="A783" s="330"/>
      <c r="B783" s="106"/>
      <c r="C783" s="106" t="s">
        <v>24</v>
      </c>
      <c r="G783" s="133">
        <f>SUM(E783:E783)</f>
        <v>0</v>
      </c>
    </row>
    <row r="784" spans="1:7">
      <c r="A784" s="330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 ht="13.5" thickBot="1">
      <c r="A785" s="330"/>
      <c r="B785" s="106"/>
      <c r="C785" s="106"/>
      <c r="G785" s="242"/>
    </row>
    <row r="786" spans="1:7" ht="13.5" thickTop="1">
      <c r="A786" s="59" t="s">
        <v>564</v>
      </c>
      <c r="B786" s="106"/>
      <c r="C786" s="106"/>
      <c r="G786" s="133"/>
    </row>
    <row r="787" spans="1:7">
      <c r="A787" s="330"/>
      <c r="B787" s="106" t="s">
        <v>562</v>
      </c>
      <c r="C787" s="106"/>
      <c r="E787" s="501">
        <f t="shared" ref="E787:E788" si="21">E692+E697+E702+E707+E712+E717+E722+E727+E732+E737+E742+E747+E752+E757+E762+E767+E772+E777+E782</f>
        <v>0</v>
      </c>
      <c r="G787" s="133">
        <f>G692+G697+G702+G707+G712+G717+G722+G727+G732+G737+G742+G747+G752+G757+G762+G767+G772+G777+G782</f>
        <v>0</v>
      </c>
    </row>
    <row r="788" spans="1:7">
      <c r="A788" s="330"/>
      <c r="B788" s="106" t="s">
        <v>563</v>
      </c>
      <c r="C788" s="106"/>
      <c r="E788" s="501">
        <f t="shared" si="21"/>
        <v>0</v>
      </c>
      <c r="G788" s="133">
        <f>G693+G698+G703+G708+G713+G718+G723+G728+G733+G738+G743+G748+G753+G758+G763+G768+G773+G778+G783</f>
        <v>0</v>
      </c>
    </row>
    <row r="789" spans="1:7" ht="13.5" thickBot="1">
      <c r="A789" s="330"/>
      <c r="B789" s="106"/>
      <c r="C789" s="106"/>
      <c r="G789" s="262"/>
    </row>
    <row r="790" spans="1:7">
      <c r="A790" s="330"/>
      <c r="B790" s="61" t="s">
        <v>564</v>
      </c>
      <c r="C790" s="106"/>
      <c r="E790" s="501">
        <f>E694+E699+E704+E709+E714+E719+E724+E729+E734+E739+E744+E749+E754+E759+E764+E769+E774+E779+E784</f>
        <v>0</v>
      </c>
      <c r="G790" s="133">
        <f>G694+G699+G704+G709+G714+G719+G724+G729+G734+G739+G744+G749+G754+G759+G764+G769+G774+G779+G784</f>
        <v>0</v>
      </c>
    </row>
    <row r="791" spans="1:7">
      <c r="A791" s="330"/>
      <c r="B791" s="106"/>
      <c r="C791" s="106"/>
      <c r="G791" s="133"/>
    </row>
    <row r="792" spans="1:7">
      <c r="A792" s="59" t="s">
        <v>400</v>
      </c>
      <c r="B792" s="106"/>
      <c r="C792" s="106"/>
      <c r="G792" s="133"/>
    </row>
    <row r="793" spans="1:7">
      <c r="A793" s="330"/>
      <c r="B793" s="106"/>
      <c r="C793" s="106"/>
      <c r="G793" s="133"/>
    </row>
    <row r="794" spans="1:7">
      <c r="A794" s="134">
        <v>901</v>
      </c>
      <c r="B794" s="106" t="s">
        <v>402</v>
      </c>
      <c r="C794" s="106"/>
      <c r="G794" s="133"/>
    </row>
    <row r="795" spans="1:7" ht="15">
      <c r="A795" s="134"/>
      <c r="B795" s="106"/>
      <c r="C795" s="106" t="s">
        <v>14</v>
      </c>
      <c r="E795" s="928"/>
      <c r="G795" s="133">
        <f>SUM(E795:E795)</f>
        <v>0</v>
      </c>
    </row>
    <row r="796" spans="1:7">
      <c r="A796" s="134"/>
      <c r="B796" s="106"/>
      <c r="C796" s="106" t="s">
        <v>24</v>
      </c>
      <c r="G796" s="133">
        <f>SUM(E796:E796)</f>
        <v>0</v>
      </c>
    </row>
    <row r="797" spans="1:7">
      <c r="A797" s="134"/>
      <c r="B797" s="106"/>
      <c r="C797" s="106" t="s">
        <v>170</v>
      </c>
      <c r="E797" s="501">
        <f>SUM(E795:E796)</f>
        <v>0</v>
      </c>
      <c r="G797" s="241">
        <f>SUM(G795:G796)</f>
        <v>0</v>
      </c>
    </row>
    <row r="798" spans="1:7">
      <c r="A798" s="134"/>
      <c r="B798" s="106"/>
      <c r="C798" s="106"/>
      <c r="G798" s="133"/>
    </row>
    <row r="799" spans="1:7">
      <c r="A799" s="134">
        <v>902</v>
      </c>
      <c r="B799" s="106" t="s">
        <v>403</v>
      </c>
      <c r="C799" s="106"/>
      <c r="G799" s="133"/>
    </row>
    <row r="800" spans="1:7" ht="15">
      <c r="A800" s="134"/>
      <c r="B800" s="106"/>
      <c r="C800" s="106" t="s">
        <v>14</v>
      </c>
      <c r="E800" s="928"/>
      <c r="G800" s="133">
        <f>SUM(E800:E800)</f>
        <v>0</v>
      </c>
    </row>
    <row r="801" spans="1:7">
      <c r="A801" s="134"/>
      <c r="B801" s="106"/>
      <c r="C801" s="106" t="s">
        <v>24</v>
      </c>
      <c r="G801" s="133">
        <f>SUM(E801:E801)</f>
        <v>0</v>
      </c>
    </row>
    <row r="802" spans="1:7">
      <c r="A802" s="134"/>
      <c r="B802" s="106"/>
      <c r="C802" s="106" t="s">
        <v>170</v>
      </c>
      <c r="E802" s="501">
        <f>SUM(E800:E801)</f>
        <v>0</v>
      </c>
      <c r="G802" s="241">
        <f>SUM(G800:G801)</f>
        <v>0</v>
      </c>
    </row>
    <row r="803" spans="1:7">
      <c r="A803" s="134"/>
      <c r="B803" s="106"/>
      <c r="C803" s="106"/>
      <c r="G803" s="133"/>
    </row>
    <row r="804" spans="1:7">
      <c r="A804" s="134">
        <v>9031</v>
      </c>
      <c r="B804" s="106" t="s">
        <v>404</v>
      </c>
      <c r="C804" s="106"/>
      <c r="G804" s="133"/>
    </row>
    <row r="805" spans="1:7" ht="15">
      <c r="A805" s="134"/>
      <c r="B805" s="106"/>
      <c r="C805" s="106" t="s">
        <v>14</v>
      </c>
      <c r="E805" s="928"/>
      <c r="G805" s="133">
        <f>SUM(E805:E805)</f>
        <v>0</v>
      </c>
    </row>
    <row r="806" spans="1:7">
      <c r="A806" s="134"/>
      <c r="B806" s="106"/>
      <c r="C806" s="106" t="s">
        <v>24</v>
      </c>
      <c r="G806" s="133">
        <f>SUM(E806:E806)</f>
        <v>0</v>
      </c>
    </row>
    <row r="807" spans="1:7">
      <c r="A807" s="134"/>
      <c r="B807" s="106"/>
      <c r="C807" s="106" t="s">
        <v>170</v>
      </c>
      <c r="E807" s="501">
        <f>SUM(E805:E806)</f>
        <v>0</v>
      </c>
      <c r="G807" s="241">
        <f>SUM(G805:G806)</f>
        <v>0</v>
      </c>
    </row>
    <row r="808" spans="1:7">
      <c r="A808" s="134"/>
      <c r="B808" s="106"/>
      <c r="C808" s="106"/>
      <c r="G808" s="133"/>
    </row>
    <row r="809" spans="1:7">
      <c r="A809" s="134">
        <v>9032</v>
      </c>
      <c r="B809" s="106" t="s">
        <v>405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9033</v>
      </c>
      <c r="B814" s="106" t="s">
        <v>406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 t="s">
        <v>0</v>
      </c>
      <c r="B819" s="106" t="s">
        <v>21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 t="s">
        <v>1</v>
      </c>
      <c r="B824" s="106" t="s">
        <v>22</v>
      </c>
      <c r="C824" s="106"/>
      <c r="G824" s="133"/>
    </row>
    <row r="825" spans="1:7" ht="15">
      <c r="A825" s="134"/>
      <c r="B825" s="106"/>
      <c r="C825" s="106" t="s">
        <v>14</v>
      </c>
      <c r="E825" s="928"/>
      <c r="G825" s="133">
        <f>SUM(E825:E825)</f>
        <v>0</v>
      </c>
    </row>
    <row r="826" spans="1:7">
      <c r="A826" s="134"/>
      <c r="B826" s="106"/>
      <c r="C826" s="106" t="s">
        <v>24</v>
      </c>
      <c r="G826" s="133">
        <f>SUM(E826:E826)</f>
        <v>0</v>
      </c>
    </row>
    <row r="827" spans="1:7">
      <c r="A827" s="134"/>
      <c r="B827" s="106"/>
      <c r="C827" s="106" t="s">
        <v>170</v>
      </c>
      <c r="E827" s="501">
        <f t="shared" ref="E827" si="22">SUM(E825:E826)</f>
        <v>0</v>
      </c>
      <c r="G827" s="241">
        <f>SUM(G825:G826)</f>
        <v>0</v>
      </c>
    </row>
    <row r="828" spans="1:7">
      <c r="A828" s="134"/>
      <c r="B828" s="106"/>
      <c r="C828" s="106"/>
      <c r="G828" s="133"/>
    </row>
    <row r="829" spans="1:7">
      <c r="A829" s="134" t="s">
        <v>2</v>
      </c>
      <c r="B829" s="106" t="s">
        <v>23</v>
      </c>
      <c r="C829" s="106"/>
      <c r="G829" s="133"/>
    </row>
    <row r="830" spans="1:7" ht="15">
      <c r="A830" s="134"/>
      <c r="B830" s="106"/>
      <c r="C830" s="106" t="s">
        <v>14</v>
      </c>
      <c r="E830" s="928"/>
      <c r="G830" s="133">
        <f>SUM(E830:E830)</f>
        <v>0</v>
      </c>
    </row>
    <row r="831" spans="1:7">
      <c r="A831" s="134"/>
      <c r="B831" s="106"/>
      <c r="C831" s="106" t="s">
        <v>24</v>
      </c>
      <c r="G831" s="133">
        <f>SUM(E831:E831)</f>
        <v>0</v>
      </c>
    </row>
    <row r="832" spans="1:7">
      <c r="A832" s="134"/>
      <c r="B832" s="106"/>
      <c r="C832" s="106" t="s">
        <v>170</v>
      </c>
      <c r="E832" s="501">
        <f>SUM(E830:E831)</f>
        <v>0</v>
      </c>
      <c r="G832" s="241">
        <f>SUM(G830:G831)</f>
        <v>0</v>
      </c>
    </row>
    <row r="833" spans="1:7">
      <c r="A833" s="134"/>
      <c r="B833" s="106"/>
      <c r="C833" s="106"/>
      <c r="G833" s="133"/>
    </row>
    <row r="834" spans="1:7">
      <c r="A834" s="134">
        <v>905</v>
      </c>
      <c r="B834" s="106" t="s">
        <v>408</v>
      </c>
      <c r="C834" s="106"/>
      <c r="G834" s="133"/>
    </row>
    <row r="835" spans="1:7" ht="15">
      <c r="A835" s="330"/>
      <c r="B835" s="106"/>
      <c r="C835" s="106" t="s">
        <v>14</v>
      </c>
      <c r="E835" s="928"/>
      <c r="G835" s="133">
        <f>SUM(E835:E835)</f>
        <v>0</v>
      </c>
    </row>
    <row r="836" spans="1:7">
      <c r="A836" s="330"/>
      <c r="B836" s="106"/>
      <c r="C836" s="106" t="s">
        <v>24</v>
      </c>
      <c r="G836" s="133">
        <f>SUM(E836:E836)</f>
        <v>0</v>
      </c>
    </row>
    <row r="837" spans="1:7">
      <c r="A837" s="330"/>
      <c r="B837" s="106"/>
      <c r="C837" s="106" t="s">
        <v>170</v>
      </c>
      <c r="E837" s="501">
        <f>SUM(E835:E836)</f>
        <v>0</v>
      </c>
      <c r="G837" s="241">
        <f>SUM(G835:G836)</f>
        <v>0</v>
      </c>
    </row>
    <row r="838" spans="1:7" ht="13.5" thickBot="1">
      <c r="A838" s="330"/>
      <c r="B838" s="106"/>
      <c r="C838" s="106"/>
      <c r="G838" s="242"/>
    </row>
    <row r="839" spans="1:7" ht="13.5" thickTop="1">
      <c r="A839" s="59" t="s">
        <v>646</v>
      </c>
      <c r="B839" s="106"/>
      <c r="C839" s="106"/>
      <c r="G839" s="133"/>
    </row>
    <row r="840" spans="1:7">
      <c r="A840" s="330"/>
      <c r="B840" s="106" t="s">
        <v>647</v>
      </c>
      <c r="C840" s="106"/>
      <c r="E840" s="501">
        <f t="shared" ref="E840" si="23">E795+E800+E805+E810+E815+E820+E835+E830+E825</f>
        <v>0</v>
      </c>
      <c r="G840" s="133">
        <f>G795+G800+G805+G810+G815+G820+G835+G825+G830</f>
        <v>0</v>
      </c>
    </row>
    <row r="841" spans="1:7">
      <c r="A841" s="330"/>
      <c r="B841" s="106" t="s">
        <v>649</v>
      </c>
      <c r="C841" s="106"/>
      <c r="E841" s="501">
        <f>E796+E801+E806+E811+E816+E821+E836</f>
        <v>0</v>
      </c>
      <c r="G841" s="133">
        <f>G796+G801+G806+G811+G816+G821+G836</f>
        <v>0</v>
      </c>
    </row>
    <row r="842" spans="1:7" ht="13.5" thickBot="1">
      <c r="A842" s="330"/>
      <c r="B842" s="106"/>
      <c r="C842" s="106"/>
      <c r="G842" s="262"/>
    </row>
    <row r="843" spans="1:7">
      <c r="A843" s="330"/>
      <c r="B843" s="61" t="s">
        <v>646</v>
      </c>
      <c r="C843" s="106"/>
      <c r="E843" s="501">
        <f t="shared" ref="E843" si="24">E797+E802+E807+E812+E832+E827+E822+E837+E817</f>
        <v>0</v>
      </c>
      <c r="G843" s="133">
        <f>G797+G802+G807+G812+G817+G822+G837+G827+G832</f>
        <v>0</v>
      </c>
    </row>
    <row r="844" spans="1:7">
      <c r="A844" s="330"/>
      <c r="B844" s="106"/>
      <c r="C844" s="106"/>
      <c r="G844" s="133"/>
    </row>
    <row r="845" spans="1:7">
      <c r="A845" s="59" t="s">
        <v>409</v>
      </c>
      <c r="B845" s="106"/>
      <c r="C845" s="106"/>
      <c r="G845" s="133"/>
    </row>
    <row r="846" spans="1:7">
      <c r="A846" s="330"/>
      <c r="B846" s="106"/>
      <c r="C846" s="106"/>
      <c r="G846" s="133"/>
    </row>
    <row r="847" spans="1:7">
      <c r="A847" s="134">
        <v>907</v>
      </c>
      <c r="B847" s="106" t="s">
        <v>402</v>
      </c>
      <c r="C847" s="106"/>
      <c r="G847" s="133"/>
    </row>
    <row r="848" spans="1:7" ht="15">
      <c r="A848" s="134"/>
      <c r="B848" s="106"/>
      <c r="C848" s="106" t="s">
        <v>14</v>
      </c>
      <c r="E848" s="928"/>
      <c r="G848" s="133">
        <f>SUM(E848:E848)</f>
        <v>0</v>
      </c>
    </row>
    <row r="849" spans="1:7">
      <c r="A849" s="134"/>
      <c r="B849" s="106"/>
      <c r="C849" s="106" t="s">
        <v>24</v>
      </c>
      <c r="G849" s="133">
        <f>SUM(E849:E849)</f>
        <v>0</v>
      </c>
    </row>
    <row r="850" spans="1:7">
      <c r="A850" s="134"/>
      <c r="B850" s="106"/>
      <c r="C850" s="106" t="s">
        <v>170</v>
      </c>
      <c r="E850" s="501">
        <f>SUM(E848:E849)</f>
        <v>0</v>
      </c>
      <c r="G850" s="241">
        <f>SUM(G848:G849)</f>
        <v>0</v>
      </c>
    </row>
    <row r="851" spans="1:7">
      <c r="A851" s="134"/>
      <c r="B851" s="106"/>
      <c r="C851" s="106"/>
      <c r="G851" s="133"/>
    </row>
    <row r="852" spans="1:7">
      <c r="A852" s="134">
        <v>908</v>
      </c>
      <c r="B852" s="106" t="s">
        <v>410</v>
      </c>
      <c r="C852" s="106"/>
      <c r="G852" s="133"/>
    </row>
    <row r="853" spans="1:7" ht="15">
      <c r="A853" s="134"/>
      <c r="B853" s="106"/>
      <c r="C853" s="106" t="s">
        <v>14</v>
      </c>
      <c r="E853" s="928"/>
      <c r="G853" s="133">
        <f>SUM(E853:E853)</f>
        <v>0</v>
      </c>
    </row>
    <row r="854" spans="1:7">
      <c r="A854" s="134"/>
      <c r="B854" s="106"/>
      <c r="C854" s="106" t="s">
        <v>24</v>
      </c>
      <c r="G854" s="133">
        <f>SUM(E854:E854)</f>
        <v>0</v>
      </c>
    </row>
    <row r="855" spans="1:7">
      <c r="A855" s="134"/>
      <c r="B855" s="106"/>
      <c r="C855" s="106" t="s">
        <v>170</v>
      </c>
      <c r="E855" s="501">
        <f t="shared" ref="E855" si="25">SUM(E853:E854)</f>
        <v>0</v>
      </c>
      <c r="G855" s="241">
        <f>SUM(G853:G854)</f>
        <v>0</v>
      </c>
    </row>
    <row r="856" spans="1:7">
      <c r="A856" s="134"/>
      <c r="B856" s="106"/>
      <c r="C856" s="106"/>
      <c r="G856" s="133"/>
    </row>
    <row r="857" spans="1:7">
      <c r="A857" s="134">
        <v>909</v>
      </c>
      <c r="B857" s="106" t="s">
        <v>423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SUM(G858:G859)</f>
        <v>0</v>
      </c>
    </row>
    <row r="861" spans="1:7">
      <c r="A861" s="134"/>
      <c r="B861" s="106"/>
      <c r="C861" s="106"/>
      <c r="G861" s="133"/>
    </row>
    <row r="862" spans="1:7">
      <c r="A862" s="134">
        <v>910</v>
      </c>
      <c r="B862" s="106" t="s">
        <v>424</v>
      </c>
      <c r="C862" s="106"/>
      <c r="G862" s="133"/>
    </row>
    <row r="863" spans="1:7" ht="15">
      <c r="A863" s="330"/>
      <c r="B863" s="106"/>
      <c r="C863" s="106" t="s">
        <v>14</v>
      </c>
      <c r="E863" s="928"/>
      <c r="G863" s="133">
        <f>SUM(E863:E863)</f>
        <v>0</v>
      </c>
    </row>
    <row r="864" spans="1:7">
      <c r="A864" s="330"/>
      <c r="B864" s="106"/>
      <c r="C864" s="106" t="s">
        <v>24</v>
      </c>
      <c r="G864" s="133">
        <f>SUM(E864:E864)</f>
        <v>0</v>
      </c>
    </row>
    <row r="865" spans="1:7">
      <c r="A865" s="330"/>
      <c r="B865" s="106"/>
      <c r="C865" s="106" t="s">
        <v>170</v>
      </c>
      <c r="E865" s="501">
        <f>SUM(E863:E864)</f>
        <v>0</v>
      </c>
      <c r="G865" s="241">
        <f>SUM(G863:G864)</f>
        <v>0</v>
      </c>
    </row>
    <row r="866" spans="1:7" ht="13.5" thickBot="1">
      <c r="A866" s="330"/>
      <c r="B866" s="106"/>
      <c r="C866" s="106"/>
      <c r="G866" s="242"/>
    </row>
    <row r="867" spans="1:7" ht="13.5" thickTop="1">
      <c r="A867" s="59" t="s">
        <v>650</v>
      </c>
      <c r="B867" s="106"/>
      <c r="C867" s="106"/>
      <c r="G867" s="133"/>
    </row>
    <row r="868" spans="1:7">
      <c r="A868" s="330"/>
      <c r="B868" s="231" t="s">
        <v>651</v>
      </c>
      <c r="C868" s="106"/>
      <c r="E868" s="501">
        <f t="shared" ref="E868:E869" si="26">E848+E853+E858+E863</f>
        <v>0</v>
      </c>
      <c r="G868" s="133">
        <f>G848+G853+G858+G863</f>
        <v>0</v>
      </c>
    </row>
    <row r="869" spans="1:7">
      <c r="A869" s="330"/>
      <c r="B869" s="231" t="s">
        <v>652</v>
      </c>
      <c r="C869" s="106"/>
      <c r="E869" s="501">
        <f t="shared" si="26"/>
        <v>0</v>
      </c>
      <c r="G869" s="133">
        <f>G849+G854+G859+G864</f>
        <v>0</v>
      </c>
    </row>
    <row r="870" spans="1:7" ht="13.5" thickBot="1">
      <c r="A870" s="330"/>
      <c r="B870" s="106"/>
      <c r="C870" s="106"/>
      <c r="G870" s="262"/>
    </row>
    <row r="871" spans="1:7">
      <c r="A871" s="330"/>
      <c r="B871" s="61" t="s">
        <v>650</v>
      </c>
      <c r="C871" s="106"/>
      <c r="E871" s="501">
        <f>E850+E855+E860+E865</f>
        <v>0</v>
      </c>
      <c r="G871" s="133">
        <f>SUM(E871:E871)</f>
        <v>0</v>
      </c>
    </row>
    <row r="872" spans="1:7">
      <c r="A872" s="330"/>
      <c r="B872" s="106"/>
      <c r="C872" s="106"/>
      <c r="G872" s="133"/>
    </row>
    <row r="873" spans="1:7">
      <c r="A873" s="59" t="s">
        <v>425</v>
      </c>
      <c r="B873" s="106"/>
      <c r="C873" s="106"/>
      <c r="G873" s="133"/>
    </row>
    <row r="874" spans="1:7">
      <c r="A874" s="330"/>
      <c r="B874" s="106"/>
      <c r="C874" s="106"/>
      <c r="G874" s="133"/>
    </row>
    <row r="875" spans="1:7">
      <c r="A875" s="134">
        <v>920</v>
      </c>
      <c r="B875" s="106" t="s">
        <v>426</v>
      </c>
      <c r="C875" s="106"/>
      <c r="G875" s="133"/>
    </row>
    <row r="876" spans="1:7" ht="15">
      <c r="A876" s="330"/>
      <c r="B876" s="106"/>
      <c r="C876" s="106" t="s">
        <v>14</v>
      </c>
      <c r="E876" s="928"/>
      <c r="G876" s="133">
        <f>SUM(E876:E876)</f>
        <v>0</v>
      </c>
    </row>
    <row r="877" spans="1:7">
      <c r="A877" s="330"/>
      <c r="B877" s="106"/>
      <c r="C877" s="106" t="s">
        <v>24</v>
      </c>
      <c r="G877" s="133">
        <f>SUM(E877:E877)</f>
        <v>0</v>
      </c>
    </row>
    <row r="878" spans="1:7">
      <c r="A878" s="134"/>
      <c r="B878" s="106"/>
      <c r="C878" s="106" t="s">
        <v>170</v>
      </c>
      <c r="E878" s="501">
        <f>SUM(E876:E877)</f>
        <v>0</v>
      </c>
      <c r="G878" s="241">
        <f>SUM(E878:E878)</f>
        <v>0</v>
      </c>
    </row>
    <row r="879" spans="1:7">
      <c r="A879" s="134">
        <v>921</v>
      </c>
      <c r="B879" s="106" t="s">
        <v>427</v>
      </c>
      <c r="C879" s="106"/>
      <c r="G879" s="133"/>
    </row>
    <row r="880" spans="1:7" ht="15">
      <c r="A880" s="134"/>
      <c r="B880" s="106"/>
      <c r="C880" s="106" t="s">
        <v>14</v>
      </c>
      <c r="E880" s="928"/>
      <c r="G880" s="133">
        <f>SUM(E880:E880)</f>
        <v>0</v>
      </c>
    </row>
    <row r="881" spans="1:7">
      <c r="A881" s="134"/>
      <c r="B881" s="106"/>
      <c r="C881" s="106" t="s">
        <v>24</v>
      </c>
      <c r="G881" s="133">
        <f>SUM(E881:E881)</f>
        <v>0</v>
      </c>
    </row>
    <row r="882" spans="1:7">
      <c r="A882" s="134"/>
      <c r="B882" s="106"/>
      <c r="C882" s="106" t="s">
        <v>170</v>
      </c>
      <c r="E882" s="501">
        <f>SUM(E880:E881)</f>
        <v>0</v>
      </c>
      <c r="G882" s="241">
        <f>SUM(E882:E882)</f>
        <v>0</v>
      </c>
    </row>
    <row r="883" spans="1:7">
      <c r="A883" s="134">
        <v>922</v>
      </c>
      <c r="B883" s="106" t="s">
        <v>428</v>
      </c>
      <c r="C883" s="106"/>
      <c r="G883" s="133"/>
    </row>
    <row r="884" spans="1:7" ht="15">
      <c r="A884" s="134"/>
      <c r="B884" s="106"/>
      <c r="C884" s="106" t="s">
        <v>14</v>
      </c>
      <c r="E884" s="928"/>
      <c r="G884" s="133">
        <f>SUM(E884:E884)</f>
        <v>0</v>
      </c>
    </row>
    <row r="885" spans="1:7">
      <c r="A885" s="134"/>
      <c r="B885" s="106"/>
      <c r="C885" s="106" t="s">
        <v>24</v>
      </c>
      <c r="G885" s="133">
        <f>SUM(E885:E885)</f>
        <v>0</v>
      </c>
    </row>
    <row r="886" spans="1:7">
      <c r="A886" s="134"/>
      <c r="B886" s="106"/>
      <c r="C886" s="106" t="s">
        <v>170</v>
      </c>
      <c r="E886" s="501">
        <f>SUM(E884:E885)</f>
        <v>0</v>
      </c>
      <c r="G886" s="241">
        <f>SUM(E886:E886)</f>
        <v>0</v>
      </c>
    </row>
    <row r="887" spans="1:7">
      <c r="A887" s="134">
        <v>923</v>
      </c>
      <c r="B887" s="106" t="s">
        <v>429</v>
      </c>
      <c r="C887" s="106"/>
      <c r="G887" s="133"/>
    </row>
    <row r="888" spans="1:7" ht="15">
      <c r="A888" s="134"/>
      <c r="B888" s="106"/>
      <c r="C888" s="106" t="s">
        <v>14</v>
      </c>
      <c r="E888" s="928"/>
      <c r="G888" s="133">
        <f>SUM(E888:E888)</f>
        <v>0</v>
      </c>
    </row>
    <row r="889" spans="1:7">
      <c r="A889" s="134"/>
      <c r="B889" s="106"/>
      <c r="C889" s="106" t="s">
        <v>24</v>
      </c>
      <c r="G889" s="133">
        <f>SUM(E889:E889)</f>
        <v>0</v>
      </c>
    </row>
    <row r="890" spans="1:7">
      <c r="A890" s="134"/>
      <c r="B890" s="106"/>
      <c r="C890" s="106" t="s">
        <v>170</v>
      </c>
      <c r="E890" s="501">
        <f>SUM(E888:E889)</f>
        <v>0</v>
      </c>
      <c r="G890" s="241">
        <f>SUM(E890:E890)</f>
        <v>0</v>
      </c>
    </row>
    <row r="891" spans="1:7">
      <c r="A891" s="134">
        <v>924</v>
      </c>
      <c r="B891" s="106" t="s">
        <v>430</v>
      </c>
      <c r="C891" s="106"/>
      <c r="G891" s="133"/>
    </row>
    <row r="892" spans="1:7" ht="15">
      <c r="A892" s="134"/>
      <c r="B892" s="106"/>
      <c r="C892" s="106" t="s">
        <v>14</v>
      </c>
      <c r="E892" s="928"/>
      <c r="G892" s="133">
        <f>SUM(E892:E892)</f>
        <v>0</v>
      </c>
    </row>
    <row r="893" spans="1:7">
      <c r="A893" s="134"/>
      <c r="B893" s="106"/>
      <c r="C893" s="106" t="s">
        <v>24</v>
      </c>
      <c r="G893" s="133">
        <f>SUM(E893:E893)</f>
        <v>0</v>
      </c>
    </row>
    <row r="894" spans="1:7">
      <c r="A894" s="134"/>
      <c r="B894" s="106"/>
      <c r="C894" s="106" t="s">
        <v>170</v>
      </c>
      <c r="E894" s="501">
        <f>SUM(E892:E893)</f>
        <v>0</v>
      </c>
      <c r="G894" s="241">
        <f>SUM(E894:E894)</f>
        <v>0</v>
      </c>
    </row>
    <row r="895" spans="1:7">
      <c r="A895" s="134">
        <v>925</v>
      </c>
      <c r="B895" s="106" t="s">
        <v>431</v>
      </c>
      <c r="C895" s="106"/>
      <c r="G895" s="133"/>
    </row>
    <row r="896" spans="1:7" ht="15">
      <c r="A896" s="134"/>
      <c r="B896" s="106"/>
      <c r="C896" s="106" t="s">
        <v>14</v>
      </c>
      <c r="E896" s="928"/>
      <c r="G896" s="133">
        <f>SUM(E896:E896)</f>
        <v>0</v>
      </c>
    </row>
    <row r="897" spans="1:7">
      <c r="A897" s="134"/>
      <c r="B897" s="106"/>
      <c r="C897" s="106" t="s">
        <v>24</v>
      </c>
      <c r="G897" s="133">
        <f>SUM(E897:E897)</f>
        <v>0</v>
      </c>
    </row>
    <row r="898" spans="1:7">
      <c r="A898" s="134"/>
      <c r="B898" s="106"/>
      <c r="C898" s="106" t="s">
        <v>170</v>
      </c>
      <c r="E898" s="501">
        <f>SUM(E896:E897)</f>
        <v>0</v>
      </c>
      <c r="G898" s="241">
        <f>SUM(E898:E898)</f>
        <v>0</v>
      </c>
    </row>
    <row r="899" spans="1:7">
      <c r="A899" s="134">
        <v>926</v>
      </c>
      <c r="B899" s="106" t="s">
        <v>432</v>
      </c>
      <c r="C899" s="106"/>
      <c r="G899" s="133"/>
    </row>
    <row r="900" spans="1:7" ht="15">
      <c r="A900" s="134"/>
      <c r="B900" s="106"/>
      <c r="C900" s="106" t="s">
        <v>14</v>
      </c>
      <c r="E900" s="928"/>
      <c r="G900" s="133">
        <f>SUM(E900:E900)</f>
        <v>0</v>
      </c>
    </row>
    <row r="901" spans="1:7">
      <c r="A901" s="134"/>
      <c r="B901" s="106"/>
      <c r="C901" s="106" t="s">
        <v>24</v>
      </c>
      <c r="G901" s="133">
        <f>SUM(E901:E901)</f>
        <v>0</v>
      </c>
    </row>
    <row r="902" spans="1:7">
      <c r="A902" s="134"/>
      <c r="B902" s="106"/>
      <c r="C902" s="106" t="s">
        <v>170</v>
      </c>
      <c r="E902" s="501">
        <f>SUM(E900:E901)</f>
        <v>0</v>
      </c>
      <c r="G902" s="241">
        <f>SUM(E902:E902)</f>
        <v>0</v>
      </c>
    </row>
    <row r="903" spans="1:7">
      <c r="A903" s="134" t="s">
        <v>826</v>
      </c>
      <c r="B903" s="166" t="s">
        <v>827</v>
      </c>
      <c r="C903" s="106"/>
      <c r="G903" s="133"/>
    </row>
    <row r="904" spans="1:7" ht="15">
      <c r="A904" s="134"/>
      <c r="B904" s="106"/>
      <c r="C904" s="106" t="s">
        <v>14</v>
      </c>
      <c r="E904" s="928"/>
      <c r="G904" s="133">
        <f>SUM(E904:E904)</f>
        <v>0</v>
      </c>
    </row>
    <row r="905" spans="1:7">
      <c r="A905" s="134"/>
      <c r="B905" s="106"/>
      <c r="C905" s="106" t="s">
        <v>24</v>
      </c>
      <c r="G905" s="133">
        <f>SUM(E905:E905)</f>
        <v>0</v>
      </c>
    </row>
    <row r="906" spans="1:7">
      <c r="A906" s="134"/>
      <c r="B906" s="166"/>
      <c r="C906" s="106" t="s">
        <v>170</v>
      </c>
      <c r="E906" s="501">
        <f>SUM(E904:E905)</f>
        <v>0</v>
      </c>
      <c r="G906" s="241">
        <f>SUM(E906:E906)</f>
        <v>0</v>
      </c>
    </row>
    <row r="907" spans="1:7">
      <c r="A907" s="134">
        <v>9301</v>
      </c>
      <c r="B907" s="106" t="s">
        <v>433</v>
      </c>
      <c r="C907" s="106"/>
      <c r="G907" s="133"/>
    </row>
    <row r="908" spans="1:7" ht="15">
      <c r="A908" s="134"/>
      <c r="B908" s="166"/>
      <c r="C908" s="106" t="s">
        <v>14</v>
      </c>
      <c r="E908" s="928"/>
      <c r="G908" s="133">
        <f>SUM(E908:E908)</f>
        <v>0</v>
      </c>
    </row>
    <row r="909" spans="1:7">
      <c r="A909" s="134"/>
      <c r="B909" s="166"/>
      <c r="C909" s="106" t="s">
        <v>24</v>
      </c>
      <c r="G909" s="133">
        <f>SUM(E909:E909)</f>
        <v>0</v>
      </c>
    </row>
    <row r="910" spans="1:7">
      <c r="A910" s="134"/>
      <c r="B910" s="106"/>
      <c r="C910" s="106" t="s">
        <v>170</v>
      </c>
      <c r="E910" s="501">
        <f>SUM(E908:E909)</f>
        <v>0</v>
      </c>
      <c r="G910" s="241">
        <f>SUM(E910:E910)</f>
        <v>0</v>
      </c>
    </row>
    <row r="911" spans="1:7">
      <c r="A911" s="134">
        <v>9302</v>
      </c>
      <c r="B911" s="106" t="s">
        <v>435</v>
      </c>
      <c r="C911" s="106"/>
      <c r="G911" s="133"/>
    </row>
    <row r="912" spans="1:7" ht="15">
      <c r="A912" s="134"/>
      <c r="B912" s="106"/>
      <c r="C912" s="106" t="s">
        <v>14</v>
      </c>
      <c r="E912" s="928">
        <f>H23</f>
        <v>7353381.9971292093</v>
      </c>
      <c r="G912" s="133">
        <f>SUM(E912:E912)</f>
        <v>7353381.9971292093</v>
      </c>
    </row>
    <row r="913" spans="1:7">
      <c r="A913" s="134"/>
      <c r="B913" s="106"/>
      <c r="C913" s="106" t="s">
        <v>24</v>
      </c>
      <c r="G913" s="133">
        <f>SUM(E913:E913)</f>
        <v>0</v>
      </c>
    </row>
    <row r="914" spans="1:7">
      <c r="A914" s="134"/>
      <c r="B914" s="106"/>
      <c r="C914" s="106" t="s">
        <v>170</v>
      </c>
      <c r="E914" s="501">
        <f>SUM(E912:E913)</f>
        <v>7353381.9971292093</v>
      </c>
      <c r="G914" s="241">
        <f>SUM(E914:E914)</f>
        <v>7353381.9971292093</v>
      </c>
    </row>
    <row r="915" spans="1:7">
      <c r="A915" s="134">
        <v>931</v>
      </c>
      <c r="B915" s="106" t="s">
        <v>385</v>
      </c>
      <c r="C915" s="106"/>
      <c r="G915" s="133"/>
    </row>
    <row r="916" spans="1:7" ht="15">
      <c r="A916" s="134"/>
      <c r="B916" s="106"/>
      <c r="C916" s="106" t="s">
        <v>14</v>
      </c>
      <c r="E916" s="928"/>
      <c r="G916" s="133">
        <f>SUM(E916:E916)</f>
        <v>0</v>
      </c>
    </row>
    <row r="917" spans="1:7">
      <c r="A917" s="134"/>
      <c r="B917" s="106"/>
      <c r="C917" s="106" t="s">
        <v>24</v>
      </c>
      <c r="G917" s="133">
        <f>SUM(E917:E917)</f>
        <v>0</v>
      </c>
    </row>
    <row r="918" spans="1:7">
      <c r="A918" s="134"/>
      <c r="B918" s="106"/>
      <c r="C918" s="106" t="s">
        <v>170</v>
      </c>
      <c r="E918" s="501">
        <f>SUM(E916:E917)</f>
        <v>0</v>
      </c>
      <c r="G918" s="241">
        <f>SUM(E918:E918)</f>
        <v>0</v>
      </c>
    </row>
    <row r="919" spans="1:7">
      <c r="A919" s="134">
        <v>935</v>
      </c>
      <c r="B919" s="106" t="s">
        <v>436</v>
      </c>
      <c r="C919" s="106"/>
      <c r="G919" s="133"/>
    </row>
    <row r="920" spans="1:7" ht="15">
      <c r="A920" s="134"/>
      <c r="B920" s="106"/>
      <c r="C920" s="106" t="s">
        <v>14</v>
      </c>
      <c r="E920" s="928">
        <v>0</v>
      </c>
      <c r="G920" s="133">
        <f>SUM(E920:E920)</f>
        <v>0</v>
      </c>
    </row>
    <row r="921" spans="1:7">
      <c r="A921" s="134"/>
      <c r="B921" s="106"/>
      <c r="C921" s="106" t="s">
        <v>24</v>
      </c>
      <c r="G921" s="133">
        <f>SUM(E921:E921)</f>
        <v>0</v>
      </c>
    </row>
    <row r="922" spans="1:7">
      <c r="A922" s="134"/>
      <c r="B922" s="106"/>
      <c r="C922" s="106" t="s">
        <v>170</v>
      </c>
      <c r="E922" s="501">
        <f>SUM(E920:E921)</f>
        <v>0</v>
      </c>
      <c r="G922" s="241">
        <f>SUM(E922:E922)</f>
        <v>0</v>
      </c>
    </row>
    <row r="923" spans="1:7">
      <c r="A923" s="59" t="s">
        <v>831</v>
      </c>
      <c r="B923" s="106"/>
      <c r="C923" s="106"/>
      <c r="G923" s="133"/>
    </row>
    <row r="924" spans="1:7">
      <c r="A924" s="134"/>
      <c r="B924" s="231" t="s">
        <v>829</v>
      </c>
      <c r="C924" s="106"/>
      <c r="E924" s="501">
        <f t="shared" ref="E924:E925" si="27">E876+E880+E884+E888+E892+E896+E900+E904+E908+E912+E916+E920</f>
        <v>7353381.9971292093</v>
      </c>
      <c r="G924" s="133">
        <f>SUM(E924:E924)</f>
        <v>7353381.9971292093</v>
      </c>
    </row>
    <row r="925" spans="1:7">
      <c r="A925" s="134"/>
      <c r="B925" s="231" t="s">
        <v>830</v>
      </c>
      <c r="C925" s="106"/>
      <c r="E925" s="501">
        <f t="shared" si="27"/>
        <v>0</v>
      </c>
      <c r="G925" s="133">
        <f>SUM(E925:E925)</f>
        <v>0</v>
      </c>
    </row>
    <row r="926" spans="1:7" ht="13.5" thickBot="1">
      <c r="A926" s="330"/>
      <c r="B926" s="106"/>
      <c r="C926" s="106"/>
      <c r="G926" s="262"/>
    </row>
    <row r="927" spans="1:7">
      <c r="A927" s="330"/>
      <c r="B927" s="61" t="s">
        <v>437</v>
      </c>
      <c r="C927" s="106"/>
      <c r="E927" s="501">
        <f>IF((E924+E925)=E922+E918+E914+E910+E906+E902+E898+E894+E890+E886+E882+E878,E924+E925,"ERROR")</f>
        <v>7353381.9971292093</v>
      </c>
      <c r="G927" s="133">
        <f>SUM(E927:E927)</f>
        <v>7353381.9971292093</v>
      </c>
    </row>
    <row r="928" spans="1:7" ht="13.5" thickBot="1">
      <c r="A928" s="330"/>
      <c r="B928" s="106"/>
      <c r="C928" s="106"/>
      <c r="G928" s="242"/>
    </row>
    <row r="929" spans="1:7" ht="13.5" thickTop="1">
      <c r="A929" s="330"/>
      <c r="B929" s="106"/>
      <c r="C929" s="106"/>
      <c r="G929" s="133"/>
    </row>
    <row r="930" spans="1:7">
      <c r="A930" s="330"/>
      <c r="B930" s="61" t="s">
        <v>653</v>
      </c>
      <c r="C930" s="106"/>
      <c r="E930" s="501">
        <f>E687+E790+E843+E871+E927</f>
        <v>7353381.9971292093</v>
      </c>
      <c r="G930" s="133">
        <f>SUM(E930:E930)</f>
        <v>7353381.9971292093</v>
      </c>
    </row>
    <row r="931" spans="1:7">
      <c r="A931" s="330"/>
      <c r="B931" s="106"/>
      <c r="C931" s="106"/>
      <c r="G931" s="133"/>
    </row>
    <row r="932" spans="1:7">
      <c r="A932" s="330"/>
      <c r="B932" s="106"/>
      <c r="C932" s="106"/>
      <c r="G932" s="133"/>
    </row>
    <row r="933" spans="1:7">
      <c r="A933" s="59" t="s">
        <v>438</v>
      </c>
      <c r="B933" s="106"/>
      <c r="C933" s="106"/>
      <c r="G933" s="133"/>
    </row>
    <row r="934" spans="1:7">
      <c r="A934" s="330"/>
      <c r="B934" s="106"/>
      <c r="C934" s="106"/>
      <c r="G934" s="133"/>
    </row>
    <row r="935" spans="1:7">
      <c r="A935" s="59" t="s">
        <v>439</v>
      </c>
      <c r="B935" s="106"/>
      <c r="C935" s="106"/>
      <c r="G935" s="133"/>
    </row>
    <row r="936" spans="1:7">
      <c r="A936" s="330"/>
      <c r="B936" s="106"/>
      <c r="C936" s="106"/>
      <c r="G936" s="133"/>
    </row>
    <row r="937" spans="1:7">
      <c r="A937" s="134">
        <v>403</v>
      </c>
      <c r="B937" s="106" t="s">
        <v>442</v>
      </c>
      <c r="C937" s="106"/>
      <c r="G937" s="133"/>
    </row>
    <row r="938" spans="1:7" ht="15">
      <c r="A938" s="134"/>
      <c r="B938" s="106"/>
      <c r="C938" s="106" t="s">
        <v>443</v>
      </c>
      <c r="E938" s="928"/>
      <c r="G938" s="133">
        <f>SUM(E938:E938)</f>
        <v>0</v>
      </c>
    </row>
    <row r="939" spans="1:7">
      <c r="A939" s="134"/>
      <c r="B939" s="106"/>
      <c r="C939" s="106" t="s">
        <v>592</v>
      </c>
      <c r="G939" s="133">
        <f>SUM(E939:E939)</f>
        <v>0</v>
      </c>
    </row>
    <row r="940" spans="1:7" ht="15">
      <c r="A940" s="134"/>
      <c r="B940" s="106"/>
      <c r="C940" s="106" t="s">
        <v>593</v>
      </c>
      <c r="E940" s="928"/>
      <c r="G940" s="133">
        <f>SUM(E940:E940)</f>
        <v>0</v>
      </c>
    </row>
    <row r="941" spans="1:7" ht="15">
      <c r="A941" s="134"/>
      <c r="B941" s="106"/>
      <c r="C941" s="106" t="s">
        <v>595</v>
      </c>
      <c r="E941" s="928"/>
      <c r="G941" s="133">
        <f>SUM(E941:E941)</f>
        <v>0</v>
      </c>
    </row>
    <row r="942" spans="1:7">
      <c r="A942" s="134"/>
      <c r="B942" s="106"/>
      <c r="C942" s="106" t="s">
        <v>596</v>
      </c>
      <c r="E942" s="501">
        <f>SUM(E938:E941)</f>
        <v>0</v>
      </c>
      <c r="G942" s="241">
        <f>SUM(G938:G941)</f>
        <v>0</v>
      </c>
    </row>
    <row r="943" spans="1:7">
      <c r="A943" s="134"/>
      <c r="B943" s="106"/>
      <c r="C943" s="106"/>
      <c r="G943" s="133"/>
    </row>
    <row r="944" spans="1:7">
      <c r="A944" s="134">
        <v>404</v>
      </c>
      <c r="B944" s="106" t="s">
        <v>597</v>
      </c>
      <c r="C944" s="106"/>
      <c r="G944" s="133"/>
    </row>
    <row r="945" spans="1:7" ht="15">
      <c r="A945" s="134"/>
      <c r="B945" s="106"/>
      <c r="C945" s="106" t="s">
        <v>443</v>
      </c>
      <c r="E945" s="928"/>
      <c r="G945" s="133">
        <f>SUM(E945:E945)</f>
        <v>0</v>
      </c>
    </row>
    <row r="946" spans="1:7">
      <c r="A946" s="134"/>
      <c r="B946" s="106"/>
      <c r="C946" s="106" t="s">
        <v>592</v>
      </c>
      <c r="G946" s="133">
        <f>SUM(E946:E946)</f>
        <v>0</v>
      </c>
    </row>
    <row r="947" spans="1:7" ht="15">
      <c r="A947" s="134"/>
      <c r="B947" s="106"/>
      <c r="C947" s="106" t="s">
        <v>593</v>
      </c>
      <c r="E947" s="928"/>
      <c r="G947" s="133">
        <f>SUM(E947:E947)</f>
        <v>0</v>
      </c>
    </row>
    <row r="948" spans="1:7" ht="15">
      <c r="A948" s="134"/>
      <c r="B948" s="106"/>
      <c r="C948" s="106" t="s">
        <v>595</v>
      </c>
      <c r="E948" s="928"/>
      <c r="G948" s="133">
        <f>SUM(E948:E948)</f>
        <v>0</v>
      </c>
    </row>
    <row r="949" spans="1:7">
      <c r="A949" s="134"/>
      <c r="B949" s="106"/>
      <c r="C949" s="106" t="s">
        <v>598</v>
      </c>
      <c r="E949" s="501">
        <f>SUM(E945:E948)</f>
        <v>0</v>
      </c>
      <c r="G949" s="241">
        <f>SUM(G945:G948)</f>
        <v>0</v>
      </c>
    </row>
    <row r="950" spans="1:7" ht="13.5" thickBot="1">
      <c r="A950" s="134"/>
      <c r="B950" s="106"/>
      <c r="C950" s="106"/>
      <c r="G950" s="262"/>
    </row>
    <row r="951" spans="1:7">
      <c r="A951" s="134"/>
      <c r="B951" s="61" t="s">
        <v>656</v>
      </c>
      <c r="C951" s="106"/>
      <c r="E951" s="501">
        <f>E942+E949</f>
        <v>0</v>
      </c>
      <c r="G951" s="133">
        <f>SUM(E951:E951)</f>
        <v>0</v>
      </c>
    </row>
    <row r="952" spans="1:7">
      <c r="A952" s="134"/>
      <c r="B952" s="106"/>
      <c r="C952" s="106"/>
      <c r="G952" s="133"/>
    </row>
    <row r="953" spans="1:7">
      <c r="A953" s="62" t="s">
        <v>657</v>
      </c>
      <c r="B953" s="106"/>
      <c r="C953" s="106"/>
      <c r="G953" s="133"/>
    </row>
    <row r="954" spans="1:7">
      <c r="A954" s="134">
        <v>408</v>
      </c>
      <c r="B954" s="106" t="s">
        <v>599</v>
      </c>
      <c r="C954" s="106"/>
      <c r="G954" s="133"/>
    </row>
    <row r="955" spans="1:7" ht="15">
      <c r="A955" s="330"/>
      <c r="B955" s="106"/>
      <c r="C955" s="106" t="s">
        <v>443</v>
      </c>
      <c r="E955" s="928"/>
      <c r="G955" s="133">
        <f>SUM(E955:E955)</f>
        <v>0</v>
      </c>
    </row>
    <row r="956" spans="1:7">
      <c r="A956" s="330"/>
      <c r="B956" s="106"/>
      <c r="C956" s="106" t="s">
        <v>592</v>
      </c>
      <c r="G956" s="133">
        <f>SUM(E956:E956)</f>
        <v>0</v>
      </c>
    </row>
    <row r="957" spans="1:7" ht="15">
      <c r="A957" s="330"/>
      <c r="B957" s="106"/>
      <c r="C957" s="106" t="s">
        <v>593</v>
      </c>
      <c r="E957" s="928"/>
      <c r="G957" s="133">
        <f>SUM(E957:E957)</f>
        <v>0</v>
      </c>
    </row>
    <row r="958" spans="1:7" ht="15">
      <c r="A958" s="330"/>
      <c r="B958" s="106"/>
      <c r="C958" s="106" t="s">
        <v>595</v>
      </c>
      <c r="E958" s="928"/>
      <c r="G958" s="133">
        <f>SUM(E958:E958)</f>
        <v>0</v>
      </c>
    </row>
    <row r="959" spans="1:7">
      <c r="A959" s="330"/>
      <c r="B959" s="106"/>
      <c r="C959" s="106" t="s">
        <v>600</v>
      </c>
      <c r="E959" s="501">
        <f>SUM(E955:E958)</f>
        <v>0</v>
      </c>
      <c r="G959" s="241">
        <f>SUM(G955:G958)</f>
        <v>0</v>
      </c>
    </row>
    <row r="960" spans="1:7">
      <c r="A960" s="330"/>
      <c r="B960" s="106"/>
      <c r="C960" s="106"/>
      <c r="G960" s="133"/>
    </row>
    <row r="961" spans="1:7">
      <c r="A961" s="134">
        <v>4090</v>
      </c>
      <c r="B961" s="106" t="s">
        <v>602</v>
      </c>
      <c r="C961" s="106"/>
      <c r="E961" s="501">
        <v>0</v>
      </c>
      <c r="G961" s="116">
        <f>((G550)-(G677+G930+G951+G959-G963))*Taxes!$L$23</f>
        <v>-1820320.734909917</v>
      </c>
    </row>
    <row r="962" spans="1:7">
      <c r="A962" s="134"/>
      <c r="B962" s="106"/>
      <c r="C962" s="106"/>
      <c r="G962" s="133"/>
    </row>
    <row r="963" spans="1:7" ht="15">
      <c r="A963" s="134">
        <v>4091</v>
      </c>
      <c r="B963" s="106" t="s">
        <v>603</v>
      </c>
      <c r="C963" s="106"/>
      <c r="E963" s="928"/>
      <c r="G963" s="133">
        <f>SUM(E963:E963)</f>
        <v>0</v>
      </c>
    </row>
    <row r="964" spans="1:7">
      <c r="A964" s="134"/>
      <c r="B964" s="106"/>
      <c r="C964" s="106"/>
      <c r="G964" s="133"/>
    </row>
    <row r="965" spans="1:7" ht="15">
      <c r="A965" s="134">
        <v>4101</v>
      </c>
      <c r="B965" s="106" t="s">
        <v>604</v>
      </c>
      <c r="C965" s="106"/>
      <c r="E965" s="928"/>
      <c r="G965" s="133">
        <f>SUM(E965:E965)</f>
        <v>0</v>
      </c>
    </row>
    <row r="966" spans="1:7">
      <c r="A966" s="134"/>
      <c r="B966" s="106"/>
      <c r="C966" s="106"/>
      <c r="G966" s="133"/>
    </row>
    <row r="967" spans="1:7" ht="15">
      <c r="A967" s="134">
        <v>4111</v>
      </c>
      <c r="B967" s="106" t="s">
        <v>605</v>
      </c>
      <c r="C967" s="106"/>
      <c r="E967" s="928"/>
      <c r="G967" s="133">
        <f>SUM(E967:E967)</f>
        <v>0</v>
      </c>
    </row>
    <row r="968" spans="1:7">
      <c r="A968" s="134"/>
      <c r="B968" s="106"/>
      <c r="C968" s="106"/>
      <c r="G968" s="133"/>
    </row>
    <row r="969" spans="1:7" ht="15">
      <c r="A969" s="134">
        <v>4114</v>
      </c>
      <c r="B969" s="106" t="s">
        <v>606</v>
      </c>
      <c r="C969" s="106"/>
      <c r="E969" s="928"/>
      <c r="G969" s="133">
        <f>SUM(E969:E969)</f>
        <v>0</v>
      </c>
    </row>
    <row r="970" spans="1:7" ht="13.5" thickBot="1">
      <c r="A970" s="330"/>
      <c r="B970" s="106"/>
      <c r="C970" s="106"/>
      <c r="G970" s="262"/>
    </row>
    <row r="971" spans="1:7">
      <c r="A971" s="330"/>
      <c r="B971" s="61" t="s">
        <v>658</v>
      </c>
      <c r="C971" s="106"/>
      <c r="E971" s="501">
        <f>E959+E961+E963+E965+E967+E969</f>
        <v>0</v>
      </c>
      <c r="G971" s="133">
        <f>SUM(E971:E971)</f>
        <v>0</v>
      </c>
    </row>
    <row r="972" spans="1:7" ht="13.5" thickBot="1">
      <c r="A972" s="330"/>
      <c r="B972" s="106"/>
      <c r="C972" s="106"/>
      <c r="G972" s="242"/>
    </row>
    <row r="973" spans="1:7" ht="13.5" thickTop="1">
      <c r="A973" s="330"/>
      <c r="B973" s="106"/>
      <c r="C973" s="106"/>
      <c r="G973" s="133"/>
    </row>
    <row r="974" spans="1:7">
      <c r="A974" s="59"/>
      <c r="B974" s="61" t="s">
        <v>655</v>
      </c>
      <c r="C974" s="106"/>
      <c r="E974" s="501">
        <f>E951+E971</f>
        <v>0</v>
      </c>
      <c r="G974" s="133">
        <f>SUM(E974:E974)</f>
        <v>0</v>
      </c>
    </row>
    <row r="975" spans="1:7" ht="13.5" thickBot="1">
      <c r="A975" s="330"/>
      <c r="B975" s="106"/>
      <c r="C975" s="106"/>
      <c r="G975" s="242"/>
    </row>
    <row r="976" spans="1:7" ht="13.5" thickTop="1">
      <c r="A976" s="330"/>
      <c r="B976" s="106"/>
      <c r="C976" s="106"/>
      <c r="G976" s="133"/>
    </row>
    <row r="977" spans="1:7">
      <c r="A977" s="59" t="s">
        <v>654</v>
      </c>
      <c r="B977" s="106"/>
      <c r="C977" s="106"/>
      <c r="E977" s="501">
        <f>E677+E930+E974</f>
        <v>7353381.9971292093</v>
      </c>
      <c r="G977" s="133">
        <f>SUM(E977:E977)</f>
        <v>7353381.9971292093</v>
      </c>
    </row>
    <row r="978" spans="1:7">
      <c r="A978" s="330"/>
      <c r="B978" s="106"/>
      <c r="C978" s="106"/>
      <c r="G978" s="133"/>
    </row>
    <row r="979" spans="1:7">
      <c r="A979" s="59"/>
      <c r="B979" s="33"/>
      <c r="C979" s="33"/>
      <c r="G979" s="100"/>
    </row>
    <row r="980" spans="1:7">
      <c r="A980" s="59"/>
      <c r="B980" s="33"/>
      <c r="C980" s="33"/>
      <c r="G980" s="100"/>
    </row>
    <row r="981" spans="1:7" ht="13.5" thickBot="1">
      <c r="A981" s="47" t="s">
        <v>841</v>
      </c>
      <c r="B981" s="48"/>
      <c r="C981" s="221"/>
      <c r="G981" s="126"/>
    </row>
    <row r="982" spans="1:7">
      <c r="A982" s="330"/>
      <c r="B982" s="106"/>
      <c r="C982" s="106"/>
      <c r="G982" s="133"/>
    </row>
    <row r="983" spans="1:7">
      <c r="A983" s="221"/>
      <c r="B983" s="221"/>
      <c r="C983" s="221"/>
      <c r="G983" s="133"/>
    </row>
    <row r="984" spans="1:7">
      <c r="A984" s="36" t="s">
        <v>302</v>
      </c>
      <c r="B984" s="102"/>
      <c r="C984" s="102"/>
      <c r="G984" s="133"/>
    </row>
    <row r="985" spans="1:7">
      <c r="A985" s="102" t="s">
        <v>298</v>
      </c>
      <c r="B985" s="102"/>
      <c r="C985" s="102"/>
      <c r="G985" s="133"/>
    </row>
    <row r="986" spans="1:7">
      <c r="A986" s="253"/>
      <c r="B986" s="102" t="s">
        <v>217</v>
      </c>
      <c r="C986" s="102"/>
      <c r="G986" s="133"/>
    </row>
    <row r="987" spans="1:7">
      <c r="A987" s="102" t="s">
        <v>218</v>
      </c>
      <c r="B987" s="102" t="s">
        <v>219</v>
      </c>
      <c r="C987" s="102"/>
      <c r="G987" s="133"/>
    </row>
    <row r="988" spans="1:7">
      <c r="A988" s="102"/>
      <c r="B988" s="102" t="s">
        <v>592</v>
      </c>
      <c r="C988" s="102"/>
      <c r="G988" s="133">
        <f>SUM(E988:E988)</f>
        <v>0</v>
      </c>
    </row>
    <row r="989" spans="1:7" ht="15">
      <c r="A989" s="102"/>
      <c r="B989" s="102" t="s">
        <v>593</v>
      </c>
      <c r="C989" s="102"/>
      <c r="E989" s="928"/>
      <c r="G989" s="133">
        <f>SUM(E989:E989)</f>
        <v>0</v>
      </c>
    </row>
    <row r="990" spans="1:7">
      <c r="A990" s="14"/>
      <c r="B990" s="102"/>
      <c r="C990" s="102"/>
      <c r="G990" s="133"/>
    </row>
    <row r="991" spans="1:7">
      <c r="A991" s="102"/>
      <c r="B991" s="102" t="s">
        <v>220</v>
      </c>
      <c r="C991" s="102"/>
      <c r="E991" s="501">
        <f>SUM(E988:E989)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253"/>
      <c r="B993" s="102" t="s">
        <v>221</v>
      </c>
      <c r="C993" s="102"/>
      <c r="G993" s="133"/>
    </row>
    <row r="994" spans="1:7" ht="15">
      <c r="A994" s="253" t="s">
        <v>222</v>
      </c>
      <c r="B994" s="102" t="s">
        <v>223</v>
      </c>
      <c r="C994" s="102"/>
      <c r="E994" s="928"/>
      <c r="G994" s="133">
        <f t="shared" ref="G994:G1000" si="28">SUM(E994:E994)</f>
        <v>0</v>
      </c>
    </row>
    <row r="995" spans="1:7" ht="15">
      <c r="A995" s="253" t="s">
        <v>224</v>
      </c>
      <c r="B995" s="102" t="s">
        <v>225</v>
      </c>
      <c r="C995" s="102"/>
      <c r="E995" s="928"/>
      <c r="G995" s="133">
        <f t="shared" si="28"/>
        <v>0</v>
      </c>
    </row>
    <row r="996" spans="1:7" ht="15">
      <c r="A996" s="253" t="s">
        <v>226</v>
      </c>
      <c r="B996" s="102" t="s">
        <v>227</v>
      </c>
      <c r="C996" s="102"/>
      <c r="E996" s="928"/>
      <c r="G996" s="133">
        <f t="shared" si="28"/>
        <v>0</v>
      </c>
    </row>
    <row r="997" spans="1:7" ht="15">
      <c r="A997" s="253" t="s">
        <v>228</v>
      </c>
      <c r="B997" s="102" t="s">
        <v>229</v>
      </c>
      <c r="C997" s="102"/>
      <c r="E997" s="928"/>
      <c r="G997" s="133">
        <f t="shared" si="28"/>
        <v>0</v>
      </c>
    </row>
    <row r="998" spans="1:7" ht="15">
      <c r="A998" s="253" t="s">
        <v>230</v>
      </c>
      <c r="B998" s="102" t="s">
        <v>231</v>
      </c>
      <c r="C998" s="102"/>
      <c r="E998" s="928"/>
      <c r="G998" s="133">
        <f t="shared" si="28"/>
        <v>0</v>
      </c>
    </row>
    <row r="999" spans="1:7" ht="15">
      <c r="A999" s="253" t="s">
        <v>232</v>
      </c>
      <c r="B999" s="102" t="s">
        <v>233</v>
      </c>
      <c r="C999" s="102"/>
      <c r="E999" s="928"/>
      <c r="G999" s="133">
        <f t="shared" si="28"/>
        <v>0</v>
      </c>
    </row>
    <row r="1000" spans="1:7" ht="15">
      <c r="A1000" s="102" t="s">
        <v>234</v>
      </c>
      <c r="B1000" s="102" t="s">
        <v>235</v>
      </c>
      <c r="C1000" s="102"/>
      <c r="E1000" s="928"/>
      <c r="G1000" s="133">
        <f t="shared" si="28"/>
        <v>0</v>
      </c>
    </row>
    <row r="1001" spans="1:7">
      <c r="A1001" s="14"/>
      <c r="B1001" s="102"/>
      <c r="C1001" s="102"/>
      <c r="G1001" s="133"/>
    </row>
    <row r="1002" spans="1:7">
      <c r="A1002" s="102"/>
      <c r="B1002" s="102" t="s">
        <v>236</v>
      </c>
      <c r="C1002" s="102"/>
      <c r="E1002" s="501">
        <f>SUM(E994:E1000)</f>
        <v>0</v>
      </c>
      <c r="G1002" s="133">
        <f>+G1129</f>
        <v>0</v>
      </c>
    </row>
    <row r="1003" spans="1:7">
      <c r="A1003" s="102"/>
      <c r="B1003" s="102"/>
      <c r="C1003" s="102"/>
      <c r="G1003" s="133"/>
    </row>
    <row r="1004" spans="1:7">
      <c r="A1004" s="102"/>
      <c r="B1004" s="102" t="s">
        <v>237</v>
      </c>
      <c r="C1004" s="102"/>
      <c r="G1004" s="133"/>
    </row>
    <row r="1005" spans="1:7">
      <c r="A1005" s="102" t="s">
        <v>238</v>
      </c>
      <c r="B1005" s="102" t="s">
        <v>223</v>
      </c>
      <c r="C1005" s="102"/>
      <c r="G1005" s="133"/>
    </row>
    <row r="1006" spans="1:7">
      <c r="A1006" s="102"/>
      <c r="B1006" s="102"/>
      <c r="C1006" s="102" t="s">
        <v>24</v>
      </c>
      <c r="G1006" s="133">
        <f>SUM(E1006:E1006)</f>
        <v>0</v>
      </c>
    </row>
    <row r="1007" spans="1:7" ht="15">
      <c r="A1007" s="102"/>
      <c r="B1007" s="102"/>
      <c r="C1007" s="102" t="s">
        <v>14</v>
      </c>
      <c r="E1007" s="928"/>
      <c r="G1007" s="133">
        <f>SUM(E1007:E1007)</f>
        <v>0</v>
      </c>
    </row>
    <row r="1008" spans="1:7">
      <c r="A1008" s="102"/>
      <c r="B1008" s="102"/>
      <c r="C1008" s="102" t="s">
        <v>170</v>
      </c>
      <c r="E1008" s="501">
        <f>SUM(E1006:E1007)</f>
        <v>0</v>
      </c>
      <c r="G1008" s="133">
        <f>SUM(E1008:E1008)</f>
        <v>0</v>
      </c>
    </row>
    <row r="1009" spans="1:7">
      <c r="A1009" s="102"/>
      <c r="B1009" s="102"/>
      <c r="C1009" s="102"/>
      <c r="G1009" s="133"/>
    </row>
    <row r="1010" spans="1:7">
      <c r="A1010" s="102" t="s">
        <v>239</v>
      </c>
      <c r="B1010" s="102" t="s">
        <v>240</v>
      </c>
      <c r="C1010" s="102"/>
      <c r="G1010" s="133"/>
    </row>
    <row r="1011" spans="1:7">
      <c r="A1011" s="102"/>
      <c r="B1011" s="102"/>
      <c r="C1011" s="102" t="s">
        <v>24</v>
      </c>
      <c r="G1011" s="133">
        <f>SUM(E1011:E1011)</f>
        <v>0</v>
      </c>
    </row>
    <row r="1012" spans="1:7" ht="15">
      <c r="A1012" s="102"/>
      <c r="B1012" s="102"/>
      <c r="C1012" s="102" t="s">
        <v>14</v>
      </c>
      <c r="E1012" s="928"/>
      <c r="G1012" s="133">
        <f>SUM(E1012:E1012)</f>
        <v>0</v>
      </c>
    </row>
    <row r="1013" spans="1:7">
      <c r="A1013" s="102"/>
      <c r="B1013" s="102"/>
      <c r="C1013" s="102" t="s">
        <v>170</v>
      </c>
      <c r="E1013" s="501">
        <f>SUM(E1011:E1012)</f>
        <v>0</v>
      </c>
      <c r="G1013" s="133">
        <f>SUM(E1013:E1013)</f>
        <v>0</v>
      </c>
    </row>
    <row r="1014" spans="1:7">
      <c r="A1014" s="102"/>
      <c r="B1014" s="102"/>
      <c r="C1014" s="102"/>
      <c r="G1014" s="133"/>
    </row>
    <row r="1015" spans="1:7">
      <c r="A1015" s="102" t="s">
        <v>244</v>
      </c>
      <c r="B1015" s="102" t="s">
        <v>245</v>
      </c>
      <c r="C1015" s="102"/>
      <c r="G1015" s="133"/>
    </row>
    <row r="1016" spans="1:7">
      <c r="A1016" s="102"/>
      <c r="B1016" s="102"/>
      <c r="C1016" s="102" t="s">
        <v>57</v>
      </c>
      <c r="G1016" s="133">
        <f t="shared" ref="G1016:G1024" si="29">SUM(E1016:E1016)</f>
        <v>0</v>
      </c>
    </row>
    <row r="1017" spans="1:7">
      <c r="A1017" s="102"/>
      <c r="B1017" s="102"/>
      <c r="C1017" s="102" t="s">
        <v>532</v>
      </c>
      <c r="G1017" s="133">
        <f t="shared" si="29"/>
        <v>0</v>
      </c>
    </row>
    <row r="1018" spans="1:7">
      <c r="A1018" s="102"/>
      <c r="B1018" s="102"/>
      <c r="C1018" s="102" t="s">
        <v>533</v>
      </c>
      <c r="G1018" s="133">
        <f t="shared" si="29"/>
        <v>0</v>
      </c>
    </row>
    <row r="1019" spans="1:7">
      <c r="A1019" s="102"/>
      <c r="B1019" s="102"/>
      <c r="C1019" s="102" t="s">
        <v>534</v>
      </c>
      <c r="G1019" s="133">
        <f t="shared" si="29"/>
        <v>0</v>
      </c>
    </row>
    <row r="1020" spans="1:7" ht="15">
      <c r="A1020" s="102"/>
      <c r="B1020" s="102"/>
      <c r="C1020" s="102" t="s">
        <v>535</v>
      </c>
      <c r="E1020" s="928"/>
      <c r="G1020" s="133">
        <f t="shared" si="29"/>
        <v>0</v>
      </c>
    </row>
    <row r="1021" spans="1:7" ht="15">
      <c r="A1021" s="102"/>
      <c r="B1021" s="102"/>
      <c r="C1021" s="102" t="s">
        <v>536</v>
      </c>
      <c r="E1021" s="928"/>
      <c r="G1021" s="133">
        <f t="shared" si="29"/>
        <v>0</v>
      </c>
    </row>
    <row r="1022" spans="1:7" ht="15">
      <c r="A1022" s="102"/>
      <c r="B1022" s="102"/>
      <c r="C1022" s="102" t="s">
        <v>537</v>
      </c>
      <c r="E1022" s="928"/>
      <c r="G1022" s="133">
        <f t="shared" si="29"/>
        <v>0</v>
      </c>
    </row>
    <row r="1023" spans="1:7">
      <c r="A1023" s="102"/>
      <c r="B1023" s="102"/>
      <c r="C1023" s="102" t="s">
        <v>538</v>
      </c>
      <c r="E1023" s="501">
        <f>SUM(E1020:E1022)</f>
        <v>0</v>
      </c>
      <c r="G1023" s="133">
        <f t="shared" si="29"/>
        <v>0</v>
      </c>
    </row>
    <row r="1024" spans="1:7">
      <c r="A1024" s="102"/>
      <c r="B1024" s="102"/>
      <c r="C1024" s="102" t="s">
        <v>713</v>
      </c>
      <c r="E1024" s="501">
        <f>SUM(E1023,E1019)</f>
        <v>0</v>
      </c>
      <c r="G1024" s="133">
        <f t="shared" si="29"/>
        <v>0</v>
      </c>
    </row>
    <row r="1025" spans="1:7">
      <c r="A1025" s="102"/>
      <c r="B1025" s="102"/>
      <c r="C1025" s="102"/>
      <c r="G1025" s="133"/>
    </row>
    <row r="1026" spans="1:7">
      <c r="A1026" s="102" t="s">
        <v>246</v>
      </c>
      <c r="B1026" s="102" t="s">
        <v>248</v>
      </c>
      <c r="C1026" s="102"/>
      <c r="G1026" s="133"/>
    </row>
    <row r="1027" spans="1:7">
      <c r="A1027" s="102"/>
      <c r="B1027" s="102"/>
      <c r="C1027" s="102" t="s">
        <v>24</v>
      </c>
      <c r="G1027" s="133">
        <f>SUM(E1027:E1027)</f>
        <v>0</v>
      </c>
    </row>
    <row r="1028" spans="1:7" ht="15">
      <c r="A1028" s="102"/>
      <c r="B1028" s="102"/>
      <c r="C1028" s="102" t="s">
        <v>14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249</v>
      </c>
      <c r="B1031" s="102" t="s">
        <v>250</v>
      </c>
      <c r="C1031" s="102"/>
      <c r="G1031" s="133"/>
    </row>
    <row r="1032" spans="1:7">
      <c r="A1032" s="102"/>
      <c r="B1032" s="102"/>
      <c r="C1032" s="102" t="s">
        <v>24</v>
      </c>
      <c r="G1032" s="133">
        <f>SUM(E1032:E1032)</f>
        <v>0</v>
      </c>
    </row>
    <row r="1033" spans="1:7" ht="15">
      <c r="A1033" s="102"/>
      <c r="B1033" s="102"/>
      <c r="C1033" s="102" t="s">
        <v>14</v>
      </c>
      <c r="E1033" s="928"/>
      <c r="G1033" s="133">
        <f>SUM(E1033:E1033)</f>
        <v>0</v>
      </c>
    </row>
    <row r="1034" spans="1:7">
      <c r="A1034" s="102"/>
      <c r="B1034" s="102"/>
      <c r="C1034" s="102" t="s">
        <v>170</v>
      </c>
      <c r="E1034" s="501">
        <f>SUM(E1032:E1033)</f>
        <v>0</v>
      </c>
      <c r="G1034" s="133">
        <f>SUM(E1034:E1034)</f>
        <v>0</v>
      </c>
    </row>
    <row r="1035" spans="1:7">
      <c r="A1035" s="102"/>
      <c r="B1035" s="102"/>
      <c r="C1035" s="102"/>
      <c r="G1035" s="133"/>
    </row>
    <row r="1036" spans="1:7">
      <c r="A1036" s="102" t="s">
        <v>251</v>
      </c>
      <c r="B1036" s="102" t="s">
        <v>780</v>
      </c>
      <c r="C1036" s="102"/>
      <c r="G1036" s="133"/>
    </row>
    <row r="1037" spans="1:7">
      <c r="A1037" s="102"/>
      <c r="B1037" s="102"/>
      <c r="C1037" s="102" t="s">
        <v>24</v>
      </c>
      <c r="G1037" s="133">
        <f>SUM(E1037:E1037)</f>
        <v>0</v>
      </c>
    </row>
    <row r="1038" spans="1:7" ht="15">
      <c r="A1038" s="102"/>
      <c r="B1038" s="102"/>
      <c r="C1038" s="102" t="s">
        <v>14</v>
      </c>
      <c r="E1038" s="928"/>
      <c r="G1038" s="133">
        <f>SUM(E1038:E1038)</f>
        <v>0</v>
      </c>
    </row>
    <row r="1039" spans="1:7">
      <c r="A1039" s="102"/>
      <c r="B1039" s="102"/>
      <c r="C1039" s="102" t="s">
        <v>170</v>
      </c>
      <c r="E1039" s="501">
        <f>SUM(E1037:E1038)</f>
        <v>0</v>
      </c>
      <c r="G1039" s="133">
        <f>SUM(E1039:E1039)</f>
        <v>0</v>
      </c>
    </row>
    <row r="1040" spans="1:7">
      <c r="A1040" s="102"/>
      <c r="B1040" s="102"/>
      <c r="C1040" s="102"/>
      <c r="G1040" s="133"/>
    </row>
    <row r="1041" spans="1:7">
      <c r="A1041" s="102" t="s">
        <v>252</v>
      </c>
      <c r="B1041" s="102" t="s">
        <v>253</v>
      </c>
      <c r="C1041" s="102"/>
      <c r="G1041" s="133"/>
    </row>
    <row r="1042" spans="1:7">
      <c r="A1042" s="102"/>
      <c r="B1042" s="102"/>
      <c r="C1042" s="102" t="s">
        <v>24</v>
      </c>
      <c r="G1042" s="133">
        <f>SUM(E1042:E1042)</f>
        <v>0</v>
      </c>
    </row>
    <row r="1043" spans="1:7" ht="15">
      <c r="A1043" s="102"/>
      <c r="B1043" s="102"/>
      <c r="C1043" s="102" t="s">
        <v>14</v>
      </c>
      <c r="E1043" s="928"/>
      <c r="G1043" s="133">
        <f>SUM(E1043:E1043)</f>
        <v>0</v>
      </c>
    </row>
    <row r="1044" spans="1:7">
      <c r="A1044" s="102"/>
      <c r="B1044" s="102"/>
      <c r="C1044" s="102" t="s">
        <v>170</v>
      </c>
      <c r="E1044" s="501">
        <f>SUM(E1042:E1043)</f>
        <v>0</v>
      </c>
      <c r="G1044" s="133">
        <f>SUM(E1044:E1044)</f>
        <v>0</v>
      </c>
    </row>
    <row r="1045" spans="1:7">
      <c r="A1045" s="102"/>
      <c r="B1045" s="102"/>
      <c r="C1045" s="102"/>
      <c r="G1045" s="133"/>
    </row>
    <row r="1046" spans="1:7">
      <c r="A1046" s="102" t="s">
        <v>254</v>
      </c>
      <c r="B1046" s="102" t="s">
        <v>255</v>
      </c>
      <c r="C1046" s="102"/>
      <c r="G1046" s="133"/>
    </row>
    <row r="1047" spans="1:7">
      <c r="A1047" s="102"/>
      <c r="B1047" s="102"/>
      <c r="C1047" s="102" t="s">
        <v>24</v>
      </c>
      <c r="G1047" s="133">
        <f>SUM(E1047:E1047)</f>
        <v>0</v>
      </c>
    </row>
    <row r="1048" spans="1:7" ht="15">
      <c r="A1048" s="102"/>
      <c r="B1048" s="102"/>
      <c r="C1048" s="102" t="s">
        <v>14</v>
      </c>
      <c r="E1048" s="928"/>
      <c r="G1048" s="133">
        <f>SUM(E1048:E1048)</f>
        <v>0</v>
      </c>
    </row>
    <row r="1049" spans="1:7">
      <c r="A1049" s="102"/>
      <c r="B1049" s="102"/>
      <c r="C1049" s="102" t="s">
        <v>170</v>
      </c>
      <c r="E1049" s="501">
        <f>SUM(E1047:E1048)</f>
        <v>0</v>
      </c>
      <c r="G1049" s="133">
        <f>SUM(E1049:E1049)</f>
        <v>0</v>
      </c>
    </row>
    <row r="1050" spans="1:7">
      <c r="A1050" s="102"/>
      <c r="B1050" s="102"/>
      <c r="C1050" s="102"/>
      <c r="G1050" s="133"/>
    </row>
    <row r="1051" spans="1:7">
      <c r="A1051" s="102" t="s">
        <v>256</v>
      </c>
      <c r="B1051" s="102" t="s">
        <v>235</v>
      </c>
      <c r="C1051" s="102"/>
      <c r="G1051" s="133"/>
    </row>
    <row r="1052" spans="1:7">
      <c r="A1052" s="102"/>
      <c r="B1052" s="102"/>
      <c r="C1052" s="102" t="s">
        <v>24</v>
      </c>
      <c r="G1052" s="133">
        <f>SUM(E1052:E1052)</f>
        <v>0</v>
      </c>
    </row>
    <row r="1053" spans="1:7" ht="15">
      <c r="A1053" s="102"/>
      <c r="B1053" s="102"/>
      <c r="C1053" s="102" t="s">
        <v>14</v>
      </c>
      <c r="E1053" s="928"/>
      <c r="G1053" s="133">
        <f>SUM(E1053:E1053)</f>
        <v>0</v>
      </c>
    </row>
    <row r="1054" spans="1:7">
      <c r="A1054" s="102"/>
      <c r="B1054" s="102"/>
      <c r="C1054" s="102" t="s">
        <v>170</v>
      </c>
      <c r="E1054" s="501">
        <f>SUM(E1052:E1053)</f>
        <v>0</v>
      </c>
      <c r="G1054" s="133">
        <f>SUM(E1054:E1054)</f>
        <v>0</v>
      </c>
    </row>
    <row r="1055" spans="1:7">
      <c r="A1055" s="102"/>
      <c r="B1055" s="102"/>
      <c r="C1055" s="102"/>
      <c r="G1055" s="133"/>
    </row>
    <row r="1056" spans="1:7">
      <c r="A1056" s="102" t="s">
        <v>371</v>
      </c>
      <c r="B1056" s="102" t="s">
        <v>280</v>
      </c>
      <c r="C1056" s="102"/>
      <c r="G1056" s="133"/>
    </row>
    <row r="1057" spans="1:7">
      <c r="A1057" s="102"/>
      <c r="B1057" s="102"/>
      <c r="C1057" s="102" t="s">
        <v>24</v>
      </c>
      <c r="G1057" s="133">
        <f>SUM(E1057:E1057)</f>
        <v>0</v>
      </c>
    </row>
    <row r="1058" spans="1:7" ht="15">
      <c r="A1058" s="102"/>
      <c r="B1058" s="102"/>
      <c r="C1058" s="102" t="s">
        <v>14</v>
      </c>
      <c r="E1058" s="928"/>
      <c r="G1058" s="133">
        <f>SUM(E1058:E1058)</f>
        <v>0</v>
      </c>
    </row>
    <row r="1059" spans="1:7">
      <c r="A1059" s="102"/>
      <c r="B1059" s="102"/>
      <c r="C1059" s="102" t="s">
        <v>170</v>
      </c>
      <c r="E1059" s="501">
        <f>SUM(E1057:E1058)</f>
        <v>0</v>
      </c>
      <c r="G1059" s="133">
        <f>SUM(E1059:E1059)</f>
        <v>0</v>
      </c>
    </row>
    <row r="1060" spans="1:7">
      <c r="A1060" s="14"/>
      <c r="B1060" s="102"/>
      <c r="C1060" s="102"/>
      <c r="G1060" s="133"/>
    </row>
    <row r="1061" spans="1:7">
      <c r="A1061" s="102"/>
      <c r="B1061" s="102" t="s">
        <v>257</v>
      </c>
      <c r="C1061" s="102"/>
      <c r="E1061" s="501">
        <f>+E1059+E1054+E1049+E1044+E1039+E1034+E1029+E1024+E1013+E1008</f>
        <v>0</v>
      </c>
      <c r="G1061" s="133">
        <f>+G1059+G1054+G1049+G1044+G1039+G1034+G1029+G1024+G1013+G1008</f>
        <v>0</v>
      </c>
    </row>
    <row r="1062" spans="1:7">
      <c r="A1062" s="102"/>
      <c r="B1062" s="102"/>
      <c r="C1062" s="102"/>
      <c r="G1062" s="133"/>
    </row>
    <row r="1063" spans="1:7">
      <c r="A1063" s="102"/>
      <c r="B1063" s="102"/>
      <c r="C1063" s="102"/>
      <c r="G1063" s="133"/>
    </row>
    <row r="1064" spans="1:7">
      <c r="A1064" s="102" t="s">
        <v>258</v>
      </c>
      <c r="B1064" s="102" t="s">
        <v>223</v>
      </c>
      <c r="C1064" s="102"/>
      <c r="G1064" s="133"/>
    </row>
    <row r="1065" spans="1:7">
      <c r="A1065" s="102"/>
      <c r="B1065" s="102"/>
      <c r="C1065" s="102" t="s">
        <v>592</v>
      </c>
      <c r="G1065" s="133">
        <f>SUM(E1065:E1065)</f>
        <v>0</v>
      </c>
    </row>
    <row r="1066" spans="1:7" ht="15">
      <c r="A1066" s="102"/>
      <c r="B1066" s="102"/>
      <c r="C1066" s="102" t="s">
        <v>593</v>
      </c>
      <c r="E1066" s="928"/>
      <c r="G1066" s="133">
        <f>SUM(E1066:E1066)</f>
        <v>0</v>
      </c>
    </row>
    <row r="1067" spans="1:7">
      <c r="A1067" s="102"/>
      <c r="B1067" s="102"/>
      <c r="C1067" s="102" t="s">
        <v>170</v>
      </c>
      <c r="E1067" s="501">
        <f>SUM(E1065:E1066)</f>
        <v>0</v>
      </c>
      <c r="G1067" s="133">
        <f>SUM(E1067:E1067)</f>
        <v>0</v>
      </c>
    </row>
    <row r="1068" spans="1:7">
      <c r="A1068" s="102"/>
      <c r="B1068" s="102"/>
      <c r="C1068" s="102"/>
      <c r="G1068" s="133"/>
    </row>
    <row r="1069" spans="1:7">
      <c r="A1069" s="102" t="s">
        <v>259</v>
      </c>
      <c r="B1069" s="102" t="s">
        <v>240</v>
      </c>
      <c r="C1069" s="102"/>
      <c r="G1069" s="133"/>
    </row>
    <row r="1070" spans="1:7">
      <c r="A1070" s="102"/>
      <c r="B1070" s="102"/>
      <c r="C1070" s="102" t="s">
        <v>592</v>
      </c>
      <c r="G1070" s="133">
        <f>SUM(E1070:E1070)</f>
        <v>0</v>
      </c>
    </row>
    <row r="1071" spans="1:7" ht="15">
      <c r="A1071" s="102"/>
      <c r="B1071" s="102"/>
      <c r="C1071" s="102" t="s">
        <v>593</v>
      </c>
      <c r="E1071" s="928"/>
      <c r="G1071" s="133">
        <f>SUM(E1071:E1071)</f>
        <v>0</v>
      </c>
    </row>
    <row r="1072" spans="1:7" ht="15">
      <c r="A1072" s="102"/>
      <c r="B1072" s="102"/>
      <c r="C1072" s="102" t="s">
        <v>595</v>
      </c>
      <c r="E1072" s="928"/>
      <c r="G1072" s="133">
        <f>SUM(E1072:E1072)</f>
        <v>0</v>
      </c>
    </row>
    <row r="1073" spans="1:7">
      <c r="A1073" s="102"/>
      <c r="B1073" s="102"/>
      <c r="C1073" s="102" t="s">
        <v>170</v>
      </c>
      <c r="E1073" s="501">
        <f>SUM(E1070:E1072)</f>
        <v>0</v>
      </c>
      <c r="G1073" s="133">
        <f>SUM(E1073:E1073)</f>
        <v>0</v>
      </c>
    </row>
    <row r="1074" spans="1:7">
      <c r="A1074" s="102"/>
      <c r="B1074" s="102"/>
      <c r="C1074" s="102"/>
      <c r="G1074" s="133"/>
    </row>
    <row r="1075" spans="1:7">
      <c r="A1075" s="102" t="s">
        <v>260</v>
      </c>
      <c r="B1075" s="102" t="s">
        <v>261</v>
      </c>
      <c r="C1075" s="102"/>
      <c r="G1075" s="133"/>
    </row>
    <row r="1076" spans="1:7">
      <c r="A1076" s="102"/>
      <c r="B1076" s="102"/>
      <c r="C1076" s="102" t="s">
        <v>592</v>
      </c>
      <c r="G1076" s="133">
        <f>SUM(E1076:E1076)</f>
        <v>0</v>
      </c>
    </row>
    <row r="1077" spans="1:7" ht="15">
      <c r="A1077" s="102"/>
      <c r="B1077" s="102"/>
      <c r="C1077" s="102" t="s">
        <v>593</v>
      </c>
      <c r="E1077" s="928"/>
      <c r="G1077" s="133">
        <f>SUM(E1077:E1077)</f>
        <v>0</v>
      </c>
    </row>
    <row r="1078" spans="1:7" ht="15">
      <c r="A1078" s="102"/>
      <c r="B1078" s="102"/>
      <c r="C1078" s="102" t="s">
        <v>595</v>
      </c>
      <c r="E1078" s="928"/>
      <c r="G1078" s="133">
        <f>SUM(E1078:E1078)</f>
        <v>0</v>
      </c>
    </row>
    <row r="1079" spans="1:7">
      <c r="A1079" s="102"/>
      <c r="B1079" s="102"/>
      <c r="C1079" s="102" t="s">
        <v>170</v>
      </c>
      <c r="E1079" s="501">
        <f>SUM(E1076:E1078)</f>
        <v>0</v>
      </c>
      <c r="G1079" s="133">
        <f>SUM(E1079:E1079)</f>
        <v>0</v>
      </c>
    </row>
    <row r="1080" spans="1:7">
      <c r="A1080" s="102"/>
      <c r="B1080" s="102"/>
      <c r="C1080" s="102"/>
      <c r="G1080" s="133"/>
    </row>
    <row r="1081" spans="1:7">
      <c r="A1081" s="102" t="s">
        <v>262</v>
      </c>
      <c r="B1081" s="102" t="s">
        <v>263</v>
      </c>
      <c r="C1081" s="102"/>
      <c r="G1081" s="133"/>
    </row>
    <row r="1082" spans="1:7">
      <c r="A1082" s="102"/>
      <c r="B1082" s="102"/>
      <c r="C1082" s="102" t="s">
        <v>592</v>
      </c>
      <c r="G1082" s="133">
        <f>SUM(E1082:E1082)</f>
        <v>0</v>
      </c>
    </row>
    <row r="1083" spans="1:7" ht="15">
      <c r="A1083" s="102"/>
      <c r="B1083" s="102"/>
      <c r="C1083" s="102" t="s">
        <v>593</v>
      </c>
      <c r="E1083" s="928"/>
      <c r="G1083" s="133">
        <f>SUM(E1083:E1083)</f>
        <v>0</v>
      </c>
    </row>
    <row r="1084" spans="1:7" ht="15">
      <c r="A1084" s="102"/>
      <c r="B1084" s="102"/>
      <c r="C1084" s="102" t="s">
        <v>595</v>
      </c>
      <c r="E1084" s="928"/>
      <c r="G1084" s="133">
        <f>SUM(E1084:E1084)</f>
        <v>0</v>
      </c>
    </row>
    <row r="1085" spans="1:7">
      <c r="A1085" s="102"/>
      <c r="B1085" s="102"/>
      <c r="C1085" s="102" t="s">
        <v>170</v>
      </c>
      <c r="E1085" s="501">
        <f>SUM(E1082:E1084)</f>
        <v>0</v>
      </c>
      <c r="G1085" s="133">
        <f>SUM(E1085:E1085)</f>
        <v>0</v>
      </c>
    </row>
    <row r="1086" spans="1:7">
      <c r="A1086" s="102"/>
      <c r="B1086" s="102"/>
      <c r="C1086" s="102"/>
      <c r="G1086" s="133"/>
    </row>
    <row r="1087" spans="1:7">
      <c r="A1087" s="102" t="s">
        <v>264</v>
      </c>
      <c r="B1087" s="102" t="s">
        <v>265</v>
      </c>
      <c r="C1087" s="102"/>
      <c r="G1087" s="133"/>
    </row>
    <row r="1088" spans="1:7">
      <c r="A1088" s="102"/>
      <c r="B1088" s="102"/>
      <c r="C1088" s="102" t="s">
        <v>592</v>
      </c>
      <c r="G1088" s="133">
        <f>SUM(E1088:E1088)</f>
        <v>0</v>
      </c>
    </row>
    <row r="1089" spans="1:7" ht="15">
      <c r="A1089" s="102"/>
      <c r="B1089" s="102"/>
      <c r="C1089" s="102" t="s">
        <v>593</v>
      </c>
      <c r="E1089" s="928"/>
      <c r="G1089" s="133">
        <f>SUM(E1089:E1089)</f>
        <v>0</v>
      </c>
    </row>
    <row r="1090" spans="1:7">
      <c r="A1090" s="102"/>
      <c r="B1090" s="102"/>
      <c r="C1090" s="102" t="s">
        <v>170</v>
      </c>
      <c r="E1090" s="501">
        <f>SUM(E1088:E1089)</f>
        <v>0</v>
      </c>
      <c r="G1090" s="133">
        <f>SUM(E1090:E1090)</f>
        <v>0</v>
      </c>
    </row>
    <row r="1091" spans="1:7">
      <c r="A1091" s="102"/>
      <c r="B1091" s="102"/>
      <c r="C1091" s="102"/>
      <c r="G1091" s="133"/>
    </row>
    <row r="1092" spans="1:7">
      <c r="A1092" s="102" t="s">
        <v>266</v>
      </c>
      <c r="B1092" s="102" t="s">
        <v>267</v>
      </c>
      <c r="C1092" s="102"/>
      <c r="G1092" s="133"/>
    </row>
    <row r="1093" spans="1:7">
      <c r="A1093" s="102"/>
      <c r="B1093" s="102"/>
      <c r="C1093" s="102" t="s">
        <v>592</v>
      </c>
      <c r="G1093" s="133">
        <f>SUM(E1093:E1093)</f>
        <v>0</v>
      </c>
    </row>
    <row r="1094" spans="1:7" ht="15">
      <c r="A1094" s="102"/>
      <c r="B1094" s="102"/>
      <c r="C1094" s="102" t="s">
        <v>593</v>
      </c>
      <c r="E1094" s="928"/>
      <c r="G1094" s="133">
        <f>SUM(E1094:E1094)</f>
        <v>0</v>
      </c>
    </row>
    <row r="1095" spans="1:7" ht="15">
      <c r="A1095" s="102"/>
      <c r="B1095" s="102"/>
      <c r="C1095" s="102" t="s">
        <v>595</v>
      </c>
      <c r="E1095" s="928"/>
      <c r="G1095" s="133">
        <f>SUM(E1095:E1095)</f>
        <v>0</v>
      </c>
    </row>
    <row r="1096" spans="1:7">
      <c r="A1096" s="102"/>
      <c r="B1096" s="102"/>
      <c r="C1096" s="102" t="s">
        <v>170</v>
      </c>
      <c r="E1096" s="501">
        <f>SUM(E1093:E1095)</f>
        <v>0</v>
      </c>
      <c r="G1096" s="133">
        <f>SUM(E1096:E1096)</f>
        <v>0</v>
      </c>
    </row>
    <row r="1097" spans="1:7">
      <c r="A1097" s="102"/>
      <c r="B1097" s="102"/>
      <c r="C1097" s="102"/>
      <c r="G1097" s="133"/>
    </row>
    <row r="1098" spans="1:7">
      <c r="A1098" s="102" t="s">
        <v>268</v>
      </c>
      <c r="B1098" s="102" t="s">
        <v>269</v>
      </c>
      <c r="C1098" s="102"/>
      <c r="G1098" s="133"/>
    </row>
    <row r="1099" spans="1:7">
      <c r="A1099" s="102"/>
      <c r="B1099" s="102"/>
      <c r="C1099" s="102" t="s">
        <v>592</v>
      </c>
      <c r="G1099" s="133">
        <f>SUM(E1099:E1099)</f>
        <v>0</v>
      </c>
    </row>
    <row r="1100" spans="1:7" ht="15">
      <c r="A1100" s="102"/>
      <c r="B1100" s="102"/>
      <c r="C1100" s="102" t="s">
        <v>593</v>
      </c>
      <c r="E1100" s="928"/>
      <c r="G1100" s="133">
        <f>SUM(E1100:E1100)</f>
        <v>0</v>
      </c>
    </row>
    <row r="1101" spans="1:7" ht="15">
      <c r="A1101" s="102"/>
      <c r="B1101" s="102"/>
      <c r="C1101" s="102" t="s">
        <v>595</v>
      </c>
      <c r="E1101" s="928"/>
      <c r="G1101" s="133">
        <f>SUM(E1101:E1101)</f>
        <v>0</v>
      </c>
    </row>
    <row r="1102" spans="1:7">
      <c r="A1102" s="102"/>
      <c r="B1102" s="102"/>
      <c r="C1102" s="102" t="s">
        <v>170</v>
      </c>
      <c r="E1102" s="501">
        <f>SUM(E1099:E1101)</f>
        <v>0</v>
      </c>
      <c r="G1102" s="133">
        <f>SUM(E1102:E1102)</f>
        <v>0</v>
      </c>
    </row>
    <row r="1103" spans="1:7">
      <c r="A1103" s="102"/>
      <c r="B1103" s="102"/>
      <c r="C1103" s="102"/>
      <c r="G1103" s="133"/>
    </row>
    <row r="1104" spans="1:7">
      <c r="A1104" s="102" t="s">
        <v>270</v>
      </c>
      <c r="B1104" s="102" t="s">
        <v>271</v>
      </c>
      <c r="C1104" s="102"/>
      <c r="G1104" s="133"/>
    </row>
    <row r="1105" spans="1:7">
      <c r="A1105" s="102"/>
      <c r="B1105" s="102"/>
      <c r="C1105" s="102" t="s">
        <v>592</v>
      </c>
      <c r="G1105" s="133">
        <f>SUM(E1105:E1105)</f>
        <v>0</v>
      </c>
    </row>
    <row r="1106" spans="1:7" ht="15">
      <c r="A1106" s="102"/>
      <c r="B1106" s="102"/>
      <c r="C1106" s="102" t="s">
        <v>593</v>
      </c>
      <c r="E1106" s="928"/>
      <c r="G1106" s="133">
        <f>SUM(E1106:E1106)</f>
        <v>0</v>
      </c>
    </row>
    <row r="1107" spans="1:7" ht="15">
      <c r="A1107" s="102"/>
      <c r="B1107" s="102"/>
      <c r="C1107" s="102" t="s">
        <v>595</v>
      </c>
      <c r="E1107" s="928"/>
      <c r="G1107" s="133">
        <f>SUM(E1107:E1107)</f>
        <v>0</v>
      </c>
    </row>
    <row r="1108" spans="1:7">
      <c r="A1108" s="102"/>
      <c r="B1108" s="102"/>
      <c r="C1108" s="102" t="s">
        <v>170</v>
      </c>
      <c r="E1108" s="501">
        <f>SUM(E1105:E1107)</f>
        <v>0</v>
      </c>
      <c r="G1108" s="133">
        <f>SUM(E1108:E1108)</f>
        <v>0</v>
      </c>
    </row>
    <row r="1109" spans="1:7">
      <c r="A1109" s="102"/>
      <c r="B1109" s="102"/>
      <c r="C1109" s="102"/>
      <c r="G1109" s="133"/>
    </row>
    <row r="1110" spans="1:7">
      <c r="A1110" s="102" t="s">
        <v>272</v>
      </c>
      <c r="B1110" s="102" t="s">
        <v>273</v>
      </c>
      <c r="C1110" s="102"/>
      <c r="G1110" s="133"/>
    </row>
    <row r="1111" spans="1:7">
      <c r="A1111" s="102"/>
      <c r="B1111" s="102"/>
      <c r="C1111" s="102" t="s">
        <v>592</v>
      </c>
      <c r="G1111" s="133">
        <f>SUM(E1111:E1111)</f>
        <v>0</v>
      </c>
    </row>
    <row r="1112" spans="1:7" ht="15">
      <c r="A1112" s="102"/>
      <c r="B1112" s="102"/>
      <c r="C1112" s="102" t="s">
        <v>593</v>
      </c>
      <c r="E1112" s="928"/>
      <c r="G1112" s="133">
        <f>SUM(E1112:E1112)</f>
        <v>0</v>
      </c>
    </row>
    <row r="1113" spans="1:7">
      <c r="A1113" s="102"/>
      <c r="B1113" s="102"/>
      <c r="C1113" s="102" t="s">
        <v>170</v>
      </c>
      <c r="E1113" s="501">
        <f>SUM(E1111:E1112)</f>
        <v>0</v>
      </c>
      <c r="G1113" s="133">
        <f>SUM(E1113:E1113)</f>
        <v>0</v>
      </c>
    </row>
    <row r="1114" spans="1:7">
      <c r="A1114" s="102"/>
      <c r="B1114" s="102"/>
      <c r="C1114" s="102"/>
      <c r="G1114" s="133"/>
    </row>
    <row r="1115" spans="1:7">
      <c r="A1115" s="102" t="s">
        <v>274</v>
      </c>
      <c r="B1115" s="102" t="s">
        <v>275</v>
      </c>
      <c r="C1115" s="102"/>
      <c r="G1115" s="133"/>
    </row>
    <row r="1116" spans="1:7">
      <c r="A1116" s="102"/>
      <c r="B1116" s="102"/>
      <c r="C1116" s="102" t="s">
        <v>592</v>
      </c>
      <c r="G1116" s="133">
        <f>SUM(E1116:E1116)</f>
        <v>0</v>
      </c>
    </row>
    <row r="1117" spans="1:7" ht="15">
      <c r="A1117" s="102"/>
      <c r="B1117" s="102"/>
      <c r="C1117" s="102" t="s">
        <v>593</v>
      </c>
      <c r="E1117" s="928"/>
      <c r="G1117" s="133">
        <f>SUM(E1117:E1117)</f>
        <v>0</v>
      </c>
    </row>
    <row r="1118" spans="1:7" ht="15">
      <c r="A1118" s="102"/>
      <c r="B1118" s="102"/>
      <c r="C1118" s="102" t="s">
        <v>595</v>
      </c>
      <c r="E1118" s="928"/>
      <c r="G1118" s="133">
        <f>SUM(E1118:E1118)</f>
        <v>0</v>
      </c>
    </row>
    <row r="1119" spans="1:7">
      <c r="A1119" s="102"/>
      <c r="B1119" s="102"/>
      <c r="C1119" s="102" t="s">
        <v>170</v>
      </c>
      <c r="E1119" s="501">
        <f>SUM(E1116:E1118)</f>
        <v>0</v>
      </c>
      <c r="G1119" s="133">
        <f>SUM(E1119:E1119)</f>
        <v>0</v>
      </c>
    </row>
    <row r="1120" spans="1:7">
      <c r="A1120" s="102"/>
      <c r="B1120" s="102"/>
      <c r="C1120" s="102"/>
      <c r="G1120" s="133"/>
    </row>
    <row r="1121" spans="1:7">
      <c r="A1121" s="102" t="s">
        <v>76</v>
      </c>
      <c r="B1121" s="102" t="s">
        <v>280</v>
      </c>
      <c r="C1121" s="102"/>
      <c r="G1121" s="133"/>
    </row>
    <row r="1122" spans="1:7">
      <c r="A1122" s="102"/>
      <c r="B1122" s="102"/>
      <c r="C1122" s="102" t="s">
        <v>24</v>
      </c>
      <c r="G1122" s="133">
        <f>SUM(E1122:E1122)</f>
        <v>0</v>
      </c>
    </row>
    <row r="1123" spans="1:7" ht="15">
      <c r="A1123" s="102"/>
      <c r="B1123" s="102"/>
      <c r="C1123" s="102" t="s">
        <v>14</v>
      </c>
      <c r="E1123" s="928"/>
      <c r="G1123" s="133">
        <f>SUM(E1123:E1123)</f>
        <v>0</v>
      </c>
    </row>
    <row r="1124" spans="1:7">
      <c r="A1124" s="102"/>
      <c r="B1124" s="102"/>
      <c r="C1124" s="102" t="s">
        <v>170</v>
      </c>
      <c r="E1124" s="501">
        <f>SUM(E1122:E1123)</f>
        <v>0</v>
      </c>
      <c r="G1124" s="133">
        <f>SUM(E1124:E1124)</f>
        <v>0</v>
      </c>
    </row>
    <row r="1125" spans="1:7">
      <c r="A1125" s="102"/>
      <c r="B1125" s="102"/>
      <c r="C1125" s="102"/>
      <c r="G1125" s="133"/>
    </row>
    <row r="1126" spans="1:7">
      <c r="A1126" s="102"/>
      <c r="B1126" s="102" t="s">
        <v>276</v>
      </c>
      <c r="C1126" s="102"/>
      <c r="E1126" s="501">
        <f>(E1119+E1113+E1108+E1102+E1096+E1090+E1085+E1079+E1073+E1067+E1124)</f>
        <v>0</v>
      </c>
      <c r="G1126" s="133">
        <f>SUM(E1126:E1126)</f>
        <v>0</v>
      </c>
    </row>
    <row r="1127" spans="1:7">
      <c r="A1127" s="330"/>
      <c r="B1127" s="106"/>
      <c r="C1127" s="106"/>
      <c r="G1127" s="133"/>
    </row>
    <row r="1128" spans="1:7">
      <c r="A1128" s="134">
        <v>101</v>
      </c>
      <c r="B1128" s="106" t="s">
        <v>660</v>
      </c>
      <c r="C1128" s="106"/>
      <c r="G1128" s="133"/>
    </row>
    <row r="1129" spans="1:7">
      <c r="A1129" s="134"/>
      <c r="B1129" s="106"/>
      <c r="C1129" s="106" t="s">
        <v>443</v>
      </c>
      <c r="E1129" s="213">
        <f>+E1002</f>
        <v>0</v>
      </c>
      <c r="G1129" s="133">
        <f>SUM(E1129:E1129)</f>
        <v>0</v>
      </c>
    </row>
    <row r="1130" spans="1:7">
      <c r="A1130" s="134"/>
      <c r="B1130" s="106"/>
      <c r="C1130" s="106" t="s">
        <v>592</v>
      </c>
      <c r="E1130" s="501">
        <f>(+E988+E1006+E1011+E1019+E1027+E1032+E1037+E1042+E1047+E1052+E1057)</f>
        <v>0</v>
      </c>
      <c r="G1130" s="133">
        <f>SUM(E1130:E1130)</f>
        <v>0</v>
      </c>
    </row>
    <row r="1131" spans="1:7">
      <c r="A1131" s="134"/>
      <c r="B1131" s="106"/>
      <c r="C1131" s="106" t="s">
        <v>593</v>
      </c>
      <c r="E1131" s="501">
        <f>(+E989+E1007+E1012+E1023+E1028+E1033+E1038+E1043+E1048+E1053+E1058)</f>
        <v>0</v>
      </c>
      <c r="G1131" s="133">
        <f>SUM(E1131:E1131)</f>
        <v>0</v>
      </c>
    </row>
    <row r="1132" spans="1:7">
      <c r="A1132" s="134"/>
      <c r="B1132" s="106"/>
      <c r="C1132" s="106" t="s">
        <v>595</v>
      </c>
      <c r="E1132" s="501">
        <f>+E1126</f>
        <v>0</v>
      </c>
      <c r="G1132" s="133">
        <f>SUM(E1132:E1132)</f>
        <v>0</v>
      </c>
    </row>
    <row r="1133" spans="1:7">
      <c r="A1133" s="134"/>
      <c r="B1133" s="106"/>
      <c r="C1133" s="106" t="s">
        <v>660</v>
      </c>
      <c r="E1133" s="501">
        <f>SUM(E1129:E1132)</f>
        <v>0</v>
      </c>
      <c r="G1133" s="241">
        <f>SUM(G1129:G1132)</f>
        <v>0</v>
      </c>
    </row>
    <row r="1134" spans="1:7">
      <c r="A1134" s="134"/>
      <c r="B1134" s="106"/>
      <c r="C1134" s="106"/>
      <c r="G1134" s="133"/>
    </row>
    <row r="1135" spans="1:7">
      <c r="A1135" s="134">
        <v>105</v>
      </c>
      <c r="B1135" s="106" t="s">
        <v>299</v>
      </c>
      <c r="C1135" s="106"/>
      <c r="G1135" s="133"/>
    </row>
    <row r="1136" spans="1:7" ht="15">
      <c r="A1136" s="134"/>
      <c r="B1136" s="106"/>
      <c r="C1136" s="106" t="s">
        <v>593</v>
      </c>
      <c r="E1136" s="928"/>
      <c r="G1136" s="133">
        <f>SUM(E1136:E1136)</f>
        <v>0</v>
      </c>
    </row>
    <row r="1137" spans="1:7">
      <c r="A1137" s="134"/>
      <c r="B1137" s="106"/>
      <c r="C1137" s="106" t="s">
        <v>170</v>
      </c>
      <c r="E1137" s="501">
        <f>SUM(E1136)</f>
        <v>0</v>
      </c>
      <c r="G1137" s="241">
        <f>SUM(G1136)</f>
        <v>0</v>
      </c>
    </row>
    <row r="1138" spans="1:7">
      <c r="A1138" s="134"/>
      <c r="B1138" s="106"/>
      <c r="C1138" s="106"/>
      <c r="G1138" s="133"/>
    </row>
    <row r="1139" spans="1:7">
      <c r="A1139" s="134">
        <v>106</v>
      </c>
      <c r="B1139" s="106" t="s">
        <v>661</v>
      </c>
      <c r="C1139" s="106"/>
      <c r="G1139" s="133"/>
    </row>
    <row r="1140" spans="1:7" ht="15">
      <c r="A1140" s="134"/>
      <c r="B1140" s="106"/>
      <c r="C1140" s="106" t="s">
        <v>443</v>
      </c>
      <c r="E1140" s="928"/>
      <c r="G1140" s="133">
        <f>SUM(E1140:E1140)</f>
        <v>0</v>
      </c>
    </row>
    <row r="1141" spans="1:7">
      <c r="A1141" s="134"/>
      <c r="B1141" s="106"/>
      <c r="C1141" s="106" t="s">
        <v>592</v>
      </c>
      <c r="G1141" s="133">
        <f>SUM(E1141:E1141)</f>
        <v>0</v>
      </c>
    </row>
    <row r="1142" spans="1:7" ht="15">
      <c r="A1142" s="134"/>
      <c r="B1142" s="106"/>
      <c r="C1142" s="106" t="s">
        <v>593</v>
      </c>
      <c r="E1142" s="928"/>
      <c r="G1142" s="133">
        <f>SUM(E1142:E1142)</f>
        <v>0</v>
      </c>
    </row>
    <row r="1143" spans="1:7" ht="15">
      <c r="A1143" s="134"/>
      <c r="B1143" s="106"/>
      <c r="C1143" s="106" t="s">
        <v>595</v>
      </c>
      <c r="E1143" s="928"/>
      <c r="G1143" s="133">
        <f>SUM(E1143:E1143)</f>
        <v>0</v>
      </c>
    </row>
    <row r="1144" spans="1:7">
      <c r="A1144" s="134"/>
      <c r="B1144" s="106"/>
      <c r="C1144" s="106" t="s">
        <v>170</v>
      </c>
      <c r="E1144" s="501">
        <f>SUM(E1140:E1143)</f>
        <v>0</v>
      </c>
      <c r="G1144" s="241">
        <f>SUM(G1140:G1143)</f>
        <v>0</v>
      </c>
    </row>
    <row r="1145" spans="1:7">
      <c r="A1145" s="134"/>
      <c r="B1145" s="106"/>
      <c r="C1145" s="106"/>
      <c r="G1145" s="133"/>
    </row>
    <row r="1146" spans="1:7">
      <c r="A1146" s="134">
        <v>108</v>
      </c>
      <c r="B1146" s="106" t="s">
        <v>662</v>
      </c>
      <c r="C1146" s="106"/>
      <c r="G1146" s="133"/>
    </row>
    <row r="1147" spans="1:7" ht="15">
      <c r="A1147" s="134"/>
      <c r="B1147" s="106"/>
      <c r="C1147" s="106" t="s">
        <v>443</v>
      </c>
      <c r="E1147" s="928"/>
      <c r="G1147" s="133">
        <f>SUM(E1147:E1147)</f>
        <v>0</v>
      </c>
    </row>
    <row r="1148" spans="1:7">
      <c r="A1148" s="134"/>
      <c r="B1148" s="106"/>
      <c r="C1148" s="106" t="s">
        <v>592</v>
      </c>
      <c r="G1148" s="133">
        <f>SUM(E1148:E1148)</f>
        <v>0</v>
      </c>
    </row>
    <row r="1149" spans="1:7" ht="15">
      <c r="A1149" s="134"/>
      <c r="B1149" s="106"/>
      <c r="C1149" s="106" t="s">
        <v>593</v>
      </c>
      <c r="E1149" s="928"/>
      <c r="G1149" s="133">
        <f>SUM(E1149:E1149)</f>
        <v>0</v>
      </c>
    </row>
    <row r="1150" spans="1:7" ht="15">
      <c r="A1150" s="134"/>
      <c r="B1150" s="106"/>
      <c r="C1150" s="106" t="s">
        <v>595</v>
      </c>
      <c r="E1150" s="928"/>
      <c r="G1150" s="133">
        <f>SUM(E1150:E1150)</f>
        <v>0</v>
      </c>
    </row>
    <row r="1151" spans="1:7">
      <c r="A1151" s="134"/>
      <c r="B1151" s="106"/>
      <c r="C1151" s="106" t="s">
        <v>170</v>
      </c>
      <c r="E1151" s="501">
        <f>SUM(E1147:E1150)</f>
        <v>0</v>
      </c>
      <c r="G1151" s="241">
        <f>SUM(G1147:G1150)</f>
        <v>0</v>
      </c>
    </row>
    <row r="1152" spans="1:7">
      <c r="A1152" s="134"/>
      <c r="B1152" s="106"/>
      <c r="C1152" s="106"/>
      <c r="G1152" s="133"/>
    </row>
    <row r="1153" spans="1:7">
      <c r="A1153" s="134">
        <v>111</v>
      </c>
      <c r="B1153" s="106" t="s">
        <v>300</v>
      </c>
      <c r="C1153" s="106"/>
      <c r="G1153" s="133"/>
    </row>
    <row r="1154" spans="1:7" ht="15">
      <c r="A1154" s="330"/>
      <c r="B1154" s="106"/>
      <c r="C1154" s="106" t="s">
        <v>443</v>
      </c>
      <c r="E1154" s="928"/>
      <c r="G1154" s="133">
        <f>SUM(E1154:E1154)</f>
        <v>0</v>
      </c>
    </row>
    <row r="1155" spans="1:7">
      <c r="A1155" s="330"/>
      <c r="B1155" s="106"/>
      <c r="C1155" s="106" t="s">
        <v>592</v>
      </c>
      <c r="G1155" s="133">
        <f>SUM(E1155:E1155)</f>
        <v>0</v>
      </c>
    </row>
    <row r="1156" spans="1:7" ht="15">
      <c r="A1156" s="330"/>
      <c r="B1156" s="106"/>
      <c r="C1156" s="106" t="s">
        <v>593</v>
      </c>
      <c r="E1156" s="928"/>
      <c r="G1156" s="133">
        <f>SUM(E1156:E1156)</f>
        <v>0</v>
      </c>
    </row>
    <row r="1157" spans="1:7" ht="15">
      <c r="A1157" s="330"/>
      <c r="B1157" s="106"/>
      <c r="C1157" s="106" t="s">
        <v>595</v>
      </c>
      <c r="E1157" s="928"/>
      <c r="G1157" s="133">
        <f>SUM(E1157:E1157)</f>
        <v>0</v>
      </c>
    </row>
    <row r="1158" spans="1:7">
      <c r="A1158" s="330"/>
      <c r="B1158" s="106"/>
      <c r="C1158" s="106" t="s">
        <v>170</v>
      </c>
      <c r="E1158" s="501">
        <f>SUM(E1154:E1157)</f>
        <v>0</v>
      </c>
      <c r="G1158" s="241">
        <f>SUM(G1154:G1157)</f>
        <v>0</v>
      </c>
    </row>
    <row r="1159" spans="1:7" ht="13.5" thickBot="1">
      <c r="A1159" s="330"/>
      <c r="B1159" s="106"/>
      <c r="C1159" s="106"/>
      <c r="G1159" s="242"/>
    </row>
    <row r="1160" spans="1:7" ht="13.5" thickTop="1">
      <c r="A1160" s="330"/>
      <c r="B1160" s="106"/>
      <c r="C1160" s="106"/>
      <c r="G1160" s="133"/>
    </row>
    <row r="1161" spans="1:7">
      <c r="A1161" s="59" t="s">
        <v>663</v>
      </c>
      <c r="B1161" s="106"/>
      <c r="C1161" s="106"/>
      <c r="G1161" s="133"/>
    </row>
    <row r="1162" spans="1:7">
      <c r="A1162" s="330"/>
      <c r="B1162" s="106" t="s">
        <v>443</v>
      </c>
      <c r="C1162" s="106"/>
      <c r="E1162" s="501">
        <f>E1129+E1140+E1147+E1154</f>
        <v>0</v>
      </c>
      <c r="G1162" s="133">
        <f>G1129+G1140+G1147+G1154</f>
        <v>0</v>
      </c>
    </row>
    <row r="1163" spans="1:7">
      <c r="A1163" s="330"/>
      <c r="B1163" s="106" t="s">
        <v>592</v>
      </c>
      <c r="C1163" s="106"/>
      <c r="E1163" s="501">
        <f>E1130+E1141+E1148+E1155</f>
        <v>0</v>
      </c>
      <c r="G1163" s="133">
        <f>G1130+G1141+G1148+G1155</f>
        <v>0</v>
      </c>
    </row>
    <row r="1164" spans="1:7">
      <c r="A1164" s="330"/>
      <c r="B1164" s="106" t="s">
        <v>593</v>
      </c>
      <c r="C1164" s="106"/>
      <c r="E1164" s="501">
        <f>E1131+E1136+E1142+E1149+E1156</f>
        <v>0</v>
      </c>
      <c r="G1164" s="133">
        <f>G1131+G1136+G1142+G1149+G1156</f>
        <v>0</v>
      </c>
    </row>
    <row r="1165" spans="1:7">
      <c r="A1165" s="330"/>
      <c r="B1165" s="106" t="s">
        <v>595</v>
      </c>
      <c r="C1165" s="106"/>
      <c r="E1165" s="501">
        <f>E1132+E1143+E1150+E1157</f>
        <v>0</v>
      </c>
      <c r="G1165" s="133">
        <f>G1132+G1143+G1150+G1157</f>
        <v>0</v>
      </c>
    </row>
    <row r="1166" spans="1:7" ht="13.5" thickBot="1">
      <c r="A1166" s="330"/>
      <c r="B1166" s="106"/>
      <c r="C1166" s="106"/>
      <c r="G1166" s="242"/>
    </row>
    <row r="1167" spans="1:7" ht="13.5" thickTop="1">
      <c r="A1167" s="330"/>
      <c r="B1167" s="106"/>
      <c r="C1167" s="106"/>
      <c r="G1167" s="133"/>
    </row>
    <row r="1168" spans="1:7">
      <c r="A1168" s="330"/>
      <c r="B1168" s="61" t="s">
        <v>663</v>
      </c>
      <c r="C1168" s="106"/>
      <c r="E1168" s="501">
        <f>E1133+E1137+E1144+E1151+E1158</f>
        <v>0</v>
      </c>
      <c r="G1168" s="133">
        <f>G1133+G1137+G1144+G1151+G1158</f>
        <v>0</v>
      </c>
    </row>
    <row r="1169" spans="1:7">
      <c r="A1169" s="330"/>
      <c r="B1169" s="106"/>
      <c r="C1169" s="106"/>
      <c r="G1169" s="133"/>
    </row>
    <row r="1170" spans="1:7">
      <c r="A1170" s="330"/>
      <c r="B1170" s="106"/>
      <c r="C1170" s="106"/>
      <c r="G1170" s="133"/>
    </row>
    <row r="1171" spans="1:7">
      <c r="A1171" s="59" t="s">
        <v>307</v>
      </c>
      <c r="B1171" s="106"/>
      <c r="C1171" s="106"/>
      <c r="G1171" s="133"/>
    </row>
    <row r="1172" spans="1:7">
      <c r="A1172" s="330"/>
      <c r="B1172" s="106"/>
      <c r="C1172" s="106"/>
      <c r="G1172" s="133"/>
    </row>
    <row r="1173" spans="1:7">
      <c r="A1173" s="134">
        <v>154</v>
      </c>
      <c r="B1173" s="106" t="s">
        <v>308</v>
      </c>
      <c r="C1173" s="106"/>
      <c r="G1173" s="133"/>
    </row>
    <row r="1174" spans="1:7">
      <c r="A1174" s="134"/>
      <c r="B1174" s="106"/>
      <c r="C1174" s="106" t="s">
        <v>592</v>
      </c>
      <c r="G1174" s="133">
        <f>SUM(E1174:E1174)</f>
        <v>0</v>
      </c>
    </row>
    <row r="1175" spans="1:7" ht="15">
      <c r="A1175" s="134"/>
      <c r="B1175" s="106"/>
      <c r="C1175" s="106" t="s">
        <v>593</v>
      </c>
      <c r="E1175" s="928"/>
      <c r="G1175" s="133">
        <f>SUM(E1175:E1175)</f>
        <v>0</v>
      </c>
    </row>
    <row r="1176" spans="1:7">
      <c r="A1176" s="134"/>
      <c r="B1176" s="106"/>
      <c r="C1176" s="106" t="s">
        <v>170</v>
      </c>
      <c r="E1176" s="501">
        <f>SUM(E1174:E1175)</f>
        <v>0</v>
      </c>
      <c r="G1176" s="241">
        <f>SUM(G1174:G1175)</f>
        <v>0</v>
      </c>
    </row>
    <row r="1177" spans="1:7">
      <c r="A1177" s="134"/>
      <c r="B1177" s="106"/>
      <c r="C1177" s="106"/>
      <c r="G1177" s="133"/>
    </row>
    <row r="1178" spans="1:7">
      <c r="A1178" s="134">
        <v>1641</v>
      </c>
      <c r="B1178" s="106" t="s">
        <v>309</v>
      </c>
      <c r="C1178" s="106"/>
      <c r="G1178" s="133"/>
    </row>
    <row r="1179" spans="1:7" ht="15">
      <c r="A1179" s="134"/>
      <c r="B1179" s="106"/>
      <c r="C1179" s="106" t="s">
        <v>443</v>
      </c>
      <c r="E1179" s="928"/>
      <c r="G1179" s="133">
        <f>SUM(E1179:E1179)</f>
        <v>0</v>
      </c>
    </row>
    <row r="1180" spans="1:7">
      <c r="A1180" s="134"/>
      <c r="B1180" s="106"/>
      <c r="C1180" s="106" t="s">
        <v>170</v>
      </c>
      <c r="E1180" s="501">
        <f>SUM(E1179)</f>
        <v>0</v>
      </c>
      <c r="G1180" s="241">
        <f>SUM(G1179)</f>
        <v>0</v>
      </c>
    </row>
    <row r="1181" spans="1:7">
      <c r="A1181" s="134"/>
      <c r="B1181" s="106"/>
      <c r="C1181" s="106"/>
      <c r="G1181" s="133"/>
    </row>
    <row r="1182" spans="1:7">
      <c r="A1182" s="134">
        <v>165</v>
      </c>
      <c r="B1182" s="106" t="s">
        <v>310</v>
      </c>
      <c r="C1182" s="106"/>
      <c r="G1182" s="133"/>
    </row>
    <row r="1183" spans="1:7" ht="15">
      <c r="A1183" s="134"/>
      <c r="B1183" s="106"/>
      <c r="C1183" s="106" t="s">
        <v>595</v>
      </c>
      <c r="E1183" s="928"/>
      <c r="G1183" s="133">
        <f>SUM(E1183:E1183)</f>
        <v>0</v>
      </c>
    </row>
    <row r="1184" spans="1:7">
      <c r="A1184" s="134"/>
      <c r="B1184" s="106"/>
      <c r="C1184" s="106" t="s">
        <v>170</v>
      </c>
      <c r="E1184" s="501">
        <f>SUM(E1183)</f>
        <v>0</v>
      </c>
      <c r="G1184" s="241">
        <f>SUM(G1183)</f>
        <v>0</v>
      </c>
    </row>
    <row r="1185" spans="1:7">
      <c r="A1185" s="134"/>
      <c r="B1185" s="106"/>
      <c r="C1185" s="106"/>
      <c r="G1185" s="133"/>
    </row>
    <row r="1186" spans="1:7">
      <c r="A1186" s="238" t="s">
        <v>303</v>
      </c>
      <c r="B1186" s="119" t="s">
        <v>305</v>
      </c>
      <c r="C1186" s="102"/>
      <c r="G1186" s="133"/>
    </row>
    <row r="1187" spans="1:7" ht="15">
      <c r="A1187" s="136"/>
      <c r="B1187" s="102"/>
      <c r="C1187" s="102" t="s">
        <v>443</v>
      </c>
      <c r="E1187" s="928"/>
      <c r="G1187" s="133">
        <f>SUM(E1187:E1187)</f>
        <v>0</v>
      </c>
    </row>
    <row r="1188" spans="1:7">
      <c r="A1188" s="136"/>
      <c r="B1188" s="102"/>
      <c r="C1188" s="102" t="s">
        <v>592</v>
      </c>
      <c r="G1188" s="133">
        <f>SUM(E1188:E1188)</f>
        <v>0</v>
      </c>
    </row>
    <row r="1189" spans="1:7" ht="15">
      <c r="A1189" s="136"/>
      <c r="B1189" s="102"/>
      <c r="C1189" s="102" t="s">
        <v>593</v>
      </c>
      <c r="E1189" s="928"/>
      <c r="G1189" s="133">
        <f>SUM(E1189:E1189)</f>
        <v>0</v>
      </c>
    </row>
    <row r="1190" spans="1:7" ht="15">
      <c r="A1190" s="136"/>
      <c r="B1190" s="102"/>
      <c r="C1190" s="102" t="s">
        <v>595</v>
      </c>
      <c r="E1190" s="928"/>
      <c r="G1190" s="133">
        <f>SUM(E1190:E1190)</f>
        <v>0</v>
      </c>
    </row>
    <row r="1191" spans="1:7">
      <c r="A1191" s="136"/>
      <c r="B1191" s="102"/>
      <c r="C1191" s="102" t="s">
        <v>170</v>
      </c>
      <c r="E1191" s="501">
        <f>SUM(E1187:E1190)</f>
        <v>0</v>
      </c>
      <c r="G1191" s="241">
        <f>SUM(G1187:G1190)</f>
        <v>0</v>
      </c>
    </row>
    <row r="1192" spans="1:7">
      <c r="A1192" s="136"/>
      <c r="B1192" s="102"/>
      <c r="C1192" s="102"/>
      <c r="G1192" s="133"/>
    </row>
    <row r="1193" spans="1:7">
      <c r="A1193" s="238" t="s">
        <v>304</v>
      </c>
      <c r="B1193" s="119" t="s">
        <v>306</v>
      </c>
      <c r="C1193" s="102"/>
      <c r="G1193" s="133"/>
    </row>
    <row r="1194" spans="1:7" ht="15">
      <c r="A1194" s="136"/>
      <c r="B1194" s="102"/>
      <c r="C1194" s="102" t="s">
        <v>443</v>
      </c>
      <c r="E1194" s="928"/>
      <c r="G1194" s="133">
        <f>SUM(E1194:E1194)</f>
        <v>0</v>
      </c>
    </row>
    <row r="1195" spans="1:7">
      <c r="A1195" s="136"/>
      <c r="B1195" s="102"/>
      <c r="C1195" s="102" t="s">
        <v>592</v>
      </c>
      <c r="G1195" s="133">
        <f>SUM(E1195:E1195)</f>
        <v>0</v>
      </c>
    </row>
    <row r="1196" spans="1:7" ht="15">
      <c r="A1196" s="136"/>
      <c r="B1196" s="102"/>
      <c r="C1196" s="102" t="s">
        <v>593</v>
      </c>
      <c r="E1196" s="928"/>
      <c r="G1196" s="133">
        <f>SUM(E1196:E1196)</f>
        <v>0</v>
      </c>
    </row>
    <row r="1197" spans="1:7" ht="15">
      <c r="A1197" s="136"/>
      <c r="B1197" s="102"/>
      <c r="C1197" s="102" t="s">
        <v>595</v>
      </c>
      <c r="E1197" s="928"/>
      <c r="G1197" s="133">
        <f>SUM(E1197:E1197)</f>
        <v>0</v>
      </c>
    </row>
    <row r="1198" spans="1:7">
      <c r="A1198" s="136"/>
      <c r="B1198" s="102"/>
      <c r="C1198" s="102" t="s">
        <v>170</v>
      </c>
      <c r="E1198" s="501">
        <f>SUM(E1194:E1197)</f>
        <v>0</v>
      </c>
      <c r="G1198" s="241">
        <f>SUM(G1194:G1197)</f>
        <v>0</v>
      </c>
    </row>
    <row r="1199" spans="1:7">
      <c r="A1199" s="134"/>
      <c r="B1199" s="106"/>
      <c r="C1199" s="106"/>
      <c r="G1199" s="133"/>
    </row>
    <row r="1200" spans="1:7">
      <c r="A1200" s="134">
        <v>2351</v>
      </c>
      <c r="B1200" s="114" t="s">
        <v>311</v>
      </c>
      <c r="C1200" s="106"/>
      <c r="G1200" s="133"/>
    </row>
    <row r="1201" spans="1:7">
      <c r="A1201" s="134"/>
      <c r="B1201" s="106"/>
      <c r="C1201" s="106" t="s">
        <v>592</v>
      </c>
      <c r="G1201" s="133">
        <f>SUM(E1201:E1201)</f>
        <v>0</v>
      </c>
    </row>
    <row r="1202" spans="1:7" ht="15">
      <c r="A1202" s="134"/>
      <c r="B1202" s="106"/>
      <c r="C1202" s="106" t="s">
        <v>593</v>
      </c>
      <c r="E1202" s="928"/>
      <c r="G1202" s="133">
        <f>SUM(E1202:E1202)</f>
        <v>0</v>
      </c>
    </row>
    <row r="1203" spans="1:7">
      <c r="A1203" s="134"/>
      <c r="B1203" s="106"/>
      <c r="C1203" s="106" t="s">
        <v>170</v>
      </c>
      <c r="E1203" s="501">
        <f>SUM(E1201:E1202)</f>
        <v>0</v>
      </c>
      <c r="G1203" s="241">
        <f>SUM(G1201:G1202)</f>
        <v>0</v>
      </c>
    </row>
    <row r="1204" spans="1:7">
      <c r="A1204" s="134"/>
      <c r="B1204" s="106"/>
      <c r="C1204" s="106"/>
      <c r="G1204" s="133"/>
    </row>
    <row r="1205" spans="1:7">
      <c r="A1205" s="212">
        <v>252</v>
      </c>
      <c r="B1205" s="114" t="s">
        <v>493</v>
      </c>
      <c r="C1205" s="102"/>
      <c r="G1205" s="133"/>
    </row>
    <row r="1206" spans="1:7">
      <c r="A1206" s="212"/>
      <c r="B1206" s="114"/>
      <c r="C1206" s="106" t="s">
        <v>592</v>
      </c>
      <c r="G1206" s="133">
        <f>SUM(E1206:E1206)</f>
        <v>0</v>
      </c>
    </row>
    <row r="1207" spans="1:7" ht="15">
      <c r="A1207" s="212"/>
      <c r="B1207" s="102"/>
      <c r="C1207" s="106" t="s">
        <v>593</v>
      </c>
      <c r="E1207" s="928"/>
      <c r="G1207" s="133">
        <f>SUM(E1207:E1207)</f>
        <v>0</v>
      </c>
    </row>
    <row r="1208" spans="1:7">
      <c r="A1208" s="212"/>
      <c r="B1208" s="102"/>
      <c r="C1208" s="102" t="s">
        <v>170</v>
      </c>
      <c r="E1208" s="501">
        <f>SUM(E1206:E1207)</f>
        <v>0</v>
      </c>
      <c r="G1208" s="133">
        <f>SUM(G1206:G1207)</f>
        <v>0</v>
      </c>
    </row>
    <row r="1209" spans="1:7">
      <c r="A1209" s="212"/>
      <c r="B1209" s="102"/>
      <c r="C1209" s="102"/>
      <c r="G1209" s="133"/>
    </row>
    <row r="1210" spans="1:7">
      <c r="A1210" s="134">
        <v>2531</v>
      </c>
      <c r="B1210" s="106" t="s">
        <v>312</v>
      </c>
      <c r="C1210" s="106"/>
      <c r="G1210" s="133"/>
    </row>
    <row r="1211" spans="1:7" ht="15">
      <c r="A1211" s="134"/>
      <c r="B1211" s="106"/>
      <c r="C1211" s="106" t="s">
        <v>595</v>
      </c>
      <c r="E1211" s="928"/>
      <c r="G1211" s="133">
        <f>SUM(E1211:E1211)</f>
        <v>0</v>
      </c>
    </row>
    <row r="1212" spans="1:7">
      <c r="A1212" s="134"/>
      <c r="B1212" s="106"/>
      <c r="C1212" s="106" t="s">
        <v>170</v>
      </c>
      <c r="E1212" s="501">
        <f>SUM(E1211)</f>
        <v>0</v>
      </c>
      <c r="G1212" s="241">
        <f>SUM(G1211)</f>
        <v>0</v>
      </c>
    </row>
    <row r="1213" spans="1:7">
      <c r="A1213" s="134"/>
      <c r="B1213" s="106"/>
      <c r="C1213" s="106"/>
      <c r="G1213" s="133"/>
    </row>
    <row r="1214" spans="1:7">
      <c r="A1214" s="134">
        <v>255</v>
      </c>
      <c r="B1214" s="106" t="s">
        <v>313</v>
      </c>
      <c r="C1214" s="106"/>
      <c r="G1214" s="133"/>
    </row>
    <row r="1215" spans="1:7" ht="15">
      <c r="A1215" s="134"/>
      <c r="B1215" s="106"/>
      <c r="C1215" s="106" t="s">
        <v>443</v>
      </c>
      <c r="E1215" s="928"/>
      <c r="G1215" s="133">
        <f>SUM(E1215:E1215)</f>
        <v>0</v>
      </c>
    </row>
    <row r="1216" spans="1:7">
      <c r="A1216" s="134"/>
      <c r="B1216" s="106"/>
      <c r="C1216" s="106" t="s">
        <v>592</v>
      </c>
      <c r="G1216" s="133">
        <f>SUM(E1216:E1216)</f>
        <v>0</v>
      </c>
    </row>
    <row r="1217" spans="1:7" ht="15">
      <c r="A1217" s="134"/>
      <c r="B1217" s="106"/>
      <c r="C1217" s="106" t="s">
        <v>593</v>
      </c>
      <c r="E1217" s="928"/>
      <c r="G1217" s="133">
        <f>SUM(E1217:E1217)</f>
        <v>0</v>
      </c>
    </row>
    <row r="1218" spans="1:7" ht="15">
      <c r="A1218" s="134"/>
      <c r="B1218" s="106"/>
      <c r="C1218" s="106" t="s">
        <v>595</v>
      </c>
      <c r="E1218" s="928"/>
      <c r="G1218" s="133">
        <f>SUM(E1218:E1218)</f>
        <v>0</v>
      </c>
    </row>
    <row r="1219" spans="1:7">
      <c r="A1219" s="134"/>
      <c r="B1219" s="106"/>
      <c r="C1219" s="106" t="s">
        <v>170</v>
      </c>
      <c r="E1219" s="501">
        <f>SUM(E1215:E1218)</f>
        <v>0</v>
      </c>
      <c r="G1219" s="241">
        <f>SUM(G1215:G1218)</f>
        <v>0</v>
      </c>
    </row>
    <row r="1220" spans="1:7">
      <c r="A1220" s="134"/>
      <c r="B1220" s="106"/>
      <c r="C1220" s="106"/>
      <c r="G1220" s="133"/>
    </row>
    <row r="1221" spans="1:7">
      <c r="A1221" s="134">
        <v>2820</v>
      </c>
      <c r="B1221" s="106" t="s">
        <v>477</v>
      </c>
      <c r="C1221" s="106"/>
      <c r="G1221" s="133"/>
    </row>
    <row r="1222" spans="1:7" ht="15">
      <c r="A1222" s="134"/>
      <c r="B1222" s="106"/>
      <c r="C1222" s="106" t="s">
        <v>443</v>
      </c>
      <c r="E1222" s="928"/>
      <c r="G1222" s="133">
        <f>SUM(E1222:E1222)</f>
        <v>0</v>
      </c>
    </row>
    <row r="1223" spans="1:7">
      <c r="A1223" s="134"/>
      <c r="B1223" s="106"/>
      <c r="C1223" s="106" t="s">
        <v>592</v>
      </c>
      <c r="G1223" s="133">
        <f>SUM(E1223:E1223)</f>
        <v>0</v>
      </c>
    </row>
    <row r="1224" spans="1:7" ht="15">
      <c r="A1224" s="134"/>
      <c r="B1224" s="106"/>
      <c r="C1224" s="106" t="s">
        <v>593</v>
      </c>
      <c r="E1224" s="928"/>
      <c r="G1224" s="133">
        <f>SUM(E1224:E1224)</f>
        <v>0</v>
      </c>
    </row>
    <row r="1225" spans="1:7" ht="15">
      <c r="A1225" s="134"/>
      <c r="B1225" s="106"/>
      <c r="C1225" s="106" t="s">
        <v>595</v>
      </c>
      <c r="E1225" s="928"/>
      <c r="G1225" s="133">
        <f>SUM(E1225:E1225)</f>
        <v>0</v>
      </c>
    </row>
    <row r="1226" spans="1:7">
      <c r="A1226" s="134"/>
      <c r="B1226" s="106"/>
      <c r="C1226" s="106" t="s">
        <v>170</v>
      </c>
      <c r="E1226" s="501">
        <f>SUM(E1222:E1225)</f>
        <v>0</v>
      </c>
      <c r="G1226" s="241">
        <f>SUM(G1222:G1225)</f>
        <v>0</v>
      </c>
    </row>
    <row r="1227" spans="1:7">
      <c r="A1227" s="134"/>
      <c r="B1227" s="106"/>
      <c r="C1227" s="106"/>
      <c r="G1227" s="133"/>
    </row>
    <row r="1228" spans="1:7">
      <c r="A1228" s="134">
        <v>2821</v>
      </c>
      <c r="B1228" s="106" t="s">
        <v>478</v>
      </c>
      <c r="C1228" s="106"/>
      <c r="G1228" s="133"/>
    </row>
    <row r="1229" spans="1:7" ht="15">
      <c r="A1229" s="134"/>
      <c r="B1229" s="106"/>
      <c r="C1229" s="106" t="s">
        <v>443</v>
      </c>
      <c r="E1229" s="928"/>
      <c r="G1229" s="133">
        <f>SUM(E1229:E1229)</f>
        <v>0</v>
      </c>
    </row>
    <row r="1230" spans="1:7">
      <c r="A1230" s="134"/>
      <c r="B1230" s="106"/>
      <c r="C1230" s="106" t="s">
        <v>592</v>
      </c>
      <c r="G1230" s="133">
        <f>SUM(E1230:E1230)</f>
        <v>0</v>
      </c>
    </row>
    <row r="1231" spans="1:7" ht="15">
      <c r="A1231" s="134"/>
      <c r="B1231" s="106"/>
      <c r="C1231" s="106" t="s">
        <v>593</v>
      </c>
      <c r="E1231" s="928"/>
      <c r="G1231" s="133">
        <f>SUM(E1231:E1231)</f>
        <v>0</v>
      </c>
    </row>
    <row r="1232" spans="1:7" ht="15">
      <c r="A1232" s="134"/>
      <c r="B1232" s="106"/>
      <c r="C1232" s="106" t="s">
        <v>595</v>
      </c>
      <c r="E1232" s="928"/>
      <c r="G1232" s="133">
        <f>SUM(E1232:E1232)</f>
        <v>0</v>
      </c>
    </row>
    <row r="1233" spans="1:7">
      <c r="A1233" s="134"/>
      <c r="B1233" s="106"/>
      <c r="C1233" s="106" t="s">
        <v>170</v>
      </c>
      <c r="E1233" s="501">
        <f>SUM(E1229:E1232)</f>
        <v>0</v>
      </c>
      <c r="G1233" s="241">
        <f>SUM(G1229:G1232)</f>
        <v>0</v>
      </c>
    </row>
    <row r="1234" spans="1:7">
      <c r="A1234" s="134"/>
      <c r="B1234" s="106"/>
      <c r="C1234" s="106"/>
      <c r="G1234" s="133"/>
    </row>
    <row r="1235" spans="1:7">
      <c r="A1235" s="388" t="s">
        <v>158</v>
      </c>
      <c r="B1235" s="119" t="s">
        <v>157</v>
      </c>
      <c r="C1235" s="106"/>
      <c r="G1235" s="133"/>
    </row>
    <row r="1236" spans="1:7" ht="15">
      <c r="A1236" s="330"/>
      <c r="B1236" s="106" t="s">
        <v>595</v>
      </c>
      <c r="C1236" s="106"/>
      <c r="E1236" s="928"/>
      <c r="G1236" s="133">
        <f>SUM(E1236:E1236)</f>
        <v>0</v>
      </c>
    </row>
    <row r="1237" spans="1:7">
      <c r="A1237" s="330"/>
      <c r="B1237" s="106" t="s">
        <v>170</v>
      </c>
      <c r="C1237" s="106"/>
      <c r="E1237" s="501">
        <f>SUM(E1236)</f>
        <v>0</v>
      </c>
      <c r="G1237" s="241">
        <f>SUM(G1236)</f>
        <v>0</v>
      </c>
    </row>
    <row r="1238" spans="1:7" ht="13.5" thickBot="1">
      <c r="A1238" s="330"/>
      <c r="B1238" s="106"/>
      <c r="C1238" s="106"/>
      <c r="G1238" s="242"/>
    </row>
    <row r="1239" spans="1:7" ht="13.5" thickTop="1">
      <c r="A1239" s="59" t="s">
        <v>664</v>
      </c>
      <c r="B1239" s="106"/>
      <c r="C1239" s="106"/>
      <c r="G1239" s="133"/>
    </row>
    <row r="1240" spans="1:7">
      <c r="A1240" s="330"/>
      <c r="B1240" s="106" t="s">
        <v>443</v>
      </c>
      <c r="C1240" s="106"/>
      <c r="E1240" s="501">
        <f>E1179+E1187+E1194+E1215+E1222+E1229</f>
        <v>0</v>
      </c>
      <c r="G1240" s="106">
        <f>G1179+G1187+G1194+G1215+G1222+G1229</f>
        <v>0</v>
      </c>
    </row>
    <row r="1241" spans="1:7">
      <c r="A1241" s="330"/>
      <c r="B1241" s="106" t="s">
        <v>592</v>
      </c>
      <c r="C1241" s="106"/>
      <c r="E1241" s="501">
        <f>E1174+E1188+E1195+E1201+E1216+E1223+E1230+E1206</f>
        <v>0</v>
      </c>
      <c r="G1241" s="106">
        <f>G1174+G1188+G1195+G1201+G1216+G1223+G1230+G1206</f>
        <v>0</v>
      </c>
    </row>
    <row r="1242" spans="1:7">
      <c r="A1242" s="330"/>
      <c r="B1242" s="106" t="s">
        <v>593</v>
      </c>
      <c r="C1242" s="106"/>
      <c r="E1242" s="501">
        <f>E1175+E1189+E1196+E1202+E1217+E1224+E1231+E1207</f>
        <v>0</v>
      </c>
      <c r="G1242" s="106">
        <f>G1175+G1189+G1196+G1202+G1217+G1224+G1231+G1207</f>
        <v>0</v>
      </c>
    </row>
    <row r="1243" spans="1:7">
      <c r="A1243" s="330"/>
      <c r="B1243" s="106" t="s">
        <v>595</v>
      </c>
      <c r="C1243" s="106"/>
      <c r="E1243" s="501">
        <f>E1183+E1190+E1197+E1211+E1218+E1225+E1232+E1236</f>
        <v>0</v>
      </c>
      <c r="G1243" s="106">
        <f>G1183+G1190+G1197+G1211+G1218+G1225+G1232+G1236</f>
        <v>0</v>
      </c>
    </row>
    <row r="1244" spans="1:7" ht="13.5" thickBot="1">
      <c r="A1244" s="330"/>
      <c r="B1244" s="106"/>
      <c r="C1244" s="106"/>
      <c r="G1244" s="263"/>
    </row>
    <row r="1245" spans="1:7" ht="13.5" thickTop="1">
      <c r="A1245" s="330"/>
      <c r="B1245" s="106"/>
      <c r="C1245" s="106"/>
      <c r="G1245" s="243"/>
    </row>
    <row r="1246" spans="1:7">
      <c r="A1246" s="330"/>
      <c r="B1246" s="61" t="s">
        <v>664</v>
      </c>
      <c r="C1246" s="106"/>
      <c r="E1246" s="501">
        <f t="shared" ref="E1246" si="30">+E1176+E1180+E1184+E1191+E1198+E1203+E1208+E1212+E1219+E1226+E1233+E1237</f>
        <v>0</v>
      </c>
      <c r="G1246" s="243">
        <f>+G1176+G1180+G1184+G1191+G1198+G1203+G1208+G1212+G1219+G1226+G1233+G1237</f>
        <v>0</v>
      </c>
    </row>
    <row r="1247" spans="1:7">
      <c r="A1247" s="330"/>
      <c r="B1247" s="106"/>
      <c r="C1247" s="106"/>
      <c r="G1247" s="133"/>
    </row>
    <row r="1248" spans="1:7">
      <c r="A1248" s="61" t="s">
        <v>687</v>
      </c>
      <c r="B1248" s="106"/>
      <c r="C1248" s="106"/>
      <c r="G1248" s="243"/>
    </row>
    <row r="1249" spans="1:7">
      <c r="A1249" s="61"/>
      <c r="B1249" s="106" t="s">
        <v>443</v>
      </c>
      <c r="C1249" s="106"/>
      <c r="E1249" s="501">
        <f t="shared" ref="E1249:E1252" si="31">E1162+E1240</f>
        <v>0</v>
      </c>
      <c r="G1249" s="133">
        <f>G1162+G1240</f>
        <v>0</v>
      </c>
    </row>
    <row r="1250" spans="1:7">
      <c r="A1250" s="61"/>
      <c r="B1250" s="106" t="s">
        <v>592</v>
      </c>
      <c r="C1250" s="106"/>
      <c r="E1250" s="501">
        <f t="shared" si="31"/>
        <v>0</v>
      </c>
      <c r="G1250" s="133">
        <f>G1163+G1241</f>
        <v>0</v>
      </c>
    </row>
    <row r="1251" spans="1:7">
      <c r="A1251" s="61"/>
      <c r="B1251" s="106" t="s">
        <v>593</v>
      </c>
      <c r="C1251" s="106"/>
      <c r="E1251" s="501">
        <f t="shared" si="31"/>
        <v>0</v>
      </c>
      <c r="G1251" s="133">
        <f>G1164+G1242</f>
        <v>0</v>
      </c>
    </row>
    <row r="1252" spans="1:7">
      <c r="A1252" s="61"/>
      <c r="B1252" s="106" t="s">
        <v>595</v>
      </c>
      <c r="C1252" s="106"/>
      <c r="E1252" s="501">
        <f t="shared" si="31"/>
        <v>0</v>
      </c>
      <c r="G1252" s="133">
        <f>G1165+G1243</f>
        <v>0</v>
      </c>
    </row>
    <row r="1253" spans="1:7" ht="13.5" thickBot="1">
      <c r="A1253" s="61"/>
      <c r="B1253" s="106"/>
      <c r="C1253" s="106"/>
      <c r="G1253" s="242"/>
    </row>
    <row r="1254" spans="1:7" ht="13.5" thickTop="1">
      <c r="A1254" s="61"/>
      <c r="B1254" s="106"/>
      <c r="C1254" s="106"/>
      <c r="G1254" s="133"/>
    </row>
    <row r="1255" spans="1:7">
      <c r="A1255" s="231"/>
      <c r="B1255" s="61" t="s">
        <v>687</v>
      </c>
      <c r="C1255" s="106"/>
      <c r="E1255" s="501">
        <f>E1168+E1246</f>
        <v>0</v>
      </c>
      <c r="G1255" s="133">
        <f>G1168+G1246</f>
        <v>0</v>
      </c>
    </row>
    <row r="1256" spans="1:7">
      <c r="G1256" s="551"/>
    </row>
    <row r="1257" spans="1:7">
      <c r="A1257" s="61" t="s">
        <v>691</v>
      </c>
      <c r="B1257" s="106"/>
      <c r="C1257" s="106"/>
      <c r="G1257" s="133"/>
    </row>
    <row r="1258" spans="1:7">
      <c r="A1258" s="231"/>
      <c r="B1258" s="106"/>
      <c r="C1258" s="106"/>
      <c r="G1258" s="133"/>
    </row>
    <row r="1259" spans="1:7">
      <c r="A1259" s="231"/>
      <c r="B1259" s="33" t="s">
        <v>481</v>
      </c>
      <c r="C1259" s="106"/>
      <c r="G1259" s="133"/>
    </row>
    <row r="1260" spans="1:7">
      <c r="A1260" s="231"/>
      <c r="B1260" s="106"/>
      <c r="C1260" s="106" t="s">
        <v>482</v>
      </c>
      <c r="E1260" s="501">
        <f>E677</f>
        <v>0</v>
      </c>
      <c r="G1260" s="133">
        <f t="shared" ref="G1260:G1268" si="32">SUM(E1260:E1260)</f>
        <v>0</v>
      </c>
    </row>
    <row r="1261" spans="1:7">
      <c r="A1261" s="231"/>
      <c r="B1261" s="106"/>
      <c r="C1261" s="106" t="s">
        <v>483</v>
      </c>
      <c r="E1261" s="501">
        <f>E930</f>
        <v>7353381.9971292093</v>
      </c>
      <c r="G1261" s="133">
        <f t="shared" si="32"/>
        <v>7353381.9971292093</v>
      </c>
    </row>
    <row r="1262" spans="1:7">
      <c r="A1262" s="231"/>
      <c r="B1262" s="106"/>
      <c r="C1262" s="106" t="s">
        <v>665</v>
      </c>
      <c r="E1262" s="501">
        <v>0</v>
      </c>
      <c r="G1262" s="133">
        <f t="shared" si="32"/>
        <v>0</v>
      </c>
    </row>
    <row r="1263" spans="1:7">
      <c r="A1263" s="231"/>
      <c r="B1263" s="106"/>
      <c r="C1263" s="106" t="s">
        <v>484</v>
      </c>
      <c r="E1263" s="501">
        <f>E959</f>
        <v>0</v>
      </c>
      <c r="G1263" s="133">
        <f t="shared" si="32"/>
        <v>0</v>
      </c>
    </row>
    <row r="1264" spans="1:7">
      <c r="A1264" s="231"/>
      <c r="B1264" s="106"/>
      <c r="C1264" s="106" t="s">
        <v>485</v>
      </c>
      <c r="E1264" s="501">
        <f>E961+E963+E965</f>
        <v>0</v>
      </c>
      <c r="G1264" s="133">
        <f t="shared" si="32"/>
        <v>0</v>
      </c>
    </row>
    <row r="1265" spans="1:7">
      <c r="A1265" s="231"/>
      <c r="B1265" s="106"/>
      <c r="C1265" s="106" t="s">
        <v>605</v>
      </c>
      <c r="E1265" s="501">
        <v>0</v>
      </c>
      <c r="G1265" s="133">
        <f t="shared" si="32"/>
        <v>0</v>
      </c>
    </row>
    <row r="1266" spans="1:7">
      <c r="A1266" s="231"/>
      <c r="B1266" s="106"/>
      <c r="C1266" s="106" t="s">
        <v>606</v>
      </c>
      <c r="E1266" s="501">
        <v>0</v>
      </c>
      <c r="G1266" s="133">
        <f t="shared" si="32"/>
        <v>0</v>
      </c>
    </row>
    <row r="1267" spans="1:7" ht="13.5" thickBot="1">
      <c r="A1267" s="231"/>
      <c r="B1267" s="106"/>
      <c r="C1267" s="106"/>
      <c r="G1267" s="262">
        <f t="shared" si="32"/>
        <v>0</v>
      </c>
    </row>
    <row r="1268" spans="1:7">
      <c r="A1268" s="231"/>
      <c r="B1268" s="106"/>
      <c r="C1268" s="33" t="s">
        <v>481</v>
      </c>
      <c r="E1268" s="501">
        <f>SUM(E1260:E1266)</f>
        <v>7353381.9971292093</v>
      </c>
      <c r="G1268" s="133">
        <f t="shared" si="32"/>
        <v>7353381.9971292093</v>
      </c>
    </row>
    <row r="1269" spans="1:7">
      <c r="A1269" s="231"/>
      <c r="B1269" s="106"/>
      <c r="C1269" s="33"/>
      <c r="G1269" s="133"/>
    </row>
    <row r="1270" spans="1:7">
      <c r="A1270" s="231"/>
      <c r="B1270" s="106"/>
      <c r="C1270" s="33" t="s">
        <v>671</v>
      </c>
      <c r="E1270" s="501">
        <f>+E1268/365</f>
        <v>20146.252046929341</v>
      </c>
      <c r="G1270" s="133">
        <f>SUM(E1270:E1270)</f>
        <v>20146.252046929341</v>
      </c>
    </row>
    <row r="1271" spans="1:7">
      <c r="A1271" s="231"/>
      <c r="B1271" s="106"/>
      <c r="C1271" s="106"/>
      <c r="G1271" s="133"/>
    </row>
    <row r="1272" spans="1:7">
      <c r="A1272" s="231"/>
      <c r="B1272" s="33" t="s">
        <v>486</v>
      </c>
      <c r="C1272" s="106"/>
      <c r="E1272" s="244">
        <f>'Control Panel'!$F$21</f>
        <v>1.0149999999999999</v>
      </c>
      <c r="G1272" s="244">
        <f>'Control Panel'!$F$21</f>
        <v>1.0149999999999999</v>
      </c>
    </row>
    <row r="1273" spans="1:7" ht="13.5" thickBot="1">
      <c r="A1273" s="231"/>
      <c r="B1273" s="106"/>
      <c r="C1273" s="106"/>
      <c r="G1273" s="242"/>
    </row>
    <row r="1274" spans="1:7" ht="13.5" thickTop="1">
      <c r="A1274" s="231"/>
      <c r="B1274" s="106"/>
      <c r="C1274" s="106"/>
      <c r="G1274" s="133"/>
    </row>
    <row r="1275" spans="1:7">
      <c r="A1275" s="231"/>
      <c r="B1275" s="61" t="s">
        <v>691</v>
      </c>
      <c r="C1275" s="106"/>
      <c r="E1275" s="501">
        <f>E1270*E1272</f>
        <v>20448.445827633281</v>
      </c>
      <c r="G1275" s="133">
        <f>SUM(E1275:E1275)</f>
        <v>20448.445827633281</v>
      </c>
    </row>
    <row r="1276" spans="1:7" ht="13.5" thickBot="1">
      <c r="A1276" s="231"/>
      <c r="B1276" s="106"/>
      <c r="C1276" s="106"/>
      <c r="G1276" s="242">
        <f>G1272*G1270</f>
        <v>20448.445827633281</v>
      </c>
    </row>
    <row r="1277" spans="1:7" ht="13.5" thickTop="1">
      <c r="A1277" s="231"/>
      <c r="B1277" s="106"/>
      <c r="C1277" s="106"/>
      <c r="G1277" s="133"/>
    </row>
    <row r="1278" spans="1:7">
      <c r="A1278" s="61" t="s">
        <v>284</v>
      </c>
      <c r="B1278" s="106"/>
      <c r="C1278" s="106"/>
      <c r="G1278" s="133"/>
    </row>
    <row r="1279" spans="1:7">
      <c r="A1279" s="61"/>
      <c r="B1279" s="106" t="s">
        <v>443</v>
      </c>
      <c r="C1279" s="106"/>
      <c r="E1279" s="501">
        <f t="shared" ref="E1279:E1281" si="33">E1249</f>
        <v>0</v>
      </c>
      <c r="G1279" s="133">
        <f>SUM(E1279:E1279)</f>
        <v>0</v>
      </c>
    </row>
    <row r="1280" spans="1:7">
      <c r="A1280" s="61"/>
      <c r="B1280" s="106" t="s">
        <v>592</v>
      </c>
      <c r="C1280" s="106"/>
      <c r="E1280" s="501">
        <f t="shared" si="33"/>
        <v>0</v>
      </c>
      <c r="G1280" s="133">
        <f>SUM(E1280:E1280)</f>
        <v>0</v>
      </c>
    </row>
    <row r="1281" spans="1:7">
      <c r="A1281" s="61"/>
      <c r="B1281" s="106" t="s">
        <v>593</v>
      </c>
      <c r="C1281" s="106"/>
      <c r="E1281" s="501">
        <f t="shared" si="33"/>
        <v>0</v>
      </c>
      <c r="G1281" s="133">
        <f>SUM(E1281:E1281)</f>
        <v>0</v>
      </c>
    </row>
    <row r="1282" spans="1:7">
      <c r="A1282" s="61"/>
      <c r="B1282" s="106" t="s">
        <v>595</v>
      </c>
      <c r="C1282" s="106"/>
      <c r="E1282" s="501">
        <f>E1252+E1275</f>
        <v>20448.445827633281</v>
      </c>
      <c r="G1282" s="133">
        <f>G1252+G1275</f>
        <v>20448.445827633281</v>
      </c>
    </row>
    <row r="1283" spans="1:7" ht="13.5" thickBot="1">
      <c r="A1283" s="61"/>
      <c r="B1283" s="106"/>
      <c r="C1283" s="106"/>
      <c r="G1283" s="242">
        <f>SUM(E1283:E1283)</f>
        <v>0</v>
      </c>
    </row>
    <row r="1284" spans="1:7" ht="13.5" thickTop="1">
      <c r="A1284" s="61"/>
      <c r="B1284" s="106"/>
      <c r="C1284" s="106"/>
      <c r="G1284" s="133">
        <f>SUM(E1284:E1284)</f>
        <v>0</v>
      </c>
    </row>
    <row r="1285" spans="1:7">
      <c r="A1285" s="231"/>
      <c r="B1285" s="61" t="s">
        <v>284</v>
      </c>
      <c r="C1285" s="106"/>
      <c r="E1285" s="501">
        <f>E1255+E1275</f>
        <v>20448.445827633281</v>
      </c>
      <c r="G1285" s="133">
        <f>SUM(E1285:E1285)</f>
        <v>20448.445827633281</v>
      </c>
    </row>
    <row r="1286" spans="1:7">
      <c r="A1286" s="231"/>
      <c r="B1286" s="61"/>
      <c r="C1286" s="106"/>
    </row>
  </sheetData>
  <mergeCells count="3">
    <mergeCell ref="B9:I9"/>
    <mergeCell ref="B10:I10"/>
    <mergeCell ref="C16:D16"/>
  </mergeCells>
  <pageMargins left="0.7" right="0.7" top="0.75" bottom="0.75" header="0.3" footer="0.3"/>
  <pageSetup scale="63" orientation="portrait" horizontalDpi="1200" verticalDpi="1200" r:id="rId1"/>
  <colBreaks count="1" manualBreakCount="1">
    <brk id="1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55074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1803</xdr:row>
                    <xdr:rowOff>47625</xdr:rowOff>
                  </from>
                  <to>
                    <xdr:col>1</xdr:col>
                    <xdr:colOff>238125</xdr:colOff>
                    <xdr:row>1804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075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1803</xdr:row>
                    <xdr:rowOff>47625</xdr:rowOff>
                  </from>
                  <to>
                    <xdr:col>1</xdr:col>
                    <xdr:colOff>238125</xdr:colOff>
                    <xdr:row>1804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58146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147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149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150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59170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171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173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174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60194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195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197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198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61218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219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221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222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AB74"/>
  <sheetViews>
    <sheetView workbookViewId="0">
      <selection activeCell="L16" sqref="L16"/>
    </sheetView>
  </sheetViews>
  <sheetFormatPr defaultColWidth="14.7109375" defaultRowHeight="12.75"/>
  <cols>
    <col min="1" max="1" width="5.7109375" style="15" customWidth="1"/>
    <col min="2" max="2" width="3.7109375" style="15" customWidth="1"/>
    <col min="3" max="3" width="5.7109375" style="15" customWidth="1"/>
    <col min="4" max="4" width="3.7109375" style="15" customWidth="1"/>
    <col min="5" max="5" width="29.140625" style="15" customWidth="1"/>
    <col min="6" max="6" width="28" style="15" hidden="1" customWidth="1"/>
    <col min="7" max="7" width="12.28515625" style="15" bestFit="1" customWidth="1"/>
    <col min="8" max="8" width="11.85546875" style="15" customWidth="1"/>
    <col min="9" max="9" width="12.85546875" style="15" customWidth="1"/>
    <col min="10" max="20" width="11.85546875" style="15" customWidth="1"/>
    <col min="21" max="25" width="11.85546875" style="15" hidden="1" customWidth="1"/>
    <col min="26" max="26" width="12.28515625" style="15" bestFit="1" customWidth="1"/>
    <col min="27" max="28" width="12.28515625" style="15" hidden="1" customWidth="1"/>
    <col min="29" max="36" width="14.7109375" style="15" customWidth="1"/>
    <col min="37" max="37" width="1.140625" style="15" customWidth="1"/>
    <col min="38" max="38" width="14.7109375" style="15" customWidth="1"/>
    <col min="39" max="39" width="3.7109375" style="15" customWidth="1"/>
    <col min="40" max="40" width="15.85546875" style="15" customWidth="1"/>
    <col min="41" max="88" width="14.7109375" style="15" customWidth="1"/>
    <col min="89" max="89" width="16.85546875" style="15" customWidth="1"/>
    <col min="90" max="100" width="14.7109375" style="15" customWidth="1"/>
    <col min="101" max="101" width="15.42578125" style="15" customWidth="1"/>
    <col min="102" max="115" width="14.7109375" style="15" customWidth="1"/>
    <col min="116" max="116" width="16.85546875" style="15" customWidth="1"/>
    <col min="117" max="118" width="14.7109375" style="15" customWidth="1"/>
    <col min="119" max="119" width="16.42578125" style="15" customWidth="1"/>
    <col min="120" max="133" width="14.7109375" style="15" customWidth="1"/>
    <col min="134" max="134" width="1" style="15" customWidth="1"/>
    <col min="135" max="135" width="14.7109375" style="15" customWidth="1"/>
    <col min="136" max="136" width="2" style="15" customWidth="1"/>
    <col min="137" max="140" width="14.7109375" style="15" customWidth="1"/>
    <col min="141" max="141" width="16.28515625" style="15" customWidth="1"/>
    <col min="142" max="16384" width="14.7109375" style="15"/>
  </cols>
  <sheetData>
    <row r="1" spans="1:28">
      <c r="A1" s="98" t="str">
        <f>+'Control Panel'!$B$1</f>
        <v>Dominion Energy</v>
      </c>
      <c r="B1" s="585"/>
      <c r="C1" s="585"/>
      <c r="D1" s="585"/>
      <c r="E1" s="585"/>
      <c r="F1" s="585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>
      <c r="A2" s="98" t="str">
        <f>+'Control Panel'!$B$2</f>
        <v>Utah - DEC 2019 Adjusted Avg  Results</v>
      </c>
      <c r="B2" s="585"/>
      <c r="C2" s="585"/>
      <c r="D2" s="585"/>
      <c r="E2" s="585"/>
      <c r="F2" s="585"/>
    </row>
    <row r="3" spans="1:28" s="648" customFormat="1" ht="15" customHeight="1">
      <c r="A3" s="123" t="str">
        <f>+'Control Panel'!$B$3</f>
        <v>12 Months Ended : Dec-2019</v>
      </c>
      <c r="B3" s="585"/>
      <c r="C3" s="585"/>
      <c r="D3" s="585"/>
      <c r="E3" s="585"/>
      <c r="F3" s="585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</row>
    <row r="4" spans="1:28">
      <c r="A4" s="123"/>
      <c r="B4" s="585"/>
      <c r="C4" s="585"/>
      <c r="D4" s="585"/>
      <c r="E4" s="585"/>
      <c r="F4" s="585"/>
      <c r="G4" s="79">
        <f>+Adjustments!F6</f>
        <v>1</v>
      </c>
      <c r="H4" s="79">
        <f>+Adjustments!G6</f>
        <v>2</v>
      </c>
      <c r="I4" s="79">
        <f>+Adjustments!H6</f>
        <v>3</v>
      </c>
      <c r="J4" s="79">
        <f>+Adjustments!I6</f>
        <v>4</v>
      </c>
      <c r="K4" s="79">
        <f>+Adjustments!J6</f>
        <v>5</v>
      </c>
      <c r="L4" s="79">
        <f>+Adjustments!K6</f>
        <v>6</v>
      </c>
      <c r="M4" s="79">
        <f>+Adjustments!L6</f>
        <v>7</v>
      </c>
      <c r="N4" s="79">
        <f>+Adjustments!M6</f>
        <v>8</v>
      </c>
      <c r="O4" s="79">
        <f>+Adjustments!N6</f>
        <v>9</v>
      </c>
      <c r="P4" s="79">
        <f>+Adjustments!O6</f>
        <v>10</v>
      </c>
      <c r="Q4" s="79">
        <f>+Adjustments!P6</f>
        <v>11</v>
      </c>
      <c r="R4" s="79">
        <f>+Adjustments!Q6</f>
        <v>12</v>
      </c>
      <c r="S4" s="79">
        <f>+Adjustments!R6</f>
        <v>13</v>
      </c>
      <c r="T4" s="79">
        <f>+Adjustments!S6</f>
        <v>14</v>
      </c>
      <c r="U4" s="79">
        <f>+Adjustments!T6</f>
        <v>15</v>
      </c>
      <c r="V4" s="79">
        <f>+Adjustments!U6</f>
        <v>16</v>
      </c>
      <c r="W4" s="79">
        <f>+Adjustments!V6</f>
        <v>17</v>
      </c>
      <c r="X4" s="79">
        <f>+Adjustments!W6</f>
        <v>18</v>
      </c>
      <c r="Y4" s="79">
        <f>+Adjustments!X6</f>
        <v>19</v>
      </c>
      <c r="Z4" s="79"/>
      <c r="AA4" s="79"/>
      <c r="AB4" s="79"/>
    </row>
    <row r="5" spans="1:28" s="648" customFormat="1" ht="22.5" customHeight="1">
      <c r="A5" s="105"/>
      <c r="B5" s="585"/>
      <c r="C5" s="585"/>
      <c r="D5" s="585"/>
      <c r="E5" s="585"/>
      <c r="F5" s="585"/>
      <c r="G5" s="79" t="str">
        <f>+Adjustments!F8</f>
        <v>Y</v>
      </c>
      <c r="H5" s="79" t="str">
        <f>+Adjustments!G8</f>
        <v>Y</v>
      </c>
      <c r="I5" s="79" t="str">
        <f>+Adjustments!H8</f>
        <v>Y</v>
      </c>
      <c r="J5" s="79" t="str">
        <f>+Adjustments!I8</f>
        <v>Y</v>
      </c>
      <c r="K5" s="79" t="str">
        <f>+Adjustments!J8</f>
        <v>Y</v>
      </c>
      <c r="L5" s="79" t="str">
        <f>+Adjustments!K8</f>
        <v>Y</v>
      </c>
      <c r="M5" s="79" t="str">
        <f>+Adjustments!L8</f>
        <v>Y</v>
      </c>
      <c r="N5" s="79" t="str">
        <f>+Adjustments!M8</f>
        <v>Y</v>
      </c>
      <c r="O5" s="79" t="str">
        <f>+Adjustments!N8</f>
        <v>Y</v>
      </c>
      <c r="P5" s="79" t="str">
        <f>+Adjustments!O8</f>
        <v>Y</v>
      </c>
      <c r="Q5" s="79" t="str">
        <f>+Adjustments!P8</f>
        <v>Y</v>
      </c>
      <c r="R5" s="79" t="str">
        <f>+Adjustments!Q8</f>
        <v>Y</v>
      </c>
      <c r="S5" s="79" t="str">
        <f>+Adjustments!R8</f>
        <v>Y</v>
      </c>
      <c r="T5" s="79" t="str">
        <f>+Adjustments!S8</f>
        <v>Y</v>
      </c>
      <c r="U5" s="79" t="str">
        <f>+Adjustments!T8</f>
        <v>N</v>
      </c>
      <c r="V5" s="79" t="str">
        <f>+Adjustments!U8</f>
        <v>N</v>
      </c>
      <c r="W5" s="79" t="str">
        <f>+Adjustments!V8</f>
        <v>N</v>
      </c>
      <c r="X5" s="79" t="str">
        <f>+Adjustments!W8</f>
        <v>N</v>
      </c>
      <c r="Y5" s="79" t="str">
        <f>+Adjustments!X8</f>
        <v>N</v>
      </c>
      <c r="Z5" s="79"/>
      <c r="AA5" s="79"/>
      <c r="AB5" s="79"/>
    </row>
    <row r="6" spans="1:28" ht="49.5" customHeight="1" thickBot="1">
      <c r="A6" s="585"/>
      <c r="B6" s="585"/>
      <c r="C6" s="585"/>
      <c r="D6" s="585"/>
      <c r="E6" s="585"/>
      <c r="F6" s="585"/>
      <c r="G6" s="80" t="str">
        <f>Adjustments!F9</f>
        <v>AVG RB DEC 2019</v>
      </c>
      <c r="H6" s="80" t="str">
        <f>Adjustments!G9</f>
        <v>Expense 2019</v>
      </c>
      <c r="I6" s="80" t="str">
        <f>Adjustments!H9</f>
        <v>AVG Projected Rev 2019 with CET</v>
      </c>
      <c r="J6" s="80" t="str">
        <f>Adjustments!I9</f>
        <v>Underground Storage</v>
      </c>
      <c r="K6" s="80" t="str">
        <f>Adjustments!J9</f>
        <v>Wexpro</v>
      </c>
      <c r="L6" s="80" t="str">
        <f>Adjustments!K9</f>
        <v>Energy Efficiency 2019</v>
      </c>
      <c r="M6" s="80" t="str">
        <f>Adjustments!L9</f>
        <v>Utah Bad Debt 2019</v>
      </c>
      <c r="N6" s="80" t="str">
        <f>Adjustments!M9</f>
        <v>DEU Incentives 2019</v>
      </c>
      <c r="O6" s="80" t="str">
        <f>Adjustments!N9</f>
        <v>Sporting Events 2019</v>
      </c>
      <c r="P6" s="80" t="str">
        <f>Adjustments!O9</f>
        <v>Advertising 2019</v>
      </c>
      <c r="Q6" s="80" t="str">
        <f>Adjustments!P9</f>
        <v>Donations &amp; Membership 2019</v>
      </c>
      <c r="R6" s="80" t="str">
        <f>Adjustments!Q9</f>
        <v>Reserve Accrual 2019</v>
      </c>
      <c r="S6" s="80" t="str">
        <f>Adjustments!R9</f>
        <v>Corporate Overhead 2019</v>
      </c>
      <c r="T6" s="80" t="str">
        <f>Adjustments!S9</f>
        <v>2019 Transition</v>
      </c>
      <c r="U6" s="80" t="str">
        <f>Adjustments!T9</f>
        <v>Optional Adjustment 2</v>
      </c>
      <c r="V6" s="80" t="str">
        <f>Adjustments!U9</f>
        <v>Optional Adjustment 3</v>
      </c>
      <c r="W6" s="80" t="str">
        <f>Adjustments!V9</f>
        <v>Optional Adjustment 4</v>
      </c>
      <c r="X6" s="80" t="str">
        <f>Adjustments!W9</f>
        <v>Optional Adjustment 5</v>
      </c>
      <c r="Y6" s="80" t="str">
        <f>Adjustments!X9</f>
        <v>Optional Adjustment 6</v>
      </c>
      <c r="Z6" s="80" t="str">
        <f>Adjustments!AU9</f>
        <v>TOTAL QGC ADJUSTMENTS</v>
      </c>
      <c r="AA6" s="80" t="str">
        <f>Adjustments!AW9</f>
        <v>RESULTING TOTAL</v>
      </c>
      <c r="AB6" s="80" t="str">
        <f>Adjustments!AX9</f>
        <v>CHECKS MUST BE (0)</v>
      </c>
    </row>
    <row r="7" spans="1:28">
      <c r="A7" s="237"/>
      <c r="B7" s="585"/>
      <c r="C7" s="585"/>
      <c r="D7" s="585"/>
      <c r="E7" s="585"/>
      <c r="F7" s="585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</row>
    <row r="8" spans="1:28">
      <c r="A8" s="237">
        <v>1</v>
      </c>
      <c r="B8" s="115" t="s">
        <v>487</v>
      </c>
      <c r="C8" s="115"/>
      <c r="D8" s="115"/>
      <c r="E8" s="115"/>
      <c r="F8" s="115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</row>
    <row r="9" spans="1:28">
      <c r="A9" s="237"/>
      <c r="B9" s="585"/>
      <c r="C9" s="585"/>
      <c r="D9" s="585"/>
      <c r="E9" s="585"/>
      <c r="F9" s="585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</row>
    <row r="10" spans="1:28">
      <c r="A10" s="237">
        <f>+A8+1</f>
        <v>2</v>
      </c>
      <c r="B10" s="5" t="s">
        <v>184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</row>
    <row r="11" spans="1:28">
      <c r="A11" s="237">
        <f t="shared" ref="A11:A16" si="0">+A10+1</f>
        <v>3</v>
      </c>
      <c r="B11" s="5"/>
      <c r="C11" s="114"/>
      <c r="D11" s="114" t="s">
        <v>488</v>
      </c>
      <c r="E11" s="114"/>
      <c r="F11" s="114"/>
      <c r="G11" s="114">
        <f>Adjustments!F363+Adjustments!F365</f>
        <v>0</v>
      </c>
      <c r="H11" s="114">
        <f>Adjustments!G363+Adjustments!G365</f>
        <v>0</v>
      </c>
      <c r="I11" s="114">
        <f>Adjustments!H363+Adjustments!H365</f>
        <v>-5965680.626804444</v>
      </c>
      <c r="J11" s="114">
        <f>Adjustments!I363+Adjustments!I365</f>
        <v>0</v>
      </c>
      <c r="K11" s="114">
        <f>Adjustments!J363+Adjustments!J365</f>
        <v>0</v>
      </c>
      <c r="L11" s="114">
        <f>Adjustments!K363+Adjustments!K365</f>
        <v>0</v>
      </c>
      <c r="M11" s="114">
        <f>Adjustments!L363+Adjustments!L365</f>
        <v>0</v>
      </c>
      <c r="N11" s="114">
        <f>Adjustments!M363+Adjustments!M365</f>
        <v>0</v>
      </c>
      <c r="O11" s="114">
        <f>Adjustments!N363+Adjustments!N365</f>
        <v>0</v>
      </c>
      <c r="P11" s="114">
        <f>Adjustments!O363+Adjustments!O365</f>
        <v>0</v>
      </c>
      <c r="Q11" s="114">
        <f>Adjustments!P363+Adjustments!P365</f>
        <v>0</v>
      </c>
      <c r="R11" s="114">
        <f>Adjustments!Q363+Adjustments!Q365</f>
        <v>0</v>
      </c>
      <c r="S11" s="114">
        <f>Adjustments!R363+Adjustments!R365</f>
        <v>0</v>
      </c>
      <c r="T11" s="114">
        <f>Adjustments!S363+Adjustments!S365</f>
        <v>0</v>
      </c>
      <c r="U11" s="114">
        <f>Adjustments!T363+Adjustments!T365</f>
        <v>0</v>
      </c>
      <c r="V11" s="114">
        <f>Adjustments!U363+Adjustments!U365</f>
        <v>0</v>
      </c>
      <c r="W11" s="114">
        <f>Adjustments!V363+Adjustments!V365</f>
        <v>0</v>
      </c>
      <c r="X11" s="114">
        <f>Adjustments!W363+Adjustments!W365</f>
        <v>0</v>
      </c>
      <c r="Y11" s="114">
        <f>Adjustments!X363+Adjustments!X365</f>
        <v>0</v>
      </c>
      <c r="Z11" s="114">
        <f>Adjustments!AU363+Adjustments!AU365</f>
        <v>-5965680.626804444</v>
      </c>
      <c r="AA11" s="114">
        <f>SUM(G11:Y11)</f>
        <v>-5965680.626804444</v>
      </c>
      <c r="AB11" s="114">
        <f>+Z11-AA11</f>
        <v>0</v>
      </c>
    </row>
    <row r="12" spans="1:28">
      <c r="A12" s="237">
        <f t="shared" si="0"/>
        <v>4</v>
      </c>
      <c r="B12" s="5"/>
      <c r="C12" s="114"/>
      <c r="D12" s="114" t="s">
        <v>489</v>
      </c>
      <c r="E12" s="114"/>
      <c r="F12" s="114"/>
      <c r="G12" s="114">
        <f>Adjustments!F364</f>
        <v>0</v>
      </c>
      <c r="H12" s="114">
        <f>Adjustments!G364</f>
        <v>0</v>
      </c>
      <c r="I12" s="114">
        <f>Adjustments!H364</f>
        <v>17380587.811989293</v>
      </c>
      <c r="J12" s="114">
        <f>Adjustments!I364</f>
        <v>0</v>
      </c>
      <c r="K12" s="114">
        <f>Adjustments!J364</f>
        <v>0</v>
      </c>
      <c r="L12" s="114">
        <f>Adjustments!K364</f>
        <v>0</v>
      </c>
      <c r="M12" s="114">
        <f>Adjustments!L364</f>
        <v>0</v>
      </c>
      <c r="N12" s="114">
        <f>Adjustments!M364</f>
        <v>0</v>
      </c>
      <c r="O12" s="114">
        <f>Adjustments!N364</f>
        <v>0</v>
      </c>
      <c r="P12" s="114">
        <f>Adjustments!O364</f>
        <v>0</v>
      </c>
      <c r="Q12" s="114">
        <f>Adjustments!P364</f>
        <v>0</v>
      </c>
      <c r="R12" s="114">
        <f>Adjustments!Q364</f>
        <v>0</v>
      </c>
      <c r="S12" s="114">
        <f>Adjustments!R364</f>
        <v>0</v>
      </c>
      <c r="T12" s="114">
        <f>Adjustments!S364</f>
        <v>0</v>
      </c>
      <c r="U12" s="114">
        <f>Adjustments!T364</f>
        <v>0</v>
      </c>
      <c r="V12" s="114">
        <f>Adjustments!U364</f>
        <v>0</v>
      </c>
      <c r="W12" s="114">
        <f>Adjustments!V364</f>
        <v>0</v>
      </c>
      <c r="X12" s="114">
        <f>Adjustments!W364</f>
        <v>0</v>
      </c>
      <c r="Y12" s="114">
        <f>Adjustments!X364</f>
        <v>0</v>
      </c>
      <c r="Z12" s="114">
        <f>Adjustments!AU364</f>
        <v>17380587.811989293</v>
      </c>
      <c r="AA12" s="114">
        <f>SUM(G12:Y12)</f>
        <v>17380587.811989293</v>
      </c>
      <c r="AB12" s="114">
        <f t="shared" ref="AB12:AB15" si="1">+Z12-AA12</f>
        <v>0</v>
      </c>
    </row>
    <row r="13" spans="1:28">
      <c r="A13" s="237">
        <f t="shared" si="0"/>
        <v>5</v>
      </c>
      <c r="B13" s="5"/>
      <c r="C13" s="114"/>
      <c r="D13" s="114" t="s">
        <v>490</v>
      </c>
      <c r="E13" s="114"/>
      <c r="F13" s="114"/>
      <c r="G13" s="114">
        <f>Adjustments!F366</f>
        <v>0</v>
      </c>
      <c r="H13" s="114">
        <f>Adjustments!G366</f>
        <v>0</v>
      </c>
      <c r="I13" s="114">
        <f>Adjustments!H366</f>
        <v>-28713744.715467051</v>
      </c>
      <c r="J13" s="114">
        <f>Adjustments!I366</f>
        <v>0</v>
      </c>
      <c r="K13" s="114">
        <f>Adjustments!J366</f>
        <v>0</v>
      </c>
      <c r="L13" s="114">
        <f>Adjustments!K366</f>
        <v>0</v>
      </c>
      <c r="M13" s="114">
        <f>Adjustments!L366</f>
        <v>0</v>
      </c>
      <c r="N13" s="114">
        <f>Adjustments!M366</f>
        <v>0</v>
      </c>
      <c r="O13" s="114">
        <f>Adjustments!N366</f>
        <v>0</v>
      </c>
      <c r="P13" s="114">
        <f>Adjustments!O366</f>
        <v>0</v>
      </c>
      <c r="Q13" s="114">
        <f>Adjustments!P366</f>
        <v>0</v>
      </c>
      <c r="R13" s="114">
        <f>Adjustments!Q366</f>
        <v>0</v>
      </c>
      <c r="S13" s="114">
        <f>Adjustments!R366</f>
        <v>0</v>
      </c>
      <c r="T13" s="114">
        <f>Adjustments!S366</f>
        <v>0</v>
      </c>
      <c r="U13" s="114">
        <f>Adjustments!T366</f>
        <v>0</v>
      </c>
      <c r="V13" s="114">
        <f>Adjustments!U366</f>
        <v>0</v>
      </c>
      <c r="W13" s="114">
        <f>Adjustments!V366</f>
        <v>0</v>
      </c>
      <c r="X13" s="114">
        <f>Adjustments!W366</f>
        <v>0</v>
      </c>
      <c r="Y13" s="114">
        <f>Adjustments!X366</f>
        <v>0</v>
      </c>
      <c r="Z13" s="114">
        <f>Adjustments!AU366</f>
        <v>-28713744.715467051</v>
      </c>
      <c r="AA13" s="114">
        <f>SUM(G13:Y13)</f>
        <v>-28713744.715467051</v>
      </c>
      <c r="AB13" s="114">
        <f t="shared" si="1"/>
        <v>0</v>
      </c>
    </row>
    <row r="14" spans="1:28">
      <c r="A14" s="237">
        <f t="shared" si="0"/>
        <v>6</v>
      </c>
      <c r="B14" s="5"/>
      <c r="C14" s="114"/>
      <c r="D14" s="114" t="s">
        <v>491</v>
      </c>
      <c r="E14" s="114"/>
      <c r="F14" s="114"/>
      <c r="G14" s="114">
        <f>Adjustments!F501+Adjustments!F505</f>
        <v>0</v>
      </c>
      <c r="H14" s="114">
        <f>Adjustments!G501+Adjustments!G505</f>
        <v>0</v>
      </c>
      <c r="I14" s="114">
        <f>Adjustments!H501+Adjustments!H505</f>
        <v>0</v>
      </c>
      <c r="J14" s="114">
        <f>Adjustments!I501+Adjustments!I505</f>
        <v>0</v>
      </c>
      <c r="K14" s="114">
        <f>Adjustments!J501+Adjustments!J505</f>
        <v>0</v>
      </c>
      <c r="L14" s="114">
        <f>Adjustments!K501+Adjustments!K505</f>
        <v>0</v>
      </c>
      <c r="M14" s="114">
        <f>Adjustments!L501+Adjustments!L505</f>
        <v>0</v>
      </c>
      <c r="N14" s="114">
        <f>Adjustments!M501+Adjustments!M505</f>
        <v>0</v>
      </c>
      <c r="O14" s="114">
        <f>Adjustments!N501+Adjustments!N505</f>
        <v>0</v>
      </c>
      <c r="P14" s="114">
        <f>Adjustments!O501+Adjustments!O505</f>
        <v>0</v>
      </c>
      <c r="Q14" s="114">
        <f>Adjustments!P501+Adjustments!P505</f>
        <v>0</v>
      </c>
      <c r="R14" s="114">
        <f>Adjustments!Q501+Adjustments!Q505</f>
        <v>0</v>
      </c>
      <c r="S14" s="114">
        <f>Adjustments!R501+Adjustments!R505</f>
        <v>0</v>
      </c>
      <c r="T14" s="114">
        <f>Adjustments!S501+Adjustments!S505</f>
        <v>0</v>
      </c>
      <c r="U14" s="114">
        <f>Adjustments!T501+Adjustments!T505</f>
        <v>0</v>
      </c>
      <c r="V14" s="114">
        <f>Adjustments!U501+Adjustments!U505</f>
        <v>0</v>
      </c>
      <c r="W14" s="114">
        <f>Adjustments!V501+Adjustments!V505</f>
        <v>0</v>
      </c>
      <c r="X14" s="114">
        <f>Adjustments!W501+Adjustments!W505</f>
        <v>0</v>
      </c>
      <c r="Y14" s="114">
        <f>Adjustments!X501+Adjustments!X505</f>
        <v>0</v>
      </c>
      <c r="Z14" s="114">
        <f>Adjustments!AU501+Adjustments!AU505</f>
        <v>0</v>
      </c>
      <c r="AA14" s="114">
        <f>SUM(G14:Y14)</f>
        <v>0</v>
      </c>
      <c r="AB14" s="114">
        <f t="shared" si="1"/>
        <v>0</v>
      </c>
    </row>
    <row r="15" spans="1:28" ht="13.5" thickBot="1">
      <c r="A15" s="237">
        <f t="shared" si="0"/>
        <v>7</v>
      </c>
      <c r="B15" s="5"/>
      <c r="C15" s="114"/>
      <c r="D15" s="114" t="s">
        <v>492</v>
      </c>
      <c r="E15" s="114"/>
      <c r="F15" s="114"/>
      <c r="G15" s="114">
        <f>Adjustments!F502+Adjustments!F506</f>
        <v>0</v>
      </c>
      <c r="H15" s="114">
        <f>Adjustments!G502+Adjustments!G506</f>
        <v>0</v>
      </c>
      <c r="I15" s="114">
        <f>Adjustments!H502+Adjustments!H506</f>
        <v>0</v>
      </c>
      <c r="J15" s="114">
        <f>Adjustments!I502+Adjustments!I506</f>
        <v>0</v>
      </c>
      <c r="K15" s="114">
        <f>Adjustments!J502+Adjustments!J506</f>
        <v>0</v>
      </c>
      <c r="L15" s="114">
        <f>Adjustments!K502+Adjustments!K506</f>
        <v>0</v>
      </c>
      <c r="M15" s="114">
        <f>Adjustments!L502+Adjustments!L506</f>
        <v>0</v>
      </c>
      <c r="N15" s="114">
        <f>Adjustments!M502+Adjustments!M506</f>
        <v>0</v>
      </c>
      <c r="O15" s="114">
        <f>Adjustments!N502+Adjustments!N506</f>
        <v>0</v>
      </c>
      <c r="P15" s="114">
        <f>Adjustments!O502+Adjustments!O506</f>
        <v>0</v>
      </c>
      <c r="Q15" s="114">
        <f>Adjustments!P502+Adjustments!P506</f>
        <v>0</v>
      </c>
      <c r="R15" s="114">
        <f>Adjustments!Q502+Adjustments!Q506</f>
        <v>0</v>
      </c>
      <c r="S15" s="114">
        <f>Adjustments!R502+Adjustments!R506</f>
        <v>0</v>
      </c>
      <c r="T15" s="114">
        <f>Adjustments!S502+Adjustments!S506</f>
        <v>0</v>
      </c>
      <c r="U15" s="114">
        <f>Adjustments!T502+Adjustments!T506</f>
        <v>0</v>
      </c>
      <c r="V15" s="114">
        <f>Adjustments!U502+Adjustments!U506</f>
        <v>0</v>
      </c>
      <c r="W15" s="114">
        <f>Adjustments!V502+Adjustments!V506</f>
        <v>0</v>
      </c>
      <c r="X15" s="114">
        <f>Adjustments!W502+Adjustments!W506</f>
        <v>0</v>
      </c>
      <c r="Y15" s="114">
        <f>Adjustments!X502+Adjustments!X506</f>
        <v>0</v>
      </c>
      <c r="Z15" s="114">
        <f>Adjustments!AU502+Adjustments!AU506</f>
        <v>0</v>
      </c>
      <c r="AA15" s="114">
        <f>SUM(G15:Y15)</f>
        <v>0</v>
      </c>
      <c r="AB15" s="114">
        <f t="shared" si="1"/>
        <v>0</v>
      </c>
    </row>
    <row r="16" spans="1:28">
      <c r="A16" s="237">
        <f t="shared" si="0"/>
        <v>8</v>
      </c>
      <c r="B16" s="5"/>
      <c r="C16" s="5" t="s">
        <v>497</v>
      </c>
      <c r="D16" s="114"/>
      <c r="E16" s="114"/>
      <c r="F16" s="114"/>
      <c r="G16" s="137">
        <f>SUM(G11:G15)</f>
        <v>0</v>
      </c>
      <c r="H16" s="137">
        <f t="shared" ref="H16:Q16" si="2">SUM(H11:H15)</f>
        <v>0</v>
      </c>
      <c r="I16" s="137">
        <f t="shared" si="2"/>
        <v>-17298837.530282203</v>
      </c>
      <c r="J16" s="137">
        <f t="shared" si="2"/>
        <v>0</v>
      </c>
      <c r="K16" s="137">
        <f t="shared" si="2"/>
        <v>0</v>
      </c>
      <c r="L16" s="137">
        <f t="shared" si="2"/>
        <v>0</v>
      </c>
      <c r="M16" s="137">
        <f t="shared" si="2"/>
        <v>0</v>
      </c>
      <c r="N16" s="137">
        <f t="shared" si="2"/>
        <v>0</v>
      </c>
      <c r="O16" s="137">
        <f t="shared" si="2"/>
        <v>0</v>
      </c>
      <c r="P16" s="137">
        <f t="shared" si="2"/>
        <v>0</v>
      </c>
      <c r="Q16" s="137">
        <f t="shared" si="2"/>
        <v>0</v>
      </c>
      <c r="R16" s="137">
        <f>SUM(R11:R15)</f>
        <v>0</v>
      </c>
      <c r="S16" s="137">
        <f t="shared" ref="S16:Y16" si="3">SUM(S11:S15)</f>
        <v>0</v>
      </c>
      <c r="T16" s="137">
        <f t="shared" si="3"/>
        <v>0</v>
      </c>
      <c r="U16" s="137">
        <f t="shared" si="3"/>
        <v>0</v>
      </c>
      <c r="V16" s="137">
        <f t="shared" si="3"/>
        <v>0</v>
      </c>
      <c r="W16" s="137">
        <f t="shared" si="3"/>
        <v>0</v>
      </c>
      <c r="X16" s="137">
        <f t="shared" si="3"/>
        <v>0</v>
      </c>
      <c r="Y16" s="137">
        <f t="shared" si="3"/>
        <v>0</v>
      </c>
      <c r="Z16" s="137">
        <f t="shared" ref="Z16:AB16" si="4">SUM(Z11:Z15)</f>
        <v>-17298837.530282203</v>
      </c>
      <c r="AA16" s="137">
        <f t="shared" si="4"/>
        <v>-17298837.530282203</v>
      </c>
      <c r="AB16" s="137">
        <f t="shared" si="4"/>
        <v>0</v>
      </c>
    </row>
    <row r="17" spans="1:28">
      <c r="A17" s="237"/>
      <c r="B17" s="5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</row>
    <row r="18" spans="1:28">
      <c r="A18" s="237">
        <f>+A16+1</f>
        <v>9</v>
      </c>
      <c r="B18" s="5" t="s">
        <v>185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</row>
    <row r="19" spans="1:28">
      <c r="A19" s="237">
        <f>+A18+1</f>
        <v>10</v>
      </c>
      <c r="B19" s="5"/>
      <c r="C19" s="114" t="s">
        <v>482</v>
      </c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</row>
    <row r="20" spans="1:28">
      <c r="A20" s="237">
        <f>+A19+1</f>
        <v>11</v>
      </c>
      <c r="B20" s="5"/>
      <c r="C20" s="114"/>
      <c r="D20" s="114" t="s">
        <v>728</v>
      </c>
      <c r="E20" s="114"/>
      <c r="F20" s="114"/>
      <c r="G20" s="114">
        <f>Adjustments!F632+Adjustments!F635</f>
        <v>0</v>
      </c>
      <c r="H20" s="114">
        <f>Adjustments!G632+Adjustments!G635</f>
        <v>0</v>
      </c>
      <c r="I20" s="114">
        <f>Adjustments!H632+Adjustments!H635</f>
        <v>-10052907.153168358</v>
      </c>
      <c r="J20" s="114">
        <f>Adjustments!I632+Adjustments!I635</f>
        <v>0</v>
      </c>
      <c r="K20" s="114">
        <f>Adjustments!J632+Adjustments!J635</f>
        <v>0</v>
      </c>
      <c r="L20" s="114">
        <f>Adjustments!K632+Adjustments!K635</f>
        <v>0</v>
      </c>
      <c r="M20" s="114">
        <f>Adjustments!L632+Adjustments!L635</f>
        <v>0</v>
      </c>
      <c r="N20" s="114">
        <f>Adjustments!M632+Adjustments!M635</f>
        <v>0</v>
      </c>
      <c r="O20" s="114">
        <f>Adjustments!N632+Adjustments!N635</f>
        <v>0</v>
      </c>
      <c r="P20" s="114">
        <f>Adjustments!O632+Adjustments!O635</f>
        <v>0</v>
      </c>
      <c r="Q20" s="114">
        <f>Adjustments!P632+Adjustments!P635</f>
        <v>0</v>
      </c>
      <c r="R20" s="114">
        <f>Adjustments!Q632+Adjustments!Q635</f>
        <v>0</v>
      </c>
      <c r="S20" s="114">
        <f>Adjustments!R632+Adjustments!R635</f>
        <v>0</v>
      </c>
      <c r="T20" s="114">
        <f>Adjustments!S632+Adjustments!S635</f>
        <v>0</v>
      </c>
      <c r="U20" s="114">
        <f>Adjustments!T632+Adjustments!T635</f>
        <v>0</v>
      </c>
      <c r="V20" s="114">
        <f>Adjustments!U632+Adjustments!U635</f>
        <v>0</v>
      </c>
      <c r="W20" s="114">
        <f>Adjustments!V632+Adjustments!V635</f>
        <v>0</v>
      </c>
      <c r="X20" s="114">
        <f>Adjustments!W632+Adjustments!W635</f>
        <v>0</v>
      </c>
      <c r="Y20" s="114">
        <f>Adjustments!X632+Adjustments!X635</f>
        <v>0</v>
      </c>
      <c r="Z20" s="114">
        <f>Adjustments!AU632+Adjustments!AU635</f>
        <v>-10052907.153168358</v>
      </c>
      <c r="AA20" s="114">
        <f>SUM(G20:Y20)</f>
        <v>-10052907.153168358</v>
      </c>
      <c r="AB20" s="114">
        <f>+Z20-AA20</f>
        <v>0</v>
      </c>
    </row>
    <row r="21" spans="1:28" ht="13.5" thickBot="1">
      <c r="A21" s="237">
        <f>+A20+1</f>
        <v>12</v>
      </c>
      <c r="B21" s="5"/>
      <c r="C21" s="114"/>
      <c r="D21" s="114" t="s">
        <v>729</v>
      </c>
      <c r="E21" s="114"/>
      <c r="F21" s="114"/>
      <c r="G21" s="114">
        <f>Adjustments!F634+Adjustments!F636</f>
        <v>0</v>
      </c>
      <c r="H21" s="114">
        <f>Adjustments!G634+Adjustments!G636</f>
        <v>0</v>
      </c>
      <c r="I21" s="114">
        <f>Adjustments!H634+Adjustments!H636</f>
        <v>-1280249.7503094005</v>
      </c>
      <c r="J21" s="114">
        <f>Adjustments!I634+Adjustments!I636</f>
        <v>0</v>
      </c>
      <c r="K21" s="114">
        <f>Adjustments!J634+Adjustments!J636</f>
        <v>0</v>
      </c>
      <c r="L21" s="114">
        <f>Adjustments!K634+Adjustments!K636</f>
        <v>0</v>
      </c>
      <c r="M21" s="114">
        <f>Adjustments!L634+Adjustments!L636</f>
        <v>0</v>
      </c>
      <c r="N21" s="114">
        <f>Adjustments!M634+Adjustments!M636</f>
        <v>0</v>
      </c>
      <c r="O21" s="114">
        <f>Adjustments!N634+Adjustments!N636</f>
        <v>0</v>
      </c>
      <c r="P21" s="114">
        <f>Adjustments!O634+Adjustments!O636</f>
        <v>0</v>
      </c>
      <c r="Q21" s="114">
        <f>Adjustments!P634+Adjustments!P636</f>
        <v>0</v>
      </c>
      <c r="R21" s="114">
        <f>Adjustments!Q634+Adjustments!Q636</f>
        <v>0</v>
      </c>
      <c r="S21" s="114">
        <f>Adjustments!R634+Adjustments!R636</f>
        <v>0</v>
      </c>
      <c r="T21" s="114">
        <f>Adjustments!S634+Adjustments!S636</f>
        <v>0</v>
      </c>
      <c r="U21" s="114">
        <f>Adjustments!T634+Adjustments!T636</f>
        <v>0</v>
      </c>
      <c r="V21" s="114">
        <f>Adjustments!U634+Adjustments!U636</f>
        <v>0</v>
      </c>
      <c r="W21" s="114">
        <f>Adjustments!V634+Adjustments!V636</f>
        <v>0</v>
      </c>
      <c r="X21" s="114">
        <f>Adjustments!W634+Adjustments!W636</f>
        <v>0</v>
      </c>
      <c r="Y21" s="114">
        <f>Adjustments!X634+Adjustments!X636</f>
        <v>0</v>
      </c>
      <c r="Z21" s="114">
        <f>Adjustments!AU634+Adjustments!AU636</f>
        <v>-1280249.7503094005</v>
      </c>
      <c r="AA21" s="114">
        <f>SUM(G21:Y21)</f>
        <v>-1280249.7503094005</v>
      </c>
      <c r="AB21" s="114">
        <f>+Z21-AA21</f>
        <v>0</v>
      </c>
    </row>
    <row r="22" spans="1:28">
      <c r="A22" s="237">
        <f>+A21+1</f>
        <v>13</v>
      </c>
      <c r="B22" s="5"/>
      <c r="C22" s="114"/>
      <c r="D22" s="114" t="s">
        <v>498</v>
      </c>
      <c r="E22" s="114"/>
      <c r="F22" s="114"/>
      <c r="G22" s="137">
        <f>SUM(G20:G21)</f>
        <v>0</v>
      </c>
      <c r="H22" s="137">
        <f t="shared" ref="H22:Q22" si="5">SUM(H20:H21)</f>
        <v>0</v>
      </c>
      <c r="I22" s="137">
        <f t="shared" si="5"/>
        <v>-11333156.903477758</v>
      </c>
      <c r="J22" s="137">
        <f t="shared" si="5"/>
        <v>0</v>
      </c>
      <c r="K22" s="137">
        <f t="shared" si="5"/>
        <v>0</v>
      </c>
      <c r="L22" s="137">
        <f t="shared" si="5"/>
        <v>0</v>
      </c>
      <c r="M22" s="137">
        <f t="shared" si="5"/>
        <v>0</v>
      </c>
      <c r="N22" s="137">
        <f t="shared" si="5"/>
        <v>0</v>
      </c>
      <c r="O22" s="137">
        <f t="shared" si="5"/>
        <v>0</v>
      </c>
      <c r="P22" s="137">
        <f t="shared" si="5"/>
        <v>0</v>
      </c>
      <c r="Q22" s="137">
        <f t="shared" si="5"/>
        <v>0</v>
      </c>
      <c r="R22" s="137">
        <f>SUM(R20:R21)</f>
        <v>0</v>
      </c>
      <c r="S22" s="137">
        <f t="shared" ref="S22:Y22" si="6">SUM(S20:S21)</f>
        <v>0</v>
      </c>
      <c r="T22" s="137">
        <f t="shared" si="6"/>
        <v>0</v>
      </c>
      <c r="U22" s="137">
        <f t="shared" si="6"/>
        <v>0</v>
      </c>
      <c r="V22" s="137">
        <f t="shared" si="6"/>
        <v>0</v>
      </c>
      <c r="W22" s="137">
        <f t="shared" si="6"/>
        <v>0</v>
      </c>
      <c r="X22" s="137">
        <f t="shared" si="6"/>
        <v>0</v>
      </c>
      <c r="Y22" s="137">
        <f t="shared" si="6"/>
        <v>0</v>
      </c>
      <c r="Z22" s="137">
        <f t="shared" ref="Z22:AB22" si="7">SUM(Z20:Z21)</f>
        <v>-11333156.903477758</v>
      </c>
      <c r="AA22" s="137">
        <f t="shared" si="7"/>
        <v>-11333156.903477758</v>
      </c>
      <c r="AB22" s="137">
        <f t="shared" si="7"/>
        <v>0</v>
      </c>
    </row>
    <row r="23" spans="1:28">
      <c r="A23" s="237"/>
      <c r="B23" s="5"/>
      <c r="C23" s="114"/>
      <c r="D23" s="114"/>
      <c r="E23" s="114"/>
      <c r="F23" s="114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</row>
    <row r="24" spans="1:28">
      <c r="A24" s="237">
        <f>+A22+1</f>
        <v>14</v>
      </c>
      <c r="B24" s="5"/>
      <c r="C24" s="114"/>
      <c r="D24" s="114" t="s">
        <v>730</v>
      </c>
      <c r="E24" s="114"/>
      <c r="F24" s="114"/>
      <c r="G24" s="116">
        <f>Adjustments!F631</f>
        <v>0</v>
      </c>
      <c r="H24" s="116">
        <f>Adjustments!G631</f>
        <v>0</v>
      </c>
      <c r="I24" s="116">
        <f>Adjustments!H631</f>
        <v>0</v>
      </c>
      <c r="J24" s="116">
        <f>Adjustments!I631</f>
        <v>0</v>
      </c>
      <c r="K24" s="116">
        <f>Adjustments!J631</f>
        <v>0</v>
      </c>
      <c r="L24" s="116">
        <f>Adjustments!K631</f>
        <v>0</v>
      </c>
      <c r="M24" s="116">
        <f>Adjustments!L631</f>
        <v>0</v>
      </c>
      <c r="N24" s="116">
        <f>Adjustments!M631</f>
        <v>0</v>
      </c>
      <c r="O24" s="116">
        <f>Adjustments!N631</f>
        <v>0</v>
      </c>
      <c r="P24" s="116">
        <f>Adjustments!O631</f>
        <v>0</v>
      </c>
      <c r="Q24" s="116">
        <f>Adjustments!P631</f>
        <v>0</v>
      </c>
      <c r="R24" s="116">
        <f>Adjustments!Q631</f>
        <v>0</v>
      </c>
      <c r="S24" s="116">
        <f>Adjustments!R631</f>
        <v>0</v>
      </c>
      <c r="T24" s="116">
        <f>Adjustments!S631</f>
        <v>0</v>
      </c>
      <c r="U24" s="116">
        <f>Adjustments!T631</f>
        <v>0</v>
      </c>
      <c r="V24" s="116">
        <f>Adjustments!U631</f>
        <v>0</v>
      </c>
      <c r="W24" s="116">
        <f>Adjustments!V631</f>
        <v>0</v>
      </c>
      <c r="X24" s="116">
        <f>Adjustments!W631</f>
        <v>0</v>
      </c>
      <c r="Y24" s="116">
        <f>Adjustments!X631</f>
        <v>0</v>
      </c>
      <c r="Z24" s="116">
        <f>Adjustments!AU631</f>
        <v>0</v>
      </c>
      <c r="AA24" s="114">
        <f>SUM(G24:Y24)</f>
        <v>0</v>
      </c>
      <c r="AB24" s="114">
        <f t="shared" ref="AB24:AB25" si="8">+Z24-AA24</f>
        <v>0</v>
      </c>
    </row>
    <row r="25" spans="1:28" ht="13.5" thickBot="1">
      <c r="A25" s="237">
        <f>+A24+1</f>
        <v>15</v>
      </c>
      <c r="B25" s="5"/>
      <c r="C25" s="114"/>
      <c r="D25" s="114" t="s">
        <v>731</v>
      </c>
      <c r="E25" s="114"/>
      <c r="F25" s="114"/>
      <c r="G25" s="116">
        <f>Adjustments!F633</f>
        <v>0</v>
      </c>
      <c r="H25" s="116">
        <f>Adjustments!G633</f>
        <v>0</v>
      </c>
      <c r="I25" s="116">
        <f>Adjustments!H633</f>
        <v>0</v>
      </c>
      <c r="J25" s="116">
        <f>Adjustments!I633</f>
        <v>0</v>
      </c>
      <c r="K25" s="116">
        <f>Adjustments!J633</f>
        <v>0</v>
      </c>
      <c r="L25" s="116">
        <f>Adjustments!K633</f>
        <v>0</v>
      </c>
      <c r="M25" s="116">
        <f>Adjustments!L633</f>
        <v>0</v>
      </c>
      <c r="N25" s="116">
        <f>Adjustments!M633</f>
        <v>0</v>
      </c>
      <c r="O25" s="116">
        <f>Adjustments!N633</f>
        <v>0</v>
      </c>
      <c r="P25" s="116">
        <f>Adjustments!O633</f>
        <v>0</v>
      </c>
      <c r="Q25" s="116">
        <f>Adjustments!P633</f>
        <v>0</v>
      </c>
      <c r="R25" s="116">
        <f>Adjustments!Q633</f>
        <v>0</v>
      </c>
      <c r="S25" s="116">
        <f>Adjustments!R633</f>
        <v>0</v>
      </c>
      <c r="T25" s="116">
        <f>Adjustments!S633</f>
        <v>0</v>
      </c>
      <c r="U25" s="116">
        <f>Adjustments!T633</f>
        <v>0</v>
      </c>
      <c r="V25" s="116">
        <f>Adjustments!U633</f>
        <v>0</v>
      </c>
      <c r="W25" s="116">
        <f>Adjustments!V633</f>
        <v>0</v>
      </c>
      <c r="X25" s="116">
        <f>Adjustments!W633</f>
        <v>0</v>
      </c>
      <c r="Y25" s="116">
        <f>Adjustments!X633</f>
        <v>0</v>
      </c>
      <c r="Z25" s="116">
        <f>Adjustments!AU633</f>
        <v>0</v>
      </c>
      <c r="AA25" s="114">
        <f>SUM(G25:Y25)</f>
        <v>0</v>
      </c>
      <c r="AB25" s="114">
        <f t="shared" si="8"/>
        <v>0</v>
      </c>
    </row>
    <row r="26" spans="1:28">
      <c r="A26" s="237">
        <f>+A25+1</f>
        <v>16</v>
      </c>
      <c r="B26" s="5"/>
      <c r="C26" s="114"/>
      <c r="D26" s="114" t="s">
        <v>732</v>
      </c>
      <c r="E26" s="114"/>
      <c r="F26" s="114"/>
      <c r="G26" s="137">
        <f>SUM(G24:G25)</f>
        <v>0</v>
      </c>
      <c r="H26" s="137">
        <f t="shared" ref="H26:Q26" si="9">SUM(H24:H25)</f>
        <v>0</v>
      </c>
      <c r="I26" s="137">
        <f t="shared" si="9"/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7">
        <f t="shared" si="9"/>
        <v>0</v>
      </c>
      <c r="O26" s="137">
        <f t="shared" si="9"/>
        <v>0</v>
      </c>
      <c r="P26" s="137">
        <f t="shared" si="9"/>
        <v>0</v>
      </c>
      <c r="Q26" s="137">
        <f t="shared" si="9"/>
        <v>0</v>
      </c>
      <c r="R26" s="137">
        <f>SUM(R24:R25)</f>
        <v>0</v>
      </c>
      <c r="S26" s="137">
        <f t="shared" ref="S26:Y26" si="10">SUM(S24:S25)</f>
        <v>0</v>
      </c>
      <c r="T26" s="137">
        <f t="shared" si="10"/>
        <v>0</v>
      </c>
      <c r="U26" s="137">
        <f t="shared" si="10"/>
        <v>0</v>
      </c>
      <c r="V26" s="137">
        <f t="shared" si="10"/>
        <v>0</v>
      </c>
      <c r="W26" s="137">
        <f t="shared" si="10"/>
        <v>0</v>
      </c>
      <c r="X26" s="137">
        <f t="shared" si="10"/>
        <v>0</v>
      </c>
      <c r="Y26" s="137">
        <f t="shared" si="10"/>
        <v>0</v>
      </c>
      <c r="Z26" s="137">
        <f t="shared" ref="Z26:AB26" si="11">SUM(Z24:Z25)</f>
        <v>0</v>
      </c>
      <c r="AA26" s="137">
        <f t="shared" si="11"/>
        <v>0</v>
      </c>
      <c r="AB26" s="137">
        <f t="shared" si="11"/>
        <v>0</v>
      </c>
    </row>
    <row r="27" spans="1:28">
      <c r="A27" s="237"/>
      <c r="B27" s="5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</row>
    <row r="28" spans="1:28">
      <c r="A28" s="237">
        <f>+A26+1</f>
        <v>17</v>
      </c>
      <c r="B28" s="5"/>
      <c r="C28" s="114" t="s">
        <v>499</v>
      </c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</row>
    <row r="29" spans="1:28">
      <c r="A29" s="237">
        <f t="shared" ref="A29:A34" si="12">+A28+1</f>
        <v>18</v>
      </c>
      <c r="B29" s="5"/>
      <c r="C29" s="114"/>
      <c r="D29" s="114" t="s">
        <v>443</v>
      </c>
      <c r="E29" s="114"/>
      <c r="F29" s="114"/>
      <c r="G29" s="114">
        <f>Adjustments!F649</f>
        <v>0</v>
      </c>
      <c r="H29" s="114">
        <f>Adjustments!G649</f>
        <v>-37579.583950740096</v>
      </c>
      <c r="I29" s="114">
        <f>Adjustments!H649</f>
        <v>0</v>
      </c>
      <c r="J29" s="114">
        <f>Adjustments!I649</f>
        <v>0</v>
      </c>
      <c r="K29" s="114">
        <f>Adjustments!J649</f>
        <v>0</v>
      </c>
      <c r="L29" s="114">
        <f>Adjustments!K649</f>
        <v>0</v>
      </c>
      <c r="M29" s="114">
        <f>Adjustments!L649</f>
        <v>0</v>
      </c>
      <c r="N29" s="114">
        <f>Adjustments!M649</f>
        <v>0</v>
      </c>
      <c r="O29" s="114">
        <f>Adjustments!N649</f>
        <v>0</v>
      </c>
      <c r="P29" s="114">
        <f>Adjustments!O649</f>
        <v>0</v>
      </c>
      <c r="Q29" s="114">
        <f>Adjustments!P649</f>
        <v>0</v>
      </c>
      <c r="R29" s="114">
        <f>Adjustments!Q649</f>
        <v>0</v>
      </c>
      <c r="S29" s="114">
        <f>Adjustments!R649</f>
        <v>0</v>
      </c>
      <c r="T29" s="114">
        <f>Adjustments!S649</f>
        <v>0</v>
      </c>
      <c r="U29" s="114">
        <f>Adjustments!T649</f>
        <v>0</v>
      </c>
      <c r="V29" s="114">
        <f>Adjustments!U649</f>
        <v>0</v>
      </c>
      <c r="W29" s="114">
        <f>Adjustments!V649</f>
        <v>0</v>
      </c>
      <c r="X29" s="114">
        <f>Adjustments!W649</f>
        <v>0</v>
      </c>
      <c r="Y29" s="114">
        <f>Adjustments!X649</f>
        <v>0</v>
      </c>
      <c r="Z29" s="114">
        <f>Adjustments!AU649</f>
        <v>-37579.583950740096</v>
      </c>
      <c r="AA29" s="114">
        <f>SUM(G29:Y29)</f>
        <v>-37579.583950740096</v>
      </c>
      <c r="AB29" s="114">
        <f t="shared" ref="AB29:AB33" si="13">+Z29-AA29</f>
        <v>0</v>
      </c>
    </row>
    <row r="30" spans="1:28">
      <c r="A30" s="237">
        <f t="shared" si="12"/>
        <v>19</v>
      </c>
      <c r="B30" s="5"/>
      <c r="C30" s="114"/>
      <c r="D30" s="114" t="s">
        <v>500</v>
      </c>
      <c r="E30" s="114"/>
      <c r="F30" s="114"/>
      <c r="G30" s="114">
        <f>Adjustments!F752</f>
        <v>0</v>
      </c>
      <c r="H30" s="114">
        <f>Adjustments!G752</f>
        <v>-177800.01848267906</v>
      </c>
      <c r="I30" s="114">
        <f>Adjustments!H752</f>
        <v>0</v>
      </c>
      <c r="J30" s="114">
        <f>Adjustments!I752</f>
        <v>0</v>
      </c>
      <c r="K30" s="114">
        <f>Adjustments!J752</f>
        <v>0</v>
      </c>
      <c r="L30" s="114">
        <f>Adjustments!K752</f>
        <v>0</v>
      </c>
      <c r="M30" s="114">
        <f>Adjustments!L752</f>
        <v>0</v>
      </c>
      <c r="N30" s="114">
        <f>Adjustments!M752</f>
        <v>0</v>
      </c>
      <c r="O30" s="114">
        <f>Adjustments!N752</f>
        <v>0</v>
      </c>
      <c r="P30" s="114">
        <f>Adjustments!O752</f>
        <v>0</v>
      </c>
      <c r="Q30" s="114">
        <f>Adjustments!P752</f>
        <v>0</v>
      </c>
      <c r="R30" s="114">
        <f>Adjustments!Q752</f>
        <v>0</v>
      </c>
      <c r="S30" s="114">
        <f>Adjustments!R752</f>
        <v>0</v>
      </c>
      <c r="T30" s="114">
        <f>Adjustments!S752</f>
        <v>0</v>
      </c>
      <c r="U30" s="114">
        <f>Adjustments!T752</f>
        <v>0</v>
      </c>
      <c r="V30" s="114">
        <f>Adjustments!U752</f>
        <v>0</v>
      </c>
      <c r="W30" s="114">
        <f>Adjustments!V752</f>
        <v>0</v>
      </c>
      <c r="X30" s="114">
        <f>Adjustments!W752</f>
        <v>0</v>
      </c>
      <c r="Y30" s="114">
        <f>Adjustments!X752</f>
        <v>0</v>
      </c>
      <c r="Z30" s="114">
        <f>Adjustments!AU752</f>
        <v>-177800.01848267906</v>
      </c>
      <c r="AA30" s="114">
        <f>SUM(G30:Y30)</f>
        <v>-177800.01848267906</v>
      </c>
      <c r="AB30" s="114">
        <f t="shared" si="13"/>
        <v>0</v>
      </c>
    </row>
    <row r="31" spans="1:28">
      <c r="A31" s="237">
        <f t="shared" si="12"/>
        <v>20</v>
      </c>
      <c r="B31" s="5"/>
      <c r="C31" s="114"/>
      <c r="D31" s="114" t="s">
        <v>501</v>
      </c>
      <c r="E31" s="114"/>
      <c r="F31" s="114"/>
      <c r="G31" s="114">
        <f>Adjustments!F805</f>
        <v>0</v>
      </c>
      <c r="H31" s="114">
        <f>Adjustments!G805</f>
        <v>-316419.61861389253</v>
      </c>
      <c r="I31" s="114">
        <f>Adjustments!H805</f>
        <v>0</v>
      </c>
      <c r="J31" s="114">
        <f>Adjustments!I805</f>
        <v>0</v>
      </c>
      <c r="K31" s="114">
        <f>Adjustments!J805</f>
        <v>0</v>
      </c>
      <c r="L31" s="114">
        <f>Adjustments!K805</f>
        <v>0</v>
      </c>
      <c r="M31" s="114">
        <f>Adjustments!L805</f>
        <v>-1025539.3107736245</v>
      </c>
      <c r="N31" s="114">
        <f>Adjustments!M805</f>
        <v>0</v>
      </c>
      <c r="O31" s="114">
        <f>Adjustments!N805</f>
        <v>0</v>
      </c>
      <c r="P31" s="114">
        <f>Adjustments!O805</f>
        <v>0</v>
      </c>
      <c r="Q31" s="114">
        <f>Adjustments!P805</f>
        <v>0</v>
      </c>
      <c r="R31" s="114">
        <f>Adjustments!Q805</f>
        <v>0</v>
      </c>
      <c r="S31" s="114">
        <f>Adjustments!R805</f>
        <v>0</v>
      </c>
      <c r="T31" s="114">
        <f>Adjustments!S805</f>
        <v>0</v>
      </c>
      <c r="U31" s="114">
        <f>Adjustments!T805</f>
        <v>0</v>
      </c>
      <c r="V31" s="114">
        <f>Adjustments!U805</f>
        <v>0</v>
      </c>
      <c r="W31" s="114">
        <f>Adjustments!V805</f>
        <v>0</v>
      </c>
      <c r="X31" s="114">
        <f>Adjustments!W805</f>
        <v>0</v>
      </c>
      <c r="Y31" s="114">
        <f>Adjustments!X805</f>
        <v>0</v>
      </c>
      <c r="Z31" s="114">
        <f>Adjustments!AU805</f>
        <v>-1341958.929387517</v>
      </c>
      <c r="AA31" s="114">
        <f>SUM(G31:Y31)</f>
        <v>-1341958.929387517</v>
      </c>
      <c r="AB31" s="114">
        <f t="shared" si="13"/>
        <v>0</v>
      </c>
    </row>
    <row r="32" spans="1:28">
      <c r="A32" s="237">
        <f t="shared" si="12"/>
        <v>21</v>
      </c>
      <c r="B32" s="5"/>
      <c r="C32" s="114"/>
      <c r="D32" s="114" t="s">
        <v>502</v>
      </c>
      <c r="E32" s="114"/>
      <c r="F32" s="114"/>
      <c r="G32" s="114">
        <f>Adjustments!F833</f>
        <v>0</v>
      </c>
      <c r="H32" s="114">
        <f>Adjustments!G833</f>
        <v>477408.65323377791</v>
      </c>
      <c r="I32" s="114">
        <f>Adjustments!H833</f>
        <v>0</v>
      </c>
      <c r="J32" s="114">
        <f>Adjustments!I833</f>
        <v>0</v>
      </c>
      <c r="K32" s="114">
        <f>Adjustments!J833</f>
        <v>0</v>
      </c>
      <c r="L32" s="114">
        <f>Adjustments!K833</f>
        <v>-21561267.808700245</v>
      </c>
      <c r="M32" s="114">
        <f>Adjustments!L833</f>
        <v>0</v>
      </c>
      <c r="N32" s="114">
        <f>Adjustments!M833</f>
        <v>0</v>
      </c>
      <c r="O32" s="114">
        <f>Adjustments!N833</f>
        <v>0</v>
      </c>
      <c r="P32" s="114">
        <f ca="1">Adjustments!O833</f>
        <v>-6014.8620221724987</v>
      </c>
      <c r="Q32" s="114">
        <f>Adjustments!P833</f>
        <v>0</v>
      </c>
      <c r="R32" s="114">
        <f>Adjustments!Q833</f>
        <v>0</v>
      </c>
      <c r="S32" s="114">
        <f>Adjustments!R833</f>
        <v>0</v>
      </c>
      <c r="T32" s="114">
        <f>Adjustments!S833</f>
        <v>0</v>
      </c>
      <c r="U32" s="114">
        <f>Adjustments!T833</f>
        <v>0</v>
      </c>
      <c r="V32" s="114">
        <f>Adjustments!U833</f>
        <v>0</v>
      </c>
      <c r="W32" s="114">
        <f>Adjustments!V833</f>
        <v>0</v>
      </c>
      <c r="X32" s="114">
        <f>Adjustments!W833</f>
        <v>0</v>
      </c>
      <c r="Y32" s="114">
        <f>Adjustments!X833</f>
        <v>0</v>
      </c>
      <c r="Z32" s="114">
        <f ca="1">Adjustments!AU833</f>
        <v>-21089874.01748864</v>
      </c>
      <c r="AA32" s="114">
        <f ca="1">SUM(G32:Y32)</f>
        <v>-21089874.01748864</v>
      </c>
      <c r="AB32" s="114">
        <f t="shared" ca="1" si="13"/>
        <v>0</v>
      </c>
    </row>
    <row r="33" spans="1:28" ht="13.5" thickBot="1">
      <c r="A33" s="237">
        <f t="shared" si="12"/>
        <v>22</v>
      </c>
      <c r="B33" s="5"/>
      <c r="C33" s="114"/>
      <c r="D33" s="114" t="s">
        <v>503</v>
      </c>
      <c r="E33" s="114"/>
      <c r="F33" s="114"/>
      <c r="G33" s="114">
        <f>Adjustments!F889</f>
        <v>0</v>
      </c>
      <c r="H33" s="114">
        <f>Adjustments!G889</f>
        <v>-782445.02844659751</v>
      </c>
      <c r="I33" s="114">
        <f>Adjustments!H889</f>
        <v>0</v>
      </c>
      <c r="J33" s="114">
        <f>Adjustments!I889</f>
        <v>0</v>
      </c>
      <c r="K33" s="114">
        <f>Adjustments!J889</f>
        <v>0</v>
      </c>
      <c r="L33" s="114">
        <f>Adjustments!K889</f>
        <v>0</v>
      </c>
      <c r="M33" s="114">
        <f>Adjustments!L889</f>
        <v>0</v>
      </c>
      <c r="N33" s="114">
        <f ca="1">Adjustments!M889</f>
        <v>-909590.87949212652</v>
      </c>
      <c r="O33" s="114">
        <f ca="1">Adjustments!N889</f>
        <v>0</v>
      </c>
      <c r="P33" s="114">
        <f>Adjustments!O889</f>
        <v>0</v>
      </c>
      <c r="Q33" s="114">
        <f ca="1">Adjustments!P889</f>
        <v>-191860.84957415925</v>
      </c>
      <c r="R33" s="114">
        <f ca="1">Adjustments!Q889</f>
        <v>147611.48652999999</v>
      </c>
      <c r="S33" s="114">
        <f>Adjustments!R889</f>
        <v>14610178.593437593</v>
      </c>
      <c r="T33" s="114">
        <f>Adjustments!S889</f>
        <v>0</v>
      </c>
      <c r="U33" s="114">
        <f>Adjustments!T889</f>
        <v>0</v>
      </c>
      <c r="V33" s="114">
        <f>Adjustments!U889</f>
        <v>0</v>
      </c>
      <c r="W33" s="114">
        <f>Adjustments!V889</f>
        <v>0</v>
      </c>
      <c r="X33" s="114">
        <f>Adjustments!W889</f>
        <v>0</v>
      </c>
      <c r="Y33" s="114">
        <f>Adjustments!X889</f>
        <v>0</v>
      </c>
      <c r="Z33" s="114">
        <f ca="1">Adjustments!AU889</f>
        <v>12873893.32245471</v>
      </c>
      <c r="AA33" s="114">
        <f ca="1">SUM(G33:Y33)</f>
        <v>12873893.32245471</v>
      </c>
      <c r="AB33" s="114">
        <f t="shared" ca="1" si="13"/>
        <v>0</v>
      </c>
    </row>
    <row r="34" spans="1:28">
      <c r="A34" s="237">
        <f t="shared" si="12"/>
        <v>23</v>
      </c>
      <c r="B34" s="5"/>
      <c r="C34" s="114"/>
      <c r="D34" s="114" t="s">
        <v>504</v>
      </c>
      <c r="E34" s="114"/>
      <c r="F34" s="114"/>
      <c r="G34" s="137">
        <f>SUM(G29:G33)</f>
        <v>0</v>
      </c>
      <c r="H34" s="137">
        <f t="shared" ref="H34:Q34" si="14">SUM(H29:H33)</f>
        <v>-836835.59626013134</v>
      </c>
      <c r="I34" s="137">
        <f t="shared" si="14"/>
        <v>0</v>
      </c>
      <c r="J34" s="137">
        <f t="shared" si="14"/>
        <v>0</v>
      </c>
      <c r="K34" s="137">
        <f t="shared" si="14"/>
        <v>0</v>
      </c>
      <c r="L34" s="137">
        <f t="shared" si="14"/>
        <v>-21561267.808700245</v>
      </c>
      <c r="M34" s="137">
        <f t="shared" si="14"/>
        <v>-1025539.3107736245</v>
      </c>
      <c r="N34" s="137">
        <f t="shared" ca="1" si="14"/>
        <v>-909590.87949212652</v>
      </c>
      <c r="O34" s="137">
        <f t="shared" ca="1" si="14"/>
        <v>0</v>
      </c>
      <c r="P34" s="137">
        <f t="shared" ca="1" si="14"/>
        <v>-6014.8620221724987</v>
      </c>
      <c r="Q34" s="137">
        <f t="shared" ca="1" si="14"/>
        <v>-191860.84957415925</v>
      </c>
      <c r="R34" s="137">
        <f ca="1">SUM(R29:R33)</f>
        <v>147611.48652999999</v>
      </c>
      <c r="S34" s="137">
        <f t="shared" ref="S34:Y34" si="15">SUM(S29:S33)</f>
        <v>14610178.593437593</v>
      </c>
      <c r="T34" s="137">
        <f t="shared" si="15"/>
        <v>0</v>
      </c>
      <c r="U34" s="137">
        <f t="shared" si="15"/>
        <v>0</v>
      </c>
      <c r="V34" s="137">
        <f t="shared" si="15"/>
        <v>0</v>
      </c>
      <c r="W34" s="137">
        <f t="shared" si="15"/>
        <v>0</v>
      </c>
      <c r="X34" s="137">
        <f t="shared" si="15"/>
        <v>0</v>
      </c>
      <c r="Y34" s="137">
        <f t="shared" si="15"/>
        <v>0</v>
      </c>
      <c r="Z34" s="137">
        <f t="shared" ref="Z34:AB34" ca="1" si="16">SUM(Z29:Z33)</f>
        <v>-9773319.2268548645</v>
      </c>
      <c r="AA34" s="137">
        <f t="shared" ca="1" si="16"/>
        <v>-9773319.2268548645</v>
      </c>
      <c r="AB34" s="137">
        <f t="shared" ca="1" si="16"/>
        <v>0</v>
      </c>
    </row>
    <row r="35" spans="1:28">
      <c r="A35" s="237"/>
      <c r="B35" s="5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</row>
    <row r="36" spans="1:28">
      <c r="A36" s="237">
        <f>+A34+1</f>
        <v>24</v>
      </c>
      <c r="B36" s="5"/>
      <c r="C36" s="114" t="s">
        <v>505</v>
      </c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</row>
    <row r="37" spans="1:28">
      <c r="A37" s="237">
        <f>+A36+1</f>
        <v>25</v>
      </c>
      <c r="B37" s="5"/>
      <c r="C37" s="114"/>
      <c r="D37" s="114" t="s">
        <v>466</v>
      </c>
      <c r="E37" s="114"/>
      <c r="F37" s="114"/>
      <c r="G37" s="114">
        <f>Adjustments!F913</f>
        <v>0</v>
      </c>
      <c r="H37" s="114">
        <f ca="1">Adjustments!G913</f>
        <v>7599271.4346312564</v>
      </c>
      <c r="I37" s="114">
        <f>Adjustments!H913</f>
        <v>0</v>
      </c>
      <c r="J37" s="114">
        <f>Adjustments!I913</f>
        <v>0</v>
      </c>
      <c r="K37" s="114">
        <f>Adjustments!J913</f>
        <v>0</v>
      </c>
      <c r="L37" s="114">
        <f>Adjustments!K913</f>
        <v>0</v>
      </c>
      <c r="M37" s="114">
        <f>Adjustments!L913</f>
        <v>0</v>
      </c>
      <c r="N37" s="114">
        <f>Adjustments!M913</f>
        <v>0</v>
      </c>
      <c r="O37" s="114">
        <f>Adjustments!N913</f>
        <v>0</v>
      </c>
      <c r="P37" s="114">
        <f>Adjustments!O913</f>
        <v>0</v>
      </c>
      <c r="Q37" s="114">
        <f>Adjustments!P913</f>
        <v>0</v>
      </c>
      <c r="R37" s="114">
        <f>Adjustments!Q913</f>
        <v>0</v>
      </c>
      <c r="S37" s="114">
        <f>Adjustments!R913</f>
        <v>0</v>
      </c>
      <c r="T37" s="114">
        <f>Adjustments!S913</f>
        <v>0</v>
      </c>
      <c r="U37" s="114">
        <f>Adjustments!T913</f>
        <v>0</v>
      </c>
      <c r="V37" s="114">
        <f>Adjustments!U913</f>
        <v>0</v>
      </c>
      <c r="W37" s="114">
        <f>Adjustments!V913</f>
        <v>0</v>
      </c>
      <c r="X37" s="114">
        <f>Adjustments!W913</f>
        <v>0</v>
      </c>
      <c r="Y37" s="114">
        <f>Adjustments!X913</f>
        <v>0</v>
      </c>
      <c r="Z37" s="114">
        <f ca="1">Adjustments!AU913</f>
        <v>7599271.4346312564</v>
      </c>
      <c r="AA37" s="114">
        <f ca="1">SUM(G37:Y37)</f>
        <v>7599271.4346312564</v>
      </c>
      <c r="AB37" s="114">
        <f t="shared" ref="AB37:AB39" ca="1" si="17">+Z37-AA37</f>
        <v>0</v>
      </c>
    </row>
    <row r="38" spans="1:28">
      <c r="A38" s="237">
        <f>+A37+1</f>
        <v>26</v>
      </c>
      <c r="B38" s="5"/>
      <c r="C38" s="114"/>
      <c r="D38" s="114" t="s">
        <v>599</v>
      </c>
      <c r="E38" s="114"/>
      <c r="F38" s="114"/>
      <c r="G38" s="114">
        <f>Adjustments!F921</f>
        <v>0</v>
      </c>
      <c r="H38" s="114">
        <f>Adjustments!G921</f>
        <v>2342699.9424766232</v>
      </c>
      <c r="I38" s="114">
        <f>Adjustments!H921</f>
        <v>0</v>
      </c>
      <c r="J38" s="114">
        <f>Adjustments!I921</f>
        <v>0</v>
      </c>
      <c r="K38" s="114">
        <f>Adjustments!J921</f>
        <v>0</v>
      </c>
      <c r="L38" s="114">
        <f>Adjustments!K921</f>
        <v>0</v>
      </c>
      <c r="M38" s="114">
        <f>Adjustments!L921</f>
        <v>0</v>
      </c>
      <c r="N38" s="114">
        <f>Adjustments!M921</f>
        <v>0</v>
      </c>
      <c r="O38" s="114">
        <f>Adjustments!N921</f>
        <v>0</v>
      </c>
      <c r="P38" s="114">
        <f>Adjustments!O921</f>
        <v>0</v>
      </c>
      <c r="Q38" s="114">
        <f>Adjustments!P921</f>
        <v>0</v>
      </c>
      <c r="R38" s="114">
        <f>Adjustments!Q921</f>
        <v>0</v>
      </c>
      <c r="S38" s="114">
        <f>Adjustments!R921</f>
        <v>0</v>
      </c>
      <c r="T38" s="114">
        <f>Adjustments!S921</f>
        <v>0</v>
      </c>
      <c r="U38" s="114">
        <f>Adjustments!T921</f>
        <v>0</v>
      </c>
      <c r="V38" s="114">
        <f>Adjustments!U921</f>
        <v>0</v>
      </c>
      <c r="W38" s="114">
        <f>Adjustments!V921</f>
        <v>0</v>
      </c>
      <c r="X38" s="114">
        <f>Adjustments!W921</f>
        <v>0</v>
      </c>
      <c r="Y38" s="114">
        <f>Adjustments!X921</f>
        <v>0</v>
      </c>
      <c r="Z38" s="114">
        <f>Adjustments!AU921</f>
        <v>2342699.9424766232</v>
      </c>
      <c r="AA38" s="114">
        <f>SUM(G38:Y38)</f>
        <v>2342699.9424766232</v>
      </c>
      <c r="AB38" s="114">
        <f t="shared" si="17"/>
        <v>0</v>
      </c>
    </row>
    <row r="39" spans="1:28" ht="13.5" thickBot="1">
      <c r="A39" s="237">
        <f>+A38+1</f>
        <v>27</v>
      </c>
      <c r="B39" s="5"/>
      <c r="C39" s="114"/>
      <c r="D39" s="114" t="s">
        <v>601</v>
      </c>
      <c r="E39" s="114"/>
      <c r="F39" s="114"/>
      <c r="G39" s="114">
        <f>Adjustments!F923+Adjustments!F925+Adjustments!F927+Adjustments!F929</f>
        <v>0</v>
      </c>
      <c r="H39" s="114">
        <f ca="1">Adjustments!G923+Adjustments!G925+Adjustments!G927+Adjustments!G929</f>
        <v>-2253965.2451780713</v>
      </c>
      <c r="I39" s="114">
        <f>Adjustments!H923+Adjustments!H925+Adjustments!H927+Adjustments!H929</f>
        <v>-1476796.9550693939</v>
      </c>
      <c r="J39" s="114">
        <f>Adjustments!I923+Adjustments!I925+Adjustments!I927+Adjustments!I929</f>
        <v>0</v>
      </c>
      <c r="K39" s="114">
        <f>Adjustments!J923+Adjustments!J925+Adjustments!J927+Adjustments!J929</f>
        <v>0</v>
      </c>
      <c r="L39" s="114">
        <f>Adjustments!K923+Adjustments!K925+Adjustments!K927+Adjustments!K929</f>
        <v>5337465.5197357507</v>
      </c>
      <c r="M39" s="114">
        <f>Adjustments!L923+Adjustments!L925+Adjustments!L927+Adjustments!L929</f>
        <v>253871.00419851224</v>
      </c>
      <c r="N39" s="114">
        <f ca="1">Adjustments!M923+Adjustments!M925+Adjustments!M927+Adjustments!M929</f>
        <v>225168.11160781202</v>
      </c>
      <c r="O39" s="114">
        <f ca="1">Adjustments!N923+Adjustments!N925+Adjustments!N927+Adjustments!N929</f>
        <v>0</v>
      </c>
      <c r="P39" s="114">
        <f ca="1">Adjustments!O923+Adjustments!O925+Adjustments!O927+Adjustments!O929</f>
        <v>1488.9717494422728</v>
      </c>
      <c r="Q39" s="114">
        <f ca="1">Adjustments!P923+Adjustments!P925+Adjustments!P927+Adjustments!P929</f>
        <v>47494.919049985787</v>
      </c>
      <c r="R39" s="114">
        <f ca="1">Adjustments!Q923+Adjustments!Q925+Adjustments!Q927+Adjustments!Q929</f>
        <v>-36541.043256876445</v>
      </c>
      <c r="S39" s="114">
        <f>Adjustments!R923+Adjustments!R925+Adjustments!R927+Adjustments!R929</f>
        <v>-3616731.8717774134</v>
      </c>
      <c r="T39" s="114">
        <f>Adjustments!S923+Adjustments!S925+Adjustments!S927+Adjustments!S929</f>
        <v>0</v>
      </c>
      <c r="U39" s="114">
        <f>Adjustments!T923+Adjustments!T925+Adjustments!T927+Adjustments!T929</f>
        <v>0</v>
      </c>
      <c r="V39" s="114">
        <f>Adjustments!U923+Adjustments!U925+Adjustments!U927+Adjustments!U929</f>
        <v>0</v>
      </c>
      <c r="W39" s="114">
        <f>Adjustments!V923+Adjustments!V925+Adjustments!V927+Adjustments!V929</f>
        <v>0</v>
      </c>
      <c r="X39" s="114">
        <f>Adjustments!W923+Adjustments!W925+Adjustments!W927+Adjustments!W929</f>
        <v>0</v>
      </c>
      <c r="Y39" s="114">
        <f>Adjustments!X923+Adjustments!X925+Adjustments!X927+Adjustments!X929</f>
        <v>0</v>
      </c>
      <c r="Z39" s="114">
        <f ca="1">Adjustments!AU923+Adjustments!AU925+Adjustments!AU927+Adjustments!AU929</f>
        <v>-1518546.5889402514</v>
      </c>
      <c r="AA39" s="114">
        <f ca="1">SUM(G39:Y39)</f>
        <v>-1518546.5889402521</v>
      </c>
      <c r="AB39" s="114">
        <f t="shared" ca="1" si="17"/>
        <v>0</v>
      </c>
    </row>
    <row r="40" spans="1:28">
      <c r="A40" s="237">
        <f>+A39+1</f>
        <v>28</v>
      </c>
      <c r="B40" s="5"/>
      <c r="C40" s="114"/>
      <c r="D40" s="114" t="s">
        <v>511</v>
      </c>
      <c r="E40" s="114"/>
      <c r="F40" s="114"/>
      <c r="G40" s="137">
        <f>SUM(G37:G39)</f>
        <v>0</v>
      </c>
      <c r="H40" s="137">
        <f t="shared" ref="H40:Q40" ca="1" si="18">SUM(H37:H39)</f>
        <v>7688006.1319298074</v>
      </c>
      <c r="I40" s="137">
        <f t="shared" si="18"/>
        <v>-1476796.9550693939</v>
      </c>
      <c r="J40" s="137">
        <f t="shared" si="18"/>
        <v>0</v>
      </c>
      <c r="K40" s="137">
        <f t="shared" si="18"/>
        <v>0</v>
      </c>
      <c r="L40" s="137">
        <f t="shared" si="18"/>
        <v>5337465.5197357507</v>
      </c>
      <c r="M40" s="137">
        <f t="shared" si="18"/>
        <v>253871.00419851224</v>
      </c>
      <c r="N40" s="137">
        <f t="shared" ca="1" si="18"/>
        <v>225168.11160781202</v>
      </c>
      <c r="O40" s="137">
        <f t="shared" ca="1" si="18"/>
        <v>0</v>
      </c>
      <c r="P40" s="137">
        <f t="shared" ca="1" si="18"/>
        <v>1488.9717494422728</v>
      </c>
      <c r="Q40" s="137">
        <f t="shared" ca="1" si="18"/>
        <v>47494.919049985787</v>
      </c>
      <c r="R40" s="137">
        <f ca="1">SUM(R37:R39)</f>
        <v>-36541.043256876445</v>
      </c>
      <c r="S40" s="137">
        <f t="shared" ref="S40:Y40" si="19">SUM(S37:S39)</f>
        <v>-3616731.8717774134</v>
      </c>
      <c r="T40" s="137">
        <f t="shared" si="19"/>
        <v>0</v>
      </c>
      <c r="U40" s="137">
        <f t="shared" si="19"/>
        <v>0</v>
      </c>
      <c r="V40" s="137">
        <f t="shared" si="19"/>
        <v>0</v>
      </c>
      <c r="W40" s="137">
        <f t="shared" si="19"/>
        <v>0</v>
      </c>
      <c r="X40" s="137">
        <f t="shared" si="19"/>
        <v>0</v>
      </c>
      <c r="Y40" s="137">
        <f t="shared" si="19"/>
        <v>0</v>
      </c>
      <c r="Z40" s="137">
        <f t="shared" ref="Z40:AB40" ca="1" si="20">SUM(Z37:Z39)</f>
        <v>8423424.7881676275</v>
      </c>
      <c r="AA40" s="137">
        <f t="shared" ca="1" si="20"/>
        <v>8423424.7881676275</v>
      </c>
      <c r="AB40" s="137">
        <f t="shared" ca="1" si="20"/>
        <v>0</v>
      </c>
    </row>
    <row r="41" spans="1:28" ht="6.95" customHeight="1" thickBot="1">
      <c r="A41" s="237"/>
      <c r="B41" s="5"/>
      <c r="C41" s="114"/>
      <c r="D41" s="114"/>
      <c r="E41" s="114"/>
      <c r="F41" s="114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</row>
    <row r="42" spans="1:28" ht="6.95" customHeight="1" thickTop="1">
      <c r="A42" s="237"/>
      <c r="B42" s="5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</row>
    <row r="43" spans="1:28">
      <c r="A43" s="237">
        <f>+A40+1</f>
        <v>29</v>
      </c>
      <c r="B43" s="5"/>
      <c r="C43" s="5" t="s">
        <v>512</v>
      </c>
      <c r="D43" s="114"/>
      <c r="E43" s="114"/>
      <c r="F43" s="114"/>
      <c r="G43" s="114">
        <f>+G22+G26+G34+G40</f>
        <v>0</v>
      </c>
      <c r="H43" s="114">
        <f t="shared" ref="H43:Q43" ca="1" si="21">+H22+H26+H34+H40</f>
        <v>6851170.535669676</v>
      </c>
      <c r="I43" s="114">
        <f t="shared" si="21"/>
        <v>-12809953.858547151</v>
      </c>
      <c r="J43" s="114">
        <f t="shared" si="21"/>
        <v>0</v>
      </c>
      <c r="K43" s="114">
        <f t="shared" si="21"/>
        <v>0</v>
      </c>
      <c r="L43" s="114">
        <f t="shared" si="21"/>
        <v>-16223802.288964495</v>
      </c>
      <c r="M43" s="114">
        <f t="shared" si="21"/>
        <v>-771668.30657511228</v>
      </c>
      <c r="N43" s="114">
        <f t="shared" ca="1" si="21"/>
        <v>-684422.76788431453</v>
      </c>
      <c r="O43" s="114">
        <f t="shared" ca="1" si="21"/>
        <v>0</v>
      </c>
      <c r="P43" s="114">
        <f t="shared" ca="1" si="21"/>
        <v>-4525.8902727302257</v>
      </c>
      <c r="Q43" s="114">
        <f t="shared" ca="1" si="21"/>
        <v>-144365.93052417345</v>
      </c>
      <c r="R43" s="114">
        <f ca="1">+R22+R26+R34+R40</f>
        <v>111070.44327312356</v>
      </c>
      <c r="S43" s="114">
        <f t="shared" ref="S43" si="22">+S22+S26+S34+S40</f>
        <v>10993446.72166018</v>
      </c>
      <c r="T43" s="114">
        <f t="shared" ref="T43:Y43" si="23">+T22+T26+T34+T40</f>
        <v>0</v>
      </c>
      <c r="U43" s="114">
        <f t="shared" si="23"/>
        <v>0</v>
      </c>
      <c r="V43" s="114">
        <f t="shared" si="23"/>
        <v>0</v>
      </c>
      <c r="W43" s="114">
        <f t="shared" si="23"/>
        <v>0</v>
      </c>
      <c r="X43" s="114">
        <f t="shared" si="23"/>
        <v>0</v>
      </c>
      <c r="Y43" s="114">
        <f t="shared" si="23"/>
        <v>0</v>
      </c>
      <c r="Z43" s="114">
        <f t="shared" ref="Z43:AB43" ca="1" si="24">+Z22+Z26+Z34+Z40</f>
        <v>-12683051.342164995</v>
      </c>
      <c r="AA43" s="114">
        <f t="shared" ca="1" si="24"/>
        <v>-12683051.342164995</v>
      </c>
      <c r="AB43" s="114">
        <f t="shared" ca="1" si="24"/>
        <v>0</v>
      </c>
    </row>
    <row r="44" spans="1:28" ht="6.95" customHeight="1" thickBot="1">
      <c r="A44" s="237"/>
      <c r="B44" s="5"/>
      <c r="C44" s="114"/>
      <c r="D44" s="114"/>
      <c r="E44" s="114"/>
      <c r="F44" s="114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</row>
    <row r="45" spans="1:28" ht="6.95" customHeight="1" thickTop="1">
      <c r="A45" s="237"/>
      <c r="B45" s="5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</row>
    <row r="46" spans="1:28">
      <c r="A46" s="237">
        <f>+A43+1</f>
        <v>30</v>
      </c>
      <c r="B46" s="5" t="s">
        <v>513</v>
      </c>
      <c r="C46" s="114"/>
      <c r="D46" s="114"/>
      <c r="E46" s="114"/>
      <c r="F46" s="114"/>
      <c r="G46" s="114">
        <f>+G16-G43</f>
        <v>0</v>
      </c>
      <c r="H46" s="114">
        <f t="shared" ref="H46:Q46" ca="1" si="25">+H16-H43</f>
        <v>-6851170.535669676</v>
      </c>
      <c r="I46" s="114">
        <f t="shared" si="25"/>
        <v>-4488883.671735052</v>
      </c>
      <c r="J46" s="114">
        <f t="shared" si="25"/>
        <v>0</v>
      </c>
      <c r="K46" s="114">
        <f t="shared" si="25"/>
        <v>0</v>
      </c>
      <c r="L46" s="114">
        <f t="shared" si="25"/>
        <v>16223802.288964495</v>
      </c>
      <c r="M46" s="114">
        <f t="shared" si="25"/>
        <v>771668.30657511228</v>
      </c>
      <c r="N46" s="114">
        <f t="shared" ca="1" si="25"/>
        <v>684422.76788431453</v>
      </c>
      <c r="O46" s="114">
        <f t="shared" ca="1" si="25"/>
        <v>0</v>
      </c>
      <c r="P46" s="114">
        <f t="shared" ca="1" si="25"/>
        <v>4525.8902727302257</v>
      </c>
      <c r="Q46" s="114">
        <f t="shared" ca="1" si="25"/>
        <v>144365.93052417345</v>
      </c>
      <c r="R46" s="114">
        <f ca="1">+R16-R43</f>
        <v>-111070.44327312356</v>
      </c>
      <c r="S46" s="114">
        <f t="shared" ref="S46" si="26">+S16-S43</f>
        <v>-10993446.72166018</v>
      </c>
      <c r="T46" s="114">
        <f t="shared" ref="T46:Y46" si="27">+T16-T43</f>
        <v>0</v>
      </c>
      <c r="U46" s="114">
        <f t="shared" si="27"/>
        <v>0</v>
      </c>
      <c r="V46" s="114">
        <f t="shared" si="27"/>
        <v>0</v>
      </c>
      <c r="W46" s="114">
        <f t="shared" si="27"/>
        <v>0</v>
      </c>
      <c r="X46" s="114">
        <f t="shared" si="27"/>
        <v>0</v>
      </c>
      <c r="Y46" s="114">
        <f t="shared" si="27"/>
        <v>0</v>
      </c>
      <c r="Z46" s="114">
        <f t="shared" ref="Z46:AB46" ca="1" si="28">+Z16-Z43</f>
        <v>-4615786.188117208</v>
      </c>
      <c r="AA46" s="114">
        <f t="shared" ca="1" si="28"/>
        <v>-4615786.188117208</v>
      </c>
      <c r="AB46" s="114">
        <f t="shared" ca="1" si="28"/>
        <v>0</v>
      </c>
    </row>
    <row r="47" spans="1:28" ht="13.5" thickBot="1">
      <c r="A47" s="237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</row>
    <row r="48" spans="1:28">
      <c r="A48" s="237"/>
    </row>
    <row r="49" spans="1:28">
      <c r="A49" s="237">
        <f>+A46+1</f>
        <v>31</v>
      </c>
      <c r="B49" s="122" t="s">
        <v>181</v>
      </c>
      <c r="C49" s="122"/>
      <c r="D49" s="122"/>
      <c r="E49" s="122"/>
      <c r="F49" s="122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</row>
    <row r="50" spans="1:28">
      <c r="A50" s="237"/>
      <c r="B50" s="581"/>
      <c r="C50" s="581"/>
      <c r="D50" s="581"/>
      <c r="E50" s="581"/>
      <c r="F50" s="581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</row>
    <row r="51" spans="1:28">
      <c r="A51" s="237">
        <f>+A49+1</f>
        <v>32</v>
      </c>
      <c r="B51" s="5" t="s">
        <v>291</v>
      </c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</row>
    <row r="52" spans="1:28">
      <c r="A52" s="237">
        <f t="shared" ref="A52:A58" si="29">+A51+1</f>
        <v>33</v>
      </c>
      <c r="C52" s="113">
        <v>101</v>
      </c>
      <c r="D52" s="114" t="s">
        <v>298</v>
      </c>
      <c r="E52" s="114"/>
      <c r="F52" s="114"/>
      <c r="G52" s="114">
        <f ca="1">Adjustments!F1085</f>
        <v>302738062.9192766</v>
      </c>
      <c r="H52" s="114">
        <f>Adjustments!G1085</f>
        <v>0</v>
      </c>
      <c r="I52" s="114">
        <f>Adjustments!H1085</f>
        <v>0</v>
      </c>
      <c r="J52" s="114">
        <f>Adjustments!I1085</f>
        <v>0</v>
      </c>
      <c r="K52" s="114">
        <f>Adjustments!J1085</f>
        <v>-5037992.5680000009</v>
      </c>
      <c r="L52" s="114">
        <f>Adjustments!K1085</f>
        <v>0</v>
      </c>
      <c r="M52" s="114">
        <f>Adjustments!L1085</f>
        <v>0</v>
      </c>
      <c r="N52" s="114">
        <f>Adjustments!M1085</f>
        <v>0</v>
      </c>
      <c r="O52" s="114">
        <f>Adjustments!N1085</f>
        <v>0</v>
      </c>
      <c r="P52" s="114">
        <f>Adjustments!O1085</f>
        <v>0</v>
      </c>
      <c r="Q52" s="114">
        <f>Adjustments!P1085</f>
        <v>0</v>
      </c>
      <c r="R52" s="114">
        <f>Adjustments!Q1085</f>
        <v>0</v>
      </c>
      <c r="S52" s="114">
        <f>Adjustments!R1085</f>
        <v>0</v>
      </c>
      <c r="T52" s="114">
        <f>Adjustments!S1085</f>
        <v>0</v>
      </c>
      <c r="U52" s="114">
        <f>Adjustments!T1085</f>
        <v>0</v>
      </c>
      <c r="V52" s="114">
        <f>Adjustments!U1085</f>
        <v>0</v>
      </c>
      <c r="W52" s="114">
        <f>Adjustments!V1085</f>
        <v>0</v>
      </c>
      <c r="X52" s="114">
        <f>Adjustments!W1085</f>
        <v>0</v>
      </c>
      <c r="Y52" s="114">
        <f>Adjustments!X1085</f>
        <v>0</v>
      </c>
      <c r="Z52" s="114">
        <f ca="1">Adjustments!AU1085</f>
        <v>297700070.35127664</v>
      </c>
      <c r="AA52" s="114">
        <f ca="1">SUM(G52:Y52)</f>
        <v>297700070.35127658</v>
      </c>
      <c r="AB52" s="114">
        <f t="shared" ref="AB52:AB56" ca="1" si="30">+Z52-AA52</f>
        <v>0</v>
      </c>
    </row>
    <row r="53" spans="1:28">
      <c r="A53" s="237">
        <f t="shared" si="29"/>
        <v>34</v>
      </c>
      <c r="C53" s="113">
        <v>105</v>
      </c>
      <c r="D53" s="114" t="s">
        <v>299</v>
      </c>
      <c r="E53" s="114"/>
      <c r="F53" s="114"/>
      <c r="G53" s="114">
        <f>Adjustments!F1089</f>
        <v>0</v>
      </c>
      <c r="H53" s="114">
        <f>Adjustments!G1089</f>
        <v>0</v>
      </c>
      <c r="I53" s="114">
        <f>Adjustments!H1089</f>
        <v>0</v>
      </c>
      <c r="J53" s="114">
        <f>Adjustments!I1089</f>
        <v>0</v>
      </c>
      <c r="K53" s="114">
        <f>Adjustments!J1089</f>
        <v>0</v>
      </c>
      <c r="L53" s="114">
        <f>Adjustments!K1089</f>
        <v>0</v>
      </c>
      <c r="M53" s="114">
        <f>Adjustments!L1089</f>
        <v>0</v>
      </c>
      <c r="N53" s="114">
        <f>Adjustments!M1089</f>
        <v>0</v>
      </c>
      <c r="O53" s="114">
        <f>Adjustments!N1089</f>
        <v>0</v>
      </c>
      <c r="P53" s="114">
        <f>Adjustments!O1089</f>
        <v>0</v>
      </c>
      <c r="Q53" s="114">
        <f>Adjustments!P1089</f>
        <v>0</v>
      </c>
      <c r="R53" s="114">
        <f>Adjustments!Q1089</f>
        <v>0</v>
      </c>
      <c r="S53" s="114">
        <f>Adjustments!R1089</f>
        <v>0</v>
      </c>
      <c r="T53" s="114">
        <f>Adjustments!S1089</f>
        <v>0</v>
      </c>
      <c r="U53" s="114">
        <f>Adjustments!T1089</f>
        <v>0</v>
      </c>
      <c r="V53" s="114">
        <f>Adjustments!U1089</f>
        <v>0</v>
      </c>
      <c r="W53" s="114">
        <f>Adjustments!V1089</f>
        <v>0</v>
      </c>
      <c r="X53" s="114">
        <f>Adjustments!W1089</f>
        <v>0</v>
      </c>
      <c r="Y53" s="114">
        <f>Adjustments!X1089</f>
        <v>0</v>
      </c>
      <c r="Z53" s="114">
        <f>Adjustments!AU1089</f>
        <v>0</v>
      </c>
      <c r="AA53" s="114">
        <f>SUM(G53:Y53)</f>
        <v>0</v>
      </c>
      <c r="AB53" s="114">
        <f t="shared" si="30"/>
        <v>0</v>
      </c>
    </row>
    <row r="54" spans="1:28">
      <c r="A54" s="237">
        <f t="shared" si="29"/>
        <v>35</v>
      </c>
      <c r="C54" s="113">
        <v>106</v>
      </c>
      <c r="D54" s="114" t="s">
        <v>515</v>
      </c>
      <c r="E54" s="114"/>
      <c r="F54" s="114"/>
      <c r="G54" s="114">
        <f>Adjustments!F1096</f>
        <v>0</v>
      </c>
      <c r="H54" s="114">
        <f>Adjustments!G1096</f>
        <v>0</v>
      </c>
      <c r="I54" s="114">
        <f>Adjustments!H1096</f>
        <v>0</v>
      </c>
      <c r="J54" s="114">
        <f>Adjustments!I1096</f>
        <v>0</v>
      </c>
      <c r="K54" s="114">
        <f>Adjustments!J1096</f>
        <v>0</v>
      </c>
      <c r="L54" s="114">
        <f>Adjustments!K1096</f>
        <v>0</v>
      </c>
      <c r="M54" s="114">
        <f>Adjustments!L1096</f>
        <v>0</v>
      </c>
      <c r="N54" s="114">
        <f>Adjustments!M1096</f>
        <v>0</v>
      </c>
      <c r="O54" s="114">
        <f>Adjustments!N1096</f>
        <v>0</v>
      </c>
      <c r="P54" s="114">
        <f>Adjustments!O1096</f>
        <v>0</v>
      </c>
      <c r="Q54" s="114">
        <f>Adjustments!P1096</f>
        <v>0</v>
      </c>
      <c r="R54" s="114">
        <f>Adjustments!Q1096</f>
        <v>0</v>
      </c>
      <c r="S54" s="114">
        <f>Adjustments!R1096</f>
        <v>0</v>
      </c>
      <c r="T54" s="114">
        <f>Adjustments!S1096</f>
        <v>0</v>
      </c>
      <c r="U54" s="114">
        <f>Adjustments!T1096</f>
        <v>0</v>
      </c>
      <c r="V54" s="114">
        <f>Adjustments!U1096</f>
        <v>0</v>
      </c>
      <c r="W54" s="114">
        <f>Adjustments!V1096</f>
        <v>0</v>
      </c>
      <c r="X54" s="114">
        <f>Adjustments!W1096</f>
        <v>0</v>
      </c>
      <c r="Y54" s="114">
        <f>Adjustments!X1096</f>
        <v>0</v>
      </c>
      <c r="Z54" s="114">
        <f>Adjustments!AU1096</f>
        <v>0</v>
      </c>
      <c r="AA54" s="114">
        <f>SUM(G54:Y54)</f>
        <v>0</v>
      </c>
      <c r="AB54" s="114">
        <f t="shared" si="30"/>
        <v>0</v>
      </c>
    </row>
    <row r="55" spans="1:28">
      <c r="A55" s="237">
        <f t="shared" si="29"/>
        <v>36</v>
      </c>
      <c r="C55" s="113">
        <v>108</v>
      </c>
      <c r="D55" s="114" t="s">
        <v>520</v>
      </c>
      <c r="E55" s="114"/>
      <c r="F55" s="114"/>
      <c r="G55" s="114">
        <f ca="1">Adjustments!F1103</f>
        <v>-9561852.4594775327</v>
      </c>
      <c r="H55" s="114">
        <f>Adjustments!G1103</f>
        <v>0</v>
      </c>
      <c r="I55" s="114">
        <f>Adjustments!H1103</f>
        <v>0</v>
      </c>
      <c r="J55" s="114">
        <f>Adjustments!I1103</f>
        <v>0</v>
      </c>
      <c r="K55" s="114">
        <f ca="1">Adjustments!J1103</f>
        <v>4440071.2995727248</v>
      </c>
      <c r="L55" s="114">
        <f>Adjustments!K1103</f>
        <v>0</v>
      </c>
      <c r="M55" s="114">
        <f>Adjustments!L1103</f>
        <v>0</v>
      </c>
      <c r="N55" s="114">
        <f>Adjustments!M1103</f>
        <v>0</v>
      </c>
      <c r="O55" s="114">
        <f>Adjustments!N1103</f>
        <v>0</v>
      </c>
      <c r="P55" s="114">
        <f>Adjustments!O1103</f>
        <v>0</v>
      </c>
      <c r="Q55" s="114">
        <f>Adjustments!P1103</f>
        <v>0</v>
      </c>
      <c r="R55" s="114">
        <f>Adjustments!Q1103</f>
        <v>0</v>
      </c>
      <c r="S55" s="114">
        <f>Adjustments!R1103</f>
        <v>0</v>
      </c>
      <c r="T55" s="114">
        <f>Adjustments!S1103</f>
        <v>0</v>
      </c>
      <c r="U55" s="114">
        <f>Adjustments!T1103</f>
        <v>0</v>
      </c>
      <c r="V55" s="114">
        <f>Adjustments!U1103</f>
        <v>0</v>
      </c>
      <c r="W55" s="114">
        <f>Adjustments!V1103</f>
        <v>0</v>
      </c>
      <c r="X55" s="114">
        <f>Adjustments!W1103</f>
        <v>0</v>
      </c>
      <c r="Y55" s="114">
        <f>Adjustments!X1103</f>
        <v>0</v>
      </c>
      <c r="Z55" s="114">
        <f ca="1">Adjustments!AU1103</f>
        <v>-5121781.1599048078</v>
      </c>
      <c r="AA55" s="114">
        <f ca="1">SUM(G55:Y55)</f>
        <v>-5121781.1599048078</v>
      </c>
      <c r="AB55" s="114">
        <f t="shared" ca="1" si="30"/>
        <v>0</v>
      </c>
    </row>
    <row r="56" spans="1:28">
      <c r="A56" s="237">
        <f t="shared" si="29"/>
        <v>37</v>
      </c>
      <c r="C56" s="113">
        <v>111</v>
      </c>
      <c r="D56" s="114" t="s">
        <v>521</v>
      </c>
      <c r="E56" s="114"/>
      <c r="F56" s="114"/>
      <c r="G56" s="114">
        <f>Adjustments!F1110</f>
        <v>0</v>
      </c>
      <c r="H56" s="114">
        <f>Adjustments!G1110</f>
        <v>0</v>
      </c>
      <c r="I56" s="114">
        <f>Adjustments!H1110</f>
        <v>0</v>
      </c>
      <c r="J56" s="114">
        <f>Adjustments!I1110</f>
        <v>0</v>
      </c>
      <c r="K56" s="114">
        <f>Adjustments!J1110</f>
        <v>387467.42957999994</v>
      </c>
      <c r="L56" s="114">
        <f>Adjustments!K1110</f>
        <v>0</v>
      </c>
      <c r="M56" s="114">
        <f>Adjustments!L1110</f>
        <v>0</v>
      </c>
      <c r="N56" s="114">
        <f>Adjustments!M1110</f>
        <v>0</v>
      </c>
      <c r="O56" s="114">
        <f>Adjustments!N1110</f>
        <v>0</v>
      </c>
      <c r="P56" s="114">
        <f>Adjustments!O1110</f>
        <v>0</v>
      </c>
      <c r="Q56" s="114">
        <f>Adjustments!P1110</f>
        <v>0</v>
      </c>
      <c r="R56" s="114">
        <f>Adjustments!Q1110</f>
        <v>0</v>
      </c>
      <c r="S56" s="114">
        <f>Adjustments!R1110</f>
        <v>0</v>
      </c>
      <c r="T56" s="114">
        <f>Adjustments!S1110</f>
        <v>0</v>
      </c>
      <c r="U56" s="114">
        <f>Adjustments!T1110</f>
        <v>0</v>
      </c>
      <c r="V56" s="114">
        <f>Adjustments!U1110</f>
        <v>0</v>
      </c>
      <c r="W56" s="114">
        <f>Adjustments!V1110</f>
        <v>0</v>
      </c>
      <c r="X56" s="114">
        <f>Adjustments!W1110</f>
        <v>0</v>
      </c>
      <c r="Y56" s="114">
        <f>Adjustments!X1110</f>
        <v>0</v>
      </c>
      <c r="Z56" s="114">
        <f>Adjustments!AU1110</f>
        <v>387467.42957999994</v>
      </c>
      <c r="AA56" s="114">
        <f>SUM(G56:Y56)</f>
        <v>387467.42957999994</v>
      </c>
      <c r="AB56" s="114">
        <f t="shared" si="30"/>
        <v>0</v>
      </c>
    </row>
    <row r="57" spans="1:28" ht="13.5" thickBot="1">
      <c r="A57" s="237">
        <f t="shared" si="29"/>
        <v>38</v>
      </c>
      <c r="C57" s="113">
        <v>254</v>
      </c>
      <c r="D57" s="114" t="s">
        <v>1231</v>
      </c>
      <c r="E57" s="114"/>
      <c r="F57" s="114"/>
      <c r="G57" s="114">
        <f ca="1">Adjustments!F1117</f>
        <v>1083595.9353223844</v>
      </c>
      <c r="H57" s="114">
        <f>Adjustments!G1117</f>
        <v>0</v>
      </c>
      <c r="I57" s="114">
        <f>Adjustments!H1117</f>
        <v>0</v>
      </c>
      <c r="J57" s="114">
        <f>Adjustments!I1117</f>
        <v>0</v>
      </c>
      <c r="K57" s="114">
        <f>Adjustments!J1117</f>
        <v>0</v>
      </c>
      <c r="L57" s="114">
        <f>Adjustments!K1117</f>
        <v>0</v>
      </c>
      <c r="M57" s="114">
        <f>Adjustments!L1117</f>
        <v>0</v>
      </c>
      <c r="N57" s="114">
        <f>Adjustments!M1117</f>
        <v>0</v>
      </c>
      <c r="O57" s="114">
        <f>Adjustments!N1117</f>
        <v>0</v>
      </c>
      <c r="P57" s="114">
        <f>Adjustments!O1117</f>
        <v>0</v>
      </c>
      <c r="Q57" s="114">
        <f>Adjustments!P1117</f>
        <v>0</v>
      </c>
      <c r="R57" s="114">
        <f>Adjustments!Q1117</f>
        <v>0</v>
      </c>
      <c r="S57" s="114">
        <f>Adjustments!R1117</f>
        <v>0</v>
      </c>
      <c r="T57" s="114">
        <f>Adjustments!S1117</f>
        <v>0</v>
      </c>
      <c r="U57" s="114">
        <f>Adjustments!T1117</f>
        <v>0</v>
      </c>
      <c r="V57" s="114">
        <f>Adjustments!U1117</f>
        <v>0</v>
      </c>
      <c r="W57" s="114">
        <f>Adjustments!V1117</f>
        <v>0</v>
      </c>
      <c r="X57" s="114">
        <f>Adjustments!W1117</f>
        <v>0</v>
      </c>
      <c r="Y57" s="114">
        <f>Adjustments!X1117</f>
        <v>0</v>
      </c>
      <c r="Z57" s="114">
        <f ca="1">Adjustments!AU1117</f>
        <v>1083595.9353223844</v>
      </c>
      <c r="AA57" s="114">
        <f>Adjustments!X1117</f>
        <v>0</v>
      </c>
      <c r="AB57" s="114">
        <f>Adjustments!Y1117</f>
        <v>0</v>
      </c>
    </row>
    <row r="58" spans="1:28">
      <c r="A58" s="237">
        <f t="shared" si="29"/>
        <v>39</v>
      </c>
      <c r="C58" s="580" t="s">
        <v>182</v>
      </c>
      <c r="D58" s="114"/>
      <c r="E58" s="114"/>
      <c r="F58" s="114"/>
      <c r="G58" s="137">
        <f t="shared" ref="G58:S58" ca="1" si="31">SUM(G52:G57)</f>
        <v>294259806.39512146</v>
      </c>
      <c r="H58" s="137">
        <f t="shared" si="31"/>
        <v>0</v>
      </c>
      <c r="I58" s="137">
        <f t="shared" si="31"/>
        <v>0</v>
      </c>
      <c r="J58" s="137">
        <f t="shared" si="31"/>
        <v>0</v>
      </c>
      <c r="K58" s="137">
        <f t="shared" ca="1" si="31"/>
        <v>-210453.83884727611</v>
      </c>
      <c r="L58" s="137">
        <f t="shared" si="31"/>
        <v>0</v>
      </c>
      <c r="M58" s="137">
        <f t="shared" si="31"/>
        <v>0</v>
      </c>
      <c r="N58" s="137">
        <f t="shared" si="31"/>
        <v>0</v>
      </c>
      <c r="O58" s="137">
        <f t="shared" si="31"/>
        <v>0</v>
      </c>
      <c r="P58" s="137">
        <f t="shared" si="31"/>
        <v>0</v>
      </c>
      <c r="Q58" s="137">
        <f t="shared" si="31"/>
        <v>0</v>
      </c>
      <c r="R58" s="137">
        <f t="shared" si="31"/>
        <v>0</v>
      </c>
      <c r="S58" s="137">
        <f t="shared" si="31"/>
        <v>0</v>
      </c>
      <c r="T58" s="137">
        <f t="shared" ref="T58:Y58" si="32">SUM(T52:T57)</f>
        <v>0</v>
      </c>
      <c r="U58" s="137">
        <f t="shared" si="32"/>
        <v>0</v>
      </c>
      <c r="V58" s="137">
        <f t="shared" si="32"/>
        <v>0</v>
      </c>
      <c r="W58" s="137">
        <f t="shared" si="32"/>
        <v>0</v>
      </c>
      <c r="X58" s="137">
        <f t="shared" si="32"/>
        <v>0</v>
      </c>
      <c r="Y58" s="137">
        <f t="shared" si="32"/>
        <v>0</v>
      </c>
      <c r="Z58" s="137">
        <f ca="1">SUM(Z52:Z57)</f>
        <v>294049352.55627418</v>
      </c>
      <c r="AA58" s="137">
        <f t="shared" ref="AA58:AB58" ca="1" si="33">SUM(AA52:AA56)</f>
        <v>292965756.62095177</v>
      </c>
      <c r="AB58" s="137">
        <f t="shared" ca="1" si="33"/>
        <v>0</v>
      </c>
    </row>
    <row r="59" spans="1:28">
      <c r="A59" s="237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</row>
    <row r="60" spans="1:28">
      <c r="A60" s="237">
        <f>+A58+1</f>
        <v>40</v>
      </c>
      <c r="B60" s="5" t="s">
        <v>186</v>
      </c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</row>
    <row r="61" spans="1:28">
      <c r="A61" s="237">
        <f t="shared" ref="A61:A71" si="34">+A60+1</f>
        <v>41</v>
      </c>
      <c r="C61" s="113">
        <v>154</v>
      </c>
      <c r="D61" s="114" t="s">
        <v>516</v>
      </c>
      <c r="E61" s="114"/>
      <c r="F61" s="114"/>
      <c r="G61" s="114">
        <f>Adjustments!F1135</f>
        <v>643674.57333332824</v>
      </c>
      <c r="H61" s="114">
        <f>Adjustments!G1135</f>
        <v>0</v>
      </c>
      <c r="I61" s="114">
        <f>Adjustments!H1135</f>
        <v>0</v>
      </c>
      <c r="J61" s="114">
        <f>Adjustments!I1135</f>
        <v>0</v>
      </c>
      <c r="K61" s="114">
        <f>Adjustments!J1135</f>
        <v>0</v>
      </c>
      <c r="L61" s="114">
        <f>Adjustments!K1135</f>
        <v>0</v>
      </c>
      <c r="M61" s="114">
        <f>Adjustments!L1135</f>
        <v>0</v>
      </c>
      <c r="N61" s="114">
        <f>Adjustments!M1135</f>
        <v>0</v>
      </c>
      <c r="O61" s="114">
        <f>Adjustments!N1135</f>
        <v>0</v>
      </c>
      <c r="P61" s="114">
        <f>Adjustments!O1135</f>
        <v>0</v>
      </c>
      <c r="Q61" s="114">
        <f>Adjustments!P1135</f>
        <v>0</v>
      </c>
      <c r="R61" s="114">
        <f>Adjustments!Q1135</f>
        <v>0</v>
      </c>
      <c r="S61" s="114">
        <f>Adjustments!R1135</f>
        <v>0</v>
      </c>
      <c r="T61" s="114">
        <f>Adjustments!S1135</f>
        <v>0</v>
      </c>
      <c r="U61" s="114">
        <f>Adjustments!T1135</f>
        <v>0</v>
      </c>
      <c r="V61" s="114">
        <f>Adjustments!U1135</f>
        <v>0</v>
      </c>
      <c r="W61" s="114">
        <f>Adjustments!V1135</f>
        <v>0</v>
      </c>
      <c r="X61" s="114">
        <f>Adjustments!W1135</f>
        <v>0</v>
      </c>
      <c r="Y61" s="114">
        <f>Adjustments!X1135</f>
        <v>0</v>
      </c>
      <c r="Z61" s="114">
        <f>Adjustments!AU1135</f>
        <v>643674.57333332824</v>
      </c>
      <c r="AA61" s="114">
        <f t="shared" ref="AA61:AA70" si="35">SUM(G61:Y61)</f>
        <v>643674.57333332824</v>
      </c>
      <c r="AB61" s="114">
        <f t="shared" ref="AB61:AB70" si="36">+Z61-AA61</f>
        <v>0</v>
      </c>
    </row>
    <row r="62" spans="1:28">
      <c r="A62" s="237">
        <f t="shared" si="34"/>
        <v>42</v>
      </c>
      <c r="C62" s="113" t="s">
        <v>540</v>
      </c>
      <c r="D62" s="114" t="s">
        <v>309</v>
      </c>
      <c r="E62" s="114"/>
      <c r="F62" s="114"/>
      <c r="G62" s="114">
        <f>Adjustments!F1139</f>
        <v>0</v>
      </c>
      <c r="H62" s="114">
        <f>Adjustments!G1139</f>
        <v>0</v>
      </c>
      <c r="I62" s="114">
        <f>Adjustments!H1139</f>
        <v>0</v>
      </c>
      <c r="J62" s="114">
        <f>Adjustments!I1139</f>
        <v>-52891066.75</v>
      </c>
      <c r="K62" s="114">
        <f>Adjustments!J1139</f>
        <v>0</v>
      </c>
      <c r="L62" s="114">
        <f>Adjustments!K1139</f>
        <v>0</v>
      </c>
      <c r="M62" s="114">
        <f>Adjustments!L1139</f>
        <v>0</v>
      </c>
      <c r="N62" s="114">
        <f>Adjustments!M1139</f>
        <v>0</v>
      </c>
      <c r="O62" s="114">
        <f>Adjustments!N1139</f>
        <v>0</v>
      </c>
      <c r="P62" s="114">
        <f>Adjustments!O1139</f>
        <v>0</v>
      </c>
      <c r="Q62" s="114">
        <f>Adjustments!P1139</f>
        <v>0</v>
      </c>
      <c r="R62" s="114">
        <f>Adjustments!Q1139</f>
        <v>0</v>
      </c>
      <c r="S62" s="114">
        <f>Adjustments!R1139</f>
        <v>0</v>
      </c>
      <c r="T62" s="114">
        <f>Adjustments!S1139</f>
        <v>0</v>
      </c>
      <c r="U62" s="114">
        <f>Adjustments!T1139</f>
        <v>0</v>
      </c>
      <c r="V62" s="114">
        <f>Adjustments!U1139</f>
        <v>0</v>
      </c>
      <c r="W62" s="114">
        <f>Adjustments!V1139</f>
        <v>0</v>
      </c>
      <c r="X62" s="114">
        <f>Adjustments!W1139</f>
        <v>0</v>
      </c>
      <c r="Y62" s="114">
        <f>Adjustments!X1139</f>
        <v>0</v>
      </c>
      <c r="Z62" s="114">
        <f>Adjustments!AU1139</f>
        <v>-52891066.75</v>
      </c>
      <c r="AA62" s="114">
        <f t="shared" si="35"/>
        <v>-52891066.75</v>
      </c>
      <c r="AB62" s="114">
        <f t="shared" si="36"/>
        <v>0</v>
      </c>
    </row>
    <row r="63" spans="1:28">
      <c r="A63" s="237">
        <f t="shared" si="34"/>
        <v>43</v>
      </c>
      <c r="C63" s="113">
        <v>165</v>
      </c>
      <c r="D63" s="114" t="s">
        <v>310</v>
      </c>
      <c r="E63" s="114"/>
      <c r="F63" s="114"/>
      <c r="G63" s="114">
        <f>Adjustments!F1143</f>
        <v>-257724.94083333341</v>
      </c>
      <c r="H63" s="114">
        <f>Adjustments!G1143</f>
        <v>0</v>
      </c>
      <c r="I63" s="114">
        <f>Adjustments!H1143</f>
        <v>0</v>
      </c>
      <c r="J63" s="114">
        <f>Adjustments!I1143</f>
        <v>0</v>
      </c>
      <c r="K63" s="114">
        <f>Adjustments!J1143</f>
        <v>0</v>
      </c>
      <c r="L63" s="114">
        <f>Adjustments!K1143</f>
        <v>0</v>
      </c>
      <c r="M63" s="114">
        <f>Adjustments!L1143</f>
        <v>0</v>
      </c>
      <c r="N63" s="114">
        <f>Adjustments!M1143</f>
        <v>0</v>
      </c>
      <c r="O63" s="114">
        <f>Adjustments!N1143</f>
        <v>0</v>
      </c>
      <c r="P63" s="114">
        <f>Adjustments!O1143</f>
        <v>0</v>
      </c>
      <c r="Q63" s="114">
        <f>Adjustments!P1143</f>
        <v>0</v>
      </c>
      <c r="R63" s="114">
        <f>Adjustments!Q1143</f>
        <v>0</v>
      </c>
      <c r="S63" s="114">
        <f>Adjustments!R1143</f>
        <v>0</v>
      </c>
      <c r="T63" s="114">
        <f>Adjustments!S1143</f>
        <v>0</v>
      </c>
      <c r="U63" s="114">
        <f>Adjustments!T1143</f>
        <v>0</v>
      </c>
      <c r="V63" s="114">
        <f>Adjustments!U1143</f>
        <v>0</v>
      </c>
      <c r="W63" s="114">
        <f>Adjustments!V1143</f>
        <v>0</v>
      </c>
      <c r="X63" s="114">
        <f>Adjustments!W1143</f>
        <v>0</v>
      </c>
      <c r="Y63" s="114">
        <f>Adjustments!X1143</f>
        <v>0</v>
      </c>
      <c r="Z63" s="114">
        <f>Adjustments!AU1143</f>
        <v>-257724.94083333341</v>
      </c>
      <c r="AA63" s="114">
        <f t="shared" si="35"/>
        <v>-257724.94083333341</v>
      </c>
      <c r="AB63" s="114">
        <f t="shared" si="36"/>
        <v>0</v>
      </c>
    </row>
    <row r="64" spans="1:28">
      <c r="A64" s="237">
        <f t="shared" si="34"/>
        <v>44</v>
      </c>
      <c r="C64" s="113">
        <v>190</v>
      </c>
      <c r="D64" s="114" t="s">
        <v>34</v>
      </c>
      <c r="E64" s="114"/>
      <c r="F64" s="114"/>
      <c r="G64" s="114">
        <f>Adjustments!F1150+Adjustments!F1157</f>
        <v>-70570826</v>
      </c>
      <c r="H64" s="114">
        <f>Adjustments!G1150+Adjustments!G1157</f>
        <v>0</v>
      </c>
      <c r="I64" s="114">
        <f>Adjustments!H1150+Adjustments!H1157</f>
        <v>0</v>
      </c>
      <c r="J64" s="114">
        <f>Adjustments!I1150+Adjustments!I1157</f>
        <v>0</v>
      </c>
      <c r="K64" s="114">
        <f>Adjustments!J1150+Adjustments!J1157</f>
        <v>0</v>
      </c>
      <c r="L64" s="114">
        <f>Adjustments!K1150+Adjustments!K1157</f>
        <v>0</v>
      </c>
      <c r="M64" s="114">
        <f>Adjustments!L1150+Adjustments!L1157</f>
        <v>0</v>
      </c>
      <c r="N64" s="114">
        <f>Adjustments!M1150+Adjustments!M1157</f>
        <v>0</v>
      </c>
      <c r="O64" s="114">
        <f>Adjustments!N1150+Adjustments!N1157</f>
        <v>0</v>
      </c>
      <c r="P64" s="114">
        <f>Adjustments!O1150+Adjustments!O1157</f>
        <v>0</v>
      </c>
      <c r="Q64" s="114">
        <f>Adjustments!P1150+Adjustments!P1157</f>
        <v>0</v>
      </c>
      <c r="R64" s="114">
        <f>Adjustments!Q1150+Adjustments!Q1157</f>
        <v>0</v>
      </c>
      <c r="S64" s="114">
        <f>Adjustments!R1150+Adjustments!R1157</f>
        <v>0</v>
      </c>
      <c r="T64" s="114">
        <f>Adjustments!S1150+Adjustments!S1157</f>
        <v>0</v>
      </c>
      <c r="U64" s="114">
        <f>Adjustments!T1150+Adjustments!T1157</f>
        <v>0</v>
      </c>
      <c r="V64" s="114">
        <f>Adjustments!U1150+Adjustments!U1157</f>
        <v>0</v>
      </c>
      <c r="W64" s="114">
        <f>Adjustments!V1150+Adjustments!V1157</f>
        <v>0</v>
      </c>
      <c r="X64" s="114">
        <f>Adjustments!W1150+Adjustments!W1157</f>
        <v>0</v>
      </c>
      <c r="Y64" s="114">
        <f>Adjustments!X1150+Adjustments!X1157</f>
        <v>0</v>
      </c>
      <c r="Z64" s="114">
        <f>Adjustments!AU1150+Adjustments!AU1157</f>
        <v>-70570826</v>
      </c>
      <c r="AA64" s="114">
        <f t="shared" si="35"/>
        <v>-70570826</v>
      </c>
      <c r="AB64" s="114">
        <f t="shared" si="36"/>
        <v>0</v>
      </c>
    </row>
    <row r="65" spans="1:28">
      <c r="A65" s="237">
        <f t="shared" si="34"/>
        <v>45</v>
      </c>
      <c r="C65" s="113" t="s">
        <v>541</v>
      </c>
      <c r="D65" s="114" t="s">
        <v>311</v>
      </c>
      <c r="E65" s="114"/>
      <c r="F65" s="114"/>
      <c r="G65" s="114">
        <f>Adjustments!F1162</f>
        <v>-1121111.2216666667</v>
      </c>
      <c r="H65" s="114">
        <f>Adjustments!G1162</f>
        <v>0</v>
      </c>
      <c r="I65" s="114">
        <f>Adjustments!H1162</f>
        <v>0</v>
      </c>
      <c r="J65" s="114">
        <f>Adjustments!I1162</f>
        <v>0</v>
      </c>
      <c r="K65" s="114">
        <f>Adjustments!J1162</f>
        <v>0</v>
      </c>
      <c r="L65" s="114">
        <f>Adjustments!K1162</f>
        <v>0</v>
      </c>
      <c r="M65" s="114">
        <f>Adjustments!L1162</f>
        <v>0</v>
      </c>
      <c r="N65" s="114">
        <f>Adjustments!M1162</f>
        <v>0</v>
      </c>
      <c r="O65" s="114">
        <f>Adjustments!N1162</f>
        <v>0</v>
      </c>
      <c r="P65" s="114">
        <f>Adjustments!O1162</f>
        <v>0</v>
      </c>
      <c r="Q65" s="114">
        <f>Adjustments!P1162</f>
        <v>0</v>
      </c>
      <c r="R65" s="114">
        <f>Adjustments!Q1162</f>
        <v>0</v>
      </c>
      <c r="S65" s="114">
        <f>Adjustments!R1162</f>
        <v>0</v>
      </c>
      <c r="T65" s="114">
        <f>Adjustments!S1162</f>
        <v>0</v>
      </c>
      <c r="U65" s="114">
        <f>Adjustments!T1162</f>
        <v>0</v>
      </c>
      <c r="V65" s="114">
        <f>Adjustments!U1162</f>
        <v>0</v>
      </c>
      <c r="W65" s="114">
        <f>Adjustments!V1162</f>
        <v>0</v>
      </c>
      <c r="X65" s="114">
        <f>Adjustments!W1162</f>
        <v>0</v>
      </c>
      <c r="Y65" s="114">
        <f>Adjustments!X1162</f>
        <v>0</v>
      </c>
      <c r="Z65" s="114">
        <f>Adjustments!AU1162</f>
        <v>-1121111.2216666667</v>
      </c>
      <c r="AA65" s="114">
        <f t="shared" si="35"/>
        <v>-1121111.2216666667</v>
      </c>
      <c r="AB65" s="114">
        <f t="shared" si="36"/>
        <v>0</v>
      </c>
    </row>
    <row r="66" spans="1:28">
      <c r="A66" s="237">
        <f t="shared" si="34"/>
        <v>46</v>
      </c>
      <c r="C66" s="212">
        <v>252</v>
      </c>
      <c r="D66" s="114" t="s">
        <v>493</v>
      </c>
      <c r="E66" s="114"/>
      <c r="F66" s="114"/>
      <c r="G66" s="114">
        <f>Adjustments!F1167</f>
        <v>6537409.8470155885</v>
      </c>
      <c r="H66" s="114">
        <f>Adjustments!G1167</f>
        <v>0</v>
      </c>
      <c r="I66" s="114">
        <f>Adjustments!H1167</f>
        <v>0</v>
      </c>
      <c r="J66" s="114">
        <f>Adjustments!I1167</f>
        <v>0</v>
      </c>
      <c r="K66" s="114">
        <f>Adjustments!J1167</f>
        <v>0</v>
      </c>
      <c r="L66" s="114">
        <f>Adjustments!K1167</f>
        <v>0</v>
      </c>
      <c r="M66" s="114">
        <f>Adjustments!L1167</f>
        <v>0</v>
      </c>
      <c r="N66" s="114">
        <f>Adjustments!M1167</f>
        <v>0</v>
      </c>
      <c r="O66" s="114">
        <f>Adjustments!N1167</f>
        <v>0</v>
      </c>
      <c r="P66" s="114">
        <f>Adjustments!O1167</f>
        <v>0</v>
      </c>
      <c r="Q66" s="114">
        <f>Adjustments!P1167</f>
        <v>0</v>
      </c>
      <c r="R66" s="114">
        <f>Adjustments!Q1167</f>
        <v>0</v>
      </c>
      <c r="S66" s="114">
        <f>Adjustments!R1167</f>
        <v>0</v>
      </c>
      <c r="T66" s="114">
        <f>Adjustments!S1167</f>
        <v>0</v>
      </c>
      <c r="U66" s="114">
        <f>Adjustments!T1167</f>
        <v>0</v>
      </c>
      <c r="V66" s="114">
        <f>Adjustments!U1167</f>
        <v>0</v>
      </c>
      <c r="W66" s="114">
        <f>Adjustments!V1167</f>
        <v>0</v>
      </c>
      <c r="X66" s="114">
        <f>Adjustments!W1167</f>
        <v>0</v>
      </c>
      <c r="Y66" s="114">
        <f>Adjustments!X1167</f>
        <v>0</v>
      </c>
      <c r="Z66" s="114">
        <f>Adjustments!AU1167</f>
        <v>6537409.8470155885</v>
      </c>
      <c r="AA66" s="114">
        <f t="shared" si="35"/>
        <v>6537409.8470155885</v>
      </c>
      <c r="AB66" s="114">
        <f t="shared" si="36"/>
        <v>0</v>
      </c>
    </row>
    <row r="67" spans="1:28">
      <c r="A67" s="237">
        <f t="shared" si="34"/>
        <v>47</v>
      </c>
      <c r="C67" s="113" t="s">
        <v>542</v>
      </c>
      <c r="D67" s="114" t="s">
        <v>312</v>
      </c>
      <c r="E67" s="114"/>
      <c r="F67" s="114"/>
      <c r="G67" s="114">
        <f>Adjustments!F1171</f>
        <v>-6807.9666666666672</v>
      </c>
      <c r="H67" s="114">
        <f>Adjustments!G1171</f>
        <v>0</v>
      </c>
      <c r="I67" s="114">
        <f>Adjustments!H1171</f>
        <v>0</v>
      </c>
      <c r="J67" s="114">
        <f>Adjustments!I1171</f>
        <v>0</v>
      </c>
      <c r="K67" s="114">
        <f>Adjustments!J1171</f>
        <v>0</v>
      </c>
      <c r="L67" s="114">
        <f>Adjustments!K1171</f>
        <v>0</v>
      </c>
      <c r="M67" s="114">
        <f>Adjustments!L1171</f>
        <v>0</v>
      </c>
      <c r="N67" s="114">
        <f>Adjustments!M1171</f>
        <v>0</v>
      </c>
      <c r="O67" s="114">
        <f>Adjustments!N1171</f>
        <v>0</v>
      </c>
      <c r="P67" s="114">
        <f>Adjustments!O1171</f>
        <v>0</v>
      </c>
      <c r="Q67" s="114">
        <f>Adjustments!P1171</f>
        <v>0</v>
      </c>
      <c r="R67" s="114">
        <f>Adjustments!Q1171</f>
        <v>0</v>
      </c>
      <c r="S67" s="114">
        <f>Adjustments!R1171</f>
        <v>0</v>
      </c>
      <c r="T67" s="114">
        <f>Adjustments!S1171</f>
        <v>0</v>
      </c>
      <c r="U67" s="114">
        <f>Adjustments!T1171</f>
        <v>0</v>
      </c>
      <c r="V67" s="114">
        <f>Adjustments!U1171</f>
        <v>0</v>
      </c>
      <c r="W67" s="114">
        <f>Adjustments!V1171</f>
        <v>0</v>
      </c>
      <c r="X67" s="114">
        <f>Adjustments!W1171</f>
        <v>0</v>
      </c>
      <c r="Y67" s="114">
        <f>Adjustments!X1171</f>
        <v>0</v>
      </c>
      <c r="Z67" s="114">
        <f>Adjustments!AU1171</f>
        <v>-6807.9666666666672</v>
      </c>
      <c r="AA67" s="114">
        <f t="shared" si="35"/>
        <v>-6807.9666666666672</v>
      </c>
      <c r="AB67" s="114">
        <f t="shared" si="36"/>
        <v>0</v>
      </c>
    </row>
    <row r="68" spans="1:28" ht="13.5" customHeight="1">
      <c r="A68" s="237">
        <f t="shared" si="34"/>
        <v>48</v>
      </c>
      <c r="C68" s="113">
        <v>255</v>
      </c>
      <c r="D68" s="114" t="s">
        <v>313</v>
      </c>
      <c r="E68" s="114"/>
      <c r="F68" s="114"/>
      <c r="G68" s="114">
        <f>Adjustments!F1178</f>
        <v>28629.62</v>
      </c>
      <c r="H68" s="114">
        <f>Adjustments!G1178</f>
        <v>0</v>
      </c>
      <c r="I68" s="114">
        <f>Adjustments!H1178</f>
        <v>0</v>
      </c>
      <c r="J68" s="114">
        <f>Adjustments!I1178</f>
        <v>0</v>
      </c>
      <c r="K68" s="114">
        <f>Adjustments!J1178</f>
        <v>0</v>
      </c>
      <c r="L68" s="114">
        <f>Adjustments!K1178</f>
        <v>0</v>
      </c>
      <c r="M68" s="114">
        <f>Adjustments!L1178</f>
        <v>0</v>
      </c>
      <c r="N68" s="114">
        <f>Adjustments!M1178</f>
        <v>0</v>
      </c>
      <c r="O68" s="114">
        <f>Adjustments!N1178</f>
        <v>0</v>
      </c>
      <c r="P68" s="114">
        <f>Adjustments!O1178</f>
        <v>0</v>
      </c>
      <c r="Q68" s="114">
        <f>Adjustments!P1178</f>
        <v>0</v>
      </c>
      <c r="R68" s="114">
        <f>Adjustments!Q1178</f>
        <v>0</v>
      </c>
      <c r="S68" s="114">
        <f>Adjustments!R1178</f>
        <v>0</v>
      </c>
      <c r="T68" s="114">
        <f>Adjustments!S1178</f>
        <v>0</v>
      </c>
      <c r="U68" s="114">
        <f>Adjustments!T1178</f>
        <v>0</v>
      </c>
      <c r="V68" s="114">
        <f>Adjustments!U1178</f>
        <v>0</v>
      </c>
      <c r="W68" s="114">
        <f>Adjustments!V1178</f>
        <v>0</v>
      </c>
      <c r="X68" s="114">
        <f>Adjustments!W1178</f>
        <v>0</v>
      </c>
      <c r="Y68" s="114">
        <f>Adjustments!X1178</f>
        <v>0</v>
      </c>
      <c r="Z68" s="114">
        <f>Adjustments!AU1178</f>
        <v>28629.62</v>
      </c>
      <c r="AA68" s="114">
        <f t="shared" si="35"/>
        <v>28629.62</v>
      </c>
      <c r="AB68" s="114">
        <f t="shared" si="36"/>
        <v>0</v>
      </c>
    </row>
    <row r="69" spans="1:28" ht="13.5" customHeight="1">
      <c r="A69" s="237">
        <f t="shared" si="34"/>
        <v>49</v>
      </c>
      <c r="C69" s="113">
        <v>282</v>
      </c>
      <c r="D69" s="114" t="s">
        <v>34</v>
      </c>
      <c r="E69" s="114"/>
      <c r="F69" s="114"/>
      <c r="G69" s="114">
        <f>(Adjustments!F1185+Adjustments!F1192+Adjustments!F1196)</f>
        <v>30409767.981635131</v>
      </c>
      <c r="H69" s="114">
        <f>(Adjustments!G1185+Adjustments!G1192+Adjustments!G1196)</f>
        <v>0</v>
      </c>
      <c r="I69" s="114">
        <f>(Adjustments!H1185+Adjustments!H1192+Adjustments!H1196)</f>
        <v>0</v>
      </c>
      <c r="J69" s="114">
        <f>(Adjustments!I1185+Adjustments!I1192+Adjustments!I1196)</f>
        <v>0</v>
      </c>
      <c r="K69" s="114">
        <f>(Adjustments!J1185+Adjustments!J1192+Adjustments!J1196)</f>
        <v>0</v>
      </c>
      <c r="L69" s="114">
        <f>(Adjustments!K1185+Adjustments!K1192+Adjustments!K1196)</f>
        <v>0</v>
      </c>
      <c r="M69" s="114">
        <f>(Adjustments!L1185+Adjustments!L1192+Adjustments!L1196)</f>
        <v>0</v>
      </c>
      <c r="N69" s="114">
        <f>(Adjustments!M1185+Adjustments!M1192+Adjustments!M1196)</f>
        <v>0</v>
      </c>
      <c r="O69" s="114">
        <f>(Adjustments!N1185+Adjustments!N1192+Adjustments!N1196)</f>
        <v>0</v>
      </c>
      <c r="P69" s="114">
        <f>(Adjustments!O1185+Adjustments!O1192+Adjustments!O1196)</f>
        <v>0</v>
      </c>
      <c r="Q69" s="114">
        <f>(Adjustments!P1185+Adjustments!P1192+Adjustments!P1196)</f>
        <v>0</v>
      </c>
      <c r="R69" s="114">
        <f>(Adjustments!Q1185+Adjustments!Q1192+Adjustments!Q1196)</f>
        <v>0</v>
      </c>
      <c r="S69" s="114">
        <f>(Adjustments!R1185+Adjustments!R1192+Adjustments!R1196)</f>
        <v>0</v>
      </c>
      <c r="T69" s="114">
        <f>(Adjustments!S1185+Adjustments!S1192+Adjustments!S1196)</f>
        <v>0</v>
      </c>
      <c r="U69" s="114">
        <f>(Adjustments!T1185+Adjustments!T1192+Adjustments!T1196)</f>
        <v>0</v>
      </c>
      <c r="V69" s="114">
        <f>(Adjustments!U1185+Adjustments!U1192+Adjustments!U1196)</f>
        <v>0</v>
      </c>
      <c r="W69" s="114">
        <f>(Adjustments!V1185+Adjustments!V1192+Adjustments!V1196)</f>
        <v>0</v>
      </c>
      <c r="X69" s="114">
        <f>(Adjustments!W1185+Adjustments!W1192+Adjustments!W1196)</f>
        <v>0</v>
      </c>
      <c r="Y69" s="114">
        <f>(Adjustments!X1185+Adjustments!X1192+Adjustments!X1196)</f>
        <v>0</v>
      </c>
      <c r="Z69" s="114">
        <f>(Adjustments!AU1185+Adjustments!AU1192+Adjustments!AU1196)</f>
        <v>30409767.981635131</v>
      </c>
      <c r="AA69" s="114">
        <f t="shared" si="35"/>
        <v>30409767.981635131</v>
      </c>
      <c r="AB69" s="114">
        <f t="shared" si="36"/>
        <v>0</v>
      </c>
    </row>
    <row r="70" spans="1:28" ht="13.5" customHeight="1" thickBot="1">
      <c r="A70" s="237">
        <f t="shared" si="34"/>
        <v>50</v>
      </c>
      <c r="C70" s="114"/>
      <c r="D70" s="114" t="s">
        <v>517</v>
      </c>
      <c r="E70" s="114"/>
      <c r="F70" s="114"/>
      <c r="G70" s="114">
        <f>Adjustments!F1234</f>
        <v>0</v>
      </c>
      <c r="H70" s="114">
        <f ca="1">Adjustments!G1234</f>
        <v>-2080.3353765643919</v>
      </c>
      <c r="I70" s="114">
        <f>Adjustments!H1234</f>
        <v>-35622.200455959886</v>
      </c>
      <c r="J70" s="114">
        <f>Adjustments!I1234</f>
        <v>0</v>
      </c>
      <c r="K70" s="114">
        <f>Adjustments!J1234</f>
        <v>0</v>
      </c>
      <c r="L70" s="114">
        <f>Adjustments!K1234</f>
        <v>-45115.504995339623</v>
      </c>
      <c r="M70" s="114">
        <f>Adjustments!L1234</f>
        <v>-2145.8721402020242</v>
      </c>
      <c r="N70" s="114">
        <f ca="1">Adjustments!M1234</f>
        <v>-1903.2578339796689</v>
      </c>
      <c r="O70" s="114">
        <f ca="1">Adjustments!N1234</f>
        <v>0</v>
      </c>
      <c r="P70" s="114">
        <f ca="1">Adjustments!O1234</f>
        <v>-12.58569486800323</v>
      </c>
      <c r="Q70" s="114">
        <f ca="1">Adjustments!P1234</f>
        <v>-401.45594378640016</v>
      </c>
      <c r="R70" s="114">
        <f ca="1">Adjustments!Q1234</f>
        <v>308.86712307457645</v>
      </c>
      <c r="S70" s="114">
        <f>Adjustments!R1234</f>
        <v>30570.817595849541</v>
      </c>
      <c r="T70" s="114">
        <f>Adjustments!S1234</f>
        <v>0</v>
      </c>
      <c r="U70" s="114">
        <f>Adjustments!T1234</f>
        <v>0</v>
      </c>
      <c r="V70" s="114">
        <f>Adjustments!U1234</f>
        <v>0</v>
      </c>
      <c r="W70" s="114">
        <f>Adjustments!V1234</f>
        <v>0</v>
      </c>
      <c r="X70" s="114">
        <f>Adjustments!W1234</f>
        <v>0</v>
      </c>
      <c r="Y70" s="114">
        <f>Adjustments!X1234</f>
        <v>0</v>
      </c>
      <c r="Z70" s="114">
        <f ca="1">Adjustments!AU1234</f>
        <v>-56401.527721775885</v>
      </c>
      <c r="AA70" s="114">
        <f t="shared" ca="1" si="35"/>
        <v>-56401.527721775885</v>
      </c>
      <c r="AB70" s="114">
        <f t="shared" ca="1" si="36"/>
        <v>0</v>
      </c>
    </row>
    <row r="71" spans="1:28" ht="13.5" customHeight="1">
      <c r="A71" s="237">
        <f t="shared" si="34"/>
        <v>51</v>
      </c>
      <c r="C71" s="580" t="s">
        <v>183</v>
      </c>
      <c r="D71" s="114"/>
      <c r="E71" s="114"/>
      <c r="F71" s="114"/>
      <c r="G71" s="137">
        <f>SUM(G61:G70)</f>
        <v>-34336988.107182622</v>
      </c>
      <c r="H71" s="137">
        <f t="shared" ref="H71:Q71" ca="1" si="37">SUM(H61:H70)</f>
        <v>-2080.3353765643919</v>
      </c>
      <c r="I71" s="137">
        <f t="shared" si="37"/>
        <v>-35622.200455959886</v>
      </c>
      <c r="J71" s="137">
        <f t="shared" si="37"/>
        <v>-52891066.75</v>
      </c>
      <c r="K71" s="137">
        <f t="shared" si="37"/>
        <v>0</v>
      </c>
      <c r="L71" s="137">
        <f t="shared" si="37"/>
        <v>-45115.504995339623</v>
      </c>
      <c r="M71" s="137">
        <f t="shared" si="37"/>
        <v>-2145.8721402020242</v>
      </c>
      <c r="N71" s="137">
        <f t="shared" ca="1" si="37"/>
        <v>-1903.2578339796689</v>
      </c>
      <c r="O71" s="137">
        <f t="shared" ca="1" si="37"/>
        <v>0</v>
      </c>
      <c r="P71" s="137">
        <f t="shared" ca="1" si="37"/>
        <v>-12.58569486800323</v>
      </c>
      <c r="Q71" s="137">
        <f t="shared" ca="1" si="37"/>
        <v>-401.45594378640016</v>
      </c>
      <c r="R71" s="137">
        <f ca="1">SUM(R61:R70)</f>
        <v>308.86712307457645</v>
      </c>
      <c r="S71" s="137">
        <f t="shared" ref="S71:Y71" si="38">SUM(S61:S70)</f>
        <v>30570.817595849541</v>
      </c>
      <c r="T71" s="137">
        <f t="shared" si="38"/>
        <v>0</v>
      </c>
      <c r="U71" s="137">
        <f t="shared" si="38"/>
        <v>0</v>
      </c>
      <c r="V71" s="137">
        <f t="shared" si="38"/>
        <v>0</v>
      </c>
      <c r="W71" s="137">
        <f t="shared" si="38"/>
        <v>0</v>
      </c>
      <c r="X71" s="137">
        <f t="shared" si="38"/>
        <v>0</v>
      </c>
      <c r="Y71" s="137">
        <f t="shared" si="38"/>
        <v>0</v>
      </c>
      <c r="Z71" s="137">
        <f t="shared" ref="Z71:AB71" ca="1" si="39">SUM(Z61:Z70)</f>
        <v>-87284456.3849044</v>
      </c>
      <c r="AA71" s="137">
        <f t="shared" ca="1" si="39"/>
        <v>-87284456.3849044</v>
      </c>
      <c r="AB71" s="137">
        <f t="shared" ca="1" si="39"/>
        <v>0</v>
      </c>
    </row>
    <row r="72" spans="1:28" ht="13.5" customHeight="1" thickBot="1">
      <c r="A72" s="237"/>
      <c r="B72" s="5"/>
      <c r="C72" s="114"/>
      <c r="D72" s="114"/>
      <c r="E72" s="114"/>
      <c r="F72" s="114"/>
      <c r="G72" s="235"/>
      <c r="H72" s="235"/>
      <c r="I72" s="235"/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</row>
    <row r="73" spans="1:28" ht="13.5" customHeight="1" thickTop="1">
      <c r="A73" s="237"/>
      <c r="B73" s="5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</row>
    <row r="74" spans="1:28" ht="13.5" customHeight="1">
      <c r="A74" s="237">
        <f>+A71+1</f>
        <v>52</v>
      </c>
      <c r="B74" s="580" t="s">
        <v>802</v>
      </c>
      <c r="C74" s="114"/>
      <c r="D74" s="114"/>
      <c r="E74" s="114"/>
      <c r="F74" s="114"/>
      <c r="G74" s="114">
        <f ca="1">+G58+G71</f>
        <v>259922818.28793883</v>
      </c>
      <c r="H74" s="114">
        <f t="shared" ref="H74:Q74" ca="1" si="40">+H58+H71</f>
        <v>-2080.3353765643919</v>
      </c>
      <c r="I74" s="114">
        <f t="shared" si="40"/>
        <v>-35622.200455959886</v>
      </c>
      <c r="J74" s="114">
        <f t="shared" si="40"/>
        <v>-52891066.75</v>
      </c>
      <c r="K74" s="114">
        <f t="shared" ca="1" si="40"/>
        <v>-210453.83884727611</v>
      </c>
      <c r="L74" s="114">
        <f t="shared" si="40"/>
        <v>-45115.504995339623</v>
      </c>
      <c r="M74" s="114">
        <f t="shared" si="40"/>
        <v>-2145.8721402020242</v>
      </c>
      <c r="N74" s="114">
        <f t="shared" ca="1" si="40"/>
        <v>-1903.2578339796689</v>
      </c>
      <c r="O74" s="114">
        <f t="shared" ca="1" si="40"/>
        <v>0</v>
      </c>
      <c r="P74" s="114">
        <f t="shared" ca="1" si="40"/>
        <v>-12.58569486800323</v>
      </c>
      <c r="Q74" s="114">
        <f t="shared" ca="1" si="40"/>
        <v>-401.45594378640016</v>
      </c>
      <c r="R74" s="114">
        <f ca="1">+R58+R71</f>
        <v>308.86712307457645</v>
      </c>
      <c r="S74" s="114">
        <f t="shared" ref="S74" si="41">+S58+S71</f>
        <v>30570.817595849541</v>
      </c>
      <c r="T74" s="114">
        <f t="shared" ref="T74:Y74" si="42">+T58+T71</f>
        <v>0</v>
      </c>
      <c r="U74" s="114">
        <f t="shared" si="42"/>
        <v>0</v>
      </c>
      <c r="V74" s="114">
        <f t="shared" si="42"/>
        <v>0</v>
      </c>
      <c r="W74" s="114">
        <f t="shared" si="42"/>
        <v>0</v>
      </c>
      <c r="X74" s="114">
        <f t="shared" si="42"/>
        <v>0</v>
      </c>
      <c r="Y74" s="114">
        <f t="shared" si="42"/>
        <v>0</v>
      </c>
      <c r="Z74" s="114">
        <f ca="1">+Z58+Z71</f>
        <v>206764896.17136979</v>
      </c>
      <c r="AA74" s="114">
        <f t="shared" ref="AA74:AB74" ca="1" si="43">+AA58+AA71</f>
        <v>205681300.23604739</v>
      </c>
      <c r="AB74" s="114">
        <f t="shared" ca="1" si="43"/>
        <v>0</v>
      </c>
    </row>
  </sheetData>
  <phoneticPr fontId="0" type="noConversion"/>
  <printOptions verticalCentered="1"/>
  <pageMargins left="0.2" right="0.2" top="0.17" bottom="0" header="0.19" footer="0.19"/>
  <pageSetup scale="54" fitToWidth="0" orientation="landscape" useFirstPageNumber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09" r:id="rId4" name="Button 341">
              <controlPr defaultSize="0" print="0" autoFill="0" autoPict="0" macro="[0]!Macro5">
                <anchor moveWithCells="1" sizeWithCells="1">
                  <from>
                    <xdr:col>4</xdr:col>
                    <xdr:colOff>733425</xdr:colOff>
                    <xdr:row>4</xdr:row>
                    <xdr:rowOff>47625</xdr:rowOff>
                  </from>
                  <to>
                    <xdr:col>4</xdr:col>
                    <xdr:colOff>1247775</xdr:colOff>
                    <xdr:row>4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1938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939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941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942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2962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963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965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966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3986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987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989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990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5010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011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013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014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6034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035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037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038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E1130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7058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059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061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062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8082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083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085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086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99106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107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109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110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0130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131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133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134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46" t="str">
        <f>'Control Panel'!$B$1</f>
        <v>Dominion Energy</v>
      </c>
    </row>
    <row r="2" spans="1:7">
      <c r="A2" s="946" t="str">
        <f>'Control Panel'!$B$2</f>
        <v>Utah - DEC 2019 Adjusted Avg  Results</v>
      </c>
      <c r="B2" s="116"/>
      <c r="C2" s="116"/>
    </row>
    <row r="3" spans="1:7">
      <c r="A3" s="946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1154" r:id="rId3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155" r:id="rId4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157" r:id="rId5" name="Button 5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158" r:id="rId6" name="Button 6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Y1765"/>
  <sheetViews>
    <sheetView workbookViewId="0">
      <pane xSplit="5" ySplit="9" topLeftCell="Q1114" activePane="bottomRight" state="frozen"/>
      <selection pane="topRight" activeCell="F1" sqref="F1"/>
      <selection pane="bottomLeft" activeCell="A10" sqref="A10"/>
      <selection pane="bottomRight" activeCell="R844" sqref="R844"/>
    </sheetView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1" style="15" customWidth="1"/>
    <col min="5" max="5" width="1.5703125" style="15" customWidth="1"/>
    <col min="6" max="6" width="18.42578125" style="15" bestFit="1" customWidth="1"/>
    <col min="7" max="7" width="22.85546875" style="15" bestFit="1" customWidth="1"/>
    <col min="8" max="8" width="20.140625" style="15" bestFit="1" customWidth="1"/>
    <col min="9" max="9" width="15.140625" style="15" customWidth="1"/>
    <col min="10" max="10" width="30.28515625" style="15" customWidth="1"/>
    <col min="11" max="11" width="21.5703125" style="15" customWidth="1"/>
    <col min="12" max="13" width="24.140625" style="15" bestFit="1" customWidth="1"/>
    <col min="14" max="14" width="29.140625" style="15" bestFit="1" customWidth="1"/>
    <col min="15" max="15" width="25.140625" style="15" bestFit="1" customWidth="1"/>
    <col min="16" max="16" width="31.5703125" style="15" bestFit="1" customWidth="1"/>
    <col min="17" max="17" width="29.85546875" style="15" bestFit="1" customWidth="1"/>
    <col min="18" max="18" width="29.85546875" style="15" customWidth="1"/>
    <col min="19" max="19" width="24.7109375" style="15" customWidth="1"/>
    <col min="20" max="45" width="24.7109375" style="15" hidden="1" customWidth="1"/>
    <col min="46" max="46" width="24.7109375" style="15" customWidth="1"/>
    <col min="47" max="47" width="19.140625" style="15" bestFit="1" customWidth="1"/>
    <col min="48" max="48" width="26.28515625" style="15" bestFit="1" customWidth="1"/>
    <col min="49" max="49" width="13.42578125" style="15" bestFit="1" customWidth="1"/>
    <col min="50" max="50" width="18" style="15" bestFit="1" customWidth="1"/>
    <col min="51" max="51" width="20.5703125" style="15" bestFit="1" customWidth="1"/>
    <col min="52" max="52" width="9.5703125" style="15" bestFit="1" customWidth="1"/>
    <col min="53" max="82" width="16.28515625" style="15" customWidth="1"/>
    <col min="83" max="83" width="9.140625" style="15"/>
    <col min="84" max="84" width="18.140625" style="15" bestFit="1" customWidth="1"/>
    <col min="85" max="85" width="20" style="15" bestFit="1" customWidth="1"/>
    <col min="86" max="86" width="18.85546875" style="15" bestFit="1" customWidth="1"/>
    <col min="87" max="87" width="20.140625" style="15" bestFit="1" customWidth="1"/>
    <col min="88" max="88" width="31.42578125" style="15" bestFit="1" customWidth="1"/>
    <col min="89" max="89" width="31.5703125" style="15" bestFit="1" customWidth="1"/>
    <col min="90" max="90" width="19.7109375" style="15" bestFit="1" customWidth="1"/>
    <col min="91" max="91" width="7.7109375" style="15" bestFit="1" customWidth="1"/>
    <col min="92" max="92" width="27.85546875" style="15" bestFit="1" customWidth="1"/>
    <col min="93" max="93" width="25" style="15" bestFit="1" customWidth="1"/>
    <col min="94" max="94" width="19.5703125" style="15" bestFit="1" customWidth="1"/>
    <col min="95" max="95" width="21.42578125" style="15" bestFit="1" customWidth="1"/>
    <col min="96" max="96" width="27.28515625" style="15" bestFit="1" customWidth="1"/>
    <col min="97" max="97" width="26.7109375" style="15" bestFit="1" customWidth="1"/>
    <col min="98" max="98" width="22.5703125" style="15" bestFit="1" customWidth="1"/>
    <col min="99" max="99" width="29.5703125" style="15" bestFit="1" customWidth="1"/>
    <col min="100" max="100" width="26.85546875" style="15" bestFit="1" customWidth="1"/>
    <col min="101" max="101" width="28.5703125" style="15" bestFit="1" customWidth="1"/>
    <col min="102" max="102" width="19.140625" style="15" bestFit="1" customWidth="1"/>
    <col min="103" max="103" width="21.42578125" style="15" bestFit="1" customWidth="1"/>
    <col min="104" max="104" width="26.7109375" style="15" bestFit="1" customWidth="1"/>
    <col min="105" max="105" width="20.7109375" style="15" bestFit="1" customWidth="1"/>
    <col min="106" max="106" width="20" style="15" bestFit="1" customWidth="1"/>
    <col min="107" max="107" width="21" style="15" bestFit="1" customWidth="1"/>
    <col min="108" max="108" width="20" style="15" customWidth="1"/>
    <col min="109" max="109" width="34" style="15" bestFit="1" customWidth="1"/>
    <col min="110" max="110" width="24.28515625" style="15" bestFit="1" customWidth="1"/>
    <col min="111" max="116" width="9.140625" style="15"/>
    <col min="117" max="117" width="12.28515625" style="15" bestFit="1" customWidth="1"/>
    <col min="118" max="16384" width="9.140625" style="15"/>
  </cols>
  <sheetData>
    <row r="1" spans="1:51">
      <c r="A1" s="1141" t="str">
        <f>'Control Panel'!$B$1</f>
        <v>Dominion Energy</v>
      </c>
      <c r="F1" s="4">
        <f>IF(F8="Y",1,0)</f>
        <v>1</v>
      </c>
      <c r="G1" s="4">
        <f>IF(G8="Y",1,0)</f>
        <v>1</v>
      </c>
      <c r="H1" s="4">
        <f t="shared" ref="H1:Q1" si="0">IF(H8="Y",1,0)</f>
        <v>1</v>
      </c>
      <c r="I1" s="4">
        <f t="shared" si="0"/>
        <v>1</v>
      </c>
      <c r="J1" s="4">
        <f t="shared" si="0"/>
        <v>1</v>
      </c>
      <c r="K1" s="4">
        <f t="shared" si="0"/>
        <v>1</v>
      </c>
      <c r="L1" s="4">
        <f t="shared" si="0"/>
        <v>1</v>
      </c>
      <c r="M1" s="4">
        <f t="shared" si="0"/>
        <v>1</v>
      </c>
      <c r="N1" s="4">
        <f t="shared" si="0"/>
        <v>1</v>
      </c>
      <c r="O1" s="4">
        <f t="shared" si="0"/>
        <v>1</v>
      </c>
      <c r="P1" s="4">
        <f t="shared" si="0"/>
        <v>1</v>
      </c>
      <c r="Q1" s="4">
        <f t="shared" si="0"/>
        <v>1</v>
      </c>
      <c r="R1" s="4">
        <f t="shared" ref="R1:S1" si="1">IF(R8="Y",1,0)</f>
        <v>1</v>
      </c>
      <c r="S1" s="4">
        <f t="shared" si="1"/>
        <v>1</v>
      </c>
      <c r="T1" s="4">
        <f t="shared" ref="T1:AG1" si="2">IF(T8="Y",1,0)</f>
        <v>0</v>
      </c>
      <c r="U1" s="4">
        <f t="shared" si="2"/>
        <v>0</v>
      </c>
      <c r="V1" s="4">
        <f t="shared" si="2"/>
        <v>0</v>
      </c>
      <c r="W1" s="4">
        <f t="shared" si="2"/>
        <v>0</v>
      </c>
      <c r="X1" s="4">
        <f t="shared" si="2"/>
        <v>0</v>
      </c>
      <c r="Y1" s="4">
        <f t="shared" si="2"/>
        <v>0</v>
      </c>
      <c r="Z1" s="4">
        <f t="shared" si="2"/>
        <v>0</v>
      </c>
      <c r="AA1" s="4">
        <f t="shared" si="2"/>
        <v>0</v>
      </c>
      <c r="AB1" s="4">
        <f t="shared" si="2"/>
        <v>0</v>
      </c>
      <c r="AC1" s="4">
        <f t="shared" si="2"/>
        <v>0</v>
      </c>
      <c r="AD1" s="4">
        <f t="shared" si="2"/>
        <v>0</v>
      </c>
      <c r="AE1" s="4">
        <f t="shared" si="2"/>
        <v>0</v>
      </c>
      <c r="AF1" s="4">
        <f t="shared" si="2"/>
        <v>0</v>
      </c>
      <c r="AG1" s="4">
        <f t="shared" si="2"/>
        <v>0</v>
      </c>
      <c r="AH1" s="4">
        <f t="shared" ref="AH1:AK1" si="3">IF(AH8="Y",1,0)</f>
        <v>0</v>
      </c>
      <c r="AI1" s="4">
        <f t="shared" si="3"/>
        <v>0</v>
      </c>
      <c r="AJ1" s="4">
        <f t="shared" si="3"/>
        <v>0</v>
      </c>
      <c r="AK1" s="4">
        <f t="shared" si="3"/>
        <v>0</v>
      </c>
      <c r="AL1" s="4">
        <f t="shared" ref="AL1:AP1" si="4">IF(AL8="Y",1,0)</f>
        <v>0</v>
      </c>
      <c r="AM1" s="4">
        <f t="shared" si="4"/>
        <v>0</v>
      </c>
      <c r="AN1" s="4">
        <f t="shared" si="4"/>
        <v>0</v>
      </c>
      <c r="AO1" s="4">
        <f t="shared" si="4"/>
        <v>0</v>
      </c>
      <c r="AP1" s="4">
        <f t="shared" si="4"/>
        <v>0</v>
      </c>
      <c r="AQ1" s="4">
        <f t="shared" ref="AQ1:AT1" si="5">IF(AQ8="Y",1,0)</f>
        <v>0</v>
      </c>
      <c r="AR1" s="4">
        <f t="shared" si="5"/>
        <v>0</v>
      </c>
      <c r="AS1" s="4">
        <f t="shared" si="5"/>
        <v>0</v>
      </c>
      <c r="AT1" s="4">
        <f t="shared" si="5"/>
        <v>0</v>
      </c>
      <c r="AU1" s="4">
        <v>1</v>
      </c>
      <c r="AV1" s="4"/>
      <c r="AW1" s="124"/>
      <c r="AX1" s="124"/>
    </row>
    <row r="2" spans="1:51">
      <c r="A2" s="1141" t="str">
        <f>'Control Panel'!$B$2</f>
        <v>Utah - DEC 2019 Adjusted Avg  Results</v>
      </c>
      <c r="B2" s="116"/>
      <c r="C2" s="116"/>
      <c r="E2" s="116"/>
      <c r="AU2" s="551"/>
      <c r="AW2" s="551"/>
      <c r="AX2" s="551"/>
    </row>
    <row r="3" spans="1:51">
      <c r="A3" s="1141" t="str">
        <f>'Control Panel'!$B$3</f>
        <v>12 Months Ended : Dec-2019</v>
      </c>
      <c r="B3" s="116"/>
      <c r="C3" s="116"/>
      <c r="E3" s="116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1278"/>
      <c r="T3" s="945"/>
      <c r="U3" s="945"/>
      <c r="V3" s="945"/>
      <c r="W3" s="945"/>
      <c r="X3" s="945"/>
      <c r="Y3" s="945"/>
      <c r="Z3" s="945"/>
      <c r="AA3" s="945"/>
      <c r="AB3" s="945"/>
      <c r="AC3" s="945"/>
      <c r="AD3" s="945"/>
      <c r="AE3" s="945"/>
      <c r="AF3" s="945"/>
      <c r="AG3" s="945"/>
      <c r="AH3" s="954"/>
      <c r="AI3" s="954"/>
      <c r="AJ3" s="954"/>
      <c r="AK3" s="954"/>
      <c r="AL3" s="954"/>
      <c r="AM3" s="954"/>
      <c r="AN3" s="954"/>
      <c r="AO3" s="954"/>
      <c r="AP3" s="954"/>
      <c r="AQ3" s="956"/>
      <c r="AR3" s="956"/>
      <c r="AS3" s="956"/>
      <c r="AT3" s="956"/>
      <c r="AU3" s="125"/>
      <c r="AV3" s="564"/>
      <c r="AW3" s="125"/>
      <c r="AX3" s="125"/>
    </row>
    <row r="4" spans="1:51">
      <c r="B4" s="116"/>
      <c r="C4" s="116"/>
      <c r="E4" s="116"/>
      <c r="AU4" s="117"/>
      <c r="AW4" s="117"/>
      <c r="AX4" s="117"/>
    </row>
    <row r="5" spans="1:51">
      <c r="A5" s="105"/>
      <c r="B5" s="116"/>
      <c r="C5" s="239"/>
      <c r="E5" s="116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1278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54"/>
      <c r="AI5" s="954"/>
      <c r="AJ5" s="954"/>
      <c r="AK5" s="954"/>
      <c r="AL5" s="954"/>
      <c r="AM5" s="954"/>
      <c r="AN5" s="954"/>
      <c r="AO5" s="954"/>
      <c r="AP5" s="954"/>
      <c r="AQ5" s="956"/>
      <c r="AR5" s="956"/>
      <c r="AS5" s="956"/>
      <c r="AT5" s="956"/>
      <c r="AU5" s="117"/>
      <c r="AV5" s="239"/>
      <c r="AW5" s="117"/>
      <c r="AX5" s="117"/>
    </row>
    <row r="6" spans="1:51">
      <c r="A6" s="127"/>
      <c r="B6" s="116"/>
      <c r="C6" s="116"/>
      <c r="D6" s="30"/>
      <c r="E6" s="116"/>
      <c r="F6" s="564">
        <v>1</v>
      </c>
      <c r="G6" s="564">
        <f>+F6+1</f>
        <v>2</v>
      </c>
      <c r="H6" s="1191">
        <f>+G6+1</f>
        <v>3</v>
      </c>
      <c r="I6" s="564">
        <f t="shared" ref="I6:S6" si="6">+H6+1</f>
        <v>4</v>
      </c>
      <c r="J6" s="564">
        <f>+I6+1</f>
        <v>5</v>
      </c>
      <c r="K6" s="1191">
        <f>+J6+1</f>
        <v>6</v>
      </c>
      <c r="L6" s="564">
        <f t="shared" si="6"/>
        <v>7</v>
      </c>
      <c r="M6" s="564">
        <f t="shared" si="6"/>
        <v>8</v>
      </c>
      <c r="N6" s="1191">
        <f t="shared" si="6"/>
        <v>9</v>
      </c>
      <c r="O6" s="564">
        <f t="shared" si="6"/>
        <v>10</v>
      </c>
      <c r="P6" s="564">
        <f t="shared" si="6"/>
        <v>11</v>
      </c>
      <c r="Q6" s="564">
        <f t="shared" si="6"/>
        <v>12</v>
      </c>
      <c r="R6" s="564">
        <f t="shared" si="6"/>
        <v>13</v>
      </c>
      <c r="S6" s="1278">
        <f t="shared" si="6"/>
        <v>14</v>
      </c>
      <c r="T6" s="945">
        <f t="shared" ref="T6" si="7">+S6+1</f>
        <v>15</v>
      </c>
      <c r="U6" s="945">
        <f t="shared" ref="U6" si="8">+T6+1</f>
        <v>16</v>
      </c>
      <c r="V6" s="945">
        <f t="shared" ref="V6" si="9">+U6+1</f>
        <v>17</v>
      </c>
      <c r="W6" s="945">
        <f t="shared" ref="W6" si="10">+V6+1</f>
        <v>18</v>
      </c>
      <c r="X6" s="945">
        <f t="shared" ref="X6" si="11">+W6+1</f>
        <v>19</v>
      </c>
      <c r="Y6" s="945">
        <f t="shared" ref="Y6" si="12">+X6+1</f>
        <v>20</v>
      </c>
      <c r="Z6" s="945">
        <f t="shared" ref="Z6" si="13">+Y6+1</f>
        <v>21</v>
      </c>
      <c r="AA6" s="945">
        <f t="shared" ref="AA6" si="14">+Z6+1</f>
        <v>22</v>
      </c>
      <c r="AB6" s="945">
        <f t="shared" ref="AB6" si="15">+AA6+1</f>
        <v>23</v>
      </c>
      <c r="AC6" s="945">
        <f t="shared" ref="AC6" si="16">+AB6+1</f>
        <v>24</v>
      </c>
      <c r="AD6" s="945">
        <f t="shared" ref="AD6" si="17">+AC6+1</f>
        <v>25</v>
      </c>
      <c r="AE6" s="945">
        <f t="shared" ref="AE6" si="18">+AD6+1</f>
        <v>26</v>
      </c>
      <c r="AF6" s="945">
        <f t="shared" ref="AF6" si="19">+AE6+1</f>
        <v>27</v>
      </c>
      <c r="AG6" s="945">
        <f t="shared" ref="AG6:AP6" si="20">+AF6+1</f>
        <v>28</v>
      </c>
      <c r="AH6" s="954">
        <f t="shared" si="20"/>
        <v>29</v>
      </c>
      <c r="AI6" s="954">
        <f t="shared" si="20"/>
        <v>30</v>
      </c>
      <c r="AJ6" s="954">
        <f t="shared" si="20"/>
        <v>31</v>
      </c>
      <c r="AK6" s="954">
        <f t="shared" si="20"/>
        <v>32</v>
      </c>
      <c r="AL6" s="954">
        <f t="shared" si="20"/>
        <v>33</v>
      </c>
      <c r="AM6" s="954">
        <f t="shared" si="20"/>
        <v>34</v>
      </c>
      <c r="AN6" s="954">
        <f t="shared" si="20"/>
        <v>35</v>
      </c>
      <c r="AO6" s="954">
        <f t="shared" si="20"/>
        <v>36</v>
      </c>
      <c r="AP6" s="954">
        <f t="shared" si="20"/>
        <v>37</v>
      </c>
      <c r="AQ6" s="956">
        <f t="shared" ref="AQ6" si="21">+AP6+1</f>
        <v>38</v>
      </c>
      <c r="AR6" s="956">
        <f t="shared" ref="AR6" si="22">+AQ6+1</f>
        <v>39</v>
      </c>
      <c r="AS6" s="956">
        <f t="shared" ref="AS6" si="23">+AR6+1</f>
        <v>40</v>
      </c>
      <c r="AT6" s="956">
        <f t="shared" ref="AT6" si="24">+AS6+1</f>
        <v>41</v>
      </c>
      <c r="AU6" s="117"/>
      <c r="AV6" s="564"/>
      <c r="AW6" s="117"/>
      <c r="AX6" s="117"/>
    </row>
    <row r="7" spans="1:51" ht="15.75">
      <c r="A7" s="53"/>
      <c r="B7" s="116"/>
      <c r="C7" s="116"/>
      <c r="E7" s="54"/>
      <c r="AU7" s="125"/>
      <c r="AV7" s="564"/>
      <c r="AW7" s="125"/>
      <c r="AX7" s="125"/>
    </row>
    <row r="8" spans="1:51" ht="12.75" customHeight="1">
      <c r="A8" s="738"/>
      <c r="B8" s="116"/>
      <c r="C8" s="116"/>
      <c r="E8" s="739"/>
      <c r="F8" s="4" t="str">
        <f>VLOOKUP(F$6,'Control Panel'!$A$8:$F$84,5)</f>
        <v>Y</v>
      </c>
      <c r="G8" s="4" t="str">
        <f>VLOOKUP(G$6,'Control Panel'!$A$8:$F$84,5)</f>
        <v>Y</v>
      </c>
      <c r="H8" s="4" t="str">
        <f>VLOOKUP(H$6,'Control Panel'!$A$8:$F$84,5)</f>
        <v>Y</v>
      </c>
      <c r="I8" s="4" t="str">
        <f>VLOOKUP(I$6,'Control Panel'!$A$8:$F$84,5)</f>
        <v>Y</v>
      </c>
      <c r="J8" s="4" t="str">
        <f>VLOOKUP(J$6,'Control Panel'!$A$8:$F$84,5)</f>
        <v>Y</v>
      </c>
      <c r="K8" s="4" t="str">
        <f>VLOOKUP(K$6,'Control Panel'!$A$8:$F$84,5)</f>
        <v>Y</v>
      </c>
      <c r="L8" s="4" t="str">
        <f>VLOOKUP(L$6,'Control Panel'!$A$8:$F$84,5)</f>
        <v>Y</v>
      </c>
      <c r="M8" s="4" t="str">
        <f>VLOOKUP(M$6,'Control Panel'!$A$8:$F$84,5)</f>
        <v>Y</v>
      </c>
      <c r="N8" s="4" t="str">
        <f>VLOOKUP(N$6,'Control Panel'!$A$8:$F$84,5)</f>
        <v>Y</v>
      </c>
      <c r="O8" s="4" t="str">
        <f>VLOOKUP(O$6,'Control Panel'!$A$8:$F$84,5)</f>
        <v>Y</v>
      </c>
      <c r="P8" s="4" t="str">
        <f>VLOOKUP(P$6,'Control Panel'!$A$8:$F$84,5)</f>
        <v>Y</v>
      </c>
      <c r="Q8" s="4" t="str">
        <f>VLOOKUP(Q$6,'Control Panel'!$A$8:$F$84,5)</f>
        <v>Y</v>
      </c>
      <c r="R8" s="4" t="str">
        <f>VLOOKUP(R$6,'Control Panel'!$A$8:$F$84,5)</f>
        <v>Y</v>
      </c>
      <c r="S8" s="4" t="str">
        <f>VLOOKUP(S$6,'Control Panel'!$A$8:$F$84,5)</f>
        <v>Y</v>
      </c>
      <c r="T8" s="4" t="str">
        <f>VLOOKUP(T$6,'Control Panel'!$A$8:$F$84,5)</f>
        <v>N</v>
      </c>
      <c r="U8" s="4" t="str">
        <f>VLOOKUP(U$6,'Control Panel'!$A$8:$F$84,5)</f>
        <v>N</v>
      </c>
      <c r="V8" s="4" t="str">
        <f>VLOOKUP(V$6,'Control Panel'!$A$8:$F$84,5)</f>
        <v>N</v>
      </c>
      <c r="W8" s="4" t="str">
        <f>VLOOKUP(W$6,'Control Panel'!$A$8:$F$84,5)</f>
        <v>N</v>
      </c>
      <c r="X8" s="4" t="str">
        <f>VLOOKUP(X$6,'Control Panel'!$A$8:$F$84,5)</f>
        <v>N</v>
      </c>
      <c r="Y8" s="4" t="str">
        <f>VLOOKUP(Y$6,'Control Panel'!$A$8:$F$84,5)</f>
        <v>N</v>
      </c>
      <c r="Z8" s="4" t="str">
        <f>VLOOKUP(Z$6,'Control Panel'!$A$8:$F$84,5)</f>
        <v>N</v>
      </c>
      <c r="AA8" s="4" t="str">
        <f>VLOOKUP(AA$6,'Control Panel'!$A$8:$F$84,5)</f>
        <v>N</v>
      </c>
      <c r="AB8" s="4" t="str">
        <f>VLOOKUP(AB$6,'Control Panel'!$A$8:$F$84,5)</f>
        <v>N</v>
      </c>
      <c r="AC8" s="4" t="str">
        <f>VLOOKUP(AC$6,'Control Panel'!$A$8:$F$84,5)</f>
        <v>N</v>
      </c>
      <c r="AD8" s="4" t="str">
        <f>VLOOKUP(AD$6,'Control Panel'!$A$8:$F$84,5)</f>
        <v>N</v>
      </c>
      <c r="AE8" s="4" t="str">
        <f>VLOOKUP(AE$6,'Control Panel'!$A$8:$F$84,5)</f>
        <v>N</v>
      </c>
      <c r="AF8" s="4" t="str">
        <f>VLOOKUP(AF$6,'Control Panel'!$A$8:$F$84,5)</f>
        <v>N</v>
      </c>
      <c r="AG8" s="4" t="str">
        <f>VLOOKUP(AG$6,'Control Panel'!$A$8:$F$84,5)</f>
        <v>N</v>
      </c>
      <c r="AH8" s="4" t="str">
        <f>VLOOKUP(AH$6,'Control Panel'!$A$8:$F$84,5)</f>
        <v>N</v>
      </c>
      <c r="AI8" s="4" t="str">
        <f>VLOOKUP(AI$6,'Control Panel'!$A$8:$F$84,5)</f>
        <v>N</v>
      </c>
      <c r="AJ8" s="4" t="str">
        <f>VLOOKUP(AJ$6,'Control Panel'!$A$8:$F$84,5)</f>
        <v>N</v>
      </c>
      <c r="AK8" s="4" t="str">
        <f>VLOOKUP(AK$6,'Control Panel'!$A$8:$F$84,5)</f>
        <v>N</v>
      </c>
      <c r="AL8" s="4" t="str">
        <f>VLOOKUP(AL$6,'Control Panel'!$A$8:$F$84,5)</f>
        <v>N</v>
      </c>
      <c r="AM8" s="4" t="str">
        <f>VLOOKUP(AM$6,'Control Panel'!$A$8:$F$84,5)</f>
        <v>N</v>
      </c>
      <c r="AN8" s="4" t="str">
        <f>VLOOKUP(AN$6,'Control Panel'!$A$8:$F$84,5)</f>
        <v>N</v>
      </c>
      <c r="AO8" s="4" t="str">
        <f>VLOOKUP(AO$6,'Control Panel'!$A$8:$F$84,5)</f>
        <v>N</v>
      </c>
      <c r="AP8" s="4" t="str">
        <f>VLOOKUP(AP$6,'Control Panel'!$A$8:$F$84,5)</f>
        <v>N</v>
      </c>
      <c r="AQ8" s="4" t="str">
        <f>VLOOKUP(AQ$6,'Control Panel'!$A$8:$F$84,5)</f>
        <v>N</v>
      </c>
      <c r="AR8" s="4" t="str">
        <f>VLOOKUP(AR$6,'Control Panel'!$A$8:$F$84,5)</f>
        <v>N</v>
      </c>
      <c r="AS8" s="4" t="str">
        <f>VLOOKUP(AS$6,'Control Panel'!$A$8:$F$84,5)</f>
        <v>N</v>
      </c>
      <c r="AT8" s="4" t="str">
        <f>VLOOKUP(AT$6,'Control Panel'!$A$8:$F$84,5)</f>
        <v>N</v>
      </c>
      <c r="AU8" s="124"/>
      <c r="AV8" s="4"/>
      <c r="AW8" s="124"/>
      <c r="AX8" s="124"/>
    </row>
    <row r="9" spans="1:51" ht="36" customHeight="1" thickBot="1">
      <c r="A9" s="55" t="s">
        <v>841</v>
      </c>
      <c r="B9" s="56"/>
      <c r="C9" s="55" t="s">
        <v>842</v>
      </c>
      <c r="E9" s="57"/>
      <c r="F9" s="58" t="str">
        <f t="shared" ref="F9:AT9" si="25">VLOOKUP(F$6,Adjustments,2)</f>
        <v>AVG RB DEC 2019</v>
      </c>
      <c r="G9" s="58" t="str">
        <f t="shared" si="25"/>
        <v>Expense 2019</v>
      </c>
      <c r="H9" s="58" t="str">
        <f t="shared" si="25"/>
        <v>AVG Projected Rev 2019 with CET</v>
      </c>
      <c r="I9" s="58" t="str">
        <f t="shared" si="25"/>
        <v>Underground Storage</v>
      </c>
      <c r="J9" s="58" t="str">
        <f t="shared" si="25"/>
        <v>Wexpro</v>
      </c>
      <c r="K9" s="58" t="str">
        <f t="shared" si="25"/>
        <v>Energy Efficiency 2019</v>
      </c>
      <c r="L9" s="58" t="str">
        <f t="shared" si="25"/>
        <v>Utah Bad Debt 2019</v>
      </c>
      <c r="M9" s="58" t="str">
        <f t="shared" si="25"/>
        <v>DEU Incentives 2019</v>
      </c>
      <c r="N9" s="58" t="str">
        <f t="shared" si="25"/>
        <v>Sporting Events 2019</v>
      </c>
      <c r="O9" s="58" t="str">
        <f t="shared" si="25"/>
        <v>Advertising 2019</v>
      </c>
      <c r="P9" s="58" t="str">
        <f t="shared" si="25"/>
        <v>Donations &amp; Membership 2019</v>
      </c>
      <c r="Q9" s="58" t="str">
        <f t="shared" si="25"/>
        <v>Reserve Accrual 2019</v>
      </c>
      <c r="R9" s="58" t="str">
        <f t="shared" si="25"/>
        <v>Corporate Overhead 2019</v>
      </c>
      <c r="S9" s="58" t="str">
        <f t="shared" si="25"/>
        <v>2019 Transition</v>
      </c>
      <c r="T9" s="58" t="str">
        <f t="shared" si="25"/>
        <v>Optional Adjustment 2</v>
      </c>
      <c r="U9" s="58" t="str">
        <f t="shared" si="25"/>
        <v>Optional Adjustment 3</v>
      </c>
      <c r="V9" s="58" t="str">
        <f t="shared" si="25"/>
        <v>Optional Adjustment 4</v>
      </c>
      <c r="W9" s="58" t="str">
        <f t="shared" si="25"/>
        <v>Optional Adjustment 5</v>
      </c>
      <c r="X9" s="58" t="str">
        <f t="shared" si="25"/>
        <v>Optional Adjustment 6</v>
      </c>
      <c r="Y9" s="58" t="str">
        <f t="shared" si="25"/>
        <v>Optional Adjustment 7</v>
      </c>
      <c r="Z9" s="58" t="str">
        <f t="shared" si="25"/>
        <v>Optional Adjustment 8</v>
      </c>
      <c r="AA9" s="58" t="str">
        <f t="shared" si="25"/>
        <v>Optional Adjustment 9</v>
      </c>
      <c r="AB9" s="58" t="str">
        <f t="shared" si="25"/>
        <v>Optional Adjustment 10</v>
      </c>
      <c r="AC9" s="58" t="str">
        <f t="shared" si="25"/>
        <v>Optional Adjustment 11</v>
      </c>
      <c r="AD9" s="58" t="str">
        <f t="shared" si="25"/>
        <v>Optional Adjustment 12</v>
      </c>
      <c r="AE9" s="58" t="str">
        <f t="shared" si="25"/>
        <v>Optional Adjustment 13</v>
      </c>
      <c r="AF9" s="58" t="str">
        <f t="shared" si="25"/>
        <v>Optional Adjustment 14</v>
      </c>
      <c r="AG9" s="58" t="str">
        <f t="shared" si="25"/>
        <v>Optional Adjustment 15</v>
      </c>
      <c r="AH9" s="58" t="str">
        <f t="shared" si="25"/>
        <v>Optional Adjustment 16</v>
      </c>
      <c r="AI9" s="58" t="str">
        <f t="shared" si="25"/>
        <v>Optional Adjustment 17</v>
      </c>
      <c r="AJ9" s="58" t="str">
        <f t="shared" si="25"/>
        <v>Optional Adjustment 18</v>
      </c>
      <c r="AK9" s="58" t="str">
        <f t="shared" si="25"/>
        <v>Optional Adjustment 19</v>
      </c>
      <c r="AL9" s="58" t="str">
        <f t="shared" si="25"/>
        <v>Optional Adjustment 20</v>
      </c>
      <c r="AM9" s="58" t="str">
        <f t="shared" si="25"/>
        <v>Optional Adjustment 21</v>
      </c>
      <c r="AN9" s="58" t="str">
        <f t="shared" si="25"/>
        <v>Optional Adjustment 22</v>
      </c>
      <c r="AO9" s="58" t="str">
        <f t="shared" si="25"/>
        <v>Optional Adjustment 23</v>
      </c>
      <c r="AP9" s="58" t="str">
        <f t="shared" si="25"/>
        <v>Optional Adjustment 24</v>
      </c>
      <c r="AQ9" s="58" t="str">
        <f t="shared" si="25"/>
        <v>Optional Adjustment 25</v>
      </c>
      <c r="AR9" s="58" t="str">
        <f t="shared" si="25"/>
        <v>Optional Adjustment 26</v>
      </c>
      <c r="AS9" s="58" t="str">
        <f t="shared" si="25"/>
        <v>Optional Adjustment 27</v>
      </c>
      <c r="AT9" s="58" t="str">
        <f t="shared" si="25"/>
        <v>Labor Adjustment-ROO</v>
      </c>
      <c r="AU9" s="58" t="s">
        <v>936</v>
      </c>
      <c r="AV9" s="58"/>
      <c r="AW9" s="58" t="s">
        <v>889</v>
      </c>
      <c r="AX9" s="58" t="s">
        <v>888</v>
      </c>
    </row>
    <row r="10" spans="1:51">
      <c r="A10" s="33" t="s">
        <v>843</v>
      </c>
      <c r="B10" s="33"/>
      <c r="C10" s="33"/>
      <c r="D10" s="33"/>
      <c r="E10" s="331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16"/>
      <c r="AW10" s="133"/>
      <c r="AX10" s="133"/>
    </row>
    <row r="11" spans="1:51">
      <c r="A11" s="33" t="s">
        <v>13</v>
      </c>
      <c r="B11" s="33"/>
      <c r="C11" s="33"/>
      <c r="D11" s="33"/>
      <c r="E11" s="331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16"/>
      <c r="AW11" s="133"/>
      <c r="AX11" s="133"/>
    </row>
    <row r="12" spans="1:51">
      <c r="A12" s="33"/>
      <c r="B12" s="33"/>
      <c r="C12" s="33"/>
      <c r="D12" s="33"/>
      <c r="E12" s="331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16"/>
      <c r="AW12" s="133"/>
      <c r="AX12" s="133"/>
    </row>
    <row r="13" spans="1:51">
      <c r="A13" s="33"/>
      <c r="B13" s="33"/>
      <c r="C13" s="33"/>
      <c r="D13" s="33"/>
      <c r="E13" s="331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16"/>
      <c r="AW13" s="133"/>
      <c r="AX13" s="133"/>
    </row>
    <row r="14" spans="1:51" ht="15.75">
      <c r="A14" s="53"/>
      <c r="B14" s="116"/>
      <c r="C14" s="116"/>
      <c r="E14" s="5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945"/>
      <c r="Y14" s="945"/>
      <c r="Z14" s="945"/>
      <c r="AA14" s="945"/>
      <c r="AB14" s="945"/>
      <c r="AC14" s="945"/>
      <c r="AD14" s="945"/>
      <c r="AE14" s="945"/>
      <c r="AF14" s="945"/>
      <c r="AG14" s="945"/>
      <c r="AH14" s="954"/>
      <c r="AI14" s="954"/>
      <c r="AJ14" s="954"/>
      <c r="AK14" s="954"/>
      <c r="AL14" s="954"/>
      <c r="AM14" s="954"/>
      <c r="AN14" s="954"/>
      <c r="AO14" s="954"/>
      <c r="AP14" s="954"/>
      <c r="AQ14" s="956"/>
      <c r="AR14" s="956"/>
      <c r="AS14" s="956"/>
      <c r="AT14" s="956"/>
      <c r="AU14" s="125"/>
      <c r="AV14" s="564"/>
      <c r="AW14" s="125"/>
      <c r="AX14" s="125"/>
    </row>
    <row r="15" spans="1:51">
      <c r="A15" s="59" t="s">
        <v>14</v>
      </c>
      <c r="B15" s="740"/>
      <c r="C15" s="116"/>
      <c r="D15" s="106"/>
      <c r="E15" s="331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16"/>
      <c r="AW15" s="133"/>
      <c r="AX15" s="133"/>
    </row>
    <row r="16" spans="1:51">
      <c r="A16" s="330"/>
      <c r="B16" s="728" t="s">
        <v>880</v>
      </c>
      <c r="C16" s="728" t="s">
        <v>16</v>
      </c>
      <c r="D16" s="106"/>
      <c r="E16" s="331"/>
      <c r="F16" s="116"/>
      <c r="G16" s="116"/>
      <c r="H16" s="116">
        <f>H1*Revenue!$K$15</f>
        <v>7444805.1513320208</v>
      </c>
      <c r="I16" s="116"/>
      <c r="J16" s="116"/>
      <c r="K16" s="116">
        <v>0</v>
      </c>
      <c r="L16" s="116"/>
      <c r="M16" s="116"/>
      <c r="N16" s="116"/>
      <c r="O16" s="116"/>
      <c r="P16" s="116"/>
      <c r="Q16" s="133"/>
      <c r="R16" s="133"/>
      <c r="S16" s="133"/>
      <c r="T16" s="133">
        <f>'Optional Adjustment 2'!G16*$T$1</f>
        <v>0</v>
      </c>
      <c r="U16" s="133">
        <f>'Optional Adjustment 3'!G16*$U$1</f>
        <v>0</v>
      </c>
      <c r="V16" s="133">
        <f>'Optional Adjustment 4'!G16*$V$1</f>
        <v>0</v>
      </c>
      <c r="W16" s="133">
        <f>'Optional Adjustment 5'!G16*$W$1</f>
        <v>0</v>
      </c>
      <c r="X16" s="133">
        <f>'Optional Adjustment 6'!G16*$X$1</f>
        <v>0</v>
      </c>
      <c r="Y16" s="133">
        <f>'Optional Adjustment 7'!G16*$Y$1</f>
        <v>0</v>
      </c>
      <c r="Z16" s="133">
        <f>'Optional Adjustment 8'!G16*$Z$1</f>
        <v>0</v>
      </c>
      <c r="AA16" s="133">
        <f>'Optional Adjustment 9'!G16*$AA$1</f>
        <v>0</v>
      </c>
      <c r="AB16" s="133">
        <f>'Optional Adjustment 10'!G16*$AB$1</f>
        <v>0</v>
      </c>
      <c r="AC16" s="133">
        <f>'Optional Adjustment 11'!G16*$AC$1</f>
        <v>0</v>
      </c>
      <c r="AD16" s="133">
        <f>'Optional Adjustment 12'!G16*$AD$1</f>
        <v>0</v>
      </c>
      <c r="AE16" s="133">
        <f>'Optional Adjustment 13'!G16*$AE$1</f>
        <v>0</v>
      </c>
      <c r="AF16" s="133">
        <f>'Optional Adjustment 14'!G16*$AF$1</f>
        <v>0</v>
      </c>
      <c r="AG16" s="133">
        <f>'Optional Adjustment 15'!G16*$AG$1</f>
        <v>0</v>
      </c>
      <c r="AH16" s="133">
        <f>'Optional Adjustment 16'!G16*$AH$1</f>
        <v>0</v>
      </c>
      <c r="AI16" s="133">
        <f>'Optional Adjustment 17'!G16*$AI$1</f>
        <v>0</v>
      </c>
      <c r="AJ16" s="133">
        <f>'Optional Adjustment 18'!G16*$AJ$1</f>
        <v>0</v>
      </c>
      <c r="AK16" s="133">
        <f>'Optional Adjustment 19'!G16*$AK$1</f>
        <v>0</v>
      </c>
      <c r="AL16" s="133">
        <f>'Optional Adjustment 20'!G16*$AL$1</f>
        <v>0</v>
      </c>
      <c r="AM16" s="133">
        <f>'Optional Adjustment 21'!G16*$AM$1</f>
        <v>0</v>
      </c>
      <c r="AN16" s="133">
        <f>'Optional Adjustment 22'!G16*$AN$1</f>
        <v>0</v>
      </c>
      <c r="AO16" s="133">
        <f>'Optional Adjustment 23'!G16*$AO$1</f>
        <v>0</v>
      </c>
      <c r="AP16" s="133">
        <f>'Optional Adjustment 24'!G16*$AP$1</f>
        <v>0</v>
      </c>
      <c r="AQ16" s="133">
        <f>'Optional Adjustment 25'!G16*$AQ$1</f>
        <v>0</v>
      </c>
      <c r="AR16" s="133">
        <f>'Optional Adjustment 26'!G16*$AR$1</f>
        <v>0</v>
      </c>
      <c r="AS16" s="133">
        <f>'Optional Adjustment 27'!G16*$AS$1</f>
        <v>0</v>
      </c>
      <c r="AT16" s="133"/>
      <c r="AU16" s="133">
        <f>SUM(F16:AT16)</f>
        <v>7444805.1513320208</v>
      </c>
      <c r="AV16" s="116"/>
      <c r="AW16" s="133">
        <f>SUM(AU16:AU16)</f>
        <v>7444805.1513320208</v>
      </c>
      <c r="AX16" s="133">
        <f>+AW16-'ROR-Model'!G16</f>
        <v>0</v>
      </c>
      <c r="AY16" s="30"/>
    </row>
    <row r="17" spans="1:50">
      <c r="A17" s="330"/>
      <c r="B17" s="728"/>
      <c r="C17" s="728"/>
      <c r="D17" s="106"/>
      <c r="E17" s="331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16"/>
      <c r="AW17" s="133"/>
      <c r="AX17" s="133">
        <f>+AW17-'ROR-Model'!G17</f>
        <v>0</v>
      </c>
    </row>
    <row r="18" spans="1:50">
      <c r="A18" s="330"/>
      <c r="B18" s="728"/>
      <c r="C18" s="728" t="s">
        <v>17</v>
      </c>
      <c r="D18" s="106"/>
      <c r="E18" s="331"/>
      <c r="F18" s="116"/>
      <c r="G18" s="116"/>
      <c r="H18" s="116">
        <f>H1*Revenue!$K$17</f>
        <v>18790789.129999995</v>
      </c>
      <c r="I18" s="116"/>
      <c r="J18" s="116"/>
      <c r="K18" s="116"/>
      <c r="L18" s="116"/>
      <c r="M18" s="116"/>
      <c r="N18" s="116"/>
      <c r="O18" s="116"/>
      <c r="P18" s="116"/>
      <c r="Q18" s="133"/>
      <c r="R18" s="133"/>
      <c r="S18" s="133"/>
      <c r="T18" s="133">
        <f>'Optional Adjustment 2'!G18*$T$1</f>
        <v>0</v>
      </c>
      <c r="U18" s="133">
        <f>'Optional Adjustment 3'!G18*$U$1</f>
        <v>0</v>
      </c>
      <c r="V18" s="133">
        <f>'Optional Adjustment 4'!G18*$V$1</f>
        <v>0</v>
      </c>
      <c r="W18" s="133">
        <f>'Optional Adjustment 5'!G18*$W$1</f>
        <v>0</v>
      </c>
      <c r="X18" s="133">
        <f>'Optional Adjustment 6'!G18*$X$1</f>
        <v>0</v>
      </c>
      <c r="Y18" s="133">
        <f>'Optional Adjustment 7'!G18*$Y$1</f>
        <v>0</v>
      </c>
      <c r="Z18" s="133">
        <f>'Optional Adjustment 8'!G18*$Z$1</f>
        <v>0</v>
      </c>
      <c r="AA18" s="133">
        <f>'Optional Adjustment 9'!G18*$AA$1</f>
        <v>0</v>
      </c>
      <c r="AB18" s="133">
        <f>'Optional Adjustment 10'!G18*$AB$1</f>
        <v>0</v>
      </c>
      <c r="AC18" s="133">
        <f>'Optional Adjustment 11'!G18*$AC$1</f>
        <v>0</v>
      </c>
      <c r="AD18" s="133">
        <f>'Optional Adjustment 12'!G18*$AD$1</f>
        <v>0</v>
      </c>
      <c r="AE18" s="133">
        <f>'Optional Adjustment 13'!G18*$AE$1</f>
        <v>0</v>
      </c>
      <c r="AF18" s="133">
        <f>'Optional Adjustment 14'!G18*$AF$1</f>
        <v>0</v>
      </c>
      <c r="AG18" s="133">
        <f>'Optional Adjustment 15'!G18*$AG$1</f>
        <v>0</v>
      </c>
      <c r="AH18" s="133">
        <f>'Optional Adjustment 16'!G18*$AH$1</f>
        <v>0</v>
      </c>
      <c r="AI18" s="133">
        <f>'Optional Adjustment 17'!G18*$AI$1</f>
        <v>0</v>
      </c>
      <c r="AJ18" s="133">
        <f>'Optional Adjustment 18'!G18*$AJ$1</f>
        <v>0</v>
      </c>
      <c r="AK18" s="133">
        <f>'Optional Adjustment 19'!G18*$AK$1</f>
        <v>0</v>
      </c>
      <c r="AL18" s="133">
        <f>'Optional Adjustment 20'!G18*$AL$1</f>
        <v>0</v>
      </c>
      <c r="AM18" s="133">
        <f>'Optional Adjustment 21'!G18*$AM$1</f>
        <v>0</v>
      </c>
      <c r="AN18" s="133">
        <f>'Optional Adjustment 22'!G18*$AN$1</f>
        <v>0</v>
      </c>
      <c r="AO18" s="133">
        <f>'Optional Adjustment 23'!G18*$AO$1</f>
        <v>0</v>
      </c>
      <c r="AP18" s="133">
        <f>'Optional Adjustment 24'!G18*$AP$1</f>
        <v>0</v>
      </c>
      <c r="AQ18" s="133">
        <f>'Optional Adjustment 25'!G18*$AQ$1</f>
        <v>0</v>
      </c>
      <c r="AR18" s="133">
        <f>'Optional Adjustment 26'!G18*$AR$1</f>
        <v>0</v>
      </c>
      <c r="AS18" s="133">
        <f>'Optional Adjustment 27'!G18*$AS$1</f>
        <v>0</v>
      </c>
      <c r="AT18" s="133"/>
      <c r="AU18" s="133">
        <f>SUM(F18:AT18)</f>
        <v>18790789.129999995</v>
      </c>
      <c r="AV18" s="116"/>
      <c r="AW18" s="133">
        <f>SUM(AU18:AU18)</f>
        <v>18790789.129999995</v>
      </c>
      <c r="AX18" s="133">
        <f>+AW18-'ROR-Model'!G18</f>
        <v>0</v>
      </c>
    </row>
    <row r="19" spans="1:50">
      <c r="A19" s="330"/>
      <c r="B19" s="728"/>
      <c r="C19" s="728"/>
      <c r="D19" s="106"/>
      <c r="E19" s="331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16"/>
      <c r="AW19" s="133"/>
      <c r="AX19" s="133">
        <f>+AW19-'ROR-Model'!G19</f>
        <v>0</v>
      </c>
    </row>
    <row r="20" spans="1:50">
      <c r="A20" s="330"/>
      <c r="B20" s="728"/>
      <c r="C20" s="728" t="s">
        <v>18</v>
      </c>
      <c r="D20" s="106"/>
      <c r="E20" s="331"/>
      <c r="F20" s="116"/>
      <c r="G20" s="116"/>
      <c r="H20" s="116">
        <f>H1*Revenue!$K$19</f>
        <v>-19394737.26000005</v>
      </c>
      <c r="I20" s="116"/>
      <c r="J20" s="116"/>
      <c r="K20" s="116"/>
      <c r="L20" s="116"/>
      <c r="M20" s="116"/>
      <c r="N20" s="116"/>
      <c r="O20" s="116"/>
      <c r="P20" s="116"/>
      <c r="Q20" s="133"/>
      <c r="R20" s="133"/>
      <c r="S20" s="133"/>
      <c r="T20" s="133">
        <f>'Optional Adjustment 2'!G20*$T$1</f>
        <v>0</v>
      </c>
      <c r="U20" s="133">
        <f>'Optional Adjustment 3'!G20*$U$1</f>
        <v>0</v>
      </c>
      <c r="V20" s="133">
        <f>'Optional Adjustment 4'!G20*$V$1</f>
        <v>0</v>
      </c>
      <c r="W20" s="133">
        <f>'Optional Adjustment 5'!G20*$W$1</f>
        <v>0</v>
      </c>
      <c r="X20" s="133">
        <f>'Optional Adjustment 6'!G20*$X$1</f>
        <v>0</v>
      </c>
      <c r="Y20" s="133">
        <f>'Optional Adjustment 7'!G20*$Y$1</f>
        <v>0</v>
      </c>
      <c r="Z20" s="133">
        <f>'Optional Adjustment 8'!G20*$Z$1</f>
        <v>0</v>
      </c>
      <c r="AA20" s="133">
        <f>'Optional Adjustment 9'!G20*$AA$1</f>
        <v>0</v>
      </c>
      <c r="AB20" s="133">
        <f>'Optional Adjustment 10'!G20*$AB$1</f>
        <v>0</v>
      </c>
      <c r="AC20" s="133">
        <f>'Optional Adjustment 11'!G20*$AC$1</f>
        <v>0</v>
      </c>
      <c r="AD20" s="133">
        <f>'Optional Adjustment 12'!G20*$AD$1</f>
        <v>0</v>
      </c>
      <c r="AE20" s="133">
        <f>'Optional Adjustment 13'!G20*$AE$1</f>
        <v>0</v>
      </c>
      <c r="AF20" s="133">
        <f>'Optional Adjustment 14'!G20*$AF$1</f>
        <v>0</v>
      </c>
      <c r="AG20" s="133">
        <f>'Optional Adjustment 15'!G20*$AG$1</f>
        <v>0</v>
      </c>
      <c r="AH20" s="133">
        <f>'Optional Adjustment 16'!G20*$AH$1</f>
        <v>0</v>
      </c>
      <c r="AI20" s="133">
        <f>'Optional Adjustment 17'!G20*$AI$1</f>
        <v>0</v>
      </c>
      <c r="AJ20" s="133">
        <f>'Optional Adjustment 18'!G20*$AJ$1</f>
        <v>0</v>
      </c>
      <c r="AK20" s="133">
        <f>'Optional Adjustment 19'!G20*$AK$1</f>
        <v>0</v>
      </c>
      <c r="AL20" s="133">
        <f>'Optional Adjustment 20'!G20*$AL$1</f>
        <v>0</v>
      </c>
      <c r="AM20" s="133">
        <f>'Optional Adjustment 21'!G20*$AM$1</f>
        <v>0</v>
      </c>
      <c r="AN20" s="133">
        <f>'Optional Adjustment 22'!G20*$AN$1</f>
        <v>0</v>
      </c>
      <c r="AO20" s="133">
        <f>'Optional Adjustment 23'!G20*$AO$1</f>
        <v>0</v>
      </c>
      <c r="AP20" s="133">
        <f>'Optional Adjustment 24'!G20*$AP$1</f>
        <v>0</v>
      </c>
      <c r="AQ20" s="133">
        <f>'Optional Adjustment 25'!G20*$AQ$1</f>
        <v>0</v>
      </c>
      <c r="AR20" s="133">
        <f>'Optional Adjustment 26'!G20*$AR$1</f>
        <v>0</v>
      </c>
      <c r="AS20" s="133">
        <f>'Optional Adjustment 27'!G20*$AS$1</f>
        <v>0</v>
      </c>
      <c r="AT20" s="133"/>
      <c r="AU20" s="133">
        <f>SUM(F20:AT20)</f>
        <v>-19394737.26000005</v>
      </c>
      <c r="AV20" s="116"/>
      <c r="AW20" s="133">
        <f>SUM(AU20:AU20)</f>
        <v>-19394737.26000005</v>
      </c>
      <c r="AX20" s="133">
        <f>+AW20-'ROR-Model'!G20</f>
        <v>0</v>
      </c>
    </row>
    <row r="21" spans="1:50">
      <c r="A21" s="330"/>
      <c r="B21" s="728"/>
      <c r="C21" s="728" t="s">
        <v>19</v>
      </c>
      <c r="D21" s="106"/>
      <c r="E21" s="331"/>
      <c r="F21" s="131">
        <f>SUM(F16:F20)</f>
        <v>0</v>
      </c>
      <c r="G21" s="131"/>
      <c r="H21" s="131">
        <f>H1*SUM(H16:H20)</f>
        <v>6840857.0213319659</v>
      </c>
      <c r="I21" s="131">
        <f>SUM(I16:I20)</f>
        <v>0</v>
      </c>
      <c r="J21" s="131">
        <f t="shared" ref="J21:P21" si="26">SUM(J16:J20)</f>
        <v>0</v>
      </c>
      <c r="K21" s="131">
        <f t="shared" si="26"/>
        <v>0</v>
      </c>
      <c r="L21" s="131">
        <f t="shared" si="26"/>
        <v>0</v>
      </c>
      <c r="M21" s="131">
        <f t="shared" si="26"/>
        <v>0</v>
      </c>
      <c r="N21" s="131">
        <f t="shared" si="26"/>
        <v>0</v>
      </c>
      <c r="O21" s="131">
        <f t="shared" si="26"/>
        <v>0</v>
      </c>
      <c r="P21" s="131">
        <f t="shared" si="26"/>
        <v>0</v>
      </c>
      <c r="Q21" s="241">
        <f t="shared" ref="Q21:W21" si="27">SUM(Q16:Q20)</f>
        <v>0</v>
      </c>
      <c r="R21" s="241">
        <f t="shared" si="27"/>
        <v>0</v>
      </c>
      <c r="S21" s="556"/>
      <c r="T21" s="556">
        <f t="shared" si="27"/>
        <v>0</v>
      </c>
      <c r="U21" s="556">
        <f t="shared" si="27"/>
        <v>0</v>
      </c>
      <c r="V21" s="556">
        <f t="shared" si="27"/>
        <v>0</v>
      </c>
      <c r="W21" s="556">
        <f t="shared" si="27"/>
        <v>0</v>
      </c>
      <c r="X21" s="556">
        <f t="shared" ref="X21:AG21" si="28">SUM(X16:X20)</f>
        <v>0</v>
      </c>
      <c r="Y21" s="556">
        <f t="shared" si="28"/>
        <v>0</v>
      </c>
      <c r="Z21" s="556">
        <f t="shared" si="28"/>
        <v>0</v>
      </c>
      <c r="AA21" s="556">
        <f t="shared" si="28"/>
        <v>0</v>
      </c>
      <c r="AB21" s="556">
        <f t="shared" si="28"/>
        <v>0</v>
      </c>
      <c r="AC21" s="556">
        <f t="shared" si="28"/>
        <v>0</v>
      </c>
      <c r="AD21" s="556">
        <f t="shared" si="28"/>
        <v>0</v>
      </c>
      <c r="AE21" s="556">
        <f t="shared" si="28"/>
        <v>0</v>
      </c>
      <c r="AF21" s="556">
        <f t="shared" si="28"/>
        <v>0</v>
      </c>
      <c r="AG21" s="556">
        <f t="shared" si="28"/>
        <v>0</v>
      </c>
      <c r="AH21" s="556">
        <f t="shared" ref="AH21:AK21" si="29">SUM(AH16:AH20)</f>
        <v>0</v>
      </c>
      <c r="AI21" s="556">
        <f t="shared" si="29"/>
        <v>0</v>
      </c>
      <c r="AJ21" s="556">
        <f t="shared" si="29"/>
        <v>0</v>
      </c>
      <c r="AK21" s="556">
        <f t="shared" si="29"/>
        <v>0</v>
      </c>
      <c r="AL21" s="556">
        <f t="shared" ref="AL21:AP21" si="30">SUM(AL16:AL20)</f>
        <v>0</v>
      </c>
      <c r="AM21" s="556">
        <f t="shared" si="30"/>
        <v>0</v>
      </c>
      <c r="AN21" s="556">
        <f t="shared" si="30"/>
        <v>0</v>
      </c>
      <c r="AO21" s="556">
        <f t="shared" si="30"/>
        <v>0</v>
      </c>
      <c r="AP21" s="556">
        <f t="shared" si="30"/>
        <v>0</v>
      </c>
      <c r="AQ21" s="556">
        <f t="shared" ref="AQ21:AS21" si="31">SUM(AQ16:AQ20)</f>
        <v>0</v>
      </c>
      <c r="AR21" s="556">
        <f t="shared" si="31"/>
        <v>0</v>
      </c>
      <c r="AS21" s="556">
        <f t="shared" si="31"/>
        <v>0</v>
      </c>
      <c r="AT21" s="556"/>
      <c r="AU21" s="241">
        <f>SUM(F21:AT21)</f>
        <v>6840857.0213319659</v>
      </c>
      <c r="AV21" s="131"/>
      <c r="AW21" s="241">
        <f>SUM(AU21:AU21)</f>
        <v>6840857.0213319659</v>
      </c>
      <c r="AX21" s="241">
        <f>+AW21-'ROR-Model'!G21</f>
        <v>0</v>
      </c>
    </row>
    <row r="22" spans="1:50">
      <c r="A22" s="330"/>
      <c r="B22" s="728"/>
      <c r="C22" s="728"/>
      <c r="D22" s="106"/>
      <c r="E22" s="331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16"/>
      <c r="AW22" s="133"/>
      <c r="AX22" s="133">
        <f>+AW22-'ROR-Model'!G22</f>
        <v>0</v>
      </c>
    </row>
    <row r="23" spans="1:50">
      <c r="A23" s="330"/>
      <c r="B23" s="728"/>
      <c r="C23" s="728" t="s">
        <v>20</v>
      </c>
      <c r="D23" s="106"/>
      <c r="E23" s="331"/>
      <c r="F23" s="116"/>
      <c r="G23" s="116"/>
      <c r="H23" s="116">
        <f>H1*Revenue!$K$22</f>
        <v>10548764</v>
      </c>
      <c r="I23" s="116"/>
      <c r="J23" s="116"/>
      <c r="K23" s="116"/>
      <c r="L23" s="116"/>
      <c r="M23" s="116"/>
      <c r="N23" s="116"/>
      <c r="O23" s="116"/>
      <c r="P23" s="116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>
        <f>SUM(F23:AT23)</f>
        <v>10548764</v>
      </c>
      <c r="AV23" s="116"/>
      <c r="AW23" s="133">
        <f>SUM(AU23:AU23)</f>
        <v>10548764</v>
      </c>
      <c r="AX23" s="133">
        <f>+AW23-'ROR-Model'!G23</f>
        <v>0</v>
      </c>
    </row>
    <row r="24" spans="1:50">
      <c r="A24" s="330"/>
      <c r="B24" s="728"/>
      <c r="C24" s="728"/>
      <c r="D24" s="106"/>
      <c r="E24" s="331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16"/>
      <c r="AW24" s="133"/>
      <c r="AX24" s="133">
        <f>+AW24-'ROR-Model'!G24</f>
        <v>0</v>
      </c>
    </row>
    <row r="25" spans="1:50">
      <c r="A25" s="330"/>
      <c r="B25" s="728" t="s">
        <v>247</v>
      </c>
      <c r="C25" s="728" t="s">
        <v>16</v>
      </c>
      <c r="D25" s="102"/>
      <c r="E25" s="331"/>
      <c r="F25" s="116"/>
      <c r="G25" s="116"/>
      <c r="H25" s="116">
        <f>H1*Revenue!$K$24</f>
        <v>0</v>
      </c>
      <c r="I25" s="116"/>
      <c r="J25" s="116"/>
      <c r="K25" s="116"/>
      <c r="L25" s="116"/>
      <c r="M25" s="116"/>
      <c r="N25" s="116"/>
      <c r="O25" s="116"/>
      <c r="P25" s="116"/>
      <c r="Q25" s="133"/>
      <c r="R25" s="133"/>
      <c r="S25" s="133"/>
      <c r="T25" s="133">
        <f>'Optional Adjustment 2'!G25*$T$1</f>
        <v>0</v>
      </c>
      <c r="U25" s="133">
        <f>'Optional Adjustment 3'!G25*$U$1</f>
        <v>0</v>
      </c>
      <c r="V25" s="133">
        <f>'Optional Adjustment 4'!G25*$V$1</f>
        <v>0</v>
      </c>
      <c r="W25" s="133">
        <f>'Optional Adjustment 5'!G25*$W$1</f>
        <v>0</v>
      </c>
      <c r="X25" s="133">
        <f>'Optional Adjustment 6'!G25*$X$1</f>
        <v>0</v>
      </c>
      <c r="Y25" s="133">
        <f>'Optional Adjustment 7'!G25*$Y$1</f>
        <v>0</v>
      </c>
      <c r="Z25" s="133">
        <f>'Optional Adjustment 8'!G25*$Z$1</f>
        <v>0</v>
      </c>
      <c r="AA25" s="133">
        <f>'Optional Adjustment 9'!G25*$AA$1</f>
        <v>0</v>
      </c>
      <c r="AB25" s="133">
        <f>'Optional Adjustment 10'!G25*$AB$1</f>
        <v>0</v>
      </c>
      <c r="AC25" s="133">
        <f>'Optional Adjustment 11'!G25*$AC$1</f>
        <v>0</v>
      </c>
      <c r="AD25" s="133">
        <f>'Optional Adjustment 12'!G25*$AD$1</f>
        <v>0</v>
      </c>
      <c r="AE25" s="133">
        <f>'Optional Adjustment 13'!G25*$AE$1</f>
        <v>0</v>
      </c>
      <c r="AF25" s="133">
        <f>'Optional Adjustment 14'!G25*$AF$1</f>
        <v>0</v>
      </c>
      <c r="AG25" s="133">
        <f>'Optional Adjustment 15'!G25*$AG$1</f>
        <v>0</v>
      </c>
      <c r="AH25" s="133">
        <f>'Optional Adjustment 16'!G25*$AH$1</f>
        <v>0</v>
      </c>
      <c r="AI25" s="133">
        <f>'Optional Adjustment 17'!G25*$AI$1</f>
        <v>0</v>
      </c>
      <c r="AJ25" s="133">
        <f>'Optional Adjustment 18'!G25*$AJ$1</f>
        <v>0</v>
      </c>
      <c r="AK25" s="133">
        <f>'Optional Adjustment 19'!G25*$AK$1</f>
        <v>0</v>
      </c>
      <c r="AL25" s="133">
        <f>'Optional Adjustment 20'!G25*$AL$1</f>
        <v>0</v>
      </c>
      <c r="AM25" s="133">
        <f>'Optional Adjustment 21'!G25*$AM$1</f>
        <v>0</v>
      </c>
      <c r="AN25" s="133">
        <f>'Optional Adjustment 22'!G25*$AN$1</f>
        <v>0</v>
      </c>
      <c r="AO25" s="133">
        <f>'Optional Adjustment 23'!G25*$AO$1</f>
        <v>0</v>
      </c>
      <c r="AP25" s="133">
        <f>'Optional Adjustment 24'!G25*$AP$1</f>
        <v>0</v>
      </c>
      <c r="AQ25" s="133">
        <f>'Optional Adjustment 25'!G25*$AQ$1</f>
        <v>0</v>
      </c>
      <c r="AR25" s="133">
        <f>'Optional Adjustment 26'!G25*$AR$1</f>
        <v>0</v>
      </c>
      <c r="AS25" s="133">
        <f>'Optional Adjustment 27'!G25*$AS$1</f>
        <v>0</v>
      </c>
      <c r="AT25" s="133"/>
      <c r="AU25" s="133">
        <f>SUM(F25:AT25)</f>
        <v>0</v>
      </c>
      <c r="AV25" s="116"/>
      <c r="AW25" s="133">
        <f>SUM(AU25:AU25)</f>
        <v>0</v>
      </c>
      <c r="AX25" s="133">
        <f>+AW25-'ROR-Model'!G25</f>
        <v>0</v>
      </c>
    </row>
    <row r="26" spans="1:50">
      <c r="A26" s="330"/>
      <c r="B26" s="728"/>
      <c r="C26" s="728"/>
      <c r="D26" s="102"/>
      <c r="E26" s="331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16"/>
      <c r="AW26" s="133"/>
      <c r="AX26" s="133">
        <f>+AW26-'ROR-Model'!G26</f>
        <v>0</v>
      </c>
    </row>
    <row r="27" spans="1:50">
      <c r="A27" s="330"/>
      <c r="B27" s="728"/>
      <c r="C27" s="728" t="s">
        <v>17</v>
      </c>
      <c r="D27" s="102"/>
      <c r="E27" s="331"/>
      <c r="F27" s="116"/>
      <c r="G27" s="116"/>
      <c r="H27" s="116">
        <f>H1*Revenue!$K$26</f>
        <v>0</v>
      </c>
      <c r="I27" s="116"/>
      <c r="J27" s="116"/>
      <c r="K27" s="116"/>
      <c r="L27" s="116"/>
      <c r="M27" s="116"/>
      <c r="N27" s="116"/>
      <c r="O27" s="116"/>
      <c r="P27" s="116"/>
      <c r="Q27" s="133"/>
      <c r="R27" s="133"/>
      <c r="S27" s="133"/>
      <c r="T27" s="133">
        <f>'Optional Adjustment 2'!G27*$T$1</f>
        <v>0</v>
      </c>
      <c r="U27" s="133">
        <f>'Optional Adjustment 3'!G27*$U$1</f>
        <v>0</v>
      </c>
      <c r="V27" s="133">
        <f>'Optional Adjustment 4'!G27*$V$1</f>
        <v>0</v>
      </c>
      <c r="W27" s="133">
        <f>'Optional Adjustment 5'!G27*$W$1</f>
        <v>0</v>
      </c>
      <c r="X27" s="133">
        <f>'Optional Adjustment 6'!G27*$X$1</f>
        <v>0</v>
      </c>
      <c r="Y27" s="133">
        <f>'Optional Adjustment 7'!G27*$Y$1</f>
        <v>0</v>
      </c>
      <c r="Z27" s="133">
        <f>'Optional Adjustment 8'!G27*$Z$1</f>
        <v>0</v>
      </c>
      <c r="AA27" s="133">
        <f>'Optional Adjustment 9'!G27*$AA$1</f>
        <v>0</v>
      </c>
      <c r="AB27" s="133">
        <f>'Optional Adjustment 10'!G27*$AB$1</f>
        <v>0</v>
      </c>
      <c r="AC27" s="133">
        <f>'Optional Adjustment 11'!G27*$AC$1</f>
        <v>0</v>
      </c>
      <c r="AD27" s="133">
        <f>'Optional Adjustment 12'!G27*$AD$1</f>
        <v>0</v>
      </c>
      <c r="AE27" s="133">
        <f>'Optional Adjustment 13'!G27*$AE$1</f>
        <v>0</v>
      </c>
      <c r="AF27" s="133">
        <f>'Optional Adjustment 14'!G27*$AF$1</f>
        <v>0</v>
      </c>
      <c r="AG27" s="133">
        <f>'Optional Adjustment 15'!G27*$AG$1</f>
        <v>0</v>
      </c>
      <c r="AH27" s="133">
        <f>'Optional Adjustment 16'!G27*$AH$1</f>
        <v>0</v>
      </c>
      <c r="AI27" s="133">
        <f>'Optional Adjustment 17'!G27*$AI$1</f>
        <v>0</v>
      </c>
      <c r="AJ27" s="133">
        <f>'Optional Adjustment 18'!G27*$AJ$1</f>
        <v>0</v>
      </c>
      <c r="AK27" s="133">
        <f>'Optional Adjustment 19'!G27*$AK$1</f>
        <v>0</v>
      </c>
      <c r="AL27" s="133">
        <f>'Optional Adjustment 20'!G27*$AL$1</f>
        <v>0</v>
      </c>
      <c r="AM27" s="133">
        <f>'Optional Adjustment 21'!G27*$AM$1</f>
        <v>0</v>
      </c>
      <c r="AN27" s="133">
        <f>'Optional Adjustment 22'!G27*$AN$1</f>
        <v>0</v>
      </c>
      <c r="AO27" s="133">
        <f>'Optional Adjustment 23'!G27*$AO$1</f>
        <v>0</v>
      </c>
      <c r="AP27" s="133">
        <f>'Optional Adjustment 24'!G27*$AP$1</f>
        <v>0</v>
      </c>
      <c r="AQ27" s="133">
        <f>'Optional Adjustment 25'!G27*$AQ$1</f>
        <v>0</v>
      </c>
      <c r="AR27" s="133">
        <f>'Optional Adjustment 26'!G27*$AR$1</f>
        <v>0</v>
      </c>
      <c r="AS27" s="133">
        <f>'Optional Adjustment 27'!G27*$AS$1</f>
        <v>0</v>
      </c>
      <c r="AT27" s="133"/>
      <c r="AU27" s="133">
        <f>SUM(F27:AT27)</f>
        <v>0</v>
      </c>
      <c r="AV27" s="116"/>
      <c r="AW27" s="133">
        <f>SUM(AU27:AU27)</f>
        <v>0</v>
      </c>
      <c r="AX27" s="133">
        <f>+AW27-'ROR-Model'!G27</f>
        <v>0</v>
      </c>
    </row>
    <row r="28" spans="1:50">
      <c r="A28" s="330"/>
      <c r="B28" s="728"/>
      <c r="C28" s="728"/>
      <c r="D28" s="102"/>
      <c r="E28" s="331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16"/>
      <c r="AW28" s="133"/>
      <c r="AX28" s="133">
        <f>+AW28-'ROR-Model'!G28</f>
        <v>0</v>
      </c>
    </row>
    <row r="29" spans="1:50">
      <c r="A29" s="330"/>
      <c r="B29" s="728"/>
      <c r="C29" s="728" t="s">
        <v>18</v>
      </c>
      <c r="D29" s="102"/>
      <c r="E29" s="331"/>
      <c r="F29" s="116"/>
      <c r="G29" s="116"/>
      <c r="H29" s="116">
        <f>H1*Revenue!$K$28</f>
        <v>0</v>
      </c>
      <c r="I29" s="116"/>
      <c r="J29" s="116"/>
      <c r="K29" s="116"/>
      <c r="L29" s="116"/>
      <c r="M29" s="116"/>
      <c r="N29" s="116"/>
      <c r="O29" s="116"/>
      <c r="P29" s="116"/>
      <c r="Q29" s="133"/>
      <c r="R29" s="133"/>
      <c r="S29" s="133"/>
      <c r="T29" s="133">
        <f>'Optional Adjustment 2'!G29*$T$1</f>
        <v>0</v>
      </c>
      <c r="U29" s="133">
        <f>'Optional Adjustment 3'!G29*$U$1</f>
        <v>0</v>
      </c>
      <c r="V29" s="133">
        <f>'Optional Adjustment 4'!G29*$V$1</f>
        <v>0</v>
      </c>
      <c r="W29" s="133">
        <f>'Optional Adjustment 5'!G29*$W$1</f>
        <v>0</v>
      </c>
      <c r="X29" s="133">
        <f>'Optional Adjustment 6'!G29*$X$1</f>
        <v>0</v>
      </c>
      <c r="Y29" s="133">
        <f>'Optional Adjustment 7'!G29*$Y$1</f>
        <v>0</v>
      </c>
      <c r="Z29" s="133">
        <f>'Optional Adjustment 8'!G29*$Z$1</f>
        <v>0</v>
      </c>
      <c r="AA29" s="133">
        <f>'Optional Adjustment 9'!G29*$AA$1</f>
        <v>0</v>
      </c>
      <c r="AB29" s="133">
        <f>'Optional Adjustment 10'!G29*$AB$1</f>
        <v>0</v>
      </c>
      <c r="AC29" s="133">
        <f>'Optional Adjustment 11'!G29*$AC$1</f>
        <v>0</v>
      </c>
      <c r="AD29" s="133">
        <f>'Optional Adjustment 12'!G29*$AD$1</f>
        <v>0</v>
      </c>
      <c r="AE29" s="133">
        <f>'Optional Adjustment 13'!G29*$AE$1</f>
        <v>0</v>
      </c>
      <c r="AF29" s="133">
        <f>'Optional Adjustment 14'!G29*$AF$1</f>
        <v>0</v>
      </c>
      <c r="AG29" s="133">
        <f>'Optional Adjustment 15'!G29*$AG$1</f>
        <v>0</v>
      </c>
      <c r="AH29" s="133">
        <f>'Optional Adjustment 16'!G29*$AH$1</f>
        <v>0</v>
      </c>
      <c r="AI29" s="133">
        <f>'Optional Adjustment 17'!G29*$AI$1</f>
        <v>0</v>
      </c>
      <c r="AJ29" s="133">
        <f>'Optional Adjustment 18'!G29*$AJ$1</f>
        <v>0</v>
      </c>
      <c r="AK29" s="133">
        <f>'Optional Adjustment 19'!G29*$AK$1</f>
        <v>0</v>
      </c>
      <c r="AL29" s="133">
        <f>'Optional Adjustment 20'!G29*$AL$1</f>
        <v>0</v>
      </c>
      <c r="AM29" s="133">
        <f>'Optional Adjustment 21'!G29*$AM$1</f>
        <v>0</v>
      </c>
      <c r="AN29" s="133">
        <f>'Optional Adjustment 22'!G29*$AN$1</f>
        <v>0</v>
      </c>
      <c r="AO29" s="133">
        <f>'Optional Adjustment 23'!G29*$AO$1</f>
        <v>0</v>
      </c>
      <c r="AP29" s="133">
        <f>'Optional Adjustment 24'!G29*$AP$1</f>
        <v>0</v>
      </c>
      <c r="AQ29" s="133">
        <f>'Optional Adjustment 25'!G29*$AQ$1</f>
        <v>0</v>
      </c>
      <c r="AR29" s="133">
        <f>'Optional Adjustment 26'!G29*$AR$1</f>
        <v>0</v>
      </c>
      <c r="AS29" s="133">
        <f>'Optional Adjustment 27'!G29*$AS$1</f>
        <v>0</v>
      </c>
      <c r="AT29" s="133"/>
      <c r="AU29" s="133">
        <f>SUM(F29:AT29)</f>
        <v>0</v>
      </c>
      <c r="AV29" s="116"/>
      <c r="AW29" s="133">
        <f>SUM(AU29:AU29)</f>
        <v>0</v>
      </c>
      <c r="AX29" s="133">
        <f>+AW29-'ROR-Model'!G29</f>
        <v>0</v>
      </c>
    </row>
    <row r="30" spans="1:50">
      <c r="A30" s="330"/>
      <c r="B30" s="728"/>
      <c r="C30" s="728" t="s">
        <v>19</v>
      </c>
      <c r="D30" s="102"/>
      <c r="E30" s="331"/>
      <c r="F30" s="131">
        <f>SUM(F25:F29)</f>
        <v>0</v>
      </c>
      <c r="G30" s="131"/>
      <c r="H30" s="131">
        <f>H1*SUM(H25:H29)</f>
        <v>0</v>
      </c>
      <c r="I30" s="131">
        <f>SUM(I25:I29)</f>
        <v>0</v>
      </c>
      <c r="J30" s="131">
        <f t="shared" ref="J30:P30" si="32">SUM(J25:J29)</f>
        <v>0</v>
      </c>
      <c r="K30" s="131">
        <f t="shared" si="32"/>
        <v>0</v>
      </c>
      <c r="L30" s="131">
        <f t="shared" si="32"/>
        <v>0</v>
      </c>
      <c r="M30" s="131">
        <f t="shared" si="32"/>
        <v>0</v>
      </c>
      <c r="N30" s="131">
        <f t="shared" si="32"/>
        <v>0</v>
      </c>
      <c r="O30" s="131">
        <f t="shared" si="32"/>
        <v>0</v>
      </c>
      <c r="P30" s="131">
        <f t="shared" si="32"/>
        <v>0</v>
      </c>
      <c r="Q30" s="241">
        <f t="shared" ref="Q30:W30" si="33">SUM(Q25:Q29)</f>
        <v>0</v>
      </c>
      <c r="R30" s="241">
        <f t="shared" si="33"/>
        <v>0</v>
      </c>
      <c r="S30" s="556"/>
      <c r="T30" s="556">
        <f t="shared" si="33"/>
        <v>0</v>
      </c>
      <c r="U30" s="556">
        <f t="shared" si="33"/>
        <v>0</v>
      </c>
      <c r="V30" s="556">
        <f t="shared" si="33"/>
        <v>0</v>
      </c>
      <c r="W30" s="556">
        <f t="shared" si="33"/>
        <v>0</v>
      </c>
      <c r="X30" s="556">
        <f t="shared" ref="X30:AG30" si="34">SUM(X25:X29)</f>
        <v>0</v>
      </c>
      <c r="Y30" s="556">
        <f t="shared" si="34"/>
        <v>0</v>
      </c>
      <c r="Z30" s="556">
        <f t="shared" si="34"/>
        <v>0</v>
      </c>
      <c r="AA30" s="556">
        <f t="shared" si="34"/>
        <v>0</v>
      </c>
      <c r="AB30" s="556">
        <f t="shared" si="34"/>
        <v>0</v>
      </c>
      <c r="AC30" s="556">
        <f t="shared" si="34"/>
        <v>0</v>
      </c>
      <c r="AD30" s="556">
        <f t="shared" si="34"/>
        <v>0</v>
      </c>
      <c r="AE30" s="556">
        <f t="shared" si="34"/>
        <v>0</v>
      </c>
      <c r="AF30" s="556">
        <f t="shared" si="34"/>
        <v>0</v>
      </c>
      <c r="AG30" s="556">
        <f t="shared" si="34"/>
        <v>0</v>
      </c>
      <c r="AH30" s="556">
        <f t="shared" ref="AH30:AK30" si="35">SUM(AH25:AH29)</f>
        <v>0</v>
      </c>
      <c r="AI30" s="556">
        <f t="shared" si="35"/>
        <v>0</v>
      </c>
      <c r="AJ30" s="556">
        <f t="shared" si="35"/>
        <v>0</v>
      </c>
      <c r="AK30" s="556">
        <f t="shared" si="35"/>
        <v>0</v>
      </c>
      <c r="AL30" s="556">
        <f t="shared" ref="AL30:AP30" si="36">SUM(AL25:AL29)</f>
        <v>0</v>
      </c>
      <c r="AM30" s="556">
        <f t="shared" si="36"/>
        <v>0</v>
      </c>
      <c r="AN30" s="556">
        <f t="shared" si="36"/>
        <v>0</v>
      </c>
      <c r="AO30" s="556">
        <f t="shared" si="36"/>
        <v>0</v>
      </c>
      <c r="AP30" s="556">
        <f t="shared" si="36"/>
        <v>0</v>
      </c>
      <c r="AQ30" s="556">
        <f t="shared" ref="AQ30:AS30" si="37">SUM(AQ25:AQ29)</f>
        <v>0</v>
      </c>
      <c r="AR30" s="556">
        <f t="shared" si="37"/>
        <v>0</v>
      </c>
      <c r="AS30" s="556">
        <f t="shared" si="37"/>
        <v>0</v>
      </c>
      <c r="AT30" s="556"/>
      <c r="AU30" s="241">
        <f>SUM(F30:AT30)</f>
        <v>0</v>
      </c>
      <c r="AV30" s="131"/>
      <c r="AW30" s="241">
        <f>SUM(AU30:AU30)</f>
        <v>0</v>
      </c>
      <c r="AX30" s="241">
        <f>+AW30-'ROR-Model'!G30</f>
        <v>0</v>
      </c>
    </row>
    <row r="31" spans="1:50">
      <c r="A31" s="330"/>
      <c r="B31" s="728"/>
      <c r="C31" s="728"/>
      <c r="D31" s="102"/>
      <c r="E31" s="331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16"/>
      <c r="AW31" s="133"/>
      <c r="AX31" s="133">
        <f>+AW31-'ROR-Model'!G31</f>
        <v>0</v>
      </c>
    </row>
    <row r="32" spans="1:50">
      <c r="A32" s="330"/>
      <c r="B32" s="728"/>
      <c r="C32" s="728" t="s">
        <v>20</v>
      </c>
      <c r="D32" s="102"/>
      <c r="E32" s="331"/>
      <c r="F32" s="116"/>
      <c r="G32" s="116"/>
      <c r="H32" s="116">
        <f>H1*Revenue!$K$31</f>
        <v>0</v>
      </c>
      <c r="I32" s="116"/>
      <c r="J32" s="116"/>
      <c r="K32" s="116"/>
      <c r="L32" s="116"/>
      <c r="M32" s="116"/>
      <c r="N32" s="116"/>
      <c r="O32" s="116"/>
      <c r="P32" s="116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>
        <f>SUM(F32:AT32)</f>
        <v>0</v>
      </c>
      <c r="AV32" s="116"/>
      <c r="AW32" s="133">
        <f>SUM(AU32:AU32)</f>
        <v>0</v>
      </c>
      <c r="AX32" s="133">
        <f>+AW32-'ROR-Model'!G32</f>
        <v>0</v>
      </c>
    </row>
    <row r="33" spans="1:50">
      <c r="A33" s="330"/>
      <c r="B33" s="332"/>
      <c r="C33" s="728"/>
      <c r="E33" s="331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16"/>
      <c r="AW33" s="133"/>
      <c r="AX33" s="133">
        <f>+AW33-'ROR-Model'!G33</f>
        <v>0</v>
      </c>
    </row>
    <row r="34" spans="1:50">
      <c r="A34" s="330"/>
      <c r="B34" s="728" t="s">
        <v>808</v>
      </c>
      <c r="C34" s="728" t="s">
        <v>16</v>
      </c>
      <c r="D34" s="106"/>
      <c r="E34" s="331"/>
      <c r="F34" s="116"/>
      <c r="G34" s="116"/>
      <c r="H34" s="116">
        <f>H1*Revenue!$K$33</f>
        <v>0</v>
      </c>
      <c r="I34" s="116"/>
      <c r="J34" s="116"/>
      <c r="K34" s="116"/>
      <c r="L34" s="116"/>
      <c r="M34" s="116"/>
      <c r="N34" s="116"/>
      <c r="O34" s="116"/>
      <c r="P34" s="116"/>
      <c r="Q34" s="133"/>
      <c r="R34" s="133"/>
      <c r="S34" s="133"/>
      <c r="T34" s="133">
        <f>'Optional Adjustment 2'!G34*$T$1</f>
        <v>0</v>
      </c>
      <c r="U34" s="133">
        <f>'Optional Adjustment 3'!G34*$U$1</f>
        <v>0</v>
      </c>
      <c r="V34" s="133">
        <f>'Optional Adjustment 4'!G34*$V$1</f>
        <v>0</v>
      </c>
      <c r="W34" s="133">
        <f>'Optional Adjustment 5'!G34*$W$1</f>
        <v>0</v>
      </c>
      <c r="X34" s="133">
        <f>'Optional Adjustment 6'!G34*$X$1</f>
        <v>0</v>
      </c>
      <c r="Y34" s="133">
        <f>'Optional Adjustment 7'!G34*$Y$1</f>
        <v>0</v>
      </c>
      <c r="Z34" s="133">
        <f>'Optional Adjustment 8'!G34*$Z$1</f>
        <v>0</v>
      </c>
      <c r="AA34" s="133">
        <f>'Optional Adjustment 9'!G34*$AA$1</f>
        <v>0</v>
      </c>
      <c r="AB34" s="133">
        <f>'Optional Adjustment 10'!G34*$AB$1</f>
        <v>0</v>
      </c>
      <c r="AC34" s="133">
        <f>'Optional Adjustment 11'!G34*$AC$1</f>
        <v>0</v>
      </c>
      <c r="AD34" s="133">
        <f>'Optional Adjustment 12'!G34*$AD$1</f>
        <v>0</v>
      </c>
      <c r="AE34" s="133">
        <f>'Optional Adjustment 13'!G34*$AE$1</f>
        <v>0</v>
      </c>
      <c r="AF34" s="133">
        <f>'Optional Adjustment 14'!G34*$AF$1</f>
        <v>0</v>
      </c>
      <c r="AG34" s="133">
        <f>'Optional Adjustment 15'!G34*$AG$1</f>
        <v>0</v>
      </c>
      <c r="AH34" s="133">
        <f>'Optional Adjustment 16'!G34*$AH$1</f>
        <v>0</v>
      </c>
      <c r="AI34" s="133">
        <f>'Optional Adjustment 17'!G34*$AI$1</f>
        <v>0</v>
      </c>
      <c r="AJ34" s="133">
        <f>'Optional Adjustment 18'!G34*$AJ$1</f>
        <v>0</v>
      </c>
      <c r="AK34" s="133">
        <f>'Optional Adjustment 19'!G34*$AK$1</f>
        <v>0</v>
      </c>
      <c r="AL34" s="133">
        <f>'Optional Adjustment 20'!G34*$AL$1</f>
        <v>0</v>
      </c>
      <c r="AM34" s="133">
        <f>'Optional Adjustment 21'!G34*$AM$1</f>
        <v>0</v>
      </c>
      <c r="AN34" s="133">
        <f>'Optional Adjustment 22'!G34*$AN$1</f>
        <v>0</v>
      </c>
      <c r="AO34" s="133">
        <f>'Optional Adjustment 23'!G34*$AO$1</f>
        <v>0</v>
      </c>
      <c r="AP34" s="133">
        <f>'Optional Adjustment 24'!G34*$AP$1</f>
        <v>0</v>
      </c>
      <c r="AQ34" s="133">
        <f>'Optional Adjustment 25'!G34*$AQ$1</f>
        <v>0</v>
      </c>
      <c r="AR34" s="133">
        <f>'Optional Adjustment 26'!G34*$AR$1</f>
        <v>0</v>
      </c>
      <c r="AS34" s="133">
        <f>'Optional Adjustment 27'!G34*$AS$1</f>
        <v>0</v>
      </c>
      <c r="AT34" s="133"/>
      <c r="AU34" s="133">
        <f>SUM(F34:AT34)</f>
        <v>0</v>
      </c>
      <c r="AV34" s="116"/>
      <c r="AW34" s="133">
        <f>SUM(AU34:AU34)</f>
        <v>0</v>
      </c>
      <c r="AX34" s="133">
        <f>+AW34-'ROR-Model'!G34</f>
        <v>0</v>
      </c>
    </row>
    <row r="35" spans="1:50">
      <c r="A35" s="330"/>
      <c r="B35" s="728"/>
      <c r="C35" s="728"/>
      <c r="D35" s="106"/>
      <c r="E35" s="331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16"/>
      <c r="AW35" s="133"/>
      <c r="AX35" s="133">
        <f>+AW35-'ROR-Model'!G35</f>
        <v>0</v>
      </c>
    </row>
    <row r="36" spans="1:50">
      <c r="A36" s="330"/>
      <c r="B36" s="728"/>
      <c r="C36" s="728" t="s">
        <v>17</v>
      </c>
      <c r="D36" s="106"/>
      <c r="E36" s="331"/>
      <c r="F36" s="116"/>
      <c r="G36" s="116"/>
      <c r="H36" s="116">
        <f>H1*Revenue!$K$35</f>
        <v>0</v>
      </c>
      <c r="I36" s="116"/>
      <c r="J36" s="116"/>
      <c r="K36" s="116"/>
      <c r="L36" s="116"/>
      <c r="M36" s="116"/>
      <c r="N36" s="116"/>
      <c r="O36" s="116"/>
      <c r="P36" s="116"/>
      <c r="Q36" s="133"/>
      <c r="R36" s="133"/>
      <c r="S36" s="133"/>
      <c r="T36" s="133">
        <f>'Optional Adjustment 2'!G36*$T$1</f>
        <v>0</v>
      </c>
      <c r="U36" s="133">
        <f>'Optional Adjustment 3'!G36*$U$1</f>
        <v>0</v>
      </c>
      <c r="V36" s="133">
        <f>'Optional Adjustment 4'!G36*$V$1</f>
        <v>0</v>
      </c>
      <c r="W36" s="133">
        <f>'Optional Adjustment 5'!G36*$W$1</f>
        <v>0</v>
      </c>
      <c r="X36" s="133">
        <f>'Optional Adjustment 6'!G36*$X$1</f>
        <v>0</v>
      </c>
      <c r="Y36" s="133">
        <f>'Optional Adjustment 7'!G36*$Y$1</f>
        <v>0</v>
      </c>
      <c r="Z36" s="133">
        <f>'Optional Adjustment 8'!G36*$Z$1</f>
        <v>0</v>
      </c>
      <c r="AA36" s="133">
        <f>'Optional Adjustment 9'!G36*$AA$1</f>
        <v>0</v>
      </c>
      <c r="AB36" s="133">
        <f>'Optional Adjustment 10'!G36*$AB$1</f>
        <v>0</v>
      </c>
      <c r="AC36" s="133">
        <f>'Optional Adjustment 11'!G36*$AC$1</f>
        <v>0</v>
      </c>
      <c r="AD36" s="133">
        <f>'Optional Adjustment 12'!G36*$AD$1</f>
        <v>0</v>
      </c>
      <c r="AE36" s="133">
        <f>'Optional Adjustment 13'!G36*$AE$1</f>
        <v>0</v>
      </c>
      <c r="AF36" s="133">
        <f>'Optional Adjustment 14'!G36*$AF$1</f>
        <v>0</v>
      </c>
      <c r="AG36" s="133">
        <f>'Optional Adjustment 15'!G36*$AG$1</f>
        <v>0</v>
      </c>
      <c r="AH36" s="133">
        <f>'Optional Adjustment 16'!G36*$AH$1</f>
        <v>0</v>
      </c>
      <c r="AI36" s="133">
        <f>'Optional Adjustment 17'!G36*$AI$1</f>
        <v>0</v>
      </c>
      <c r="AJ36" s="133">
        <f>'Optional Adjustment 18'!G36*$AJ$1</f>
        <v>0</v>
      </c>
      <c r="AK36" s="133">
        <f>'Optional Adjustment 19'!G36*$AK$1</f>
        <v>0</v>
      </c>
      <c r="AL36" s="133">
        <f>'Optional Adjustment 20'!G36*$AL$1</f>
        <v>0</v>
      </c>
      <c r="AM36" s="133">
        <f>'Optional Adjustment 21'!G36*$AM$1</f>
        <v>0</v>
      </c>
      <c r="AN36" s="133">
        <f>'Optional Adjustment 22'!G36*$AN$1</f>
        <v>0</v>
      </c>
      <c r="AO36" s="133">
        <f>'Optional Adjustment 23'!G36*$AO$1</f>
        <v>0</v>
      </c>
      <c r="AP36" s="133">
        <f>'Optional Adjustment 24'!G36*$AP$1</f>
        <v>0</v>
      </c>
      <c r="AQ36" s="133">
        <f>'Optional Adjustment 25'!G36*$AQ$1</f>
        <v>0</v>
      </c>
      <c r="AR36" s="133">
        <f>'Optional Adjustment 26'!G36*$AR$1</f>
        <v>0</v>
      </c>
      <c r="AS36" s="133">
        <f>'Optional Adjustment 27'!G36*$AS$1</f>
        <v>0</v>
      </c>
      <c r="AT36" s="133"/>
      <c r="AU36" s="133">
        <f>SUM(F36:AT36)</f>
        <v>0</v>
      </c>
      <c r="AV36" s="116"/>
      <c r="AW36" s="133">
        <f>SUM(AU36:AU36)</f>
        <v>0</v>
      </c>
      <c r="AX36" s="133">
        <f>+AW36-'ROR-Model'!G36</f>
        <v>0</v>
      </c>
    </row>
    <row r="37" spans="1:50">
      <c r="A37" s="330"/>
      <c r="B37" s="728"/>
      <c r="C37" s="728"/>
      <c r="D37" s="106"/>
      <c r="E37" s="331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16"/>
      <c r="AW37" s="133"/>
      <c r="AX37" s="133">
        <f>+AW37-'ROR-Model'!G37</f>
        <v>0</v>
      </c>
    </row>
    <row r="38" spans="1:50">
      <c r="A38" s="330"/>
      <c r="B38" s="728"/>
      <c r="C38" s="728" t="s">
        <v>18</v>
      </c>
      <c r="D38" s="106"/>
      <c r="E38" s="331"/>
      <c r="F38" s="116"/>
      <c r="G38" s="116"/>
      <c r="H38" s="116">
        <f>H1*Revenue!$K$37</f>
        <v>0</v>
      </c>
      <c r="I38" s="116"/>
      <c r="J38" s="116"/>
      <c r="K38" s="116"/>
      <c r="L38" s="116"/>
      <c r="M38" s="116"/>
      <c r="N38" s="116"/>
      <c r="O38" s="116"/>
      <c r="P38" s="116"/>
      <c r="Q38" s="133"/>
      <c r="R38" s="133"/>
      <c r="S38" s="133"/>
      <c r="T38" s="133">
        <f>'Optional Adjustment 2'!G38*$T$1</f>
        <v>0</v>
      </c>
      <c r="U38" s="133">
        <f>'Optional Adjustment 3'!G38*$U$1</f>
        <v>0</v>
      </c>
      <c r="V38" s="133">
        <f>'Optional Adjustment 4'!G38*$V$1</f>
        <v>0</v>
      </c>
      <c r="W38" s="133">
        <f>'Optional Adjustment 5'!G38*$W$1</f>
        <v>0</v>
      </c>
      <c r="X38" s="133">
        <f>'Optional Adjustment 6'!G38*$X$1</f>
        <v>0</v>
      </c>
      <c r="Y38" s="133">
        <f>'Optional Adjustment 7'!G38*$Y$1</f>
        <v>0</v>
      </c>
      <c r="Z38" s="133">
        <f>'Optional Adjustment 8'!G38*$Z$1</f>
        <v>0</v>
      </c>
      <c r="AA38" s="133">
        <f>'Optional Adjustment 9'!G38*$AA$1</f>
        <v>0</v>
      </c>
      <c r="AB38" s="133">
        <f>'Optional Adjustment 10'!G38*$AB$1</f>
        <v>0</v>
      </c>
      <c r="AC38" s="133">
        <f>'Optional Adjustment 11'!G38*$AC$1</f>
        <v>0</v>
      </c>
      <c r="AD38" s="133">
        <f>'Optional Adjustment 12'!G38*$AD$1</f>
        <v>0</v>
      </c>
      <c r="AE38" s="133">
        <f>'Optional Adjustment 13'!G38*$AE$1</f>
        <v>0</v>
      </c>
      <c r="AF38" s="133">
        <f>'Optional Adjustment 14'!G38*$AF$1</f>
        <v>0</v>
      </c>
      <c r="AG38" s="133">
        <f>'Optional Adjustment 15'!G38*$AG$1</f>
        <v>0</v>
      </c>
      <c r="AH38" s="133">
        <f>'Optional Adjustment 16'!G38*$AH$1</f>
        <v>0</v>
      </c>
      <c r="AI38" s="133">
        <f>'Optional Adjustment 17'!G38*$AI$1</f>
        <v>0</v>
      </c>
      <c r="AJ38" s="133">
        <f>'Optional Adjustment 18'!G38*$AJ$1</f>
        <v>0</v>
      </c>
      <c r="AK38" s="133">
        <f>'Optional Adjustment 19'!G38*$AK$1</f>
        <v>0</v>
      </c>
      <c r="AL38" s="133">
        <f>'Optional Adjustment 20'!G38*$AL$1</f>
        <v>0</v>
      </c>
      <c r="AM38" s="133">
        <f>'Optional Adjustment 21'!G38*$AM$1</f>
        <v>0</v>
      </c>
      <c r="AN38" s="133">
        <f>'Optional Adjustment 22'!G38*$AN$1</f>
        <v>0</v>
      </c>
      <c r="AO38" s="133">
        <f>'Optional Adjustment 23'!G38*$AO$1</f>
        <v>0</v>
      </c>
      <c r="AP38" s="133">
        <f>'Optional Adjustment 24'!G38*$AP$1</f>
        <v>0</v>
      </c>
      <c r="AQ38" s="133">
        <f>'Optional Adjustment 25'!G38*$AQ$1</f>
        <v>0</v>
      </c>
      <c r="AR38" s="133">
        <f>'Optional Adjustment 26'!G38*$AR$1</f>
        <v>0</v>
      </c>
      <c r="AS38" s="133">
        <f>'Optional Adjustment 27'!G38*$AS$1</f>
        <v>0</v>
      </c>
      <c r="AT38" s="133"/>
      <c r="AU38" s="133">
        <f>SUM(F38:AT38)</f>
        <v>0</v>
      </c>
      <c r="AV38" s="116"/>
      <c r="AW38" s="133">
        <f>SUM(AU38:AU38)</f>
        <v>0</v>
      </c>
      <c r="AX38" s="133">
        <f>+AW38-'ROR-Model'!G38</f>
        <v>0</v>
      </c>
    </row>
    <row r="39" spans="1:50">
      <c r="A39" s="330"/>
      <c r="B39" s="728"/>
      <c r="C39" s="728" t="s">
        <v>19</v>
      </c>
      <c r="D39" s="106"/>
      <c r="E39" s="331"/>
      <c r="F39" s="131">
        <f>SUM(F34:F38)</f>
        <v>0</v>
      </c>
      <c r="G39" s="131"/>
      <c r="H39" s="131">
        <f>H1*SUM(H34:H38)</f>
        <v>0</v>
      </c>
      <c r="I39" s="131">
        <f>SUM(I34:I38)</f>
        <v>0</v>
      </c>
      <c r="J39" s="131">
        <f t="shared" ref="J39:P39" si="38">SUM(J34:J38)</f>
        <v>0</v>
      </c>
      <c r="K39" s="131">
        <f t="shared" si="38"/>
        <v>0</v>
      </c>
      <c r="L39" s="131">
        <f t="shared" si="38"/>
        <v>0</v>
      </c>
      <c r="M39" s="131">
        <f t="shared" si="38"/>
        <v>0</v>
      </c>
      <c r="N39" s="131">
        <f t="shared" si="38"/>
        <v>0</v>
      </c>
      <c r="O39" s="131">
        <f t="shared" si="38"/>
        <v>0</v>
      </c>
      <c r="P39" s="131">
        <f t="shared" si="38"/>
        <v>0</v>
      </c>
      <c r="Q39" s="241">
        <f t="shared" ref="Q39:W39" si="39">SUM(Q34:Q38)</f>
        <v>0</v>
      </c>
      <c r="R39" s="241">
        <f t="shared" si="39"/>
        <v>0</v>
      </c>
      <c r="S39" s="556"/>
      <c r="T39" s="556">
        <f t="shared" si="39"/>
        <v>0</v>
      </c>
      <c r="U39" s="556">
        <f t="shared" si="39"/>
        <v>0</v>
      </c>
      <c r="V39" s="556">
        <f t="shared" si="39"/>
        <v>0</v>
      </c>
      <c r="W39" s="556">
        <f t="shared" si="39"/>
        <v>0</v>
      </c>
      <c r="X39" s="556">
        <f t="shared" ref="X39:AG39" si="40">SUM(X34:X38)</f>
        <v>0</v>
      </c>
      <c r="Y39" s="556">
        <f t="shared" si="40"/>
        <v>0</v>
      </c>
      <c r="Z39" s="556">
        <f t="shared" si="40"/>
        <v>0</v>
      </c>
      <c r="AA39" s="556">
        <f t="shared" si="40"/>
        <v>0</v>
      </c>
      <c r="AB39" s="556">
        <f t="shared" si="40"/>
        <v>0</v>
      </c>
      <c r="AC39" s="556">
        <f t="shared" si="40"/>
        <v>0</v>
      </c>
      <c r="AD39" s="556">
        <f t="shared" si="40"/>
        <v>0</v>
      </c>
      <c r="AE39" s="556">
        <f t="shared" si="40"/>
        <v>0</v>
      </c>
      <c r="AF39" s="556">
        <f t="shared" si="40"/>
        <v>0</v>
      </c>
      <c r="AG39" s="556">
        <f t="shared" si="40"/>
        <v>0</v>
      </c>
      <c r="AH39" s="556">
        <f t="shared" ref="AH39:AK39" si="41">SUM(AH34:AH38)</f>
        <v>0</v>
      </c>
      <c r="AI39" s="556">
        <f t="shared" si="41"/>
        <v>0</v>
      </c>
      <c r="AJ39" s="556">
        <f t="shared" si="41"/>
        <v>0</v>
      </c>
      <c r="AK39" s="556">
        <f t="shared" si="41"/>
        <v>0</v>
      </c>
      <c r="AL39" s="556">
        <f t="shared" ref="AL39:AP39" si="42">SUM(AL34:AL38)</f>
        <v>0</v>
      </c>
      <c r="AM39" s="556">
        <f t="shared" si="42"/>
        <v>0</v>
      </c>
      <c r="AN39" s="556">
        <f t="shared" si="42"/>
        <v>0</v>
      </c>
      <c r="AO39" s="556">
        <f t="shared" si="42"/>
        <v>0</v>
      </c>
      <c r="AP39" s="556">
        <f t="shared" si="42"/>
        <v>0</v>
      </c>
      <c r="AQ39" s="556">
        <f t="shared" ref="AQ39:AS39" si="43">SUM(AQ34:AQ38)</f>
        <v>0</v>
      </c>
      <c r="AR39" s="556">
        <f t="shared" si="43"/>
        <v>0</v>
      </c>
      <c r="AS39" s="556">
        <f t="shared" si="43"/>
        <v>0</v>
      </c>
      <c r="AT39" s="556"/>
      <c r="AU39" s="241">
        <f>SUM(F39:AT39)</f>
        <v>0</v>
      </c>
      <c r="AV39" s="131"/>
      <c r="AW39" s="241">
        <f>SUM(AU39:AU39)</f>
        <v>0</v>
      </c>
      <c r="AX39" s="241">
        <f>+AW39-'ROR-Model'!G39</f>
        <v>0</v>
      </c>
    </row>
    <row r="40" spans="1:50">
      <c r="A40" s="330"/>
      <c r="B40" s="728"/>
      <c r="C40" s="728"/>
      <c r="D40" s="106"/>
      <c r="E40" s="331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16"/>
      <c r="AW40" s="133"/>
      <c r="AX40" s="133">
        <f>+AW40-'ROR-Model'!G40</f>
        <v>0</v>
      </c>
    </row>
    <row r="41" spans="1:50">
      <c r="A41" s="330"/>
      <c r="B41" s="728"/>
      <c r="C41" s="728" t="s">
        <v>20</v>
      </c>
      <c r="D41" s="106"/>
      <c r="E41" s="331"/>
      <c r="F41" s="116"/>
      <c r="G41" s="116"/>
      <c r="H41" s="116">
        <f>H1*Revenue!$K$40</f>
        <v>0</v>
      </c>
      <c r="I41" s="116"/>
      <c r="J41" s="116"/>
      <c r="K41" s="116"/>
      <c r="L41" s="116"/>
      <c r="M41" s="116"/>
      <c r="N41" s="116"/>
      <c r="O41" s="116"/>
      <c r="P41" s="116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>
        <f>SUM(F41:AT41)</f>
        <v>0</v>
      </c>
      <c r="AV41" s="116"/>
      <c r="AW41" s="133">
        <f>SUM(AU41:AU41)</f>
        <v>0</v>
      </c>
      <c r="AX41" s="133">
        <f>+AW41-'ROR-Model'!G41</f>
        <v>0</v>
      </c>
    </row>
    <row r="42" spans="1:50">
      <c r="A42" s="330"/>
      <c r="B42" s="332"/>
      <c r="C42" s="332"/>
      <c r="D42" s="106"/>
      <c r="E42" s="331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16"/>
      <c r="AW42" s="133"/>
      <c r="AX42" s="133">
        <f>+AW42-'ROR-Model'!G42</f>
        <v>0</v>
      </c>
    </row>
    <row r="43" spans="1:50">
      <c r="A43" s="330"/>
      <c r="B43" s="728" t="s">
        <v>948</v>
      </c>
      <c r="C43" s="728" t="s">
        <v>16</v>
      </c>
      <c r="D43" s="106"/>
      <c r="E43" s="331"/>
      <c r="F43" s="116"/>
      <c r="G43" s="116"/>
      <c r="H43" s="116">
        <f>H1*Revenue!$K$42</f>
        <v>-788867.11434151558</v>
      </c>
      <c r="I43" s="116"/>
      <c r="J43" s="116"/>
      <c r="K43" s="116"/>
      <c r="L43" s="116"/>
      <c r="M43" s="116"/>
      <c r="N43" s="116"/>
      <c r="O43" s="116"/>
      <c r="P43" s="116"/>
      <c r="Q43" s="133"/>
      <c r="R43" s="133"/>
      <c r="S43" s="133"/>
      <c r="T43" s="133">
        <f>'Optional Adjustment 2'!G43*$T$1</f>
        <v>0</v>
      </c>
      <c r="U43" s="133">
        <f>'Optional Adjustment 3'!G43*$U$1</f>
        <v>0</v>
      </c>
      <c r="V43" s="133">
        <f>'Optional Adjustment 4'!G43*$V$1</f>
        <v>0</v>
      </c>
      <c r="W43" s="133">
        <f>'Optional Adjustment 5'!G43*$W$1</f>
        <v>0</v>
      </c>
      <c r="X43" s="133">
        <f>'Optional Adjustment 6'!G43*$X$1</f>
        <v>0</v>
      </c>
      <c r="Y43" s="133">
        <f>'Optional Adjustment 7'!G43*$Y$1</f>
        <v>0</v>
      </c>
      <c r="Z43" s="133">
        <f>'Optional Adjustment 8'!G43*$Z$1</f>
        <v>0</v>
      </c>
      <c r="AA43" s="133">
        <f>'Optional Adjustment 9'!G43*$AA$1</f>
        <v>0</v>
      </c>
      <c r="AB43" s="133">
        <f>'Optional Adjustment 10'!G43*$AB$1</f>
        <v>0</v>
      </c>
      <c r="AC43" s="133">
        <f>'Optional Adjustment 11'!G43*$AC$1</f>
        <v>0</v>
      </c>
      <c r="AD43" s="133">
        <f>'Optional Adjustment 12'!G43*$AD$1</f>
        <v>0</v>
      </c>
      <c r="AE43" s="133">
        <f>'Optional Adjustment 13'!G43*$AE$1</f>
        <v>0</v>
      </c>
      <c r="AF43" s="133">
        <f>'Optional Adjustment 14'!G43*$AF$1</f>
        <v>0</v>
      </c>
      <c r="AG43" s="133">
        <f>'Optional Adjustment 15'!G43*$AG$1</f>
        <v>0</v>
      </c>
      <c r="AH43" s="133">
        <f>'Optional Adjustment 16'!G43*$AH$1</f>
        <v>0</v>
      </c>
      <c r="AI43" s="133">
        <f>'Optional Adjustment 17'!G43*$AI$1</f>
        <v>0</v>
      </c>
      <c r="AJ43" s="133">
        <f>'Optional Adjustment 18'!G43*$AJ$1</f>
        <v>0</v>
      </c>
      <c r="AK43" s="133">
        <f>'Optional Adjustment 19'!G43*$AK$1</f>
        <v>0</v>
      </c>
      <c r="AL43" s="133">
        <f>'Optional Adjustment 20'!G43*$AL$1</f>
        <v>0</v>
      </c>
      <c r="AM43" s="133">
        <f>'Optional Adjustment 21'!G43*$AM$1</f>
        <v>0</v>
      </c>
      <c r="AN43" s="133">
        <f>'Optional Adjustment 22'!G43*$AN$1</f>
        <v>0</v>
      </c>
      <c r="AO43" s="133">
        <f>'Optional Adjustment 23'!G43*$AO$1</f>
        <v>0</v>
      </c>
      <c r="AP43" s="133">
        <f>'Optional Adjustment 24'!G43*$AP$1</f>
        <v>0</v>
      </c>
      <c r="AQ43" s="133">
        <f>'Optional Adjustment 25'!G43*$AQ$1</f>
        <v>0</v>
      </c>
      <c r="AR43" s="133">
        <f>'Optional Adjustment 26'!G43*$AR$1</f>
        <v>0</v>
      </c>
      <c r="AS43" s="133">
        <f>'Optional Adjustment 27'!G43*$AS$1</f>
        <v>0</v>
      </c>
      <c r="AT43" s="133"/>
      <c r="AU43" s="133">
        <f>SUM(F43:AT43)</f>
        <v>-788867.11434151558</v>
      </c>
      <c r="AV43" s="116"/>
      <c r="AW43" s="133">
        <f>SUM(AU43:AU43)</f>
        <v>-788867.11434151558</v>
      </c>
      <c r="AX43" s="133">
        <f>+AW43-'ROR-Model'!G43</f>
        <v>0</v>
      </c>
    </row>
    <row r="44" spans="1:50">
      <c r="A44" s="330"/>
      <c r="B44" s="728"/>
      <c r="C44" s="728"/>
      <c r="D44" s="106"/>
      <c r="E44" s="331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16"/>
      <c r="AW44" s="133"/>
      <c r="AX44" s="133">
        <f>+AW44-'ROR-Model'!G44</f>
        <v>0</v>
      </c>
    </row>
    <row r="45" spans="1:50">
      <c r="A45" s="330"/>
      <c r="B45" s="728"/>
      <c r="C45" s="728" t="s">
        <v>17</v>
      </c>
      <c r="D45" s="106"/>
      <c r="E45" s="331"/>
      <c r="F45" s="116"/>
      <c r="G45" s="116"/>
      <c r="H45" s="116">
        <f>H1*Revenue!$K$44</f>
        <v>-705458.98</v>
      </c>
      <c r="I45" s="116"/>
      <c r="J45" s="116"/>
      <c r="K45" s="116"/>
      <c r="L45" s="116"/>
      <c r="M45" s="116"/>
      <c r="N45" s="116"/>
      <c r="O45" s="116"/>
      <c r="P45" s="116"/>
      <c r="Q45" s="133"/>
      <c r="R45" s="133"/>
      <c r="S45" s="133"/>
      <c r="T45" s="133">
        <f>'Optional Adjustment 2'!G45*$T$1</f>
        <v>0</v>
      </c>
      <c r="U45" s="133">
        <f>'Optional Adjustment 3'!G45*$U$1</f>
        <v>0</v>
      </c>
      <c r="V45" s="133">
        <f>'Optional Adjustment 4'!G45*$V$1</f>
        <v>0</v>
      </c>
      <c r="W45" s="133">
        <f>'Optional Adjustment 5'!G45*$W$1</f>
        <v>0</v>
      </c>
      <c r="X45" s="133">
        <f>'Optional Adjustment 6'!G45*$X$1</f>
        <v>0</v>
      </c>
      <c r="Y45" s="133">
        <f>'Optional Adjustment 7'!G45*$Y$1</f>
        <v>0</v>
      </c>
      <c r="Z45" s="133">
        <f>'Optional Adjustment 8'!G45*$Z$1</f>
        <v>0</v>
      </c>
      <c r="AA45" s="133">
        <f>'Optional Adjustment 9'!G45*$AA$1</f>
        <v>0</v>
      </c>
      <c r="AB45" s="133">
        <f>'Optional Adjustment 10'!G45*$AB$1</f>
        <v>0</v>
      </c>
      <c r="AC45" s="133">
        <f>'Optional Adjustment 11'!G45*$AC$1</f>
        <v>0</v>
      </c>
      <c r="AD45" s="133">
        <f>'Optional Adjustment 12'!G45*$AD$1</f>
        <v>0</v>
      </c>
      <c r="AE45" s="133">
        <f>'Optional Adjustment 13'!G45*$AE$1</f>
        <v>0</v>
      </c>
      <c r="AF45" s="133">
        <f>'Optional Adjustment 14'!G45*$AF$1</f>
        <v>0</v>
      </c>
      <c r="AG45" s="133">
        <f>'Optional Adjustment 15'!G45*$AG$1</f>
        <v>0</v>
      </c>
      <c r="AH45" s="133">
        <f>'Optional Adjustment 16'!G45*$AH$1</f>
        <v>0</v>
      </c>
      <c r="AI45" s="133">
        <f>'Optional Adjustment 17'!G45*$AI$1</f>
        <v>0</v>
      </c>
      <c r="AJ45" s="133">
        <f>'Optional Adjustment 18'!G45*$AJ$1</f>
        <v>0</v>
      </c>
      <c r="AK45" s="133">
        <f>'Optional Adjustment 19'!G45*$AK$1</f>
        <v>0</v>
      </c>
      <c r="AL45" s="133">
        <f>'Optional Adjustment 20'!G45*$AL$1</f>
        <v>0</v>
      </c>
      <c r="AM45" s="133">
        <f>'Optional Adjustment 21'!G45*$AM$1</f>
        <v>0</v>
      </c>
      <c r="AN45" s="133">
        <f>'Optional Adjustment 22'!G45*$AN$1</f>
        <v>0</v>
      </c>
      <c r="AO45" s="133">
        <f>'Optional Adjustment 23'!G45*$AO$1</f>
        <v>0</v>
      </c>
      <c r="AP45" s="133">
        <f>'Optional Adjustment 24'!G45*$AP$1</f>
        <v>0</v>
      </c>
      <c r="AQ45" s="133">
        <f>'Optional Adjustment 25'!G45*$AQ$1</f>
        <v>0</v>
      </c>
      <c r="AR45" s="133">
        <f>'Optional Adjustment 26'!G45*$AR$1</f>
        <v>0</v>
      </c>
      <c r="AS45" s="133">
        <f>'Optional Adjustment 27'!G45*$AS$1</f>
        <v>0</v>
      </c>
      <c r="AT45" s="133"/>
      <c r="AU45" s="133">
        <f>SUM(F45:AT45)</f>
        <v>-705458.98</v>
      </c>
      <c r="AV45" s="116"/>
      <c r="AW45" s="133">
        <f>SUM(AU45:AU45)</f>
        <v>-705458.98</v>
      </c>
      <c r="AX45" s="133">
        <f>+AW45-'ROR-Model'!G45</f>
        <v>0</v>
      </c>
    </row>
    <row r="46" spans="1:50">
      <c r="A46" s="330"/>
      <c r="B46" s="728"/>
      <c r="C46" s="728"/>
      <c r="D46" s="106"/>
      <c r="E46" s="331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16"/>
      <c r="AW46" s="133"/>
      <c r="AX46" s="133">
        <f>+AW46-'ROR-Model'!G46</f>
        <v>0</v>
      </c>
    </row>
    <row r="47" spans="1:50">
      <c r="A47" s="330"/>
      <c r="B47" s="728"/>
      <c r="C47" s="728" t="s">
        <v>18</v>
      </c>
      <c r="D47" s="106"/>
      <c r="E47" s="331"/>
      <c r="F47" s="116"/>
      <c r="G47" s="116"/>
      <c r="H47" s="116">
        <f>H1*Revenue!$K$46</f>
        <v>-5565306.0999999996</v>
      </c>
      <c r="I47" s="116"/>
      <c r="J47" s="116"/>
      <c r="K47" s="116"/>
      <c r="L47" s="116"/>
      <c r="M47" s="116"/>
      <c r="N47" s="116"/>
      <c r="O47" s="116"/>
      <c r="P47" s="116"/>
      <c r="Q47" s="133"/>
      <c r="R47" s="133"/>
      <c r="S47" s="133"/>
      <c r="T47" s="133">
        <f>'Optional Adjustment 2'!G47*$T$1</f>
        <v>0</v>
      </c>
      <c r="U47" s="133">
        <f>'Optional Adjustment 3'!G47*$U$1</f>
        <v>0</v>
      </c>
      <c r="V47" s="133">
        <f>'Optional Adjustment 4'!G47*$V$1</f>
        <v>0</v>
      </c>
      <c r="W47" s="133">
        <f>'Optional Adjustment 5'!G47*$W$1</f>
        <v>0</v>
      </c>
      <c r="X47" s="133">
        <f>'Optional Adjustment 6'!G47*$X$1</f>
        <v>0</v>
      </c>
      <c r="Y47" s="133">
        <f>'Optional Adjustment 7'!G47*$Y$1</f>
        <v>0</v>
      </c>
      <c r="Z47" s="133">
        <f>'Optional Adjustment 8'!G47*$Z$1</f>
        <v>0</v>
      </c>
      <c r="AA47" s="133">
        <f>'Optional Adjustment 9'!G47*$AA$1</f>
        <v>0</v>
      </c>
      <c r="AB47" s="133">
        <f>'Optional Adjustment 10'!G47*$AB$1</f>
        <v>0</v>
      </c>
      <c r="AC47" s="133">
        <f>'Optional Adjustment 11'!G47*$AC$1</f>
        <v>0</v>
      </c>
      <c r="AD47" s="133">
        <f>'Optional Adjustment 12'!G47*$AD$1</f>
        <v>0</v>
      </c>
      <c r="AE47" s="133">
        <f>'Optional Adjustment 13'!G47*$AE$1</f>
        <v>0</v>
      </c>
      <c r="AF47" s="133">
        <f>'Optional Adjustment 14'!G47*$AF$1</f>
        <v>0</v>
      </c>
      <c r="AG47" s="133">
        <f>'Optional Adjustment 15'!G47*$AG$1</f>
        <v>0</v>
      </c>
      <c r="AH47" s="133">
        <f>'Optional Adjustment 16'!G47*$AH$1</f>
        <v>0</v>
      </c>
      <c r="AI47" s="133">
        <f>'Optional Adjustment 17'!G47*$AI$1</f>
        <v>0</v>
      </c>
      <c r="AJ47" s="133">
        <f>'Optional Adjustment 18'!G47*$AJ$1</f>
        <v>0</v>
      </c>
      <c r="AK47" s="133">
        <f>'Optional Adjustment 19'!G47*$AK$1</f>
        <v>0</v>
      </c>
      <c r="AL47" s="133">
        <f>'Optional Adjustment 20'!G47*$AL$1</f>
        <v>0</v>
      </c>
      <c r="AM47" s="133">
        <f>'Optional Adjustment 21'!G47*$AM$1</f>
        <v>0</v>
      </c>
      <c r="AN47" s="133">
        <f>'Optional Adjustment 22'!G47*$AN$1</f>
        <v>0</v>
      </c>
      <c r="AO47" s="133">
        <f>'Optional Adjustment 23'!G47*$AO$1</f>
        <v>0</v>
      </c>
      <c r="AP47" s="133">
        <f>'Optional Adjustment 24'!G47*$AP$1</f>
        <v>0</v>
      </c>
      <c r="AQ47" s="133">
        <f>'Optional Adjustment 25'!G47*$AQ$1</f>
        <v>0</v>
      </c>
      <c r="AR47" s="133">
        <f>'Optional Adjustment 26'!G47*$AR$1</f>
        <v>0</v>
      </c>
      <c r="AS47" s="133">
        <f>'Optional Adjustment 27'!G47*$AS$1</f>
        <v>0</v>
      </c>
      <c r="AT47" s="133"/>
      <c r="AU47" s="133">
        <f>SUM(F47:AT47)</f>
        <v>-5565306.0999999996</v>
      </c>
      <c r="AV47" s="116"/>
      <c r="AW47" s="133">
        <f>SUM(AU47:AU47)</f>
        <v>-5565306.0999999996</v>
      </c>
      <c r="AX47" s="133">
        <f>+AW47-'ROR-Model'!G47</f>
        <v>0</v>
      </c>
    </row>
    <row r="48" spans="1:50">
      <c r="A48" s="330"/>
      <c r="B48" s="728"/>
      <c r="C48" s="728" t="s">
        <v>19</v>
      </c>
      <c r="D48" s="106"/>
      <c r="E48" s="331"/>
      <c r="F48" s="131">
        <f>SUM(F43:F47)</f>
        <v>0</v>
      </c>
      <c r="G48" s="131"/>
      <c r="H48" s="131">
        <f>H1*SUM(H43:H47)</f>
        <v>-7059632.1943415152</v>
      </c>
      <c r="I48" s="131">
        <f>SUM(I43:I47)</f>
        <v>0</v>
      </c>
      <c r="J48" s="131">
        <f t="shared" ref="J48:P48" si="44">SUM(J43:J47)</f>
        <v>0</v>
      </c>
      <c r="K48" s="131">
        <f t="shared" si="44"/>
        <v>0</v>
      </c>
      <c r="L48" s="131">
        <f t="shared" si="44"/>
        <v>0</v>
      </c>
      <c r="M48" s="131">
        <f t="shared" si="44"/>
        <v>0</v>
      </c>
      <c r="N48" s="131">
        <f t="shared" si="44"/>
        <v>0</v>
      </c>
      <c r="O48" s="131">
        <f t="shared" si="44"/>
        <v>0</v>
      </c>
      <c r="P48" s="131">
        <f t="shared" si="44"/>
        <v>0</v>
      </c>
      <c r="Q48" s="241">
        <f t="shared" ref="Q48:W48" si="45">SUM(Q43:Q47)</f>
        <v>0</v>
      </c>
      <c r="R48" s="241">
        <f t="shared" si="45"/>
        <v>0</v>
      </c>
      <c r="S48" s="556"/>
      <c r="T48" s="556">
        <f t="shared" si="45"/>
        <v>0</v>
      </c>
      <c r="U48" s="556">
        <f t="shared" si="45"/>
        <v>0</v>
      </c>
      <c r="V48" s="556">
        <f t="shared" si="45"/>
        <v>0</v>
      </c>
      <c r="W48" s="556">
        <f t="shared" si="45"/>
        <v>0</v>
      </c>
      <c r="X48" s="556">
        <f t="shared" ref="X48:AG48" si="46">SUM(X43:X47)</f>
        <v>0</v>
      </c>
      <c r="Y48" s="556">
        <f t="shared" si="46"/>
        <v>0</v>
      </c>
      <c r="Z48" s="556">
        <f t="shared" si="46"/>
        <v>0</v>
      </c>
      <c r="AA48" s="556">
        <f t="shared" si="46"/>
        <v>0</v>
      </c>
      <c r="AB48" s="556">
        <f t="shared" si="46"/>
        <v>0</v>
      </c>
      <c r="AC48" s="556">
        <f t="shared" si="46"/>
        <v>0</v>
      </c>
      <c r="AD48" s="556">
        <f t="shared" si="46"/>
        <v>0</v>
      </c>
      <c r="AE48" s="556">
        <f t="shared" si="46"/>
        <v>0</v>
      </c>
      <c r="AF48" s="556">
        <f t="shared" si="46"/>
        <v>0</v>
      </c>
      <c r="AG48" s="556">
        <f t="shared" si="46"/>
        <v>0</v>
      </c>
      <c r="AH48" s="556">
        <f t="shared" ref="AH48:AK48" si="47">SUM(AH43:AH47)</f>
        <v>0</v>
      </c>
      <c r="AI48" s="556">
        <f t="shared" si="47"/>
        <v>0</v>
      </c>
      <c r="AJ48" s="556">
        <f t="shared" si="47"/>
        <v>0</v>
      </c>
      <c r="AK48" s="556">
        <f t="shared" si="47"/>
        <v>0</v>
      </c>
      <c r="AL48" s="556">
        <f t="shared" ref="AL48:AP48" si="48">SUM(AL43:AL47)</f>
        <v>0</v>
      </c>
      <c r="AM48" s="556">
        <f t="shared" si="48"/>
        <v>0</v>
      </c>
      <c r="AN48" s="556">
        <f t="shared" si="48"/>
        <v>0</v>
      </c>
      <c r="AO48" s="556">
        <f t="shared" si="48"/>
        <v>0</v>
      </c>
      <c r="AP48" s="556">
        <f t="shared" si="48"/>
        <v>0</v>
      </c>
      <c r="AQ48" s="556">
        <f t="shared" ref="AQ48:AS48" si="49">SUM(AQ43:AQ47)</f>
        <v>0</v>
      </c>
      <c r="AR48" s="556">
        <f t="shared" si="49"/>
        <v>0</v>
      </c>
      <c r="AS48" s="556">
        <f t="shared" si="49"/>
        <v>0</v>
      </c>
      <c r="AT48" s="556"/>
      <c r="AU48" s="241">
        <f>SUM(AU43:AU47)</f>
        <v>-7059632.1943415152</v>
      </c>
      <c r="AV48" s="131"/>
      <c r="AW48" s="241">
        <f>SUM(AW43:AW47)</f>
        <v>-7059632.1943415152</v>
      </c>
      <c r="AX48" s="241">
        <f>+AW48-'ROR-Model'!G48</f>
        <v>0</v>
      </c>
    </row>
    <row r="49" spans="1:50">
      <c r="A49" s="330"/>
      <c r="B49" s="728"/>
      <c r="C49" s="728"/>
      <c r="D49" s="106"/>
      <c r="E49" s="331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16"/>
      <c r="AW49" s="133"/>
      <c r="AX49" s="133">
        <f>+AW49-'ROR-Model'!G49</f>
        <v>0</v>
      </c>
    </row>
    <row r="50" spans="1:50">
      <c r="A50" s="330"/>
      <c r="B50" s="728"/>
      <c r="C50" s="728" t="s">
        <v>20</v>
      </c>
      <c r="D50" s="106"/>
      <c r="E50" s="331"/>
      <c r="F50" s="116"/>
      <c r="G50" s="116"/>
      <c r="H50" s="116">
        <f>H1*Revenue!$K$49</f>
        <v>-967739</v>
      </c>
      <c r="I50" s="116"/>
      <c r="J50" s="116"/>
      <c r="K50" s="116"/>
      <c r="L50" s="116"/>
      <c r="M50" s="116"/>
      <c r="N50" s="116"/>
      <c r="O50" s="116"/>
      <c r="P50" s="116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>
        <f>SUM(F50:AT50)</f>
        <v>-967739</v>
      </c>
      <c r="AV50" s="116"/>
      <c r="AW50" s="133">
        <f>SUM(AU50:AU50)</f>
        <v>-967739</v>
      </c>
      <c r="AX50" s="133">
        <f>+AW50-'ROR-Model'!G50</f>
        <v>0</v>
      </c>
    </row>
    <row r="51" spans="1:50">
      <c r="A51" s="330"/>
      <c r="B51" s="332"/>
      <c r="C51" s="332"/>
      <c r="D51" s="106"/>
      <c r="E51" s="331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16"/>
      <c r="AW51" s="133"/>
      <c r="AX51" s="133">
        <f>+AW51-'ROR-Model'!G51</f>
        <v>0</v>
      </c>
    </row>
    <row r="52" spans="1:50">
      <c r="A52" s="330"/>
      <c r="B52" s="728" t="s">
        <v>811</v>
      </c>
      <c r="C52" s="728" t="s">
        <v>16</v>
      </c>
      <c r="D52" s="106"/>
      <c r="E52" s="331"/>
      <c r="F52" s="116"/>
      <c r="G52" s="116"/>
      <c r="H52" s="116">
        <f>H1*Revenue!$K$51</f>
        <v>0</v>
      </c>
      <c r="I52" s="116"/>
      <c r="J52" s="116"/>
      <c r="K52" s="116"/>
      <c r="L52" s="116"/>
      <c r="M52" s="116"/>
      <c r="N52" s="116"/>
      <c r="O52" s="116"/>
      <c r="P52" s="116"/>
      <c r="Q52" s="133"/>
      <c r="R52" s="133"/>
      <c r="S52" s="133"/>
      <c r="T52" s="133">
        <f>'Optional Adjustment 2'!G52*$T$1</f>
        <v>0</v>
      </c>
      <c r="U52" s="133">
        <f>'Optional Adjustment 3'!G52*$U$1</f>
        <v>0</v>
      </c>
      <c r="V52" s="133">
        <f>'Optional Adjustment 4'!G52*$V$1</f>
        <v>0</v>
      </c>
      <c r="W52" s="133">
        <f>'Optional Adjustment 5'!G52*$W$1</f>
        <v>0</v>
      </c>
      <c r="X52" s="133">
        <f>'Optional Adjustment 6'!G52*$X$1</f>
        <v>0</v>
      </c>
      <c r="Y52" s="133">
        <f>'Optional Adjustment 7'!G52*$Y$1</f>
        <v>0</v>
      </c>
      <c r="Z52" s="133">
        <f>'Optional Adjustment 8'!G52*$Z$1</f>
        <v>0</v>
      </c>
      <c r="AA52" s="133">
        <f>'Optional Adjustment 9'!G52*$AA$1</f>
        <v>0</v>
      </c>
      <c r="AB52" s="133">
        <f>'Optional Adjustment 10'!G52*$AB$1</f>
        <v>0</v>
      </c>
      <c r="AC52" s="133">
        <f>'Optional Adjustment 11'!G52*$AC$1</f>
        <v>0</v>
      </c>
      <c r="AD52" s="133">
        <f>'Optional Adjustment 12'!G52*$AD$1</f>
        <v>0</v>
      </c>
      <c r="AE52" s="133">
        <f>'Optional Adjustment 13'!G52*$AE$1</f>
        <v>0</v>
      </c>
      <c r="AF52" s="133">
        <f>'Optional Adjustment 14'!G52*$AF$1</f>
        <v>0</v>
      </c>
      <c r="AG52" s="133">
        <f>'Optional Adjustment 15'!G52*$AG$1</f>
        <v>0</v>
      </c>
      <c r="AH52" s="133">
        <f>'Optional Adjustment 16'!G52*$AH$1</f>
        <v>0</v>
      </c>
      <c r="AI52" s="133">
        <f>'Optional Adjustment 17'!G52*$AI$1</f>
        <v>0</v>
      </c>
      <c r="AJ52" s="133">
        <f>'Optional Adjustment 18'!G52*$AJ$1</f>
        <v>0</v>
      </c>
      <c r="AK52" s="133">
        <f>'Optional Adjustment 19'!G52*$AK$1</f>
        <v>0</v>
      </c>
      <c r="AL52" s="133">
        <f>'Optional Adjustment 20'!G52*$AL$1</f>
        <v>0</v>
      </c>
      <c r="AM52" s="133">
        <f>'Optional Adjustment 21'!G52*$AM$1</f>
        <v>0</v>
      </c>
      <c r="AN52" s="133">
        <f>'Optional Adjustment 22'!G52*$AN$1</f>
        <v>0</v>
      </c>
      <c r="AO52" s="133">
        <f>'Optional Adjustment 23'!G52*$AO$1</f>
        <v>0</v>
      </c>
      <c r="AP52" s="133">
        <f>'Optional Adjustment 24'!G52*$AP$1</f>
        <v>0</v>
      </c>
      <c r="AQ52" s="133">
        <f>'Optional Adjustment 25'!G52*$AQ$1</f>
        <v>0</v>
      </c>
      <c r="AR52" s="133">
        <f>'Optional Adjustment 26'!G52*$AR$1</f>
        <v>0</v>
      </c>
      <c r="AS52" s="133">
        <f>'Optional Adjustment 27'!G52*$AS$1</f>
        <v>0</v>
      </c>
      <c r="AT52" s="133"/>
      <c r="AU52" s="133">
        <f>SUM(F52:AT52)</f>
        <v>0</v>
      </c>
      <c r="AV52" s="116"/>
      <c r="AW52" s="133">
        <f>SUM(AU52:AU52)</f>
        <v>0</v>
      </c>
      <c r="AX52" s="133">
        <f>+AW52-'ROR-Model'!G52</f>
        <v>0</v>
      </c>
    </row>
    <row r="53" spans="1:50">
      <c r="A53" s="330"/>
      <c r="B53" s="728"/>
      <c r="C53" s="728" t="s">
        <v>17</v>
      </c>
      <c r="D53" s="106"/>
      <c r="E53" s="331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33"/>
      <c r="R53" s="133"/>
      <c r="S53" s="133"/>
      <c r="T53" s="133">
        <f>'Optional Adjustment 2'!G53*$T$1</f>
        <v>0</v>
      </c>
      <c r="U53" s="133">
        <f>'Optional Adjustment 3'!G53*$U$1</f>
        <v>0</v>
      </c>
      <c r="V53" s="133">
        <f>'Optional Adjustment 4'!G53*$V$1</f>
        <v>0</v>
      </c>
      <c r="W53" s="133">
        <f>'Optional Adjustment 5'!G53*$W$1</f>
        <v>0</v>
      </c>
      <c r="X53" s="133">
        <f>'Optional Adjustment 6'!G53*$X$1</f>
        <v>0</v>
      </c>
      <c r="Y53" s="133">
        <f>'Optional Adjustment 7'!G53*$Y$1</f>
        <v>0</v>
      </c>
      <c r="Z53" s="133">
        <f>'Optional Adjustment 8'!G53*$Z$1</f>
        <v>0</v>
      </c>
      <c r="AA53" s="133">
        <f>'Optional Adjustment 9'!G53*$AA$1</f>
        <v>0</v>
      </c>
      <c r="AB53" s="133">
        <f>'Optional Adjustment 10'!G53*$AB$1</f>
        <v>0</v>
      </c>
      <c r="AC53" s="133">
        <f>'Optional Adjustment 11'!G53*$AC$1</f>
        <v>0</v>
      </c>
      <c r="AD53" s="133">
        <f>'Optional Adjustment 12'!G53*$AD$1</f>
        <v>0</v>
      </c>
      <c r="AE53" s="133">
        <f>'Optional Adjustment 13'!G53*$AE$1</f>
        <v>0</v>
      </c>
      <c r="AF53" s="133">
        <f>'Optional Adjustment 14'!G53*$AF$1</f>
        <v>0</v>
      </c>
      <c r="AG53" s="133">
        <f>'Optional Adjustment 15'!G53*$AG$1</f>
        <v>0</v>
      </c>
      <c r="AH53" s="133">
        <f>'Optional Adjustment 16'!G53*$AH$1</f>
        <v>0</v>
      </c>
      <c r="AI53" s="133">
        <f>'Optional Adjustment 17'!G53*$AI$1</f>
        <v>0</v>
      </c>
      <c r="AJ53" s="133">
        <f>'Optional Adjustment 18'!G53*$AJ$1</f>
        <v>0</v>
      </c>
      <c r="AK53" s="133">
        <f>'Optional Adjustment 19'!G53*$AK$1</f>
        <v>0</v>
      </c>
      <c r="AL53" s="133">
        <f>'Optional Adjustment 20'!G53*$AL$1</f>
        <v>0</v>
      </c>
      <c r="AM53" s="133">
        <f>'Optional Adjustment 21'!G53*$AM$1</f>
        <v>0</v>
      </c>
      <c r="AN53" s="133">
        <f>'Optional Adjustment 22'!G53*$AN$1</f>
        <v>0</v>
      </c>
      <c r="AO53" s="133">
        <f>'Optional Adjustment 23'!G53*$AO$1</f>
        <v>0</v>
      </c>
      <c r="AP53" s="133">
        <f>'Optional Adjustment 24'!G53*$AP$1</f>
        <v>0</v>
      </c>
      <c r="AQ53" s="133">
        <f>'Optional Adjustment 25'!G53*$AQ$1</f>
        <v>0</v>
      </c>
      <c r="AR53" s="133">
        <f>'Optional Adjustment 26'!G53*$AR$1</f>
        <v>0</v>
      </c>
      <c r="AS53" s="133">
        <f>'Optional Adjustment 27'!G53*$AS$1</f>
        <v>0</v>
      </c>
      <c r="AT53" s="133"/>
      <c r="AU53" s="133">
        <f>SUM(F53:AT53)</f>
        <v>0</v>
      </c>
      <c r="AV53" s="116"/>
      <c r="AW53" s="133">
        <f>SUM(AU53:AU53)</f>
        <v>0</v>
      </c>
      <c r="AX53" s="133">
        <f>+AW53-'ROR-Model'!G53</f>
        <v>0</v>
      </c>
    </row>
    <row r="54" spans="1:50">
      <c r="A54" s="330"/>
      <c r="B54" s="332"/>
      <c r="C54" s="728" t="s">
        <v>812</v>
      </c>
      <c r="D54" s="106"/>
      <c r="E54" s="331"/>
      <c r="F54" s="116"/>
      <c r="G54" s="116"/>
      <c r="H54" s="116">
        <f>H1*Revenue!$K$53</f>
        <v>0</v>
      </c>
      <c r="I54" s="116"/>
      <c r="J54" s="116"/>
      <c r="K54" s="116"/>
      <c r="L54" s="116"/>
      <c r="M54" s="116"/>
      <c r="N54" s="116"/>
      <c r="O54" s="116"/>
      <c r="P54" s="116"/>
      <c r="Q54" s="133"/>
      <c r="R54" s="133"/>
      <c r="S54" s="133"/>
      <c r="T54" s="133">
        <f>'Optional Adjustment 2'!G54*$T$1</f>
        <v>0</v>
      </c>
      <c r="U54" s="133">
        <f>'Optional Adjustment 3'!G54*$U$1</f>
        <v>0</v>
      </c>
      <c r="V54" s="133">
        <f>'Optional Adjustment 4'!G54*$V$1</f>
        <v>0</v>
      </c>
      <c r="W54" s="133">
        <f>'Optional Adjustment 5'!G54*$W$1</f>
        <v>0</v>
      </c>
      <c r="X54" s="133">
        <f>'Optional Adjustment 6'!G54*$X$1</f>
        <v>0</v>
      </c>
      <c r="Y54" s="133">
        <f>'Optional Adjustment 7'!G54*$Y$1</f>
        <v>0</v>
      </c>
      <c r="Z54" s="133">
        <f>'Optional Adjustment 8'!G54*$Z$1</f>
        <v>0</v>
      </c>
      <c r="AA54" s="133">
        <f>'Optional Adjustment 9'!G54*$AA$1</f>
        <v>0</v>
      </c>
      <c r="AB54" s="133">
        <f>'Optional Adjustment 10'!G54*$AB$1</f>
        <v>0</v>
      </c>
      <c r="AC54" s="133">
        <f>'Optional Adjustment 11'!G54*$AC$1</f>
        <v>0</v>
      </c>
      <c r="AD54" s="133">
        <f>'Optional Adjustment 12'!G54*$AD$1</f>
        <v>0</v>
      </c>
      <c r="AE54" s="133">
        <f>'Optional Adjustment 13'!G54*$AE$1</f>
        <v>0</v>
      </c>
      <c r="AF54" s="133">
        <f>'Optional Adjustment 14'!G54*$AF$1</f>
        <v>0</v>
      </c>
      <c r="AG54" s="133">
        <f>'Optional Adjustment 15'!G54*$AG$1</f>
        <v>0</v>
      </c>
      <c r="AH54" s="133">
        <f>'Optional Adjustment 16'!G54*$AH$1</f>
        <v>0</v>
      </c>
      <c r="AI54" s="133">
        <f>'Optional Adjustment 17'!G54*$AI$1</f>
        <v>0</v>
      </c>
      <c r="AJ54" s="133">
        <f>'Optional Adjustment 18'!G54*$AJ$1</f>
        <v>0</v>
      </c>
      <c r="AK54" s="133">
        <f>'Optional Adjustment 19'!G54*$AK$1</f>
        <v>0</v>
      </c>
      <c r="AL54" s="133">
        <f>'Optional Adjustment 20'!G54*$AL$1</f>
        <v>0</v>
      </c>
      <c r="AM54" s="133">
        <f>'Optional Adjustment 21'!G54*$AM$1</f>
        <v>0</v>
      </c>
      <c r="AN54" s="133">
        <f>'Optional Adjustment 22'!G54*$AN$1</f>
        <v>0</v>
      </c>
      <c r="AO54" s="133">
        <f>'Optional Adjustment 23'!G54*$AO$1</f>
        <v>0</v>
      </c>
      <c r="AP54" s="133">
        <f>'Optional Adjustment 24'!G54*$AP$1</f>
        <v>0</v>
      </c>
      <c r="AQ54" s="133">
        <f>'Optional Adjustment 25'!G54*$AQ$1</f>
        <v>0</v>
      </c>
      <c r="AR54" s="133">
        <f>'Optional Adjustment 26'!G54*$AR$1</f>
        <v>0</v>
      </c>
      <c r="AS54" s="133">
        <f>'Optional Adjustment 27'!G54*$AS$1</f>
        <v>0</v>
      </c>
      <c r="AT54" s="133"/>
      <c r="AU54" s="133">
        <f>SUM(F54:AT54)</f>
        <v>0</v>
      </c>
      <c r="AV54" s="116"/>
      <c r="AW54" s="133">
        <f>SUM(AU54:AU54)</f>
        <v>0</v>
      </c>
      <c r="AX54" s="133">
        <f>+AW54-'ROR-Model'!G54</f>
        <v>0</v>
      </c>
    </row>
    <row r="55" spans="1:50">
      <c r="A55" s="330"/>
      <c r="B55" s="728"/>
      <c r="C55" s="728" t="s">
        <v>813</v>
      </c>
      <c r="D55" s="106"/>
      <c r="E55" s="331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33"/>
      <c r="R55" s="133"/>
      <c r="S55" s="133"/>
      <c r="T55" s="133">
        <f>'Optional Adjustment 2'!G55*$T$1</f>
        <v>0</v>
      </c>
      <c r="U55" s="133">
        <f>'Optional Adjustment 3'!G55*$U$1</f>
        <v>0</v>
      </c>
      <c r="V55" s="133">
        <f>'Optional Adjustment 4'!G55*$V$1</f>
        <v>0</v>
      </c>
      <c r="W55" s="133">
        <f>'Optional Adjustment 5'!G55*$W$1</f>
        <v>0</v>
      </c>
      <c r="X55" s="133">
        <f>'Optional Adjustment 6'!G55*$X$1</f>
        <v>0</v>
      </c>
      <c r="Y55" s="133">
        <f>'Optional Adjustment 7'!G55*$Y$1</f>
        <v>0</v>
      </c>
      <c r="Z55" s="133">
        <f>'Optional Adjustment 8'!G55*$Z$1</f>
        <v>0</v>
      </c>
      <c r="AA55" s="133">
        <f>'Optional Adjustment 9'!G55*$AA$1</f>
        <v>0</v>
      </c>
      <c r="AB55" s="133">
        <f>'Optional Adjustment 10'!G55*$AB$1</f>
        <v>0</v>
      </c>
      <c r="AC55" s="133">
        <f>'Optional Adjustment 11'!G55*$AC$1</f>
        <v>0</v>
      </c>
      <c r="AD55" s="133">
        <f>'Optional Adjustment 12'!G55*$AD$1</f>
        <v>0</v>
      </c>
      <c r="AE55" s="133">
        <f>'Optional Adjustment 13'!G55*$AE$1</f>
        <v>0</v>
      </c>
      <c r="AF55" s="133">
        <f>'Optional Adjustment 14'!G55*$AF$1</f>
        <v>0</v>
      </c>
      <c r="AG55" s="133">
        <f>'Optional Adjustment 15'!G55*$AG$1</f>
        <v>0</v>
      </c>
      <c r="AH55" s="133">
        <f>'Optional Adjustment 16'!G55*$AH$1</f>
        <v>0</v>
      </c>
      <c r="AI55" s="133">
        <f>'Optional Adjustment 17'!G55*$AI$1</f>
        <v>0</v>
      </c>
      <c r="AJ55" s="133">
        <f>'Optional Adjustment 18'!G55*$AJ$1</f>
        <v>0</v>
      </c>
      <c r="AK55" s="133">
        <f>'Optional Adjustment 19'!G55*$AK$1</f>
        <v>0</v>
      </c>
      <c r="AL55" s="133">
        <f>'Optional Adjustment 20'!G55*$AL$1</f>
        <v>0</v>
      </c>
      <c r="AM55" s="133">
        <f>'Optional Adjustment 21'!G55*$AM$1</f>
        <v>0</v>
      </c>
      <c r="AN55" s="133">
        <f>'Optional Adjustment 22'!G55*$AN$1</f>
        <v>0</v>
      </c>
      <c r="AO55" s="133">
        <f>'Optional Adjustment 23'!G55*$AO$1</f>
        <v>0</v>
      </c>
      <c r="AP55" s="133">
        <f>'Optional Adjustment 24'!G55*$AP$1</f>
        <v>0</v>
      </c>
      <c r="AQ55" s="133">
        <f>'Optional Adjustment 25'!G55*$AQ$1</f>
        <v>0</v>
      </c>
      <c r="AR55" s="133">
        <f>'Optional Adjustment 26'!G55*$AR$1</f>
        <v>0</v>
      </c>
      <c r="AS55" s="133">
        <f>'Optional Adjustment 27'!G55*$AS$1</f>
        <v>0</v>
      </c>
      <c r="AT55" s="133"/>
      <c r="AU55" s="133">
        <f>SUM(F55:AT55)</f>
        <v>0</v>
      </c>
      <c r="AV55" s="116"/>
      <c r="AW55" s="133">
        <f>SUM(AU55:AU55)</f>
        <v>0</v>
      </c>
      <c r="AX55" s="133">
        <f>+AW55-'ROR-Model'!G55</f>
        <v>0</v>
      </c>
    </row>
    <row r="56" spans="1:50">
      <c r="A56" s="330"/>
      <c r="B56" s="332"/>
      <c r="C56" s="332" t="s">
        <v>814</v>
      </c>
      <c r="D56" s="106"/>
      <c r="E56" s="331"/>
      <c r="F56" s="116"/>
      <c r="G56" s="116"/>
      <c r="H56" s="116">
        <f>H1*Revenue!$K$55</f>
        <v>0</v>
      </c>
      <c r="I56" s="116"/>
      <c r="J56" s="116"/>
      <c r="K56" s="116"/>
      <c r="L56" s="116"/>
      <c r="M56" s="116"/>
      <c r="N56" s="116"/>
      <c r="O56" s="116"/>
      <c r="P56" s="116"/>
      <c r="Q56" s="133"/>
      <c r="R56" s="133"/>
      <c r="S56" s="133"/>
      <c r="T56" s="133">
        <f>'Optional Adjustment 2'!G56*$T$1</f>
        <v>0</v>
      </c>
      <c r="U56" s="133">
        <f>'Optional Adjustment 3'!G56*$U$1</f>
        <v>0</v>
      </c>
      <c r="V56" s="133">
        <f>'Optional Adjustment 4'!G56*$V$1</f>
        <v>0</v>
      </c>
      <c r="W56" s="133">
        <f>'Optional Adjustment 5'!G56*$W$1</f>
        <v>0</v>
      </c>
      <c r="X56" s="133">
        <f>'Optional Adjustment 6'!G56*$X$1</f>
        <v>0</v>
      </c>
      <c r="Y56" s="133">
        <f>'Optional Adjustment 7'!G56*$Y$1</f>
        <v>0</v>
      </c>
      <c r="Z56" s="133">
        <f>'Optional Adjustment 8'!G56*$Z$1</f>
        <v>0</v>
      </c>
      <c r="AA56" s="133">
        <f>'Optional Adjustment 9'!G56*$AA$1</f>
        <v>0</v>
      </c>
      <c r="AB56" s="133">
        <f>'Optional Adjustment 10'!G56*$AB$1</f>
        <v>0</v>
      </c>
      <c r="AC56" s="133">
        <f>'Optional Adjustment 11'!G56*$AC$1</f>
        <v>0</v>
      </c>
      <c r="AD56" s="133">
        <f>'Optional Adjustment 12'!G56*$AD$1</f>
        <v>0</v>
      </c>
      <c r="AE56" s="133">
        <f>'Optional Adjustment 13'!G56*$AE$1</f>
        <v>0</v>
      </c>
      <c r="AF56" s="133">
        <f>'Optional Adjustment 14'!G56*$AF$1</f>
        <v>0</v>
      </c>
      <c r="AG56" s="133">
        <f>'Optional Adjustment 15'!G56*$AG$1</f>
        <v>0</v>
      </c>
      <c r="AH56" s="133">
        <f>'Optional Adjustment 16'!G56*$AH$1</f>
        <v>0</v>
      </c>
      <c r="AI56" s="133">
        <f>'Optional Adjustment 17'!G56*$AI$1</f>
        <v>0</v>
      </c>
      <c r="AJ56" s="133">
        <f>'Optional Adjustment 18'!G56*$AJ$1</f>
        <v>0</v>
      </c>
      <c r="AK56" s="133">
        <f>'Optional Adjustment 19'!G56*$AK$1</f>
        <v>0</v>
      </c>
      <c r="AL56" s="133">
        <f>'Optional Adjustment 20'!G56*$AL$1</f>
        <v>0</v>
      </c>
      <c r="AM56" s="133">
        <f>'Optional Adjustment 21'!G56*$AM$1</f>
        <v>0</v>
      </c>
      <c r="AN56" s="133">
        <f>'Optional Adjustment 22'!G56*$AN$1</f>
        <v>0</v>
      </c>
      <c r="AO56" s="133">
        <f>'Optional Adjustment 23'!G56*$AO$1</f>
        <v>0</v>
      </c>
      <c r="AP56" s="133">
        <f>'Optional Adjustment 24'!G56*$AP$1</f>
        <v>0</v>
      </c>
      <c r="AQ56" s="133">
        <f>'Optional Adjustment 25'!G56*$AQ$1</f>
        <v>0</v>
      </c>
      <c r="AR56" s="133">
        <f>'Optional Adjustment 26'!G56*$AR$1</f>
        <v>0</v>
      </c>
      <c r="AS56" s="133">
        <f>'Optional Adjustment 27'!G56*$AS$1</f>
        <v>0</v>
      </c>
      <c r="AT56" s="133"/>
      <c r="AU56" s="133">
        <f>SUM(F56:AT56)</f>
        <v>0</v>
      </c>
      <c r="AV56" s="116"/>
      <c r="AW56" s="133">
        <f>SUM(AU56:AU56)</f>
        <v>0</v>
      </c>
      <c r="AX56" s="133">
        <f>+AW56-'ROR-Model'!G56</f>
        <v>0</v>
      </c>
    </row>
    <row r="57" spans="1:50">
      <c r="A57" s="330"/>
      <c r="B57" s="332"/>
      <c r="C57" s="728" t="s">
        <v>19</v>
      </c>
      <c r="D57" s="106"/>
      <c r="E57" s="331"/>
      <c r="F57" s="131">
        <f>SUM(F52:F56)</f>
        <v>0</v>
      </c>
      <c r="G57" s="131"/>
      <c r="H57" s="131">
        <f>H1*SUM(H52:H56)</f>
        <v>0</v>
      </c>
      <c r="I57" s="131">
        <f>SUM(I52:I56)</f>
        <v>0</v>
      </c>
      <c r="J57" s="131">
        <f t="shared" ref="J57:P57" si="50">SUM(J52:J56)</f>
        <v>0</v>
      </c>
      <c r="K57" s="131">
        <f t="shared" si="50"/>
        <v>0</v>
      </c>
      <c r="L57" s="131">
        <f t="shared" si="50"/>
        <v>0</v>
      </c>
      <c r="M57" s="131">
        <f t="shared" si="50"/>
        <v>0</v>
      </c>
      <c r="N57" s="131">
        <f t="shared" si="50"/>
        <v>0</v>
      </c>
      <c r="O57" s="131">
        <f t="shared" si="50"/>
        <v>0</v>
      </c>
      <c r="P57" s="131">
        <f t="shared" si="50"/>
        <v>0</v>
      </c>
      <c r="Q57" s="241">
        <f t="shared" ref="Q57:W57" si="51">SUM(Q52:Q56)</f>
        <v>0</v>
      </c>
      <c r="R57" s="241">
        <f t="shared" si="51"/>
        <v>0</v>
      </c>
      <c r="S57" s="556"/>
      <c r="T57" s="556">
        <f t="shared" si="51"/>
        <v>0</v>
      </c>
      <c r="U57" s="556">
        <f t="shared" si="51"/>
        <v>0</v>
      </c>
      <c r="V57" s="556">
        <f t="shared" si="51"/>
        <v>0</v>
      </c>
      <c r="W57" s="556">
        <f t="shared" si="51"/>
        <v>0</v>
      </c>
      <c r="X57" s="556">
        <f t="shared" ref="X57:AG57" si="52">SUM(X52:X56)</f>
        <v>0</v>
      </c>
      <c r="Y57" s="556">
        <f t="shared" si="52"/>
        <v>0</v>
      </c>
      <c r="Z57" s="556">
        <f t="shared" si="52"/>
        <v>0</v>
      </c>
      <c r="AA57" s="556">
        <f t="shared" si="52"/>
        <v>0</v>
      </c>
      <c r="AB57" s="556">
        <f t="shared" si="52"/>
        <v>0</v>
      </c>
      <c r="AC57" s="556">
        <f t="shared" si="52"/>
        <v>0</v>
      </c>
      <c r="AD57" s="556">
        <f t="shared" si="52"/>
        <v>0</v>
      </c>
      <c r="AE57" s="556">
        <f t="shared" si="52"/>
        <v>0</v>
      </c>
      <c r="AF57" s="556">
        <f t="shared" si="52"/>
        <v>0</v>
      </c>
      <c r="AG57" s="556">
        <f t="shared" si="52"/>
        <v>0</v>
      </c>
      <c r="AH57" s="556">
        <f t="shared" ref="AH57:AK57" si="53">SUM(AH52:AH56)</f>
        <v>0</v>
      </c>
      <c r="AI57" s="556">
        <f t="shared" si="53"/>
        <v>0</v>
      </c>
      <c r="AJ57" s="556">
        <f t="shared" si="53"/>
        <v>0</v>
      </c>
      <c r="AK57" s="556">
        <f t="shared" si="53"/>
        <v>0</v>
      </c>
      <c r="AL57" s="556">
        <f t="shared" ref="AL57:AP57" si="54">SUM(AL52:AL56)</f>
        <v>0</v>
      </c>
      <c r="AM57" s="556">
        <f t="shared" si="54"/>
        <v>0</v>
      </c>
      <c r="AN57" s="556">
        <f t="shared" si="54"/>
        <v>0</v>
      </c>
      <c r="AO57" s="556">
        <f t="shared" si="54"/>
        <v>0</v>
      </c>
      <c r="AP57" s="556">
        <f t="shared" si="54"/>
        <v>0</v>
      </c>
      <c r="AQ57" s="556">
        <f t="shared" ref="AQ57:AS57" si="55">SUM(AQ52:AQ56)</f>
        <v>0</v>
      </c>
      <c r="AR57" s="556">
        <f t="shared" si="55"/>
        <v>0</v>
      </c>
      <c r="AS57" s="556">
        <f t="shared" si="55"/>
        <v>0</v>
      </c>
      <c r="AT57" s="556"/>
      <c r="AU57" s="241">
        <f>SUM(AU52:AU56)</f>
        <v>0</v>
      </c>
      <c r="AV57" s="131"/>
      <c r="AW57" s="241">
        <f>SUM(AW52:AW56)</f>
        <v>0</v>
      </c>
      <c r="AX57" s="241">
        <f>+AW57-'ROR-Model'!G57</f>
        <v>0</v>
      </c>
    </row>
    <row r="58" spans="1:50">
      <c r="A58" s="330"/>
      <c r="B58" s="332"/>
      <c r="C58" s="728"/>
      <c r="D58" s="106"/>
      <c r="E58" s="331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16"/>
      <c r="AW58" s="133"/>
      <c r="AX58" s="133">
        <f>+AW58-'ROR-Model'!G58</f>
        <v>0</v>
      </c>
    </row>
    <row r="59" spans="1:50">
      <c r="A59" s="330"/>
      <c r="B59" s="332"/>
      <c r="C59" s="332" t="s">
        <v>83</v>
      </c>
      <c r="D59" s="106"/>
      <c r="E59" s="331"/>
      <c r="F59" s="116"/>
      <c r="G59" s="116"/>
      <c r="H59" s="116">
        <f>H1*Revenue!$K$58</f>
        <v>0</v>
      </c>
      <c r="I59" s="116"/>
      <c r="J59" s="116"/>
      <c r="K59" s="116"/>
      <c r="L59" s="116"/>
      <c r="M59" s="116"/>
      <c r="N59" s="116"/>
      <c r="O59" s="116"/>
      <c r="P59" s="116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>
        <f>SUM(F59:AT59)</f>
        <v>0</v>
      </c>
      <c r="AV59" s="116"/>
      <c r="AW59" s="133">
        <f>SUM(AU59:AU59)</f>
        <v>0</v>
      </c>
      <c r="AX59" s="133">
        <f>+AW59-'ROR-Model'!G59</f>
        <v>0</v>
      </c>
    </row>
    <row r="60" spans="1:50">
      <c r="A60" s="330"/>
      <c r="B60" s="332"/>
      <c r="C60" s="332"/>
      <c r="D60" s="106"/>
      <c r="E60" s="331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16"/>
      <c r="AW60" s="133"/>
      <c r="AX60" s="133">
        <f>+AW60-'ROR-Model'!G60</f>
        <v>0</v>
      </c>
    </row>
    <row r="61" spans="1:50">
      <c r="A61" s="330"/>
      <c r="B61" s="728" t="s">
        <v>810</v>
      </c>
      <c r="C61" s="728" t="s">
        <v>16</v>
      </c>
      <c r="D61" s="106"/>
      <c r="E61" s="331"/>
      <c r="F61" s="116"/>
      <c r="G61" s="116"/>
      <c r="H61" s="116">
        <f>H1*Revenue!$K$60</f>
        <v>-531347.25450426433</v>
      </c>
      <c r="I61" s="116"/>
      <c r="J61" s="116"/>
      <c r="K61" s="116"/>
      <c r="L61" s="116"/>
      <c r="M61" s="116"/>
      <c r="N61" s="116"/>
      <c r="O61" s="116"/>
      <c r="P61" s="116"/>
      <c r="Q61" s="133"/>
      <c r="R61" s="133"/>
      <c r="S61" s="133"/>
      <c r="T61" s="133">
        <f>'Optional Adjustment 2'!G61*$T$1</f>
        <v>0</v>
      </c>
      <c r="U61" s="133">
        <f>'Optional Adjustment 3'!G61*$U$1</f>
        <v>0</v>
      </c>
      <c r="V61" s="133">
        <f>'Optional Adjustment 4'!G61*$V$1</f>
        <v>0</v>
      </c>
      <c r="W61" s="133">
        <f>'Optional Adjustment 5'!G61*$W$1</f>
        <v>0</v>
      </c>
      <c r="X61" s="133">
        <f>'Optional Adjustment 6'!G61*$X$1</f>
        <v>0</v>
      </c>
      <c r="Y61" s="133">
        <f>'Optional Adjustment 7'!G61*$Y$1</f>
        <v>0</v>
      </c>
      <c r="Z61" s="133">
        <f>'Optional Adjustment 8'!G61*$Z$1</f>
        <v>0</v>
      </c>
      <c r="AA61" s="133">
        <f>'Optional Adjustment 9'!G61*$AA$1</f>
        <v>0</v>
      </c>
      <c r="AB61" s="133">
        <f>'Optional Adjustment 10'!G61*$AB$1</f>
        <v>0</v>
      </c>
      <c r="AC61" s="133">
        <f>'Optional Adjustment 11'!G61*$AC$1</f>
        <v>0</v>
      </c>
      <c r="AD61" s="133">
        <f>'Optional Adjustment 12'!G61*$AD$1</f>
        <v>0</v>
      </c>
      <c r="AE61" s="133">
        <f>'Optional Adjustment 13'!G61*$AE$1</f>
        <v>0</v>
      </c>
      <c r="AF61" s="133">
        <f>'Optional Adjustment 14'!G61*$AF$1</f>
        <v>0</v>
      </c>
      <c r="AG61" s="133">
        <f>'Optional Adjustment 15'!G61*$AG$1</f>
        <v>0</v>
      </c>
      <c r="AH61" s="133">
        <f>'Optional Adjustment 16'!G61*$AH$1</f>
        <v>0</v>
      </c>
      <c r="AI61" s="133">
        <f>'Optional Adjustment 17'!G61*$AI$1</f>
        <v>0</v>
      </c>
      <c r="AJ61" s="133">
        <f>'Optional Adjustment 18'!G61*$AJ$1</f>
        <v>0</v>
      </c>
      <c r="AK61" s="133">
        <f>'Optional Adjustment 19'!G61*$AK$1</f>
        <v>0</v>
      </c>
      <c r="AL61" s="133">
        <f>'Optional Adjustment 20'!G61*$AL$1</f>
        <v>0</v>
      </c>
      <c r="AM61" s="133">
        <f>'Optional Adjustment 21'!G61*$AM$1</f>
        <v>0</v>
      </c>
      <c r="AN61" s="133">
        <f>'Optional Adjustment 22'!G61*$AN$1</f>
        <v>0</v>
      </c>
      <c r="AO61" s="133">
        <f>'Optional Adjustment 23'!G61*$AO$1</f>
        <v>0</v>
      </c>
      <c r="AP61" s="133">
        <f>'Optional Adjustment 24'!G61*$AP$1</f>
        <v>0</v>
      </c>
      <c r="AQ61" s="133">
        <f>'Optional Adjustment 25'!G61*$AQ$1</f>
        <v>0</v>
      </c>
      <c r="AR61" s="133">
        <f>'Optional Adjustment 26'!G61*$AR$1</f>
        <v>0</v>
      </c>
      <c r="AS61" s="133">
        <f>'Optional Adjustment 27'!G61*$AS$1</f>
        <v>0</v>
      </c>
      <c r="AT61" s="133"/>
      <c r="AU61" s="133">
        <f>SUM(F61:AT61)</f>
        <v>-531347.25450426433</v>
      </c>
      <c r="AV61" s="116"/>
      <c r="AW61" s="133">
        <f>SUM(AU61:AU61)</f>
        <v>-531347.25450426433</v>
      </c>
      <c r="AX61" s="133">
        <f>+AW61-'ROR-Model'!G61</f>
        <v>0</v>
      </c>
    </row>
    <row r="62" spans="1:50">
      <c r="A62" s="330"/>
      <c r="B62" s="728"/>
      <c r="C62" s="728"/>
      <c r="D62" s="106"/>
      <c r="E62" s="331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16"/>
      <c r="AW62" s="133"/>
      <c r="AX62" s="133">
        <f>+AW62-'ROR-Model'!G62</f>
        <v>0</v>
      </c>
    </row>
    <row r="63" spans="1:50">
      <c r="A63" s="330"/>
      <c r="B63" s="728"/>
      <c r="C63" s="728" t="s">
        <v>17</v>
      </c>
      <c r="D63" s="106"/>
      <c r="E63" s="331"/>
      <c r="F63" s="116"/>
      <c r="G63" s="116"/>
      <c r="H63" s="116">
        <f>H1*Revenue!$K$62</f>
        <v>-84279.668010700057</v>
      </c>
      <c r="I63" s="116"/>
      <c r="J63" s="116"/>
      <c r="K63" s="116"/>
      <c r="L63" s="116"/>
      <c r="M63" s="116"/>
      <c r="N63" s="116"/>
      <c r="O63" s="116"/>
      <c r="P63" s="116"/>
      <c r="Q63" s="133"/>
      <c r="R63" s="133"/>
      <c r="S63" s="133"/>
      <c r="T63" s="133">
        <f>'Optional Adjustment 2'!G63*$T$1</f>
        <v>0</v>
      </c>
      <c r="U63" s="133">
        <f>'Optional Adjustment 3'!G63*$U$1</f>
        <v>0</v>
      </c>
      <c r="V63" s="133">
        <f>'Optional Adjustment 4'!G63*$V$1</f>
        <v>0</v>
      </c>
      <c r="W63" s="133">
        <f>'Optional Adjustment 5'!G63*$W$1</f>
        <v>0</v>
      </c>
      <c r="X63" s="133">
        <f>'Optional Adjustment 6'!G63*$X$1</f>
        <v>0</v>
      </c>
      <c r="Y63" s="133">
        <f>'Optional Adjustment 7'!G63*$Y$1</f>
        <v>0</v>
      </c>
      <c r="Z63" s="133">
        <f>'Optional Adjustment 8'!G63*$Z$1</f>
        <v>0</v>
      </c>
      <c r="AA63" s="133">
        <f>'Optional Adjustment 9'!G63*$AA$1</f>
        <v>0</v>
      </c>
      <c r="AB63" s="133">
        <f>'Optional Adjustment 10'!G63*$AB$1</f>
        <v>0</v>
      </c>
      <c r="AC63" s="133">
        <f>'Optional Adjustment 11'!G63*$AC$1</f>
        <v>0</v>
      </c>
      <c r="AD63" s="133">
        <f>'Optional Adjustment 12'!G63*$AD$1</f>
        <v>0</v>
      </c>
      <c r="AE63" s="133">
        <f>'Optional Adjustment 13'!G63*$AE$1</f>
        <v>0</v>
      </c>
      <c r="AF63" s="133">
        <f>'Optional Adjustment 14'!G63*$AF$1</f>
        <v>0</v>
      </c>
      <c r="AG63" s="133">
        <f>'Optional Adjustment 15'!G63*$AG$1</f>
        <v>0</v>
      </c>
      <c r="AH63" s="133">
        <f>'Optional Adjustment 16'!G63*$AH$1</f>
        <v>0</v>
      </c>
      <c r="AI63" s="133">
        <f>'Optional Adjustment 17'!G63*$AI$1</f>
        <v>0</v>
      </c>
      <c r="AJ63" s="133">
        <f>'Optional Adjustment 18'!G63*$AJ$1</f>
        <v>0</v>
      </c>
      <c r="AK63" s="133">
        <f>'Optional Adjustment 19'!G63*$AK$1</f>
        <v>0</v>
      </c>
      <c r="AL63" s="133">
        <f>'Optional Adjustment 20'!G63*$AL$1</f>
        <v>0</v>
      </c>
      <c r="AM63" s="133">
        <f>'Optional Adjustment 21'!G63*$AM$1</f>
        <v>0</v>
      </c>
      <c r="AN63" s="133">
        <f>'Optional Adjustment 22'!G63*$AN$1</f>
        <v>0</v>
      </c>
      <c r="AO63" s="133">
        <f>'Optional Adjustment 23'!G63*$AO$1</f>
        <v>0</v>
      </c>
      <c r="AP63" s="133">
        <f>'Optional Adjustment 24'!G63*$AP$1</f>
        <v>0</v>
      </c>
      <c r="AQ63" s="133">
        <f>'Optional Adjustment 25'!G63*$AQ$1</f>
        <v>0</v>
      </c>
      <c r="AR63" s="133">
        <f>'Optional Adjustment 26'!G63*$AR$1</f>
        <v>0</v>
      </c>
      <c r="AS63" s="133">
        <f>'Optional Adjustment 27'!G63*$AS$1</f>
        <v>0</v>
      </c>
      <c r="AT63" s="133"/>
      <c r="AU63" s="133">
        <f>SUM(F63:AT63)</f>
        <v>-84279.668010700057</v>
      </c>
      <c r="AV63" s="116"/>
      <c r="AW63" s="133">
        <f>SUM(AU63:AU63)</f>
        <v>-84279.668010700057</v>
      </c>
      <c r="AX63" s="133">
        <f>+AW63-'ROR-Model'!G63</f>
        <v>0</v>
      </c>
    </row>
    <row r="64" spans="1:50">
      <c r="A64" s="330"/>
      <c r="B64" s="728"/>
      <c r="C64" s="728"/>
      <c r="D64" s="106"/>
      <c r="E64" s="331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16"/>
      <c r="AW64" s="133"/>
      <c r="AX64" s="133">
        <f>+AW64-'ROR-Model'!G64</f>
        <v>0</v>
      </c>
    </row>
    <row r="65" spans="1:50">
      <c r="A65" s="330"/>
      <c r="B65" s="728"/>
      <c r="C65" s="728" t="s">
        <v>18</v>
      </c>
      <c r="D65" s="106"/>
      <c r="E65" s="331"/>
      <c r="F65" s="116"/>
      <c r="G65" s="116"/>
      <c r="H65" s="116">
        <f>H1*Revenue!$K$64</f>
        <v>-528890.68515760009</v>
      </c>
      <c r="I65" s="116"/>
      <c r="J65" s="116"/>
      <c r="K65" s="116"/>
      <c r="L65" s="116"/>
      <c r="M65" s="116"/>
      <c r="N65" s="116"/>
      <c r="O65" s="116"/>
      <c r="P65" s="116"/>
      <c r="Q65" s="133"/>
      <c r="R65" s="133"/>
      <c r="S65" s="133"/>
      <c r="T65" s="133">
        <f>'Optional Adjustment 2'!G65*$T$1</f>
        <v>0</v>
      </c>
      <c r="U65" s="133">
        <f>'Optional Adjustment 3'!G65*$U$1</f>
        <v>0</v>
      </c>
      <c r="V65" s="133">
        <f>'Optional Adjustment 4'!G65*$V$1</f>
        <v>0</v>
      </c>
      <c r="W65" s="133">
        <f>'Optional Adjustment 5'!G65*$W$1</f>
        <v>0</v>
      </c>
      <c r="X65" s="133">
        <f>'Optional Adjustment 6'!G65*$X$1</f>
        <v>0</v>
      </c>
      <c r="Y65" s="133">
        <f>'Optional Adjustment 7'!G65*$Y$1</f>
        <v>0</v>
      </c>
      <c r="Z65" s="133">
        <f>'Optional Adjustment 8'!G65*$Z$1</f>
        <v>0</v>
      </c>
      <c r="AA65" s="133">
        <f>'Optional Adjustment 9'!G65*$AA$1</f>
        <v>0</v>
      </c>
      <c r="AB65" s="133">
        <f>'Optional Adjustment 10'!G65*$AB$1</f>
        <v>0</v>
      </c>
      <c r="AC65" s="133">
        <f>'Optional Adjustment 11'!G65*$AC$1</f>
        <v>0</v>
      </c>
      <c r="AD65" s="133">
        <f>'Optional Adjustment 12'!G65*$AD$1</f>
        <v>0</v>
      </c>
      <c r="AE65" s="133">
        <f>'Optional Adjustment 13'!G65*$AE$1</f>
        <v>0</v>
      </c>
      <c r="AF65" s="133">
        <f>'Optional Adjustment 14'!G65*$AF$1</f>
        <v>0</v>
      </c>
      <c r="AG65" s="133">
        <f>'Optional Adjustment 15'!G65*$AG$1</f>
        <v>0</v>
      </c>
      <c r="AH65" s="133">
        <f>'Optional Adjustment 16'!G65*$AH$1</f>
        <v>0</v>
      </c>
      <c r="AI65" s="133">
        <f>'Optional Adjustment 17'!G65*$AI$1</f>
        <v>0</v>
      </c>
      <c r="AJ65" s="133">
        <f>'Optional Adjustment 18'!G65*$AJ$1</f>
        <v>0</v>
      </c>
      <c r="AK65" s="133">
        <f>'Optional Adjustment 19'!G65*$AK$1</f>
        <v>0</v>
      </c>
      <c r="AL65" s="133">
        <f>'Optional Adjustment 20'!G65*$AL$1</f>
        <v>0</v>
      </c>
      <c r="AM65" s="133">
        <f>'Optional Adjustment 21'!G65*$AM$1</f>
        <v>0</v>
      </c>
      <c r="AN65" s="133">
        <f>'Optional Adjustment 22'!G65*$AN$1</f>
        <v>0</v>
      </c>
      <c r="AO65" s="133">
        <f>'Optional Adjustment 23'!G65*$AO$1</f>
        <v>0</v>
      </c>
      <c r="AP65" s="133">
        <f>'Optional Adjustment 24'!G65*$AP$1</f>
        <v>0</v>
      </c>
      <c r="AQ65" s="133">
        <f>'Optional Adjustment 25'!G65*$AQ$1</f>
        <v>0</v>
      </c>
      <c r="AR65" s="133">
        <f>'Optional Adjustment 26'!G65*$AR$1</f>
        <v>0</v>
      </c>
      <c r="AS65" s="133">
        <f>'Optional Adjustment 27'!G65*$AS$1</f>
        <v>0</v>
      </c>
      <c r="AT65" s="133"/>
      <c r="AU65" s="133">
        <f>SUM(F65:AT65)</f>
        <v>-528890.68515760009</v>
      </c>
      <c r="AV65" s="116"/>
      <c r="AW65" s="133">
        <f>SUM(AU65:AU65)</f>
        <v>-528890.68515760009</v>
      </c>
      <c r="AX65" s="133">
        <f>+AW65-'ROR-Model'!G65</f>
        <v>0</v>
      </c>
    </row>
    <row r="66" spans="1:50">
      <c r="A66" s="330"/>
      <c r="B66" s="728"/>
      <c r="C66" s="728" t="s">
        <v>19</v>
      </c>
      <c r="D66" s="106"/>
      <c r="E66" s="331"/>
      <c r="F66" s="131">
        <f>SUM(F61:F65)</f>
        <v>0</v>
      </c>
      <c r="G66" s="131"/>
      <c r="H66" s="131">
        <f>H1*SUM(H61:H65)</f>
        <v>-1144517.6076725645</v>
      </c>
      <c r="I66" s="131">
        <f>SUM(I61:I65)</f>
        <v>0</v>
      </c>
      <c r="J66" s="131">
        <f t="shared" ref="J66:P66" si="56">SUM(J61:J65)</f>
        <v>0</v>
      </c>
      <c r="K66" s="131">
        <f t="shared" si="56"/>
        <v>0</v>
      </c>
      <c r="L66" s="131">
        <f t="shared" si="56"/>
        <v>0</v>
      </c>
      <c r="M66" s="131">
        <f t="shared" si="56"/>
        <v>0</v>
      </c>
      <c r="N66" s="131">
        <f t="shared" si="56"/>
        <v>0</v>
      </c>
      <c r="O66" s="131">
        <f t="shared" si="56"/>
        <v>0</v>
      </c>
      <c r="P66" s="131">
        <f t="shared" si="56"/>
        <v>0</v>
      </c>
      <c r="Q66" s="241">
        <f t="shared" ref="Q66:W66" si="57">SUM(Q61:Q65)</f>
        <v>0</v>
      </c>
      <c r="R66" s="241">
        <f t="shared" si="57"/>
        <v>0</v>
      </c>
      <c r="S66" s="556"/>
      <c r="T66" s="556">
        <f t="shared" si="57"/>
        <v>0</v>
      </c>
      <c r="U66" s="556">
        <f t="shared" si="57"/>
        <v>0</v>
      </c>
      <c r="V66" s="556">
        <f t="shared" si="57"/>
        <v>0</v>
      </c>
      <c r="W66" s="556">
        <f t="shared" si="57"/>
        <v>0</v>
      </c>
      <c r="X66" s="556">
        <f t="shared" ref="X66:AG66" si="58">SUM(X61:X65)</f>
        <v>0</v>
      </c>
      <c r="Y66" s="556">
        <f t="shared" si="58"/>
        <v>0</v>
      </c>
      <c r="Z66" s="556">
        <f t="shared" si="58"/>
        <v>0</v>
      </c>
      <c r="AA66" s="556">
        <f t="shared" si="58"/>
        <v>0</v>
      </c>
      <c r="AB66" s="556">
        <f t="shared" si="58"/>
        <v>0</v>
      </c>
      <c r="AC66" s="556">
        <f t="shared" si="58"/>
        <v>0</v>
      </c>
      <c r="AD66" s="556">
        <f t="shared" si="58"/>
        <v>0</v>
      </c>
      <c r="AE66" s="556">
        <f t="shared" si="58"/>
        <v>0</v>
      </c>
      <c r="AF66" s="556">
        <f t="shared" si="58"/>
        <v>0</v>
      </c>
      <c r="AG66" s="556">
        <f t="shared" si="58"/>
        <v>0</v>
      </c>
      <c r="AH66" s="556">
        <f t="shared" ref="AH66:AK66" si="59">SUM(AH61:AH65)</f>
        <v>0</v>
      </c>
      <c r="AI66" s="556">
        <f t="shared" si="59"/>
        <v>0</v>
      </c>
      <c r="AJ66" s="556">
        <f t="shared" si="59"/>
        <v>0</v>
      </c>
      <c r="AK66" s="556">
        <f t="shared" si="59"/>
        <v>0</v>
      </c>
      <c r="AL66" s="556">
        <f t="shared" ref="AL66:AP66" si="60">SUM(AL61:AL65)</f>
        <v>0</v>
      </c>
      <c r="AM66" s="556">
        <f t="shared" si="60"/>
        <v>0</v>
      </c>
      <c r="AN66" s="556">
        <f t="shared" si="60"/>
        <v>0</v>
      </c>
      <c r="AO66" s="556">
        <f t="shared" si="60"/>
        <v>0</v>
      </c>
      <c r="AP66" s="556">
        <f t="shared" si="60"/>
        <v>0</v>
      </c>
      <c r="AQ66" s="556">
        <f t="shared" ref="AQ66:AS66" si="61">SUM(AQ61:AQ65)</f>
        <v>0</v>
      </c>
      <c r="AR66" s="556">
        <f t="shared" si="61"/>
        <v>0</v>
      </c>
      <c r="AS66" s="556">
        <f t="shared" si="61"/>
        <v>0</v>
      </c>
      <c r="AT66" s="556"/>
      <c r="AU66" s="241">
        <f>SUM(AU61:AU65)</f>
        <v>-1144517.6076725645</v>
      </c>
      <c r="AV66" s="131"/>
      <c r="AW66" s="241">
        <f>SUM(AW61:AW65)</f>
        <v>-1144517.6076725645</v>
      </c>
      <c r="AX66" s="241">
        <f>+AW66-'ROR-Model'!G66</f>
        <v>0</v>
      </c>
    </row>
    <row r="67" spans="1:50">
      <c r="A67" s="330"/>
      <c r="B67" s="728"/>
      <c r="C67" s="728"/>
      <c r="D67" s="106"/>
      <c r="E67" s="331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16"/>
      <c r="AW67" s="133"/>
      <c r="AX67" s="133">
        <f>+AW67-'ROR-Model'!G67</f>
        <v>0</v>
      </c>
    </row>
    <row r="68" spans="1:50">
      <c r="A68" s="330"/>
      <c r="B68" s="728"/>
      <c r="C68" s="728" t="s">
        <v>20</v>
      </c>
      <c r="D68" s="106"/>
      <c r="E68" s="331"/>
      <c r="F68" s="116"/>
      <c r="G68" s="116"/>
      <c r="H68" s="116">
        <f>H1*Revenue!$K$67</f>
        <v>-104151.61000000004</v>
      </c>
      <c r="I68" s="116"/>
      <c r="J68" s="116"/>
      <c r="K68" s="116"/>
      <c r="L68" s="116"/>
      <c r="M68" s="116"/>
      <c r="N68" s="116"/>
      <c r="O68" s="116"/>
      <c r="P68" s="116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>
        <f>SUM(F68:AT68)</f>
        <v>-104151.61000000004</v>
      </c>
      <c r="AV68" s="116"/>
      <c r="AW68" s="133">
        <f>SUM(AU68:AU68)</f>
        <v>-104151.61000000004</v>
      </c>
      <c r="AX68" s="133">
        <f>+AW68-'ROR-Model'!G68</f>
        <v>0</v>
      </c>
    </row>
    <row r="69" spans="1:50">
      <c r="A69" s="330"/>
      <c r="B69" s="332"/>
      <c r="C69" s="332"/>
      <c r="D69" s="106"/>
      <c r="E69" s="331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16"/>
      <c r="AW69" s="133"/>
      <c r="AX69" s="133">
        <f>+AW69-'ROR-Model'!G69</f>
        <v>0</v>
      </c>
    </row>
    <row r="70" spans="1:50">
      <c r="A70" s="330"/>
      <c r="B70" s="728" t="s">
        <v>4</v>
      </c>
      <c r="C70" s="728" t="s">
        <v>16</v>
      </c>
      <c r="D70" s="106"/>
      <c r="E70" s="331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33"/>
      <c r="R70" s="133"/>
      <c r="S70" s="133"/>
      <c r="T70" s="133">
        <f>'Optional Adjustment 2'!G70*$T$1</f>
        <v>0</v>
      </c>
      <c r="U70" s="133">
        <f>'Optional Adjustment 3'!G70*$U$1</f>
        <v>0</v>
      </c>
      <c r="V70" s="133">
        <f>'Optional Adjustment 4'!G70*$V$1</f>
        <v>0</v>
      </c>
      <c r="W70" s="133">
        <f>'Optional Adjustment 5'!G70*$W$1</f>
        <v>0</v>
      </c>
      <c r="X70" s="133">
        <f>'Optional Adjustment 6'!G70*$X$1</f>
        <v>0</v>
      </c>
      <c r="Y70" s="133">
        <f>'Optional Adjustment 7'!G70*$Y$1</f>
        <v>0</v>
      </c>
      <c r="Z70" s="133">
        <f>'Optional Adjustment 8'!G70*$Z$1</f>
        <v>0</v>
      </c>
      <c r="AA70" s="133">
        <f>'Optional Adjustment 9'!G70*$AA$1</f>
        <v>0</v>
      </c>
      <c r="AB70" s="133">
        <f>'Optional Adjustment 10'!G70*$AB$1</f>
        <v>0</v>
      </c>
      <c r="AC70" s="133">
        <f>'Optional Adjustment 11'!G70*$AC$1</f>
        <v>0</v>
      </c>
      <c r="AD70" s="133">
        <f>'Optional Adjustment 12'!G70*$AD$1</f>
        <v>0</v>
      </c>
      <c r="AE70" s="133">
        <f>'Optional Adjustment 13'!G70*$AE$1</f>
        <v>0</v>
      </c>
      <c r="AF70" s="133">
        <f>'Optional Adjustment 14'!G70*$AF$1</f>
        <v>0</v>
      </c>
      <c r="AG70" s="133">
        <f>'Optional Adjustment 15'!G70*$AG$1</f>
        <v>0</v>
      </c>
      <c r="AH70" s="133">
        <f>'Optional Adjustment 16'!G70*$AH$1</f>
        <v>0</v>
      </c>
      <c r="AI70" s="133">
        <f>'Optional Adjustment 17'!G70*$AI$1</f>
        <v>0</v>
      </c>
      <c r="AJ70" s="133">
        <f>'Optional Adjustment 18'!G70*$AJ$1</f>
        <v>0</v>
      </c>
      <c r="AK70" s="133">
        <f>'Optional Adjustment 19'!G70*$AK$1</f>
        <v>0</v>
      </c>
      <c r="AL70" s="133">
        <f>'Optional Adjustment 20'!G70*$AL$1</f>
        <v>0</v>
      </c>
      <c r="AM70" s="133">
        <f>'Optional Adjustment 21'!G70*$AM$1</f>
        <v>0</v>
      </c>
      <c r="AN70" s="133">
        <f>'Optional Adjustment 22'!G70*$AN$1</f>
        <v>0</v>
      </c>
      <c r="AO70" s="133">
        <f>'Optional Adjustment 23'!G70*$AO$1</f>
        <v>0</v>
      </c>
      <c r="AP70" s="133">
        <f>'Optional Adjustment 24'!G70*$AP$1</f>
        <v>0</v>
      </c>
      <c r="AQ70" s="133">
        <f>'Optional Adjustment 25'!G70*$AQ$1</f>
        <v>0</v>
      </c>
      <c r="AR70" s="133">
        <f>'Optional Adjustment 26'!G70*$AR$1</f>
        <v>0</v>
      </c>
      <c r="AS70" s="133">
        <f>'Optional Adjustment 27'!G70*$AS$1</f>
        <v>0</v>
      </c>
      <c r="AT70" s="133"/>
      <c r="AU70" s="133">
        <f>SUM(F70:AT70)</f>
        <v>0</v>
      </c>
      <c r="AV70" s="116"/>
      <c r="AW70" s="133">
        <f>SUM(AU70:AU70)</f>
        <v>0</v>
      </c>
      <c r="AX70" s="133">
        <f>+AW70-'ROR-Model'!G70</f>
        <v>0</v>
      </c>
    </row>
    <row r="71" spans="1:50">
      <c r="A71" s="330"/>
      <c r="B71" s="728"/>
      <c r="C71" s="728"/>
      <c r="D71" s="106"/>
      <c r="E71" s="331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16"/>
      <c r="AW71" s="133"/>
      <c r="AX71" s="133">
        <f>+AW71-'ROR-Model'!G71</f>
        <v>0</v>
      </c>
    </row>
    <row r="72" spans="1:50">
      <c r="A72" s="330"/>
      <c r="B72" s="728"/>
      <c r="C72" s="728" t="s">
        <v>17</v>
      </c>
      <c r="D72" s="106"/>
      <c r="E72" s="331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33"/>
      <c r="R72" s="133"/>
      <c r="S72" s="133"/>
      <c r="T72" s="133">
        <f>'Optional Adjustment 2'!G72*$T$1</f>
        <v>0</v>
      </c>
      <c r="U72" s="133">
        <f>'Optional Adjustment 3'!G72*$U$1</f>
        <v>0</v>
      </c>
      <c r="V72" s="133">
        <f>'Optional Adjustment 4'!G72*$V$1</f>
        <v>0</v>
      </c>
      <c r="W72" s="133">
        <f>'Optional Adjustment 5'!G72*$W$1</f>
        <v>0</v>
      </c>
      <c r="X72" s="133">
        <f>'Optional Adjustment 6'!G72*$X$1</f>
        <v>0</v>
      </c>
      <c r="Y72" s="133">
        <f>'Optional Adjustment 7'!G72*$Y$1</f>
        <v>0</v>
      </c>
      <c r="Z72" s="133">
        <f>'Optional Adjustment 8'!G72*$Z$1</f>
        <v>0</v>
      </c>
      <c r="AA72" s="133">
        <f>'Optional Adjustment 9'!G72*$AA$1</f>
        <v>0</v>
      </c>
      <c r="AB72" s="133">
        <f>'Optional Adjustment 10'!G72*$AB$1</f>
        <v>0</v>
      </c>
      <c r="AC72" s="133">
        <f>'Optional Adjustment 11'!G72*$AC$1</f>
        <v>0</v>
      </c>
      <c r="AD72" s="133">
        <f>'Optional Adjustment 12'!G72*$AD$1</f>
        <v>0</v>
      </c>
      <c r="AE72" s="133">
        <f>'Optional Adjustment 13'!G72*$AE$1</f>
        <v>0</v>
      </c>
      <c r="AF72" s="133">
        <f>'Optional Adjustment 14'!G72*$AF$1</f>
        <v>0</v>
      </c>
      <c r="AG72" s="133">
        <f>'Optional Adjustment 15'!G72*$AG$1</f>
        <v>0</v>
      </c>
      <c r="AH72" s="133">
        <f>'Optional Adjustment 16'!G72*$AH$1</f>
        <v>0</v>
      </c>
      <c r="AI72" s="133">
        <f>'Optional Adjustment 17'!G72*$AI$1</f>
        <v>0</v>
      </c>
      <c r="AJ72" s="133">
        <f>'Optional Adjustment 18'!G72*$AJ$1</f>
        <v>0</v>
      </c>
      <c r="AK72" s="133">
        <f>'Optional Adjustment 19'!G72*$AK$1</f>
        <v>0</v>
      </c>
      <c r="AL72" s="133">
        <f>'Optional Adjustment 20'!G72*$AL$1</f>
        <v>0</v>
      </c>
      <c r="AM72" s="133">
        <f>'Optional Adjustment 21'!G72*$AM$1</f>
        <v>0</v>
      </c>
      <c r="AN72" s="133">
        <f>'Optional Adjustment 22'!G72*$AN$1</f>
        <v>0</v>
      </c>
      <c r="AO72" s="133">
        <f>'Optional Adjustment 23'!G72*$AO$1</f>
        <v>0</v>
      </c>
      <c r="AP72" s="133">
        <f>'Optional Adjustment 24'!G72*$AP$1</f>
        <v>0</v>
      </c>
      <c r="AQ72" s="133">
        <f>'Optional Adjustment 25'!G72*$AQ$1</f>
        <v>0</v>
      </c>
      <c r="AR72" s="133">
        <f>'Optional Adjustment 26'!G72*$AR$1</f>
        <v>0</v>
      </c>
      <c r="AS72" s="133">
        <f>'Optional Adjustment 27'!G72*$AS$1</f>
        <v>0</v>
      </c>
      <c r="AT72" s="133"/>
      <c r="AU72" s="133">
        <f>SUM(F72:AT72)</f>
        <v>0</v>
      </c>
      <c r="AV72" s="116"/>
      <c r="AW72" s="133">
        <f>SUM(AU72:AU72)</f>
        <v>0</v>
      </c>
      <c r="AX72" s="133">
        <f>+AW72-'ROR-Model'!G72</f>
        <v>0</v>
      </c>
    </row>
    <row r="73" spans="1:50">
      <c r="A73" s="330"/>
      <c r="B73" s="728"/>
      <c r="C73" s="728"/>
      <c r="D73" s="106"/>
      <c r="E73" s="331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16"/>
      <c r="AW73" s="133"/>
      <c r="AX73" s="133">
        <f>+AW73-'ROR-Model'!G73</f>
        <v>0</v>
      </c>
    </row>
    <row r="74" spans="1:50">
      <c r="A74" s="330"/>
      <c r="B74" s="728"/>
      <c r="C74" s="728" t="s">
        <v>18</v>
      </c>
      <c r="D74" s="106"/>
      <c r="E74" s="331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33"/>
      <c r="R74" s="133"/>
      <c r="S74" s="133"/>
      <c r="T74" s="133">
        <f>'Optional Adjustment 2'!G74*$T$1</f>
        <v>0</v>
      </c>
      <c r="U74" s="133">
        <f>'Optional Adjustment 3'!G74*$U$1</f>
        <v>0</v>
      </c>
      <c r="V74" s="133">
        <f>'Optional Adjustment 4'!G74*$V$1</f>
        <v>0</v>
      </c>
      <c r="W74" s="133">
        <f>'Optional Adjustment 5'!G74*$W$1</f>
        <v>0</v>
      </c>
      <c r="X74" s="133">
        <f>'Optional Adjustment 6'!G74*$X$1</f>
        <v>0</v>
      </c>
      <c r="Y74" s="133">
        <f>'Optional Adjustment 7'!G74*$Y$1</f>
        <v>0</v>
      </c>
      <c r="Z74" s="133">
        <f>'Optional Adjustment 8'!G74*$Z$1</f>
        <v>0</v>
      </c>
      <c r="AA74" s="133">
        <f>'Optional Adjustment 9'!G74*$AA$1</f>
        <v>0</v>
      </c>
      <c r="AB74" s="133">
        <f>'Optional Adjustment 10'!G74*$AB$1</f>
        <v>0</v>
      </c>
      <c r="AC74" s="133">
        <f>'Optional Adjustment 11'!G74*$AC$1</f>
        <v>0</v>
      </c>
      <c r="AD74" s="133">
        <f>'Optional Adjustment 12'!G74*$AD$1</f>
        <v>0</v>
      </c>
      <c r="AE74" s="133">
        <f>'Optional Adjustment 13'!G74*$AE$1</f>
        <v>0</v>
      </c>
      <c r="AF74" s="133">
        <f>'Optional Adjustment 14'!G74*$AF$1</f>
        <v>0</v>
      </c>
      <c r="AG74" s="133">
        <f>'Optional Adjustment 15'!G74*$AG$1</f>
        <v>0</v>
      </c>
      <c r="AH74" s="133">
        <f>'Optional Adjustment 16'!G74*$AH$1</f>
        <v>0</v>
      </c>
      <c r="AI74" s="133">
        <f>'Optional Adjustment 17'!G74*$AI$1</f>
        <v>0</v>
      </c>
      <c r="AJ74" s="133">
        <f>'Optional Adjustment 18'!G74*$AJ$1</f>
        <v>0</v>
      </c>
      <c r="AK74" s="133">
        <f>'Optional Adjustment 19'!G74*$AK$1</f>
        <v>0</v>
      </c>
      <c r="AL74" s="133">
        <f>'Optional Adjustment 20'!G74*$AL$1</f>
        <v>0</v>
      </c>
      <c r="AM74" s="133">
        <f>'Optional Adjustment 21'!G74*$AM$1</f>
        <v>0</v>
      </c>
      <c r="AN74" s="133">
        <f>'Optional Adjustment 22'!G74*$AN$1</f>
        <v>0</v>
      </c>
      <c r="AO74" s="133">
        <f>'Optional Adjustment 23'!G74*$AO$1</f>
        <v>0</v>
      </c>
      <c r="AP74" s="133">
        <f>'Optional Adjustment 24'!G74*$AP$1</f>
        <v>0</v>
      </c>
      <c r="AQ74" s="133">
        <f>'Optional Adjustment 25'!G74*$AQ$1</f>
        <v>0</v>
      </c>
      <c r="AR74" s="133">
        <f>'Optional Adjustment 26'!G74*$AR$1</f>
        <v>0</v>
      </c>
      <c r="AS74" s="133">
        <f>'Optional Adjustment 27'!G74*$AS$1</f>
        <v>0</v>
      </c>
      <c r="AT74" s="133"/>
      <c r="AU74" s="133">
        <f>SUM(F74:AT74)</f>
        <v>0</v>
      </c>
      <c r="AV74" s="116"/>
      <c r="AW74" s="133">
        <f>SUM(AU74:AU74)</f>
        <v>0</v>
      </c>
      <c r="AX74" s="133">
        <f>+AW74-'ROR-Model'!G74</f>
        <v>0</v>
      </c>
    </row>
    <row r="75" spans="1:50">
      <c r="A75" s="330"/>
      <c r="B75" s="728"/>
      <c r="C75" s="728" t="s">
        <v>19</v>
      </c>
      <c r="D75" s="106"/>
      <c r="E75" s="331"/>
      <c r="F75" s="131">
        <f>SUM(F70:F74)</f>
        <v>0</v>
      </c>
      <c r="G75" s="131"/>
      <c r="H75" s="131">
        <f>H1*SUM(H70:H74)</f>
        <v>0</v>
      </c>
      <c r="I75" s="131">
        <f>SUM(I70:I74)</f>
        <v>0</v>
      </c>
      <c r="J75" s="131">
        <f t="shared" ref="J75:P75" si="62">SUM(J70:J74)</f>
        <v>0</v>
      </c>
      <c r="K75" s="131">
        <f t="shared" si="62"/>
        <v>0</v>
      </c>
      <c r="L75" s="131">
        <f t="shared" si="62"/>
        <v>0</v>
      </c>
      <c r="M75" s="131">
        <f t="shared" si="62"/>
        <v>0</v>
      </c>
      <c r="N75" s="131">
        <f t="shared" si="62"/>
        <v>0</v>
      </c>
      <c r="O75" s="131">
        <f t="shared" si="62"/>
        <v>0</v>
      </c>
      <c r="P75" s="131">
        <f t="shared" si="62"/>
        <v>0</v>
      </c>
      <c r="Q75" s="241">
        <f t="shared" ref="Q75:W75" si="63">SUM(Q70:Q74)</f>
        <v>0</v>
      </c>
      <c r="R75" s="241">
        <f t="shared" si="63"/>
        <v>0</v>
      </c>
      <c r="S75" s="556"/>
      <c r="T75" s="556">
        <f t="shared" si="63"/>
        <v>0</v>
      </c>
      <c r="U75" s="556">
        <f t="shared" si="63"/>
        <v>0</v>
      </c>
      <c r="V75" s="556">
        <f t="shared" si="63"/>
        <v>0</v>
      </c>
      <c r="W75" s="556">
        <f t="shared" si="63"/>
        <v>0</v>
      </c>
      <c r="X75" s="556">
        <f t="shared" ref="X75:AG75" si="64">SUM(X70:X74)</f>
        <v>0</v>
      </c>
      <c r="Y75" s="556">
        <f t="shared" si="64"/>
        <v>0</v>
      </c>
      <c r="Z75" s="556">
        <f t="shared" si="64"/>
        <v>0</v>
      </c>
      <c r="AA75" s="556">
        <f t="shared" si="64"/>
        <v>0</v>
      </c>
      <c r="AB75" s="556">
        <f t="shared" si="64"/>
        <v>0</v>
      </c>
      <c r="AC75" s="556">
        <f t="shared" si="64"/>
        <v>0</v>
      </c>
      <c r="AD75" s="556">
        <f t="shared" si="64"/>
        <v>0</v>
      </c>
      <c r="AE75" s="556">
        <f t="shared" si="64"/>
        <v>0</v>
      </c>
      <c r="AF75" s="556">
        <f t="shared" si="64"/>
        <v>0</v>
      </c>
      <c r="AG75" s="556">
        <f t="shared" si="64"/>
        <v>0</v>
      </c>
      <c r="AH75" s="556">
        <f t="shared" ref="AH75:AK75" si="65">SUM(AH70:AH74)</f>
        <v>0</v>
      </c>
      <c r="AI75" s="556">
        <f t="shared" si="65"/>
        <v>0</v>
      </c>
      <c r="AJ75" s="556">
        <f t="shared" si="65"/>
        <v>0</v>
      </c>
      <c r="AK75" s="556">
        <f t="shared" si="65"/>
        <v>0</v>
      </c>
      <c r="AL75" s="556">
        <f t="shared" ref="AL75:AP75" si="66">SUM(AL70:AL74)</f>
        <v>0</v>
      </c>
      <c r="AM75" s="556">
        <f t="shared" si="66"/>
        <v>0</v>
      </c>
      <c r="AN75" s="556">
        <f t="shared" si="66"/>
        <v>0</v>
      </c>
      <c r="AO75" s="556">
        <f t="shared" si="66"/>
        <v>0</v>
      </c>
      <c r="AP75" s="556">
        <f t="shared" si="66"/>
        <v>0</v>
      </c>
      <c r="AQ75" s="556">
        <f t="shared" ref="AQ75:AS75" si="67">SUM(AQ70:AQ74)</f>
        <v>0</v>
      </c>
      <c r="AR75" s="556">
        <f t="shared" si="67"/>
        <v>0</v>
      </c>
      <c r="AS75" s="556">
        <f t="shared" si="67"/>
        <v>0</v>
      </c>
      <c r="AT75" s="556"/>
      <c r="AU75" s="241">
        <f>SUM(AU70:AU74)</f>
        <v>0</v>
      </c>
      <c r="AV75" s="131"/>
      <c r="AW75" s="241">
        <f>SUM(AW70:AW74)</f>
        <v>0</v>
      </c>
      <c r="AX75" s="241">
        <f>+AW75-'ROR-Model'!G75</f>
        <v>0</v>
      </c>
    </row>
    <row r="76" spans="1:50">
      <c r="A76" s="330"/>
      <c r="B76" s="728"/>
      <c r="C76" s="728"/>
      <c r="D76" s="106"/>
      <c r="E76" s="331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16"/>
      <c r="AW76" s="133"/>
      <c r="AX76" s="133">
        <f>+AW76-'ROR-Model'!G76</f>
        <v>0</v>
      </c>
    </row>
    <row r="77" spans="1:50">
      <c r="A77" s="330"/>
      <c r="B77" s="728"/>
      <c r="C77" s="728" t="s">
        <v>20</v>
      </c>
      <c r="D77" s="106"/>
      <c r="E77" s="331"/>
      <c r="F77" s="116"/>
      <c r="G77" s="116"/>
      <c r="H77" s="116">
        <f>H1*Revenue!$K$76</f>
        <v>0</v>
      </c>
      <c r="I77" s="116"/>
      <c r="J77" s="116"/>
      <c r="K77" s="116"/>
      <c r="L77" s="116"/>
      <c r="M77" s="116"/>
      <c r="N77" s="116"/>
      <c r="O77" s="116"/>
      <c r="P77" s="116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>
        <f>SUM(F77:AT77)</f>
        <v>0</v>
      </c>
      <c r="AV77" s="116"/>
      <c r="AW77" s="133">
        <f>SUM(AU77:AU77)</f>
        <v>0</v>
      </c>
      <c r="AX77" s="133">
        <f>+AW77-'ROR-Model'!G77</f>
        <v>0</v>
      </c>
    </row>
    <row r="78" spans="1:50">
      <c r="A78" s="330"/>
      <c r="B78" s="728"/>
      <c r="C78" s="728"/>
      <c r="D78" s="106"/>
      <c r="E78" s="331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16"/>
      <c r="AW78" s="133"/>
      <c r="AX78" s="133">
        <f>+AW78-'ROR-Model'!G78</f>
        <v>0</v>
      </c>
    </row>
    <row r="79" spans="1:50">
      <c r="A79" s="330"/>
      <c r="B79" s="728" t="s">
        <v>88</v>
      </c>
      <c r="C79" s="728" t="s">
        <v>16</v>
      </c>
      <c r="D79" s="106"/>
      <c r="E79" s="331"/>
      <c r="F79" s="116"/>
      <c r="G79" s="116"/>
      <c r="H79" s="116">
        <f>H1*Revenue!$K$78</f>
        <v>0</v>
      </c>
      <c r="I79" s="116"/>
      <c r="J79" s="116"/>
      <c r="K79" s="116"/>
      <c r="L79" s="116"/>
      <c r="M79" s="116"/>
      <c r="N79" s="116"/>
      <c r="O79" s="116"/>
      <c r="P79" s="116"/>
      <c r="Q79" s="133"/>
      <c r="R79" s="133"/>
      <c r="S79" s="133"/>
      <c r="T79" s="133">
        <f>'Optional Adjustment 2'!G79*$T$1</f>
        <v>0</v>
      </c>
      <c r="U79" s="133">
        <f>'Optional Adjustment 3'!G79*$U$1</f>
        <v>0</v>
      </c>
      <c r="V79" s="133">
        <f>'Optional Adjustment 4'!G79*$V$1</f>
        <v>0</v>
      </c>
      <c r="W79" s="133">
        <f>'Optional Adjustment 5'!G79*$W$1</f>
        <v>0</v>
      </c>
      <c r="X79" s="133">
        <f>'Optional Adjustment 6'!G79*$X$1</f>
        <v>0</v>
      </c>
      <c r="Y79" s="133">
        <f>'Optional Adjustment 7'!G79*$Y$1</f>
        <v>0</v>
      </c>
      <c r="Z79" s="133">
        <f>'Optional Adjustment 8'!G79*$Z$1</f>
        <v>0</v>
      </c>
      <c r="AA79" s="133">
        <f>'Optional Adjustment 9'!G79*$AA$1</f>
        <v>0</v>
      </c>
      <c r="AB79" s="133">
        <f>'Optional Adjustment 10'!G79*$AB$1</f>
        <v>0</v>
      </c>
      <c r="AC79" s="133">
        <f>'Optional Adjustment 11'!G79*$AC$1</f>
        <v>0</v>
      </c>
      <c r="AD79" s="133">
        <f>'Optional Adjustment 12'!G79*$AD$1</f>
        <v>0</v>
      </c>
      <c r="AE79" s="133">
        <f>'Optional Adjustment 13'!G79*$AE$1</f>
        <v>0</v>
      </c>
      <c r="AF79" s="133">
        <f>'Optional Adjustment 14'!G79*$AF$1</f>
        <v>0</v>
      </c>
      <c r="AG79" s="133">
        <f>'Optional Adjustment 15'!G79*$AG$1</f>
        <v>0</v>
      </c>
      <c r="AH79" s="133">
        <f>'Optional Adjustment 16'!G79*$AH$1</f>
        <v>0</v>
      </c>
      <c r="AI79" s="133">
        <f>'Optional Adjustment 17'!G79*$AI$1</f>
        <v>0</v>
      </c>
      <c r="AJ79" s="133">
        <f>'Optional Adjustment 18'!G79*$AJ$1</f>
        <v>0</v>
      </c>
      <c r="AK79" s="133">
        <f>'Optional Adjustment 19'!G79*$AK$1</f>
        <v>0</v>
      </c>
      <c r="AL79" s="133">
        <f>'Optional Adjustment 20'!G79*$AL$1</f>
        <v>0</v>
      </c>
      <c r="AM79" s="133">
        <f>'Optional Adjustment 21'!G79*$AM$1</f>
        <v>0</v>
      </c>
      <c r="AN79" s="133">
        <f>'Optional Adjustment 22'!G79*$AN$1</f>
        <v>0</v>
      </c>
      <c r="AO79" s="133">
        <f>'Optional Adjustment 23'!G79*$AO$1</f>
        <v>0</v>
      </c>
      <c r="AP79" s="133">
        <f>'Optional Adjustment 24'!G79*$AP$1</f>
        <v>0</v>
      </c>
      <c r="AQ79" s="133">
        <f>'Optional Adjustment 25'!G79*$AQ$1</f>
        <v>0</v>
      </c>
      <c r="AR79" s="133">
        <f>'Optional Adjustment 26'!G79*$AR$1</f>
        <v>0</v>
      </c>
      <c r="AS79" s="133">
        <f>'Optional Adjustment 27'!G79*$AS$1</f>
        <v>0</v>
      </c>
      <c r="AT79" s="133"/>
      <c r="AU79" s="133">
        <f>SUM(F79:AT79)</f>
        <v>0</v>
      </c>
      <c r="AV79" s="116"/>
      <c r="AW79" s="133">
        <f>SUM(AU79:AU79)</f>
        <v>0</v>
      </c>
      <c r="AX79" s="133">
        <f>+AW79-'ROR-Model'!G79</f>
        <v>0</v>
      </c>
    </row>
    <row r="80" spans="1:50">
      <c r="A80" s="330"/>
      <c r="B80" s="728"/>
      <c r="C80" s="728"/>
      <c r="D80" s="106"/>
      <c r="E80" s="331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16"/>
      <c r="AW80" s="133"/>
      <c r="AX80" s="133">
        <f>+AW80-'ROR-Model'!G80</f>
        <v>0</v>
      </c>
    </row>
    <row r="81" spans="1:50">
      <c r="A81" s="330"/>
      <c r="B81" s="728"/>
      <c r="C81" s="728" t="s">
        <v>17</v>
      </c>
      <c r="D81" s="106"/>
      <c r="E81" s="331"/>
      <c r="F81" s="116"/>
      <c r="G81" s="116"/>
      <c r="H81" s="116">
        <f>H1*Revenue!$K$80</f>
        <v>0</v>
      </c>
      <c r="I81" s="116"/>
      <c r="J81" s="116"/>
      <c r="K81" s="116"/>
      <c r="L81" s="116"/>
      <c r="M81" s="116"/>
      <c r="N81" s="116"/>
      <c r="O81" s="116"/>
      <c r="P81" s="116"/>
      <c r="Q81" s="133"/>
      <c r="R81" s="133"/>
      <c r="S81" s="133"/>
      <c r="T81" s="133">
        <f>'Optional Adjustment 2'!G81*$T$1</f>
        <v>0</v>
      </c>
      <c r="U81" s="133">
        <f>'Optional Adjustment 3'!G81*$U$1</f>
        <v>0</v>
      </c>
      <c r="V81" s="133">
        <f>'Optional Adjustment 4'!G81*$V$1</f>
        <v>0</v>
      </c>
      <c r="W81" s="133">
        <f>'Optional Adjustment 5'!G81*$W$1</f>
        <v>0</v>
      </c>
      <c r="X81" s="133">
        <f>'Optional Adjustment 6'!G81*$X$1</f>
        <v>0</v>
      </c>
      <c r="Y81" s="133">
        <f>'Optional Adjustment 7'!G81*$Y$1</f>
        <v>0</v>
      </c>
      <c r="Z81" s="133">
        <f>'Optional Adjustment 8'!G81*$Z$1</f>
        <v>0</v>
      </c>
      <c r="AA81" s="133">
        <f>'Optional Adjustment 9'!G81*$AA$1</f>
        <v>0</v>
      </c>
      <c r="AB81" s="133">
        <f>'Optional Adjustment 10'!G81*$AB$1</f>
        <v>0</v>
      </c>
      <c r="AC81" s="133">
        <f>'Optional Adjustment 11'!G81*$AC$1</f>
        <v>0</v>
      </c>
      <c r="AD81" s="133">
        <f>'Optional Adjustment 12'!G81*$AD$1</f>
        <v>0</v>
      </c>
      <c r="AE81" s="133">
        <f>'Optional Adjustment 13'!G81*$AE$1</f>
        <v>0</v>
      </c>
      <c r="AF81" s="133">
        <f>'Optional Adjustment 14'!G81*$AF$1</f>
        <v>0</v>
      </c>
      <c r="AG81" s="133">
        <f>'Optional Adjustment 15'!G81*$AG$1</f>
        <v>0</v>
      </c>
      <c r="AH81" s="133">
        <f>'Optional Adjustment 16'!G81*$AH$1</f>
        <v>0</v>
      </c>
      <c r="AI81" s="133">
        <f>'Optional Adjustment 17'!G81*$AI$1</f>
        <v>0</v>
      </c>
      <c r="AJ81" s="133">
        <f>'Optional Adjustment 18'!G81*$AJ$1</f>
        <v>0</v>
      </c>
      <c r="AK81" s="133">
        <f>'Optional Adjustment 19'!G81*$AK$1</f>
        <v>0</v>
      </c>
      <c r="AL81" s="133">
        <f>'Optional Adjustment 20'!G81*$AL$1</f>
        <v>0</v>
      </c>
      <c r="AM81" s="133">
        <f>'Optional Adjustment 21'!G81*$AM$1</f>
        <v>0</v>
      </c>
      <c r="AN81" s="133">
        <f>'Optional Adjustment 22'!G81*$AN$1</f>
        <v>0</v>
      </c>
      <c r="AO81" s="133">
        <f>'Optional Adjustment 23'!G81*$AO$1</f>
        <v>0</v>
      </c>
      <c r="AP81" s="133">
        <f>'Optional Adjustment 24'!G81*$AP$1</f>
        <v>0</v>
      </c>
      <c r="AQ81" s="133">
        <f>'Optional Adjustment 25'!G81*$AQ$1</f>
        <v>0</v>
      </c>
      <c r="AR81" s="133">
        <f>'Optional Adjustment 26'!G81*$AR$1</f>
        <v>0</v>
      </c>
      <c r="AS81" s="133">
        <f>'Optional Adjustment 27'!G81*$AS$1</f>
        <v>0</v>
      </c>
      <c r="AT81" s="133"/>
      <c r="AU81" s="133">
        <f>SUM(F81:AT81)</f>
        <v>0</v>
      </c>
      <c r="AV81" s="116"/>
      <c r="AW81" s="133">
        <f>SUM(AU81:AU81)</f>
        <v>0</v>
      </c>
      <c r="AX81" s="133">
        <f>+AW81-'ROR-Model'!G81</f>
        <v>0</v>
      </c>
    </row>
    <row r="82" spans="1:50">
      <c r="A82" s="330"/>
      <c r="B82" s="728"/>
      <c r="C82" s="728"/>
      <c r="D82" s="106"/>
      <c r="E82" s="331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16"/>
      <c r="AW82" s="133"/>
      <c r="AX82" s="133">
        <f>+AW82-'ROR-Model'!G82</f>
        <v>0</v>
      </c>
    </row>
    <row r="83" spans="1:50">
      <c r="A83" s="330"/>
      <c r="B83" s="728"/>
      <c r="C83" s="728" t="s">
        <v>18</v>
      </c>
      <c r="D83" s="106"/>
      <c r="E83" s="331"/>
      <c r="F83" s="116"/>
      <c r="G83" s="116"/>
      <c r="H83" s="116">
        <f>H1*Revenue!$K$82</f>
        <v>0</v>
      </c>
      <c r="I83" s="116"/>
      <c r="J83" s="116"/>
      <c r="K83" s="116"/>
      <c r="L83" s="116"/>
      <c r="M83" s="116"/>
      <c r="N83" s="116"/>
      <c r="O83" s="116"/>
      <c r="P83" s="116"/>
      <c r="Q83" s="133"/>
      <c r="R83" s="133"/>
      <c r="S83" s="133"/>
      <c r="T83" s="133">
        <f>'Optional Adjustment 2'!G83*$T$1</f>
        <v>0</v>
      </c>
      <c r="U83" s="133">
        <f>'Optional Adjustment 3'!G83*$U$1</f>
        <v>0</v>
      </c>
      <c r="V83" s="133">
        <f>'Optional Adjustment 4'!G83*$V$1</f>
        <v>0</v>
      </c>
      <c r="W83" s="133">
        <f>'Optional Adjustment 5'!G83*$W$1</f>
        <v>0</v>
      </c>
      <c r="X83" s="133">
        <f>'Optional Adjustment 6'!G83*$X$1</f>
        <v>0</v>
      </c>
      <c r="Y83" s="133">
        <f>'Optional Adjustment 7'!G83*$Y$1</f>
        <v>0</v>
      </c>
      <c r="Z83" s="133">
        <f>'Optional Adjustment 8'!G83*$Z$1</f>
        <v>0</v>
      </c>
      <c r="AA83" s="133">
        <f>'Optional Adjustment 9'!G83*$AA$1</f>
        <v>0</v>
      </c>
      <c r="AB83" s="133">
        <f>'Optional Adjustment 10'!G83*$AB$1</f>
        <v>0</v>
      </c>
      <c r="AC83" s="133">
        <f>'Optional Adjustment 11'!G83*$AC$1</f>
        <v>0</v>
      </c>
      <c r="AD83" s="133">
        <f>'Optional Adjustment 12'!G83*$AD$1</f>
        <v>0</v>
      </c>
      <c r="AE83" s="133">
        <f>'Optional Adjustment 13'!G83*$AE$1</f>
        <v>0</v>
      </c>
      <c r="AF83" s="133">
        <f>'Optional Adjustment 14'!G83*$AF$1</f>
        <v>0</v>
      </c>
      <c r="AG83" s="133">
        <f>'Optional Adjustment 15'!G83*$AG$1</f>
        <v>0</v>
      </c>
      <c r="AH83" s="133">
        <f>'Optional Adjustment 16'!G83*$AH$1</f>
        <v>0</v>
      </c>
      <c r="AI83" s="133">
        <f>'Optional Adjustment 17'!G83*$AI$1</f>
        <v>0</v>
      </c>
      <c r="AJ83" s="133">
        <f>'Optional Adjustment 18'!G83*$AJ$1</f>
        <v>0</v>
      </c>
      <c r="AK83" s="133">
        <f>'Optional Adjustment 19'!G83*$AK$1</f>
        <v>0</v>
      </c>
      <c r="AL83" s="133">
        <f>'Optional Adjustment 20'!G83*$AL$1</f>
        <v>0</v>
      </c>
      <c r="AM83" s="133">
        <f>'Optional Adjustment 21'!G83*$AM$1</f>
        <v>0</v>
      </c>
      <c r="AN83" s="133">
        <f>'Optional Adjustment 22'!G83*$AN$1</f>
        <v>0</v>
      </c>
      <c r="AO83" s="133">
        <f>'Optional Adjustment 23'!G83*$AO$1</f>
        <v>0</v>
      </c>
      <c r="AP83" s="133">
        <f>'Optional Adjustment 24'!G83*$AP$1</f>
        <v>0</v>
      </c>
      <c r="AQ83" s="133">
        <f>'Optional Adjustment 25'!G83*$AQ$1</f>
        <v>0</v>
      </c>
      <c r="AR83" s="133">
        <f>'Optional Adjustment 26'!G83*$AR$1</f>
        <v>0</v>
      </c>
      <c r="AS83" s="133">
        <f>'Optional Adjustment 27'!G83*$AS$1</f>
        <v>0</v>
      </c>
      <c r="AT83" s="133"/>
      <c r="AU83" s="133">
        <f>SUM(F83:AT83)</f>
        <v>0</v>
      </c>
      <c r="AV83" s="116"/>
      <c r="AW83" s="133">
        <f>SUM(AU83:AU83)</f>
        <v>0</v>
      </c>
      <c r="AX83" s="133">
        <f>+AW83-'ROR-Model'!G83</f>
        <v>0</v>
      </c>
    </row>
    <row r="84" spans="1:50">
      <c r="A84" s="330"/>
      <c r="B84" s="728"/>
      <c r="C84" s="728" t="s">
        <v>19</v>
      </c>
      <c r="D84" s="106"/>
      <c r="E84" s="331"/>
      <c r="F84" s="131">
        <f>SUM(F79:F83)</f>
        <v>0</v>
      </c>
      <c r="G84" s="131"/>
      <c r="H84" s="131">
        <f>H1*SUM(H79:H83)</f>
        <v>0</v>
      </c>
      <c r="I84" s="131">
        <f>SUM(I79:I83)</f>
        <v>0</v>
      </c>
      <c r="J84" s="131">
        <f t="shared" ref="J84:P84" si="68">SUM(J79:J83)</f>
        <v>0</v>
      </c>
      <c r="K84" s="131">
        <f t="shared" si="68"/>
        <v>0</v>
      </c>
      <c r="L84" s="131">
        <f t="shared" si="68"/>
        <v>0</v>
      </c>
      <c r="M84" s="131">
        <f t="shared" si="68"/>
        <v>0</v>
      </c>
      <c r="N84" s="131">
        <f t="shared" si="68"/>
        <v>0</v>
      </c>
      <c r="O84" s="131">
        <f t="shared" si="68"/>
        <v>0</v>
      </c>
      <c r="P84" s="131">
        <f t="shared" si="68"/>
        <v>0</v>
      </c>
      <c r="Q84" s="241">
        <f t="shared" ref="Q84:W84" si="69">SUM(Q79:Q83)</f>
        <v>0</v>
      </c>
      <c r="R84" s="241">
        <f t="shared" si="69"/>
        <v>0</v>
      </c>
      <c r="S84" s="556"/>
      <c r="T84" s="556">
        <f t="shared" si="69"/>
        <v>0</v>
      </c>
      <c r="U84" s="556">
        <f t="shared" si="69"/>
        <v>0</v>
      </c>
      <c r="V84" s="556">
        <f t="shared" si="69"/>
        <v>0</v>
      </c>
      <c r="W84" s="556">
        <f t="shared" si="69"/>
        <v>0</v>
      </c>
      <c r="X84" s="556">
        <f t="shared" ref="X84:AG84" si="70">SUM(X79:X83)</f>
        <v>0</v>
      </c>
      <c r="Y84" s="556">
        <f t="shared" si="70"/>
        <v>0</v>
      </c>
      <c r="Z84" s="556">
        <f t="shared" si="70"/>
        <v>0</v>
      </c>
      <c r="AA84" s="556">
        <f t="shared" si="70"/>
        <v>0</v>
      </c>
      <c r="AB84" s="556">
        <f t="shared" si="70"/>
        <v>0</v>
      </c>
      <c r="AC84" s="556">
        <f t="shared" si="70"/>
        <v>0</v>
      </c>
      <c r="AD84" s="556">
        <f t="shared" si="70"/>
        <v>0</v>
      </c>
      <c r="AE84" s="556">
        <f t="shared" si="70"/>
        <v>0</v>
      </c>
      <c r="AF84" s="556">
        <f t="shared" si="70"/>
        <v>0</v>
      </c>
      <c r="AG84" s="556">
        <f t="shared" si="70"/>
        <v>0</v>
      </c>
      <c r="AH84" s="556">
        <f t="shared" ref="AH84:AK84" si="71">SUM(AH79:AH83)</f>
        <v>0</v>
      </c>
      <c r="AI84" s="556">
        <f t="shared" si="71"/>
        <v>0</v>
      </c>
      <c r="AJ84" s="556">
        <f t="shared" si="71"/>
        <v>0</v>
      </c>
      <c r="AK84" s="556">
        <f t="shared" si="71"/>
        <v>0</v>
      </c>
      <c r="AL84" s="556">
        <f t="shared" ref="AL84:AP84" si="72">SUM(AL79:AL83)</f>
        <v>0</v>
      </c>
      <c r="AM84" s="556">
        <f t="shared" si="72"/>
        <v>0</v>
      </c>
      <c r="AN84" s="556">
        <f t="shared" si="72"/>
        <v>0</v>
      </c>
      <c r="AO84" s="556">
        <f t="shared" si="72"/>
        <v>0</v>
      </c>
      <c r="AP84" s="556">
        <f t="shared" si="72"/>
        <v>0</v>
      </c>
      <c r="AQ84" s="556">
        <f t="shared" ref="AQ84:AS84" si="73">SUM(AQ79:AQ83)</f>
        <v>0</v>
      </c>
      <c r="AR84" s="556">
        <f t="shared" si="73"/>
        <v>0</v>
      </c>
      <c r="AS84" s="556">
        <f t="shared" si="73"/>
        <v>0</v>
      </c>
      <c r="AT84" s="556"/>
      <c r="AU84" s="241">
        <f>SUM(AU79:AU83)</f>
        <v>0</v>
      </c>
      <c r="AV84" s="131"/>
      <c r="AW84" s="241">
        <f>SUM(AW79:AW83)</f>
        <v>0</v>
      </c>
      <c r="AX84" s="241">
        <f>+AW84-'ROR-Model'!G84</f>
        <v>0</v>
      </c>
    </row>
    <row r="85" spans="1:50">
      <c r="A85" s="330"/>
      <c r="B85" s="728"/>
      <c r="C85" s="728"/>
      <c r="D85" s="106"/>
      <c r="E85" s="331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16"/>
      <c r="AW85" s="133"/>
      <c r="AX85" s="133">
        <f>+AW85-'ROR-Model'!G85</f>
        <v>0</v>
      </c>
    </row>
    <row r="86" spans="1:50">
      <c r="A86" s="330"/>
      <c r="B86" s="728"/>
      <c r="C86" s="728" t="s">
        <v>20</v>
      </c>
      <c r="D86" s="106"/>
      <c r="E86" s="331"/>
      <c r="F86" s="116"/>
      <c r="G86" s="116"/>
      <c r="H86" s="116">
        <f>H1*Revenue!$K$85</f>
        <v>0</v>
      </c>
      <c r="I86" s="116"/>
      <c r="J86" s="116"/>
      <c r="K86" s="116"/>
      <c r="L86" s="116"/>
      <c r="M86" s="116"/>
      <c r="N86" s="116"/>
      <c r="O86" s="116"/>
      <c r="P86" s="116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>
        <f>SUM(F86:AT86)</f>
        <v>0</v>
      </c>
      <c r="AV86" s="116"/>
      <c r="AW86" s="133">
        <f>SUM(AU86:AU86)</f>
        <v>0</v>
      </c>
      <c r="AX86" s="133">
        <f>+AW86-'ROR-Model'!G86</f>
        <v>0</v>
      </c>
    </row>
    <row r="87" spans="1:50">
      <c r="A87" s="330"/>
      <c r="B87" s="728"/>
      <c r="C87" s="728"/>
      <c r="D87" s="106"/>
      <c r="E87" s="331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16"/>
      <c r="AW87" s="133"/>
      <c r="AX87" s="133">
        <f>+AW87-'ROR-Model'!G87</f>
        <v>0</v>
      </c>
    </row>
    <row r="88" spans="1:50">
      <c r="A88" s="330"/>
      <c r="B88" s="728" t="s">
        <v>89</v>
      </c>
      <c r="C88" s="728" t="s">
        <v>16</v>
      </c>
      <c r="D88" s="106"/>
      <c r="E88" s="331"/>
      <c r="F88" s="116"/>
      <c r="G88" s="116"/>
      <c r="H88" s="116">
        <f>H1*Revenue!$K$87</f>
        <v>0</v>
      </c>
      <c r="I88" s="116"/>
      <c r="J88" s="116"/>
      <c r="K88" s="116"/>
      <c r="L88" s="116"/>
      <c r="M88" s="116"/>
      <c r="N88" s="116"/>
      <c r="O88" s="116"/>
      <c r="P88" s="116"/>
      <c r="Q88" s="133"/>
      <c r="R88" s="133"/>
      <c r="S88" s="133"/>
      <c r="T88" s="133">
        <f>'Optional Adjustment 2'!G88*$T$1</f>
        <v>0</v>
      </c>
      <c r="U88" s="133">
        <f>'Optional Adjustment 3'!G88*$U$1</f>
        <v>0</v>
      </c>
      <c r="V88" s="133">
        <f>'Optional Adjustment 4'!G88*$V$1</f>
        <v>0</v>
      </c>
      <c r="W88" s="133">
        <f>'Optional Adjustment 5'!G88*$W$1</f>
        <v>0</v>
      </c>
      <c r="X88" s="133">
        <f>'Optional Adjustment 6'!G88*$X$1</f>
        <v>0</v>
      </c>
      <c r="Y88" s="133">
        <f>'Optional Adjustment 7'!G88*$Y$1</f>
        <v>0</v>
      </c>
      <c r="Z88" s="133">
        <f>'Optional Adjustment 8'!G88*$Z$1</f>
        <v>0</v>
      </c>
      <c r="AA88" s="133">
        <f>'Optional Adjustment 9'!G88*$AA$1</f>
        <v>0</v>
      </c>
      <c r="AB88" s="133">
        <f>'Optional Adjustment 10'!G88*$AB$1</f>
        <v>0</v>
      </c>
      <c r="AC88" s="133">
        <f>'Optional Adjustment 11'!G88*$AC$1</f>
        <v>0</v>
      </c>
      <c r="AD88" s="133">
        <f>'Optional Adjustment 12'!G88*$AD$1</f>
        <v>0</v>
      </c>
      <c r="AE88" s="133">
        <f>'Optional Adjustment 13'!G88*$AE$1</f>
        <v>0</v>
      </c>
      <c r="AF88" s="133">
        <f>'Optional Adjustment 14'!G88*$AF$1</f>
        <v>0</v>
      </c>
      <c r="AG88" s="133">
        <f>'Optional Adjustment 15'!G88*$AG$1</f>
        <v>0</v>
      </c>
      <c r="AH88" s="133">
        <f>'Optional Adjustment 16'!G88*$AH$1</f>
        <v>0</v>
      </c>
      <c r="AI88" s="133">
        <f>'Optional Adjustment 17'!G88*$AI$1</f>
        <v>0</v>
      </c>
      <c r="AJ88" s="133">
        <f>'Optional Adjustment 18'!G88*$AJ$1</f>
        <v>0</v>
      </c>
      <c r="AK88" s="133">
        <f>'Optional Adjustment 19'!G88*$AK$1</f>
        <v>0</v>
      </c>
      <c r="AL88" s="133">
        <f>'Optional Adjustment 20'!G88*$AL$1</f>
        <v>0</v>
      </c>
      <c r="AM88" s="133">
        <f>'Optional Adjustment 21'!G88*$AM$1</f>
        <v>0</v>
      </c>
      <c r="AN88" s="133">
        <f>'Optional Adjustment 22'!G88*$AN$1</f>
        <v>0</v>
      </c>
      <c r="AO88" s="133">
        <f>'Optional Adjustment 23'!G88*$AO$1</f>
        <v>0</v>
      </c>
      <c r="AP88" s="133">
        <f>'Optional Adjustment 24'!G88*$AP$1</f>
        <v>0</v>
      </c>
      <c r="AQ88" s="133">
        <f>'Optional Adjustment 25'!G88*$AQ$1</f>
        <v>0</v>
      </c>
      <c r="AR88" s="133">
        <f>'Optional Adjustment 26'!G88*$AR$1</f>
        <v>0</v>
      </c>
      <c r="AS88" s="133">
        <f>'Optional Adjustment 27'!G88*$AS$1</f>
        <v>0</v>
      </c>
      <c r="AT88" s="133"/>
      <c r="AU88" s="133">
        <f>SUM(F88:AT88)</f>
        <v>0</v>
      </c>
      <c r="AV88" s="116"/>
      <c r="AW88" s="133">
        <f>SUM(AU88:AU88)</f>
        <v>0</v>
      </c>
      <c r="AX88" s="133">
        <f>+AW88-'ROR-Model'!G88</f>
        <v>0</v>
      </c>
    </row>
    <row r="89" spans="1:50">
      <c r="A89" s="330"/>
      <c r="B89" s="728"/>
      <c r="C89" s="728"/>
      <c r="D89" s="106"/>
      <c r="E89" s="331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16"/>
      <c r="AW89" s="133"/>
      <c r="AX89" s="133">
        <f>+AW89-'ROR-Model'!G89</f>
        <v>0</v>
      </c>
    </row>
    <row r="90" spans="1:50">
      <c r="A90" s="330"/>
      <c r="B90" s="728"/>
      <c r="C90" s="728" t="s">
        <v>17</v>
      </c>
      <c r="D90" s="106"/>
      <c r="E90" s="331"/>
      <c r="F90" s="116"/>
      <c r="G90" s="116"/>
      <c r="H90" s="116">
        <f>H1*Revenue!$K$89</f>
        <v>0</v>
      </c>
      <c r="I90" s="116"/>
      <c r="J90" s="116"/>
      <c r="K90" s="116"/>
      <c r="L90" s="116"/>
      <c r="M90" s="116"/>
      <c r="N90" s="116"/>
      <c r="O90" s="116"/>
      <c r="P90" s="116"/>
      <c r="Q90" s="133"/>
      <c r="R90" s="133"/>
      <c r="S90" s="133"/>
      <c r="T90" s="133">
        <f>'Optional Adjustment 2'!G90*$T$1</f>
        <v>0</v>
      </c>
      <c r="U90" s="133">
        <f>'Optional Adjustment 3'!G90*$U$1</f>
        <v>0</v>
      </c>
      <c r="V90" s="133">
        <f>'Optional Adjustment 4'!G90*$V$1</f>
        <v>0</v>
      </c>
      <c r="W90" s="133">
        <f>'Optional Adjustment 5'!G90*$W$1</f>
        <v>0</v>
      </c>
      <c r="X90" s="133">
        <f>'Optional Adjustment 6'!G90*$X$1</f>
        <v>0</v>
      </c>
      <c r="Y90" s="133">
        <f>'Optional Adjustment 7'!G90*$Y$1</f>
        <v>0</v>
      </c>
      <c r="Z90" s="133">
        <f>'Optional Adjustment 8'!G90*$Z$1</f>
        <v>0</v>
      </c>
      <c r="AA90" s="133">
        <f>'Optional Adjustment 9'!G90*$AA$1</f>
        <v>0</v>
      </c>
      <c r="AB90" s="133">
        <f>'Optional Adjustment 10'!G90*$AB$1</f>
        <v>0</v>
      </c>
      <c r="AC90" s="133">
        <f>'Optional Adjustment 11'!G90*$AC$1</f>
        <v>0</v>
      </c>
      <c r="AD90" s="133">
        <f>'Optional Adjustment 12'!G90*$AD$1</f>
        <v>0</v>
      </c>
      <c r="AE90" s="133">
        <f>'Optional Adjustment 13'!G90*$AE$1</f>
        <v>0</v>
      </c>
      <c r="AF90" s="133">
        <f>'Optional Adjustment 14'!G90*$AF$1</f>
        <v>0</v>
      </c>
      <c r="AG90" s="133">
        <f>'Optional Adjustment 15'!G90*$AG$1</f>
        <v>0</v>
      </c>
      <c r="AH90" s="133">
        <f>'Optional Adjustment 16'!G90*$AH$1</f>
        <v>0</v>
      </c>
      <c r="AI90" s="133">
        <f>'Optional Adjustment 17'!G90*$AI$1</f>
        <v>0</v>
      </c>
      <c r="AJ90" s="133">
        <f>'Optional Adjustment 18'!G90*$AJ$1</f>
        <v>0</v>
      </c>
      <c r="AK90" s="133">
        <f>'Optional Adjustment 19'!G90*$AK$1</f>
        <v>0</v>
      </c>
      <c r="AL90" s="133">
        <f>'Optional Adjustment 20'!G90*$AL$1</f>
        <v>0</v>
      </c>
      <c r="AM90" s="133">
        <f>'Optional Adjustment 21'!G90*$AM$1</f>
        <v>0</v>
      </c>
      <c r="AN90" s="133">
        <f>'Optional Adjustment 22'!G90*$AN$1</f>
        <v>0</v>
      </c>
      <c r="AO90" s="133">
        <f>'Optional Adjustment 23'!G90*$AO$1</f>
        <v>0</v>
      </c>
      <c r="AP90" s="133">
        <f>'Optional Adjustment 24'!G90*$AP$1</f>
        <v>0</v>
      </c>
      <c r="AQ90" s="133">
        <f>'Optional Adjustment 25'!G90*$AQ$1</f>
        <v>0</v>
      </c>
      <c r="AR90" s="133">
        <f>'Optional Adjustment 26'!G90*$AR$1</f>
        <v>0</v>
      </c>
      <c r="AS90" s="133">
        <f>'Optional Adjustment 27'!G90*$AS$1</f>
        <v>0</v>
      </c>
      <c r="AT90" s="133"/>
      <c r="AU90" s="133">
        <f>SUM(F90:AT90)</f>
        <v>0</v>
      </c>
      <c r="AV90" s="116"/>
      <c r="AW90" s="133">
        <f>SUM(AU90:AU90)</f>
        <v>0</v>
      </c>
      <c r="AX90" s="133">
        <f>+AW90-'ROR-Model'!G90</f>
        <v>0</v>
      </c>
    </row>
    <row r="91" spans="1:50">
      <c r="A91" s="330"/>
      <c r="B91" s="728"/>
      <c r="C91" s="728"/>
      <c r="D91" s="106"/>
      <c r="E91" s="331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16"/>
      <c r="AW91" s="133"/>
      <c r="AX91" s="133">
        <f>+AW91-'ROR-Model'!G91</f>
        <v>0</v>
      </c>
    </row>
    <row r="92" spans="1:50">
      <c r="A92" s="330"/>
      <c r="B92" s="728"/>
      <c r="C92" s="728" t="s">
        <v>18</v>
      </c>
      <c r="D92" s="106"/>
      <c r="E92" s="331"/>
      <c r="F92" s="116"/>
      <c r="G92" s="116"/>
      <c r="H92" s="116">
        <f>H1*Revenue!$K$91</f>
        <v>0</v>
      </c>
      <c r="I92" s="116"/>
      <c r="J92" s="116"/>
      <c r="K92" s="116"/>
      <c r="L92" s="116"/>
      <c r="M92" s="116"/>
      <c r="N92" s="116"/>
      <c r="O92" s="116"/>
      <c r="P92" s="116"/>
      <c r="Q92" s="133"/>
      <c r="R92" s="133"/>
      <c r="S92" s="133"/>
      <c r="T92" s="133">
        <f>'Optional Adjustment 2'!G92*$T$1</f>
        <v>0</v>
      </c>
      <c r="U92" s="133">
        <f>'Optional Adjustment 3'!G92*$U$1</f>
        <v>0</v>
      </c>
      <c r="V92" s="133">
        <f>'Optional Adjustment 4'!G92*$V$1</f>
        <v>0</v>
      </c>
      <c r="W92" s="133">
        <f>'Optional Adjustment 5'!G92*$W$1</f>
        <v>0</v>
      </c>
      <c r="X92" s="133">
        <f>'Optional Adjustment 6'!G92*$X$1</f>
        <v>0</v>
      </c>
      <c r="Y92" s="133">
        <f>'Optional Adjustment 7'!G92*$Y$1</f>
        <v>0</v>
      </c>
      <c r="Z92" s="133">
        <f>'Optional Adjustment 8'!G92*$Z$1</f>
        <v>0</v>
      </c>
      <c r="AA92" s="133">
        <f>'Optional Adjustment 9'!G92*$AA$1</f>
        <v>0</v>
      </c>
      <c r="AB92" s="133">
        <f>'Optional Adjustment 10'!G92*$AB$1</f>
        <v>0</v>
      </c>
      <c r="AC92" s="133">
        <f>'Optional Adjustment 11'!G92*$AC$1</f>
        <v>0</v>
      </c>
      <c r="AD92" s="133">
        <f>'Optional Adjustment 12'!G92*$AD$1</f>
        <v>0</v>
      </c>
      <c r="AE92" s="133">
        <f>'Optional Adjustment 13'!G92*$AE$1</f>
        <v>0</v>
      </c>
      <c r="AF92" s="133">
        <f>'Optional Adjustment 14'!G92*$AF$1</f>
        <v>0</v>
      </c>
      <c r="AG92" s="133">
        <f>'Optional Adjustment 15'!G92*$AG$1</f>
        <v>0</v>
      </c>
      <c r="AH92" s="133">
        <f>'Optional Adjustment 16'!G92*$AH$1</f>
        <v>0</v>
      </c>
      <c r="AI92" s="133">
        <f>'Optional Adjustment 17'!G92*$AI$1</f>
        <v>0</v>
      </c>
      <c r="AJ92" s="133">
        <f>'Optional Adjustment 18'!G92*$AJ$1</f>
        <v>0</v>
      </c>
      <c r="AK92" s="133">
        <f>'Optional Adjustment 19'!G92*$AK$1</f>
        <v>0</v>
      </c>
      <c r="AL92" s="133">
        <f>'Optional Adjustment 20'!G92*$AL$1</f>
        <v>0</v>
      </c>
      <c r="AM92" s="133">
        <f>'Optional Adjustment 21'!G92*$AM$1</f>
        <v>0</v>
      </c>
      <c r="AN92" s="133">
        <f>'Optional Adjustment 22'!G92*$AN$1</f>
        <v>0</v>
      </c>
      <c r="AO92" s="133">
        <f>'Optional Adjustment 23'!G92*$AO$1</f>
        <v>0</v>
      </c>
      <c r="AP92" s="133">
        <f>'Optional Adjustment 24'!G92*$AP$1</f>
        <v>0</v>
      </c>
      <c r="AQ92" s="133">
        <f>'Optional Adjustment 25'!G92*$AQ$1</f>
        <v>0</v>
      </c>
      <c r="AR92" s="133">
        <f>'Optional Adjustment 26'!G92*$AR$1</f>
        <v>0</v>
      </c>
      <c r="AS92" s="133">
        <f>'Optional Adjustment 27'!G92*$AS$1</f>
        <v>0</v>
      </c>
      <c r="AT92" s="133"/>
      <c r="AU92" s="133">
        <f>SUM(F92:AT92)</f>
        <v>0</v>
      </c>
      <c r="AV92" s="116"/>
      <c r="AW92" s="133">
        <f>SUM(AU92:AU92)</f>
        <v>0</v>
      </c>
      <c r="AX92" s="133">
        <f>+AW92-'ROR-Model'!G92</f>
        <v>0</v>
      </c>
    </row>
    <row r="93" spans="1:50">
      <c r="A93" s="330"/>
      <c r="B93" s="728"/>
      <c r="C93" s="728" t="s">
        <v>19</v>
      </c>
      <c r="D93" s="106"/>
      <c r="E93" s="331"/>
      <c r="F93" s="131">
        <f>SUM(F88:F92)</f>
        <v>0</v>
      </c>
      <c r="G93" s="131"/>
      <c r="H93" s="131">
        <f>H1*SUM(H88:H92)</f>
        <v>0</v>
      </c>
      <c r="I93" s="131">
        <f>SUM(I88:I92)</f>
        <v>0</v>
      </c>
      <c r="J93" s="131">
        <f t="shared" ref="J93:P93" si="74">SUM(J88:J92)</f>
        <v>0</v>
      </c>
      <c r="K93" s="131">
        <f t="shared" si="74"/>
        <v>0</v>
      </c>
      <c r="L93" s="131">
        <f t="shared" si="74"/>
        <v>0</v>
      </c>
      <c r="M93" s="131">
        <f t="shared" si="74"/>
        <v>0</v>
      </c>
      <c r="N93" s="131">
        <f t="shared" si="74"/>
        <v>0</v>
      </c>
      <c r="O93" s="131">
        <f t="shared" si="74"/>
        <v>0</v>
      </c>
      <c r="P93" s="131">
        <f t="shared" si="74"/>
        <v>0</v>
      </c>
      <c r="Q93" s="241">
        <f t="shared" ref="Q93:W93" si="75">SUM(Q88:Q92)</f>
        <v>0</v>
      </c>
      <c r="R93" s="241">
        <f t="shared" si="75"/>
        <v>0</v>
      </c>
      <c r="S93" s="556"/>
      <c r="T93" s="556">
        <f t="shared" si="75"/>
        <v>0</v>
      </c>
      <c r="U93" s="556">
        <f t="shared" si="75"/>
        <v>0</v>
      </c>
      <c r="V93" s="556">
        <f t="shared" si="75"/>
        <v>0</v>
      </c>
      <c r="W93" s="556">
        <f t="shared" si="75"/>
        <v>0</v>
      </c>
      <c r="X93" s="556">
        <f t="shared" ref="X93:AG93" si="76">SUM(X88:X92)</f>
        <v>0</v>
      </c>
      <c r="Y93" s="556">
        <f t="shared" si="76"/>
        <v>0</v>
      </c>
      <c r="Z93" s="556">
        <f t="shared" si="76"/>
        <v>0</v>
      </c>
      <c r="AA93" s="556">
        <f t="shared" si="76"/>
        <v>0</v>
      </c>
      <c r="AB93" s="556">
        <f t="shared" si="76"/>
        <v>0</v>
      </c>
      <c r="AC93" s="556">
        <f t="shared" si="76"/>
        <v>0</v>
      </c>
      <c r="AD93" s="556">
        <f t="shared" si="76"/>
        <v>0</v>
      </c>
      <c r="AE93" s="556">
        <f t="shared" si="76"/>
        <v>0</v>
      </c>
      <c r="AF93" s="556">
        <f t="shared" si="76"/>
        <v>0</v>
      </c>
      <c r="AG93" s="556">
        <f t="shared" si="76"/>
        <v>0</v>
      </c>
      <c r="AH93" s="556">
        <f t="shared" ref="AH93:AK93" si="77">SUM(AH88:AH92)</f>
        <v>0</v>
      </c>
      <c r="AI93" s="556">
        <f t="shared" si="77"/>
        <v>0</v>
      </c>
      <c r="AJ93" s="556">
        <f t="shared" si="77"/>
        <v>0</v>
      </c>
      <c r="AK93" s="556">
        <f t="shared" si="77"/>
        <v>0</v>
      </c>
      <c r="AL93" s="556">
        <f t="shared" ref="AL93:AP93" si="78">SUM(AL88:AL92)</f>
        <v>0</v>
      </c>
      <c r="AM93" s="556">
        <f t="shared" si="78"/>
        <v>0</v>
      </c>
      <c r="AN93" s="556">
        <f t="shared" si="78"/>
        <v>0</v>
      </c>
      <c r="AO93" s="556">
        <f t="shared" si="78"/>
        <v>0</v>
      </c>
      <c r="AP93" s="556">
        <f t="shared" si="78"/>
        <v>0</v>
      </c>
      <c r="AQ93" s="556">
        <f t="shared" ref="AQ93:AS93" si="79">SUM(AQ88:AQ92)</f>
        <v>0</v>
      </c>
      <c r="AR93" s="556">
        <f t="shared" si="79"/>
        <v>0</v>
      </c>
      <c r="AS93" s="556">
        <f t="shared" si="79"/>
        <v>0</v>
      </c>
      <c r="AT93" s="556"/>
      <c r="AU93" s="241">
        <f>SUM(AU88:AU92)</f>
        <v>0</v>
      </c>
      <c r="AV93" s="131"/>
      <c r="AW93" s="241">
        <f>SUM(AW88:AW92)</f>
        <v>0</v>
      </c>
      <c r="AX93" s="241">
        <f>+AW93-'ROR-Model'!G93</f>
        <v>0</v>
      </c>
    </row>
    <row r="94" spans="1:50">
      <c r="A94" s="330"/>
      <c r="B94" s="728"/>
      <c r="C94" s="728"/>
      <c r="D94" s="106"/>
      <c r="E94" s="331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16"/>
      <c r="AW94" s="133"/>
      <c r="AX94" s="133">
        <f>+AW94-'ROR-Model'!G94</f>
        <v>0</v>
      </c>
    </row>
    <row r="95" spans="1:50">
      <c r="A95" s="330"/>
      <c r="B95" s="728"/>
      <c r="C95" s="728" t="s">
        <v>20</v>
      </c>
      <c r="D95" s="106"/>
      <c r="E95" s="331"/>
      <c r="F95" s="116"/>
      <c r="G95" s="116"/>
      <c r="H95" s="116">
        <f>H1*Revenue!$K$94</f>
        <v>0</v>
      </c>
      <c r="I95" s="116"/>
      <c r="J95" s="116"/>
      <c r="K95" s="116"/>
      <c r="L95" s="116"/>
      <c r="M95" s="116"/>
      <c r="N95" s="116"/>
      <c r="O95" s="116"/>
      <c r="P95" s="116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>
        <f>SUM(F95:AT95)</f>
        <v>0</v>
      </c>
      <c r="AV95" s="116"/>
      <c r="AW95" s="133">
        <f>SUM(AU95:AU95)</f>
        <v>0</v>
      </c>
      <c r="AX95" s="133">
        <f>+AW95-'ROR-Model'!G95</f>
        <v>0</v>
      </c>
    </row>
    <row r="96" spans="1:50">
      <c r="A96" s="330"/>
      <c r="B96" s="728"/>
      <c r="C96" s="728"/>
      <c r="D96" s="106"/>
      <c r="E96" s="331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16"/>
      <c r="AW96" s="133"/>
      <c r="AX96" s="133">
        <f>+AW96-'ROR-Model'!G96</f>
        <v>0</v>
      </c>
    </row>
    <row r="97" spans="1:50">
      <c r="A97" s="330"/>
      <c r="B97" s="728" t="s">
        <v>951</v>
      </c>
      <c r="C97" s="728" t="s">
        <v>16</v>
      </c>
      <c r="D97" s="106"/>
      <c r="E97" s="331"/>
      <c r="F97" s="116"/>
      <c r="G97" s="116"/>
      <c r="H97" s="116">
        <f>H1*Revenue!$K$96</f>
        <v>-225094.6940973716</v>
      </c>
      <c r="I97" s="116"/>
      <c r="J97" s="116"/>
      <c r="K97" s="116"/>
      <c r="L97" s="116"/>
      <c r="M97" s="116"/>
      <c r="N97" s="116"/>
      <c r="O97" s="116"/>
      <c r="P97" s="116"/>
      <c r="Q97" s="133"/>
      <c r="R97" s="133"/>
      <c r="S97" s="133"/>
      <c r="T97" s="133">
        <f>'Optional Adjustment 2'!G97*$T$1</f>
        <v>0</v>
      </c>
      <c r="U97" s="133">
        <f>'Optional Adjustment 3'!G97*$U$1</f>
        <v>0</v>
      </c>
      <c r="V97" s="133">
        <f>'Optional Adjustment 4'!G97*$V$1</f>
        <v>0</v>
      </c>
      <c r="W97" s="133">
        <f>'Optional Adjustment 5'!G97*$W$1</f>
        <v>0</v>
      </c>
      <c r="X97" s="133">
        <f>'Optional Adjustment 6'!G97*$X$1</f>
        <v>0</v>
      </c>
      <c r="Y97" s="133">
        <f>'Optional Adjustment 7'!G97*$Y$1</f>
        <v>0</v>
      </c>
      <c r="Z97" s="133">
        <f>'Optional Adjustment 8'!G97*$Z$1</f>
        <v>0</v>
      </c>
      <c r="AA97" s="133">
        <f>'Optional Adjustment 9'!G97*$AA$1</f>
        <v>0</v>
      </c>
      <c r="AB97" s="133">
        <f>'Optional Adjustment 10'!G97*$AB$1</f>
        <v>0</v>
      </c>
      <c r="AC97" s="133">
        <f>'Optional Adjustment 11'!G97*$AC$1</f>
        <v>0</v>
      </c>
      <c r="AD97" s="133">
        <f>'Optional Adjustment 12'!G97*$AD$1</f>
        <v>0</v>
      </c>
      <c r="AE97" s="133">
        <f>'Optional Adjustment 13'!G97*$AE$1</f>
        <v>0</v>
      </c>
      <c r="AF97" s="133">
        <f>'Optional Adjustment 14'!G97*$AF$1</f>
        <v>0</v>
      </c>
      <c r="AG97" s="133">
        <f>'Optional Adjustment 15'!G97*$AG$1</f>
        <v>0</v>
      </c>
      <c r="AH97" s="133">
        <f>'Optional Adjustment 16'!G97*$AH$1</f>
        <v>0</v>
      </c>
      <c r="AI97" s="133">
        <f>'Optional Adjustment 17'!G97*$AI$1</f>
        <v>0</v>
      </c>
      <c r="AJ97" s="133">
        <f>'Optional Adjustment 18'!G97*$AJ$1</f>
        <v>0</v>
      </c>
      <c r="AK97" s="133">
        <f>'Optional Adjustment 19'!G97*$AK$1</f>
        <v>0</v>
      </c>
      <c r="AL97" s="133">
        <f>'Optional Adjustment 20'!G97*$AL$1</f>
        <v>0</v>
      </c>
      <c r="AM97" s="133">
        <f>'Optional Adjustment 21'!G97*$AM$1</f>
        <v>0</v>
      </c>
      <c r="AN97" s="133">
        <f>'Optional Adjustment 22'!G97*$AN$1</f>
        <v>0</v>
      </c>
      <c r="AO97" s="133">
        <f>'Optional Adjustment 23'!G97*$AO$1</f>
        <v>0</v>
      </c>
      <c r="AP97" s="133">
        <f>'Optional Adjustment 24'!G97*$AP$1</f>
        <v>0</v>
      </c>
      <c r="AQ97" s="133">
        <f>'Optional Adjustment 25'!G97*$AQ$1</f>
        <v>0</v>
      </c>
      <c r="AR97" s="133">
        <f>'Optional Adjustment 26'!G97*$AR$1</f>
        <v>0</v>
      </c>
      <c r="AS97" s="133">
        <f>'Optional Adjustment 27'!G97*$AS$1</f>
        <v>0</v>
      </c>
      <c r="AT97" s="133"/>
      <c r="AU97" s="133">
        <f>SUM(F97:AT97)</f>
        <v>-225094.6940973716</v>
      </c>
      <c r="AV97" s="116"/>
      <c r="AW97" s="133">
        <f>SUM(AU97:AU97)</f>
        <v>-225094.6940973716</v>
      </c>
      <c r="AX97" s="133">
        <f>+AW97-'ROR-Model'!G97</f>
        <v>0</v>
      </c>
    </row>
    <row r="98" spans="1:50">
      <c r="A98" s="330"/>
      <c r="B98" s="728"/>
      <c r="C98" s="728"/>
      <c r="D98" s="106"/>
      <c r="E98" s="331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16"/>
      <c r="AW98" s="133"/>
      <c r="AX98" s="133">
        <f>+AW98-'ROR-Model'!G98</f>
        <v>0</v>
      </c>
    </row>
    <row r="99" spans="1:50">
      <c r="A99" s="330"/>
      <c r="B99" s="728"/>
      <c r="C99" s="728" t="s">
        <v>17</v>
      </c>
      <c r="D99" s="106"/>
      <c r="E99" s="331"/>
      <c r="F99" s="116"/>
      <c r="G99" s="116"/>
      <c r="H99" s="116">
        <f>H1*Revenue!$K$98</f>
        <v>-76538.42</v>
      </c>
      <c r="I99" s="116"/>
      <c r="J99" s="116"/>
      <c r="K99" s="116"/>
      <c r="L99" s="116"/>
      <c r="M99" s="116"/>
      <c r="N99" s="116"/>
      <c r="O99" s="116"/>
      <c r="P99" s="116"/>
      <c r="Q99" s="133"/>
      <c r="R99" s="133"/>
      <c r="S99" s="133"/>
      <c r="T99" s="133">
        <f>'Optional Adjustment 2'!G99*$T$1</f>
        <v>0</v>
      </c>
      <c r="U99" s="133">
        <f>'Optional Adjustment 3'!G99*$U$1</f>
        <v>0</v>
      </c>
      <c r="V99" s="133">
        <f>'Optional Adjustment 4'!G99*$V$1</f>
        <v>0</v>
      </c>
      <c r="W99" s="133">
        <f>'Optional Adjustment 5'!G99*$W$1</f>
        <v>0</v>
      </c>
      <c r="X99" s="133">
        <f>'Optional Adjustment 6'!G99*$X$1</f>
        <v>0</v>
      </c>
      <c r="Y99" s="133">
        <f>'Optional Adjustment 7'!G99*$Y$1</f>
        <v>0</v>
      </c>
      <c r="Z99" s="133">
        <f>'Optional Adjustment 8'!G99*$Z$1</f>
        <v>0</v>
      </c>
      <c r="AA99" s="133">
        <f>'Optional Adjustment 9'!G99*$AA$1</f>
        <v>0</v>
      </c>
      <c r="AB99" s="133">
        <f>'Optional Adjustment 10'!G99*$AB$1</f>
        <v>0</v>
      </c>
      <c r="AC99" s="133">
        <f>'Optional Adjustment 11'!G99*$AC$1</f>
        <v>0</v>
      </c>
      <c r="AD99" s="133">
        <f>'Optional Adjustment 12'!G99*$AD$1</f>
        <v>0</v>
      </c>
      <c r="AE99" s="133">
        <f>'Optional Adjustment 13'!G99*$AE$1</f>
        <v>0</v>
      </c>
      <c r="AF99" s="133">
        <f>'Optional Adjustment 14'!G99*$AF$1</f>
        <v>0</v>
      </c>
      <c r="AG99" s="133">
        <f>'Optional Adjustment 15'!G99*$AG$1</f>
        <v>0</v>
      </c>
      <c r="AH99" s="133">
        <f>'Optional Adjustment 16'!G99*$AH$1</f>
        <v>0</v>
      </c>
      <c r="AI99" s="133">
        <f>'Optional Adjustment 17'!G99*$AI$1</f>
        <v>0</v>
      </c>
      <c r="AJ99" s="133">
        <f>'Optional Adjustment 18'!G99*$AJ$1</f>
        <v>0</v>
      </c>
      <c r="AK99" s="133">
        <f>'Optional Adjustment 19'!G99*$AK$1</f>
        <v>0</v>
      </c>
      <c r="AL99" s="133">
        <f>'Optional Adjustment 20'!G99*$AL$1</f>
        <v>0</v>
      </c>
      <c r="AM99" s="133">
        <f>'Optional Adjustment 21'!G99*$AM$1</f>
        <v>0</v>
      </c>
      <c r="AN99" s="133">
        <f>'Optional Adjustment 22'!G99*$AN$1</f>
        <v>0</v>
      </c>
      <c r="AO99" s="133">
        <f>'Optional Adjustment 23'!G99*$AO$1</f>
        <v>0</v>
      </c>
      <c r="AP99" s="133">
        <f>'Optional Adjustment 24'!G99*$AP$1</f>
        <v>0</v>
      </c>
      <c r="AQ99" s="133">
        <f>'Optional Adjustment 25'!G99*$AQ$1</f>
        <v>0</v>
      </c>
      <c r="AR99" s="133">
        <f>'Optional Adjustment 26'!G99*$AR$1</f>
        <v>0</v>
      </c>
      <c r="AS99" s="133">
        <f>'Optional Adjustment 27'!G99*$AS$1</f>
        <v>0</v>
      </c>
      <c r="AT99" s="133"/>
      <c r="AU99" s="133">
        <f>SUM(F99:AT99)</f>
        <v>-76538.42</v>
      </c>
      <c r="AV99" s="116"/>
      <c r="AW99" s="133">
        <f>SUM(AU99:AU99)</f>
        <v>-76538.42</v>
      </c>
      <c r="AX99" s="133">
        <f>+AW99-'ROR-Model'!G99</f>
        <v>0</v>
      </c>
    </row>
    <row r="100" spans="1:50">
      <c r="A100" s="330"/>
      <c r="B100" s="728"/>
      <c r="C100" s="728"/>
      <c r="D100" s="106"/>
      <c r="E100" s="331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16"/>
      <c r="AW100" s="133"/>
      <c r="AX100" s="133">
        <f>+AW100-'ROR-Model'!G100</f>
        <v>0</v>
      </c>
    </row>
    <row r="101" spans="1:50">
      <c r="A101" s="330"/>
      <c r="B101" s="728"/>
      <c r="C101" s="728" t="s">
        <v>18</v>
      </c>
      <c r="D101" s="106"/>
      <c r="E101" s="331"/>
      <c r="F101" s="116"/>
      <c r="G101" s="116"/>
      <c r="H101" s="116">
        <f>H1*Revenue!$K$100</f>
        <v>-1821144.17</v>
      </c>
      <c r="I101" s="116"/>
      <c r="J101" s="116"/>
      <c r="K101" s="116"/>
      <c r="L101" s="116"/>
      <c r="M101" s="116"/>
      <c r="N101" s="116"/>
      <c r="O101" s="116"/>
      <c r="P101" s="116"/>
      <c r="Q101" s="133"/>
      <c r="R101" s="133"/>
      <c r="S101" s="133"/>
      <c r="T101" s="133">
        <f>'Optional Adjustment 2'!G101*$T$1</f>
        <v>0</v>
      </c>
      <c r="U101" s="133">
        <f>'Optional Adjustment 3'!G101*$U$1</f>
        <v>0</v>
      </c>
      <c r="V101" s="133">
        <f>'Optional Adjustment 4'!G101*$V$1</f>
        <v>0</v>
      </c>
      <c r="W101" s="133">
        <f>'Optional Adjustment 5'!G101*$W$1</f>
        <v>0</v>
      </c>
      <c r="X101" s="133">
        <f>'Optional Adjustment 6'!G101*$X$1</f>
        <v>0</v>
      </c>
      <c r="Y101" s="133">
        <f>'Optional Adjustment 7'!G101*$Y$1</f>
        <v>0</v>
      </c>
      <c r="Z101" s="133">
        <f>'Optional Adjustment 8'!G101*$Z$1</f>
        <v>0</v>
      </c>
      <c r="AA101" s="133">
        <f>'Optional Adjustment 9'!G101*$AA$1</f>
        <v>0</v>
      </c>
      <c r="AB101" s="133">
        <f>'Optional Adjustment 10'!G101*$AB$1</f>
        <v>0</v>
      </c>
      <c r="AC101" s="133">
        <f>'Optional Adjustment 11'!G101*$AC$1</f>
        <v>0</v>
      </c>
      <c r="AD101" s="133">
        <f>'Optional Adjustment 12'!G101*$AD$1</f>
        <v>0</v>
      </c>
      <c r="AE101" s="133">
        <f>'Optional Adjustment 13'!G101*$AE$1</f>
        <v>0</v>
      </c>
      <c r="AF101" s="133">
        <f>'Optional Adjustment 14'!G101*$AF$1</f>
        <v>0</v>
      </c>
      <c r="AG101" s="133">
        <f>'Optional Adjustment 15'!G101*$AG$1</f>
        <v>0</v>
      </c>
      <c r="AH101" s="133">
        <f>'Optional Adjustment 16'!G101*$AH$1</f>
        <v>0</v>
      </c>
      <c r="AI101" s="133">
        <f>'Optional Adjustment 17'!G101*$AI$1</f>
        <v>0</v>
      </c>
      <c r="AJ101" s="133">
        <f>'Optional Adjustment 18'!G101*$AJ$1</f>
        <v>0</v>
      </c>
      <c r="AK101" s="133">
        <f>'Optional Adjustment 19'!G101*$AK$1</f>
        <v>0</v>
      </c>
      <c r="AL101" s="133">
        <f>'Optional Adjustment 20'!G101*$AL$1</f>
        <v>0</v>
      </c>
      <c r="AM101" s="133">
        <f>'Optional Adjustment 21'!G101*$AM$1</f>
        <v>0</v>
      </c>
      <c r="AN101" s="133">
        <f>'Optional Adjustment 22'!G101*$AN$1</f>
        <v>0</v>
      </c>
      <c r="AO101" s="133">
        <f>'Optional Adjustment 23'!G101*$AO$1</f>
        <v>0</v>
      </c>
      <c r="AP101" s="133">
        <f>'Optional Adjustment 24'!G101*$AP$1</f>
        <v>0</v>
      </c>
      <c r="AQ101" s="133">
        <f>'Optional Adjustment 25'!G101*$AQ$1</f>
        <v>0</v>
      </c>
      <c r="AR101" s="133">
        <f>'Optional Adjustment 26'!G101*$AR$1</f>
        <v>0</v>
      </c>
      <c r="AS101" s="133">
        <f>'Optional Adjustment 27'!G101*$AS$1</f>
        <v>0</v>
      </c>
      <c r="AT101" s="133"/>
      <c r="AU101" s="133">
        <f>SUM(F101:AT101)</f>
        <v>-1821144.17</v>
      </c>
      <c r="AV101" s="116"/>
      <c r="AW101" s="133">
        <f>SUM(AU101:AU101)</f>
        <v>-1821144.17</v>
      </c>
      <c r="AX101" s="133">
        <f>+AW101-'ROR-Model'!G101</f>
        <v>0</v>
      </c>
    </row>
    <row r="102" spans="1:50">
      <c r="A102" s="330"/>
      <c r="B102" s="728"/>
      <c r="C102" s="728" t="s">
        <v>19</v>
      </c>
      <c r="D102" s="106"/>
      <c r="E102" s="331"/>
      <c r="F102" s="131">
        <f>SUM(F97:F101)</f>
        <v>0</v>
      </c>
      <c r="G102" s="131"/>
      <c r="H102" s="131">
        <f>H1*SUM(H97:H101)</f>
        <v>-2122777.2840973716</v>
      </c>
      <c r="I102" s="131">
        <f>SUM(I97:I101)</f>
        <v>0</v>
      </c>
      <c r="J102" s="131">
        <f t="shared" ref="J102:P102" si="80">SUM(J97:J101)</f>
        <v>0</v>
      </c>
      <c r="K102" s="131">
        <f t="shared" si="80"/>
        <v>0</v>
      </c>
      <c r="L102" s="131">
        <f t="shared" si="80"/>
        <v>0</v>
      </c>
      <c r="M102" s="131">
        <f t="shared" si="80"/>
        <v>0</v>
      </c>
      <c r="N102" s="131">
        <f t="shared" si="80"/>
        <v>0</v>
      </c>
      <c r="O102" s="131">
        <f t="shared" si="80"/>
        <v>0</v>
      </c>
      <c r="P102" s="131">
        <f t="shared" si="80"/>
        <v>0</v>
      </c>
      <c r="Q102" s="241">
        <f t="shared" ref="Q102:W102" si="81">SUM(Q97:Q101)</f>
        <v>0</v>
      </c>
      <c r="R102" s="241">
        <f t="shared" si="81"/>
        <v>0</v>
      </c>
      <c r="S102" s="556"/>
      <c r="T102" s="556">
        <f t="shared" si="81"/>
        <v>0</v>
      </c>
      <c r="U102" s="556">
        <f t="shared" si="81"/>
        <v>0</v>
      </c>
      <c r="V102" s="556">
        <f t="shared" si="81"/>
        <v>0</v>
      </c>
      <c r="W102" s="556">
        <f t="shared" si="81"/>
        <v>0</v>
      </c>
      <c r="X102" s="556">
        <f t="shared" ref="X102:AG102" si="82">SUM(X97:X101)</f>
        <v>0</v>
      </c>
      <c r="Y102" s="556">
        <f t="shared" si="82"/>
        <v>0</v>
      </c>
      <c r="Z102" s="556">
        <f t="shared" si="82"/>
        <v>0</v>
      </c>
      <c r="AA102" s="556">
        <f t="shared" si="82"/>
        <v>0</v>
      </c>
      <c r="AB102" s="556">
        <f t="shared" si="82"/>
        <v>0</v>
      </c>
      <c r="AC102" s="556">
        <f t="shared" si="82"/>
        <v>0</v>
      </c>
      <c r="AD102" s="556">
        <f t="shared" si="82"/>
        <v>0</v>
      </c>
      <c r="AE102" s="556">
        <f t="shared" si="82"/>
        <v>0</v>
      </c>
      <c r="AF102" s="556">
        <f t="shared" si="82"/>
        <v>0</v>
      </c>
      <c r="AG102" s="556">
        <f t="shared" si="82"/>
        <v>0</v>
      </c>
      <c r="AH102" s="556">
        <f t="shared" ref="AH102:AK102" si="83">SUM(AH97:AH101)</f>
        <v>0</v>
      </c>
      <c r="AI102" s="556">
        <f t="shared" si="83"/>
        <v>0</v>
      </c>
      <c r="AJ102" s="556">
        <f t="shared" si="83"/>
        <v>0</v>
      </c>
      <c r="AK102" s="556">
        <f t="shared" si="83"/>
        <v>0</v>
      </c>
      <c r="AL102" s="556">
        <f t="shared" ref="AL102:AP102" si="84">SUM(AL97:AL101)</f>
        <v>0</v>
      </c>
      <c r="AM102" s="556">
        <f t="shared" si="84"/>
        <v>0</v>
      </c>
      <c r="AN102" s="556">
        <f t="shared" si="84"/>
        <v>0</v>
      </c>
      <c r="AO102" s="556">
        <f t="shared" si="84"/>
        <v>0</v>
      </c>
      <c r="AP102" s="556">
        <f t="shared" si="84"/>
        <v>0</v>
      </c>
      <c r="AQ102" s="556">
        <f t="shared" ref="AQ102:AS102" si="85">SUM(AQ97:AQ101)</f>
        <v>0</v>
      </c>
      <c r="AR102" s="556">
        <f t="shared" si="85"/>
        <v>0</v>
      </c>
      <c r="AS102" s="556">
        <f t="shared" si="85"/>
        <v>0</v>
      </c>
      <c r="AT102" s="556"/>
      <c r="AU102" s="241">
        <f>SUM(AU97:AU101)</f>
        <v>-2122777.2840973716</v>
      </c>
      <c r="AV102" s="131"/>
      <c r="AW102" s="241">
        <f>SUM(AW97:AW101)</f>
        <v>-2122777.2840973716</v>
      </c>
      <c r="AX102" s="241">
        <f>+AW102-'ROR-Model'!G102</f>
        <v>0</v>
      </c>
    </row>
    <row r="103" spans="1:50">
      <c r="A103" s="330"/>
      <c r="B103" s="728"/>
      <c r="C103" s="728"/>
      <c r="D103" s="106"/>
      <c r="E103" s="331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16"/>
      <c r="AW103" s="133"/>
      <c r="AX103" s="133">
        <f>+AW103-'ROR-Model'!G103</f>
        <v>0</v>
      </c>
    </row>
    <row r="104" spans="1:50">
      <c r="A104" s="330"/>
      <c r="B104" s="728"/>
      <c r="C104" s="728" t="s">
        <v>20</v>
      </c>
      <c r="D104" s="106"/>
      <c r="E104" s="331"/>
      <c r="F104" s="116"/>
      <c r="G104" s="116"/>
      <c r="H104" s="116">
        <f>H1*Revenue!$K$103</f>
        <v>-425519</v>
      </c>
      <c r="I104" s="116"/>
      <c r="J104" s="116"/>
      <c r="K104" s="116"/>
      <c r="L104" s="116"/>
      <c r="M104" s="116"/>
      <c r="N104" s="116"/>
      <c r="O104" s="116"/>
      <c r="P104" s="116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>
        <f>SUM(F104:AT104)</f>
        <v>-425519</v>
      </c>
      <c r="AV104" s="116"/>
      <c r="AW104" s="133">
        <f>SUM(AU104:AU104)</f>
        <v>-425519</v>
      </c>
      <c r="AX104" s="133">
        <f>+AW104-'ROR-Model'!G104</f>
        <v>0</v>
      </c>
    </row>
    <row r="105" spans="1:50">
      <c r="A105" s="330"/>
      <c r="B105" s="728"/>
      <c r="C105" s="728"/>
      <c r="D105" s="106"/>
      <c r="E105" s="331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16"/>
      <c r="AW105" s="133"/>
      <c r="AX105" s="133">
        <f>+AW105-'ROR-Model'!G105</f>
        <v>0</v>
      </c>
    </row>
    <row r="106" spans="1:50">
      <c r="A106" s="330"/>
      <c r="B106" s="728" t="s">
        <v>87</v>
      </c>
      <c r="C106" s="728" t="s">
        <v>16</v>
      </c>
      <c r="D106" s="106"/>
      <c r="E106" s="331"/>
      <c r="F106" s="116"/>
      <c r="G106" s="116"/>
      <c r="H106" s="116">
        <f>H1*Revenue!$K$105</f>
        <v>0</v>
      </c>
      <c r="I106" s="116"/>
      <c r="J106" s="116"/>
      <c r="K106" s="116"/>
      <c r="L106" s="116"/>
      <c r="M106" s="116"/>
      <c r="N106" s="116"/>
      <c r="O106" s="116"/>
      <c r="P106" s="116"/>
      <c r="Q106" s="133"/>
      <c r="R106" s="133"/>
      <c r="S106" s="133"/>
      <c r="T106" s="133">
        <f>'Optional Adjustment 2'!G106*$T$1</f>
        <v>0</v>
      </c>
      <c r="U106" s="133">
        <f>'Optional Adjustment 3'!G106*$U$1</f>
        <v>0</v>
      </c>
      <c r="V106" s="133">
        <f>'Optional Adjustment 4'!G106*$V$1</f>
        <v>0</v>
      </c>
      <c r="W106" s="133">
        <f>'Optional Adjustment 5'!G106*$W$1</f>
        <v>0</v>
      </c>
      <c r="X106" s="133">
        <f>'Optional Adjustment 6'!G106*$X$1</f>
        <v>0</v>
      </c>
      <c r="Y106" s="133">
        <f>'Optional Adjustment 7'!G106*$Y$1</f>
        <v>0</v>
      </c>
      <c r="Z106" s="133">
        <f>'Optional Adjustment 8'!G106*$Z$1</f>
        <v>0</v>
      </c>
      <c r="AA106" s="133">
        <f>'Optional Adjustment 9'!G106*$AA$1</f>
        <v>0</v>
      </c>
      <c r="AB106" s="133">
        <f>'Optional Adjustment 10'!G106*$AB$1</f>
        <v>0</v>
      </c>
      <c r="AC106" s="133">
        <f>'Optional Adjustment 11'!G106*$AC$1</f>
        <v>0</v>
      </c>
      <c r="AD106" s="133">
        <f>'Optional Adjustment 12'!G106*$AD$1</f>
        <v>0</v>
      </c>
      <c r="AE106" s="133">
        <f>'Optional Adjustment 13'!G106*$AE$1</f>
        <v>0</v>
      </c>
      <c r="AF106" s="133">
        <f>'Optional Adjustment 14'!G106*$AF$1</f>
        <v>0</v>
      </c>
      <c r="AG106" s="133">
        <f>'Optional Adjustment 15'!G106*$AG$1</f>
        <v>0</v>
      </c>
      <c r="AH106" s="133">
        <f>'Optional Adjustment 16'!G106*$AH$1</f>
        <v>0</v>
      </c>
      <c r="AI106" s="133">
        <f>'Optional Adjustment 17'!G106*$AI$1</f>
        <v>0</v>
      </c>
      <c r="AJ106" s="133">
        <f>'Optional Adjustment 18'!G106*$AJ$1</f>
        <v>0</v>
      </c>
      <c r="AK106" s="133">
        <f>'Optional Adjustment 19'!G106*$AK$1</f>
        <v>0</v>
      </c>
      <c r="AL106" s="133">
        <f>'Optional Adjustment 20'!G106*$AL$1</f>
        <v>0</v>
      </c>
      <c r="AM106" s="133">
        <f>'Optional Adjustment 21'!G106*$AM$1</f>
        <v>0</v>
      </c>
      <c r="AN106" s="133">
        <f>'Optional Adjustment 22'!G106*$AN$1</f>
        <v>0</v>
      </c>
      <c r="AO106" s="133">
        <f>'Optional Adjustment 23'!G106*$AO$1</f>
        <v>0</v>
      </c>
      <c r="AP106" s="133">
        <f>'Optional Adjustment 24'!G106*$AP$1</f>
        <v>0</v>
      </c>
      <c r="AQ106" s="133">
        <f>'Optional Adjustment 25'!G106*$AQ$1</f>
        <v>0</v>
      </c>
      <c r="AR106" s="133">
        <f>'Optional Adjustment 26'!G106*$AR$1</f>
        <v>0</v>
      </c>
      <c r="AS106" s="133">
        <f>'Optional Adjustment 27'!G106*$AS$1</f>
        <v>0</v>
      </c>
      <c r="AT106" s="133"/>
      <c r="AU106" s="133">
        <f>SUM(F106:AT106)</f>
        <v>0</v>
      </c>
      <c r="AV106" s="116"/>
      <c r="AW106" s="133">
        <f>SUM(AU106:AU106)</f>
        <v>0</v>
      </c>
      <c r="AX106" s="133">
        <f>+AW106-'ROR-Model'!G106</f>
        <v>0</v>
      </c>
    </row>
    <row r="107" spans="1:50">
      <c r="A107" s="330"/>
      <c r="B107" s="728"/>
      <c r="C107" s="728"/>
      <c r="D107" s="106"/>
      <c r="E107" s="331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16"/>
      <c r="AW107" s="133"/>
      <c r="AX107" s="133">
        <f>+AW107-'ROR-Model'!G107</f>
        <v>0</v>
      </c>
    </row>
    <row r="108" spans="1:50">
      <c r="A108" s="330"/>
      <c r="B108" s="728"/>
      <c r="C108" s="728" t="s">
        <v>17</v>
      </c>
      <c r="D108" s="106"/>
      <c r="E108" s="331"/>
      <c r="F108" s="116"/>
      <c r="G108" s="116"/>
      <c r="H108" s="116">
        <f>H1*Revenue!$K$107</f>
        <v>0</v>
      </c>
      <c r="I108" s="116"/>
      <c r="J108" s="116"/>
      <c r="K108" s="116"/>
      <c r="L108" s="116"/>
      <c r="M108" s="116"/>
      <c r="N108" s="116"/>
      <c r="O108" s="116"/>
      <c r="P108" s="116"/>
      <c r="Q108" s="133"/>
      <c r="R108" s="133"/>
      <c r="S108" s="133"/>
      <c r="T108" s="133">
        <f>'Optional Adjustment 2'!G108*$T$1</f>
        <v>0</v>
      </c>
      <c r="U108" s="133">
        <f>'Optional Adjustment 3'!G108*$U$1</f>
        <v>0</v>
      </c>
      <c r="V108" s="133">
        <f>'Optional Adjustment 4'!G108*$V$1</f>
        <v>0</v>
      </c>
      <c r="W108" s="133">
        <f>'Optional Adjustment 5'!G108*$W$1</f>
        <v>0</v>
      </c>
      <c r="X108" s="133">
        <f>'Optional Adjustment 6'!G108*$X$1</f>
        <v>0</v>
      </c>
      <c r="Y108" s="133">
        <f>'Optional Adjustment 7'!G108*$Y$1</f>
        <v>0</v>
      </c>
      <c r="Z108" s="133">
        <f>'Optional Adjustment 8'!G108*$Z$1</f>
        <v>0</v>
      </c>
      <c r="AA108" s="133">
        <f>'Optional Adjustment 9'!G108*$AA$1</f>
        <v>0</v>
      </c>
      <c r="AB108" s="133">
        <f>'Optional Adjustment 10'!G108*$AB$1</f>
        <v>0</v>
      </c>
      <c r="AC108" s="133">
        <f>'Optional Adjustment 11'!G108*$AC$1</f>
        <v>0</v>
      </c>
      <c r="AD108" s="133">
        <f>'Optional Adjustment 12'!G108*$AD$1</f>
        <v>0</v>
      </c>
      <c r="AE108" s="133">
        <f>'Optional Adjustment 13'!G108*$AE$1</f>
        <v>0</v>
      </c>
      <c r="AF108" s="133">
        <f>'Optional Adjustment 14'!G108*$AF$1</f>
        <v>0</v>
      </c>
      <c r="AG108" s="133">
        <f>'Optional Adjustment 15'!G108*$AG$1</f>
        <v>0</v>
      </c>
      <c r="AH108" s="133">
        <f>'Optional Adjustment 16'!G108*$AH$1</f>
        <v>0</v>
      </c>
      <c r="AI108" s="133">
        <f>'Optional Adjustment 17'!G108*$AI$1</f>
        <v>0</v>
      </c>
      <c r="AJ108" s="133">
        <f>'Optional Adjustment 18'!G108*$AJ$1</f>
        <v>0</v>
      </c>
      <c r="AK108" s="133">
        <f>'Optional Adjustment 19'!G108*$AK$1</f>
        <v>0</v>
      </c>
      <c r="AL108" s="133">
        <f>'Optional Adjustment 20'!G108*$AL$1</f>
        <v>0</v>
      </c>
      <c r="AM108" s="133">
        <f>'Optional Adjustment 21'!G108*$AM$1</f>
        <v>0</v>
      </c>
      <c r="AN108" s="133">
        <f>'Optional Adjustment 22'!G108*$AN$1</f>
        <v>0</v>
      </c>
      <c r="AO108" s="133">
        <f>'Optional Adjustment 23'!G108*$AO$1</f>
        <v>0</v>
      </c>
      <c r="AP108" s="133">
        <f>'Optional Adjustment 24'!G108*$AP$1</f>
        <v>0</v>
      </c>
      <c r="AQ108" s="133">
        <f>'Optional Adjustment 25'!G108*$AQ$1</f>
        <v>0</v>
      </c>
      <c r="AR108" s="133">
        <f>'Optional Adjustment 26'!G108*$AR$1</f>
        <v>0</v>
      </c>
      <c r="AS108" s="133">
        <f>'Optional Adjustment 27'!G108*$AS$1</f>
        <v>0</v>
      </c>
      <c r="AT108" s="133"/>
      <c r="AU108" s="133">
        <f>SUM(F108:AT108)</f>
        <v>0</v>
      </c>
      <c r="AV108" s="116"/>
      <c r="AW108" s="133">
        <f>SUM(AU108:AU108)</f>
        <v>0</v>
      </c>
      <c r="AX108" s="133">
        <f>+AW108-'ROR-Model'!G108</f>
        <v>0</v>
      </c>
    </row>
    <row r="109" spans="1:50">
      <c r="A109" s="330"/>
      <c r="B109" s="728"/>
      <c r="C109" s="728"/>
      <c r="D109" s="106"/>
      <c r="E109" s="331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16"/>
      <c r="AW109" s="133"/>
      <c r="AX109" s="133">
        <f>+AW109-'ROR-Model'!G109</f>
        <v>0</v>
      </c>
    </row>
    <row r="110" spans="1:50">
      <c r="A110" s="330"/>
      <c r="B110" s="728"/>
      <c r="C110" s="728" t="s">
        <v>18</v>
      </c>
      <c r="D110" s="106"/>
      <c r="E110" s="331"/>
      <c r="F110" s="116"/>
      <c r="G110" s="116"/>
      <c r="H110" s="116">
        <f>H1*Revenue!$K$109</f>
        <v>0</v>
      </c>
      <c r="I110" s="116"/>
      <c r="J110" s="116"/>
      <c r="K110" s="116"/>
      <c r="L110" s="116"/>
      <c r="M110" s="116"/>
      <c r="N110" s="116"/>
      <c r="O110" s="116"/>
      <c r="P110" s="116"/>
      <c r="Q110" s="133"/>
      <c r="R110" s="133"/>
      <c r="S110" s="133"/>
      <c r="T110" s="133">
        <f>'Optional Adjustment 2'!G110*$T$1</f>
        <v>0</v>
      </c>
      <c r="U110" s="133">
        <f>'Optional Adjustment 3'!G110*$U$1</f>
        <v>0</v>
      </c>
      <c r="V110" s="133">
        <f>'Optional Adjustment 4'!G110*$V$1</f>
        <v>0</v>
      </c>
      <c r="W110" s="133">
        <f>'Optional Adjustment 5'!G110*$W$1</f>
        <v>0</v>
      </c>
      <c r="X110" s="133">
        <f>'Optional Adjustment 6'!G110*$X$1</f>
        <v>0</v>
      </c>
      <c r="Y110" s="133">
        <f>'Optional Adjustment 7'!G110*$Y$1</f>
        <v>0</v>
      </c>
      <c r="Z110" s="133">
        <f>'Optional Adjustment 8'!G110*$Z$1</f>
        <v>0</v>
      </c>
      <c r="AA110" s="133">
        <f>'Optional Adjustment 9'!G110*$AA$1</f>
        <v>0</v>
      </c>
      <c r="AB110" s="133">
        <f>'Optional Adjustment 10'!G110*$AB$1</f>
        <v>0</v>
      </c>
      <c r="AC110" s="133">
        <f>'Optional Adjustment 11'!G110*$AC$1</f>
        <v>0</v>
      </c>
      <c r="AD110" s="133">
        <f>'Optional Adjustment 12'!G110*$AD$1</f>
        <v>0</v>
      </c>
      <c r="AE110" s="133">
        <f>'Optional Adjustment 13'!G110*$AE$1</f>
        <v>0</v>
      </c>
      <c r="AF110" s="133">
        <f>'Optional Adjustment 14'!G110*$AF$1</f>
        <v>0</v>
      </c>
      <c r="AG110" s="133">
        <f>'Optional Adjustment 15'!G110*$AG$1</f>
        <v>0</v>
      </c>
      <c r="AH110" s="133">
        <f>'Optional Adjustment 16'!G110*$AH$1</f>
        <v>0</v>
      </c>
      <c r="AI110" s="133">
        <f>'Optional Adjustment 17'!G110*$AI$1</f>
        <v>0</v>
      </c>
      <c r="AJ110" s="133">
        <f>'Optional Adjustment 18'!G110*$AJ$1</f>
        <v>0</v>
      </c>
      <c r="AK110" s="133">
        <f>'Optional Adjustment 19'!G110*$AK$1</f>
        <v>0</v>
      </c>
      <c r="AL110" s="133">
        <f>'Optional Adjustment 20'!G110*$AL$1</f>
        <v>0</v>
      </c>
      <c r="AM110" s="133">
        <f>'Optional Adjustment 21'!G110*$AM$1</f>
        <v>0</v>
      </c>
      <c r="AN110" s="133">
        <f>'Optional Adjustment 22'!G110*$AN$1</f>
        <v>0</v>
      </c>
      <c r="AO110" s="133">
        <f>'Optional Adjustment 23'!G110*$AO$1</f>
        <v>0</v>
      </c>
      <c r="AP110" s="133">
        <f>'Optional Adjustment 24'!G110*$AP$1</f>
        <v>0</v>
      </c>
      <c r="AQ110" s="133">
        <f>'Optional Adjustment 25'!G110*$AQ$1</f>
        <v>0</v>
      </c>
      <c r="AR110" s="133">
        <f>'Optional Adjustment 26'!G110*$AR$1</f>
        <v>0</v>
      </c>
      <c r="AS110" s="133">
        <f>'Optional Adjustment 27'!G110*$AS$1</f>
        <v>0</v>
      </c>
      <c r="AT110" s="133"/>
      <c r="AU110" s="133">
        <f>SUM(F110:AT110)</f>
        <v>0</v>
      </c>
      <c r="AV110" s="116"/>
      <c r="AW110" s="133">
        <f>SUM(AU110:AU110)</f>
        <v>0</v>
      </c>
      <c r="AX110" s="133">
        <f>+AW110-'ROR-Model'!G110</f>
        <v>0</v>
      </c>
    </row>
    <row r="111" spans="1:50">
      <c r="A111" s="330"/>
      <c r="B111" s="728"/>
      <c r="C111" s="728" t="s">
        <v>19</v>
      </c>
      <c r="D111" s="106"/>
      <c r="E111" s="331"/>
      <c r="F111" s="131">
        <f>SUM(F106:F110)</f>
        <v>0</v>
      </c>
      <c r="G111" s="131"/>
      <c r="H111" s="131">
        <f>H1*SUM(H106:H110)</f>
        <v>0</v>
      </c>
      <c r="I111" s="131">
        <f>SUM(I106:I110)</f>
        <v>0</v>
      </c>
      <c r="J111" s="131">
        <f t="shared" ref="J111:P111" si="86">SUM(J106:J110)</f>
        <v>0</v>
      </c>
      <c r="K111" s="131">
        <f t="shared" si="86"/>
        <v>0</v>
      </c>
      <c r="L111" s="131">
        <f t="shared" si="86"/>
        <v>0</v>
      </c>
      <c r="M111" s="131">
        <f t="shared" si="86"/>
        <v>0</v>
      </c>
      <c r="N111" s="131">
        <f t="shared" si="86"/>
        <v>0</v>
      </c>
      <c r="O111" s="131">
        <f t="shared" si="86"/>
        <v>0</v>
      </c>
      <c r="P111" s="131">
        <f t="shared" si="86"/>
        <v>0</v>
      </c>
      <c r="Q111" s="241">
        <f t="shared" ref="Q111:W111" si="87">SUM(Q106:Q110)</f>
        <v>0</v>
      </c>
      <c r="R111" s="241">
        <f t="shared" si="87"/>
        <v>0</v>
      </c>
      <c r="S111" s="556"/>
      <c r="T111" s="556">
        <f t="shared" si="87"/>
        <v>0</v>
      </c>
      <c r="U111" s="556">
        <f t="shared" si="87"/>
        <v>0</v>
      </c>
      <c r="V111" s="556">
        <f t="shared" si="87"/>
        <v>0</v>
      </c>
      <c r="W111" s="556">
        <f t="shared" si="87"/>
        <v>0</v>
      </c>
      <c r="X111" s="556">
        <f t="shared" ref="X111:AG111" si="88">SUM(X106:X110)</f>
        <v>0</v>
      </c>
      <c r="Y111" s="556">
        <f t="shared" si="88"/>
        <v>0</v>
      </c>
      <c r="Z111" s="556">
        <f t="shared" si="88"/>
        <v>0</v>
      </c>
      <c r="AA111" s="556">
        <f t="shared" si="88"/>
        <v>0</v>
      </c>
      <c r="AB111" s="556">
        <f t="shared" si="88"/>
        <v>0</v>
      </c>
      <c r="AC111" s="556">
        <f t="shared" si="88"/>
        <v>0</v>
      </c>
      <c r="AD111" s="556">
        <f t="shared" si="88"/>
        <v>0</v>
      </c>
      <c r="AE111" s="556">
        <f t="shared" si="88"/>
        <v>0</v>
      </c>
      <c r="AF111" s="556">
        <f t="shared" si="88"/>
        <v>0</v>
      </c>
      <c r="AG111" s="556">
        <f t="shared" si="88"/>
        <v>0</v>
      </c>
      <c r="AH111" s="556">
        <f t="shared" ref="AH111:AK111" si="89">SUM(AH106:AH110)</f>
        <v>0</v>
      </c>
      <c r="AI111" s="556">
        <f t="shared" si="89"/>
        <v>0</v>
      </c>
      <c r="AJ111" s="556">
        <f t="shared" si="89"/>
        <v>0</v>
      </c>
      <c r="AK111" s="556">
        <f t="shared" si="89"/>
        <v>0</v>
      </c>
      <c r="AL111" s="556">
        <f t="shared" ref="AL111:AP111" si="90">SUM(AL106:AL110)</f>
        <v>0</v>
      </c>
      <c r="AM111" s="556">
        <f t="shared" si="90"/>
        <v>0</v>
      </c>
      <c r="AN111" s="556">
        <f t="shared" si="90"/>
        <v>0</v>
      </c>
      <c r="AO111" s="556">
        <f t="shared" si="90"/>
        <v>0</v>
      </c>
      <c r="AP111" s="556">
        <f t="shared" si="90"/>
        <v>0</v>
      </c>
      <c r="AQ111" s="556">
        <f t="shared" ref="AQ111:AS111" si="91">SUM(AQ106:AQ110)</f>
        <v>0</v>
      </c>
      <c r="AR111" s="556">
        <f t="shared" si="91"/>
        <v>0</v>
      </c>
      <c r="AS111" s="556">
        <f t="shared" si="91"/>
        <v>0</v>
      </c>
      <c r="AT111" s="556"/>
      <c r="AU111" s="241">
        <f>SUM(AU106:AU110)</f>
        <v>0</v>
      </c>
      <c r="AV111" s="131"/>
      <c r="AW111" s="241">
        <f>SUM(AW106:AW110)</f>
        <v>0</v>
      </c>
      <c r="AX111" s="241">
        <f>+AW111-'ROR-Model'!G111</f>
        <v>0</v>
      </c>
    </row>
    <row r="112" spans="1:50">
      <c r="A112" s="330"/>
      <c r="B112" s="728"/>
      <c r="C112" s="728"/>
      <c r="D112" s="106"/>
      <c r="E112" s="331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16"/>
      <c r="AW112" s="133"/>
      <c r="AX112" s="133">
        <f>+AW112-'ROR-Model'!G112</f>
        <v>0</v>
      </c>
    </row>
    <row r="113" spans="1:50">
      <c r="A113" s="330"/>
      <c r="B113" s="728"/>
      <c r="C113" s="728" t="s">
        <v>20</v>
      </c>
      <c r="D113" s="106"/>
      <c r="E113" s="331"/>
      <c r="F113" s="116"/>
      <c r="G113" s="116"/>
      <c r="H113" s="116">
        <f>H1*Revenue!$K$112</f>
        <v>0</v>
      </c>
      <c r="I113" s="116"/>
      <c r="J113" s="116"/>
      <c r="K113" s="116"/>
      <c r="L113" s="116"/>
      <c r="M113" s="116"/>
      <c r="N113" s="116"/>
      <c r="O113" s="116"/>
      <c r="P113" s="116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>
        <f>SUM(F113:AT113)</f>
        <v>0</v>
      </c>
      <c r="AV113" s="116"/>
      <c r="AW113" s="133">
        <f>SUM(AU113:AU113)</f>
        <v>0</v>
      </c>
      <c r="AX113" s="133">
        <f>+AW113-'ROR-Model'!G113</f>
        <v>0</v>
      </c>
    </row>
    <row r="114" spans="1:50">
      <c r="A114" s="330"/>
      <c r="B114" s="728"/>
      <c r="C114" s="728"/>
      <c r="D114" s="106"/>
      <c r="E114" s="331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16"/>
      <c r="AW114" s="133"/>
      <c r="AX114" s="133">
        <f>+AW114-'ROR-Model'!G114</f>
        <v>0</v>
      </c>
    </row>
    <row r="115" spans="1:50">
      <c r="A115" s="330"/>
      <c r="B115" s="728" t="s">
        <v>36</v>
      </c>
      <c r="C115" s="728" t="s">
        <v>16</v>
      </c>
      <c r="D115" s="106"/>
      <c r="E115" s="331"/>
      <c r="F115" s="116"/>
      <c r="G115" s="116"/>
      <c r="H115" s="116">
        <f>H1*Revenue!$K$114</f>
        <v>5248944</v>
      </c>
      <c r="I115" s="116"/>
      <c r="J115" s="116"/>
      <c r="K115" s="116"/>
      <c r="L115" s="116"/>
      <c r="M115" s="116"/>
      <c r="N115" s="116"/>
      <c r="O115" s="116"/>
      <c r="P115" s="116"/>
      <c r="Q115" s="133"/>
      <c r="R115" s="133"/>
      <c r="S115" s="133"/>
      <c r="T115" s="133">
        <f>'Optional Adjustment 2'!G115*$T$1</f>
        <v>0</v>
      </c>
      <c r="U115" s="133">
        <f>'Optional Adjustment 3'!G115*$U$1</f>
        <v>0</v>
      </c>
      <c r="V115" s="133">
        <f>'Optional Adjustment 4'!G115*$V$1</f>
        <v>0</v>
      </c>
      <c r="W115" s="133">
        <f>'Optional Adjustment 5'!G115*$W$1</f>
        <v>0</v>
      </c>
      <c r="X115" s="133">
        <f>'Optional Adjustment 6'!G115*$X$1</f>
        <v>0</v>
      </c>
      <c r="Y115" s="133">
        <f>'Optional Adjustment 7'!G115*$Y$1</f>
        <v>0</v>
      </c>
      <c r="Z115" s="133">
        <f>'Optional Adjustment 8'!G115*$Z$1</f>
        <v>0</v>
      </c>
      <c r="AA115" s="133">
        <f>'Optional Adjustment 9'!G115*$AA$1</f>
        <v>0</v>
      </c>
      <c r="AB115" s="133">
        <f>'Optional Adjustment 10'!G115*$AB$1</f>
        <v>0</v>
      </c>
      <c r="AC115" s="133">
        <f>'Optional Adjustment 11'!G115*$AC$1</f>
        <v>0</v>
      </c>
      <c r="AD115" s="133">
        <f>'Optional Adjustment 12'!G115*$AD$1</f>
        <v>0</v>
      </c>
      <c r="AE115" s="133">
        <f>'Optional Adjustment 13'!G115*$AE$1</f>
        <v>0</v>
      </c>
      <c r="AF115" s="133">
        <f>'Optional Adjustment 14'!G115*$AF$1</f>
        <v>0</v>
      </c>
      <c r="AG115" s="133">
        <f>'Optional Adjustment 15'!G115*$AG$1</f>
        <v>0</v>
      </c>
      <c r="AH115" s="133">
        <f>'Optional Adjustment 16'!G115*$AH$1</f>
        <v>0</v>
      </c>
      <c r="AI115" s="133">
        <f>'Optional Adjustment 17'!G115*$AI$1</f>
        <v>0</v>
      </c>
      <c r="AJ115" s="133">
        <f>'Optional Adjustment 18'!G115*$AJ$1</f>
        <v>0</v>
      </c>
      <c r="AK115" s="133">
        <f>'Optional Adjustment 19'!G115*$AK$1</f>
        <v>0</v>
      </c>
      <c r="AL115" s="133">
        <f>'Optional Adjustment 20'!G115*$AL$1</f>
        <v>0</v>
      </c>
      <c r="AM115" s="133">
        <f>'Optional Adjustment 21'!G115*$AM$1</f>
        <v>0</v>
      </c>
      <c r="AN115" s="133">
        <f>'Optional Adjustment 22'!G115*$AN$1</f>
        <v>0</v>
      </c>
      <c r="AO115" s="133">
        <f>'Optional Adjustment 23'!G115*$AO$1</f>
        <v>0</v>
      </c>
      <c r="AP115" s="133">
        <f>'Optional Adjustment 24'!G115*$AP$1</f>
        <v>0</v>
      </c>
      <c r="AQ115" s="133">
        <f>'Optional Adjustment 25'!G115*$AQ$1</f>
        <v>0</v>
      </c>
      <c r="AR115" s="133">
        <f>'Optional Adjustment 26'!G115*$AR$1</f>
        <v>0</v>
      </c>
      <c r="AS115" s="133">
        <f>'Optional Adjustment 27'!G115*$AS$1</f>
        <v>0</v>
      </c>
      <c r="AT115" s="133"/>
      <c r="AU115" s="133">
        <f>SUM(F115:AT115)</f>
        <v>5248944</v>
      </c>
      <c r="AV115" s="116"/>
      <c r="AW115" s="133">
        <f>SUM(AU115:AU115)</f>
        <v>5248944</v>
      </c>
      <c r="AX115" s="133">
        <f>+AW115-'ROR-Model'!G115</f>
        <v>0</v>
      </c>
    </row>
    <row r="116" spans="1:50">
      <c r="A116" s="330"/>
      <c r="B116" s="728"/>
      <c r="C116" s="728"/>
      <c r="D116" s="106"/>
      <c r="E116" s="331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16"/>
      <c r="AW116" s="133"/>
      <c r="AX116" s="133">
        <f>+AW116-'ROR-Model'!G116</f>
        <v>0</v>
      </c>
    </row>
    <row r="117" spans="1:50">
      <c r="A117" s="330"/>
      <c r="B117" s="728"/>
      <c r="C117" s="728" t="s">
        <v>17</v>
      </c>
      <c r="D117" s="106"/>
      <c r="E117" s="331"/>
      <c r="F117" s="116"/>
      <c r="G117" s="116"/>
      <c r="H117" s="116">
        <f>H1*Revenue!$K$116</f>
        <v>0</v>
      </c>
      <c r="I117" s="116"/>
      <c r="J117" s="116"/>
      <c r="K117" s="116"/>
      <c r="L117" s="116"/>
      <c r="M117" s="116"/>
      <c r="N117" s="116"/>
      <c r="O117" s="116"/>
      <c r="P117" s="116"/>
      <c r="Q117" s="133"/>
      <c r="R117" s="133"/>
      <c r="S117" s="133"/>
      <c r="T117" s="133">
        <f>'Optional Adjustment 2'!G117*$T$1</f>
        <v>0</v>
      </c>
      <c r="U117" s="133">
        <f>'Optional Adjustment 3'!G117*$U$1</f>
        <v>0</v>
      </c>
      <c r="V117" s="133">
        <f>'Optional Adjustment 4'!G117*$V$1</f>
        <v>0</v>
      </c>
      <c r="W117" s="133">
        <f>'Optional Adjustment 5'!G117*$W$1</f>
        <v>0</v>
      </c>
      <c r="X117" s="133">
        <f>'Optional Adjustment 6'!G117*$X$1</f>
        <v>0</v>
      </c>
      <c r="Y117" s="133">
        <f>'Optional Adjustment 7'!G117*$Y$1</f>
        <v>0</v>
      </c>
      <c r="Z117" s="133">
        <f>'Optional Adjustment 8'!G117*$Z$1</f>
        <v>0</v>
      </c>
      <c r="AA117" s="133">
        <f>'Optional Adjustment 9'!G117*$AA$1</f>
        <v>0</v>
      </c>
      <c r="AB117" s="133">
        <f>'Optional Adjustment 10'!G117*$AB$1</f>
        <v>0</v>
      </c>
      <c r="AC117" s="133">
        <f>'Optional Adjustment 11'!G117*$AC$1</f>
        <v>0</v>
      </c>
      <c r="AD117" s="133">
        <f>'Optional Adjustment 12'!G117*$AD$1</f>
        <v>0</v>
      </c>
      <c r="AE117" s="133">
        <f>'Optional Adjustment 13'!G117*$AE$1</f>
        <v>0</v>
      </c>
      <c r="AF117" s="133">
        <f>'Optional Adjustment 14'!G117*$AF$1</f>
        <v>0</v>
      </c>
      <c r="AG117" s="133">
        <f>'Optional Adjustment 15'!G117*$AG$1</f>
        <v>0</v>
      </c>
      <c r="AH117" s="133">
        <f>'Optional Adjustment 16'!G117*$AH$1</f>
        <v>0</v>
      </c>
      <c r="AI117" s="133">
        <f>'Optional Adjustment 17'!G117*$AI$1</f>
        <v>0</v>
      </c>
      <c r="AJ117" s="133">
        <f>'Optional Adjustment 18'!G117*$AJ$1</f>
        <v>0</v>
      </c>
      <c r="AK117" s="133">
        <f>'Optional Adjustment 19'!G117*$AK$1</f>
        <v>0</v>
      </c>
      <c r="AL117" s="133">
        <f>'Optional Adjustment 20'!G117*$AL$1</f>
        <v>0</v>
      </c>
      <c r="AM117" s="133">
        <f>'Optional Adjustment 21'!G117*$AM$1</f>
        <v>0</v>
      </c>
      <c r="AN117" s="133">
        <f>'Optional Adjustment 22'!G117*$AN$1</f>
        <v>0</v>
      </c>
      <c r="AO117" s="133">
        <f>'Optional Adjustment 23'!G117*$AO$1</f>
        <v>0</v>
      </c>
      <c r="AP117" s="133">
        <f>'Optional Adjustment 24'!G117*$AP$1</f>
        <v>0</v>
      </c>
      <c r="AQ117" s="133">
        <f>'Optional Adjustment 25'!G117*$AQ$1</f>
        <v>0</v>
      </c>
      <c r="AR117" s="133">
        <f>'Optional Adjustment 26'!G117*$AR$1</f>
        <v>0</v>
      </c>
      <c r="AS117" s="133">
        <f>'Optional Adjustment 27'!G117*$AS$1</f>
        <v>0</v>
      </c>
      <c r="AT117" s="133"/>
      <c r="AU117" s="133">
        <f>SUM(F117:AT117)</f>
        <v>0</v>
      </c>
      <c r="AV117" s="116"/>
      <c r="AW117" s="133">
        <f>SUM(AU117:AU117)</f>
        <v>0</v>
      </c>
      <c r="AX117" s="133">
        <f>+AW117-'ROR-Model'!G117</f>
        <v>0</v>
      </c>
    </row>
    <row r="118" spans="1:50">
      <c r="A118" s="330"/>
      <c r="B118" s="728"/>
      <c r="C118" s="728"/>
      <c r="D118" s="106"/>
      <c r="E118" s="331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16"/>
      <c r="AW118" s="133"/>
      <c r="AX118" s="133">
        <f>+AW118-'ROR-Model'!G118</f>
        <v>0</v>
      </c>
    </row>
    <row r="119" spans="1:50">
      <c r="A119" s="330"/>
      <c r="B119" s="728"/>
      <c r="C119" s="728" t="s">
        <v>18</v>
      </c>
      <c r="D119" s="106"/>
      <c r="E119" s="331"/>
      <c r="F119" s="116"/>
      <c r="G119" s="116"/>
      <c r="H119" s="116">
        <f>H1*Revenue!$K$118</f>
        <v>0</v>
      </c>
      <c r="I119" s="116"/>
      <c r="J119" s="116"/>
      <c r="K119" s="116"/>
      <c r="L119" s="116"/>
      <c r="M119" s="116"/>
      <c r="N119" s="116"/>
      <c r="O119" s="116"/>
      <c r="P119" s="116"/>
      <c r="Q119" s="133"/>
      <c r="R119" s="133"/>
      <c r="S119" s="133"/>
      <c r="T119" s="133">
        <f>'Optional Adjustment 2'!G119*$T$1</f>
        <v>0</v>
      </c>
      <c r="U119" s="133">
        <f>'Optional Adjustment 3'!G119*$U$1</f>
        <v>0</v>
      </c>
      <c r="V119" s="133">
        <f>'Optional Adjustment 4'!G119*$V$1</f>
        <v>0</v>
      </c>
      <c r="W119" s="133">
        <f>'Optional Adjustment 5'!G119*$W$1</f>
        <v>0</v>
      </c>
      <c r="X119" s="133">
        <f>'Optional Adjustment 6'!G119*$X$1</f>
        <v>0</v>
      </c>
      <c r="Y119" s="133">
        <f>'Optional Adjustment 7'!G119*$Y$1</f>
        <v>0</v>
      </c>
      <c r="Z119" s="133">
        <f>'Optional Adjustment 8'!G119*$Z$1</f>
        <v>0</v>
      </c>
      <c r="AA119" s="133">
        <f>'Optional Adjustment 9'!G119*$AA$1</f>
        <v>0</v>
      </c>
      <c r="AB119" s="133">
        <f>'Optional Adjustment 10'!G119*$AB$1</f>
        <v>0</v>
      </c>
      <c r="AC119" s="133">
        <f>'Optional Adjustment 11'!G119*$AC$1</f>
        <v>0</v>
      </c>
      <c r="AD119" s="133">
        <f>'Optional Adjustment 12'!G119*$AD$1</f>
        <v>0</v>
      </c>
      <c r="AE119" s="133">
        <f>'Optional Adjustment 13'!G119*$AE$1</f>
        <v>0</v>
      </c>
      <c r="AF119" s="133">
        <f>'Optional Adjustment 14'!G119*$AF$1</f>
        <v>0</v>
      </c>
      <c r="AG119" s="133">
        <f>'Optional Adjustment 15'!G119*$AG$1</f>
        <v>0</v>
      </c>
      <c r="AH119" s="133">
        <f>'Optional Adjustment 16'!G119*$AH$1</f>
        <v>0</v>
      </c>
      <c r="AI119" s="133">
        <f>'Optional Adjustment 17'!G119*$AI$1</f>
        <v>0</v>
      </c>
      <c r="AJ119" s="133">
        <f>'Optional Adjustment 18'!G119*$AJ$1</f>
        <v>0</v>
      </c>
      <c r="AK119" s="133">
        <f>'Optional Adjustment 19'!G119*$AK$1</f>
        <v>0</v>
      </c>
      <c r="AL119" s="133">
        <f>'Optional Adjustment 20'!G119*$AL$1</f>
        <v>0</v>
      </c>
      <c r="AM119" s="133">
        <f>'Optional Adjustment 21'!G119*$AM$1</f>
        <v>0</v>
      </c>
      <c r="AN119" s="133">
        <f>'Optional Adjustment 22'!G119*$AN$1</f>
        <v>0</v>
      </c>
      <c r="AO119" s="133">
        <f>'Optional Adjustment 23'!G119*$AO$1</f>
        <v>0</v>
      </c>
      <c r="AP119" s="133">
        <f>'Optional Adjustment 24'!G119*$AP$1</f>
        <v>0</v>
      </c>
      <c r="AQ119" s="133">
        <f>'Optional Adjustment 25'!G119*$AQ$1</f>
        <v>0</v>
      </c>
      <c r="AR119" s="133">
        <f>'Optional Adjustment 26'!G119*$AR$1</f>
        <v>0</v>
      </c>
      <c r="AS119" s="133">
        <f>'Optional Adjustment 27'!G119*$AS$1</f>
        <v>0</v>
      </c>
      <c r="AT119" s="133"/>
      <c r="AU119" s="133">
        <f>SUM(F119:AT119)</f>
        <v>0</v>
      </c>
      <c r="AV119" s="116"/>
      <c r="AW119" s="133">
        <f>SUM(AU119:AU119)</f>
        <v>0</v>
      </c>
      <c r="AX119" s="133">
        <f>+AW119-'ROR-Model'!G119</f>
        <v>0</v>
      </c>
    </row>
    <row r="120" spans="1:50">
      <c r="A120" s="330"/>
      <c r="B120" s="728"/>
      <c r="C120" s="728" t="s">
        <v>19</v>
      </c>
      <c r="D120" s="106"/>
      <c r="E120" s="331"/>
      <c r="F120" s="131">
        <f>SUM(F115:F119)</f>
        <v>0</v>
      </c>
      <c r="G120" s="131"/>
      <c r="H120" s="131">
        <f>H1*SUM(H115:H119)</f>
        <v>5248944</v>
      </c>
      <c r="I120" s="131">
        <f>SUM(I115:I119)</f>
        <v>0</v>
      </c>
      <c r="J120" s="131">
        <f t="shared" ref="J120:P120" si="92">SUM(J115:J119)</f>
        <v>0</v>
      </c>
      <c r="K120" s="131">
        <f t="shared" si="92"/>
        <v>0</v>
      </c>
      <c r="L120" s="131">
        <f t="shared" si="92"/>
        <v>0</v>
      </c>
      <c r="M120" s="131">
        <f t="shared" si="92"/>
        <v>0</v>
      </c>
      <c r="N120" s="131">
        <f t="shared" si="92"/>
        <v>0</v>
      </c>
      <c r="O120" s="131">
        <f t="shared" si="92"/>
        <v>0</v>
      </c>
      <c r="P120" s="131">
        <f t="shared" si="92"/>
        <v>0</v>
      </c>
      <c r="Q120" s="241">
        <f t="shared" ref="Q120:W120" si="93">SUM(Q115:Q119)</f>
        <v>0</v>
      </c>
      <c r="R120" s="241">
        <f t="shared" si="93"/>
        <v>0</v>
      </c>
      <c r="S120" s="556"/>
      <c r="T120" s="556">
        <f t="shared" si="93"/>
        <v>0</v>
      </c>
      <c r="U120" s="556">
        <f t="shared" si="93"/>
        <v>0</v>
      </c>
      <c r="V120" s="556">
        <f t="shared" si="93"/>
        <v>0</v>
      </c>
      <c r="W120" s="556">
        <f t="shared" si="93"/>
        <v>0</v>
      </c>
      <c r="X120" s="556">
        <f t="shared" ref="X120:AG120" si="94">SUM(X115:X119)</f>
        <v>0</v>
      </c>
      <c r="Y120" s="556">
        <f t="shared" si="94"/>
        <v>0</v>
      </c>
      <c r="Z120" s="556">
        <f t="shared" si="94"/>
        <v>0</v>
      </c>
      <c r="AA120" s="556">
        <f t="shared" si="94"/>
        <v>0</v>
      </c>
      <c r="AB120" s="556">
        <f t="shared" si="94"/>
        <v>0</v>
      </c>
      <c r="AC120" s="556">
        <f t="shared" si="94"/>
        <v>0</v>
      </c>
      <c r="AD120" s="556">
        <f t="shared" si="94"/>
        <v>0</v>
      </c>
      <c r="AE120" s="556">
        <f t="shared" si="94"/>
        <v>0</v>
      </c>
      <c r="AF120" s="556">
        <f t="shared" si="94"/>
        <v>0</v>
      </c>
      <c r="AG120" s="556">
        <f t="shared" si="94"/>
        <v>0</v>
      </c>
      <c r="AH120" s="556">
        <f t="shared" ref="AH120:AK120" si="95">SUM(AH115:AH119)</f>
        <v>0</v>
      </c>
      <c r="AI120" s="556">
        <f t="shared" si="95"/>
        <v>0</v>
      </c>
      <c r="AJ120" s="556">
        <f t="shared" si="95"/>
        <v>0</v>
      </c>
      <c r="AK120" s="556">
        <f t="shared" si="95"/>
        <v>0</v>
      </c>
      <c r="AL120" s="556">
        <f t="shared" ref="AL120:AP120" si="96">SUM(AL115:AL119)</f>
        <v>0</v>
      </c>
      <c r="AM120" s="556">
        <f t="shared" si="96"/>
        <v>0</v>
      </c>
      <c r="AN120" s="556">
        <f t="shared" si="96"/>
        <v>0</v>
      </c>
      <c r="AO120" s="556">
        <f t="shared" si="96"/>
        <v>0</v>
      </c>
      <c r="AP120" s="556">
        <f t="shared" si="96"/>
        <v>0</v>
      </c>
      <c r="AQ120" s="556">
        <f t="shared" ref="AQ120:AS120" si="97">SUM(AQ115:AQ119)</f>
        <v>0</v>
      </c>
      <c r="AR120" s="556">
        <f t="shared" si="97"/>
        <v>0</v>
      </c>
      <c r="AS120" s="556">
        <f t="shared" si="97"/>
        <v>0</v>
      </c>
      <c r="AT120" s="556"/>
      <c r="AU120" s="241">
        <f>SUM(AU115:AU119)</f>
        <v>5248944</v>
      </c>
      <c r="AV120" s="131"/>
      <c r="AW120" s="241">
        <f>SUM(AW115:AW119)</f>
        <v>5248944</v>
      </c>
      <c r="AX120" s="241">
        <f>+AW120-'ROR-Model'!G120</f>
        <v>0</v>
      </c>
    </row>
    <row r="121" spans="1:50">
      <c r="A121" s="330"/>
      <c r="B121" s="728"/>
      <c r="C121" s="728"/>
      <c r="D121" s="106"/>
      <c r="E121" s="331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16"/>
      <c r="AW121" s="133"/>
      <c r="AX121" s="133">
        <f>+AW121-'ROR-Model'!G121</f>
        <v>0</v>
      </c>
    </row>
    <row r="122" spans="1:50">
      <c r="A122" s="330"/>
      <c r="B122" s="728"/>
      <c r="C122" s="728" t="s">
        <v>20</v>
      </c>
      <c r="D122" s="106"/>
      <c r="E122" s="331"/>
      <c r="F122" s="116"/>
      <c r="G122" s="116"/>
      <c r="H122" s="116">
        <f>H1*Revenue!$K$121</f>
        <v>32925927</v>
      </c>
      <c r="I122" s="116"/>
      <c r="J122" s="116"/>
      <c r="K122" s="116"/>
      <c r="L122" s="116"/>
      <c r="M122" s="116"/>
      <c r="N122" s="116"/>
      <c r="O122" s="116"/>
      <c r="P122" s="116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>
        <f>SUM(F122:AT122)</f>
        <v>32925927</v>
      </c>
      <c r="AV122" s="116"/>
      <c r="AW122" s="133">
        <f>SUM(AU122:AU122)</f>
        <v>32925927</v>
      </c>
      <c r="AX122" s="133">
        <f>+AW122-'ROR-Model'!G122</f>
        <v>0</v>
      </c>
    </row>
    <row r="123" spans="1:50">
      <c r="A123" s="330"/>
      <c r="B123" s="728"/>
      <c r="C123" s="728"/>
      <c r="D123" s="106"/>
      <c r="E123" s="331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16"/>
      <c r="AW123" s="133"/>
      <c r="AX123" s="133">
        <f>+AW123-'ROR-Model'!G123</f>
        <v>0</v>
      </c>
    </row>
    <row r="124" spans="1:50">
      <c r="A124" s="330"/>
      <c r="B124" s="728" t="s">
        <v>954</v>
      </c>
      <c r="C124" s="728" t="s">
        <v>16</v>
      </c>
      <c r="D124" s="106"/>
      <c r="E124" s="331"/>
      <c r="F124" s="116"/>
      <c r="G124" s="116"/>
      <c r="H124" s="116">
        <f>H1*Revenue!$K$123</f>
        <v>-2689423.574196436</v>
      </c>
      <c r="I124" s="116"/>
      <c r="J124" s="116"/>
      <c r="K124" s="116"/>
      <c r="L124" s="116"/>
      <c r="M124" s="116"/>
      <c r="N124" s="116"/>
      <c r="O124" s="116"/>
      <c r="P124" s="116"/>
      <c r="Q124" s="133"/>
      <c r="R124" s="133"/>
      <c r="S124" s="133"/>
      <c r="T124" s="133">
        <f>'Optional Adjustment 2'!G124*$T$1</f>
        <v>0</v>
      </c>
      <c r="U124" s="133">
        <f>'Optional Adjustment 3'!G124*$U$1</f>
        <v>0</v>
      </c>
      <c r="V124" s="133">
        <f>'Optional Adjustment 4'!G124*$V$1</f>
        <v>0</v>
      </c>
      <c r="W124" s="133">
        <f>'Optional Adjustment 5'!G124*$W$1</f>
        <v>0</v>
      </c>
      <c r="X124" s="133">
        <f>'Optional Adjustment 6'!G124*$X$1</f>
        <v>0</v>
      </c>
      <c r="Y124" s="133">
        <f>'Optional Adjustment 7'!G124*$Y$1</f>
        <v>0</v>
      </c>
      <c r="Z124" s="133">
        <f>'Optional Adjustment 8'!G124*$Z$1</f>
        <v>0</v>
      </c>
      <c r="AA124" s="133">
        <f>'Optional Adjustment 9'!G124*$AA$1</f>
        <v>0</v>
      </c>
      <c r="AB124" s="133">
        <f>'Optional Adjustment 10'!G124*$AB$1</f>
        <v>0</v>
      </c>
      <c r="AC124" s="133">
        <f>'Optional Adjustment 11'!G124*$AC$1</f>
        <v>0</v>
      </c>
      <c r="AD124" s="133">
        <f>'Optional Adjustment 12'!G124*$AD$1</f>
        <v>0</v>
      </c>
      <c r="AE124" s="133">
        <f>'Optional Adjustment 13'!G124*$AE$1</f>
        <v>0</v>
      </c>
      <c r="AF124" s="133">
        <f>'Optional Adjustment 14'!G124*$AF$1</f>
        <v>0</v>
      </c>
      <c r="AG124" s="133">
        <f>'Optional Adjustment 15'!G124*$AG$1</f>
        <v>0</v>
      </c>
      <c r="AH124" s="133">
        <f>'Optional Adjustment 16'!G124*$AH$1</f>
        <v>0</v>
      </c>
      <c r="AI124" s="133">
        <f>'Optional Adjustment 17'!G124*$AI$1</f>
        <v>0</v>
      </c>
      <c r="AJ124" s="133">
        <f>'Optional Adjustment 18'!G124*$AJ$1</f>
        <v>0</v>
      </c>
      <c r="AK124" s="133">
        <f>'Optional Adjustment 19'!G124*$AK$1</f>
        <v>0</v>
      </c>
      <c r="AL124" s="133">
        <f>'Optional Adjustment 20'!G124*$AL$1</f>
        <v>0</v>
      </c>
      <c r="AM124" s="133">
        <f>'Optional Adjustment 21'!G124*$AM$1</f>
        <v>0</v>
      </c>
      <c r="AN124" s="133">
        <f>'Optional Adjustment 22'!G124*$AN$1</f>
        <v>0</v>
      </c>
      <c r="AO124" s="133">
        <f>'Optional Adjustment 23'!G124*$AO$1</f>
        <v>0</v>
      </c>
      <c r="AP124" s="133">
        <f>'Optional Adjustment 24'!G124*$AP$1</f>
        <v>0</v>
      </c>
      <c r="AQ124" s="133">
        <f>'Optional Adjustment 25'!G124*$AQ$1</f>
        <v>0</v>
      </c>
      <c r="AR124" s="133">
        <f>'Optional Adjustment 26'!G124*$AR$1</f>
        <v>0</v>
      </c>
      <c r="AS124" s="133">
        <f>'Optional Adjustment 27'!G124*$AS$1</f>
        <v>0</v>
      </c>
      <c r="AT124" s="133"/>
      <c r="AU124" s="133">
        <f>SUM(F124:AT124)</f>
        <v>-2689423.574196436</v>
      </c>
      <c r="AV124" s="116"/>
      <c r="AW124" s="133">
        <f>SUM(AU124:AU124)</f>
        <v>-2689423.574196436</v>
      </c>
      <c r="AX124" s="133">
        <f>+AW124-'ROR-Model'!G124</f>
        <v>0</v>
      </c>
    </row>
    <row r="125" spans="1:50">
      <c r="A125" s="330"/>
      <c r="B125" s="728"/>
      <c r="C125" s="728"/>
      <c r="D125" s="106"/>
      <c r="E125" s="331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16"/>
      <c r="AW125" s="133"/>
      <c r="AX125" s="133">
        <f>+AW125-'ROR-Model'!G125</f>
        <v>0</v>
      </c>
    </row>
    <row r="126" spans="1:50">
      <c r="A126" s="330"/>
      <c r="B126" s="728"/>
      <c r="C126" s="728" t="s">
        <v>17</v>
      </c>
      <c r="D126" s="106"/>
      <c r="E126" s="331"/>
      <c r="F126" s="116"/>
      <c r="G126" s="116"/>
      <c r="H126" s="116">
        <f>H1*Revenue!$K$125</f>
        <v>0</v>
      </c>
      <c r="I126" s="116"/>
      <c r="J126" s="116"/>
      <c r="K126" s="116"/>
      <c r="L126" s="116"/>
      <c r="M126" s="116"/>
      <c r="N126" s="116"/>
      <c r="O126" s="116"/>
      <c r="P126" s="116"/>
      <c r="Q126" s="133"/>
      <c r="R126" s="133"/>
      <c r="S126" s="133"/>
      <c r="T126" s="133">
        <f>'Optional Adjustment 2'!G126*$T$1</f>
        <v>0</v>
      </c>
      <c r="U126" s="133">
        <f>'Optional Adjustment 3'!G126*$U$1</f>
        <v>0</v>
      </c>
      <c r="V126" s="133">
        <f>'Optional Adjustment 4'!G126*$V$1</f>
        <v>0</v>
      </c>
      <c r="W126" s="133">
        <f>'Optional Adjustment 5'!G126*$W$1</f>
        <v>0</v>
      </c>
      <c r="X126" s="133">
        <f>'Optional Adjustment 6'!G126*$X$1</f>
        <v>0</v>
      </c>
      <c r="Y126" s="133">
        <f>'Optional Adjustment 7'!G126*$Y$1</f>
        <v>0</v>
      </c>
      <c r="Z126" s="133">
        <f>'Optional Adjustment 8'!G126*$Z$1</f>
        <v>0</v>
      </c>
      <c r="AA126" s="133">
        <f>'Optional Adjustment 9'!G126*$AA$1</f>
        <v>0</v>
      </c>
      <c r="AB126" s="133">
        <f>'Optional Adjustment 10'!G126*$AB$1</f>
        <v>0</v>
      </c>
      <c r="AC126" s="133">
        <f>'Optional Adjustment 11'!G126*$AC$1</f>
        <v>0</v>
      </c>
      <c r="AD126" s="133">
        <f>'Optional Adjustment 12'!G126*$AD$1</f>
        <v>0</v>
      </c>
      <c r="AE126" s="133">
        <f>'Optional Adjustment 13'!G126*$AE$1</f>
        <v>0</v>
      </c>
      <c r="AF126" s="133">
        <f>'Optional Adjustment 14'!G126*$AF$1</f>
        <v>0</v>
      </c>
      <c r="AG126" s="133">
        <f>'Optional Adjustment 15'!G126*$AG$1</f>
        <v>0</v>
      </c>
      <c r="AH126" s="133">
        <f>'Optional Adjustment 16'!G126*$AH$1</f>
        <v>0</v>
      </c>
      <c r="AI126" s="133">
        <f>'Optional Adjustment 17'!G126*$AI$1</f>
        <v>0</v>
      </c>
      <c r="AJ126" s="133">
        <f>'Optional Adjustment 18'!G126*$AJ$1</f>
        <v>0</v>
      </c>
      <c r="AK126" s="133">
        <f>'Optional Adjustment 19'!G126*$AK$1</f>
        <v>0</v>
      </c>
      <c r="AL126" s="133">
        <f>'Optional Adjustment 20'!G126*$AL$1</f>
        <v>0</v>
      </c>
      <c r="AM126" s="133">
        <f>'Optional Adjustment 21'!G126*$AM$1</f>
        <v>0</v>
      </c>
      <c r="AN126" s="133">
        <f>'Optional Adjustment 22'!G126*$AN$1</f>
        <v>0</v>
      </c>
      <c r="AO126" s="133">
        <f>'Optional Adjustment 23'!G126*$AO$1</f>
        <v>0</v>
      </c>
      <c r="AP126" s="133">
        <f>'Optional Adjustment 24'!G126*$AP$1</f>
        <v>0</v>
      </c>
      <c r="AQ126" s="133">
        <f>'Optional Adjustment 25'!G126*$AQ$1</f>
        <v>0</v>
      </c>
      <c r="AR126" s="133">
        <f>'Optional Adjustment 26'!G126*$AR$1</f>
        <v>0</v>
      </c>
      <c r="AS126" s="133">
        <f>'Optional Adjustment 27'!G126*$AS$1</f>
        <v>0</v>
      </c>
      <c r="AT126" s="133"/>
      <c r="AU126" s="133">
        <f>SUM(F126:AT126)</f>
        <v>0</v>
      </c>
      <c r="AV126" s="116"/>
      <c r="AW126" s="133">
        <f>SUM(AU126:AU126)</f>
        <v>0</v>
      </c>
      <c r="AX126" s="133">
        <f>+AW126-'ROR-Model'!G126</f>
        <v>0</v>
      </c>
    </row>
    <row r="127" spans="1:50">
      <c r="A127" s="330"/>
      <c r="B127" s="728"/>
      <c r="C127" s="728"/>
      <c r="D127" s="106"/>
      <c r="E127" s="331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16"/>
      <c r="AW127" s="133"/>
      <c r="AX127" s="133">
        <f>+AW127-'ROR-Model'!G127</f>
        <v>0</v>
      </c>
    </row>
    <row r="128" spans="1:50">
      <c r="A128" s="330"/>
      <c r="B128" s="728"/>
      <c r="C128" s="728" t="s">
        <v>18</v>
      </c>
      <c r="D128" s="106"/>
      <c r="E128" s="331"/>
      <c r="F128" s="116"/>
      <c r="G128" s="116"/>
      <c r="H128" s="116">
        <f>H1*Revenue!$K$127</f>
        <v>0</v>
      </c>
      <c r="I128" s="116"/>
      <c r="J128" s="116"/>
      <c r="K128" s="116"/>
      <c r="L128" s="116"/>
      <c r="M128" s="116"/>
      <c r="N128" s="116"/>
      <c r="O128" s="116"/>
      <c r="P128" s="116"/>
      <c r="Q128" s="133"/>
      <c r="R128" s="133"/>
      <c r="S128" s="133"/>
      <c r="T128" s="133">
        <f>'Optional Adjustment 2'!G128*$T$1</f>
        <v>0</v>
      </c>
      <c r="U128" s="133">
        <f>'Optional Adjustment 3'!G128*$U$1</f>
        <v>0</v>
      </c>
      <c r="V128" s="133">
        <f>'Optional Adjustment 4'!G128*$V$1</f>
        <v>0</v>
      </c>
      <c r="W128" s="133">
        <f>'Optional Adjustment 5'!G128*$W$1</f>
        <v>0</v>
      </c>
      <c r="X128" s="133">
        <f>'Optional Adjustment 6'!G128*$X$1</f>
        <v>0</v>
      </c>
      <c r="Y128" s="133">
        <f>'Optional Adjustment 7'!G128*$Y$1</f>
        <v>0</v>
      </c>
      <c r="Z128" s="133">
        <f>'Optional Adjustment 8'!G128*$Z$1</f>
        <v>0</v>
      </c>
      <c r="AA128" s="133">
        <f>'Optional Adjustment 9'!G128*$AA$1</f>
        <v>0</v>
      </c>
      <c r="AB128" s="133">
        <f>'Optional Adjustment 10'!G128*$AB$1</f>
        <v>0</v>
      </c>
      <c r="AC128" s="133">
        <f>'Optional Adjustment 11'!G128*$AC$1</f>
        <v>0</v>
      </c>
      <c r="AD128" s="133">
        <f>'Optional Adjustment 12'!G128*$AD$1</f>
        <v>0</v>
      </c>
      <c r="AE128" s="133">
        <f>'Optional Adjustment 13'!G128*$AE$1</f>
        <v>0</v>
      </c>
      <c r="AF128" s="133">
        <f>'Optional Adjustment 14'!G128*$AF$1</f>
        <v>0</v>
      </c>
      <c r="AG128" s="133">
        <f>'Optional Adjustment 15'!G128*$AG$1</f>
        <v>0</v>
      </c>
      <c r="AH128" s="133">
        <f>'Optional Adjustment 16'!G128*$AH$1</f>
        <v>0</v>
      </c>
      <c r="AI128" s="133">
        <f>'Optional Adjustment 17'!G128*$AI$1</f>
        <v>0</v>
      </c>
      <c r="AJ128" s="133">
        <f>'Optional Adjustment 18'!G128*$AJ$1</f>
        <v>0</v>
      </c>
      <c r="AK128" s="133">
        <f>'Optional Adjustment 19'!G128*$AK$1</f>
        <v>0</v>
      </c>
      <c r="AL128" s="133">
        <f>'Optional Adjustment 20'!G128*$AL$1</f>
        <v>0</v>
      </c>
      <c r="AM128" s="133">
        <f>'Optional Adjustment 21'!G128*$AM$1</f>
        <v>0</v>
      </c>
      <c r="AN128" s="133">
        <f>'Optional Adjustment 22'!G128*$AN$1</f>
        <v>0</v>
      </c>
      <c r="AO128" s="133">
        <f>'Optional Adjustment 23'!G128*$AO$1</f>
        <v>0</v>
      </c>
      <c r="AP128" s="133">
        <f>'Optional Adjustment 24'!G128*$AP$1</f>
        <v>0</v>
      </c>
      <c r="AQ128" s="133">
        <f>'Optional Adjustment 25'!G128*$AQ$1</f>
        <v>0</v>
      </c>
      <c r="AR128" s="133">
        <f>'Optional Adjustment 26'!G128*$AR$1</f>
        <v>0</v>
      </c>
      <c r="AS128" s="133">
        <f>'Optional Adjustment 27'!G128*$AS$1</f>
        <v>0</v>
      </c>
      <c r="AT128" s="133"/>
      <c r="AU128" s="133">
        <f>SUM(F128:AT128)</f>
        <v>0</v>
      </c>
      <c r="AV128" s="116"/>
      <c r="AW128" s="133">
        <f>SUM(AU128:AU128)</f>
        <v>0</v>
      </c>
      <c r="AX128" s="133">
        <f>+AW128-'ROR-Model'!G128</f>
        <v>0</v>
      </c>
    </row>
    <row r="129" spans="1:50">
      <c r="A129" s="330"/>
      <c r="B129" s="728"/>
      <c r="C129" s="728" t="s">
        <v>19</v>
      </c>
      <c r="D129" s="106"/>
      <c r="E129" s="331"/>
      <c r="F129" s="131">
        <f>SUM(F124:F128)</f>
        <v>0</v>
      </c>
      <c r="G129" s="131"/>
      <c r="H129" s="131">
        <f>H1*SUM(H124:H128)</f>
        <v>-2689423.574196436</v>
      </c>
      <c r="I129" s="131">
        <f>SUM(I124:I128)</f>
        <v>0</v>
      </c>
      <c r="J129" s="131">
        <f t="shared" ref="J129:P129" si="98">SUM(J124:J128)</f>
        <v>0</v>
      </c>
      <c r="K129" s="131">
        <f t="shared" si="98"/>
        <v>0</v>
      </c>
      <c r="L129" s="131">
        <f t="shared" si="98"/>
        <v>0</v>
      </c>
      <c r="M129" s="131">
        <f t="shared" si="98"/>
        <v>0</v>
      </c>
      <c r="N129" s="131">
        <f t="shared" si="98"/>
        <v>0</v>
      </c>
      <c r="O129" s="131">
        <f t="shared" si="98"/>
        <v>0</v>
      </c>
      <c r="P129" s="131">
        <f t="shared" si="98"/>
        <v>0</v>
      </c>
      <c r="Q129" s="241">
        <f t="shared" ref="Q129:W129" si="99">SUM(Q124:Q128)</f>
        <v>0</v>
      </c>
      <c r="R129" s="241">
        <f t="shared" si="99"/>
        <v>0</v>
      </c>
      <c r="S129" s="556"/>
      <c r="T129" s="556">
        <f t="shared" si="99"/>
        <v>0</v>
      </c>
      <c r="U129" s="556">
        <f t="shared" si="99"/>
        <v>0</v>
      </c>
      <c r="V129" s="556">
        <f t="shared" si="99"/>
        <v>0</v>
      </c>
      <c r="W129" s="556">
        <f t="shared" si="99"/>
        <v>0</v>
      </c>
      <c r="X129" s="556">
        <f t="shared" ref="X129:AG129" si="100">SUM(X124:X128)</f>
        <v>0</v>
      </c>
      <c r="Y129" s="556">
        <f t="shared" si="100"/>
        <v>0</v>
      </c>
      <c r="Z129" s="556">
        <f t="shared" si="100"/>
        <v>0</v>
      </c>
      <c r="AA129" s="556">
        <f t="shared" si="100"/>
        <v>0</v>
      </c>
      <c r="AB129" s="556">
        <f t="shared" si="100"/>
        <v>0</v>
      </c>
      <c r="AC129" s="556">
        <f t="shared" si="100"/>
        <v>0</v>
      </c>
      <c r="AD129" s="556">
        <f t="shared" si="100"/>
        <v>0</v>
      </c>
      <c r="AE129" s="556">
        <f t="shared" si="100"/>
        <v>0</v>
      </c>
      <c r="AF129" s="556">
        <f t="shared" si="100"/>
        <v>0</v>
      </c>
      <c r="AG129" s="556">
        <f t="shared" si="100"/>
        <v>0</v>
      </c>
      <c r="AH129" s="556">
        <f t="shared" ref="AH129:AK129" si="101">SUM(AH124:AH128)</f>
        <v>0</v>
      </c>
      <c r="AI129" s="556">
        <f t="shared" si="101"/>
        <v>0</v>
      </c>
      <c r="AJ129" s="556">
        <f t="shared" si="101"/>
        <v>0</v>
      </c>
      <c r="AK129" s="556">
        <f t="shared" si="101"/>
        <v>0</v>
      </c>
      <c r="AL129" s="556">
        <f t="shared" ref="AL129:AP129" si="102">SUM(AL124:AL128)</f>
        <v>0</v>
      </c>
      <c r="AM129" s="556">
        <f t="shared" si="102"/>
        <v>0</v>
      </c>
      <c r="AN129" s="556">
        <f t="shared" si="102"/>
        <v>0</v>
      </c>
      <c r="AO129" s="556">
        <f t="shared" si="102"/>
        <v>0</v>
      </c>
      <c r="AP129" s="556">
        <f t="shared" si="102"/>
        <v>0</v>
      </c>
      <c r="AQ129" s="556">
        <f t="shared" ref="AQ129:AS129" si="103">SUM(AQ124:AQ128)</f>
        <v>0</v>
      </c>
      <c r="AR129" s="556">
        <f t="shared" si="103"/>
        <v>0</v>
      </c>
      <c r="AS129" s="556">
        <f t="shared" si="103"/>
        <v>0</v>
      </c>
      <c r="AT129" s="556"/>
      <c r="AU129" s="241">
        <f>SUM(AU124:AU128)</f>
        <v>-2689423.574196436</v>
      </c>
      <c r="AV129" s="131"/>
      <c r="AW129" s="241">
        <f>SUM(AW124:AW128)</f>
        <v>-2689423.574196436</v>
      </c>
      <c r="AX129" s="241">
        <f>+AW129-'ROR-Model'!G129</f>
        <v>0</v>
      </c>
    </row>
    <row r="130" spans="1:50">
      <c r="A130" s="330"/>
      <c r="B130" s="728"/>
      <c r="C130" s="728"/>
      <c r="D130" s="106"/>
      <c r="E130" s="331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16"/>
      <c r="AW130" s="133"/>
      <c r="AX130" s="133">
        <f>+AW130-'ROR-Model'!G130</f>
        <v>0</v>
      </c>
    </row>
    <row r="131" spans="1:50">
      <c r="A131" s="330"/>
      <c r="B131" s="728"/>
      <c r="C131" s="728" t="s">
        <v>20</v>
      </c>
      <c r="D131" s="106"/>
      <c r="E131" s="331"/>
      <c r="F131" s="116"/>
      <c r="G131" s="116"/>
      <c r="H131" s="116">
        <f>H1*Revenue!$K$130</f>
        <v>-25144654</v>
      </c>
      <c r="I131" s="116"/>
      <c r="J131" s="116"/>
      <c r="K131" s="116"/>
      <c r="L131" s="116"/>
      <c r="M131" s="116"/>
      <c r="N131" s="116"/>
      <c r="O131" s="116"/>
      <c r="P131" s="116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>
        <f>SUM(F131:AT131)</f>
        <v>-25144654</v>
      </c>
      <c r="AV131" s="116"/>
      <c r="AW131" s="133">
        <f>SUM(AU131:AU131)</f>
        <v>-25144654</v>
      </c>
      <c r="AX131" s="133">
        <f>+AW131-'ROR-Model'!G131</f>
        <v>0</v>
      </c>
    </row>
    <row r="132" spans="1:50">
      <c r="A132" s="330"/>
      <c r="B132" s="728"/>
      <c r="C132" s="728"/>
      <c r="D132" s="106"/>
      <c r="E132" s="331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16"/>
      <c r="AW132" s="133"/>
      <c r="AX132" s="133">
        <f>+AW132-'ROR-Model'!G132</f>
        <v>0</v>
      </c>
    </row>
    <row r="133" spans="1:50">
      <c r="A133" s="330"/>
      <c r="B133" s="728" t="s">
        <v>93</v>
      </c>
      <c r="C133" s="728" t="s">
        <v>16</v>
      </c>
      <c r="D133" s="106"/>
      <c r="E133" s="331"/>
      <c r="F133" s="116"/>
      <c r="G133" s="116"/>
      <c r="H133" s="116">
        <f>H1*Revenue!$K$132</f>
        <v>0</v>
      </c>
      <c r="I133" s="116"/>
      <c r="J133" s="116"/>
      <c r="K133" s="116"/>
      <c r="L133" s="116"/>
      <c r="M133" s="116"/>
      <c r="N133" s="116"/>
      <c r="O133" s="116"/>
      <c r="P133" s="116"/>
      <c r="Q133" s="133"/>
      <c r="R133" s="133"/>
      <c r="S133" s="133"/>
      <c r="T133" s="133">
        <f>'Optional Adjustment 2'!G133*$T$1</f>
        <v>0</v>
      </c>
      <c r="U133" s="133">
        <f>'Optional Adjustment 3'!G133*$U$1</f>
        <v>0</v>
      </c>
      <c r="V133" s="133">
        <f>'Optional Adjustment 4'!G133*$V$1</f>
        <v>0</v>
      </c>
      <c r="W133" s="133">
        <f>'Optional Adjustment 5'!G133*$W$1</f>
        <v>0</v>
      </c>
      <c r="X133" s="133">
        <f>'Optional Adjustment 6'!G133*$X$1</f>
        <v>0</v>
      </c>
      <c r="Y133" s="133">
        <f>'Optional Adjustment 7'!G133*$Y$1</f>
        <v>0</v>
      </c>
      <c r="Z133" s="133">
        <f>'Optional Adjustment 8'!G133*$Z$1</f>
        <v>0</v>
      </c>
      <c r="AA133" s="133">
        <f>'Optional Adjustment 9'!G133*$AA$1</f>
        <v>0</v>
      </c>
      <c r="AB133" s="133">
        <f>'Optional Adjustment 10'!G133*$AB$1</f>
        <v>0</v>
      </c>
      <c r="AC133" s="133">
        <f>'Optional Adjustment 11'!G133*$AC$1</f>
        <v>0</v>
      </c>
      <c r="AD133" s="133">
        <f>'Optional Adjustment 12'!G133*$AD$1</f>
        <v>0</v>
      </c>
      <c r="AE133" s="133">
        <f>'Optional Adjustment 13'!G133*$AE$1</f>
        <v>0</v>
      </c>
      <c r="AF133" s="133">
        <f>'Optional Adjustment 14'!G133*$AF$1</f>
        <v>0</v>
      </c>
      <c r="AG133" s="133">
        <f>'Optional Adjustment 15'!G133*$AG$1</f>
        <v>0</v>
      </c>
      <c r="AH133" s="133">
        <f>'Optional Adjustment 16'!G133*$AH$1</f>
        <v>0</v>
      </c>
      <c r="AI133" s="133">
        <f>'Optional Adjustment 17'!G133*$AI$1</f>
        <v>0</v>
      </c>
      <c r="AJ133" s="133">
        <f>'Optional Adjustment 18'!G133*$AJ$1</f>
        <v>0</v>
      </c>
      <c r="AK133" s="133">
        <f>'Optional Adjustment 19'!G133*$AK$1</f>
        <v>0</v>
      </c>
      <c r="AL133" s="133">
        <f>'Optional Adjustment 20'!G133*$AL$1</f>
        <v>0</v>
      </c>
      <c r="AM133" s="133">
        <f>'Optional Adjustment 21'!G133*$AM$1</f>
        <v>0</v>
      </c>
      <c r="AN133" s="133">
        <f>'Optional Adjustment 22'!G133*$AN$1</f>
        <v>0</v>
      </c>
      <c r="AO133" s="133">
        <f>'Optional Adjustment 23'!G133*$AO$1</f>
        <v>0</v>
      </c>
      <c r="AP133" s="133">
        <f>'Optional Adjustment 24'!G133*$AP$1</f>
        <v>0</v>
      </c>
      <c r="AQ133" s="133">
        <f>'Optional Adjustment 25'!G133*$AQ$1</f>
        <v>0</v>
      </c>
      <c r="AR133" s="133">
        <f>'Optional Adjustment 26'!G133*$AR$1</f>
        <v>0</v>
      </c>
      <c r="AS133" s="133">
        <f>'Optional Adjustment 27'!G133*$AS$1</f>
        <v>0</v>
      </c>
      <c r="AT133" s="133"/>
      <c r="AU133" s="133">
        <f>SUM(F133:AT133)</f>
        <v>0</v>
      </c>
      <c r="AV133" s="116"/>
      <c r="AW133" s="133">
        <f>SUM(AU133:AU133)</f>
        <v>0</v>
      </c>
      <c r="AX133" s="133">
        <f>+AW133-'ROR-Model'!G133</f>
        <v>0</v>
      </c>
    </row>
    <row r="134" spans="1:50">
      <c r="A134" s="330"/>
      <c r="B134" s="728"/>
      <c r="C134" s="728"/>
      <c r="D134" s="106"/>
      <c r="E134" s="331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16"/>
      <c r="AW134" s="133"/>
      <c r="AX134" s="133">
        <f>+AW134-'ROR-Model'!G134</f>
        <v>0</v>
      </c>
    </row>
    <row r="135" spans="1:50">
      <c r="A135" s="330"/>
      <c r="B135" s="728"/>
      <c r="C135" s="728" t="s">
        <v>17</v>
      </c>
      <c r="D135" s="106"/>
      <c r="E135" s="331"/>
      <c r="F135" s="116"/>
      <c r="G135" s="116"/>
      <c r="H135" s="116">
        <f>H1*Revenue!$K$134</f>
        <v>0</v>
      </c>
      <c r="I135" s="116"/>
      <c r="J135" s="116"/>
      <c r="K135" s="116"/>
      <c r="L135" s="116"/>
      <c r="M135" s="116"/>
      <c r="N135" s="116"/>
      <c r="O135" s="116"/>
      <c r="P135" s="116"/>
      <c r="Q135" s="133"/>
      <c r="R135" s="133"/>
      <c r="S135" s="133"/>
      <c r="T135" s="133">
        <f>'Optional Adjustment 2'!G135*$T$1</f>
        <v>0</v>
      </c>
      <c r="U135" s="133">
        <f>'Optional Adjustment 3'!G135*$U$1</f>
        <v>0</v>
      </c>
      <c r="V135" s="133">
        <f>'Optional Adjustment 4'!G135*$V$1</f>
        <v>0</v>
      </c>
      <c r="W135" s="133">
        <f>'Optional Adjustment 5'!G135*$W$1</f>
        <v>0</v>
      </c>
      <c r="X135" s="133">
        <f>'Optional Adjustment 6'!G135*$X$1</f>
        <v>0</v>
      </c>
      <c r="Y135" s="133">
        <f>'Optional Adjustment 7'!G135*$Y$1</f>
        <v>0</v>
      </c>
      <c r="Z135" s="133">
        <f>'Optional Adjustment 8'!G135*$Z$1</f>
        <v>0</v>
      </c>
      <c r="AA135" s="133">
        <f>'Optional Adjustment 9'!G135*$AA$1</f>
        <v>0</v>
      </c>
      <c r="AB135" s="133">
        <f>'Optional Adjustment 10'!G135*$AB$1</f>
        <v>0</v>
      </c>
      <c r="AC135" s="133">
        <f>'Optional Adjustment 11'!G135*$AC$1</f>
        <v>0</v>
      </c>
      <c r="AD135" s="133">
        <f>'Optional Adjustment 12'!G135*$AD$1</f>
        <v>0</v>
      </c>
      <c r="AE135" s="133">
        <f>'Optional Adjustment 13'!G135*$AE$1</f>
        <v>0</v>
      </c>
      <c r="AF135" s="133">
        <f>'Optional Adjustment 14'!G135*$AF$1</f>
        <v>0</v>
      </c>
      <c r="AG135" s="133">
        <f>'Optional Adjustment 15'!G135*$AG$1</f>
        <v>0</v>
      </c>
      <c r="AH135" s="133">
        <f>'Optional Adjustment 16'!G135*$AH$1</f>
        <v>0</v>
      </c>
      <c r="AI135" s="133">
        <f>'Optional Adjustment 17'!G135*$AI$1</f>
        <v>0</v>
      </c>
      <c r="AJ135" s="133">
        <f>'Optional Adjustment 18'!G135*$AJ$1</f>
        <v>0</v>
      </c>
      <c r="AK135" s="133">
        <f>'Optional Adjustment 19'!G135*$AK$1</f>
        <v>0</v>
      </c>
      <c r="AL135" s="133">
        <f>'Optional Adjustment 20'!G135*$AL$1</f>
        <v>0</v>
      </c>
      <c r="AM135" s="133">
        <f>'Optional Adjustment 21'!G135*$AM$1</f>
        <v>0</v>
      </c>
      <c r="AN135" s="133">
        <f>'Optional Adjustment 22'!G135*$AN$1</f>
        <v>0</v>
      </c>
      <c r="AO135" s="133">
        <f>'Optional Adjustment 23'!G135*$AO$1</f>
        <v>0</v>
      </c>
      <c r="AP135" s="133">
        <f>'Optional Adjustment 24'!G135*$AP$1</f>
        <v>0</v>
      </c>
      <c r="AQ135" s="133">
        <f>'Optional Adjustment 25'!G135*$AQ$1</f>
        <v>0</v>
      </c>
      <c r="AR135" s="133">
        <f>'Optional Adjustment 26'!G135*$AR$1</f>
        <v>0</v>
      </c>
      <c r="AS135" s="133">
        <f>'Optional Adjustment 27'!G135*$AS$1</f>
        <v>0</v>
      </c>
      <c r="AT135" s="133"/>
      <c r="AU135" s="133">
        <f>SUM(F135:AT135)</f>
        <v>0</v>
      </c>
      <c r="AV135" s="116"/>
      <c r="AW135" s="133">
        <f>SUM(AU135:AU135)</f>
        <v>0</v>
      </c>
      <c r="AX135" s="133">
        <f>+AW135-'ROR-Model'!G135</f>
        <v>0</v>
      </c>
    </row>
    <row r="136" spans="1:50">
      <c r="A136" s="330"/>
      <c r="B136" s="728"/>
      <c r="C136" s="728"/>
      <c r="D136" s="106"/>
      <c r="E136" s="331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16"/>
      <c r="AW136" s="133"/>
      <c r="AX136" s="133">
        <f>+AW136-'ROR-Model'!G136</f>
        <v>0</v>
      </c>
    </row>
    <row r="137" spans="1:50">
      <c r="A137" s="330"/>
      <c r="B137" s="728"/>
      <c r="C137" s="728" t="s">
        <v>18</v>
      </c>
      <c r="D137" s="106"/>
      <c r="E137" s="331"/>
      <c r="F137" s="116"/>
      <c r="G137" s="116"/>
      <c r="H137" s="116">
        <f>H1*Revenue!$K$136</f>
        <v>0</v>
      </c>
      <c r="I137" s="116"/>
      <c r="J137" s="116"/>
      <c r="K137" s="116"/>
      <c r="L137" s="116"/>
      <c r="M137" s="116"/>
      <c r="N137" s="116"/>
      <c r="O137" s="116"/>
      <c r="P137" s="116"/>
      <c r="Q137" s="133"/>
      <c r="R137" s="133"/>
      <c r="S137" s="133"/>
      <c r="T137" s="133">
        <f>'Optional Adjustment 2'!G137*$T$1</f>
        <v>0</v>
      </c>
      <c r="U137" s="133">
        <f>'Optional Adjustment 3'!G137*$U$1</f>
        <v>0</v>
      </c>
      <c r="V137" s="133">
        <f>'Optional Adjustment 4'!G137*$V$1</f>
        <v>0</v>
      </c>
      <c r="W137" s="133">
        <f>'Optional Adjustment 5'!G137*$W$1</f>
        <v>0</v>
      </c>
      <c r="X137" s="133">
        <f>'Optional Adjustment 6'!G137*$X$1</f>
        <v>0</v>
      </c>
      <c r="Y137" s="133">
        <f>'Optional Adjustment 7'!G137*$Y$1</f>
        <v>0</v>
      </c>
      <c r="Z137" s="133">
        <f>'Optional Adjustment 8'!G137*$Z$1</f>
        <v>0</v>
      </c>
      <c r="AA137" s="133">
        <f>'Optional Adjustment 9'!G137*$AA$1</f>
        <v>0</v>
      </c>
      <c r="AB137" s="133">
        <f>'Optional Adjustment 10'!G137*$AB$1</f>
        <v>0</v>
      </c>
      <c r="AC137" s="133">
        <f>'Optional Adjustment 11'!G137*$AC$1</f>
        <v>0</v>
      </c>
      <c r="AD137" s="133">
        <f>'Optional Adjustment 12'!G137*$AD$1</f>
        <v>0</v>
      </c>
      <c r="AE137" s="133">
        <f>'Optional Adjustment 13'!G137*$AE$1</f>
        <v>0</v>
      </c>
      <c r="AF137" s="133">
        <f>'Optional Adjustment 14'!G137*$AF$1</f>
        <v>0</v>
      </c>
      <c r="AG137" s="133">
        <f>'Optional Adjustment 15'!G137*$AG$1</f>
        <v>0</v>
      </c>
      <c r="AH137" s="133">
        <f>'Optional Adjustment 16'!G137*$AH$1</f>
        <v>0</v>
      </c>
      <c r="AI137" s="133">
        <f>'Optional Adjustment 17'!G137*$AI$1</f>
        <v>0</v>
      </c>
      <c r="AJ137" s="133">
        <f>'Optional Adjustment 18'!G137*$AJ$1</f>
        <v>0</v>
      </c>
      <c r="AK137" s="133">
        <f>'Optional Adjustment 19'!G137*$AK$1</f>
        <v>0</v>
      </c>
      <c r="AL137" s="133">
        <f>'Optional Adjustment 20'!G137*$AL$1</f>
        <v>0</v>
      </c>
      <c r="AM137" s="133">
        <f>'Optional Adjustment 21'!G137*$AM$1</f>
        <v>0</v>
      </c>
      <c r="AN137" s="133">
        <f>'Optional Adjustment 22'!G137*$AN$1</f>
        <v>0</v>
      </c>
      <c r="AO137" s="133">
        <f>'Optional Adjustment 23'!G137*$AO$1</f>
        <v>0</v>
      </c>
      <c r="AP137" s="133">
        <f>'Optional Adjustment 24'!G137*$AP$1</f>
        <v>0</v>
      </c>
      <c r="AQ137" s="133">
        <f>'Optional Adjustment 25'!G137*$AQ$1</f>
        <v>0</v>
      </c>
      <c r="AR137" s="133">
        <f>'Optional Adjustment 26'!G137*$AR$1</f>
        <v>0</v>
      </c>
      <c r="AS137" s="133">
        <f>'Optional Adjustment 27'!G137*$AS$1</f>
        <v>0</v>
      </c>
      <c r="AT137" s="133"/>
      <c r="AU137" s="133">
        <f>SUM(F137:AT137)</f>
        <v>0</v>
      </c>
      <c r="AV137" s="116"/>
      <c r="AW137" s="133">
        <f>SUM(AU137:AU137)</f>
        <v>0</v>
      </c>
      <c r="AX137" s="133">
        <f>+AW137-'ROR-Model'!G137</f>
        <v>0</v>
      </c>
    </row>
    <row r="138" spans="1:50">
      <c r="A138" s="330"/>
      <c r="B138" s="728"/>
      <c r="C138" s="728" t="s">
        <v>19</v>
      </c>
      <c r="D138" s="106"/>
      <c r="E138" s="331"/>
      <c r="F138" s="131">
        <f>SUM(F133:F137)</f>
        <v>0</v>
      </c>
      <c r="G138" s="131"/>
      <c r="H138" s="131">
        <f>H1*SUM(H133:H137)</f>
        <v>0</v>
      </c>
      <c r="I138" s="131">
        <f>SUM(I133:I137)</f>
        <v>0</v>
      </c>
      <c r="J138" s="131">
        <f t="shared" ref="J138:P138" si="104">SUM(J133:J137)</f>
        <v>0</v>
      </c>
      <c r="K138" s="131">
        <f t="shared" si="104"/>
        <v>0</v>
      </c>
      <c r="L138" s="131">
        <f t="shared" si="104"/>
        <v>0</v>
      </c>
      <c r="M138" s="131">
        <f t="shared" si="104"/>
        <v>0</v>
      </c>
      <c r="N138" s="131">
        <f t="shared" si="104"/>
        <v>0</v>
      </c>
      <c r="O138" s="131">
        <f t="shared" si="104"/>
        <v>0</v>
      </c>
      <c r="P138" s="131">
        <f t="shared" si="104"/>
        <v>0</v>
      </c>
      <c r="Q138" s="241">
        <f t="shared" ref="Q138:W138" si="105">SUM(Q133:Q137)</f>
        <v>0</v>
      </c>
      <c r="R138" s="241">
        <f t="shared" si="105"/>
        <v>0</v>
      </c>
      <c r="S138" s="556"/>
      <c r="T138" s="556">
        <f t="shared" si="105"/>
        <v>0</v>
      </c>
      <c r="U138" s="556">
        <f t="shared" si="105"/>
        <v>0</v>
      </c>
      <c r="V138" s="556">
        <f t="shared" si="105"/>
        <v>0</v>
      </c>
      <c r="W138" s="556">
        <f t="shared" si="105"/>
        <v>0</v>
      </c>
      <c r="X138" s="556">
        <f t="shared" ref="X138:AG138" si="106">SUM(X133:X137)</f>
        <v>0</v>
      </c>
      <c r="Y138" s="556">
        <f t="shared" si="106"/>
        <v>0</v>
      </c>
      <c r="Z138" s="556">
        <f t="shared" si="106"/>
        <v>0</v>
      </c>
      <c r="AA138" s="556">
        <f t="shared" si="106"/>
        <v>0</v>
      </c>
      <c r="AB138" s="556">
        <f t="shared" si="106"/>
        <v>0</v>
      </c>
      <c r="AC138" s="556">
        <f t="shared" si="106"/>
        <v>0</v>
      </c>
      <c r="AD138" s="556">
        <f t="shared" si="106"/>
        <v>0</v>
      </c>
      <c r="AE138" s="556">
        <f t="shared" si="106"/>
        <v>0</v>
      </c>
      <c r="AF138" s="556">
        <f t="shared" si="106"/>
        <v>0</v>
      </c>
      <c r="AG138" s="556">
        <f t="shared" si="106"/>
        <v>0</v>
      </c>
      <c r="AH138" s="556">
        <f t="shared" ref="AH138:AK138" si="107">SUM(AH133:AH137)</f>
        <v>0</v>
      </c>
      <c r="AI138" s="556">
        <f t="shared" si="107"/>
        <v>0</v>
      </c>
      <c r="AJ138" s="556">
        <f t="shared" si="107"/>
        <v>0</v>
      </c>
      <c r="AK138" s="556">
        <f t="shared" si="107"/>
        <v>0</v>
      </c>
      <c r="AL138" s="556">
        <f t="shared" ref="AL138:AP138" si="108">SUM(AL133:AL137)</f>
        <v>0</v>
      </c>
      <c r="AM138" s="556">
        <f t="shared" si="108"/>
        <v>0</v>
      </c>
      <c r="AN138" s="556">
        <f t="shared" si="108"/>
        <v>0</v>
      </c>
      <c r="AO138" s="556">
        <f t="shared" si="108"/>
        <v>0</v>
      </c>
      <c r="AP138" s="556">
        <f t="shared" si="108"/>
        <v>0</v>
      </c>
      <c r="AQ138" s="556">
        <f t="shared" ref="AQ138:AS138" si="109">SUM(AQ133:AQ137)</f>
        <v>0</v>
      </c>
      <c r="AR138" s="556">
        <f t="shared" si="109"/>
        <v>0</v>
      </c>
      <c r="AS138" s="556">
        <f t="shared" si="109"/>
        <v>0</v>
      </c>
      <c r="AT138" s="556"/>
      <c r="AU138" s="241">
        <f>SUM(AU133:AU137)</f>
        <v>0</v>
      </c>
      <c r="AV138" s="131"/>
      <c r="AW138" s="241">
        <f>SUM(AW133:AW137)</f>
        <v>0</v>
      </c>
      <c r="AX138" s="241">
        <f>+AW138-'ROR-Model'!G138</f>
        <v>0</v>
      </c>
    </row>
    <row r="139" spans="1:50">
      <c r="A139" s="330"/>
      <c r="B139" s="728"/>
      <c r="C139" s="728"/>
      <c r="D139" s="106"/>
      <c r="E139" s="331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16"/>
      <c r="AW139" s="133"/>
      <c r="AX139" s="133">
        <f>+AW139-'ROR-Model'!G139</f>
        <v>0</v>
      </c>
    </row>
    <row r="140" spans="1:50">
      <c r="A140" s="330"/>
      <c r="B140" s="728"/>
      <c r="C140" s="728" t="s">
        <v>20</v>
      </c>
      <c r="D140" s="106"/>
      <c r="E140" s="331"/>
      <c r="F140" s="116"/>
      <c r="G140" s="116"/>
      <c r="H140" s="116">
        <f>H1*Revenue!$K$139</f>
        <v>0</v>
      </c>
      <c r="I140" s="116"/>
      <c r="J140" s="116"/>
      <c r="K140" s="116"/>
      <c r="L140" s="116"/>
      <c r="M140" s="116"/>
      <c r="N140" s="116"/>
      <c r="O140" s="116"/>
      <c r="P140" s="116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>
        <f>SUM(F140:AT140)</f>
        <v>0</v>
      </c>
      <c r="AV140" s="116"/>
      <c r="AW140" s="133">
        <f>SUM(AU140:AU140)</f>
        <v>0</v>
      </c>
      <c r="AX140" s="133">
        <f>+AW140-'ROR-Model'!G140</f>
        <v>0</v>
      </c>
    </row>
    <row r="141" spans="1:50">
      <c r="A141" s="330"/>
      <c r="B141" s="728"/>
      <c r="C141" s="728"/>
      <c r="D141" s="106"/>
      <c r="E141" s="331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16"/>
      <c r="AW141" s="133"/>
      <c r="AX141" s="133">
        <f>+AW141-'ROR-Model'!G141</f>
        <v>0</v>
      </c>
    </row>
    <row r="142" spans="1:50">
      <c r="A142" s="330"/>
      <c r="B142" s="728" t="s">
        <v>692</v>
      </c>
      <c r="C142" s="728" t="s">
        <v>16</v>
      </c>
      <c r="D142" s="106"/>
      <c r="E142" s="331"/>
      <c r="F142" s="116"/>
      <c r="G142" s="116"/>
      <c r="H142" s="116">
        <f>H1*Revenue!$K$141</f>
        <v>1479.423474979696</v>
      </c>
      <c r="I142" s="116"/>
      <c r="J142" s="116"/>
      <c r="K142" s="116"/>
      <c r="L142" s="116"/>
      <c r="M142" s="116"/>
      <c r="N142" s="116"/>
      <c r="O142" s="116"/>
      <c r="P142" s="116"/>
      <c r="Q142" s="133"/>
      <c r="R142" s="133"/>
      <c r="S142" s="133"/>
      <c r="T142" s="133">
        <f>'Optional Adjustment 2'!G142*$T$1</f>
        <v>0</v>
      </c>
      <c r="U142" s="133">
        <f>'Optional Adjustment 3'!G142*$U$1</f>
        <v>0</v>
      </c>
      <c r="V142" s="133">
        <f>'Optional Adjustment 4'!G142*$V$1</f>
        <v>0</v>
      </c>
      <c r="W142" s="133">
        <f>'Optional Adjustment 5'!G142*$W$1</f>
        <v>0</v>
      </c>
      <c r="X142" s="133">
        <f>'Optional Adjustment 6'!G142*$X$1</f>
        <v>0</v>
      </c>
      <c r="Y142" s="133">
        <f>'Optional Adjustment 7'!G142*$Y$1</f>
        <v>0</v>
      </c>
      <c r="Z142" s="133">
        <f>'Optional Adjustment 8'!G142*$Z$1</f>
        <v>0</v>
      </c>
      <c r="AA142" s="133">
        <f>'Optional Adjustment 9'!G142*$AA$1</f>
        <v>0</v>
      </c>
      <c r="AB142" s="133">
        <f>'Optional Adjustment 10'!G142*$AB$1</f>
        <v>0</v>
      </c>
      <c r="AC142" s="133">
        <f>'Optional Adjustment 11'!G142*$AC$1</f>
        <v>0</v>
      </c>
      <c r="AD142" s="133">
        <f>'Optional Adjustment 12'!G142*$AD$1</f>
        <v>0</v>
      </c>
      <c r="AE142" s="133">
        <f>'Optional Adjustment 13'!G142*$AE$1</f>
        <v>0</v>
      </c>
      <c r="AF142" s="133">
        <f>'Optional Adjustment 14'!G142*$AF$1</f>
        <v>0</v>
      </c>
      <c r="AG142" s="133">
        <f>'Optional Adjustment 15'!G142*$AG$1</f>
        <v>0</v>
      </c>
      <c r="AH142" s="133">
        <f>'Optional Adjustment 16'!G142*$AH$1</f>
        <v>0</v>
      </c>
      <c r="AI142" s="133">
        <f>'Optional Adjustment 17'!G142*$AI$1</f>
        <v>0</v>
      </c>
      <c r="AJ142" s="133">
        <f>'Optional Adjustment 18'!G142*$AJ$1</f>
        <v>0</v>
      </c>
      <c r="AK142" s="133">
        <f>'Optional Adjustment 19'!G142*$AK$1</f>
        <v>0</v>
      </c>
      <c r="AL142" s="133">
        <f>'Optional Adjustment 20'!G142*$AL$1</f>
        <v>0</v>
      </c>
      <c r="AM142" s="133">
        <f>'Optional Adjustment 21'!G142*$AM$1</f>
        <v>0</v>
      </c>
      <c r="AN142" s="133">
        <f>'Optional Adjustment 22'!G142*$AN$1</f>
        <v>0</v>
      </c>
      <c r="AO142" s="133">
        <f>'Optional Adjustment 23'!G142*$AO$1</f>
        <v>0</v>
      </c>
      <c r="AP142" s="133">
        <f>'Optional Adjustment 24'!G142*$AP$1</f>
        <v>0</v>
      </c>
      <c r="AQ142" s="133">
        <f>'Optional Adjustment 25'!G142*$AQ$1</f>
        <v>0</v>
      </c>
      <c r="AR142" s="133">
        <f>'Optional Adjustment 26'!G142*$AR$1</f>
        <v>0</v>
      </c>
      <c r="AS142" s="133">
        <f>'Optional Adjustment 27'!G142*$AS$1</f>
        <v>0</v>
      </c>
      <c r="AT142" s="133"/>
      <c r="AU142" s="133">
        <f>SUM(F142:AT142)</f>
        <v>1479.423474979696</v>
      </c>
      <c r="AV142" s="116"/>
      <c r="AW142" s="133">
        <f>SUM(AU142:AU142)</f>
        <v>1479.423474979696</v>
      </c>
      <c r="AX142" s="133">
        <f>+AW142-'ROR-Model'!G142</f>
        <v>0</v>
      </c>
    </row>
    <row r="143" spans="1:50">
      <c r="A143" s="330"/>
      <c r="B143" s="728"/>
      <c r="C143" s="728"/>
      <c r="D143" s="106"/>
      <c r="E143" s="331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16"/>
      <c r="AW143" s="133"/>
      <c r="AX143" s="133">
        <f>+AW143-'ROR-Model'!G143</f>
        <v>0</v>
      </c>
    </row>
    <row r="144" spans="1:50">
      <c r="A144" s="330"/>
      <c r="B144" s="728"/>
      <c r="C144" s="728" t="s">
        <v>17</v>
      </c>
      <c r="D144" s="106"/>
      <c r="E144" s="331"/>
      <c r="F144" s="116"/>
      <c r="G144" s="116"/>
      <c r="H144" s="116">
        <f>H1*Revenue!$K$143</f>
        <v>-2090</v>
      </c>
      <c r="I144" s="116"/>
      <c r="J144" s="116"/>
      <c r="K144" s="116"/>
      <c r="L144" s="116"/>
      <c r="M144" s="116"/>
      <c r="N144" s="116"/>
      <c r="O144" s="116"/>
      <c r="P144" s="116"/>
      <c r="Q144" s="133"/>
      <c r="R144" s="133"/>
      <c r="S144" s="133"/>
      <c r="T144" s="133">
        <f>'Optional Adjustment 2'!G144*$T$1</f>
        <v>0</v>
      </c>
      <c r="U144" s="133">
        <f>'Optional Adjustment 3'!G144*$U$1</f>
        <v>0</v>
      </c>
      <c r="V144" s="133">
        <f>'Optional Adjustment 4'!G144*$V$1</f>
        <v>0</v>
      </c>
      <c r="W144" s="133">
        <f>'Optional Adjustment 5'!G144*$W$1</f>
        <v>0</v>
      </c>
      <c r="X144" s="133">
        <f>'Optional Adjustment 6'!G144*$X$1</f>
        <v>0</v>
      </c>
      <c r="Y144" s="133">
        <f>'Optional Adjustment 7'!G144*$Y$1</f>
        <v>0</v>
      </c>
      <c r="Z144" s="133">
        <f>'Optional Adjustment 8'!G144*$Z$1</f>
        <v>0</v>
      </c>
      <c r="AA144" s="133">
        <f>'Optional Adjustment 9'!G144*$AA$1</f>
        <v>0</v>
      </c>
      <c r="AB144" s="133">
        <f>'Optional Adjustment 10'!G144*$AB$1</f>
        <v>0</v>
      </c>
      <c r="AC144" s="133">
        <f>'Optional Adjustment 11'!G144*$AC$1</f>
        <v>0</v>
      </c>
      <c r="AD144" s="133">
        <f>'Optional Adjustment 12'!G144*$AD$1</f>
        <v>0</v>
      </c>
      <c r="AE144" s="133">
        <f>'Optional Adjustment 13'!G144*$AE$1</f>
        <v>0</v>
      </c>
      <c r="AF144" s="133">
        <f>'Optional Adjustment 14'!G144*$AF$1</f>
        <v>0</v>
      </c>
      <c r="AG144" s="133">
        <f>'Optional Adjustment 15'!G144*$AG$1</f>
        <v>0</v>
      </c>
      <c r="AH144" s="133">
        <f>'Optional Adjustment 16'!G144*$AH$1</f>
        <v>0</v>
      </c>
      <c r="AI144" s="133">
        <f>'Optional Adjustment 17'!G144*$AI$1</f>
        <v>0</v>
      </c>
      <c r="AJ144" s="133">
        <f>'Optional Adjustment 18'!G144*$AJ$1</f>
        <v>0</v>
      </c>
      <c r="AK144" s="133">
        <f>'Optional Adjustment 19'!G144*$AK$1</f>
        <v>0</v>
      </c>
      <c r="AL144" s="133">
        <f>'Optional Adjustment 20'!G144*$AL$1</f>
        <v>0</v>
      </c>
      <c r="AM144" s="133">
        <f>'Optional Adjustment 21'!G144*$AM$1</f>
        <v>0</v>
      </c>
      <c r="AN144" s="133">
        <f>'Optional Adjustment 22'!G144*$AN$1</f>
        <v>0</v>
      </c>
      <c r="AO144" s="133">
        <f>'Optional Adjustment 23'!G144*$AO$1</f>
        <v>0</v>
      </c>
      <c r="AP144" s="133">
        <f>'Optional Adjustment 24'!G144*$AP$1</f>
        <v>0</v>
      </c>
      <c r="AQ144" s="133">
        <f>'Optional Adjustment 25'!G144*$AQ$1</f>
        <v>0</v>
      </c>
      <c r="AR144" s="133">
        <f>'Optional Adjustment 26'!G144*$AR$1</f>
        <v>0</v>
      </c>
      <c r="AS144" s="133">
        <f>'Optional Adjustment 27'!G144*$AS$1</f>
        <v>0</v>
      </c>
      <c r="AT144" s="133"/>
      <c r="AU144" s="133">
        <f>SUM(F144:AT144)</f>
        <v>-2090</v>
      </c>
      <c r="AV144" s="116"/>
      <c r="AW144" s="133">
        <f>SUM(AU144:AU144)</f>
        <v>-2090</v>
      </c>
      <c r="AX144" s="133">
        <f>+AW144-'ROR-Model'!G144</f>
        <v>0</v>
      </c>
    </row>
    <row r="145" spans="1:50">
      <c r="A145" s="330"/>
      <c r="B145" s="728"/>
      <c r="C145" s="728"/>
      <c r="D145" s="106"/>
      <c r="E145" s="331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16"/>
      <c r="AW145" s="133"/>
      <c r="AX145" s="133">
        <f>+AW145-'ROR-Model'!G145</f>
        <v>0</v>
      </c>
    </row>
    <row r="146" spans="1:50">
      <c r="A146" s="330"/>
      <c r="B146" s="728"/>
      <c r="C146" s="728" t="s">
        <v>18</v>
      </c>
      <c r="D146" s="106"/>
      <c r="E146" s="331"/>
      <c r="F146" s="116"/>
      <c r="G146" s="116"/>
      <c r="H146" s="116">
        <f>H1*Revenue!$K$145</f>
        <v>0</v>
      </c>
      <c r="I146" s="116"/>
      <c r="J146" s="116"/>
      <c r="K146" s="116"/>
      <c r="L146" s="116"/>
      <c r="M146" s="116"/>
      <c r="N146" s="116"/>
      <c r="O146" s="116"/>
      <c r="P146" s="116"/>
      <c r="Q146" s="133"/>
      <c r="R146" s="133"/>
      <c r="S146" s="133"/>
      <c r="T146" s="133">
        <f>'Optional Adjustment 2'!G146*$T$1</f>
        <v>0</v>
      </c>
      <c r="U146" s="133">
        <f>'Optional Adjustment 3'!G146*$U$1</f>
        <v>0</v>
      </c>
      <c r="V146" s="133">
        <f>'Optional Adjustment 4'!G146*$V$1</f>
        <v>0</v>
      </c>
      <c r="W146" s="133">
        <f>'Optional Adjustment 5'!G146*$W$1</f>
        <v>0</v>
      </c>
      <c r="X146" s="133">
        <f>'Optional Adjustment 6'!G146*$X$1</f>
        <v>0</v>
      </c>
      <c r="Y146" s="133">
        <f>'Optional Adjustment 7'!G146*$Y$1</f>
        <v>0</v>
      </c>
      <c r="Z146" s="133">
        <f>'Optional Adjustment 8'!G146*$Z$1</f>
        <v>0</v>
      </c>
      <c r="AA146" s="133">
        <f>'Optional Adjustment 9'!G146*$AA$1</f>
        <v>0</v>
      </c>
      <c r="AB146" s="133">
        <f>'Optional Adjustment 10'!G146*$AB$1</f>
        <v>0</v>
      </c>
      <c r="AC146" s="133">
        <f>'Optional Adjustment 11'!G146*$AC$1</f>
        <v>0</v>
      </c>
      <c r="AD146" s="133">
        <f>'Optional Adjustment 12'!G146*$AD$1</f>
        <v>0</v>
      </c>
      <c r="AE146" s="133">
        <f>'Optional Adjustment 13'!G146*$AE$1</f>
        <v>0</v>
      </c>
      <c r="AF146" s="133">
        <f>'Optional Adjustment 14'!G146*$AF$1</f>
        <v>0</v>
      </c>
      <c r="AG146" s="133">
        <f>'Optional Adjustment 15'!G146*$AG$1</f>
        <v>0</v>
      </c>
      <c r="AH146" s="133">
        <f>'Optional Adjustment 16'!G146*$AH$1</f>
        <v>0</v>
      </c>
      <c r="AI146" s="133">
        <f>'Optional Adjustment 17'!G146*$AI$1</f>
        <v>0</v>
      </c>
      <c r="AJ146" s="133">
        <f>'Optional Adjustment 18'!G146*$AJ$1</f>
        <v>0</v>
      </c>
      <c r="AK146" s="133">
        <f>'Optional Adjustment 19'!G146*$AK$1</f>
        <v>0</v>
      </c>
      <c r="AL146" s="133">
        <f>'Optional Adjustment 20'!G146*$AL$1</f>
        <v>0</v>
      </c>
      <c r="AM146" s="133">
        <f>'Optional Adjustment 21'!G146*$AM$1</f>
        <v>0</v>
      </c>
      <c r="AN146" s="133">
        <f>'Optional Adjustment 22'!G146*$AN$1</f>
        <v>0</v>
      </c>
      <c r="AO146" s="133">
        <f>'Optional Adjustment 23'!G146*$AO$1</f>
        <v>0</v>
      </c>
      <c r="AP146" s="133">
        <f>'Optional Adjustment 24'!G146*$AP$1</f>
        <v>0</v>
      </c>
      <c r="AQ146" s="133">
        <f>'Optional Adjustment 25'!G146*$AQ$1</f>
        <v>0</v>
      </c>
      <c r="AR146" s="133">
        <f>'Optional Adjustment 26'!G146*$AR$1</f>
        <v>0</v>
      </c>
      <c r="AS146" s="133">
        <f>'Optional Adjustment 27'!G146*$AS$1</f>
        <v>0</v>
      </c>
      <c r="AT146" s="133"/>
      <c r="AU146" s="133">
        <f>SUM(F146:AT146)</f>
        <v>0</v>
      </c>
      <c r="AV146" s="116"/>
      <c r="AW146" s="133">
        <f>SUM(AU146:AU146)</f>
        <v>0</v>
      </c>
      <c r="AX146" s="133">
        <f>+AW146-'ROR-Model'!G146</f>
        <v>0</v>
      </c>
    </row>
    <row r="147" spans="1:50">
      <c r="A147" s="330"/>
      <c r="B147" s="728"/>
      <c r="C147" s="728" t="s">
        <v>19</v>
      </c>
      <c r="D147" s="106"/>
      <c r="E147" s="331"/>
      <c r="F147" s="131">
        <f>SUM(F142:F146)</f>
        <v>0</v>
      </c>
      <c r="G147" s="131"/>
      <c r="H147" s="131">
        <f>H1*SUM(H142:H146)</f>
        <v>-610.57652502030396</v>
      </c>
      <c r="I147" s="131">
        <f>SUM(I142:I146)</f>
        <v>0</v>
      </c>
      <c r="J147" s="131">
        <f t="shared" ref="J147:P147" si="110">SUM(J142:J146)</f>
        <v>0</v>
      </c>
      <c r="K147" s="131">
        <f t="shared" si="110"/>
        <v>0</v>
      </c>
      <c r="L147" s="131">
        <f t="shared" si="110"/>
        <v>0</v>
      </c>
      <c r="M147" s="131">
        <f t="shared" si="110"/>
        <v>0</v>
      </c>
      <c r="N147" s="131">
        <f t="shared" si="110"/>
        <v>0</v>
      </c>
      <c r="O147" s="131">
        <f t="shared" si="110"/>
        <v>0</v>
      </c>
      <c r="P147" s="131">
        <f t="shared" si="110"/>
        <v>0</v>
      </c>
      <c r="Q147" s="241">
        <f t="shared" ref="Q147:W147" si="111">SUM(Q142:Q146)</f>
        <v>0</v>
      </c>
      <c r="R147" s="241">
        <f t="shared" si="111"/>
        <v>0</v>
      </c>
      <c r="S147" s="556"/>
      <c r="T147" s="556">
        <f t="shared" si="111"/>
        <v>0</v>
      </c>
      <c r="U147" s="556">
        <f t="shared" si="111"/>
        <v>0</v>
      </c>
      <c r="V147" s="556">
        <f t="shared" si="111"/>
        <v>0</v>
      </c>
      <c r="W147" s="556">
        <f t="shared" si="111"/>
        <v>0</v>
      </c>
      <c r="X147" s="556">
        <f t="shared" ref="X147:AG147" si="112">SUM(X142:X146)</f>
        <v>0</v>
      </c>
      <c r="Y147" s="556">
        <f t="shared" si="112"/>
        <v>0</v>
      </c>
      <c r="Z147" s="556">
        <f t="shared" si="112"/>
        <v>0</v>
      </c>
      <c r="AA147" s="556">
        <f t="shared" si="112"/>
        <v>0</v>
      </c>
      <c r="AB147" s="556">
        <f t="shared" si="112"/>
        <v>0</v>
      </c>
      <c r="AC147" s="556">
        <f t="shared" si="112"/>
        <v>0</v>
      </c>
      <c r="AD147" s="556">
        <f t="shared" si="112"/>
        <v>0</v>
      </c>
      <c r="AE147" s="556">
        <f t="shared" si="112"/>
        <v>0</v>
      </c>
      <c r="AF147" s="556">
        <f t="shared" si="112"/>
        <v>0</v>
      </c>
      <c r="AG147" s="556">
        <f t="shared" si="112"/>
        <v>0</v>
      </c>
      <c r="AH147" s="556">
        <f t="shared" ref="AH147:AK147" si="113">SUM(AH142:AH146)</f>
        <v>0</v>
      </c>
      <c r="AI147" s="556">
        <f t="shared" si="113"/>
        <v>0</v>
      </c>
      <c r="AJ147" s="556">
        <f t="shared" si="113"/>
        <v>0</v>
      </c>
      <c r="AK147" s="556">
        <f t="shared" si="113"/>
        <v>0</v>
      </c>
      <c r="AL147" s="556">
        <f t="shared" ref="AL147:AP147" si="114">SUM(AL142:AL146)</f>
        <v>0</v>
      </c>
      <c r="AM147" s="556">
        <f t="shared" si="114"/>
        <v>0</v>
      </c>
      <c r="AN147" s="556">
        <f t="shared" si="114"/>
        <v>0</v>
      </c>
      <c r="AO147" s="556">
        <f t="shared" si="114"/>
        <v>0</v>
      </c>
      <c r="AP147" s="556">
        <f t="shared" si="114"/>
        <v>0</v>
      </c>
      <c r="AQ147" s="556">
        <f t="shared" ref="AQ147:AS147" si="115">SUM(AQ142:AQ146)</f>
        <v>0</v>
      </c>
      <c r="AR147" s="556">
        <f t="shared" si="115"/>
        <v>0</v>
      </c>
      <c r="AS147" s="556">
        <f t="shared" si="115"/>
        <v>0</v>
      </c>
      <c r="AT147" s="556"/>
      <c r="AU147" s="241">
        <f>SUM(AU142:AU146)</f>
        <v>-610.57652502030396</v>
      </c>
      <c r="AV147" s="131"/>
      <c r="AW147" s="241">
        <f>SUM(AW142:AW146)</f>
        <v>-610.57652502030396</v>
      </c>
      <c r="AX147" s="241">
        <f>+AW147-'ROR-Model'!G147</f>
        <v>0</v>
      </c>
    </row>
    <row r="148" spans="1:50">
      <c r="A148" s="330"/>
      <c r="B148" s="728"/>
      <c r="C148" s="728"/>
      <c r="D148" s="106"/>
      <c r="E148" s="331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16"/>
      <c r="AW148" s="133"/>
      <c r="AX148" s="133">
        <f>+AW148-'ROR-Model'!G148</f>
        <v>0</v>
      </c>
    </row>
    <row r="149" spans="1:50">
      <c r="A149" s="330"/>
      <c r="B149" s="728"/>
      <c r="C149" s="728" t="s">
        <v>20</v>
      </c>
      <c r="D149" s="106"/>
      <c r="E149" s="331"/>
      <c r="F149" s="116"/>
      <c r="G149" s="116"/>
      <c r="H149" s="116">
        <f>H1*Revenue!$K$148</f>
        <v>0</v>
      </c>
      <c r="I149" s="116"/>
      <c r="J149" s="116"/>
      <c r="K149" s="116"/>
      <c r="L149" s="116"/>
      <c r="M149" s="116"/>
      <c r="N149" s="116"/>
      <c r="O149" s="116"/>
      <c r="P149" s="116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>
        <f>SUM(F149:AT149)</f>
        <v>0</v>
      </c>
      <c r="AV149" s="116"/>
      <c r="AW149" s="133">
        <f>SUM(AU149:AU149)</f>
        <v>0</v>
      </c>
      <c r="AX149" s="133">
        <f>+AW149-'ROR-Model'!G149</f>
        <v>0</v>
      </c>
    </row>
    <row r="150" spans="1:50">
      <c r="A150" s="330"/>
      <c r="B150" s="728"/>
      <c r="C150" s="728"/>
      <c r="D150" s="106"/>
      <c r="E150" s="331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16"/>
      <c r="AW150" s="133"/>
      <c r="AX150" s="133">
        <f>+AW150-'ROR-Model'!G150</f>
        <v>0</v>
      </c>
    </row>
    <row r="151" spans="1:50">
      <c r="A151" s="330"/>
      <c r="B151" s="729" t="s">
        <v>957</v>
      </c>
      <c r="C151" s="728" t="s">
        <v>16</v>
      </c>
      <c r="D151" s="106"/>
      <c r="E151" s="331"/>
      <c r="F151" s="116"/>
      <c r="G151" s="116"/>
      <c r="H151" s="116">
        <f>H1*Revenue!$K$150</f>
        <v>0</v>
      </c>
      <c r="I151" s="116"/>
      <c r="J151" s="116"/>
      <c r="K151" s="116"/>
      <c r="L151" s="116"/>
      <c r="M151" s="116"/>
      <c r="N151" s="116"/>
      <c r="O151" s="116"/>
      <c r="P151" s="116"/>
      <c r="Q151" s="133"/>
      <c r="R151" s="133"/>
      <c r="S151" s="133"/>
      <c r="T151" s="133">
        <f>'Optional Adjustment 2'!G151*$T$1</f>
        <v>0</v>
      </c>
      <c r="U151" s="133">
        <f>'Optional Adjustment 3'!G151*$U$1</f>
        <v>0</v>
      </c>
      <c r="V151" s="133">
        <f>'Optional Adjustment 4'!G151*$V$1</f>
        <v>0</v>
      </c>
      <c r="W151" s="133">
        <f>'Optional Adjustment 5'!G151*$W$1</f>
        <v>0</v>
      </c>
      <c r="X151" s="133">
        <f>'Optional Adjustment 6'!G151*$X$1</f>
        <v>0</v>
      </c>
      <c r="Y151" s="133">
        <f>'Optional Adjustment 7'!G151*$Y$1</f>
        <v>0</v>
      </c>
      <c r="Z151" s="133">
        <f>'Optional Adjustment 8'!G151*$Z$1</f>
        <v>0</v>
      </c>
      <c r="AA151" s="133">
        <f>'Optional Adjustment 9'!G151*$AA$1</f>
        <v>0</v>
      </c>
      <c r="AB151" s="133">
        <f>'Optional Adjustment 10'!G151*$AB$1</f>
        <v>0</v>
      </c>
      <c r="AC151" s="133">
        <f>'Optional Adjustment 11'!G151*$AC$1</f>
        <v>0</v>
      </c>
      <c r="AD151" s="133">
        <f>'Optional Adjustment 12'!G151*$AD$1</f>
        <v>0</v>
      </c>
      <c r="AE151" s="133">
        <f>'Optional Adjustment 13'!G151*$AE$1</f>
        <v>0</v>
      </c>
      <c r="AF151" s="133">
        <f>'Optional Adjustment 14'!G151*$AF$1</f>
        <v>0</v>
      </c>
      <c r="AG151" s="133">
        <f>'Optional Adjustment 15'!G151*$AG$1</f>
        <v>0</v>
      </c>
      <c r="AH151" s="133">
        <f>'Optional Adjustment 16'!G151*$AH$1</f>
        <v>0</v>
      </c>
      <c r="AI151" s="133">
        <f>'Optional Adjustment 17'!G151*$AI$1</f>
        <v>0</v>
      </c>
      <c r="AJ151" s="133">
        <f>'Optional Adjustment 18'!G151*$AJ$1</f>
        <v>0</v>
      </c>
      <c r="AK151" s="133">
        <f>'Optional Adjustment 19'!G151*$AK$1</f>
        <v>0</v>
      </c>
      <c r="AL151" s="133">
        <f>'Optional Adjustment 20'!G151*$AL$1</f>
        <v>0</v>
      </c>
      <c r="AM151" s="133">
        <f>'Optional Adjustment 21'!G151*$AM$1</f>
        <v>0</v>
      </c>
      <c r="AN151" s="133">
        <f>'Optional Adjustment 22'!G151*$AN$1</f>
        <v>0</v>
      </c>
      <c r="AO151" s="133">
        <f>'Optional Adjustment 23'!G151*$AO$1</f>
        <v>0</v>
      </c>
      <c r="AP151" s="133">
        <f>'Optional Adjustment 24'!G151*$AP$1</f>
        <v>0</v>
      </c>
      <c r="AQ151" s="133">
        <f>'Optional Adjustment 25'!G151*$AQ$1</f>
        <v>0</v>
      </c>
      <c r="AR151" s="133">
        <f>'Optional Adjustment 26'!G151*$AR$1</f>
        <v>0</v>
      </c>
      <c r="AS151" s="133">
        <f>'Optional Adjustment 27'!G151*$AS$1</f>
        <v>0</v>
      </c>
      <c r="AT151" s="133"/>
      <c r="AU151" s="133">
        <f>SUM(F151:AT151)</f>
        <v>0</v>
      </c>
      <c r="AV151" s="116"/>
      <c r="AW151" s="133">
        <f>SUM(AU151:AU151)</f>
        <v>0</v>
      </c>
      <c r="AX151" s="133">
        <f>+AW151-'ROR-Model'!G151</f>
        <v>0</v>
      </c>
    </row>
    <row r="152" spans="1:50">
      <c r="A152" s="330"/>
      <c r="B152" s="728"/>
      <c r="C152" s="728"/>
      <c r="D152" s="106"/>
      <c r="E152" s="331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16"/>
      <c r="AW152" s="133"/>
      <c r="AX152" s="133">
        <f>+AW152-'ROR-Model'!G152</f>
        <v>0</v>
      </c>
    </row>
    <row r="153" spans="1:50">
      <c r="A153" s="330"/>
      <c r="B153" s="728"/>
      <c r="C153" s="728" t="s">
        <v>17</v>
      </c>
      <c r="D153" s="106"/>
      <c r="E153" s="331"/>
      <c r="F153" s="116"/>
      <c r="G153" s="116"/>
      <c r="H153" s="116">
        <f>H1*Revenue!$K$152</f>
        <v>0</v>
      </c>
      <c r="I153" s="116"/>
      <c r="J153" s="116"/>
      <c r="K153" s="116"/>
      <c r="L153" s="116"/>
      <c r="M153" s="116"/>
      <c r="N153" s="116"/>
      <c r="O153" s="116"/>
      <c r="P153" s="116"/>
      <c r="Q153" s="133"/>
      <c r="R153" s="133"/>
      <c r="S153" s="133"/>
      <c r="T153" s="133">
        <f>'Optional Adjustment 2'!G153*$T$1</f>
        <v>0</v>
      </c>
      <c r="U153" s="133">
        <f>'Optional Adjustment 3'!G153*$U$1</f>
        <v>0</v>
      </c>
      <c r="V153" s="133">
        <f>'Optional Adjustment 4'!G153*$V$1</f>
        <v>0</v>
      </c>
      <c r="W153" s="133">
        <f>'Optional Adjustment 5'!G153*$W$1</f>
        <v>0</v>
      </c>
      <c r="X153" s="133">
        <f>'Optional Adjustment 6'!G153*$X$1</f>
        <v>0</v>
      </c>
      <c r="Y153" s="133">
        <f>'Optional Adjustment 7'!G153*$Y$1</f>
        <v>0</v>
      </c>
      <c r="Z153" s="133">
        <f>'Optional Adjustment 8'!G153*$Z$1</f>
        <v>0</v>
      </c>
      <c r="AA153" s="133">
        <f>'Optional Adjustment 9'!G153*$AA$1</f>
        <v>0</v>
      </c>
      <c r="AB153" s="133">
        <f>'Optional Adjustment 10'!G153*$AB$1</f>
        <v>0</v>
      </c>
      <c r="AC153" s="133">
        <f>'Optional Adjustment 11'!G153*$AC$1</f>
        <v>0</v>
      </c>
      <c r="AD153" s="133">
        <f>'Optional Adjustment 12'!G153*$AD$1</f>
        <v>0</v>
      </c>
      <c r="AE153" s="133">
        <f>'Optional Adjustment 13'!G153*$AE$1</f>
        <v>0</v>
      </c>
      <c r="AF153" s="133">
        <f>'Optional Adjustment 14'!G153*$AF$1</f>
        <v>0</v>
      </c>
      <c r="AG153" s="133">
        <f>'Optional Adjustment 15'!G153*$AG$1</f>
        <v>0</v>
      </c>
      <c r="AH153" s="133">
        <f>'Optional Adjustment 16'!G153*$AH$1</f>
        <v>0</v>
      </c>
      <c r="AI153" s="133">
        <f>'Optional Adjustment 17'!G153*$AI$1</f>
        <v>0</v>
      </c>
      <c r="AJ153" s="133">
        <f>'Optional Adjustment 18'!G153*$AJ$1</f>
        <v>0</v>
      </c>
      <c r="AK153" s="133">
        <f>'Optional Adjustment 19'!G153*$AK$1</f>
        <v>0</v>
      </c>
      <c r="AL153" s="133">
        <f>'Optional Adjustment 20'!G153*$AL$1</f>
        <v>0</v>
      </c>
      <c r="AM153" s="133">
        <f>'Optional Adjustment 21'!G153*$AM$1</f>
        <v>0</v>
      </c>
      <c r="AN153" s="133">
        <f>'Optional Adjustment 22'!G153*$AN$1</f>
        <v>0</v>
      </c>
      <c r="AO153" s="133">
        <f>'Optional Adjustment 23'!G153*$AO$1</f>
        <v>0</v>
      </c>
      <c r="AP153" s="133">
        <f>'Optional Adjustment 24'!G153*$AP$1</f>
        <v>0</v>
      </c>
      <c r="AQ153" s="133">
        <f>'Optional Adjustment 25'!G153*$AQ$1</f>
        <v>0</v>
      </c>
      <c r="AR153" s="133">
        <f>'Optional Adjustment 26'!G153*$AR$1</f>
        <v>0</v>
      </c>
      <c r="AS153" s="133">
        <f>'Optional Adjustment 27'!G153*$AS$1</f>
        <v>0</v>
      </c>
      <c r="AT153" s="133"/>
      <c r="AU153" s="133">
        <f>SUM(F153:AT153)</f>
        <v>0</v>
      </c>
      <c r="AV153" s="116"/>
      <c r="AW153" s="133">
        <f>SUM(AU153:AU153)</f>
        <v>0</v>
      </c>
      <c r="AX153" s="133">
        <f>+AW153-'ROR-Model'!G153</f>
        <v>0</v>
      </c>
    </row>
    <row r="154" spans="1:50">
      <c r="A154" s="330"/>
      <c r="B154" s="728"/>
      <c r="C154" s="728"/>
      <c r="D154" s="106"/>
      <c r="E154" s="331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16"/>
      <c r="AW154" s="133"/>
      <c r="AX154" s="133">
        <f>+AW154-'ROR-Model'!G154</f>
        <v>0</v>
      </c>
    </row>
    <row r="155" spans="1:50">
      <c r="A155" s="330"/>
      <c r="B155" s="728"/>
      <c r="C155" s="728" t="s">
        <v>18</v>
      </c>
      <c r="D155" s="106"/>
      <c r="E155" s="331"/>
      <c r="F155" s="116"/>
      <c r="G155" s="116"/>
      <c r="H155" s="116">
        <f>H1*Revenue!$K$154</f>
        <v>0</v>
      </c>
      <c r="I155" s="116"/>
      <c r="J155" s="116"/>
      <c r="K155" s="116"/>
      <c r="L155" s="116"/>
      <c r="M155" s="116"/>
      <c r="N155" s="116"/>
      <c r="O155" s="116"/>
      <c r="P155" s="116"/>
      <c r="Q155" s="133"/>
      <c r="R155" s="133"/>
      <c r="S155" s="133"/>
      <c r="T155" s="133">
        <f>'Optional Adjustment 2'!G155*$T$1</f>
        <v>0</v>
      </c>
      <c r="U155" s="133">
        <f>'Optional Adjustment 3'!G155*$U$1</f>
        <v>0</v>
      </c>
      <c r="V155" s="133">
        <f>'Optional Adjustment 4'!G155*$V$1</f>
        <v>0</v>
      </c>
      <c r="W155" s="133">
        <f>'Optional Adjustment 5'!G155*$W$1</f>
        <v>0</v>
      </c>
      <c r="X155" s="133">
        <f>'Optional Adjustment 6'!G155*$X$1</f>
        <v>0</v>
      </c>
      <c r="Y155" s="133">
        <f>'Optional Adjustment 7'!G155*$Y$1</f>
        <v>0</v>
      </c>
      <c r="Z155" s="133">
        <f>'Optional Adjustment 8'!G155*$Z$1</f>
        <v>0</v>
      </c>
      <c r="AA155" s="133">
        <f>'Optional Adjustment 9'!G155*$AA$1</f>
        <v>0</v>
      </c>
      <c r="AB155" s="133">
        <f>'Optional Adjustment 10'!G155*$AB$1</f>
        <v>0</v>
      </c>
      <c r="AC155" s="133">
        <f>'Optional Adjustment 11'!G155*$AC$1</f>
        <v>0</v>
      </c>
      <c r="AD155" s="133">
        <f>'Optional Adjustment 12'!G155*$AD$1</f>
        <v>0</v>
      </c>
      <c r="AE155" s="133">
        <f>'Optional Adjustment 13'!G155*$AE$1</f>
        <v>0</v>
      </c>
      <c r="AF155" s="133">
        <f>'Optional Adjustment 14'!G155*$AF$1</f>
        <v>0</v>
      </c>
      <c r="AG155" s="133">
        <f>'Optional Adjustment 15'!G155*$AG$1</f>
        <v>0</v>
      </c>
      <c r="AH155" s="133">
        <f>'Optional Adjustment 16'!G155*$AH$1</f>
        <v>0</v>
      </c>
      <c r="AI155" s="133">
        <f>'Optional Adjustment 17'!G155*$AI$1</f>
        <v>0</v>
      </c>
      <c r="AJ155" s="133">
        <f>'Optional Adjustment 18'!G155*$AJ$1</f>
        <v>0</v>
      </c>
      <c r="AK155" s="133">
        <f>'Optional Adjustment 19'!G155*$AK$1</f>
        <v>0</v>
      </c>
      <c r="AL155" s="133">
        <f>'Optional Adjustment 20'!G155*$AL$1</f>
        <v>0</v>
      </c>
      <c r="AM155" s="133">
        <f>'Optional Adjustment 21'!G155*$AM$1</f>
        <v>0</v>
      </c>
      <c r="AN155" s="133">
        <f>'Optional Adjustment 22'!G155*$AN$1</f>
        <v>0</v>
      </c>
      <c r="AO155" s="133">
        <f>'Optional Adjustment 23'!G155*$AO$1</f>
        <v>0</v>
      </c>
      <c r="AP155" s="133">
        <f>'Optional Adjustment 24'!G155*$AP$1</f>
        <v>0</v>
      </c>
      <c r="AQ155" s="133">
        <f>'Optional Adjustment 25'!G155*$AQ$1</f>
        <v>0</v>
      </c>
      <c r="AR155" s="133">
        <f>'Optional Adjustment 26'!G155*$AR$1</f>
        <v>0</v>
      </c>
      <c r="AS155" s="133">
        <f>'Optional Adjustment 27'!G155*$AS$1</f>
        <v>0</v>
      </c>
      <c r="AT155" s="133"/>
      <c r="AU155" s="133">
        <f>SUM(F155:AT155)</f>
        <v>0</v>
      </c>
      <c r="AV155" s="116"/>
      <c r="AW155" s="133">
        <f>SUM(AU155:AU155)</f>
        <v>0</v>
      </c>
      <c r="AX155" s="133">
        <f>+AW155-'ROR-Model'!G155</f>
        <v>0</v>
      </c>
    </row>
    <row r="156" spans="1:50">
      <c r="A156" s="330"/>
      <c r="B156" s="728"/>
      <c r="C156" s="728" t="s">
        <v>19</v>
      </c>
      <c r="D156" s="106"/>
      <c r="E156" s="331"/>
      <c r="F156" s="131">
        <f>SUM(F151:F155)</f>
        <v>0</v>
      </c>
      <c r="G156" s="131"/>
      <c r="H156" s="131">
        <f>H1*SUM(H151:H155)</f>
        <v>0</v>
      </c>
      <c r="I156" s="131">
        <f>SUM(I151:I155)</f>
        <v>0</v>
      </c>
      <c r="J156" s="131">
        <f t="shared" ref="J156:P156" si="116">SUM(J151:J155)</f>
        <v>0</v>
      </c>
      <c r="K156" s="131">
        <f t="shared" si="116"/>
        <v>0</v>
      </c>
      <c r="L156" s="131">
        <f t="shared" si="116"/>
        <v>0</v>
      </c>
      <c r="M156" s="131">
        <f t="shared" si="116"/>
        <v>0</v>
      </c>
      <c r="N156" s="131">
        <f t="shared" si="116"/>
        <v>0</v>
      </c>
      <c r="O156" s="131">
        <f t="shared" si="116"/>
        <v>0</v>
      </c>
      <c r="P156" s="131">
        <f t="shared" si="116"/>
        <v>0</v>
      </c>
      <c r="Q156" s="241">
        <f t="shared" ref="Q156:W156" si="117">SUM(Q151:Q155)</f>
        <v>0</v>
      </c>
      <c r="R156" s="241">
        <f t="shared" si="117"/>
        <v>0</v>
      </c>
      <c r="S156" s="556"/>
      <c r="T156" s="556">
        <f t="shared" si="117"/>
        <v>0</v>
      </c>
      <c r="U156" s="556">
        <f t="shared" si="117"/>
        <v>0</v>
      </c>
      <c r="V156" s="556">
        <f t="shared" si="117"/>
        <v>0</v>
      </c>
      <c r="W156" s="556">
        <f t="shared" si="117"/>
        <v>0</v>
      </c>
      <c r="X156" s="556">
        <f t="shared" ref="X156:AG156" si="118">SUM(X151:X155)</f>
        <v>0</v>
      </c>
      <c r="Y156" s="556">
        <f t="shared" si="118"/>
        <v>0</v>
      </c>
      <c r="Z156" s="556">
        <f t="shared" si="118"/>
        <v>0</v>
      </c>
      <c r="AA156" s="556">
        <f t="shared" si="118"/>
        <v>0</v>
      </c>
      <c r="AB156" s="556">
        <f t="shared" si="118"/>
        <v>0</v>
      </c>
      <c r="AC156" s="556">
        <f t="shared" si="118"/>
        <v>0</v>
      </c>
      <c r="AD156" s="556">
        <f t="shared" si="118"/>
        <v>0</v>
      </c>
      <c r="AE156" s="556">
        <f t="shared" si="118"/>
        <v>0</v>
      </c>
      <c r="AF156" s="556">
        <f t="shared" si="118"/>
        <v>0</v>
      </c>
      <c r="AG156" s="556">
        <f t="shared" si="118"/>
        <v>0</v>
      </c>
      <c r="AH156" s="556">
        <f t="shared" ref="AH156:AK156" si="119">SUM(AH151:AH155)</f>
        <v>0</v>
      </c>
      <c r="AI156" s="556">
        <f t="shared" si="119"/>
        <v>0</v>
      </c>
      <c r="AJ156" s="556">
        <f t="shared" si="119"/>
        <v>0</v>
      </c>
      <c r="AK156" s="556">
        <f t="shared" si="119"/>
        <v>0</v>
      </c>
      <c r="AL156" s="556">
        <f t="shared" ref="AL156:AP156" si="120">SUM(AL151:AL155)</f>
        <v>0</v>
      </c>
      <c r="AM156" s="556">
        <f t="shared" si="120"/>
        <v>0</v>
      </c>
      <c r="AN156" s="556">
        <f t="shared" si="120"/>
        <v>0</v>
      </c>
      <c r="AO156" s="556">
        <f t="shared" si="120"/>
        <v>0</v>
      </c>
      <c r="AP156" s="556">
        <f t="shared" si="120"/>
        <v>0</v>
      </c>
      <c r="AQ156" s="556">
        <f t="shared" ref="AQ156:AS156" si="121">SUM(AQ151:AQ155)</f>
        <v>0</v>
      </c>
      <c r="AR156" s="556">
        <f t="shared" si="121"/>
        <v>0</v>
      </c>
      <c r="AS156" s="556">
        <f t="shared" si="121"/>
        <v>0</v>
      </c>
      <c r="AT156" s="556"/>
      <c r="AU156" s="241">
        <f>SUM(AU151:AU155)</f>
        <v>0</v>
      </c>
      <c r="AV156" s="131"/>
      <c r="AW156" s="241">
        <f>SUM(AW151:AW155)</f>
        <v>0</v>
      </c>
      <c r="AX156" s="241">
        <f>+AW156-'ROR-Model'!G156</f>
        <v>0</v>
      </c>
    </row>
    <row r="157" spans="1:50">
      <c r="A157" s="330"/>
      <c r="B157" s="728"/>
      <c r="C157" s="728"/>
      <c r="D157" s="106"/>
      <c r="E157" s="331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16"/>
      <c r="AW157" s="133"/>
      <c r="AX157" s="133">
        <f>+AW157-'ROR-Model'!G157</f>
        <v>0</v>
      </c>
    </row>
    <row r="158" spans="1:50">
      <c r="A158" s="330"/>
      <c r="B158" s="728"/>
      <c r="C158" s="728" t="s">
        <v>20</v>
      </c>
      <c r="D158" s="106"/>
      <c r="E158" s="331"/>
      <c r="F158" s="116"/>
      <c r="G158" s="116"/>
      <c r="H158" s="116">
        <f>H1*Revenue!$K$157</f>
        <v>0</v>
      </c>
      <c r="I158" s="116"/>
      <c r="J158" s="116"/>
      <c r="K158" s="116"/>
      <c r="L158" s="116"/>
      <c r="M158" s="116"/>
      <c r="N158" s="116"/>
      <c r="O158" s="116"/>
      <c r="P158" s="116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>
        <f>SUM(F158:AT158)</f>
        <v>0</v>
      </c>
      <c r="AV158" s="116"/>
      <c r="AW158" s="133">
        <f>SUM(AU158:AU158)</f>
        <v>0</v>
      </c>
      <c r="AX158" s="133">
        <f>+AW158-'ROR-Model'!G158</f>
        <v>0</v>
      </c>
    </row>
    <row r="159" spans="1:50">
      <c r="A159" s="330"/>
      <c r="B159" s="728"/>
      <c r="C159" s="728"/>
      <c r="D159" s="106"/>
      <c r="E159" s="331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16"/>
      <c r="AW159" s="133"/>
      <c r="AX159" s="133">
        <f>+AW159-'ROR-Model'!G159</f>
        <v>0</v>
      </c>
    </row>
    <row r="160" spans="1:50">
      <c r="A160" s="330"/>
      <c r="B160" s="728" t="s">
        <v>958</v>
      </c>
      <c r="C160" s="728" t="s">
        <v>16</v>
      </c>
      <c r="D160" s="106"/>
      <c r="E160" s="331"/>
      <c r="F160" s="116"/>
      <c r="G160" s="116"/>
      <c r="H160" s="116">
        <f>H1*Revenue!$K$159</f>
        <v>5024840.3728987426</v>
      </c>
      <c r="I160" s="116"/>
      <c r="J160" s="116"/>
      <c r="K160" s="116"/>
      <c r="L160" s="116"/>
      <c r="M160" s="116"/>
      <c r="N160" s="116"/>
      <c r="O160" s="116"/>
      <c r="P160" s="116"/>
      <c r="Q160" s="133"/>
      <c r="R160" s="133"/>
      <c r="S160" s="133"/>
      <c r="T160" s="133">
        <f>'Optional Adjustment 2'!G160*$T$1</f>
        <v>0</v>
      </c>
      <c r="U160" s="133">
        <f>'Optional Adjustment 3'!G160*$U$1</f>
        <v>0</v>
      </c>
      <c r="V160" s="133">
        <f>'Optional Adjustment 4'!G160*$V$1</f>
        <v>0</v>
      </c>
      <c r="W160" s="133">
        <f>'Optional Adjustment 5'!G160*$W$1</f>
        <v>0</v>
      </c>
      <c r="X160" s="133">
        <f>'Optional Adjustment 6'!G160*$X$1</f>
        <v>0</v>
      </c>
      <c r="Y160" s="133">
        <f>'Optional Adjustment 7'!G160*$Y$1</f>
        <v>0</v>
      </c>
      <c r="Z160" s="133">
        <f>'Optional Adjustment 8'!G160*$Z$1</f>
        <v>0</v>
      </c>
      <c r="AA160" s="133">
        <f>'Optional Adjustment 9'!G160*$AA$1</f>
        <v>0</v>
      </c>
      <c r="AB160" s="133">
        <f>'Optional Adjustment 10'!G160*$AB$1</f>
        <v>0</v>
      </c>
      <c r="AC160" s="133">
        <f>'Optional Adjustment 11'!G160*$AC$1</f>
        <v>0</v>
      </c>
      <c r="AD160" s="133">
        <f>'Optional Adjustment 12'!G160*$AD$1</f>
        <v>0</v>
      </c>
      <c r="AE160" s="133">
        <f>'Optional Adjustment 13'!G160*$AE$1</f>
        <v>0</v>
      </c>
      <c r="AF160" s="133">
        <f>'Optional Adjustment 14'!G160*$AF$1</f>
        <v>0</v>
      </c>
      <c r="AG160" s="133">
        <f>'Optional Adjustment 15'!G160*$AG$1</f>
        <v>0</v>
      </c>
      <c r="AH160" s="133">
        <f>'Optional Adjustment 16'!G160*$AH$1</f>
        <v>0</v>
      </c>
      <c r="AI160" s="133">
        <f>'Optional Adjustment 17'!G160*$AI$1</f>
        <v>0</v>
      </c>
      <c r="AJ160" s="133">
        <f>'Optional Adjustment 18'!G160*$AJ$1</f>
        <v>0</v>
      </c>
      <c r="AK160" s="133">
        <f>'Optional Adjustment 19'!G160*$AK$1</f>
        <v>0</v>
      </c>
      <c r="AL160" s="133">
        <f>'Optional Adjustment 20'!G160*$AL$1</f>
        <v>0</v>
      </c>
      <c r="AM160" s="133">
        <f>'Optional Adjustment 21'!G160*$AM$1</f>
        <v>0</v>
      </c>
      <c r="AN160" s="133">
        <f>'Optional Adjustment 22'!G160*$AN$1</f>
        <v>0</v>
      </c>
      <c r="AO160" s="133">
        <f>'Optional Adjustment 23'!G160*$AO$1</f>
        <v>0</v>
      </c>
      <c r="AP160" s="133">
        <f>'Optional Adjustment 24'!G160*$AP$1</f>
        <v>0</v>
      </c>
      <c r="AQ160" s="133">
        <f>'Optional Adjustment 25'!G160*$AQ$1</f>
        <v>0</v>
      </c>
      <c r="AR160" s="133">
        <f>'Optional Adjustment 26'!G160*$AR$1</f>
        <v>0</v>
      </c>
      <c r="AS160" s="133">
        <f>'Optional Adjustment 27'!G160*$AS$1</f>
        <v>0</v>
      </c>
      <c r="AT160" s="133"/>
      <c r="AU160" s="133">
        <f>SUM(F160:AT160)</f>
        <v>5024840.3728987426</v>
      </c>
      <c r="AV160" s="116"/>
      <c r="AW160" s="133">
        <f>SUM(AU160:AU160)</f>
        <v>5024840.3728987426</v>
      </c>
      <c r="AX160" s="133">
        <f>+AW160-'ROR-Model'!G160</f>
        <v>0</v>
      </c>
    </row>
    <row r="161" spans="1:50">
      <c r="A161" s="330"/>
      <c r="B161" s="728"/>
      <c r="C161" s="728"/>
      <c r="D161" s="106"/>
      <c r="E161" s="331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16"/>
      <c r="AW161" s="133"/>
      <c r="AX161" s="133">
        <f>+AW161-'ROR-Model'!G161</f>
        <v>0</v>
      </c>
    </row>
    <row r="162" spans="1:50">
      <c r="A162" s="330"/>
      <c r="B162" s="728"/>
      <c r="C162" s="728" t="s">
        <v>17</v>
      </c>
      <c r="D162" s="106"/>
      <c r="E162" s="331"/>
      <c r="F162" s="116"/>
      <c r="G162" s="116"/>
      <c r="H162" s="116">
        <f>H1*Revenue!$K$161</f>
        <v>-568888</v>
      </c>
      <c r="I162" s="116"/>
      <c r="J162" s="116"/>
      <c r="K162" s="116"/>
      <c r="L162" s="116"/>
      <c r="M162" s="116"/>
      <c r="N162" s="116"/>
      <c r="O162" s="116"/>
      <c r="P162" s="116"/>
      <c r="Q162" s="133"/>
      <c r="R162" s="133"/>
      <c r="S162" s="133"/>
      <c r="T162" s="133">
        <f>'Optional Adjustment 2'!G162*$T$1</f>
        <v>0</v>
      </c>
      <c r="U162" s="133">
        <f>'Optional Adjustment 3'!G162*$U$1</f>
        <v>0</v>
      </c>
      <c r="V162" s="133">
        <f>'Optional Adjustment 4'!G162*$V$1</f>
        <v>0</v>
      </c>
      <c r="W162" s="133">
        <f>'Optional Adjustment 5'!G162*$W$1</f>
        <v>0</v>
      </c>
      <c r="X162" s="133">
        <f>'Optional Adjustment 6'!G162*$X$1</f>
        <v>0</v>
      </c>
      <c r="Y162" s="133">
        <f>'Optional Adjustment 7'!G162*$Y$1</f>
        <v>0</v>
      </c>
      <c r="Z162" s="133">
        <f>'Optional Adjustment 8'!G162*$Z$1</f>
        <v>0</v>
      </c>
      <c r="AA162" s="133">
        <f>'Optional Adjustment 9'!G162*$AA$1</f>
        <v>0</v>
      </c>
      <c r="AB162" s="133">
        <f>'Optional Adjustment 10'!G162*$AB$1</f>
        <v>0</v>
      </c>
      <c r="AC162" s="133">
        <f>'Optional Adjustment 11'!G162*$AC$1</f>
        <v>0</v>
      </c>
      <c r="AD162" s="133">
        <f>'Optional Adjustment 12'!G162*$AD$1</f>
        <v>0</v>
      </c>
      <c r="AE162" s="133">
        <f>'Optional Adjustment 13'!G162*$AE$1</f>
        <v>0</v>
      </c>
      <c r="AF162" s="133">
        <f>'Optional Adjustment 14'!G162*$AF$1</f>
        <v>0</v>
      </c>
      <c r="AG162" s="133">
        <f>'Optional Adjustment 15'!G162*$AG$1</f>
        <v>0</v>
      </c>
      <c r="AH162" s="133">
        <f>'Optional Adjustment 16'!G162*$AH$1</f>
        <v>0</v>
      </c>
      <c r="AI162" s="133">
        <f>'Optional Adjustment 17'!G162*$AI$1</f>
        <v>0</v>
      </c>
      <c r="AJ162" s="133">
        <f>'Optional Adjustment 18'!G162*$AJ$1</f>
        <v>0</v>
      </c>
      <c r="AK162" s="133">
        <f>'Optional Adjustment 19'!G162*$AK$1</f>
        <v>0</v>
      </c>
      <c r="AL162" s="133">
        <f>'Optional Adjustment 20'!G162*$AL$1</f>
        <v>0</v>
      </c>
      <c r="AM162" s="133">
        <f>'Optional Adjustment 21'!G162*$AM$1</f>
        <v>0</v>
      </c>
      <c r="AN162" s="133">
        <f>'Optional Adjustment 22'!G162*$AN$1</f>
        <v>0</v>
      </c>
      <c r="AO162" s="133">
        <f>'Optional Adjustment 23'!G162*$AO$1</f>
        <v>0</v>
      </c>
      <c r="AP162" s="133">
        <f>'Optional Adjustment 24'!G162*$AP$1</f>
        <v>0</v>
      </c>
      <c r="AQ162" s="133">
        <f>'Optional Adjustment 25'!G162*$AQ$1</f>
        <v>0</v>
      </c>
      <c r="AR162" s="133">
        <f>'Optional Adjustment 26'!G162*$AR$1</f>
        <v>0</v>
      </c>
      <c r="AS162" s="133">
        <f>'Optional Adjustment 27'!G162*$AS$1</f>
        <v>0</v>
      </c>
      <c r="AT162" s="133"/>
      <c r="AU162" s="133">
        <f>SUM(F162:AT162)</f>
        <v>-568888</v>
      </c>
      <c r="AV162" s="116"/>
      <c r="AW162" s="133">
        <f>SUM(AU162:AU162)</f>
        <v>-568888</v>
      </c>
      <c r="AX162" s="133">
        <f>+AW162-'ROR-Model'!G162</f>
        <v>0</v>
      </c>
    </row>
    <row r="163" spans="1:50">
      <c r="A163" s="330"/>
      <c r="B163" s="728"/>
      <c r="C163" s="728"/>
      <c r="D163" s="106"/>
      <c r="E163" s="331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16"/>
      <c r="AW163" s="133"/>
      <c r="AX163" s="133">
        <f>+AW163-'ROR-Model'!G163</f>
        <v>0</v>
      </c>
    </row>
    <row r="164" spans="1:50">
      <c r="A164" s="330"/>
      <c r="B164" s="728"/>
      <c r="C164" s="728" t="s">
        <v>18</v>
      </c>
      <c r="D164" s="106"/>
      <c r="E164" s="331"/>
      <c r="F164" s="116"/>
      <c r="G164" s="116"/>
      <c r="H164" s="116">
        <f>H1*Revenue!$K$163</f>
        <v>-96363</v>
      </c>
      <c r="I164" s="116"/>
      <c r="J164" s="116"/>
      <c r="K164" s="116"/>
      <c r="L164" s="116"/>
      <c r="M164" s="116"/>
      <c r="N164" s="116"/>
      <c r="O164" s="116"/>
      <c r="P164" s="116"/>
      <c r="Q164" s="133"/>
      <c r="R164" s="133"/>
      <c r="S164" s="133"/>
      <c r="T164" s="133">
        <f>'Optional Adjustment 2'!G164*$T$1</f>
        <v>0</v>
      </c>
      <c r="U164" s="133">
        <f>'Optional Adjustment 3'!G164*$U$1</f>
        <v>0</v>
      </c>
      <c r="V164" s="133">
        <f>'Optional Adjustment 4'!G164*$V$1</f>
        <v>0</v>
      </c>
      <c r="W164" s="133">
        <f>'Optional Adjustment 5'!G164*$W$1</f>
        <v>0</v>
      </c>
      <c r="X164" s="133">
        <f>'Optional Adjustment 6'!G164*$X$1</f>
        <v>0</v>
      </c>
      <c r="Y164" s="133">
        <f>'Optional Adjustment 7'!G164*$Y$1</f>
        <v>0</v>
      </c>
      <c r="Z164" s="133">
        <f>'Optional Adjustment 8'!G164*$Z$1</f>
        <v>0</v>
      </c>
      <c r="AA164" s="133">
        <f>'Optional Adjustment 9'!G164*$AA$1</f>
        <v>0</v>
      </c>
      <c r="AB164" s="133">
        <f>'Optional Adjustment 10'!G164*$AB$1</f>
        <v>0</v>
      </c>
      <c r="AC164" s="133">
        <f>'Optional Adjustment 11'!G164*$AC$1</f>
        <v>0</v>
      </c>
      <c r="AD164" s="133">
        <f>'Optional Adjustment 12'!G164*$AD$1</f>
        <v>0</v>
      </c>
      <c r="AE164" s="133">
        <f>'Optional Adjustment 13'!G164*$AE$1</f>
        <v>0</v>
      </c>
      <c r="AF164" s="133">
        <f>'Optional Adjustment 14'!G164*$AF$1</f>
        <v>0</v>
      </c>
      <c r="AG164" s="133">
        <f>'Optional Adjustment 15'!G164*$AG$1</f>
        <v>0</v>
      </c>
      <c r="AH164" s="133">
        <f>'Optional Adjustment 16'!G164*$AH$1</f>
        <v>0</v>
      </c>
      <c r="AI164" s="133">
        <f>'Optional Adjustment 17'!G164*$AI$1</f>
        <v>0</v>
      </c>
      <c r="AJ164" s="133">
        <f>'Optional Adjustment 18'!G164*$AJ$1</f>
        <v>0</v>
      </c>
      <c r="AK164" s="133">
        <f>'Optional Adjustment 19'!G164*$AK$1</f>
        <v>0</v>
      </c>
      <c r="AL164" s="133">
        <f>'Optional Adjustment 20'!G164*$AL$1</f>
        <v>0</v>
      </c>
      <c r="AM164" s="133">
        <f>'Optional Adjustment 21'!G164*$AM$1</f>
        <v>0</v>
      </c>
      <c r="AN164" s="133">
        <f>'Optional Adjustment 22'!G164*$AN$1</f>
        <v>0</v>
      </c>
      <c r="AO164" s="133">
        <f>'Optional Adjustment 23'!G164*$AO$1</f>
        <v>0</v>
      </c>
      <c r="AP164" s="133">
        <f>'Optional Adjustment 24'!G164*$AP$1</f>
        <v>0</v>
      </c>
      <c r="AQ164" s="133">
        <f>'Optional Adjustment 25'!G164*$AQ$1</f>
        <v>0</v>
      </c>
      <c r="AR164" s="133">
        <f>'Optional Adjustment 26'!G164*$AR$1</f>
        <v>0</v>
      </c>
      <c r="AS164" s="133">
        <f>'Optional Adjustment 27'!G164*$AS$1</f>
        <v>0</v>
      </c>
      <c r="AT164" s="133"/>
      <c r="AU164" s="133">
        <f>SUM(F164:AT164)</f>
        <v>-96363</v>
      </c>
      <c r="AV164" s="116"/>
      <c r="AW164" s="133">
        <f>SUM(AU164:AU164)</f>
        <v>-96363</v>
      </c>
      <c r="AX164" s="133">
        <f>+AW164-'ROR-Model'!G164</f>
        <v>0</v>
      </c>
    </row>
    <row r="165" spans="1:50">
      <c r="A165" s="330"/>
      <c r="B165" s="728"/>
      <c r="C165" s="728" t="s">
        <v>19</v>
      </c>
      <c r="D165" s="106"/>
      <c r="E165" s="331"/>
      <c r="F165" s="131">
        <f>SUM(F160:F164)</f>
        <v>0</v>
      </c>
      <c r="G165" s="131"/>
      <c r="H165" s="131">
        <f>H1*SUM(H160:H164)</f>
        <v>4359589.3728987426</v>
      </c>
      <c r="I165" s="131">
        <f>SUM(I160:I164)</f>
        <v>0</v>
      </c>
      <c r="J165" s="131">
        <f t="shared" ref="J165:P165" si="122">SUM(J160:J164)</f>
        <v>0</v>
      </c>
      <c r="K165" s="131">
        <f t="shared" si="122"/>
        <v>0</v>
      </c>
      <c r="L165" s="131">
        <f t="shared" si="122"/>
        <v>0</v>
      </c>
      <c r="M165" s="131">
        <f t="shared" si="122"/>
        <v>0</v>
      </c>
      <c r="N165" s="131">
        <f t="shared" si="122"/>
        <v>0</v>
      </c>
      <c r="O165" s="131">
        <f t="shared" si="122"/>
        <v>0</v>
      </c>
      <c r="P165" s="131">
        <f t="shared" si="122"/>
        <v>0</v>
      </c>
      <c r="Q165" s="241">
        <f t="shared" ref="Q165:W165" si="123">SUM(Q160:Q164)</f>
        <v>0</v>
      </c>
      <c r="R165" s="241">
        <f t="shared" si="123"/>
        <v>0</v>
      </c>
      <c r="S165" s="556"/>
      <c r="T165" s="556">
        <f t="shared" si="123"/>
        <v>0</v>
      </c>
      <c r="U165" s="556">
        <f t="shared" si="123"/>
        <v>0</v>
      </c>
      <c r="V165" s="556">
        <f t="shared" si="123"/>
        <v>0</v>
      </c>
      <c r="W165" s="556">
        <f t="shared" si="123"/>
        <v>0</v>
      </c>
      <c r="X165" s="556">
        <f t="shared" ref="X165:AG165" si="124">SUM(X160:X164)</f>
        <v>0</v>
      </c>
      <c r="Y165" s="556">
        <f t="shared" si="124"/>
        <v>0</v>
      </c>
      <c r="Z165" s="556">
        <f t="shared" si="124"/>
        <v>0</v>
      </c>
      <c r="AA165" s="556">
        <f t="shared" si="124"/>
        <v>0</v>
      </c>
      <c r="AB165" s="556">
        <f t="shared" si="124"/>
        <v>0</v>
      </c>
      <c r="AC165" s="556">
        <f t="shared" si="124"/>
        <v>0</v>
      </c>
      <c r="AD165" s="556">
        <f t="shared" si="124"/>
        <v>0</v>
      </c>
      <c r="AE165" s="556">
        <f t="shared" si="124"/>
        <v>0</v>
      </c>
      <c r="AF165" s="556">
        <f t="shared" si="124"/>
        <v>0</v>
      </c>
      <c r="AG165" s="556">
        <f t="shared" si="124"/>
        <v>0</v>
      </c>
      <c r="AH165" s="556">
        <f t="shared" ref="AH165:AK165" si="125">SUM(AH160:AH164)</f>
        <v>0</v>
      </c>
      <c r="AI165" s="556">
        <f t="shared" si="125"/>
        <v>0</v>
      </c>
      <c r="AJ165" s="556">
        <f t="shared" si="125"/>
        <v>0</v>
      </c>
      <c r="AK165" s="556">
        <f t="shared" si="125"/>
        <v>0</v>
      </c>
      <c r="AL165" s="556">
        <f t="shared" ref="AL165:AP165" si="126">SUM(AL160:AL164)</f>
        <v>0</v>
      </c>
      <c r="AM165" s="556">
        <f t="shared" si="126"/>
        <v>0</v>
      </c>
      <c r="AN165" s="556">
        <f t="shared" si="126"/>
        <v>0</v>
      </c>
      <c r="AO165" s="556">
        <f t="shared" si="126"/>
        <v>0</v>
      </c>
      <c r="AP165" s="556">
        <f t="shared" si="126"/>
        <v>0</v>
      </c>
      <c r="AQ165" s="556">
        <f t="shared" ref="AQ165:AS165" si="127">SUM(AQ160:AQ164)</f>
        <v>0</v>
      </c>
      <c r="AR165" s="556">
        <f t="shared" si="127"/>
        <v>0</v>
      </c>
      <c r="AS165" s="556">
        <f t="shared" si="127"/>
        <v>0</v>
      </c>
      <c r="AT165" s="556"/>
      <c r="AU165" s="241">
        <f>SUM(AU160:AU164)</f>
        <v>4359589.3728987426</v>
      </c>
      <c r="AV165" s="131"/>
      <c r="AW165" s="241">
        <f>SUM(AW160:AW164)</f>
        <v>4359589.3728987426</v>
      </c>
      <c r="AX165" s="241">
        <f>+AW165-'ROR-Model'!G165</f>
        <v>0</v>
      </c>
    </row>
    <row r="166" spans="1:50">
      <c r="A166" s="330"/>
      <c r="B166" s="728"/>
      <c r="C166" s="728"/>
      <c r="D166" s="106"/>
      <c r="E166" s="331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16"/>
      <c r="AW166" s="133"/>
      <c r="AX166" s="133">
        <f>+AW166-'ROR-Model'!G166</f>
        <v>0</v>
      </c>
    </row>
    <row r="167" spans="1:50">
      <c r="A167" s="330"/>
      <c r="B167" s="728"/>
      <c r="C167" s="728" t="s">
        <v>20</v>
      </c>
      <c r="D167" s="106"/>
      <c r="E167" s="331"/>
      <c r="F167" s="116"/>
      <c r="G167" s="116"/>
      <c r="H167" s="116">
        <f>H1*Revenue!$K$166</f>
        <v>3965792</v>
      </c>
      <c r="I167" s="116"/>
      <c r="J167" s="116"/>
      <c r="K167" s="116"/>
      <c r="L167" s="116"/>
      <c r="M167" s="116"/>
      <c r="N167" s="116"/>
      <c r="O167" s="116"/>
      <c r="P167" s="116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>
        <f>SUM(F167:AT167)</f>
        <v>3965792</v>
      </c>
      <c r="AV167" s="116"/>
      <c r="AW167" s="133">
        <f>SUM(AU167:AU167)</f>
        <v>3965792</v>
      </c>
      <c r="AX167" s="133">
        <f>+AW167-'ROR-Model'!G167</f>
        <v>0</v>
      </c>
    </row>
    <row r="168" spans="1:50">
      <c r="A168" s="330"/>
      <c r="B168" s="332"/>
      <c r="C168" s="332"/>
      <c r="D168" s="106"/>
      <c r="E168" s="331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16"/>
      <c r="AW168" s="133"/>
      <c r="AX168" s="133">
        <f>+AW168-'ROR-Model'!G168</f>
        <v>0</v>
      </c>
    </row>
    <row r="169" spans="1:50">
      <c r="A169" s="330"/>
      <c r="B169" s="728" t="s">
        <v>91</v>
      </c>
      <c r="C169" s="728" t="s">
        <v>16</v>
      </c>
      <c r="D169" s="106"/>
      <c r="E169" s="331"/>
      <c r="F169" s="116"/>
      <c r="G169" s="116"/>
      <c r="H169" s="116">
        <f>H1*Revenue!$K$168</f>
        <v>0</v>
      </c>
      <c r="I169" s="116"/>
      <c r="J169" s="116"/>
      <c r="K169" s="116"/>
      <c r="L169" s="116"/>
      <c r="M169" s="116"/>
      <c r="N169" s="116"/>
      <c r="O169" s="116"/>
      <c r="P169" s="116"/>
      <c r="Q169" s="133"/>
      <c r="R169" s="133"/>
      <c r="S169" s="133"/>
      <c r="T169" s="133">
        <f>'Optional Adjustment 2'!G169*$T$1</f>
        <v>0</v>
      </c>
      <c r="U169" s="133">
        <f>'Optional Adjustment 3'!G169*$U$1</f>
        <v>0</v>
      </c>
      <c r="V169" s="133">
        <f>'Optional Adjustment 4'!G169*$V$1</f>
        <v>0</v>
      </c>
      <c r="W169" s="133">
        <f>'Optional Adjustment 5'!G169*$W$1</f>
        <v>0</v>
      </c>
      <c r="X169" s="133">
        <f>'Optional Adjustment 6'!G169*$X$1</f>
        <v>0</v>
      </c>
      <c r="Y169" s="133">
        <f>'Optional Adjustment 7'!G169*$Y$1</f>
        <v>0</v>
      </c>
      <c r="Z169" s="133">
        <f>'Optional Adjustment 8'!G169*$Z$1</f>
        <v>0</v>
      </c>
      <c r="AA169" s="133">
        <f>'Optional Adjustment 9'!G169*$AA$1</f>
        <v>0</v>
      </c>
      <c r="AB169" s="133">
        <f>'Optional Adjustment 10'!G169*$AB$1</f>
        <v>0</v>
      </c>
      <c r="AC169" s="133">
        <f>'Optional Adjustment 11'!G169*$AC$1</f>
        <v>0</v>
      </c>
      <c r="AD169" s="133">
        <f>'Optional Adjustment 12'!G169*$AD$1</f>
        <v>0</v>
      </c>
      <c r="AE169" s="133">
        <f>'Optional Adjustment 13'!G169*$AE$1</f>
        <v>0</v>
      </c>
      <c r="AF169" s="133">
        <f>'Optional Adjustment 14'!G169*$AF$1</f>
        <v>0</v>
      </c>
      <c r="AG169" s="133">
        <f>'Optional Adjustment 15'!G169*$AG$1</f>
        <v>0</v>
      </c>
      <c r="AH169" s="133">
        <f>'Optional Adjustment 16'!G169*$AH$1</f>
        <v>0</v>
      </c>
      <c r="AI169" s="133">
        <f>'Optional Adjustment 17'!G169*$AI$1</f>
        <v>0</v>
      </c>
      <c r="AJ169" s="133">
        <f>'Optional Adjustment 18'!G169*$AJ$1</f>
        <v>0</v>
      </c>
      <c r="AK169" s="133">
        <f>'Optional Adjustment 19'!G169*$AK$1</f>
        <v>0</v>
      </c>
      <c r="AL169" s="133">
        <f>'Optional Adjustment 20'!G169*$AL$1</f>
        <v>0</v>
      </c>
      <c r="AM169" s="133">
        <f>'Optional Adjustment 21'!G169*$AM$1</f>
        <v>0</v>
      </c>
      <c r="AN169" s="133">
        <f>'Optional Adjustment 22'!G169*$AN$1</f>
        <v>0</v>
      </c>
      <c r="AO169" s="133">
        <f>'Optional Adjustment 23'!G169*$AO$1</f>
        <v>0</v>
      </c>
      <c r="AP169" s="133">
        <f>'Optional Adjustment 24'!G169*$AP$1</f>
        <v>0</v>
      </c>
      <c r="AQ169" s="133">
        <f>'Optional Adjustment 25'!G169*$AQ$1</f>
        <v>0</v>
      </c>
      <c r="AR169" s="133">
        <f>'Optional Adjustment 26'!G169*$AR$1</f>
        <v>0</v>
      </c>
      <c r="AS169" s="133">
        <f>'Optional Adjustment 27'!G169*$AS$1</f>
        <v>0</v>
      </c>
      <c r="AT169" s="133"/>
      <c r="AU169" s="133">
        <f>SUM(F169:AT169)</f>
        <v>0</v>
      </c>
      <c r="AV169" s="116"/>
      <c r="AW169" s="133">
        <f>SUM(AU169:AU169)</f>
        <v>0</v>
      </c>
      <c r="AX169" s="133">
        <f>+AW169-'ROR-Model'!G169</f>
        <v>0</v>
      </c>
    </row>
    <row r="170" spans="1:50">
      <c r="A170" s="330"/>
      <c r="B170" s="728"/>
      <c r="C170" s="728"/>
      <c r="D170" s="106"/>
      <c r="E170" s="331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16"/>
      <c r="AW170" s="133"/>
      <c r="AX170" s="133">
        <f>+AW170-'ROR-Model'!G170</f>
        <v>0</v>
      </c>
    </row>
    <row r="171" spans="1:50">
      <c r="A171" s="330"/>
      <c r="B171" s="728"/>
      <c r="C171" s="728" t="s">
        <v>17</v>
      </c>
      <c r="D171" s="106"/>
      <c r="E171" s="331"/>
      <c r="F171" s="116"/>
      <c r="G171" s="116"/>
      <c r="H171" s="116">
        <f>H1*Revenue!$K$170</f>
        <v>0</v>
      </c>
      <c r="I171" s="116"/>
      <c r="J171" s="116"/>
      <c r="K171" s="116"/>
      <c r="L171" s="116"/>
      <c r="M171" s="116"/>
      <c r="N171" s="116"/>
      <c r="O171" s="116"/>
      <c r="P171" s="116"/>
      <c r="Q171" s="133"/>
      <c r="R171" s="133"/>
      <c r="S171" s="133"/>
      <c r="T171" s="133">
        <f>'Optional Adjustment 2'!G171*$T$1</f>
        <v>0</v>
      </c>
      <c r="U171" s="133">
        <f>'Optional Adjustment 3'!G171*$U$1</f>
        <v>0</v>
      </c>
      <c r="V171" s="133">
        <f>'Optional Adjustment 4'!G171*$V$1</f>
        <v>0</v>
      </c>
      <c r="W171" s="133">
        <f>'Optional Adjustment 5'!G171*$W$1</f>
        <v>0</v>
      </c>
      <c r="X171" s="133">
        <f>'Optional Adjustment 6'!G171*$X$1</f>
        <v>0</v>
      </c>
      <c r="Y171" s="133">
        <f>'Optional Adjustment 7'!G171*$Y$1</f>
        <v>0</v>
      </c>
      <c r="Z171" s="133">
        <f>'Optional Adjustment 8'!G171*$Z$1</f>
        <v>0</v>
      </c>
      <c r="AA171" s="133">
        <f>'Optional Adjustment 9'!G171*$AA$1</f>
        <v>0</v>
      </c>
      <c r="AB171" s="133">
        <f>'Optional Adjustment 10'!G171*$AB$1</f>
        <v>0</v>
      </c>
      <c r="AC171" s="133">
        <f>'Optional Adjustment 11'!G171*$AC$1</f>
        <v>0</v>
      </c>
      <c r="AD171" s="133">
        <f>'Optional Adjustment 12'!G171*$AD$1</f>
        <v>0</v>
      </c>
      <c r="AE171" s="133">
        <f>'Optional Adjustment 13'!G171*$AE$1</f>
        <v>0</v>
      </c>
      <c r="AF171" s="133">
        <f>'Optional Adjustment 14'!G171*$AF$1</f>
        <v>0</v>
      </c>
      <c r="AG171" s="133">
        <f>'Optional Adjustment 15'!G171*$AG$1</f>
        <v>0</v>
      </c>
      <c r="AH171" s="133">
        <f>'Optional Adjustment 16'!G171*$AH$1</f>
        <v>0</v>
      </c>
      <c r="AI171" s="133">
        <f>'Optional Adjustment 17'!G171*$AI$1</f>
        <v>0</v>
      </c>
      <c r="AJ171" s="133">
        <f>'Optional Adjustment 18'!G171*$AJ$1</f>
        <v>0</v>
      </c>
      <c r="AK171" s="133">
        <f>'Optional Adjustment 19'!G171*$AK$1</f>
        <v>0</v>
      </c>
      <c r="AL171" s="133">
        <f>'Optional Adjustment 20'!G171*$AL$1</f>
        <v>0</v>
      </c>
      <c r="AM171" s="133">
        <f>'Optional Adjustment 21'!G171*$AM$1</f>
        <v>0</v>
      </c>
      <c r="AN171" s="133">
        <f>'Optional Adjustment 22'!G171*$AN$1</f>
        <v>0</v>
      </c>
      <c r="AO171" s="133">
        <f>'Optional Adjustment 23'!G171*$AO$1</f>
        <v>0</v>
      </c>
      <c r="AP171" s="133">
        <f>'Optional Adjustment 24'!G171*$AP$1</f>
        <v>0</v>
      </c>
      <c r="AQ171" s="133">
        <f>'Optional Adjustment 25'!G171*$AQ$1</f>
        <v>0</v>
      </c>
      <c r="AR171" s="133">
        <f>'Optional Adjustment 26'!G171*$AR$1</f>
        <v>0</v>
      </c>
      <c r="AS171" s="133">
        <f>'Optional Adjustment 27'!G171*$AS$1</f>
        <v>0</v>
      </c>
      <c r="AT171" s="133"/>
      <c r="AU171" s="133">
        <f>SUM(F171:AT171)</f>
        <v>0</v>
      </c>
      <c r="AV171" s="116"/>
      <c r="AW171" s="133">
        <f>SUM(AU171:AU171)</f>
        <v>0</v>
      </c>
      <c r="AX171" s="133">
        <f>+AW171-'ROR-Model'!G171</f>
        <v>0</v>
      </c>
    </row>
    <row r="172" spans="1:50">
      <c r="A172" s="330"/>
      <c r="B172" s="728"/>
      <c r="C172" s="728"/>
      <c r="D172" s="106"/>
      <c r="E172" s="331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16"/>
      <c r="AW172" s="133"/>
      <c r="AX172" s="133">
        <f>+AW172-'ROR-Model'!G172</f>
        <v>0</v>
      </c>
    </row>
    <row r="173" spans="1:50">
      <c r="A173" s="330"/>
      <c r="B173" s="728"/>
      <c r="C173" s="728" t="s">
        <v>18</v>
      </c>
      <c r="D173" s="106"/>
      <c r="E173" s="331"/>
      <c r="F173" s="116"/>
      <c r="G173" s="116"/>
      <c r="H173" s="116">
        <f>H1*Revenue!$K$172</f>
        <v>0</v>
      </c>
      <c r="I173" s="116"/>
      <c r="J173" s="116"/>
      <c r="K173" s="116"/>
      <c r="L173" s="116"/>
      <c r="M173" s="116"/>
      <c r="N173" s="116"/>
      <c r="O173" s="116"/>
      <c r="P173" s="116"/>
      <c r="Q173" s="133"/>
      <c r="R173" s="133"/>
      <c r="S173" s="133"/>
      <c r="T173" s="133">
        <f>'Optional Adjustment 2'!G173*$T$1</f>
        <v>0</v>
      </c>
      <c r="U173" s="133">
        <f>'Optional Adjustment 3'!G173*$U$1</f>
        <v>0</v>
      </c>
      <c r="V173" s="133">
        <f>'Optional Adjustment 4'!G173*$V$1</f>
        <v>0</v>
      </c>
      <c r="W173" s="133">
        <f>'Optional Adjustment 5'!G173*$W$1</f>
        <v>0</v>
      </c>
      <c r="X173" s="133">
        <f>'Optional Adjustment 6'!G173*$X$1</f>
        <v>0</v>
      </c>
      <c r="Y173" s="133">
        <f>'Optional Adjustment 7'!G173*$Y$1</f>
        <v>0</v>
      </c>
      <c r="Z173" s="133">
        <f>'Optional Adjustment 8'!G173*$Z$1</f>
        <v>0</v>
      </c>
      <c r="AA173" s="133">
        <f>'Optional Adjustment 9'!G173*$AA$1</f>
        <v>0</v>
      </c>
      <c r="AB173" s="133">
        <f>'Optional Adjustment 10'!G173*$AB$1</f>
        <v>0</v>
      </c>
      <c r="AC173" s="133">
        <f>'Optional Adjustment 11'!G173*$AC$1</f>
        <v>0</v>
      </c>
      <c r="AD173" s="133">
        <f>'Optional Adjustment 12'!G173*$AD$1</f>
        <v>0</v>
      </c>
      <c r="AE173" s="133">
        <f>'Optional Adjustment 13'!G173*$AE$1</f>
        <v>0</v>
      </c>
      <c r="AF173" s="133">
        <f>'Optional Adjustment 14'!G173*$AF$1</f>
        <v>0</v>
      </c>
      <c r="AG173" s="133">
        <f>'Optional Adjustment 15'!G173*$AG$1</f>
        <v>0</v>
      </c>
      <c r="AH173" s="133">
        <f>'Optional Adjustment 16'!G173*$AH$1</f>
        <v>0</v>
      </c>
      <c r="AI173" s="133">
        <f>'Optional Adjustment 17'!G173*$AI$1</f>
        <v>0</v>
      </c>
      <c r="AJ173" s="133">
        <f>'Optional Adjustment 18'!G173*$AJ$1</f>
        <v>0</v>
      </c>
      <c r="AK173" s="133">
        <f>'Optional Adjustment 19'!G173*$AK$1</f>
        <v>0</v>
      </c>
      <c r="AL173" s="133">
        <f>'Optional Adjustment 20'!G173*$AL$1</f>
        <v>0</v>
      </c>
      <c r="AM173" s="133">
        <f>'Optional Adjustment 21'!G173*$AM$1</f>
        <v>0</v>
      </c>
      <c r="AN173" s="133">
        <f>'Optional Adjustment 22'!G173*$AN$1</f>
        <v>0</v>
      </c>
      <c r="AO173" s="133">
        <f>'Optional Adjustment 23'!G173*$AO$1</f>
        <v>0</v>
      </c>
      <c r="AP173" s="133">
        <f>'Optional Adjustment 24'!G173*$AP$1</f>
        <v>0</v>
      </c>
      <c r="AQ173" s="133">
        <f>'Optional Adjustment 25'!G173*$AQ$1</f>
        <v>0</v>
      </c>
      <c r="AR173" s="133">
        <f>'Optional Adjustment 26'!G173*$AR$1</f>
        <v>0</v>
      </c>
      <c r="AS173" s="133">
        <f>'Optional Adjustment 27'!G173*$AS$1</f>
        <v>0</v>
      </c>
      <c r="AT173" s="133"/>
      <c r="AU173" s="133">
        <f>SUM(F173:AT173)</f>
        <v>0</v>
      </c>
      <c r="AV173" s="116"/>
      <c r="AW173" s="133">
        <f>SUM(AU173:AU173)</f>
        <v>0</v>
      </c>
      <c r="AX173" s="133">
        <f>+AW173-'ROR-Model'!G173</f>
        <v>0</v>
      </c>
    </row>
    <row r="174" spans="1:50">
      <c r="A174" s="330"/>
      <c r="B174" s="728"/>
      <c r="C174" s="728" t="s">
        <v>19</v>
      </c>
      <c r="D174" s="106"/>
      <c r="E174" s="331"/>
      <c r="F174" s="131">
        <f>SUM(F169:F173)</f>
        <v>0</v>
      </c>
      <c r="G174" s="131"/>
      <c r="H174" s="131">
        <f>H1*SUM(H169:H173)</f>
        <v>0</v>
      </c>
      <c r="I174" s="131">
        <f>SUM(I169:I173)</f>
        <v>0</v>
      </c>
      <c r="J174" s="131">
        <f t="shared" ref="J174:P174" si="128">SUM(J169:J173)</f>
        <v>0</v>
      </c>
      <c r="K174" s="131">
        <f t="shared" si="128"/>
        <v>0</v>
      </c>
      <c r="L174" s="131">
        <f t="shared" si="128"/>
        <v>0</v>
      </c>
      <c r="M174" s="131">
        <f t="shared" si="128"/>
        <v>0</v>
      </c>
      <c r="N174" s="131">
        <f t="shared" si="128"/>
        <v>0</v>
      </c>
      <c r="O174" s="131">
        <f t="shared" si="128"/>
        <v>0</v>
      </c>
      <c r="P174" s="131">
        <f t="shared" si="128"/>
        <v>0</v>
      </c>
      <c r="Q174" s="241">
        <f t="shared" ref="Q174:W174" si="129">SUM(Q169:Q173)</f>
        <v>0</v>
      </c>
      <c r="R174" s="241">
        <f t="shared" si="129"/>
        <v>0</v>
      </c>
      <c r="S174" s="556"/>
      <c r="T174" s="556">
        <f t="shared" si="129"/>
        <v>0</v>
      </c>
      <c r="U174" s="556">
        <f t="shared" si="129"/>
        <v>0</v>
      </c>
      <c r="V174" s="556">
        <f t="shared" si="129"/>
        <v>0</v>
      </c>
      <c r="W174" s="556">
        <f t="shared" si="129"/>
        <v>0</v>
      </c>
      <c r="X174" s="556">
        <f t="shared" ref="X174:AG174" si="130">SUM(X169:X173)</f>
        <v>0</v>
      </c>
      <c r="Y174" s="556">
        <f t="shared" si="130"/>
        <v>0</v>
      </c>
      <c r="Z174" s="556">
        <f t="shared" si="130"/>
        <v>0</v>
      </c>
      <c r="AA174" s="556">
        <f t="shared" si="130"/>
        <v>0</v>
      </c>
      <c r="AB174" s="556">
        <f t="shared" si="130"/>
        <v>0</v>
      </c>
      <c r="AC174" s="556">
        <f t="shared" si="130"/>
        <v>0</v>
      </c>
      <c r="AD174" s="556">
        <f t="shared" si="130"/>
        <v>0</v>
      </c>
      <c r="AE174" s="556">
        <f t="shared" si="130"/>
        <v>0</v>
      </c>
      <c r="AF174" s="556">
        <f t="shared" si="130"/>
        <v>0</v>
      </c>
      <c r="AG174" s="556">
        <f t="shared" si="130"/>
        <v>0</v>
      </c>
      <c r="AH174" s="556">
        <f t="shared" ref="AH174:AK174" si="131">SUM(AH169:AH173)</f>
        <v>0</v>
      </c>
      <c r="AI174" s="556">
        <f t="shared" si="131"/>
        <v>0</v>
      </c>
      <c r="AJ174" s="556">
        <f t="shared" si="131"/>
        <v>0</v>
      </c>
      <c r="AK174" s="556">
        <f t="shared" si="131"/>
        <v>0</v>
      </c>
      <c r="AL174" s="556">
        <f t="shared" ref="AL174:AP174" si="132">SUM(AL169:AL173)</f>
        <v>0</v>
      </c>
      <c r="AM174" s="556">
        <f t="shared" si="132"/>
        <v>0</v>
      </c>
      <c r="AN174" s="556">
        <f t="shared" si="132"/>
        <v>0</v>
      </c>
      <c r="AO174" s="556">
        <f t="shared" si="132"/>
        <v>0</v>
      </c>
      <c r="AP174" s="556">
        <f t="shared" si="132"/>
        <v>0</v>
      </c>
      <c r="AQ174" s="556">
        <f t="shared" ref="AQ174:AS174" si="133">SUM(AQ169:AQ173)</f>
        <v>0</v>
      </c>
      <c r="AR174" s="556">
        <f t="shared" si="133"/>
        <v>0</v>
      </c>
      <c r="AS174" s="556">
        <f t="shared" si="133"/>
        <v>0</v>
      </c>
      <c r="AT174" s="556"/>
      <c r="AU174" s="241">
        <f>SUM(AU169:AU173)</f>
        <v>0</v>
      </c>
      <c r="AV174" s="131"/>
      <c r="AW174" s="241">
        <f>SUM(AW169:AW173)</f>
        <v>0</v>
      </c>
      <c r="AX174" s="241">
        <f>+AW174-'ROR-Model'!G174</f>
        <v>0</v>
      </c>
    </row>
    <row r="175" spans="1:50">
      <c r="A175" s="330"/>
      <c r="B175" s="728"/>
      <c r="C175" s="728"/>
      <c r="D175" s="106"/>
      <c r="E175" s="331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16"/>
      <c r="AW175" s="133"/>
      <c r="AX175" s="133">
        <f>+AW175-'ROR-Model'!G175</f>
        <v>0</v>
      </c>
    </row>
    <row r="176" spans="1:50">
      <c r="A176" s="330"/>
      <c r="B176" s="728"/>
      <c r="C176" s="728" t="s">
        <v>20</v>
      </c>
      <c r="D176" s="106"/>
      <c r="E176" s="331"/>
      <c r="F176" s="116"/>
      <c r="G176" s="116"/>
      <c r="H176" s="116">
        <f>H1*Revenue!$K$175</f>
        <v>0</v>
      </c>
      <c r="I176" s="116"/>
      <c r="J176" s="116"/>
      <c r="K176" s="116"/>
      <c r="L176" s="116"/>
      <c r="M176" s="116"/>
      <c r="N176" s="116"/>
      <c r="O176" s="116"/>
      <c r="P176" s="116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>
        <f>SUM(F176:AT176)</f>
        <v>0</v>
      </c>
      <c r="AV176" s="116"/>
      <c r="AW176" s="133">
        <f>SUM(AU176:AU176)</f>
        <v>0</v>
      </c>
      <c r="AX176" s="133">
        <f>+AW176-'ROR-Model'!G176</f>
        <v>0</v>
      </c>
    </row>
    <row r="177" spans="1:50">
      <c r="A177" s="330"/>
      <c r="B177" s="728"/>
      <c r="C177" s="728"/>
      <c r="D177" s="106"/>
      <c r="E177" s="331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16"/>
      <c r="AW177" s="133"/>
      <c r="AX177" s="133">
        <f>+AW177-'ROR-Model'!G177</f>
        <v>0</v>
      </c>
    </row>
    <row r="178" spans="1:50">
      <c r="A178" s="330"/>
      <c r="B178" s="728" t="s">
        <v>127</v>
      </c>
      <c r="C178" s="728" t="s">
        <v>16</v>
      </c>
      <c r="D178" s="106"/>
      <c r="E178" s="331"/>
      <c r="F178" s="116"/>
      <c r="G178" s="116"/>
      <c r="H178" s="116">
        <f>H1*Revenue!$K$177</f>
        <v>0</v>
      </c>
      <c r="I178" s="116"/>
      <c r="J178" s="116"/>
      <c r="K178" s="116"/>
      <c r="L178" s="116"/>
      <c r="M178" s="116"/>
      <c r="N178" s="116"/>
      <c r="O178" s="116"/>
      <c r="P178" s="116"/>
      <c r="Q178" s="133"/>
      <c r="R178" s="133"/>
      <c r="S178" s="133"/>
      <c r="T178" s="133">
        <f>'Optional Adjustment 2'!G178*$T$1</f>
        <v>0</v>
      </c>
      <c r="U178" s="133">
        <f>'Optional Adjustment 3'!G178*$U$1</f>
        <v>0</v>
      </c>
      <c r="V178" s="133">
        <f>'Optional Adjustment 4'!G178*$V$1</f>
        <v>0</v>
      </c>
      <c r="W178" s="133">
        <f>'Optional Adjustment 5'!G178*$W$1</f>
        <v>0</v>
      </c>
      <c r="X178" s="133">
        <f>'Optional Adjustment 6'!G178*$X$1</f>
        <v>0</v>
      </c>
      <c r="Y178" s="133">
        <f>'Optional Adjustment 7'!G178*$Y$1</f>
        <v>0</v>
      </c>
      <c r="Z178" s="133">
        <f>'Optional Adjustment 8'!G178*$Z$1</f>
        <v>0</v>
      </c>
      <c r="AA178" s="133">
        <f>'Optional Adjustment 9'!G178*$AA$1</f>
        <v>0</v>
      </c>
      <c r="AB178" s="133">
        <f>'Optional Adjustment 10'!G178*$AB$1</f>
        <v>0</v>
      </c>
      <c r="AC178" s="133">
        <f>'Optional Adjustment 11'!G178*$AC$1</f>
        <v>0</v>
      </c>
      <c r="AD178" s="133">
        <f>'Optional Adjustment 12'!G178*$AD$1</f>
        <v>0</v>
      </c>
      <c r="AE178" s="133">
        <f>'Optional Adjustment 13'!G178*$AE$1</f>
        <v>0</v>
      </c>
      <c r="AF178" s="133">
        <f>'Optional Adjustment 14'!G178*$AF$1</f>
        <v>0</v>
      </c>
      <c r="AG178" s="133">
        <f>'Optional Adjustment 15'!G178*$AG$1</f>
        <v>0</v>
      </c>
      <c r="AH178" s="133">
        <f>'Optional Adjustment 16'!G178*$AH$1</f>
        <v>0</v>
      </c>
      <c r="AI178" s="133">
        <f>'Optional Adjustment 17'!G178*$AI$1</f>
        <v>0</v>
      </c>
      <c r="AJ178" s="133">
        <f>'Optional Adjustment 18'!G178*$AJ$1</f>
        <v>0</v>
      </c>
      <c r="AK178" s="133">
        <f>'Optional Adjustment 19'!G178*$AK$1</f>
        <v>0</v>
      </c>
      <c r="AL178" s="133">
        <f>'Optional Adjustment 20'!G178*$AL$1</f>
        <v>0</v>
      </c>
      <c r="AM178" s="133">
        <f>'Optional Adjustment 21'!G178*$AM$1</f>
        <v>0</v>
      </c>
      <c r="AN178" s="133">
        <f>'Optional Adjustment 22'!G178*$AN$1</f>
        <v>0</v>
      </c>
      <c r="AO178" s="133">
        <f>'Optional Adjustment 23'!G178*$AO$1</f>
        <v>0</v>
      </c>
      <c r="AP178" s="133">
        <f>'Optional Adjustment 24'!G178*$AP$1</f>
        <v>0</v>
      </c>
      <c r="AQ178" s="133">
        <f>'Optional Adjustment 25'!G178*$AQ$1</f>
        <v>0</v>
      </c>
      <c r="AR178" s="133">
        <f>'Optional Adjustment 26'!G178*$AR$1</f>
        <v>0</v>
      </c>
      <c r="AS178" s="133">
        <f>'Optional Adjustment 27'!G178*$AS$1</f>
        <v>0</v>
      </c>
      <c r="AT178" s="133"/>
      <c r="AU178" s="133">
        <f>SUM(F178:AT178)</f>
        <v>0</v>
      </c>
      <c r="AV178" s="116"/>
      <c r="AW178" s="133">
        <f>SUM(AU178:AU178)</f>
        <v>0</v>
      </c>
      <c r="AX178" s="133">
        <f>+AW178-'ROR-Model'!G178</f>
        <v>0</v>
      </c>
    </row>
    <row r="179" spans="1:50">
      <c r="A179" s="330"/>
      <c r="B179" s="728"/>
      <c r="C179" s="728"/>
      <c r="D179" s="106"/>
      <c r="E179" s="331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16"/>
      <c r="AW179" s="133"/>
      <c r="AX179" s="133">
        <f>+AW179-'ROR-Model'!G179</f>
        <v>0</v>
      </c>
    </row>
    <row r="180" spans="1:50">
      <c r="A180" s="330"/>
      <c r="B180" s="728"/>
      <c r="C180" s="728" t="s">
        <v>17</v>
      </c>
      <c r="D180" s="106"/>
      <c r="E180" s="331"/>
      <c r="F180" s="116"/>
      <c r="G180" s="116"/>
      <c r="H180" s="116">
        <f>H1*Revenue!$K$179</f>
        <v>0</v>
      </c>
      <c r="I180" s="116"/>
      <c r="J180" s="116"/>
      <c r="K180" s="116"/>
      <c r="L180" s="116"/>
      <c r="M180" s="116"/>
      <c r="N180" s="116"/>
      <c r="O180" s="116"/>
      <c r="P180" s="116"/>
      <c r="Q180" s="133"/>
      <c r="R180" s="133"/>
      <c r="S180" s="133"/>
      <c r="T180" s="133">
        <f>'Optional Adjustment 2'!G180*$T$1</f>
        <v>0</v>
      </c>
      <c r="U180" s="133">
        <f>'Optional Adjustment 3'!G180*$U$1</f>
        <v>0</v>
      </c>
      <c r="V180" s="133">
        <f>'Optional Adjustment 4'!G180*$V$1</f>
        <v>0</v>
      </c>
      <c r="W180" s="133">
        <f>'Optional Adjustment 5'!G180*$W$1</f>
        <v>0</v>
      </c>
      <c r="X180" s="133">
        <f>'Optional Adjustment 6'!G180*$X$1</f>
        <v>0</v>
      </c>
      <c r="Y180" s="133">
        <f>'Optional Adjustment 7'!G180*$Y$1</f>
        <v>0</v>
      </c>
      <c r="Z180" s="133">
        <f>'Optional Adjustment 8'!G180*$Z$1</f>
        <v>0</v>
      </c>
      <c r="AA180" s="133">
        <f>'Optional Adjustment 9'!G180*$AA$1</f>
        <v>0</v>
      </c>
      <c r="AB180" s="133">
        <f>'Optional Adjustment 10'!G180*$AB$1</f>
        <v>0</v>
      </c>
      <c r="AC180" s="133">
        <f>'Optional Adjustment 11'!G180*$AC$1</f>
        <v>0</v>
      </c>
      <c r="AD180" s="133">
        <f>'Optional Adjustment 12'!G180*$AD$1</f>
        <v>0</v>
      </c>
      <c r="AE180" s="133">
        <f>'Optional Adjustment 13'!G180*$AE$1</f>
        <v>0</v>
      </c>
      <c r="AF180" s="133">
        <f>'Optional Adjustment 14'!G180*$AF$1</f>
        <v>0</v>
      </c>
      <c r="AG180" s="133">
        <f>'Optional Adjustment 15'!G180*$AG$1</f>
        <v>0</v>
      </c>
      <c r="AH180" s="133">
        <f>'Optional Adjustment 16'!G180*$AH$1</f>
        <v>0</v>
      </c>
      <c r="AI180" s="133">
        <f>'Optional Adjustment 17'!G180*$AI$1</f>
        <v>0</v>
      </c>
      <c r="AJ180" s="133">
        <f>'Optional Adjustment 18'!G180*$AJ$1</f>
        <v>0</v>
      </c>
      <c r="AK180" s="133">
        <f>'Optional Adjustment 19'!G180*$AK$1</f>
        <v>0</v>
      </c>
      <c r="AL180" s="133">
        <f>'Optional Adjustment 20'!G180*$AL$1</f>
        <v>0</v>
      </c>
      <c r="AM180" s="133">
        <f>'Optional Adjustment 21'!G180*$AM$1</f>
        <v>0</v>
      </c>
      <c r="AN180" s="133">
        <f>'Optional Adjustment 22'!G180*$AN$1</f>
        <v>0</v>
      </c>
      <c r="AO180" s="133">
        <f>'Optional Adjustment 23'!G180*$AO$1</f>
        <v>0</v>
      </c>
      <c r="AP180" s="133">
        <f>'Optional Adjustment 24'!G180*$AP$1</f>
        <v>0</v>
      </c>
      <c r="AQ180" s="133">
        <f>'Optional Adjustment 25'!G180*$AQ$1</f>
        <v>0</v>
      </c>
      <c r="AR180" s="133">
        <f>'Optional Adjustment 26'!G180*$AR$1</f>
        <v>0</v>
      </c>
      <c r="AS180" s="133">
        <f>'Optional Adjustment 27'!G180*$AS$1</f>
        <v>0</v>
      </c>
      <c r="AT180" s="133"/>
      <c r="AU180" s="133">
        <f>SUM(F180:AT180)</f>
        <v>0</v>
      </c>
      <c r="AV180" s="116"/>
      <c r="AW180" s="133">
        <f>SUM(AU180:AU180)</f>
        <v>0</v>
      </c>
      <c r="AX180" s="133">
        <f>+AW180-'ROR-Model'!G180</f>
        <v>0</v>
      </c>
    </row>
    <row r="181" spans="1:50">
      <c r="A181" s="330"/>
      <c r="B181" s="728"/>
      <c r="C181" s="728"/>
      <c r="D181" s="106"/>
      <c r="E181" s="331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16"/>
      <c r="AW181" s="133"/>
      <c r="AX181" s="133">
        <f>+AW181-'ROR-Model'!G181</f>
        <v>0</v>
      </c>
    </row>
    <row r="182" spans="1:50">
      <c r="A182" s="330"/>
      <c r="B182" s="728"/>
      <c r="C182" s="728" t="s">
        <v>18</v>
      </c>
      <c r="D182" s="106"/>
      <c r="E182" s="331"/>
      <c r="F182" s="116"/>
      <c r="G182" s="116"/>
      <c r="H182" s="116">
        <f>H1*Revenue!$K$181</f>
        <v>0</v>
      </c>
      <c r="I182" s="116"/>
      <c r="J182" s="116"/>
      <c r="K182" s="116"/>
      <c r="L182" s="116"/>
      <c r="M182" s="116"/>
      <c r="N182" s="116"/>
      <c r="O182" s="116"/>
      <c r="P182" s="116"/>
      <c r="Q182" s="133"/>
      <c r="R182" s="133"/>
      <c r="S182" s="133"/>
      <c r="T182" s="133">
        <f>'Optional Adjustment 2'!G182*$T$1</f>
        <v>0</v>
      </c>
      <c r="U182" s="133">
        <f>'Optional Adjustment 3'!G182*$U$1</f>
        <v>0</v>
      </c>
      <c r="V182" s="133">
        <f>'Optional Adjustment 4'!G182*$V$1</f>
        <v>0</v>
      </c>
      <c r="W182" s="133">
        <f>'Optional Adjustment 5'!G182*$W$1</f>
        <v>0</v>
      </c>
      <c r="X182" s="133">
        <f>'Optional Adjustment 6'!G182*$X$1</f>
        <v>0</v>
      </c>
      <c r="Y182" s="133">
        <f>'Optional Adjustment 7'!G182*$Y$1</f>
        <v>0</v>
      </c>
      <c r="Z182" s="133">
        <f>'Optional Adjustment 8'!G182*$Z$1</f>
        <v>0</v>
      </c>
      <c r="AA182" s="133">
        <f>'Optional Adjustment 9'!G182*$AA$1</f>
        <v>0</v>
      </c>
      <c r="AB182" s="133">
        <f>'Optional Adjustment 10'!G182*$AB$1</f>
        <v>0</v>
      </c>
      <c r="AC182" s="133">
        <f>'Optional Adjustment 11'!G182*$AC$1</f>
        <v>0</v>
      </c>
      <c r="AD182" s="133">
        <f>'Optional Adjustment 12'!G182*$AD$1</f>
        <v>0</v>
      </c>
      <c r="AE182" s="133">
        <f>'Optional Adjustment 13'!G182*$AE$1</f>
        <v>0</v>
      </c>
      <c r="AF182" s="133">
        <f>'Optional Adjustment 14'!G182*$AF$1</f>
        <v>0</v>
      </c>
      <c r="AG182" s="133">
        <f>'Optional Adjustment 15'!G182*$AG$1</f>
        <v>0</v>
      </c>
      <c r="AH182" s="133">
        <f>'Optional Adjustment 16'!G182*$AH$1</f>
        <v>0</v>
      </c>
      <c r="AI182" s="133">
        <f>'Optional Adjustment 17'!G182*$AI$1</f>
        <v>0</v>
      </c>
      <c r="AJ182" s="133">
        <f>'Optional Adjustment 18'!G182*$AJ$1</f>
        <v>0</v>
      </c>
      <c r="AK182" s="133">
        <f>'Optional Adjustment 19'!G182*$AK$1</f>
        <v>0</v>
      </c>
      <c r="AL182" s="133">
        <f>'Optional Adjustment 20'!G182*$AL$1</f>
        <v>0</v>
      </c>
      <c r="AM182" s="133">
        <f>'Optional Adjustment 21'!G182*$AM$1</f>
        <v>0</v>
      </c>
      <c r="AN182" s="133">
        <f>'Optional Adjustment 22'!G182*$AN$1</f>
        <v>0</v>
      </c>
      <c r="AO182" s="133">
        <f>'Optional Adjustment 23'!G182*$AO$1</f>
        <v>0</v>
      </c>
      <c r="AP182" s="133">
        <f>'Optional Adjustment 24'!G182*$AP$1</f>
        <v>0</v>
      </c>
      <c r="AQ182" s="133">
        <f>'Optional Adjustment 25'!G182*$AQ$1</f>
        <v>0</v>
      </c>
      <c r="AR182" s="133">
        <f>'Optional Adjustment 26'!G182*$AR$1</f>
        <v>0</v>
      </c>
      <c r="AS182" s="133">
        <f>'Optional Adjustment 27'!G182*$AS$1</f>
        <v>0</v>
      </c>
      <c r="AT182" s="133"/>
      <c r="AU182" s="133">
        <f>SUM(F182:AT182)</f>
        <v>0</v>
      </c>
      <c r="AV182" s="116"/>
      <c r="AW182" s="133">
        <f>SUM(AU182:AU182)</f>
        <v>0</v>
      </c>
      <c r="AX182" s="133">
        <f>+AW182-'ROR-Model'!G182</f>
        <v>0</v>
      </c>
    </row>
    <row r="183" spans="1:50">
      <c r="A183" s="330"/>
      <c r="B183" s="728"/>
      <c r="C183" s="728" t="s">
        <v>19</v>
      </c>
      <c r="D183" s="106"/>
      <c r="E183" s="331"/>
      <c r="F183" s="131">
        <f>SUM(F178:F182)</f>
        <v>0</v>
      </c>
      <c r="G183" s="131"/>
      <c r="H183" s="131">
        <f>H1*SUM(H178:H182)</f>
        <v>0</v>
      </c>
      <c r="I183" s="131">
        <f>SUM(I178:I182)</f>
        <v>0</v>
      </c>
      <c r="J183" s="131">
        <f t="shared" ref="J183:P183" si="134">SUM(J178:J182)</f>
        <v>0</v>
      </c>
      <c r="K183" s="131">
        <f t="shared" si="134"/>
        <v>0</v>
      </c>
      <c r="L183" s="131">
        <f t="shared" si="134"/>
        <v>0</v>
      </c>
      <c r="M183" s="131">
        <f t="shared" si="134"/>
        <v>0</v>
      </c>
      <c r="N183" s="131">
        <f t="shared" si="134"/>
        <v>0</v>
      </c>
      <c r="O183" s="131">
        <f t="shared" si="134"/>
        <v>0</v>
      </c>
      <c r="P183" s="131">
        <f t="shared" si="134"/>
        <v>0</v>
      </c>
      <c r="Q183" s="241">
        <f t="shared" ref="Q183:W183" si="135">SUM(Q178:Q182)</f>
        <v>0</v>
      </c>
      <c r="R183" s="241">
        <f t="shared" si="135"/>
        <v>0</v>
      </c>
      <c r="S183" s="556"/>
      <c r="T183" s="556">
        <f t="shared" si="135"/>
        <v>0</v>
      </c>
      <c r="U183" s="556">
        <f t="shared" si="135"/>
        <v>0</v>
      </c>
      <c r="V183" s="556">
        <f t="shared" si="135"/>
        <v>0</v>
      </c>
      <c r="W183" s="556">
        <f t="shared" si="135"/>
        <v>0</v>
      </c>
      <c r="X183" s="556">
        <f t="shared" ref="X183:AG183" si="136">SUM(X178:X182)</f>
        <v>0</v>
      </c>
      <c r="Y183" s="556">
        <f t="shared" si="136"/>
        <v>0</v>
      </c>
      <c r="Z183" s="556">
        <f t="shared" si="136"/>
        <v>0</v>
      </c>
      <c r="AA183" s="556">
        <f t="shared" si="136"/>
        <v>0</v>
      </c>
      <c r="AB183" s="556">
        <f t="shared" si="136"/>
        <v>0</v>
      </c>
      <c r="AC183" s="556">
        <f t="shared" si="136"/>
        <v>0</v>
      </c>
      <c r="AD183" s="556">
        <f t="shared" si="136"/>
        <v>0</v>
      </c>
      <c r="AE183" s="556">
        <f t="shared" si="136"/>
        <v>0</v>
      </c>
      <c r="AF183" s="556">
        <f t="shared" si="136"/>
        <v>0</v>
      </c>
      <c r="AG183" s="556">
        <f t="shared" si="136"/>
        <v>0</v>
      </c>
      <c r="AH183" s="556">
        <f t="shared" ref="AH183:AK183" si="137">SUM(AH178:AH182)</f>
        <v>0</v>
      </c>
      <c r="AI183" s="556">
        <f t="shared" si="137"/>
        <v>0</v>
      </c>
      <c r="AJ183" s="556">
        <f t="shared" si="137"/>
        <v>0</v>
      </c>
      <c r="AK183" s="556">
        <f t="shared" si="137"/>
        <v>0</v>
      </c>
      <c r="AL183" s="556">
        <f t="shared" ref="AL183:AP183" si="138">SUM(AL178:AL182)</f>
        <v>0</v>
      </c>
      <c r="AM183" s="556">
        <f t="shared" si="138"/>
        <v>0</v>
      </c>
      <c r="AN183" s="556">
        <f t="shared" si="138"/>
        <v>0</v>
      </c>
      <c r="AO183" s="556">
        <f t="shared" si="138"/>
        <v>0</v>
      </c>
      <c r="AP183" s="556">
        <f t="shared" si="138"/>
        <v>0</v>
      </c>
      <c r="AQ183" s="556">
        <f t="shared" ref="AQ183:AS183" si="139">SUM(AQ178:AQ182)</f>
        <v>0</v>
      </c>
      <c r="AR183" s="556">
        <f t="shared" si="139"/>
        <v>0</v>
      </c>
      <c r="AS183" s="556">
        <f t="shared" si="139"/>
        <v>0</v>
      </c>
      <c r="AT183" s="556"/>
      <c r="AU183" s="241">
        <f>SUM(AU178:AU182)</f>
        <v>0</v>
      </c>
      <c r="AV183" s="131"/>
      <c r="AW183" s="241">
        <f>SUM(AW178:AW182)</f>
        <v>0</v>
      </c>
      <c r="AX183" s="241">
        <f>+AW183-'ROR-Model'!G183</f>
        <v>0</v>
      </c>
    </row>
    <row r="184" spans="1:50">
      <c r="A184" s="330"/>
      <c r="B184" s="728"/>
      <c r="C184" s="728"/>
      <c r="D184" s="106"/>
      <c r="E184" s="331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16"/>
      <c r="AW184" s="133"/>
      <c r="AX184" s="133">
        <f>+AW184-'ROR-Model'!G184</f>
        <v>0</v>
      </c>
    </row>
    <row r="185" spans="1:50">
      <c r="A185" s="330"/>
      <c r="B185" s="728"/>
      <c r="C185" s="728" t="s">
        <v>20</v>
      </c>
      <c r="D185" s="106"/>
      <c r="E185" s="331"/>
      <c r="F185" s="116"/>
      <c r="G185" s="116"/>
      <c r="H185" s="116">
        <f>H1*Revenue!$K$184</f>
        <v>0</v>
      </c>
      <c r="I185" s="116"/>
      <c r="J185" s="116"/>
      <c r="K185" s="116"/>
      <c r="L185" s="116"/>
      <c r="M185" s="116"/>
      <c r="N185" s="116"/>
      <c r="O185" s="116"/>
      <c r="P185" s="116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>
        <f>SUM(F185:AT185)</f>
        <v>0</v>
      </c>
      <c r="AV185" s="116"/>
      <c r="AW185" s="133">
        <f>SUM(AU185:AU185)</f>
        <v>0</v>
      </c>
      <c r="AX185" s="133">
        <f>+AW185-'ROR-Model'!G185</f>
        <v>0</v>
      </c>
    </row>
    <row r="186" spans="1:50">
      <c r="A186" s="330"/>
      <c r="B186" s="728"/>
      <c r="C186" s="728"/>
      <c r="D186" s="106"/>
      <c r="E186" s="331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16"/>
      <c r="AW186" s="133"/>
      <c r="AX186" s="133">
        <f>+AW186-'ROR-Model'!G186</f>
        <v>0</v>
      </c>
    </row>
    <row r="187" spans="1:50">
      <c r="A187" s="330"/>
      <c r="B187" s="728" t="s">
        <v>84</v>
      </c>
      <c r="C187" s="728" t="s">
        <v>16</v>
      </c>
      <c r="D187" s="106"/>
      <c r="E187" s="331"/>
      <c r="F187" s="116"/>
      <c r="G187" s="116"/>
      <c r="H187" s="116">
        <f>H1*Revenue!$K$186</f>
        <v>0</v>
      </c>
      <c r="I187" s="116"/>
      <c r="J187" s="116"/>
      <c r="K187" s="116"/>
      <c r="L187" s="116"/>
      <c r="M187" s="116"/>
      <c r="N187" s="116"/>
      <c r="O187" s="116"/>
      <c r="P187" s="116"/>
      <c r="Q187" s="133"/>
      <c r="R187" s="133"/>
      <c r="S187" s="133"/>
      <c r="T187" s="133">
        <f>'Optional Adjustment 2'!G187*$T$1</f>
        <v>0</v>
      </c>
      <c r="U187" s="133">
        <f>'Optional Adjustment 3'!G187*$U$1</f>
        <v>0</v>
      </c>
      <c r="V187" s="133">
        <f>'Optional Adjustment 4'!G187*$V$1</f>
        <v>0</v>
      </c>
      <c r="W187" s="133">
        <f>'Optional Adjustment 5'!G187*$W$1</f>
        <v>0</v>
      </c>
      <c r="X187" s="133">
        <f>'Optional Adjustment 6'!G187*$X$1</f>
        <v>0</v>
      </c>
      <c r="Y187" s="133">
        <f>'Optional Adjustment 7'!G187*$Y$1</f>
        <v>0</v>
      </c>
      <c r="Z187" s="133">
        <f>'Optional Adjustment 8'!G187*$Z$1</f>
        <v>0</v>
      </c>
      <c r="AA187" s="133">
        <f>'Optional Adjustment 9'!G187*$AA$1</f>
        <v>0</v>
      </c>
      <c r="AB187" s="133">
        <f>'Optional Adjustment 10'!G187*$AB$1</f>
        <v>0</v>
      </c>
      <c r="AC187" s="133">
        <f>'Optional Adjustment 11'!G187*$AC$1</f>
        <v>0</v>
      </c>
      <c r="AD187" s="133">
        <f>'Optional Adjustment 12'!G187*$AD$1</f>
        <v>0</v>
      </c>
      <c r="AE187" s="133">
        <f>'Optional Adjustment 13'!G187*$AE$1</f>
        <v>0</v>
      </c>
      <c r="AF187" s="133">
        <f>'Optional Adjustment 14'!G187*$AF$1</f>
        <v>0</v>
      </c>
      <c r="AG187" s="133">
        <f>'Optional Adjustment 15'!G187*$AG$1</f>
        <v>0</v>
      </c>
      <c r="AH187" s="133">
        <f>'Optional Adjustment 16'!G187*$AH$1</f>
        <v>0</v>
      </c>
      <c r="AI187" s="133">
        <f>'Optional Adjustment 17'!G187*$AI$1</f>
        <v>0</v>
      </c>
      <c r="AJ187" s="133">
        <f>'Optional Adjustment 18'!G187*$AJ$1</f>
        <v>0</v>
      </c>
      <c r="AK187" s="133">
        <f>'Optional Adjustment 19'!G187*$AK$1</f>
        <v>0</v>
      </c>
      <c r="AL187" s="133">
        <f>'Optional Adjustment 20'!G187*$AL$1</f>
        <v>0</v>
      </c>
      <c r="AM187" s="133">
        <f>'Optional Adjustment 21'!G187*$AM$1</f>
        <v>0</v>
      </c>
      <c r="AN187" s="133">
        <f>'Optional Adjustment 22'!G187*$AN$1</f>
        <v>0</v>
      </c>
      <c r="AO187" s="133">
        <f>'Optional Adjustment 23'!G187*$AO$1</f>
        <v>0</v>
      </c>
      <c r="AP187" s="133">
        <f>'Optional Adjustment 24'!G187*$AP$1</f>
        <v>0</v>
      </c>
      <c r="AQ187" s="133">
        <f>'Optional Adjustment 25'!G187*$AQ$1</f>
        <v>0</v>
      </c>
      <c r="AR187" s="133">
        <f>'Optional Adjustment 26'!G187*$AR$1</f>
        <v>0</v>
      </c>
      <c r="AS187" s="133">
        <f>'Optional Adjustment 27'!G187*$AS$1</f>
        <v>0</v>
      </c>
      <c r="AT187" s="133"/>
      <c r="AU187" s="133">
        <f>SUM(F187:AT187)</f>
        <v>0</v>
      </c>
      <c r="AV187" s="116"/>
      <c r="AW187" s="133">
        <f>SUM(AU187:AU187)</f>
        <v>0</v>
      </c>
      <c r="AX187" s="133">
        <f>+AW187-'ROR-Model'!G187</f>
        <v>0</v>
      </c>
    </row>
    <row r="188" spans="1:50">
      <c r="A188" s="330"/>
      <c r="B188" s="728"/>
      <c r="C188" s="728"/>
      <c r="D188" s="106"/>
      <c r="E188" s="331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16"/>
      <c r="AW188" s="133"/>
      <c r="AX188" s="133">
        <f>+AW188-'ROR-Model'!G188</f>
        <v>0</v>
      </c>
    </row>
    <row r="189" spans="1:50">
      <c r="A189" s="330"/>
      <c r="B189" s="728"/>
      <c r="C189" s="728" t="s">
        <v>17</v>
      </c>
      <c r="D189" s="106"/>
      <c r="E189" s="331"/>
      <c r="F189" s="116"/>
      <c r="G189" s="116"/>
      <c r="H189" s="116">
        <f>H1*Revenue!$K$188</f>
        <v>0</v>
      </c>
      <c r="I189" s="116"/>
      <c r="J189" s="116"/>
      <c r="K189" s="116"/>
      <c r="L189" s="116"/>
      <c r="M189" s="116"/>
      <c r="N189" s="116"/>
      <c r="O189" s="116"/>
      <c r="P189" s="116"/>
      <c r="Q189" s="133"/>
      <c r="R189" s="133"/>
      <c r="S189" s="133"/>
      <c r="T189" s="133">
        <f>'Optional Adjustment 2'!G189*$T$1</f>
        <v>0</v>
      </c>
      <c r="U189" s="133">
        <f>'Optional Adjustment 3'!G189*$U$1</f>
        <v>0</v>
      </c>
      <c r="V189" s="133">
        <f>'Optional Adjustment 4'!G189*$V$1</f>
        <v>0</v>
      </c>
      <c r="W189" s="133">
        <f>'Optional Adjustment 5'!G189*$W$1</f>
        <v>0</v>
      </c>
      <c r="X189" s="133">
        <f>'Optional Adjustment 6'!G189*$X$1</f>
        <v>0</v>
      </c>
      <c r="Y189" s="133">
        <f>'Optional Adjustment 7'!G189*$Y$1</f>
        <v>0</v>
      </c>
      <c r="Z189" s="133">
        <f>'Optional Adjustment 8'!G189*$Z$1</f>
        <v>0</v>
      </c>
      <c r="AA189" s="133">
        <f>'Optional Adjustment 9'!G189*$AA$1</f>
        <v>0</v>
      </c>
      <c r="AB189" s="133">
        <f>'Optional Adjustment 10'!G189*$AB$1</f>
        <v>0</v>
      </c>
      <c r="AC189" s="133">
        <f>'Optional Adjustment 11'!G189*$AC$1</f>
        <v>0</v>
      </c>
      <c r="AD189" s="133">
        <f>'Optional Adjustment 12'!G189*$AD$1</f>
        <v>0</v>
      </c>
      <c r="AE189" s="133">
        <f>'Optional Adjustment 13'!G189*$AE$1</f>
        <v>0</v>
      </c>
      <c r="AF189" s="133">
        <f>'Optional Adjustment 14'!G189*$AF$1</f>
        <v>0</v>
      </c>
      <c r="AG189" s="133">
        <f>'Optional Adjustment 15'!G189*$AG$1</f>
        <v>0</v>
      </c>
      <c r="AH189" s="133">
        <f>'Optional Adjustment 16'!G189*$AH$1</f>
        <v>0</v>
      </c>
      <c r="AI189" s="133">
        <f>'Optional Adjustment 17'!G189*$AI$1</f>
        <v>0</v>
      </c>
      <c r="AJ189" s="133">
        <f>'Optional Adjustment 18'!G189*$AJ$1</f>
        <v>0</v>
      </c>
      <c r="AK189" s="133">
        <f>'Optional Adjustment 19'!G189*$AK$1</f>
        <v>0</v>
      </c>
      <c r="AL189" s="133">
        <f>'Optional Adjustment 20'!G189*$AL$1</f>
        <v>0</v>
      </c>
      <c r="AM189" s="133">
        <f>'Optional Adjustment 21'!G189*$AM$1</f>
        <v>0</v>
      </c>
      <c r="AN189" s="133">
        <f>'Optional Adjustment 22'!G189*$AN$1</f>
        <v>0</v>
      </c>
      <c r="AO189" s="133">
        <f>'Optional Adjustment 23'!G189*$AO$1</f>
        <v>0</v>
      </c>
      <c r="AP189" s="133">
        <f>'Optional Adjustment 24'!G189*$AP$1</f>
        <v>0</v>
      </c>
      <c r="AQ189" s="133">
        <f>'Optional Adjustment 25'!G189*$AQ$1</f>
        <v>0</v>
      </c>
      <c r="AR189" s="133">
        <f>'Optional Adjustment 26'!G189*$AR$1</f>
        <v>0</v>
      </c>
      <c r="AS189" s="133">
        <f>'Optional Adjustment 27'!G189*$AS$1</f>
        <v>0</v>
      </c>
      <c r="AT189" s="133"/>
      <c r="AU189" s="133">
        <f>SUM(F189:AT189)</f>
        <v>0</v>
      </c>
      <c r="AV189" s="116"/>
      <c r="AW189" s="133">
        <f>SUM(AU189:AU189)</f>
        <v>0</v>
      </c>
      <c r="AX189" s="133">
        <f>+AW189-'ROR-Model'!G189</f>
        <v>0</v>
      </c>
    </row>
    <row r="190" spans="1:50">
      <c r="A190" s="330"/>
      <c r="B190" s="728"/>
      <c r="C190" s="728"/>
      <c r="D190" s="106"/>
      <c r="E190" s="331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16"/>
      <c r="AW190" s="133"/>
      <c r="AX190" s="133">
        <f>+AW190-'ROR-Model'!G190</f>
        <v>0</v>
      </c>
    </row>
    <row r="191" spans="1:50">
      <c r="A191" s="330"/>
      <c r="B191" s="728"/>
      <c r="C191" s="728" t="s">
        <v>18</v>
      </c>
      <c r="D191" s="106"/>
      <c r="E191" s="331"/>
      <c r="F191" s="116"/>
      <c r="G191" s="116"/>
      <c r="H191" s="116">
        <f>H1*Revenue!$K$190</f>
        <v>0</v>
      </c>
      <c r="I191" s="116"/>
      <c r="J191" s="116"/>
      <c r="K191" s="116"/>
      <c r="L191" s="116"/>
      <c r="M191" s="116"/>
      <c r="N191" s="116"/>
      <c r="O191" s="116"/>
      <c r="P191" s="116"/>
      <c r="Q191" s="133"/>
      <c r="R191" s="133"/>
      <c r="S191" s="133"/>
      <c r="T191" s="133">
        <f>'Optional Adjustment 2'!G191*$T$1</f>
        <v>0</v>
      </c>
      <c r="U191" s="133">
        <f>'Optional Adjustment 3'!G191*$U$1</f>
        <v>0</v>
      </c>
      <c r="V191" s="133">
        <f>'Optional Adjustment 4'!G191*$V$1</f>
        <v>0</v>
      </c>
      <c r="W191" s="133">
        <f>'Optional Adjustment 5'!G191*$W$1</f>
        <v>0</v>
      </c>
      <c r="X191" s="133">
        <f>'Optional Adjustment 6'!G191*$X$1</f>
        <v>0</v>
      </c>
      <c r="Y191" s="133">
        <f>'Optional Adjustment 7'!G191*$Y$1</f>
        <v>0</v>
      </c>
      <c r="Z191" s="133">
        <f>'Optional Adjustment 8'!G191*$Z$1</f>
        <v>0</v>
      </c>
      <c r="AA191" s="133">
        <f>'Optional Adjustment 9'!G191*$AA$1</f>
        <v>0</v>
      </c>
      <c r="AB191" s="133">
        <f>'Optional Adjustment 10'!G191*$AB$1</f>
        <v>0</v>
      </c>
      <c r="AC191" s="133">
        <f>'Optional Adjustment 11'!G191*$AC$1</f>
        <v>0</v>
      </c>
      <c r="AD191" s="133">
        <f>'Optional Adjustment 12'!G191*$AD$1</f>
        <v>0</v>
      </c>
      <c r="AE191" s="133">
        <f>'Optional Adjustment 13'!G191*$AE$1</f>
        <v>0</v>
      </c>
      <c r="AF191" s="133">
        <f>'Optional Adjustment 14'!G191*$AF$1</f>
        <v>0</v>
      </c>
      <c r="AG191" s="133">
        <f>'Optional Adjustment 15'!G191*$AG$1</f>
        <v>0</v>
      </c>
      <c r="AH191" s="133">
        <f>'Optional Adjustment 16'!G191*$AH$1</f>
        <v>0</v>
      </c>
      <c r="AI191" s="133">
        <f>'Optional Adjustment 17'!G191*$AI$1</f>
        <v>0</v>
      </c>
      <c r="AJ191" s="133">
        <f>'Optional Adjustment 18'!G191*$AJ$1</f>
        <v>0</v>
      </c>
      <c r="AK191" s="133">
        <f>'Optional Adjustment 19'!G191*$AK$1</f>
        <v>0</v>
      </c>
      <c r="AL191" s="133">
        <f>'Optional Adjustment 20'!G191*$AL$1</f>
        <v>0</v>
      </c>
      <c r="AM191" s="133">
        <f>'Optional Adjustment 21'!G191*$AM$1</f>
        <v>0</v>
      </c>
      <c r="AN191" s="133">
        <f>'Optional Adjustment 22'!G191*$AN$1</f>
        <v>0</v>
      </c>
      <c r="AO191" s="133">
        <f>'Optional Adjustment 23'!G191*$AO$1</f>
        <v>0</v>
      </c>
      <c r="AP191" s="133">
        <f>'Optional Adjustment 24'!G191*$AP$1</f>
        <v>0</v>
      </c>
      <c r="AQ191" s="133">
        <f>'Optional Adjustment 25'!G191*$AQ$1</f>
        <v>0</v>
      </c>
      <c r="AR191" s="133">
        <f>'Optional Adjustment 26'!G191*$AR$1</f>
        <v>0</v>
      </c>
      <c r="AS191" s="133">
        <f>'Optional Adjustment 27'!G191*$AS$1</f>
        <v>0</v>
      </c>
      <c r="AT191" s="133"/>
      <c r="AU191" s="133">
        <f>SUM(F191:AT191)</f>
        <v>0</v>
      </c>
      <c r="AV191" s="116"/>
      <c r="AW191" s="133">
        <f>SUM(AU191:AU191)</f>
        <v>0</v>
      </c>
      <c r="AX191" s="133">
        <f>+AW191-'ROR-Model'!G191</f>
        <v>0</v>
      </c>
    </row>
    <row r="192" spans="1:50">
      <c r="A192" s="330"/>
      <c r="B192" s="728"/>
      <c r="C192" s="728" t="s">
        <v>19</v>
      </c>
      <c r="D192" s="106"/>
      <c r="E192" s="331"/>
      <c r="F192" s="131">
        <f>SUM(F187:F191)</f>
        <v>0</v>
      </c>
      <c r="G192" s="131"/>
      <c r="H192" s="131">
        <f>H1*SUM(H187:H191)</f>
        <v>0</v>
      </c>
      <c r="I192" s="131">
        <f>SUM(I187:I191)</f>
        <v>0</v>
      </c>
      <c r="J192" s="131">
        <f t="shared" ref="J192:P192" si="140">SUM(J187:J191)</f>
        <v>0</v>
      </c>
      <c r="K192" s="131">
        <f t="shared" si="140"/>
        <v>0</v>
      </c>
      <c r="L192" s="131">
        <f t="shared" si="140"/>
        <v>0</v>
      </c>
      <c r="M192" s="131">
        <f t="shared" si="140"/>
        <v>0</v>
      </c>
      <c r="N192" s="131">
        <f t="shared" si="140"/>
        <v>0</v>
      </c>
      <c r="O192" s="131">
        <f t="shared" si="140"/>
        <v>0</v>
      </c>
      <c r="P192" s="131">
        <f t="shared" si="140"/>
        <v>0</v>
      </c>
      <c r="Q192" s="241">
        <f t="shared" ref="Q192:W192" si="141">SUM(Q187:Q191)</f>
        <v>0</v>
      </c>
      <c r="R192" s="241">
        <f t="shared" si="141"/>
        <v>0</v>
      </c>
      <c r="S192" s="556"/>
      <c r="T192" s="556">
        <f t="shared" si="141"/>
        <v>0</v>
      </c>
      <c r="U192" s="556">
        <f t="shared" si="141"/>
        <v>0</v>
      </c>
      <c r="V192" s="556">
        <f t="shared" si="141"/>
        <v>0</v>
      </c>
      <c r="W192" s="556">
        <f t="shared" si="141"/>
        <v>0</v>
      </c>
      <c r="X192" s="556">
        <f t="shared" ref="X192:AG192" si="142">SUM(X187:X191)</f>
        <v>0</v>
      </c>
      <c r="Y192" s="556">
        <f t="shared" si="142"/>
        <v>0</v>
      </c>
      <c r="Z192" s="556">
        <f t="shared" si="142"/>
        <v>0</v>
      </c>
      <c r="AA192" s="556">
        <f t="shared" si="142"/>
        <v>0</v>
      </c>
      <c r="AB192" s="556">
        <f t="shared" si="142"/>
        <v>0</v>
      </c>
      <c r="AC192" s="556">
        <f t="shared" si="142"/>
        <v>0</v>
      </c>
      <c r="AD192" s="556">
        <f t="shared" si="142"/>
        <v>0</v>
      </c>
      <c r="AE192" s="556">
        <f t="shared" si="142"/>
        <v>0</v>
      </c>
      <c r="AF192" s="556">
        <f t="shared" si="142"/>
        <v>0</v>
      </c>
      <c r="AG192" s="556">
        <f t="shared" si="142"/>
        <v>0</v>
      </c>
      <c r="AH192" s="556">
        <f t="shared" ref="AH192:AK192" si="143">SUM(AH187:AH191)</f>
        <v>0</v>
      </c>
      <c r="AI192" s="556">
        <f t="shared" si="143"/>
        <v>0</v>
      </c>
      <c r="AJ192" s="556">
        <f t="shared" si="143"/>
        <v>0</v>
      </c>
      <c r="AK192" s="556">
        <f t="shared" si="143"/>
        <v>0</v>
      </c>
      <c r="AL192" s="556">
        <f t="shared" ref="AL192:AP192" si="144">SUM(AL187:AL191)</f>
        <v>0</v>
      </c>
      <c r="AM192" s="556">
        <f t="shared" si="144"/>
        <v>0</v>
      </c>
      <c r="AN192" s="556">
        <f t="shared" si="144"/>
        <v>0</v>
      </c>
      <c r="AO192" s="556">
        <f t="shared" si="144"/>
        <v>0</v>
      </c>
      <c r="AP192" s="556">
        <f t="shared" si="144"/>
        <v>0</v>
      </c>
      <c r="AQ192" s="556">
        <f t="shared" ref="AQ192:AS192" si="145">SUM(AQ187:AQ191)</f>
        <v>0</v>
      </c>
      <c r="AR192" s="556">
        <f t="shared" si="145"/>
        <v>0</v>
      </c>
      <c r="AS192" s="556">
        <f t="shared" si="145"/>
        <v>0</v>
      </c>
      <c r="AT192" s="556"/>
      <c r="AU192" s="241">
        <f>SUM(AU187:AU191)</f>
        <v>0</v>
      </c>
      <c r="AV192" s="131"/>
      <c r="AW192" s="241">
        <f>SUM(AW187:AW191)</f>
        <v>0</v>
      </c>
      <c r="AX192" s="241">
        <f>+AW192-'ROR-Model'!G192</f>
        <v>0</v>
      </c>
    </row>
    <row r="193" spans="1:50">
      <c r="A193" s="330"/>
      <c r="B193" s="728"/>
      <c r="C193" s="728"/>
      <c r="D193" s="106"/>
      <c r="E193" s="331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16"/>
      <c r="AW193" s="133"/>
      <c r="AX193" s="133">
        <f>+AW193-'ROR-Model'!G193</f>
        <v>0</v>
      </c>
    </row>
    <row r="194" spans="1:50">
      <c r="A194" s="330"/>
      <c r="B194" s="728"/>
      <c r="C194" s="728" t="s">
        <v>20</v>
      </c>
      <c r="D194" s="106"/>
      <c r="E194" s="331"/>
      <c r="F194" s="116"/>
      <c r="G194" s="116"/>
      <c r="H194" s="116">
        <f>H1*Revenue!$K$193</f>
        <v>0</v>
      </c>
      <c r="I194" s="116"/>
      <c r="J194" s="116"/>
      <c r="K194" s="116"/>
      <c r="L194" s="116"/>
      <c r="M194" s="116"/>
      <c r="N194" s="116"/>
      <c r="O194" s="116"/>
      <c r="P194" s="116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>
        <f>SUM(F194:AT194)</f>
        <v>0</v>
      </c>
      <c r="AV194" s="116"/>
      <c r="AW194" s="133">
        <f>SUM(AU194:AU194)</f>
        <v>0</v>
      </c>
      <c r="AX194" s="133">
        <f>+AW194-'ROR-Model'!G194</f>
        <v>0</v>
      </c>
    </row>
    <row r="195" spans="1:50">
      <c r="A195" s="330"/>
      <c r="B195" s="728"/>
      <c r="C195" s="728"/>
      <c r="D195" s="106"/>
      <c r="E195" s="331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16"/>
      <c r="AW195" s="133"/>
      <c r="AX195" s="133">
        <f>+AW195-'ROR-Model'!G195</f>
        <v>0</v>
      </c>
    </row>
    <row r="196" spans="1:50">
      <c r="B196" s="728" t="s">
        <v>690</v>
      </c>
      <c r="C196" s="728" t="s">
        <v>96</v>
      </c>
      <c r="F196" s="15">
        <v>0</v>
      </c>
      <c r="H196" s="15">
        <f>H1*Revenue!$K$195</f>
        <v>1433989</v>
      </c>
      <c r="I196" s="15">
        <v>0</v>
      </c>
      <c r="J196" s="15">
        <v>0</v>
      </c>
      <c r="K196" s="102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551">
        <v>0</v>
      </c>
      <c r="R196" s="551">
        <v>0</v>
      </c>
      <c r="S196" s="133"/>
      <c r="T196" s="133">
        <f>'Optional Adjustment 2'!G196*$T$1</f>
        <v>0</v>
      </c>
      <c r="U196" s="133">
        <f>'Optional Adjustment 3'!G196*$U$1</f>
        <v>0</v>
      </c>
      <c r="V196" s="133">
        <f>'Optional Adjustment 4'!G196*$V$1</f>
        <v>0</v>
      </c>
      <c r="W196" s="133">
        <f>'Optional Adjustment 5'!G196*$W$1</f>
        <v>0</v>
      </c>
      <c r="X196" s="133">
        <f>'Optional Adjustment 6'!G196*$X$1</f>
        <v>0</v>
      </c>
      <c r="Y196" s="133">
        <f>'Optional Adjustment 7'!G196*$Y$1</f>
        <v>0</v>
      </c>
      <c r="Z196" s="133">
        <f>'Optional Adjustment 8'!G196*$Z$1</f>
        <v>0</v>
      </c>
      <c r="AA196" s="133">
        <f>'Optional Adjustment 9'!G196*$AA$1</f>
        <v>0</v>
      </c>
      <c r="AB196" s="133">
        <f>'Optional Adjustment 10'!G196*$AB$1</f>
        <v>0</v>
      </c>
      <c r="AC196" s="133">
        <f>'Optional Adjustment 11'!G196*$AC$1</f>
        <v>0</v>
      </c>
      <c r="AD196" s="133">
        <f>'Optional Adjustment 12'!G196*$AD$1</f>
        <v>0</v>
      </c>
      <c r="AE196" s="133">
        <f>'Optional Adjustment 13'!G196*$AE$1</f>
        <v>0</v>
      </c>
      <c r="AF196" s="133">
        <f>'Optional Adjustment 14'!G196*$AF$1</f>
        <v>0</v>
      </c>
      <c r="AG196" s="133">
        <f>'Optional Adjustment 15'!G196*$AG$1</f>
        <v>0</v>
      </c>
      <c r="AH196" s="133">
        <f>'Optional Adjustment 16'!G196*$AH$1</f>
        <v>0</v>
      </c>
      <c r="AI196" s="133">
        <f>'Optional Adjustment 17'!G196*$AI$1</f>
        <v>0</v>
      </c>
      <c r="AJ196" s="133">
        <f>'Optional Adjustment 18'!G196*$AJ$1</f>
        <v>0</v>
      </c>
      <c r="AK196" s="133">
        <f>'Optional Adjustment 19'!G196*$AK$1</f>
        <v>0</v>
      </c>
      <c r="AL196" s="133">
        <f>'Optional Adjustment 20'!G196*$AL$1</f>
        <v>0</v>
      </c>
      <c r="AM196" s="133">
        <f>'Optional Adjustment 21'!G196*$AM$1</f>
        <v>0</v>
      </c>
      <c r="AN196" s="133">
        <f>'Optional Adjustment 22'!G196*$AN$1</f>
        <v>0</v>
      </c>
      <c r="AO196" s="133">
        <f>'Optional Adjustment 23'!G196*$AO$1</f>
        <v>0</v>
      </c>
      <c r="AP196" s="133">
        <f>'Optional Adjustment 24'!G196*$AP$1</f>
        <v>0</v>
      </c>
      <c r="AQ196" s="133">
        <f>'Optional Adjustment 25'!G196*$AQ$1</f>
        <v>0</v>
      </c>
      <c r="AR196" s="133">
        <f>'Optional Adjustment 26'!G196*$AR$1</f>
        <v>0</v>
      </c>
      <c r="AS196" s="133">
        <f>'Optional Adjustment 27'!G196*$AS$1</f>
        <v>0</v>
      </c>
      <c r="AT196" s="133"/>
      <c r="AU196" s="133">
        <f>SUM(F196:AT196)</f>
        <v>1433989</v>
      </c>
      <c r="AW196" s="133">
        <f>SUM(AU196:AU196)</f>
        <v>1433989</v>
      </c>
      <c r="AX196" s="133">
        <f>+AW196-'ROR-Model'!G196</f>
        <v>0</v>
      </c>
    </row>
    <row r="197" spans="1:50">
      <c r="A197" s="330"/>
      <c r="B197" s="728" t="s">
        <v>114</v>
      </c>
      <c r="C197" s="728" t="s">
        <v>96</v>
      </c>
      <c r="D197" s="106"/>
      <c r="E197" s="331"/>
      <c r="F197" s="15">
        <v>0</v>
      </c>
      <c r="H197" s="15">
        <f>H1*Revenue!$K$196</f>
        <v>-20806992</v>
      </c>
      <c r="I197" s="116">
        <v>0</v>
      </c>
      <c r="J197" s="116">
        <v>0</v>
      </c>
      <c r="K197" s="102">
        <f>K1*'ENERGY EFFICIENCY SERVICES ADJ'!H12</f>
        <v>0</v>
      </c>
      <c r="L197" s="116">
        <v>0</v>
      </c>
      <c r="M197" s="116">
        <v>0</v>
      </c>
      <c r="N197" s="116">
        <v>0</v>
      </c>
      <c r="O197" s="116">
        <v>0</v>
      </c>
      <c r="P197" s="116">
        <v>0</v>
      </c>
      <c r="Q197" s="116">
        <v>0</v>
      </c>
      <c r="R197" s="116">
        <v>0</v>
      </c>
      <c r="S197" s="133"/>
      <c r="T197" s="133">
        <f>'Optional Adjustment 2'!G197*$T$1</f>
        <v>0</v>
      </c>
      <c r="U197" s="133">
        <f>'Optional Adjustment 3'!G197*$U$1</f>
        <v>0</v>
      </c>
      <c r="V197" s="133">
        <f>'Optional Adjustment 4'!G197*$V$1</f>
        <v>0</v>
      </c>
      <c r="W197" s="133">
        <f>'Optional Adjustment 5'!G197*$W$1</f>
        <v>0</v>
      </c>
      <c r="X197" s="133">
        <f>'Optional Adjustment 6'!G197*$X$1</f>
        <v>0</v>
      </c>
      <c r="Y197" s="133">
        <f>'Optional Adjustment 7'!G197*$Y$1</f>
        <v>0</v>
      </c>
      <c r="Z197" s="133">
        <f>'Optional Adjustment 8'!G197*$Z$1</f>
        <v>0</v>
      </c>
      <c r="AA197" s="133">
        <f>'Optional Adjustment 9'!G197*$AA$1</f>
        <v>0</v>
      </c>
      <c r="AB197" s="133">
        <f>'Optional Adjustment 10'!G197*$AB$1</f>
        <v>0</v>
      </c>
      <c r="AC197" s="133">
        <f>'Optional Adjustment 11'!G197*$AC$1</f>
        <v>0</v>
      </c>
      <c r="AD197" s="133">
        <f>'Optional Adjustment 12'!G197*$AD$1</f>
        <v>0</v>
      </c>
      <c r="AE197" s="133">
        <f>'Optional Adjustment 13'!G197*$AE$1</f>
        <v>0</v>
      </c>
      <c r="AF197" s="133">
        <f>'Optional Adjustment 14'!G197*$AF$1</f>
        <v>0</v>
      </c>
      <c r="AG197" s="133">
        <f>'Optional Adjustment 15'!G197*$AG$1</f>
        <v>0</v>
      </c>
      <c r="AH197" s="133">
        <f>'Optional Adjustment 16'!G197*$AH$1</f>
        <v>0</v>
      </c>
      <c r="AI197" s="133">
        <f>'Optional Adjustment 17'!G197*$AI$1</f>
        <v>0</v>
      </c>
      <c r="AJ197" s="133">
        <f>'Optional Adjustment 18'!G197*$AJ$1</f>
        <v>0</v>
      </c>
      <c r="AK197" s="133">
        <f>'Optional Adjustment 19'!G197*$AK$1</f>
        <v>0</v>
      </c>
      <c r="AL197" s="133">
        <f>'Optional Adjustment 20'!G197*$AL$1</f>
        <v>0</v>
      </c>
      <c r="AM197" s="133">
        <f>'Optional Adjustment 21'!G197*$AM$1</f>
        <v>0</v>
      </c>
      <c r="AN197" s="133">
        <f>'Optional Adjustment 22'!G197*$AN$1</f>
        <v>0</v>
      </c>
      <c r="AO197" s="133">
        <f>'Optional Adjustment 23'!G197*$AO$1</f>
        <v>0</v>
      </c>
      <c r="AP197" s="133">
        <f>'Optional Adjustment 24'!G197*$AP$1</f>
        <v>0</v>
      </c>
      <c r="AQ197" s="133">
        <f>'Optional Adjustment 25'!G197*$AQ$1</f>
        <v>0</v>
      </c>
      <c r="AR197" s="133">
        <f>'Optional Adjustment 26'!G197*$AR$1</f>
        <v>0</v>
      </c>
      <c r="AS197" s="133">
        <f>'Optional Adjustment 27'!G197*$AS$1</f>
        <v>0</v>
      </c>
      <c r="AT197" s="133"/>
      <c r="AU197" s="133">
        <f>SUM(F197:AT197)</f>
        <v>-20806992</v>
      </c>
      <c r="AV197" s="116"/>
      <c r="AW197" s="133">
        <f>SUM(AU197:AU197)</f>
        <v>-20806992</v>
      </c>
      <c r="AX197" s="133">
        <f>+AW197-'ROR-Model'!G197</f>
        <v>0</v>
      </c>
    </row>
    <row r="198" spans="1:50" ht="13.5" thickBot="1">
      <c r="A198" s="330"/>
      <c r="B198" s="332" t="s">
        <v>543</v>
      </c>
      <c r="C198" s="728"/>
      <c r="D198" s="106"/>
      <c r="E198" s="331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35"/>
      <c r="AW198" s="242"/>
      <c r="AX198" s="242">
        <f>+AW198-'ROR-Model'!G198</f>
        <v>0</v>
      </c>
    </row>
    <row r="199" spans="1:50" ht="13.5" thickTop="1">
      <c r="A199" s="330"/>
      <c r="D199" s="106"/>
      <c r="E199" s="331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16"/>
      <c r="AW199" s="133"/>
      <c r="AX199" s="133">
        <f>+AW199-'ROR-Model'!G199</f>
        <v>0</v>
      </c>
    </row>
    <row r="200" spans="1:50">
      <c r="A200" s="330"/>
      <c r="B200" s="332"/>
      <c r="C200" s="728" t="s">
        <v>16</v>
      </c>
      <c r="D200" s="106"/>
      <c r="E200" s="331"/>
      <c r="F200" s="117">
        <f t="shared" ref="F200" si="146">+F16+F34+F43+F52+F61+F70+F79+F88+F97+F106+F115+F124+F133+F142+F151+F160+F169+F178+F187+F25+F196+F197</f>
        <v>0</v>
      </c>
      <c r="G200" s="117"/>
      <c r="H200" s="117">
        <f>+H16+H34+H43+H52+H61+H70+H79+H88+H97+H106+H115+H124+H133+H142+H151+H160+H169+H178+H187+H25+H196+H197</f>
        <v>-5887666.6894338448</v>
      </c>
      <c r="I200" s="117">
        <f t="shared" ref="I200:Q200" si="147">+I16+I34+I43+I52+I61+I70+I79+I88+I97+I106+I115+I124+I133+I142+I151+I160+I169+I178+I187+I25+I196+I197</f>
        <v>0</v>
      </c>
      <c r="J200" s="117">
        <f t="shared" si="147"/>
        <v>0</v>
      </c>
      <c r="K200" s="117">
        <f>+K16+K34+K43+K52+K61+K70+K79+K88+K97+K106+K115+K124+K133+K142+K151+K160+K169+K178+K187+K25+K196+K197</f>
        <v>0</v>
      </c>
      <c r="L200" s="117">
        <f t="shared" si="147"/>
        <v>0</v>
      </c>
      <c r="M200" s="117">
        <f t="shared" si="147"/>
        <v>0</v>
      </c>
      <c r="N200" s="117">
        <f t="shared" si="147"/>
        <v>0</v>
      </c>
      <c r="O200" s="117">
        <f t="shared" si="147"/>
        <v>0</v>
      </c>
      <c r="P200" s="117">
        <f t="shared" si="147"/>
        <v>0</v>
      </c>
      <c r="Q200" s="117">
        <f t="shared" si="147"/>
        <v>0</v>
      </c>
      <c r="R200" s="117">
        <f t="shared" ref="R200" si="148">+R16+R34+R43+R52+R61+R70+R79+R88+R97+R106+R115+R124+R133+R142+R151+R160+R169+R178+R187+R25+R196+R197</f>
        <v>0</v>
      </c>
      <c r="S200" s="133"/>
      <c r="T200" s="133">
        <f>'Optional Adjustment 2'!G200*$T$1</f>
        <v>0</v>
      </c>
      <c r="U200" s="133">
        <f>'Optional Adjustment 3'!G200*$U$1</f>
        <v>0</v>
      </c>
      <c r="V200" s="133">
        <f>'Optional Adjustment 4'!G200*$V$1</f>
        <v>0</v>
      </c>
      <c r="W200" s="133">
        <f>'Optional Adjustment 5'!G200*$W$1</f>
        <v>0</v>
      </c>
      <c r="X200" s="133">
        <f>'Optional Adjustment 6'!G200*$X$1</f>
        <v>0</v>
      </c>
      <c r="Y200" s="133">
        <f>'Optional Adjustment 7'!G200*$Y$1</f>
        <v>0</v>
      </c>
      <c r="Z200" s="133">
        <f>'Optional Adjustment 8'!G200*$Z$1</f>
        <v>0</v>
      </c>
      <c r="AA200" s="133">
        <f>'Optional Adjustment 9'!G200*$AA$1</f>
        <v>0</v>
      </c>
      <c r="AB200" s="133">
        <f>'Optional Adjustment 10'!G200*$AB$1</f>
        <v>0</v>
      </c>
      <c r="AC200" s="133">
        <f>'Optional Adjustment 11'!G200*$AC$1</f>
        <v>0</v>
      </c>
      <c r="AD200" s="133">
        <f>'Optional Adjustment 12'!G200*$AD$1</f>
        <v>0</v>
      </c>
      <c r="AE200" s="133">
        <f>'Optional Adjustment 13'!G200*$AE$1</f>
        <v>0</v>
      </c>
      <c r="AF200" s="133">
        <f>'Optional Adjustment 14'!G200*$AF$1</f>
        <v>0</v>
      </c>
      <c r="AG200" s="133">
        <f>'Optional Adjustment 15'!G200*$AG$1</f>
        <v>0</v>
      </c>
      <c r="AH200" s="133">
        <f>'Optional Adjustment 16'!G200*$AH$1</f>
        <v>0</v>
      </c>
      <c r="AI200" s="133">
        <f>'Optional Adjustment 17'!G200*$AI$1</f>
        <v>0</v>
      </c>
      <c r="AJ200" s="133">
        <f>'Optional Adjustment 18'!G200*$AJ$1</f>
        <v>0</v>
      </c>
      <c r="AK200" s="133">
        <f>'Optional Adjustment 19'!G200*$AK$1</f>
        <v>0</v>
      </c>
      <c r="AL200" s="133">
        <f>'Optional Adjustment 20'!G200*$AL$1</f>
        <v>0</v>
      </c>
      <c r="AM200" s="133">
        <f>'Optional Adjustment 21'!G200*$AM$1</f>
        <v>0</v>
      </c>
      <c r="AN200" s="133">
        <f>'Optional Adjustment 22'!G200*$AN$1</f>
        <v>0</v>
      </c>
      <c r="AO200" s="133">
        <f>'Optional Adjustment 23'!G200*$AO$1</f>
        <v>0</v>
      </c>
      <c r="AP200" s="133">
        <f>'Optional Adjustment 24'!G200*$AP$1</f>
        <v>0</v>
      </c>
      <c r="AQ200" s="133">
        <f>'Optional Adjustment 25'!G200*$AQ$1</f>
        <v>0</v>
      </c>
      <c r="AR200" s="133">
        <f>'Optional Adjustment 26'!G200*$AR$1</f>
        <v>0</v>
      </c>
      <c r="AS200" s="133">
        <f>'Optional Adjustment 27'!G200*$AS$1</f>
        <v>0</v>
      </c>
      <c r="AT200" s="133"/>
      <c r="AU200" s="117">
        <f>+AU16+AU34+AU43+AU52+AU61+AU70+AU79+AU88+AU97+AU106+AU115+AU124+AU133+AU142+AU151+AU160+AU169+AU178+AU187+AU25+AU196+AU197</f>
        <v>-5887666.6894338448</v>
      </c>
      <c r="AV200" s="117"/>
      <c r="AW200" s="117">
        <f>+AW16+AW34+AW43+AW52+AW61+AW70+AW79+AW88+AW97+AW106+AW115+AW124+AW133+AW142+AW151+AW160+AW169+AW178+AW187+AW25+AW196+AW197</f>
        <v>-5887666.6894338448</v>
      </c>
      <c r="AX200" s="117">
        <f>+AW200-'ROR-Model'!G200</f>
        <v>0</v>
      </c>
    </row>
    <row r="201" spans="1:50">
      <c r="A201" s="330"/>
      <c r="B201" s="332"/>
      <c r="C201" s="728" t="s">
        <v>17</v>
      </c>
      <c r="D201" s="106"/>
      <c r="E201" s="331"/>
      <c r="F201" s="117">
        <f>F1*+F18+F36+F45+F54+F62+F63+F72+F81+F90+F99+F108+F117+F126+F135+F144+F153+F162+F171+F180+F189+F27</f>
        <v>0</v>
      </c>
      <c r="G201" s="117"/>
      <c r="H201" s="117">
        <f>H1*+H18+H36+H45+H54+H62+H63+H72+H81+H90+H99+H108+H117+H126+H135+H144+H153+H162+H171+H180+H189+H27</f>
        <v>17353534.061989293</v>
      </c>
      <c r="I201" s="117">
        <f>I1*+I18+I36+I45+I54+I62+I63+I72+I81+I90+I99+I108+I117+I126+I135+I144+I153+I162+I171+I180+I189+I27</f>
        <v>0</v>
      </c>
      <c r="J201" s="117">
        <f t="shared" ref="J201:Q201" si="149">J1*+J18+J36+J45+J54+J62+J63+J72+J81+J90+J99+J108+J117+J126+J135+J144+J153+J162+J171+J180+J189+J27</f>
        <v>0</v>
      </c>
      <c r="K201" s="117">
        <f t="shared" si="149"/>
        <v>0</v>
      </c>
      <c r="L201" s="117">
        <f t="shared" si="149"/>
        <v>0</v>
      </c>
      <c r="M201" s="117">
        <f t="shared" si="149"/>
        <v>0</v>
      </c>
      <c r="N201" s="117">
        <f t="shared" si="149"/>
        <v>0</v>
      </c>
      <c r="O201" s="117">
        <f t="shared" si="149"/>
        <v>0</v>
      </c>
      <c r="P201" s="117">
        <f t="shared" si="149"/>
        <v>0</v>
      </c>
      <c r="Q201" s="117">
        <f t="shared" si="149"/>
        <v>0</v>
      </c>
      <c r="R201" s="117">
        <f t="shared" ref="R201" si="150">R1*+R18+R36+R45+R54+R62+R63+R72+R81+R90+R99+R108+R117+R126+R135+R144+R153+R162+R171+R180+R189+R27</f>
        <v>0</v>
      </c>
      <c r="S201" s="133"/>
      <c r="T201" s="133">
        <f>'Optional Adjustment 2'!G201*$T$1</f>
        <v>0</v>
      </c>
      <c r="U201" s="133">
        <f>'Optional Adjustment 3'!G201*$U$1</f>
        <v>0</v>
      </c>
      <c r="V201" s="133">
        <f>'Optional Adjustment 4'!G201*$V$1</f>
        <v>0</v>
      </c>
      <c r="W201" s="133">
        <f>'Optional Adjustment 5'!G201*$W$1</f>
        <v>0</v>
      </c>
      <c r="X201" s="133">
        <f>'Optional Adjustment 6'!G201*$X$1</f>
        <v>0</v>
      </c>
      <c r="Y201" s="133">
        <f>'Optional Adjustment 7'!G201*$Y$1</f>
        <v>0</v>
      </c>
      <c r="Z201" s="133">
        <f>'Optional Adjustment 8'!G201*$Z$1</f>
        <v>0</v>
      </c>
      <c r="AA201" s="133">
        <f>'Optional Adjustment 9'!G201*$AA$1</f>
        <v>0</v>
      </c>
      <c r="AB201" s="133">
        <f>'Optional Adjustment 10'!G201*$AB$1</f>
        <v>0</v>
      </c>
      <c r="AC201" s="133">
        <f>'Optional Adjustment 11'!G201*$AC$1</f>
        <v>0</v>
      </c>
      <c r="AD201" s="133">
        <f>'Optional Adjustment 12'!G201*$AD$1</f>
        <v>0</v>
      </c>
      <c r="AE201" s="133">
        <f>'Optional Adjustment 13'!G201*$AE$1</f>
        <v>0</v>
      </c>
      <c r="AF201" s="133">
        <f>'Optional Adjustment 14'!G201*$AF$1</f>
        <v>0</v>
      </c>
      <c r="AG201" s="133">
        <f>'Optional Adjustment 15'!G201*$AG$1</f>
        <v>0</v>
      </c>
      <c r="AH201" s="133">
        <f>'Optional Adjustment 16'!G201*$AH$1</f>
        <v>0</v>
      </c>
      <c r="AI201" s="133">
        <f>'Optional Adjustment 17'!G201*$AI$1</f>
        <v>0</v>
      </c>
      <c r="AJ201" s="133">
        <f>'Optional Adjustment 18'!G201*$AJ$1</f>
        <v>0</v>
      </c>
      <c r="AK201" s="133">
        <f>'Optional Adjustment 19'!G201*$AK$1</f>
        <v>0</v>
      </c>
      <c r="AL201" s="133">
        <f>'Optional Adjustment 20'!G201*$AL$1</f>
        <v>0</v>
      </c>
      <c r="AM201" s="133">
        <f>'Optional Adjustment 21'!G201*$AM$1</f>
        <v>0</v>
      </c>
      <c r="AN201" s="133">
        <f>'Optional Adjustment 22'!G201*$AN$1</f>
        <v>0</v>
      </c>
      <c r="AO201" s="133">
        <f>'Optional Adjustment 23'!G201*$AO$1</f>
        <v>0</v>
      </c>
      <c r="AP201" s="133">
        <f>'Optional Adjustment 24'!G201*$AP$1</f>
        <v>0</v>
      </c>
      <c r="AQ201" s="133">
        <f>'Optional Adjustment 25'!G201*$AQ$1</f>
        <v>0</v>
      </c>
      <c r="AR201" s="133">
        <f>'Optional Adjustment 26'!G201*$AR$1</f>
        <v>0</v>
      </c>
      <c r="AS201" s="133">
        <f>'Optional Adjustment 27'!G201*$AS$1</f>
        <v>0</v>
      </c>
      <c r="AT201" s="133"/>
      <c r="AU201" s="117">
        <f>+AU18+AU36+AU45+AU54+AU62+AU63+AU72+AU81+AU90+AU99+AU108+AU117+AU126+AU135+AU144+AU153+AU162+AU171+AU180+AU189+AU27</f>
        <v>17353534.061989293</v>
      </c>
      <c r="AV201" s="117"/>
      <c r="AW201" s="117">
        <f>+AW18+AW36+AW45+AW54+AW62+AW63+AW72+AW81+AW90+AW99+AW108+AW117+AW126+AW135+AW144+AW153+AW162+AW171+AW180+AW189+AW27</f>
        <v>17353534.061989293</v>
      </c>
      <c r="AX201" s="117">
        <f>+AW201-'ROR-Model'!G201</f>
        <v>0</v>
      </c>
    </row>
    <row r="202" spans="1:50">
      <c r="A202" s="330"/>
      <c r="B202" s="332"/>
      <c r="C202" s="728" t="s">
        <v>18</v>
      </c>
      <c r="D202" s="106"/>
      <c r="E202" s="331"/>
      <c r="F202" s="117">
        <f>F1*+F20+F38+F47+F56+F64+F65+F74+F83+F92+F101+F110+F119+F128+F137+F146+F155+F164+F173+F182+F191+F29</f>
        <v>0</v>
      </c>
      <c r="G202" s="117"/>
      <c r="H202" s="117">
        <f>H1*+H20+H38+H47+H56+H64+H65+H74+H83+H92+H101+H110+H119+H128+H137+H146+H155+H164+H173+H182+H191+H29</f>
        <v>-27406441.21515765</v>
      </c>
      <c r="I202" s="117">
        <f>I1*+I20+I38+I47+I56+I64+I65+I74+I83+I92+I101+I110+I119+I128+I137+I146+I155+I164+I173+I182+I191+I29</f>
        <v>0</v>
      </c>
      <c r="J202" s="117">
        <f t="shared" ref="J202:Q202" si="151">J1*+J20+J38+J47+J56+J64+J65+J74+J83+J92+J101+J110+J119+J128+J137+J146+J155+J164+J173+J182+J191+J29</f>
        <v>0</v>
      </c>
      <c r="K202" s="117">
        <f t="shared" si="151"/>
        <v>0</v>
      </c>
      <c r="L202" s="117">
        <f t="shared" si="151"/>
        <v>0</v>
      </c>
      <c r="M202" s="117">
        <f t="shared" si="151"/>
        <v>0</v>
      </c>
      <c r="N202" s="117">
        <f t="shared" si="151"/>
        <v>0</v>
      </c>
      <c r="O202" s="117">
        <f t="shared" si="151"/>
        <v>0</v>
      </c>
      <c r="P202" s="117">
        <f t="shared" si="151"/>
        <v>0</v>
      </c>
      <c r="Q202" s="117">
        <f t="shared" si="151"/>
        <v>0</v>
      </c>
      <c r="R202" s="117">
        <f t="shared" ref="R202" si="152">R1*+R20+R38+R47+R56+R64+R65+R74+R83+R92+R101+R110+R119+R128+R137+R146+R155+R164+R173+R182+R191+R29</f>
        <v>0</v>
      </c>
      <c r="S202" s="133"/>
      <c r="T202" s="133">
        <f>'Optional Adjustment 2'!G202*$T$1</f>
        <v>0</v>
      </c>
      <c r="U202" s="133">
        <f>'Optional Adjustment 3'!G202*$U$1</f>
        <v>0</v>
      </c>
      <c r="V202" s="133">
        <f>'Optional Adjustment 4'!G202*$V$1</f>
        <v>0</v>
      </c>
      <c r="W202" s="133">
        <f>'Optional Adjustment 5'!G202*$W$1</f>
        <v>0</v>
      </c>
      <c r="X202" s="133">
        <f>'Optional Adjustment 6'!G202*$X$1</f>
        <v>0</v>
      </c>
      <c r="Y202" s="133">
        <f>'Optional Adjustment 7'!G202*$Y$1</f>
        <v>0</v>
      </c>
      <c r="Z202" s="133">
        <f>'Optional Adjustment 8'!G202*$Z$1</f>
        <v>0</v>
      </c>
      <c r="AA202" s="133">
        <f>'Optional Adjustment 9'!G202*$AA$1</f>
        <v>0</v>
      </c>
      <c r="AB202" s="133">
        <f>'Optional Adjustment 10'!G202*$AB$1</f>
        <v>0</v>
      </c>
      <c r="AC202" s="133">
        <f>'Optional Adjustment 11'!G202*$AC$1</f>
        <v>0</v>
      </c>
      <c r="AD202" s="133">
        <f>'Optional Adjustment 12'!G202*$AD$1</f>
        <v>0</v>
      </c>
      <c r="AE202" s="133">
        <f>'Optional Adjustment 13'!G202*$AE$1</f>
        <v>0</v>
      </c>
      <c r="AF202" s="133">
        <f>'Optional Adjustment 14'!G202*$AF$1</f>
        <v>0</v>
      </c>
      <c r="AG202" s="133">
        <f>'Optional Adjustment 15'!G202*$AG$1</f>
        <v>0</v>
      </c>
      <c r="AH202" s="133">
        <f>'Optional Adjustment 16'!G202*$AH$1</f>
        <v>0</v>
      </c>
      <c r="AI202" s="133">
        <f>'Optional Adjustment 17'!G202*$AI$1</f>
        <v>0</v>
      </c>
      <c r="AJ202" s="133">
        <f>'Optional Adjustment 18'!G202*$AJ$1</f>
        <v>0</v>
      </c>
      <c r="AK202" s="133">
        <f>'Optional Adjustment 19'!G202*$AK$1</f>
        <v>0</v>
      </c>
      <c r="AL202" s="133">
        <f>'Optional Adjustment 20'!G202*$AL$1</f>
        <v>0</v>
      </c>
      <c r="AM202" s="133">
        <f>'Optional Adjustment 21'!G202*$AM$1</f>
        <v>0</v>
      </c>
      <c r="AN202" s="133">
        <f>'Optional Adjustment 22'!G202*$AN$1</f>
        <v>0</v>
      </c>
      <c r="AO202" s="133">
        <f>'Optional Adjustment 23'!G202*$AO$1</f>
        <v>0</v>
      </c>
      <c r="AP202" s="133">
        <f>'Optional Adjustment 24'!G202*$AP$1</f>
        <v>0</v>
      </c>
      <c r="AQ202" s="133">
        <f>'Optional Adjustment 25'!G202*$AQ$1</f>
        <v>0</v>
      </c>
      <c r="AR202" s="133">
        <f>'Optional Adjustment 26'!G202*$AR$1</f>
        <v>0</v>
      </c>
      <c r="AS202" s="133">
        <f>'Optional Adjustment 27'!G202*$AS$1</f>
        <v>0</v>
      </c>
      <c r="AT202" s="133"/>
      <c r="AU202" s="117">
        <f>+AU20+AU38+AU47+AU56+AU64+AU65+AU74+AU83+AU92+AU101+AU110+AU119+AU128+AU137+AU146+AU155+AU164+AU173+AU182+AU191+AU29</f>
        <v>-27406441.21515765</v>
      </c>
      <c r="AV202" s="117"/>
      <c r="AW202" s="117">
        <f>+AW20+AW38+AW47+AW56+AW64+AW65+AW74+AW83+AW92+AW101+AW110+AW119+AW128+AW137+AW146+AW155+AW164+AW173+AW182+AW191+AW29</f>
        <v>-27406441.21515765</v>
      </c>
      <c r="AX202" s="117">
        <f>+AW202-'ROR-Model'!G202</f>
        <v>0</v>
      </c>
    </row>
    <row r="203" spans="1:50">
      <c r="A203" s="330"/>
      <c r="B203" s="332"/>
      <c r="C203" s="728" t="s">
        <v>457</v>
      </c>
      <c r="D203" s="106"/>
      <c r="E203" s="331"/>
      <c r="F203" s="132">
        <f>+F21+F39+F48+F57+F66+F75+F84+F93+F102+F111+F120+F129+F138+F147+F156+F165+F174+F183+F192+F30+F196+F197</f>
        <v>0</v>
      </c>
      <c r="G203" s="132"/>
      <c r="H203" s="132">
        <f>+H21+H39+H48+H57+H66+H75+H84+H93+H102+H111+H120+H129+H138+H147+H156+H165+H174+H183+H192+H30+H196+H197</f>
        <v>-15940573.842602199</v>
      </c>
      <c r="I203" s="132">
        <f t="shared" ref="I203:N203" si="153">+I21+I39+I48+I57+I66+I75+I84+I93+I102+I111+I120+I129+I138+I147+I156+I165+I174+I183+I192+I30+I196+I197</f>
        <v>0</v>
      </c>
      <c r="J203" s="132">
        <f t="shared" si="153"/>
        <v>0</v>
      </c>
      <c r="K203" s="132">
        <f>+K21+K39+K48+K57+K66+K75+K84+K93+K102+K111+K120+K129+K138+K147+K156+K165+K174+K183+K192+K30+K196+K197</f>
        <v>0</v>
      </c>
      <c r="L203" s="132">
        <f t="shared" si="153"/>
        <v>0</v>
      </c>
      <c r="M203" s="132">
        <f t="shared" si="153"/>
        <v>0</v>
      </c>
      <c r="N203" s="132">
        <f t="shared" si="153"/>
        <v>0</v>
      </c>
      <c r="O203" s="132">
        <f>+O21+O39+O48+O57+O66+O75+O84+O93+O102+O111+O120+O129+O138+O147+O156+O165+O174+O183+O192+O30+O196+O197</f>
        <v>0</v>
      </c>
      <c r="P203" s="132">
        <f t="shared" ref="P203:AW203" si="154">+P21+P39+P48+P57+P66+P75+P84+P93+P102+P111+P120+P129+P138+P147+P156+P165+P174+P183+P192+P30+P196+P197</f>
        <v>0</v>
      </c>
      <c r="Q203" s="132">
        <f t="shared" si="154"/>
        <v>0</v>
      </c>
      <c r="R203" s="132">
        <f t="shared" ref="R203" si="155">+R21+R39+R48+R57+R66+R75+R84+R93+R102+R111+R120+R129+R138+R147+R156+R165+R174+R183+R192+R30+R196+R197</f>
        <v>0</v>
      </c>
      <c r="S203" s="557"/>
      <c r="T203" s="557">
        <f t="shared" ref="T203:AG203" si="156">+T21+T39+T48+T57+T66+T75+T84+T93+T102+T111+T120+T129+T138+T147+T156+T165+T174+T183+T192+T30+T196+T197</f>
        <v>0</v>
      </c>
      <c r="U203" s="557">
        <f t="shared" si="156"/>
        <v>0</v>
      </c>
      <c r="V203" s="557">
        <f t="shared" si="156"/>
        <v>0</v>
      </c>
      <c r="W203" s="557">
        <f t="shared" si="156"/>
        <v>0</v>
      </c>
      <c r="X203" s="557">
        <f t="shared" si="156"/>
        <v>0</v>
      </c>
      <c r="Y203" s="557">
        <f t="shared" si="156"/>
        <v>0</v>
      </c>
      <c r="Z203" s="557">
        <f t="shared" si="156"/>
        <v>0</v>
      </c>
      <c r="AA203" s="557">
        <f t="shared" si="156"/>
        <v>0</v>
      </c>
      <c r="AB203" s="557">
        <f t="shared" si="156"/>
        <v>0</v>
      </c>
      <c r="AC203" s="557">
        <f t="shared" si="156"/>
        <v>0</v>
      </c>
      <c r="AD203" s="557">
        <f t="shared" si="156"/>
        <v>0</v>
      </c>
      <c r="AE203" s="557">
        <f t="shared" si="156"/>
        <v>0</v>
      </c>
      <c r="AF203" s="557">
        <f t="shared" si="156"/>
        <v>0</v>
      </c>
      <c r="AG203" s="557">
        <f t="shared" si="156"/>
        <v>0</v>
      </c>
      <c r="AH203" s="557">
        <f t="shared" ref="AH203:AK203" si="157">+AH21+AH39+AH48+AH57+AH66+AH75+AH84+AH93+AH102+AH111+AH120+AH129+AH138+AH147+AH156+AH165+AH174+AH183+AH192+AH30+AH196+AH197</f>
        <v>0</v>
      </c>
      <c r="AI203" s="557">
        <f t="shared" si="157"/>
        <v>0</v>
      </c>
      <c r="AJ203" s="557">
        <f t="shared" si="157"/>
        <v>0</v>
      </c>
      <c r="AK203" s="557">
        <f t="shared" si="157"/>
        <v>0</v>
      </c>
      <c r="AL203" s="557">
        <f t="shared" ref="AL203:AP203" si="158">+AL21+AL39+AL48+AL57+AL66+AL75+AL84+AL93+AL102+AL111+AL120+AL129+AL138+AL147+AL156+AL165+AL174+AL183+AL192+AL30+AL196+AL197</f>
        <v>0</v>
      </c>
      <c r="AM203" s="557">
        <f t="shared" si="158"/>
        <v>0</v>
      </c>
      <c r="AN203" s="557">
        <f t="shared" si="158"/>
        <v>0</v>
      </c>
      <c r="AO203" s="557">
        <f t="shared" si="158"/>
        <v>0</v>
      </c>
      <c r="AP203" s="557">
        <f t="shared" si="158"/>
        <v>0</v>
      </c>
      <c r="AQ203" s="557">
        <f t="shared" ref="AQ203:AS203" si="159">+AQ21+AQ39+AQ48+AQ57+AQ66+AQ75+AQ84+AQ93+AQ102+AQ111+AQ120+AQ129+AQ138+AQ147+AQ156+AQ165+AQ174+AQ183+AQ192+AQ30+AQ196+AQ197</f>
        <v>0</v>
      </c>
      <c r="AR203" s="557">
        <f t="shared" si="159"/>
        <v>0</v>
      </c>
      <c r="AS203" s="557">
        <f t="shared" si="159"/>
        <v>0</v>
      </c>
      <c r="AT203" s="557"/>
      <c r="AU203" s="557">
        <f t="shared" si="154"/>
        <v>-15940573.842602199</v>
      </c>
      <c r="AV203" s="741"/>
      <c r="AW203" s="557">
        <f t="shared" si="154"/>
        <v>-15940573.842602199</v>
      </c>
      <c r="AX203" s="741"/>
    </row>
    <row r="204" spans="1:50">
      <c r="A204" s="330"/>
      <c r="B204" s="332"/>
      <c r="C204" s="728"/>
      <c r="D204" s="106"/>
      <c r="E204" s="331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>
        <f>+AW204-'ROR-Model'!G204</f>
        <v>0</v>
      </c>
    </row>
    <row r="205" spans="1:50">
      <c r="A205" s="330"/>
      <c r="B205" s="728"/>
      <c r="C205" s="728" t="s">
        <v>59</v>
      </c>
      <c r="D205" s="106"/>
      <c r="E205" s="331"/>
      <c r="F205" s="117">
        <f>F1*F23+F41+F50+F59+F68+F77+F86+F95+F104+F113+F194+F32</f>
        <v>0</v>
      </c>
      <c r="G205" s="117"/>
      <c r="H205" s="117">
        <f>H1*H23+H41+H50+H59+H68+H77+H86+H95+H104+H113+H194+H32</f>
        <v>9051354.3900000006</v>
      </c>
      <c r="I205" s="117">
        <f>I1*I23+I41+I50+I59+I68+I77+I86+I95+I104+I113+I194+I32</f>
        <v>0</v>
      </c>
      <c r="J205" s="117">
        <f t="shared" ref="J205:Q205" si="160">J1*J23+J41+J50+J59+J68+J77+J86+J95+J104+J113+J194+J32</f>
        <v>0</v>
      </c>
      <c r="K205" s="117">
        <f t="shared" si="160"/>
        <v>0</v>
      </c>
      <c r="L205" s="117">
        <f t="shared" si="160"/>
        <v>0</v>
      </c>
      <c r="M205" s="117">
        <f t="shared" si="160"/>
        <v>0</v>
      </c>
      <c r="N205" s="117">
        <f t="shared" si="160"/>
        <v>0</v>
      </c>
      <c r="O205" s="117">
        <f t="shared" si="160"/>
        <v>0</v>
      </c>
      <c r="P205" s="117">
        <f t="shared" si="160"/>
        <v>0</v>
      </c>
      <c r="Q205" s="117">
        <f t="shared" si="160"/>
        <v>0</v>
      </c>
      <c r="R205" s="117">
        <f t="shared" ref="R205" si="161">R1*R23+R41+R50+R59+R68+R77+R86+R95+R104+R113+R194+R32</f>
        <v>0</v>
      </c>
      <c r="S205" s="117"/>
      <c r="T205" s="117">
        <f t="shared" ref="T205:W205" si="162">T1*T23+T41+T50+T59+T68+T77+T86+T95+T104+T113+T194+T32</f>
        <v>0</v>
      </c>
      <c r="U205" s="117">
        <f t="shared" si="162"/>
        <v>0</v>
      </c>
      <c r="V205" s="117">
        <f t="shared" si="162"/>
        <v>0</v>
      </c>
      <c r="W205" s="117">
        <f t="shared" si="162"/>
        <v>0</v>
      </c>
      <c r="X205" s="117">
        <f t="shared" ref="X205:AG205" si="163">X1*X23+X41+X50+X59+X68+X77+X86+X95+X104+X113+X194+X32</f>
        <v>0</v>
      </c>
      <c r="Y205" s="117">
        <f t="shared" si="163"/>
        <v>0</v>
      </c>
      <c r="Z205" s="117">
        <f t="shared" si="163"/>
        <v>0</v>
      </c>
      <c r="AA205" s="117">
        <f t="shared" si="163"/>
        <v>0</v>
      </c>
      <c r="AB205" s="117">
        <f t="shared" si="163"/>
        <v>0</v>
      </c>
      <c r="AC205" s="117">
        <f t="shared" si="163"/>
        <v>0</v>
      </c>
      <c r="AD205" s="117">
        <f t="shared" si="163"/>
        <v>0</v>
      </c>
      <c r="AE205" s="117">
        <f t="shared" si="163"/>
        <v>0</v>
      </c>
      <c r="AF205" s="117">
        <f t="shared" si="163"/>
        <v>0</v>
      </c>
      <c r="AG205" s="117">
        <f t="shared" si="163"/>
        <v>0</v>
      </c>
      <c r="AH205" s="117">
        <f t="shared" ref="AH205:AK205" si="164">AH1*AH23+AH41+AH50+AH59+AH68+AH77+AH86+AH95+AH104+AH113+AH194+AH32</f>
        <v>0</v>
      </c>
      <c r="AI205" s="117">
        <f t="shared" si="164"/>
        <v>0</v>
      </c>
      <c r="AJ205" s="117">
        <f t="shared" si="164"/>
        <v>0</v>
      </c>
      <c r="AK205" s="117">
        <f t="shared" si="164"/>
        <v>0</v>
      </c>
      <c r="AL205" s="117">
        <f t="shared" ref="AL205:AP205" si="165">AL1*AL23+AL41+AL50+AL59+AL68+AL77+AL86+AL95+AL104+AL113+AL194+AL32</f>
        <v>0</v>
      </c>
      <c r="AM205" s="117">
        <f t="shared" si="165"/>
        <v>0</v>
      </c>
      <c r="AN205" s="117">
        <f t="shared" si="165"/>
        <v>0</v>
      </c>
      <c r="AO205" s="117">
        <f t="shared" si="165"/>
        <v>0</v>
      </c>
      <c r="AP205" s="117">
        <f t="shared" si="165"/>
        <v>0</v>
      </c>
      <c r="AQ205" s="117">
        <f t="shared" ref="AQ205:AS205" si="166">AQ1*AQ23+AQ41+AQ50+AQ59+AQ68+AQ77+AQ86+AQ95+AQ104+AQ113+AQ194+AQ32</f>
        <v>0</v>
      </c>
      <c r="AR205" s="117">
        <f t="shared" si="166"/>
        <v>0</v>
      </c>
      <c r="AS205" s="117">
        <f t="shared" si="166"/>
        <v>0</v>
      </c>
      <c r="AT205" s="117"/>
      <c r="AU205" s="117">
        <f>AU23+AU32+AU41+AU50+AU59+AU68+AU77+AU86+AU95+AU104+AU113+AU194</f>
        <v>9051354.3900000006</v>
      </c>
      <c r="AV205" s="117"/>
      <c r="AW205" s="117">
        <f>AW23+AW32+AW41+AW50+AW59+AW68+AW77+AW86+AW95+AW104+AW113+AW194</f>
        <v>9051354.3900000006</v>
      </c>
      <c r="AX205" s="117">
        <f>+AW205-'ROR-Model'!G205</f>
        <v>0</v>
      </c>
    </row>
    <row r="206" spans="1:50">
      <c r="A206" s="330"/>
      <c r="B206" s="728"/>
      <c r="C206" s="728" t="s">
        <v>60</v>
      </c>
      <c r="D206" s="106"/>
      <c r="E206" s="331"/>
      <c r="F206" s="117">
        <f>F1*F131+F140+F149+F158+F167+F176+F185+F122</f>
        <v>0</v>
      </c>
      <c r="G206" s="117"/>
      <c r="H206" s="117">
        <f>H1*H131+H140+H149+H158+H167+H176+H185+H122</f>
        <v>11747065</v>
      </c>
      <c r="I206" s="117">
        <f>I1*I131+I140+I149+I158+I167+I176+I185+I122</f>
        <v>0</v>
      </c>
      <c r="J206" s="117">
        <f t="shared" ref="J206:Q206" si="167">J1*J131+J140+J149+J158+J167+J176+J185+J122</f>
        <v>0</v>
      </c>
      <c r="K206" s="117">
        <f t="shared" si="167"/>
        <v>0</v>
      </c>
      <c r="L206" s="117">
        <f t="shared" si="167"/>
        <v>0</v>
      </c>
      <c r="M206" s="117">
        <f t="shared" si="167"/>
        <v>0</v>
      </c>
      <c r="N206" s="117">
        <f t="shared" si="167"/>
        <v>0</v>
      </c>
      <c r="O206" s="117">
        <f t="shared" si="167"/>
        <v>0</v>
      </c>
      <c r="P206" s="117">
        <f t="shared" si="167"/>
        <v>0</v>
      </c>
      <c r="Q206" s="117">
        <f t="shared" si="167"/>
        <v>0</v>
      </c>
      <c r="R206" s="117">
        <f t="shared" ref="R206" si="168">R1*R131+R140+R149+R158+R167+R176+R185+R122</f>
        <v>0</v>
      </c>
      <c r="S206" s="117"/>
      <c r="T206" s="117">
        <f t="shared" ref="T206:W206" si="169">T1*T131+T140+T149+T158+T167+T176+T185+T122</f>
        <v>0</v>
      </c>
      <c r="U206" s="117">
        <f t="shared" si="169"/>
        <v>0</v>
      </c>
      <c r="V206" s="117">
        <f t="shared" si="169"/>
        <v>0</v>
      </c>
      <c r="W206" s="117">
        <f t="shared" si="169"/>
        <v>0</v>
      </c>
      <c r="X206" s="117">
        <f t="shared" ref="X206:AG206" si="170">X1*X131+X140+X149+X158+X167+X176+X185+X122</f>
        <v>0</v>
      </c>
      <c r="Y206" s="117">
        <f t="shared" si="170"/>
        <v>0</v>
      </c>
      <c r="Z206" s="117">
        <f t="shared" si="170"/>
        <v>0</v>
      </c>
      <c r="AA206" s="117">
        <f t="shared" si="170"/>
        <v>0</v>
      </c>
      <c r="AB206" s="117">
        <f t="shared" si="170"/>
        <v>0</v>
      </c>
      <c r="AC206" s="117">
        <f t="shared" si="170"/>
        <v>0</v>
      </c>
      <c r="AD206" s="117">
        <f t="shared" si="170"/>
        <v>0</v>
      </c>
      <c r="AE206" s="117">
        <f t="shared" si="170"/>
        <v>0</v>
      </c>
      <c r="AF206" s="117">
        <f t="shared" si="170"/>
        <v>0</v>
      </c>
      <c r="AG206" s="117">
        <f t="shared" si="170"/>
        <v>0</v>
      </c>
      <c r="AH206" s="117">
        <f t="shared" ref="AH206:AK206" si="171">AH1*AH131+AH140+AH149+AH158+AH167+AH176+AH185+AH122</f>
        <v>0</v>
      </c>
      <c r="AI206" s="117">
        <f t="shared" si="171"/>
        <v>0</v>
      </c>
      <c r="AJ206" s="117">
        <f t="shared" si="171"/>
        <v>0</v>
      </c>
      <c r="AK206" s="117">
        <f t="shared" si="171"/>
        <v>0</v>
      </c>
      <c r="AL206" s="117">
        <f t="shared" ref="AL206:AP206" si="172">AL1*AL131+AL140+AL149+AL158+AL167+AL176+AL185+AL122</f>
        <v>0</v>
      </c>
      <c r="AM206" s="117">
        <f t="shared" si="172"/>
        <v>0</v>
      </c>
      <c r="AN206" s="117">
        <f t="shared" si="172"/>
        <v>0</v>
      </c>
      <c r="AO206" s="117">
        <f t="shared" si="172"/>
        <v>0</v>
      </c>
      <c r="AP206" s="117">
        <f t="shared" si="172"/>
        <v>0</v>
      </c>
      <c r="AQ206" s="117">
        <f t="shared" ref="AQ206:AS206" si="173">AQ1*AQ131+AQ140+AQ149+AQ158+AQ167+AQ176+AQ185+AQ122</f>
        <v>0</v>
      </c>
      <c r="AR206" s="117">
        <f t="shared" si="173"/>
        <v>0</v>
      </c>
      <c r="AS206" s="117">
        <f t="shared" si="173"/>
        <v>0</v>
      </c>
      <c r="AT206" s="117"/>
      <c r="AU206" s="117">
        <f>AU131+AU140+AU149+AU158+AU167+AU176+AU185+AU122</f>
        <v>11747065</v>
      </c>
      <c r="AV206" s="117"/>
      <c r="AW206" s="117">
        <f>AW131+AW140+AW149+AW158+AW167+AW176+AW185+AW122</f>
        <v>11747065</v>
      </c>
      <c r="AX206" s="117">
        <f>+AW206-'ROR-Model'!G206</f>
        <v>0</v>
      </c>
    </row>
    <row r="207" spans="1:50">
      <c r="A207" s="330"/>
      <c r="B207" s="332"/>
      <c r="C207" s="728" t="s">
        <v>458</v>
      </c>
      <c r="D207" s="106"/>
      <c r="E207" s="331"/>
      <c r="F207" s="132">
        <f>F1*+F23+F41+F50+F59+F68+F77+F86+F95+F104+F113+F122+F131+F140+F149+F158+F167+F176+F185+F194+F32</f>
        <v>0</v>
      </c>
      <c r="G207" s="132"/>
      <c r="H207" s="132">
        <f>H1*+H23+H41+H50+H59+H68+H77+H86+H95+H104+H113+H122+H131+H140+H149+H158+H167+H176+H185+H194+H32</f>
        <v>20798419.390000001</v>
      </c>
      <c r="I207" s="132">
        <f>I1*+I23+I41+I50+I59+I68+I77+I86+I95+I104+I113+I122+I131+I140+I149+I158+I167+I176+I185+I194+I32</f>
        <v>0</v>
      </c>
      <c r="J207" s="132">
        <f t="shared" ref="J207:Q207" si="174">J1*+J23+J41+J50+J59+J68+J77+J86+J95+J104+J113+J122+J131+J140+J149+J158+J167+J176+J185+J194+J32</f>
        <v>0</v>
      </c>
      <c r="K207" s="132">
        <f t="shared" si="174"/>
        <v>0</v>
      </c>
      <c r="L207" s="132">
        <f t="shared" si="174"/>
        <v>0</v>
      </c>
      <c r="M207" s="132">
        <f t="shared" si="174"/>
        <v>0</v>
      </c>
      <c r="N207" s="132">
        <f t="shared" si="174"/>
        <v>0</v>
      </c>
      <c r="O207" s="132">
        <f t="shared" si="174"/>
        <v>0</v>
      </c>
      <c r="P207" s="132">
        <f t="shared" si="174"/>
        <v>0</v>
      </c>
      <c r="Q207" s="132">
        <f t="shared" si="174"/>
        <v>0</v>
      </c>
      <c r="R207" s="132">
        <f t="shared" ref="R207" si="175">R1*+R23+R41+R50+R59+R68+R77+R86+R95+R104+R113+R122+R131+R140+R149+R158+R167+R176+R185+R194+R32</f>
        <v>0</v>
      </c>
      <c r="S207" s="557"/>
      <c r="T207" s="557">
        <f t="shared" ref="T207:W207" si="176">T1*+T23+T41+T50+T59+T68+T77+T86+T95+T104+T113+T122+T131+T140+T149+T158+T167+T176+T185+T194+T32</f>
        <v>0</v>
      </c>
      <c r="U207" s="557">
        <f t="shared" si="176"/>
        <v>0</v>
      </c>
      <c r="V207" s="557">
        <f t="shared" si="176"/>
        <v>0</v>
      </c>
      <c r="W207" s="557">
        <f t="shared" si="176"/>
        <v>0</v>
      </c>
      <c r="X207" s="557">
        <f t="shared" ref="X207:AG207" si="177">X1*+X23+X41+X50+X59+X68+X77+X86+X95+X104+X113+X122+X131+X140+X149+X158+X167+X176+X185+X194+X32</f>
        <v>0</v>
      </c>
      <c r="Y207" s="557">
        <f t="shared" si="177"/>
        <v>0</v>
      </c>
      <c r="Z207" s="557">
        <f t="shared" si="177"/>
        <v>0</v>
      </c>
      <c r="AA207" s="557">
        <f t="shared" si="177"/>
        <v>0</v>
      </c>
      <c r="AB207" s="557">
        <f t="shared" si="177"/>
        <v>0</v>
      </c>
      <c r="AC207" s="557">
        <f t="shared" si="177"/>
        <v>0</v>
      </c>
      <c r="AD207" s="557">
        <f t="shared" si="177"/>
        <v>0</v>
      </c>
      <c r="AE207" s="557">
        <f t="shared" si="177"/>
        <v>0</v>
      </c>
      <c r="AF207" s="557">
        <f t="shared" si="177"/>
        <v>0</v>
      </c>
      <c r="AG207" s="557">
        <f t="shared" si="177"/>
        <v>0</v>
      </c>
      <c r="AH207" s="557">
        <f t="shared" ref="AH207:AK207" si="178">AH1*+AH23+AH41+AH50+AH59+AH68+AH77+AH86+AH95+AH104+AH113+AH122+AH131+AH140+AH149+AH158+AH167+AH176+AH185+AH194+AH32</f>
        <v>0</v>
      </c>
      <c r="AI207" s="557">
        <f t="shared" si="178"/>
        <v>0</v>
      </c>
      <c r="AJ207" s="557">
        <f t="shared" si="178"/>
        <v>0</v>
      </c>
      <c r="AK207" s="557">
        <f t="shared" si="178"/>
        <v>0</v>
      </c>
      <c r="AL207" s="557">
        <f t="shared" ref="AL207:AP207" si="179">AL1*+AL23+AL41+AL50+AL59+AL68+AL77+AL86+AL95+AL104+AL113+AL122+AL131+AL140+AL149+AL158+AL167+AL176+AL185+AL194+AL32</f>
        <v>0</v>
      </c>
      <c r="AM207" s="557">
        <f t="shared" si="179"/>
        <v>0</v>
      </c>
      <c r="AN207" s="557">
        <f t="shared" si="179"/>
        <v>0</v>
      </c>
      <c r="AO207" s="557">
        <f t="shared" si="179"/>
        <v>0</v>
      </c>
      <c r="AP207" s="557">
        <f t="shared" si="179"/>
        <v>0</v>
      </c>
      <c r="AQ207" s="557">
        <f t="shared" ref="AQ207:AS207" si="180">AQ1*+AQ23+AQ41+AQ50+AQ59+AQ68+AQ77+AQ86+AQ95+AQ104+AQ113+AQ122+AQ131+AQ140+AQ149+AQ158+AQ167+AQ176+AQ185+AQ194+AQ32</f>
        <v>0</v>
      </c>
      <c r="AR207" s="557">
        <f t="shared" si="180"/>
        <v>0</v>
      </c>
      <c r="AS207" s="557">
        <f t="shared" si="180"/>
        <v>0</v>
      </c>
      <c r="AT207" s="557"/>
      <c r="AU207" s="132">
        <f>+AU23+AU41+AU50+AU59+AU68+AU77+AU86+AU95+AU104+AU113+AU122+AU131+AU140+AU149+AU158+AU167+AU176+AU185+AU194+AU32</f>
        <v>20798419.390000001</v>
      </c>
      <c r="AV207" s="132"/>
      <c r="AW207" s="132">
        <f>+AW23+AW41+AW50+AW59+AW68+AW77+AW86+AW95+AW104+AW113+AW122+AW131+AW140+AW149+AW158+AW167+AW176+AW185+AW194+AW32</f>
        <v>20798419.390000001</v>
      </c>
      <c r="AX207" s="132">
        <f>+AW207-'ROR-Model'!G207</f>
        <v>0</v>
      </c>
    </row>
    <row r="208" spans="1:50">
      <c r="A208" s="330"/>
      <c r="B208" s="728"/>
      <c r="C208" s="728"/>
      <c r="D208" s="106"/>
      <c r="E208" s="331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16"/>
      <c r="AW208" s="133"/>
      <c r="AX208" s="133">
        <f>+AW208-'ROR-Model'!G208</f>
        <v>0</v>
      </c>
    </row>
    <row r="209" spans="1:50">
      <c r="A209" s="59" t="s">
        <v>459</v>
      </c>
      <c r="B209" s="332"/>
      <c r="C209" s="332"/>
      <c r="D209" s="106"/>
      <c r="E209" s="331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16"/>
      <c r="AW209" s="133"/>
      <c r="AX209" s="133">
        <f>+AW209-'ROR-Model'!G209</f>
        <v>0</v>
      </c>
    </row>
    <row r="210" spans="1:50">
      <c r="A210" s="330"/>
      <c r="B210" s="728" t="s">
        <v>15</v>
      </c>
      <c r="C210" s="728" t="s">
        <v>16</v>
      </c>
      <c r="D210" s="106"/>
      <c r="E210" s="331"/>
      <c r="F210" s="116"/>
      <c r="G210" s="116"/>
      <c r="H210" s="116">
        <f>H1*Revenue!$K$209</f>
        <v>0</v>
      </c>
      <c r="I210" s="116"/>
      <c r="J210" s="116"/>
      <c r="K210" s="116"/>
      <c r="L210" s="116"/>
      <c r="M210" s="116"/>
      <c r="N210" s="116"/>
      <c r="O210" s="116"/>
      <c r="P210" s="116"/>
      <c r="Q210" s="133"/>
      <c r="R210" s="133"/>
      <c r="S210" s="133"/>
      <c r="T210" s="133">
        <f>'Optional Adjustment 2'!G210*$T$1</f>
        <v>0</v>
      </c>
      <c r="U210" s="133">
        <f>'Optional Adjustment 3'!G210*$U$1</f>
        <v>0</v>
      </c>
      <c r="V210" s="133">
        <f>'Optional Adjustment 4'!G210*$V$1</f>
        <v>0</v>
      </c>
      <c r="W210" s="133">
        <f>'Optional Adjustment 5'!G210*$W$1</f>
        <v>0</v>
      </c>
      <c r="X210" s="133">
        <f>'Optional Adjustment 6'!G210*$X$1</f>
        <v>0</v>
      </c>
      <c r="Y210" s="133">
        <f>'Optional Adjustment 7'!G210*$Y$1</f>
        <v>0</v>
      </c>
      <c r="Z210" s="133">
        <f>'Optional Adjustment 8'!G210*$Z$1</f>
        <v>0</v>
      </c>
      <c r="AA210" s="133">
        <f>'Optional Adjustment 9'!G210*$AA$1</f>
        <v>0</v>
      </c>
      <c r="AB210" s="133">
        <f>'Optional Adjustment 10'!G210*$AB$1</f>
        <v>0</v>
      </c>
      <c r="AC210" s="133">
        <f>'Optional Adjustment 11'!G210*$AC$1</f>
        <v>0</v>
      </c>
      <c r="AD210" s="133">
        <f>'Optional Adjustment 12'!G210*$AD$1</f>
        <v>0</v>
      </c>
      <c r="AE210" s="133">
        <f>'Optional Adjustment 13'!G210*$AE$1</f>
        <v>0</v>
      </c>
      <c r="AF210" s="133">
        <f>'Optional Adjustment 14'!G210*$AF$1</f>
        <v>0</v>
      </c>
      <c r="AG210" s="133">
        <f>'Optional Adjustment 15'!G210*$AG$1</f>
        <v>0</v>
      </c>
      <c r="AH210" s="133">
        <f>'Optional Adjustment 16'!G210*$AH$1</f>
        <v>0</v>
      </c>
      <c r="AI210" s="133">
        <f>'Optional Adjustment 17'!G210*$AI$1</f>
        <v>0</v>
      </c>
      <c r="AJ210" s="133">
        <f>'Optional Adjustment 18'!G210*$AJ$1</f>
        <v>0</v>
      </c>
      <c r="AK210" s="133">
        <f>'Optional Adjustment 19'!G210*$AK$1</f>
        <v>0</v>
      </c>
      <c r="AL210" s="133">
        <f>'Optional Adjustment 20'!G210*$AL$1</f>
        <v>0</v>
      </c>
      <c r="AM210" s="133">
        <f>'Optional Adjustment 21'!G210*$AM$1</f>
        <v>0</v>
      </c>
      <c r="AN210" s="133">
        <f>'Optional Adjustment 22'!G210*$AN$1</f>
        <v>0</v>
      </c>
      <c r="AO210" s="133">
        <f>'Optional Adjustment 23'!G210*$AO$1</f>
        <v>0</v>
      </c>
      <c r="AP210" s="133">
        <f>'Optional Adjustment 24'!G210*$AP$1</f>
        <v>0</v>
      </c>
      <c r="AQ210" s="133">
        <f>'Optional Adjustment 25'!G210*$AQ$1</f>
        <v>0</v>
      </c>
      <c r="AR210" s="133">
        <f>'Optional Adjustment 26'!G210*$AR$1</f>
        <v>0</v>
      </c>
      <c r="AS210" s="133">
        <f>'Optional Adjustment 27'!G210*$AS$1</f>
        <v>0</v>
      </c>
      <c r="AT210" s="133"/>
      <c r="AU210" s="133">
        <f>SUM(F210:AT210)</f>
        <v>0</v>
      </c>
      <c r="AV210" s="116"/>
      <c r="AW210" s="133">
        <f>SUM(AU210:AU210)</f>
        <v>0</v>
      </c>
      <c r="AX210" s="133">
        <f>+AW210-'ROR-Model'!G210</f>
        <v>0</v>
      </c>
    </row>
    <row r="211" spans="1:50">
      <c r="A211" s="330"/>
      <c r="B211" s="728"/>
      <c r="C211" s="728"/>
      <c r="D211" s="106"/>
      <c r="E211" s="331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16"/>
      <c r="AW211" s="133"/>
      <c r="AX211" s="133">
        <f>+AW211-'ROR-Model'!G211</f>
        <v>0</v>
      </c>
    </row>
    <row r="212" spans="1:50">
      <c r="A212" s="330"/>
      <c r="B212" s="728"/>
      <c r="C212" s="728" t="s">
        <v>17</v>
      </c>
      <c r="D212" s="106"/>
      <c r="E212" s="331"/>
      <c r="F212" s="116"/>
      <c r="G212" s="116"/>
      <c r="H212" s="116">
        <f>H1*Revenue!$K$211</f>
        <v>0</v>
      </c>
      <c r="I212" s="116"/>
      <c r="J212" s="116"/>
      <c r="K212" s="116"/>
      <c r="L212" s="116"/>
      <c r="M212" s="116"/>
      <c r="N212" s="116"/>
      <c r="O212" s="116"/>
      <c r="P212" s="116"/>
      <c r="Q212" s="133"/>
      <c r="R212" s="133"/>
      <c r="S212" s="133"/>
      <c r="T212" s="133">
        <f>'Optional Adjustment 2'!G212*$T$1</f>
        <v>0</v>
      </c>
      <c r="U212" s="133">
        <f>'Optional Adjustment 3'!G212*$U$1</f>
        <v>0</v>
      </c>
      <c r="V212" s="133">
        <f>'Optional Adjustment 4'!G212*$V$1</f>
        <v>0</v>
      </c>
      <c r="W212" s="133">
        <f>'Optional Adjustment 5'!G212*$W$1</f>
        <v>0</v>
      </c>
      <c r="X212" s="133">
        <f>'Optional Adjustment 6'!G212*$X$1</f>
        <v>0</v>
      </c>
      <c r="Y212" s="133">
        <f>'Optional Adjustment 7'!G212*$Y$1</f>
        <v>0</v>
      </c>
      <c r="Z212" s="133">
        <f>'Optional Adjustment 8'!G212*$Z$1</f>
        <v>0</v>
      </c>
      <c r="AA212" s="133">
        <f>'Optional Adjustment 9'!G212*$AA$1</f>
        <v>0</v>
      </c>
      <c r="AB212" s="133">
        <f>'Optional Adjustment 10'!G212*$AB$1</f>
        <v>0</v>
      </c>
      <c r="AC212" s="133">
        <f>'Optional Adjustment 11'!G212*$AC$1</f>
        <v>0</v>
      </c>
      <c r="AD212" s="133">
        <f>'Optional Adjustment 12'!G212*$AD$1</f>
        <v>0</v>
      </c>
      <c r="AE212" s="133">
        <f>'Optional Adjustment 13'!G212*$AE$1</f>
        <v>0</v>
      </c>
      <c r="AF212" s="133">
        <f>'Optional Adjustment 14'!G212*$AF$1</f>
        <v>0</v>
      </c>
      <c r="AG212" s="133">
        <f>'Optional Adjustment 15'!G212*$AG$1</f>
        <v>0</v>
      </c>
      <c r="AH212" s="133">
        <f>'Optional Adjustment 16'!G212*$AH$1</f>
        <v>0</v>
      </c>
      <c r="AI212" s="133">
        <f>'Optional Adjustment 17'!G212*$AI$1</f>
        <v>0</v>
      </c>
      <c r="AJ212" s="133">
        <f>'Optional Adjustment 18'!G212*$AJ$1</f>
        <v>0</v>
      </c>
      <c r="AK212" s="133">
        <f>'Optional Adjustment 19'!G212*$AK$1</f>
        <v>0</v>
      </c>
      <c r="AL212" s="133">
        <f>'Optional Adjustment 20'!G212*$AL$1</f>
        <v>0</v>
      </c>
      <c r="AM212" s="133">
        <f>'Optional Adjustment 21'!G212*$AM$1</f>
        <v>0</v>
      </c>
      <c r="AN212" s="133">
        <f>'Optional Adjustment 22'!G212*$AN$1</f>
        <v>0</v>
      </c>
      <c r="AO212" s="133">
        <f>'Optional Adjustment 23'!G212*$AO$1</f>
        <v>0</v>
      </c>
      <c r="AP212" s="133">
        <f>'Optional Adjustment 24'!G212*$AP$1</f>
        <v>0</v>
      </c>
      <c r="AQ212" s="133">
        <f>'Optional Adjustment 25'!G212*$AQ$1</f>
        <v>0</v>
      </c>
      <c r="AR212" s="133">
        <f>'Optional Adjustment 26'!G212*$AR$1</f>
        <v>0</v>
      </c>
      <c r="AS212" s="133">
        <f>'Optional Adjustment 27'!G212*$AS$1</f>
        <v>0</v>
      </c>
      <c r="AT212" s="133"/>
      <c r="AU212" s="133">
        <f>SUM(F212:AT212)</f>
        <v>0</v>
      </c>
      <c r="AV212" s="116"/>
      <c r="AW212" s="133">
        <f>SUM(AU212:AU212)</f>
        <v>0</v>
      </c>
      <c r="AX212" s="133">
        <f>+AW212-'ROR-Model'!G212</f>
        <v>0</v>
      </c>
    </row>
    <row r="213" spans="1:50">
      <c r="A213" s="330"/>
      <c r="B213" s="728"/>
      <c r="C213" s="728"/>
      <c r="D213" s="106"/>
      <c r="E213" s="331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16"/>
      <c r="AW213" s="133"/>
      <c r="AX213" s="133">
        <f>+AW213-'ROR-Model'!G213</f>
        <v>0</v>
      </c>
    </row>
    <row r="214" spans="1:50">
      <c r="A214" s="330"/>
      <c r="B214" s="728"/>
      <c r="C214" s="728" t="s">
        <v>18</v>
      </c>
      <c r="D214" s="106"/>
      <c r="E214" s="331"/>
      <c r="F214" s="116"/>
      <c r="G214" s="116"/>
      <c r="H214" s="116">
        <f>H1*Revenue!$K$213</f>
        <v>0</v>
      </c>
      <c r="I214" s="116"/>
      <c r="J214" s="116"/>
      <c r="K214" s="116"/>
      <c r="L214" s="116"/>
      <c r="M214" s="116"/>
      <c r="N214" s="116"/>
      <c r="O214" s="116"/>
      <c r="P214" s="116"/>
      <c r="Q214" s="133"/>
      <c r="R214" s="133"/>
      <c r="S214" s="133"/>
      <c r="T214" s="133">
        <f>'Optional Adjustment 2'!G214*$T$1</f>
        <v>0</v>
      </c>
      <c r="U214" s="133">
        <f>'Optional Adjustment 3'!G214*$U$1</f>
        <v>0</v>
      </c>
      <c r="V214" s="133">
        <f>'Optional Adjustment 4'!G214*$V$1</f>
        <v>0</v>
      </c>
      <c r="W214" s="133">
        <f>'Optional Adjustment 5'!G214*$W$1</f>
        <v>0</v>
      </c>
      <c r="X214" s="133">
        <f>'Optional Adjustment 6'!G214*$X$1</f>
        <v>0</v>
      </c>
      <c r="Y214" s="133">
        <f>'Optional Adjustment 7'!G214*$Y$1</f>
        <v>0</v>
      </c>
      <c r="Z214" s="133">
        <f>'Optional Adjustment 8'!G214*$Z$1</f>
        <v>0</v>
      </c>
      <c r="AA214" s="133">
        <f>'Optional Adjustment 9'!G214*$AA$1</f>
        <v>0</v>
      </c>
      <c r="AB214" s="133">
        <f>'Optional Adjustment 10'!G214*$AB$1</f>
        <v>0</v>
      </c>
      <c r="AC214" s="133">
        <f>'Optional Adjustment 11'!G214*$AC$1</f>
        <v>0</v>
      </c>
      <c r="AD214" s="133">
        <f>'Optional Adjustment 12'!G214*$AD$1</f>
        <v>0</v>
      </c>
      <c r="AE214" s="133">
        <f>'Optional Adjustment 13'!G214*$AE$1</f>
        <v>0</v>
      </c>
      <c r="AF214" s="133">
        <f>'Optional Adjustment 14'!G214*$AF$1</f>
        <v>0</v>
      </c>
      <c r="AG214" s="133">
        <f>'Optional Adjustment 15'!G214*$AG$1</f>
        <v>0</v>
      </c>
      <c r="AH214" s="133">
        <f>'Optional Adjustment 16'!G214*$AH$1</f>
        <v>0</v>
      </c>
      <c r="AI214" s="133">
        <f>'Optional Adjustment 17'!G214*$AI$1</f>
        <v>0</v>
      </c>
      <c r="AJ214" s="133">
        <f>'Optional Adjustment 18'!G214*$AJ$1</f>
        <v>0</v>
      </c>
      <c r="AK214" s="133">
        <f>'Optional Adjustment 19'!G214*$AK$1</f>
        <v>0</v>
      </c>
      <c r="AL214" s="133">
        <f>'Optional Adjustment 20'!G214*$AL$1</f>
        <v>0</v>
      </c>
      <c r="AM214" s="133">
        <f>'Optional Adjustment 21'!G214*$AM$1</f>
        <v>0</v>
      </c>
      <c r="AN214" s="133">
        <f>'Optional Adjustment 22'!G214*$AN$1</f>
        <v>0</v>
      </c>
      <c r="AO214" s="133">
        <f>'Optional Adjustment 23'!G214*$AO$1</f>
        <v>0</v>
      </c>
      <c r="AP214" s="133">
        <f>'Optional Adjustment 24'!G214*$AP$1</f>
        <v>0</v>
      </c>
      <c r="AQ214" s="133">
        <f>'Optional Adjustment 25'!G214*$AQ$1</f>
        <v>0</v>
      </c>
      <c r="AR214" s="133">
        <f>'Optional Adjustment 26'!G214*$AR$1</f>
        <v>0</v>
      </c>
      <c r="AS214" s="133">
        <f>'Optional Adjustment 27'!G214*$AS$1</f>
        <v>0</v>
      </c>
      <c r="AT214" s="133"/>
      <c r="AU214" s="133">
        <f>SUM(F214:AT214)</f>
        <v>0</v>
      </c>
      <c r="AV214" s="116"/>
      <c r="AW214" s="133">
        <f>SUM(AU214:AU214)</f>
        <v>0</v>
      </c>
      <c r="AX214" s="133">
        <f>+AW214-'ROR-Model'!G214</f>
        <v>0</v>
      </c>
    </row>
    <row r="215" spans="1:50">
      <c r="A215" s="330"/>
      <c r="B215" s="728"/>
      <c r="C215" s="728" t="s">
        <v>19</v>
      </c>
      <c r="D215" s="106"/>
      <c r="E215" s="331"/>
      <c r="F215" s="131">
        <f>SUM(F210:F214)</f>
        <v>0</v>
      </c>
      <c r="G215" s="131"/>
      <c r="H215" s="131">
        <f>H1*SUM(H210:H214)</f>
        <v>0</v>
      </c>
      <c r="I215" s="131">
        <f>SUM(I210:I214)</f>
        <v>0</v>
      </c>
      <c r="J215" s="131">
        <f t="shared" ref="J215:P215" si="181">SUM(J210:J214)</f>
        <v>0</v>
      </c>
      <c r="K215" s="131">
        <f t="shared" si="181"/>
        <v>0</v>
      </c>
      <c r="L215" s="131">
        <f t="shared" si="181"/>
        <v>0</v>
      </c>
      <c r="M215" s="131">
        <f t="shared" si="181"/>
        <v>0</v>
      </c>
      <c r="N215" s="131">
        <f t="shared" si="181"/>
        <v>0</v>
      </c>
      <c r="O215" s="131">
        <f t="shared" si="181"/>
        <v>0</v>
      </c>
      <c r="P215" s="131">
        <f t="shared" si="181"/>
        <v>0</v>
      </c>
      <c r="Q215" s="241">
        <f t="shared" ref="Q215:W215" si="182">SUM(Q210:Q214)</f>
        <v>0</v>
      </c>
      <c r="R215" s="241">
        <f t="shared" si="182"/>
        <v>0</v>
      </c>
      <c r="S215" s="556"/>
      <c r="T215" s="556">
        <f t="shared" si="182"/>
        <v>0</v>
      </c>
      <c r="U215" s="556">
        <f t="shared" si="182"/>
        <v>0</v>
      </c>
      <c r="V215" s="556">
        <f t="shared" si="182"/>
        <v>0</v>
      </c>
      <c r="W215" s="556">
        <f t="shared" si="182"/>
        <v>0</v>
      </c>
      <c r="X215" s="556">
        <f t="shared" ref="X215:AG215" si="183">SUM(X210:X214)</f>
        <v>0</v>
      </c>
      <c r="Y215" s="556">
        <f t="shared" si="183"/>
        <v>0</v>
      </c>
      <c r="Z215" s="556">
        <f t="shared" si="183"/>
        <v>0</v>
      </c>
      <c r="AA215" s="556">
        <f t="shared" si="183"/>
        <v>0</v>
      </c>
      <c r="AB215" s="556">
        <f t="shared" si="183"/>
        <v>0</v>
      </c>
      <c r="AC215" s="556">
        <f t="shared" si="183"/>
        <v>0</v>
      </c>
      <c r="AD215" s="556">
        <f t="shared" si="183"/>
        <v>0</v>
      </c>
      <c r="AE215" s="556">
        <f t="shared" si="183"/>
        <v>0</v>
      </c>
      <c r="AF215" s="556">
        <f t="shared" si="183"/>
        <v>0</v>
      </c>
      <c r="AG215" s="556">
        <f t="shared" si="183"/>
        <v>0</v>
      </c>
      <c r="AH215" s="556">
        <f t="shared" ref="AH215:AK215" si="184">SUM(AH210:AH214)</f>
        <v>0</v>
      </c>
      <c r="AI215" s="556">
        <f t="shared" si="184"/>
        <v>0</v>
      </c>
      <c r="AJ215" s="556">
        <f t="shared" si="184"/>
        <v>0</v>
      </c>
      <c r="AK215" s="556">
        <f t="shared" si="184"/>
        <v>0</v>
      </c>
      <c r="AL215" s="556">
        <f t="shared" ref="AL215:AP215" si="185">SUM(AL210:AL214)</f>
        <v>0</v>
      </c>
      <c r="AM215" s="556">
        <f t="shared" si="185"/>
        <v>0</v>
      </c>
      <c r="AN215" s="556">
        <f t="shared" si="185"/>
        <v>0</v>
      </c>
      <c r="AO215" s="556">
        <f t="shared" si="185"/>
        <v>0</v>
      </c>
      <c r="AP215" s="556">
        <f t="shared" si="185"/>
        <v>0</v>
      </c>
      <c r="AQ215" s="556">
        <f t="shared" ref="AQ215:AS215" si="186">SUM(AQ210:AQ214)</f>
        <v>0</v>
      </c>
      <c r="AR215" s="556">
        <f t="shared" si="186"/>
        <v>0</v>
      </c>
      <c r="AS215" s="556">
        <f t="shared" si="186"/>
        <v>0</v>
      </c>
      <c r="AT215" s="556"/>
      <c r="AU215" s="241">
        <f>SUM(AU210:AU214)</f>
        <v>0</v>
      </c>
      <c r="AV215" s="131"/>
      <c r="AW215" s="241">
        <f>SUM(AW210:AW214)</f>
        <v>0</v>
      </c>
      <c r="AX215" s="241">
        <f>+AW215-'ROR-Model'!G215</f>
        <v>0</v>
      </c>
    </row>
    <row r="216" spans="1:50">
      <c r="A216" s="330"/>
      <c r="B216" s="728"/>
      <c r="C216" s="728"/>
      <c r="D216" s="106"/>
      <c r="E216" s="331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16"/>
      <c r="AW216" s="133"/>
      <c r="AX216" s="133">
        <f>+AW216-'ROR-Model'!G216</f>
        <v>0</v>
      </c>
    </row>
    <row r="217" spans="1:50">
      <c r="A217" s="330"/>
      <c r="B217" s="728"/>
      <c r="C217" s="728" t="s">
        <v>20</v>
      </c>
      <c r="D217" s="106"/>
      <c r="E217" s="331"/>
      <c r="F217" s="116"/>
      <c r="G217" s="116"/>
      <c r="H217" s="116">
        <f>H1*Revenue!$K$216</f>
        <v>0</v>
      </c>
      <c r="I217" s="116"/>
      <c r="J217" s="116"/>
      <c r="K217" s="116"/>
      <c r="L217" s="116"/>
      <c r="M217" s="116"/>
      <c r="N217" s="116"/>
      <c r="O217" s="116"/>
      <c r="P217" s="116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>
        <f>SUM(F217:AT217)</f>
        <v>0</v>
      </c>
      <c r="AV217" s="116"/>
      <c r="AW217" s="133">
        <f>SUM(AU217:AU217)</f>
        <v>0</v>
      </c>
      <c r="AX217" s="133">
        <f>+AW217-'ROR-Model'!G217</f>
        <v>0</v>
      </c>
    </row>
    <row r="218" spans="1:50">
      <c r="A218" s="330"/>
      <c r="B218" s="728"/>
      <c r="C218" s="728"/>
      <c r="D218" s="106"/>
      <c r="E218" s="331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16"/>
      <c r="AW218" s="133"/>
      <c r="AX218" s="133">
        <f>+AW218-'ROR-Model'!G218</f>
        <v>0</v>
      </c>
    </row>
    <row r="219" spans="1:50">
      <c r="A219" s="330"/>
      <c r="B219" s="728" t="s">
        <v>88</v>
      </c>
      <c r="C219" s="728" t="s">
        <v>16</v>
      </c>
      <c r="D219" s="106"/>
      <c r="E219" s="331"/>
      <c r="F219" s="116"/>
      <c r="G219" s="116"/>
      <c r="H219" s="116">
        <f>H1*Revenue!$K$218</f>
        <v>0</v>
      </c>
      <c r="I219" s="116"/>
      <c r="J219" s="116"/>
      <c r="K219" s="116"/>
      <c r="L219" s="116"/>
      <c r="M219" s="116"/>
      <c r="N219" s="116"/>
      <c r="O219" s="116"/>
      <c r="P219" s="116"/>
      <c r="Q219" s="133"/>
      <c r="R219" s="133"/>
      <c r="S219" s="133"/>
      <c r="T219" s="133">
        <f>'Optional Adjustment 2'!G219*$T$1</f>
        <v>0</v>
      </c>
      <c r="U219" s="133">
        <f>'Optional Adjustment 3'!G219*$U$1</f>
        <v>0</v>
      </c>
      <c r="V219" s="133">
        <f>'Optional Adjustment 4'!G219*$V$1</f>
        <v>0</v>
      </c>
      <c r="W219" s="133">
        <f>'Optional Adjustment 5'!G219*$W$1</f>
        <v>0</v>
      </c>
      <c r="X219" s="133">
        <f>'Optional Adjustment 6'!G219*$X$1</f>
        <v>0</v>
      </c>
      <c r="Y219" s="133">
        <f>'Optional Adjustment 7'!G219*$Y$1</f>
        <v>0</v>
      </c>
      <c r="Z219" s="133">
        <f>'Optional Adjustment 8'!G219*$Z$1</f>
        <v>0</v>
      </c>
      <c r="AA219" s="133">
        <f>'Optional Adjustment 9'!G219*$AA$1</f>
        <v>0</v>
      </c>
      <c r="AB219" s="133">
        <f>'Optional Adjustment 10'!G219*$AB$1</f>
        <v>0</v>
      </c>
      <c r="AC219" s="133">
        <f>'Optional Adjustment 11'!G219*$AC$1</f>
        <v>0</v>
      </c>
      <c r="AD219" s="133">
        <f>'Optional Adjustment 12'!G219*$AD$1</f>
        <v>0</v>
      </c>
      <c r="AE219" s="133">
        <f>'Optional Adjustment 13'!G219*$AE$1</f>
        <v>0</v>
      </c>
      <c r="AF219" s="133">
        <f>'Optional Adjustment 14'!G219*$AF$1</f>
        <v>0</v>
      </c>
      <c r="AG219" s="133">
        <f>'Optional Adjustment 15'!G219*$AG$1</f>
        <v>0</v>
      </c>
      <c r="AH219" s="133">
        <f>'Optional Adjustment 16'!G219*$AH$1</f>
        <v>0</v>
      </c>
      <c r="AI219" s="133">
        <f>'Optional Adjustment 17'!G219*$AI$1</f>
        <v>0</v>
      </c>
      <c r="AJ219" s="133">
        <f>'Optional Adjustment 18'!G219*$AJ$1</f>
        <v>0</v>
      </c>
      <c r="AK219" s="133">
        <f>'Optional Adjustment 19'!G219*$AK$1</f>
        <v>0</v>
      </c>
      <c r="AL219" s="133">
        <f>'Optional Adjustment 20'!G219*$AL$1</f>
        <v>0</v>
      </c>
      <c r="AM219" s="133">
        <f>'Optional Adjustment 21'!G219*$AM$1</f>
        <v>0</v>
      </c>
      <c r="AN219" s="133">
        <f>'Optional Adjustment 22'!G219*$AN$1</f>
        <v>0</v>
      </c>
      <c r="AO219" s="133">
        <f>'Optional Adjustment 23'!G219*$AO$1</f>
        <v>0</v>
      </c>
      <c r="AP219" s="133">
        <f>'Optional Adjustment 24'!G219*$AP$1</f>
        <v>0</v>
      </c>
      <c r="AQ219" s="133">
        <f>'Optional Adjustment 25'!G219*$AQ$1</f>
        <v>0</v>
      </c>
      <c r="AR219" s="133">
        <f>'Optional Adjustment 26'!G219*$AR$1</f>
        <v>0</v>
      </c>
      <c r="AS219" s="133">
        <f>'Optional Adjustment 27'!G219*$AS$1</f>
        <v>0</v>
      </c>
      <c r="AT219" s="133"/>
      <c r="AU219" s="133">
        <f>SUM(F219:AT219)</f>
        <v>0</v>
      </c>
      <c r="AV219" s="116"/>
      <c r="AW219" s="133">
        <f>SUM(AU219:AU219)</f>
        <v>0</v>
      </c>
      <c r="AX219" s="133">
        <f>+AW219-'ROR-Model'!G219</f>
        <v>0</v>
      </c>
    </row>
    <row r="220" spans="1:50">
      <c r="A220" s="330"/>
      <c r="B220" s="728"/>
      <c r="C220" s="728"/>
      <c r="D220" s="106"/>
      <c r="E220" s="331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16"/>
      <c r="AW220" s="133"/>
      <c r="AX220" s="133">
        <f>+AW220-'ROR-Model'!G220</f>
        <v>0</v>
      </c>
    </row>
    <row r="221" spans="1:50">
      <c r="A221" s="330"/>
      <c r="B221" s="728"/>
      <c r="C221" s="728" t="s">
        <v>17</v>
      </c>
      <c r="D221" s="106"/>
      <c r="E221" s="331"/>
      <c r="F221" s="116"/>
      <c r="G221" s="116"/>
      <c r="H221" s="116">
        <f>H1*Revenue!$K$220</f>
        <v>0</v>
      </c>
      <c r="I221" s="116"/>
      <c r="J221" s="116"/>
      <c r="K221" s="116"/>
      <c r="L221" s="116"/>
      <c r="M221" s="116"/>
      <c r="N221" s="116"/>
      <c r="O221" s="116"/>
      <c r="P221" s="116"/>
      <c r="Q221" s="133"/>
      <c r="R221" s="133"/>
      <c r="S221" s="133"/>
      <c r="T221" s="133">
        <f>'Optional Adjustment 2'!G221*$T$1</f>
        <v>0</v>
      </c>
      <c r="U221" s="133">
        <f>'Optional Adjustment 3'!G221*$U$1</f>
        <v>0</v>
      </c>
      <c r="V221" s="133">
        <f>'Optional Adjustment 4'!G221*$V$1</f>
        <v>0</v>
      </c>
      <c r="W221" s="133">
        <f>'Optional Adjustment 5'!G221*$W$1</f>
        <v>0</v>
      </c>
      <c r="X221" s="133">
        <f>'Optional Adjustment 6'!G221*$X$1</f>
        <v>0</v>
      </c>
      <c r="Y221" s="133">
        <f>'Optional Adjustment 7'!G221*$Y$1</f>
        <v>0</v>
      </c>
      <c r="Z221" s="133">
        <f>'Optional Adjustment 8'!G221*$Z$1</f>
        <v>0</v>
      </c>
      <c r="AA221" s="133">
        <f>'Optional Adjustment 9'!G221*$AA$1</f>
        <v>0</v>
      </c>
      <c r="AB221" s="133">
        <f>'Optional Adjustment 10'!G221*$AB$1</f>
        <v>0</v>
      </c>
      <c r="AC221" s="133">
        <f>'Optional Adjustment 11'!G221*$AC$1</f>
        <v>0</v>
      </c>
      <c r="AD221" s="133">
        <f>'Optional Adjustment 12'!G221*$AD$1</f>
        <v>0</v>
      </c>
      <c r="AE221" s="133">
        <f>'Optional Adjustment 13'!G221*$AE$1</f>
        <v>0</v>
      </c>
      <c r="AF221" s="133">
        <f>'Optional Adjustment 14'!G221*$AF$1</f>
        <v>0</v>
      </c>
      <c r="AG221" s="133">
        <f>'Optional Adjustment 15'!G221*$AG$1</f>
        <v>0</v>
      </c>
      <c r="AH221" s="133">
        <f>'Optional Adjustment 16'!G221*$AH$1</f>
        <v>0</v>
      </c>
      <c r="AI221" s="133">
        <f>'Optional Adjustment 17'!G221*$AI$1</f>
        <v>0</v>
      </c>
      <c r="AJ221" s="133">
        <f>'Optional Adjustment 18'!G221*$AJ$1</f>
        <v>0</v>
      </c>
      <c r="AK221" s="133">
        <f>'Optional Adjustment 19'!G221*$AK$1</f>
        <v>0</v>
      </c>
      <c r="AL221" s="133">
        <f>'Optional Adjustment 20'!G221*$AL$1</f>
        <v>0</v>
      </c>
      <c r="AM221" s="133">
        <f>'Optional Adjustment 21'!G221*$AM$1</f>
        <v>0</v>
      </c>
      <c r="AN221" s="133">
        <f>'Optional Adjustment 22'!G221*$AN$1</f>
        <v>0</v>
      </c>
      <c r="AO221" s="133">
        <f>'Optional Adjustment 23'!G221*$AO$1</f>
        <v>0</v>
      </c>
      <c r="AP221" s="133">
        <f>'Optional Adjustment 24'!G221*$AP$1</f>
        <v>0</v>
      </c>
      <c r="AQ221" s="133">
        <f>'Optional Adjustment 25'!G221*$AQ$1</f>
        <v>0</v>
      </c>
      <c r="AR221" s="133">
        <f>'Optional Adjustment 26'!G221*$AR$1</f>
        <v>0</v>
      </c>
      <c r="AS221" s="133">
        <f>'Optional Adjustment 27'!G221*$AS$1</f>
        <v>0</v>
      </c>
      <c r="AT221" s="133"/>
      <c r="AU221" s="133">
        <f>SUM(F221:AT221)</f>
        <v>0</v>
      </c>
      <c r="AV221" s="116"/>
      <c r="AW221" s="133">
        <f>SUM(AU221:AU221)</f>
        <v>0</v>
      </c>
      <c r="AX221" s="133">
        <f>+AW221-'ROR-Model'!G221</f>
        <v>0</v>
      </c>
    </row>
    <row r="222" spans="1:50">
      <c r="A222" s="330"/>
      <c r="B222" s="728"/>
      <c r="C222" s="728"/>
      <c r="D222" s="106"/>
      <c r="E222" s="331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16"/>
      <c r="AW222" s="133"/>
      <c r="AX222" s="133">
        <f>+AW222-'ROR-Model'!G222</f>
        <v>0</v>
      </c>
    </row>
    <row r="223" spans="1:50">
      <c r="A223" s="330"/>
      <c r="B223" s="728"/>
      <c r="C223" s="728" t="s">
        <v>18</v>
      </c>
      <c r="D223" s="106"/>
      <c r="E223" s="331"/>
      <c r="F223" s="116"/>
      <c r="G223" s="116"/>
      <c r="H223" s="116">
        <f>H1*Revenue!$K$222</f>
        <v>0</v>
      </c>
      <c r="I223" s="116"/>
      <c r="J223" s="116"/>
      <c r="K223" s="116"/>
      <c r="L223" s="116"/>
      <c r="M223" s="116"/>
      <c r="N223" s="116"/>
      <c r="O223" s="116"/>
      <c r="P223" s="116"/>
      <c r="Q223" s="133"/>
      <c r="R223" s="133"/>
      <c r="S223" s="133"/>
      <c r="T223" s="133">
        <f>'Optional Adjustment 2'!G223*$T$1</f>
        <v>0</v>
      </c>
      <c r="U223" s="133">
        <f>'Optional Adjustment 3'!G223*$U$1</f>
        <v>0</v>
      </c>
      <c r="V223" s="133">
        <f>'Optional Adjustment 4'!G223*$V$1</f>
        <v>0</v>
      </c>
      <c r="W223" s="133">
        <f>'Optional Adjustment 5'!G223*$W$1</f>
        <v>0</v>
      </c>
      <c r="X223" s="133">
        <f>'Optional Adjustment 6'!G223*$X$1</f>
        <v>0</v>
      </c>
      <c r="Y223" s="133">
        <f>'Optional Adjustment 7'!G223*$Y$1</f>
        <v>0</v>
      </c>
      <c r="Z223" s="133">
        <f>'Optional Adjustment 8'!G223*$Z$1</f>
        <v>0</v>
      </c>
      <c r="AA223" s="133">
        <f>'Optional Adjustment 9'!G223*$AA$1</f>
        <v>0</v>
      </c>
      <c r="AB223" s="133">
        <f>'Optional Adjustment 10'!G223*$AB$1</f>
        <v>0</v>
      </c>
      <c r="AC223" s="133">
        <f>'Optional Adjustment 11'!G223*$AC$1</f>
        <v>0</v>
      </c>
      <c r="AD223" s="133">
        <f>'Optional Adjustment 12'!G223*$AD$1</f>
        <v>0</v>
      </c>
      <c r="AE223" s="133">
        <f>'Optional Adjustment 13'!G223*$AE$1</f>
        <v>0</v>
      </c>
      <c r="AF223" s="133">
        <f>'Optional Adjustment 14'!G223*$AF$1</f>
        <v>0</v>
      </c>
      <c r="AG223" s="133">
        <f>'Optional Adjustment 15'!G223*$AG$1</f>
        <v>0</v>
      </c>
      <c r="AH223" s="133">
        <f>'Optional Adjustment 16'!G223*$AH$1</f>
        <v>0</v>
      </c>
      <c r="AI223" s="133">
        <f>'Optional Adjustment 17'!G223*$AI$1</f>
        <v>0</v>
      </c>
      <c r="AJ223" s="133">
        <f>'Optional Adjustment 18'!G223*$AJ$1</f>
        <v>0</v>
      </c>
      <c r="AK223" s="133">
        <f>'Optional Adjustment 19'!G223*$AK$1</f>
        <v>0</v>
      </c>
      <c r="AL223" s="133">
        <f>'Optional Adjustment 20'!G223*$AL$1</f>
        <v>0</v>
      </c>
      <c r="AM223" s="133">
        <f>'Optional Adjustment 21'!G223*$AM$1</f>
        <v>0</v>
      </c>
      <c r="AN223" s="133">
        <f>'Optional Adjustment 22'!G223*$AN$1</f>
        <v>0</v>
      </c>
      <c r="AO223" s="133">
        <f>'Optional Adjustment 23'!G223*$AO$1</f>
        <v>0</v>
      </c>
      <c r="AP223" s="133">
        <f>'Optional Adjustment 24'!G223*$AP$1</f>
        <v>0</v>
      </c>
      <c r="AQ223" s="133">
        <f>'Optional Adjustment 25'!G223*$AQ$1</f>
        <v>0</v>
      </c>
      <c r="AR223" s="133">
        <f>'Optional Adjustment 26'!G223*$AR$1</f>
        <v>0</v>
      </c>
      <c r="AS223" s="133">
        <f>'Optional Adjustment 27'!G223*$AS$1</f>
        <v>0</v>
      </c>
      <c r="AT223" s="133"/>
      <c r="AU223" s="133">
        <f>SUM(F223:AT223)</f>
        <v>0</v>
      </c>
      <c r="AV223" s="116"/>
      <c r="AW223" s="133">
        <f>SUM(AU223:AU223)</f>
        <v>0</v>
      </c>
      <c r="AX223" s="133">
        <f>+AW223-'ROR-Model'!G223</f>
        <v>0</v>
      </c>
    </row>
    <row r="224" spans="1:50">
      <c r="A224" s="330"/>
      <c r="B224" s="728"/>
      <c r="C224" s="728" t="s">
        <v>19</v>
      </c>
      <c r="D224" s="106"/>
      <c r="E224" s="331"/>
      <c r="F224" s="131">
        <f>SUM(F219:F223)</f>
        <v>0</v>
      </c>
      <c r="G224" s="131"/>
      <c r="H224" s="131">
        <f>H1*SUM(H219:H223)</f>
        <v>0</v>
      </c>
      <c r="I224" s="131">
        <f>SUM(I219:I223)</f>
        <v>0</v>
      </c>
      <c r="J224" s="131">
        <f t="shared" ref="J224:P224" si="187">SUM(J219:J223)</f>
        <v>0</v>
      </c>
      <c r="K224" s="131">
        <f t="shared" si="187"/>
        <v>0</v>
      </c>
      <c r="L224" s="131">
        <f t="shared" si="187"/>
        <v>0</v>
      </c>
      <c r="M224" s="131">
        <f t="shared" si="187"/>
        <v>0</v>
      </c>
      <c r="N224" s="131">
        <f t="shared" si="187"/>
        <v>0</v>
      </c>
      <c r="O224" s="131">
        <f t="shared" si="187"/>
        <v>0</v>
      </c>
      <c r="P224" s="131">
        <f t="shared" si="187"/>
        <v>0</v>
      </c>
      <c r="Q224" s="241">
        <f t="shared" ref="Q224:W224" si="188">SUM(Q219:Q223)</f>
        <v>0</v>
      </c>
      <c r="R224" s="241">
        <f t="shared" si="188"/>
        <v>0</v>
      </c>
      <c r="S224" s="556"/>
      <c r="T224" s="556">
        <f t="shared" si="188"/>
        <v>0</v>
      </c>
      <c r="U224" s="556">
        <f t="shared" si="188"/>
        <v>0</v>
      </c>
      <c r="V224" s="556">
        <f t="shared" si="188"/>
        <v>0</v>
      </c>
      <c r="W224" s="556">
        <f t="shared" si="188"/>
        <v>0</v>
      </c>
      <c r="X224" s="556">
        <f t="shared" ref="X224:AG224" si="189">SUM(X219:X223)</f>
        <v>0</v>
      </c>
      <c r="Y224" s="556">
        <f t="shared" si="189"/>
        <v>0</v>
      </c>
      <c r="Z224" s="556">
        <f t="shared" si="189"/>
        <v>0</v>
      </c>
      <c r="AA224" s="556">
        <f t="shared" si="189"/>
        <v>0</v>
      </c>
      <c r="AB224" s="556">
        <f t="shared" si="189"/>
        <v>0</v>
      </c>
      <c r="AC224" s="556">
        <f t="shared" si="189"/>
        <v>0</v>
      </c>
      <c r="AD224" s="556">
        <f t="shared" si="189"/>
        <v>0</v>
      </c>
      <c r="AE224" s="556">
        <f t="shared" si="189"/>
        <v>0</v>
      </c>
      <c r="AF224" s="556">
        <f t="shared" si="189"/>
        <v>0</v>
      </c>
      <c r="AG224" s="556">
        <f t="shared" si="189"/>
        <v>0</v>
      </c>
      <c r="AH224" s="556">
        <f t="shared" ref="AH224:AK224" si="190">SUM(AH219:AH223)</f>
        <v>0</v>
      </c>
      <c r="AI224" s="556">
        <f t="shared" si="190"/>
        <v>0</v>
      </c>
      <c r="AJ224" s="556">
        <f t="shared" si="190"/>
        <v>0</v>
      </c>
      <c r="AK224" s="556">
        <f t="shared" si="190"/>
        <v>0</v>
      </c>
      <c r="AL224" s="556">
        <f t="shared" ref="AL224:AP224" si="191">SUM(AL219:AL223)</f>
        <v>0</v>
      </c>
      <c r="AM224" s="556">
        <f t="shared" si="191"/>
        <v>0</v>
      </c>
      <c r="AN224" s="556">
        <f t="shared" si="191"/>
        <v>0</v>
      </c>
      <c r="AO224" s="556">
        <f t="shared" si="191"/>
        <v>0</v>
      </c>
      <c r="AP224" s="556">
        <f t="shared" si="191"/>
        <v>0</v>
      </c>
      <c r="AQ224" s="556">
        <f t="shared" ref="AQ224:AS224" si="192">SUM(AQ219:AQ223)</f>
        <v>0</v>
      </c>
      <c r="AR224" s="556">
        <f t="shared" si="192"/>
        <v>0</v>
      </c>
      <c r="AS224" s="556">
        <f t="shared" si="192"/>
        <v>0</v>
      </c>
      <c r="AT224" s="556"/>
      <c r="AU224" s="241">
        <f>SUM(AU219:AU223)</f>
        <v>0</v>
      </c>
      <c r="AV224" s="131"/>
      <c r="AW224" s="241">
        <f>SUM(AW219:AW223)</f>
        <v>0</v>
      </c>
      <c r="AX224" s="241">
        <f>+AW224-'ROR-Model'!G224</f>
        <v>0</v>
      </c>
    </row>
    <row r="225" spans="1:50">
      <c r="A225" s="330"/>
      <c r="B225" s="728"/>
      <c r="C225" s="728"/>
      <c r="D225" s="106"/>
      <c r="E225" s="331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16"/>
      <c r="AW225" s="133"/>
      <c r="AX225" s="133">
        <f>+AW225-'ROR-Model'!G225</f>
        <v>0</v>
      </c>
    </row>
    <row r="226" spans="1:50">
      <c r="A226" s="330"/>
      <c r="B226" s="728"/>
      <c r="C226" s="728" t="s">
        <v>20</v>
      </c>
      <c r="D226" s="106"/>
      <c r="E226" s="331"/>
      <c r="F226" s="116"/>
      <c r="G226" s="116"/>
      <c r="H226" s="116">
        <f>H1*Revenue!$K$225</f>
        <v>0</v>
      </c>
      <c r="I226" s="116"/>
      <c r="J226" s="116"/>
      <c r="K226" s="116"/>
      <c r="L226" s="116"/>
      <c r="M226" s="116"/>
      <c r="N226" s="116"/>
      <c r="O226" s="116"/>
      <c r="P226" s="116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>
        <f>SUM(F226:AT226)</f>
        <v>0</v>
      </c>
      <c r="AV226" s="116"/>
      <c r="AW226" s="133">
        <f>SUM(AU226:AU226)</f>
        <v>0</v>
      </c>
      <c r="AX226" s="133">
        <f>+AW226-'ROR-Model'!G226</f>
        <v>0</v>
      </c>
    </row>
    <row r="227" spans="1:50" ht="13.5" thickBot="1">
      <c r="A227" s="330"/>
      <c r="B227" s="728"/>
      <c r="C227" s="728"/>
      <c r="D227" s="106"/>
      <c r="E227" s="331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35"/>
      <c r="AW227" s="242"/>
      <c r="AX227" s="242">
        <f>+AW227-'ROR-Model'!G227</f>
        <v>0</v>
      </c>
    </row>
    <row r="228" spans="1:50" ht="13.5" thickTop="1">
      <c r="A228" s="330"/>
      <c r="B228" s="728" t="s">
        <v>544</v>
      </c>
      <c r="C228" s="728"/>
      <c r="D228" s="106"/>
      <c r="E228" s="331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16"/>
      <c r="AW228" s="133"/>
      <c r="AX228" s="133">
        <f>+AW228-'ROR-Model'!G228</f>
        <v>0</v>
      </c>
    </row>
    <row r="229" spans="1:50">
      <c r="A229" s="330"/>
      <c r="B229" s="332"/>
      <c r="C229" s="728" t="s">
        <v>16</v>
      </c>
      <c r="D229" s="106"/>
      <c r="E229" s="331"/>
      <c r="F229" s="116">
        <f>+F210+F219</f>
        <v>0</v>
      </c>
      <c r="G229" s="116"/>
      <c r="H229" s="116">
        <f>H1*+H210+H219</f>
        <v>0</v>
      </c>
      <c r="I229" s="116">
        <f>+I210+I219</f>
        <v>0</v>
      </c>
      <c r="J229" s="116">
        <f t="shared" ref="J229:Q229" si="193">+J210+J219</f>
        <v>0</v>
      </c>
      <c r="K229" s="116">
        <f t="shared" si="193"/>
        <v>0</v>
      </c>
      <c r="L229" s="116">
        <f t="shared" si="193"/>
        <v>0</v>
      </c>
      <c r="M229" s="116">
        <f t="shared" si="193"/>
        <v>0</v>
      </c>
      <c r="N229" s="116">
        <f t="shared" si="193"/>
        <v>0</v>
      </c>
      <c r="O229" s="116">
        <f t="shared" si="193"/>
        <v>0</v>
      </c>
      <c r="P229" s="116">
        <f t="shared" si="193"/>
        <v>0</v>
      </c>
      <c r="Q229" s="133">
        <f t="shared" si="193"/>
        <v>0</v>
      </c>
      <c r="R229" s="133">
        <f t="shared" ref="R229" si="194">+R210+R219</f>
        <v>0</v>
      </c>
      <c r="S229" s="133"/>
      <c r="T229" s="133">
        <f t="shared" ref="T229:W229" si="195">+T210+T219</f>
        <v>0</v>
      </c>
      <c r="U229" s="133">
        <f t="shared" si="195"/>
        <v>0</v>
      </c>
      <c r="V229" s="133">
        <f t="shared" si="195"/>
        <v>0</v>
      </c>
      <c r="W229" s="133">
        <f t="shared" si="195"/>
        <v>0</v>
      </c>
      <c r="X229" s="133">
        <f t="shared" ref="X229:AG229" si="196">+X210+X219</f>
        <v>0</v>
      </c>
      <c r="Y229" s="133">
        <f t="shared" si="196"/>
        <v>0</v>
      </c>
      <c r="Z229" s="133">
        <f t="shared" si="196"/>
        <v>0</v>
      </c>
      <c r="AA229" s="133">
        <f t="shared" si="196"/>
        <v>0</v>
      </c>
      <c r="AB229" s="133">
        <f t="shared" si="196"/>
        <v>0</v>
      </c>
      <c r="AC229" s="133">
        <f t="shared" si="196"/>
        <v>0</v>
      </c>
      <c r="AD229" s="133">
        <f t="shared" si="196"/>
        <v>0</v>
      </c>
      <c r="AE229" s="133">
        <f t="shared" si="196"/>
        <v>0</v>
      </c>
      <c r="AF229" s="133">
        <f t="shared" si="196"/>
        <v>0</v>
      </c>
      <c r="AG229" s="133">
        <f t="shared" si="196"/>
        <v>0</v>
      </c>
      <c r="AH229" s="133">
        <f t="shared" ref="AH229:AK229" si="197">+AH210+AH219</f>
        <v>0</v>
      </c>
      <c r="AI229" s="133">
        <f t="shared" si="197"/>
        <v>0</v>
      </c>
      <c r="AJ229" s="133">
        <f t="shared" si="197"/>
        <v>0</v>
      </c>
      <c r="AK229" s="133">
        <f t="shared" si="197"/>
        <v>0</v>
      </c>
      <c r="AL229" s="133">
        <f t="shared" ref="AL229:AP229" si="198">+AL210+AL219</f>
        <v>0</v>
      </c>
      <c r="AM229" s="133">
        <f t="shared" si="198"/>
        <v>0</v>
      </c>
      <c r="AN229" s="133">
        <f t="shared" si="198"/>
        <v>0</v>
      </c>
      <c r="AO229" s="133">
        <f t="shared" si="198"/>
        <v>0</v>
      </c>
      <c r="AP229" s="133">
        <f t="shared" si="198"/>
        <v>0</v>
      </c>
      <c r="AQ229" s="133">
        <f t="shared" ref="AQ229:AS229" si="199">+AQ210+AQ219</f>
        <v>0</v>
      </c>
      <c r="AR229" s="133">
        <f t="shared" si="199"/>
        <v>0</v>
      </c>
      <c r="AS229" s="133">
        <f t="shared" si="199"/>
        <v>0</v>
      </c>
      <c r="AT229" s="133"/>
      <c r="AU229" s="133">
        <f>+AU210+AU219</f>
        <v>0</v>
      </c>
      <c r="AV229" s="116"/>
      <c r="AW229" s="133">
        <f>+AW210+AW219</f>
        <v>0</v>
      </c>
      <c r="AX229" s="133">
        <f>+AW229-'ROR-Model'!G229</f>
        <v>0</v>
      </c>
    </row>
    <row r="230" spans="1:50">
      <c r="A230" s="330"/>
      <c r="B230" s="332"/>
      <c r="C230" s="728" t="s">
        <v>17</v>
      </c>
      <c r="D230" s="106"/>
      <c r="E230" s="331"/>
      <c r="F230" s="116">
        <f>+F212+F221</f>
        <v>0</v>
      </c>
      <c r="G230" s="116"/>
      <c r="H230" s="116">
        <f>H1*+H212+H221</f>
        <v>0</v>
      </c>
      <c r="I230" s="116">
        <f>+I212+I221</f>
        <v>0</v>
      </c>
      <c r="J230" s="116">
        <f t="shared" ref="J230:Q230" si="200">+J212+J221</f>
        <v>0</v>
      </c>
      <c r="K230" s="116">
        <f t="shared" si="200"/>
        <v>0</v>
      </c>
      <c r="L230" s="116">
        <f t="shared" si="200"/>
        <v>0</v>
      </c>
      <c r="M230" s="116">
        <f t="shared" si="200"/>
        <v>0</v>
      </c>
      <c r="N230" s="116">
        <f t="shared" si="200"/>
        <v>0</v>
      </c>
      <c r="O230" s="116">
        <f t="shared" si="200"/>
        <v>0</v>
      </c>
      <c r="P230" s="116">
        <f t="shared" si="200"/>
        <v>0</v>
      </c>
      <c r="Q230" s="133">
        <f t="shared" si="200"/>
        <v>0</v>
      </c>
      <c r="R230" s="133">
        <f t="shared" ref="R230" si="201">+R212+R221</f>
        <v>0</v>
      </c>
      <c r="S230" s="133"/>
      <c r="T230" s="133">
        <f t="shared" ref="T230:W230" si="202">+T212+T221</f>
        <v>0</v>
      </c>
      <c r="U230" s="133">
        <f t="shared" si="202"/>
        <v>0</v>
      </c>
      <c r="V230" s="133">
        <f t="shared" si="202"/>
        <v>0</v>
      </c>
      <c r="W230" s="133">
        <f t="shared" si="202"/>
        <v>0</v>
      </c>
      <c r="X230" s="133">
        <f t="shared" ref="X230:AG230" si="203">+X212+X221</f>
        <v>0</v>
      </c>
      <c r="Y230" s="133">
        <f t="shared" si="203"/>
        <v>0</v>
      </c>
      <c r="Z230" s="133">
        <f t="shared" si="203"/>
        <v>0</v>
      </c>
      <c r="AA230" s="133">
        <f t="shared" si="203"/>
        <v>0</v>
      </c>
      <c r="AB230" s="133">
        <f t="shared" si="203"/>
        <v>0</v>
      </c>
      <c r="AC230" s="133">
        <f t="shared" si="203"/>
        <v>0</v>
      </c>
      <c r="AD230" s="133">
        <f t="shared" si="203"/>
        <v>0</v>
      </c>
      <c r="AE230" s="133">
        <f t="shared" si="203"/>
        <v>0</v>
      </c>
      <c r="AF230" s="133">
        <f t="shared" si="203"/>
        <v>0</v>
      </c>
      <c r="AG230" s="133">
        <f t="shared" si="203"/>
        <v>0</v>
      </c>
      <c r="AH230" s="133">
        <f t="shared" ref="AH230:AK230" si="204">+AH212+AH221</f>
        <v>0</v>
      </c>
      <c r="AI230" s="133">
        <f t="shared" si="204"/>
        <v>0</v>
      </c>
      <c r="AJ230" s="133">
        <f t="shared" si="204"/>
        <v>0</v>
      </c>
      <c r="AK230" s="133">
        <f t="shared" si="204"/>
        <v>0</v>
      </c>
      <c r="AL230" s="133">
        <f t="shared" ref="AL230:AP230" si="205">+AL212+AL221</f>
        <v>0</v>
      </c>
      <c r="AM230" s="133">
        <f t="shared" si="205"/>
        <v>0</v>
      </c>
      <c r="AN230" s="133">
        <f t="shared" si="205"/>
        <v>0</v>
      </c>
      <c r="AO230" s="133">
        <f t="shared" si="205"/>
        <v>0</v>
      </c>
      <c r="AP230" s="133">
        <f t="shared" si="205"/>
        <v>0</v>
      </c>
      <c r="AQ230" s="133">
        <f t="shared" ref="AQ230:AS230" si="206">+AQ212+AQ221</f>
        <v>0</v>
      </c>
      <c r="AR230" s="133">
        <f t="shared" si="206"/>
        <v>0</v>
      </c>
      <c r="AS230" s="133">
        <f t="shared" si="206"/>
        <v>0</v>
      </c>
      <c r="AT230" s="133"/>
      <c r="AU230" s="133">
        <f>+AU212+AU221</f>
        <v>0</v>
      </c>
      <c r="AV230" s="116"/>
      <c r="AW230" s="133">
        <f>+AW212+AW221</f>
        <v>0</v>
      </c>
      <c r="AX230" s="133">
        <f>+AW230-'ROR-Model'!G230</f>
        <v>0</v>
      </c>
    </row>
    <row r="231" spans="1:50">
      <c r="A231" s="330"/>
      <c r="B231" s="332"/>
      <c r="C231" s="728" t="s">
        <v>18</v>
      </c>
      <c r="D231" s="106"/>
      <c r="E231" s="331"/>
      <c r="F231" s="116">
        <f>+F214+F223</f>
        <v>0</v>
      </c>
      <c r="G231" s="116"/>
      <c r="H231" s="116">
        <f>H1*+H214+H223</f>
        <v>0</v>
      </c>
      <c r="I231" s="116">
        <f>+I214+I223</f>
        <v>0</v>
      </c>
      <c r="J231" s="116">
        <f t="shared" ref="J231:Q232" si="207">+J214+J223</f>
        <v>0</v>
      </c>
      <c r="K231" s="116">
        <f t="shared" si="207"/>
        <v>0</v>
      </c>
      <c r="L231" s="116">
        <f t="shared" si="207"/>
        <v>0</v>
      </c>
      <c r="M231" s="116">
        <f t="shared" si="207"/>
        <v>0</v>
      </c>
      <c r="N231" s="116">
        <f t="shared" si="207"/>
        <v>0</v>
      </c>
      <c r="O231" s="116">
        <f t="shared" si="207"/>
        <v>0</v>
      </c>
      <c r="P231" s="116">
        <f t="shared" si="207"/>
        <v>0</v>
      </c>
      <c r="Q231" s="133">
        <f t="shared" si="207"/>
        <v>0</v>
      </c>
      <c r="R231" s="133">
        <f t="shared" ref="R231" si="208">+R214+R223</f>
        <v>0</v>
      </c>
      <c r="S231" s="133"/>
      <c r="T231" s="133">
        <f t="shared" ref="T231:W232" si="209">+T214+T223</f>
        <v>0</v>
      </c>
      <c r="U231" s="133">
        <f t="shared" si="209"/>
        <v>0</v>
      </c>
      <c r="V231" s="133">
        <f t="shared" si="209"/>
        <v>0</v>
      </c>
      <c r="W231" s="133">
        <f t="shared" si="209"/>
        <v>0</v>
      </c>
      <c r="X231" s="133">
        <f t="shared" ref="X231:AG231" si="210">+X214+X223</f>
        <v>0</v>
      </c>
      <c r="Y231" s="133">
        <f t="shared" si="210"/>
        <v>0</v>
      </c>
      <c r="Z231" s="133">
        <f t="shared" si="210"/>
        <v>0</v>
      </c>
      <c r="AA231" s="133">
        <f t="shared" si="210"/>
        <v>0</v>
      </c>
      <c r="AB231" s="133">
        <f t="shared" si="210"/>
        <v>0</v>
      </c>
      <c r="AC231" s="133">
        <f t="shared" si="210"/>
        <v>0</v>
      </c>
      <c r="AD231" s="133">
        <f t="shared" si="210"/>
        <v>0</v>
      </c>
      <c r="AE231" s="133">
        <f t="shared" si="210"/>
        <v>0</v>
      </c>
      <c r="AF231" s="133">
        <f t="shared" si="210"/>
        <v>0</v>
      </c>
      <c r="AG231" s="133">
        <f t="shared" si="210"/>
        <v>0</v>
      </c>
      <c r="AH231" s="133">
        <f t="shared" ref="AH231:AK231" si="211">+AH214+AH223</f>
        <v>0</v>
      </c>
      <c r="AI231" s="133">
        <f t="shared" si="211"/>
        <v>0</v>
      </c>
      <c r="AJ231" s="133">
        <f t="shared" si="211"/>
        <v>0</v>
      </c>
      <c r="AK231" s="133">
        <f t="shared" si="211"/>
        <v>0</v>
      </c>
      <c r="AL231" s="133">
        <f t="shared" ref="AL231:AP231" si="212">+AL214+AL223</f>
        <v>0</v>
      </c>
      <c r="AM231" s="133">
        <f t="shared" si="212"/>
        <v>0</v>
      </c>
      <c r="AN231" s="133">
        <f t="shared" si="212"/>
        <v>0</v>
      </c>
      <c r="AO231" s="133">
        <f t="shared" si="212"/>
        <v>0</v>
      </c>
      <c r="AP231" s="133">
        <f t="shared" si="212"/>
        <v>0</v>
      </c>
      <c r="AQ231" s="133">
        <f t="shared" ref="AQ231:AS231" si="213">+AQ214+AQ223</f>
        <v>0</v>
      </c>
      <c r="AR231" s="133">
        <f t="shared" si="213"/>
        <v>0</v>
      </c>
      <c r="AS231" s="133">
        <f t="shared" si="213"/>
        <v>0</v>
      </c>
      <c r="AT231" s="133"/>
      <c r="AU231" s="133">
        <f>+AU214+AU223</f>
        <v>0</v>
      </c>
      <c r="AV231" s="116"/>
      <c r="AW231" s="133">
        <f>+AW214+AW223</f>
        <v>0</v>
      </c>
      <c r="AX231" s="133">
        <f>+AW231-'ROR-Model'!G231</f>
        <v>0</v>
      </c>
    </row>
    <row r="232" spans="1:50">
      <c r="A232" s="330"/>
      <c r="B232" s="332"/>
      <c r="C232" s="728" t="s">
        <v>461</v>
      </c>
      <c r="D232" s="106"/>
      <c r="E232" s="331"/>
      <c r="F232" s="131">
        <f>+F215+F224</f>
        <v>0</v>
      </c>
      <c r="G232" s="131"/>
      <c r="H232" s="131">
        <f>H1*+H215+H224</f>
        <v>0</v>
      </c>
      <c r="I232" s="131">
        <f>+I215+I224</f>
        <v>0</v>
      </c>
      <c r="J232" s="131">
        <f t="shared" si="207"/>
        <v>0</v>
      </c>
      <c r="K232" s="131">
        <f t="shared" si="207"/>
        <v>0</v>
      </c>
      <c r="L232" s="131">
        <f t="shared" si="207"/>
        <v>0</v>
      </c>
      <c r="M232" s="131">
        <f t="shared" si="207"/>
        <v>0</v>
      </c>
      <c r="N232" s="131">
        <f t="shared" si="207"/>
        <v>0</v>
      </c>
      <c r="O232" s="131">
        <f t="shared" si="207"/>
        <v>0</v>
      </c>
      <c r="P232" s="131">
        <f>+P215+P224</f>
        <v>0</v>
      </c>
      <c r="Q232" s="241">
        <f>+Q215+Q224</f>
        <v>0</v>
      </c>
      <c r="R232" s="241">
        <f>+R215+R224</f>
        <v>0</v>
      </c>
      <c r="S232" s="556"/>
      <c r="T232" s="556">
        <f t="shared" si="209"/>
        <v>0</v>
      </c>
      <c r="U232" s="556">
        <f t="shared" si="209"/>
        <v>0</v>
      </c>
      <c r="V232" s="556">
        <f t="shared" si="209"/>
        <v>0</v>
      </c>
      <c r="W232" s="556">
        <f t="shared" si="209"/>
        <v>0</v>
      </c>
      <c r="X232" s="556">
        <f t="shared" ref="X232:AG232" si="214">+X215+X224</f>
        <v>0</v>
      </c>
      <c r="Y232" s="556">
        <f t="shared" si="214"/>
        <v>0</v>
      </c>
      <c r="Z232" s="556">
        <f t="shared" si="214"/>
        <v>0</v>
      </c>
      <c r="AA232" s="556">
        <f t="shared" si="214"/>
        <v>0</v>
      </c>
      <c r="AB232" s="556">
        <f t="shared" si="214"/>
        <v>0</v>
      </c>
      <c r="AC232" s="556">
        <f t="shared" si="214"/>
        <v>0</v>
      </c>
      <c r="AD232" s="556">
        <f t="shared" si="214"/>
        <v>0</v>
      </c>
      <c r="AE232" s="556">
        <f t="shared" si="214"/>
        <v>0</v>
      </c>
      <c r="AF232" s="556">
        <f t="shared" si="214"/>
        <v>0</v>
      </c>
      <c r="AG232" s="556">
        <f t="shared" si="214"/>
        <v>0</v>
      </c>
      <c r="AH232" s="556">
        <f t="shared" ref="AH232:AK232" si="215">+AH215+AH224</f>
        <v>0</v>
      </c>
      <c r="AI232" s="556">
        <f t="shared" si="215"/>
        <v>0</v>
      </c>
      <c r="AJ232" s="556">
        <f t="shared" si="215"/>
        <v>0</v>
      </c>
      <c r="AK232" s="556">
        <f t="shared" si="215"/>
        <v>0</v>
      </c>
      <c r="AL232" s="556">
        <f t="shared" ref="AL232:AP232" si="216">+AL215+AL224</f>
        <v>0</v>
      </c>
      <c r="AM232" s="556">
        <f t="shared" si="216"/>
        <v>0</v>
      </c>
      <c r="AN232" s="556">
        <f t="shared" si="216"/>
        <v>0</v>
      </c>
      <c r="AO232" s="556">
        <f t="shared" si="216"/>
        <v>0</v>
      </c>
      <c r="AP232" s="556">
        <f t="shared" si="216"/>
        <v>0</v>
      </c>
      <c r="AQ232" s="556">
        <f t="shared" ref="AQ232:AS232" si="217">+AQ215+AQ224</f>
        <v>0</v>
      </c>
      <c r="AR232" s="556">
        <f t="shared" si="217"/>
        <v>0</v>
      </c>
      <c r="AS232" s="556">
        <f t="shared" si="217"/>
        <v>0</v>
      </c>
      <c r="AT232" s="556"/>
      <c r="AU232" s="241">
        <f>+AU215+AU224</f>
        <v>0</v>
      </c>
      <c r="AV232" s="131"/>
      <c r="AW232" s="241">
        <f>+AW215+AW224</f>
        <v>0</v>
      </c>
      <c r="AX232" s="241">
        <f>+AW232-'ROR-Model'!G232</f>
        <v>0</v>
      </c>
    </row>
    <row r="233" spans="1:50">
      <c r="A233" s="330"/>
      <c r="B233" s="332"/>
      <c r="C233" s="728"/>
      <c r="D233" s="106"/>
      <c r="E233" s="331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16"/>
      <c r="AW233" s="133"/>
      <c r="AX233" s="133">
        <f>+AW233-'ROR-Model'!G233</f>
        <v>0</v>
      </c>
    </row>
    <row r="234" spans="1:50">
      <c r="A234" s="330"/>
      <c r="B234" s="332"/>
      <c r="C234" s="728" t="s">
        <v>59</v>
      </c>
      <c r="D234" s="106"/>
      <c r="E234" s="331"/>
      <c r="F234" s="116">
        <f>F217+F226</f>
        <v>0</v>
      </c>
      <c r="G234" s="116"/>
      <c r="H234" s="116">
        <f>H1*H217+H226</f>
        <v>0</v>
      </c>
      <c r="I234" s="116">
        <f>I217+I226</f>
        <v>0</v>
      </c>
      <c r="J234" s="116">
        <f t="shared" ref="J234:Q234" si="218">J217+J226</f>
        <v>0</v>
      </c>
      <c r="K234" s="116">
        <f t="shared" si="218"/>
        <v>0</v>
      </c>
      <c r="L234" s="116">
        <f t="shared" si="218"/>
        <v>0</v>
      </c>
      <c r="M234" s="116">
        <f t="shared" si="218"/>
        <v>0</v>
      </c>
      <c r="N234" s="116">
        <f t="shared" si="218"/>
        <v>0</v>
      </c>
      <c r="O234" s="116">
        <f t="shared" si="218"/>
        <v>0</v>
      </c>
      <c r="P234" s="116">
        <f t="shared" si="218"/>
        <v>0</v>
      </c>
      <c r="Q234" s="133">
        <f t="shared" si="218"/>
        <v>0</v>
      </c>
      <c r="R234" s="133">
        <f t="shared" ref="R234" si="219">R217+R226</f>
        <v>0</v>
      </c>
      <c r="S234" s="133"/>
      <c r="T234" s="133">
        <f t="shared" ref="T234:W234" si="220">T217+T226</f>
        <v>0</v>
      </c>
      <c r="U234" s="133">
        <f t="shared" si="220"/>
        <v>0</v>
      </c>
      <c r="V234" s="133">
        <f t="shared" si="220"/>
        <v>0</v>
      </c>
      <c r="W234" s="133">
        <f t="shared" si="220"/>
        <v>0</v>
      </c>
      <c r="X234" s="133">
        <f t="shared" ref="X234:AG234" si="221">X217+X226</f>
        <v>0</v>
      </c>
      <c r="Y234" s="133">
        <f t="shared" si="221"/>
        <v>0</v>
      </c>
      <c r="Z234" s="133">
        <f t="shared" si="221"/>
        <v>0</v>
      </c>
      <c r="AA234" s="133">
        <f t="shared" si="221"/>
        <v>0</v>
      </c>
      <c r="AB234" s="133">
        <f t="shared" si="221"/>
        <v>0</v>
      </c>
      <c r="AC234" s="133">
        <f t="shared" si="221"/>
        <v>0</v>
      </c>
      <c r="AD234" s="133">
        <f t="shared" si="221"/>
        <v>0</v>
      </c>
      <c r="AE234" s="133">
        <f t="shared" si="221"/>
        <v>0</v>
      </c>
      <c r="AF234" s="133">
        <f t="shared" si="221"/>
        <v>0</v>
      </c>
      <c r="AG234" s="133">
        <f t="shared" si="221"/>
        <v>0</v>
      </c>
      <c r="AH234" s="133">
        <f t="shared" ref="AH234:AK234" si="222">AH217+AH226</f>
        <v>0</v>
      </c>
      <c r="AI234" s="133">
        <f t="shared" si="222"/>
        <v>0</v>
      </c>
      <c r="AJ234" s="133">
        <f t="shared" si="222"/>
        <v>0</v>
      </c>
      <c r="AK234" s="133">
        <f t="shared" si="222"/>
        <v>0</v>
      </c>
      <c r="AL234" s="133">
        <f t="shared" ref="AL234:AP234" si="223">AL217+AL226</f>
        <v>0</v>
      </c>
      <c r="AM234" s="133">
        <f t="shared" si="223"/>
        <v>0</v>
      </c>
      <c r="AN234" s="133">
        <f t="shared" si="223"/>
        <v>0</v>
      </c>
      <c r="AO234" s="133">
        <f t="shared" si="223"/>
        <v>0</v>
      </c>
      <c r="AP234" s="133">
        <f t="shared" si="223"/>
        <v>0</v>
      </c>
      <c r="AQ234" s="133">
        <f t="shared" ref="AQ234:AS234" si="224">AQ217+AQ226</f>
        <v>0</v>
      </c>
      <c r="AR234" s="133">
        <f t="shared" si="224"/>
        <v>0</v>
      </c>
      <c r="AS234" s="133">
        <f t="shared" si="224"/>
        <v>0</v>
      </c>
      <c r="AT234" s="133"/>
      <c r="AU234" s="133">
        <f>AU217+AU226</f>
        <v>0</v>
      </c>
      <c r="AV234" s="116"/>
      <c r="AW234" s="133">
        <f>AW217+AW226</f>
        <v>0</v>
      </c>
      <c r="AX234" s="133">
        <f>+AW234-'ROR-Model'!G234</f>
        <v>0</v>
      </c>
    </row>
    <row r="235" spans="1:50">
      <c r="A235" s="330"/>
      <c r="B235" s="728"/>
      <c r="C235" s="728" t="s">
        <v>60</v>
      </c>
      <c r="D235" s="106"/>
      <c r="E235" s="331"/>
      <c r="F235" s="116">
        <v>0</v>
      </c>
      <c r="G235" s="116"/>
      <c r="H235" s="116">
        <v>0</v>
      </c>
      <c r="I235" s="116">
        <v>0</v>
      </c>
      <c r="J235" s="116">
        <v>0</v>
      </c>
      <c r="K235" s="116">
        <v>0</v>
      </c>
      <c r="L235" s="116">
        <v>0</v>
      </c>
      <c r="M235" s="116">
        <v>0</v>
      </c>
      <c r="N235" s="116">
        <v>0</v>
      </c>
      <c r="O235" s="116">
        <v>0</v>
      </c>
      <c r="P235" s="116">
        <v>0</v>
      </c>
      <c r="Q235" s="133">
        <v>0</v>
      </c>
      <c r="R235" s="133">
        <v>0</v>
      </c>
      <c r="S235" s="133"/>
      <c r="T235" s="133">
        <v>0</v>
      </c>
      <c r="U235" s="133">
        <v>0</v>
      </c>
      <c r="V235" s="133">
        <v>0</v>
      </c>
      <c r="W235" s="133">
        <v>0</v>
      </c>
      <c r="X235" s="133">
        <v>0</v>
      </c>
      <c r="Y235" s="133">
        <v>0</v>
      </c>
      <c r="Z235" s="133">
        <v>0</v>
      </c>
      <c r="AA235" s="133">
        <v>0</v>
      </c>
      <c r="AB235" s="133">
        <v>0</v>
      </c>
      <c r="AC235" s="133">
        <v>0</v>
      </c>
      <c r="AD235" s="133">
        <v>0</v>
      </c>
      <c r="AE235" s="133">
        <v>0</v>
      </c>
      <c r="AF235" s="133">
        <v>0</v>
      </c>
      <c r="AG235" s="133">
        <v>0</v>
      </c>
      <c r="AH235" s="133">
        <v>0</v>
      </c>
      <c r="AI235" s="133">
        <v>0</v>
      </c>
      <c r="AJ235" s="133">
        <v>0</v>
      </c>
      <c r="AK235" s="133">
        <v>0</v>
      </c>
      <c r="AL235" s="133">
        <v>0</v>
      </c>
      <c r="AM235" s="133">
        <v>0</v>
      </c>
      <c r="AN235" s="133">
        <v>0</v>
      </c>
      <c r="AO235" s="133">
        <v>0</v>
      </c>
      <c r="AP235" s="133">
        <v>0</v>
      </c>
      <c r="AQ235" s="133">
        <v>0</v>
      </c>
      <c r="AR235" s="133">
        <v>0</v>
      </c>
      <c r="AS235" s="133">
        <v>0</v>
      </c>
      <c r="AT235" s="133"/>
      <c r="AU235" s="133">
        <v>0</v>
      </c>
      <c r="AV235" s="116"/>
      <c r="AW235" s="133">
        <v>0</v>
      </c>
      <c r="AX235" s="133">
        <f>+AW235-'ROR-Model'!G235</f>
        <v>0</v>
      </c>
    </row>
    <row r="236" spans="1:50">
      <c r="A236" s="330"/>
      <c r="B236" s="332"/>
      <c r="C236" s="728" t="s">
        <v>462</v>
      </c>
      <c r="D236" s="106"/>
      <c r="E236" s="331"/>
      <c r="F236" s="131">
        <f>+F217+F226</f>
        <v>0</v>
      </c>
      <c r="G236" s="131"/>
      <c r="H236" s="131">
        <f>H1*+H217+H226</f>
        <v>0</v>
      </c>
      <c r="I236" s="131">
        <f>+I217+I226</f>
        <v>0</v>
      </c>
      <c r="J236" s="131">
        <f t="shared" ref="J236:Q236" si="225">+J217+J226</f>
        <v>0</v>
      </c>
      <c r="K236" s="131">
        <f t="shared" si="225"/>
        <v>0</v>
      </c>
      <c r="L236" s="131">
        <f t="shared" si="225"/>
        <v>0</v>
      </c>
      <c r="M236" s="131">
        <f t="shared" si="225"/>
        <v>0</v>
      </c>
      <c r="N236" s="131">
        <f t="shared" si="225"/>
        <v>0</v>
      </c>
      <c r="O236" s="131">
        <f t="shared" si="225"/>
        <v>0</v>
      </c>
      <c r="P236" s="131">
        <f t="shared" si="225"/>
        <v>0</v>
      </c>
      <c r="Q236" s="241">
        <f t="shared" si="225"/>
        <v>0</v>
      </c>
      <c r="R236" s="241">
        <f t="shared" ref="R236" si="226">+R217+R226</f>
        <v>0</v>
      </c>
      <c r="S236" s="556"/>
      <c r="T236" s="556">
        <f t="shared" ref="T236:W236" si="227">+T217+T226</f>
        <v>0</v>
      </c>
      <c r="U236" s="556">
        <f t="shared" si="227"/>
        <v>0</v>
      </c>
      <c r="V236" s="556">
        <f t="shared" si="227"/>
        <v>0</v>
      </c>
      <c r="W236" s="556">
        <f t="shared" si="227"/>
        <v>0</v>
      </c>
      <c r="X236" s="556">
        <f t="shared" ref="X236:AG236" si="228">+X217+X226</f>
        <v>0</v>
      </c>
      <c r="Y236" s="556">
        <f t="shared" si="228"/>
        <v>0</v>
      </c>
      <c r="Z236" s="556">
        <f t="shared" si="228"/>
        <v>0</v>
      </c>
      <c r="AA236" s="556">
        <f t="shared" si="228"/>
        <v>0</v>
      </c>
      <c r="AB236" s="556">
        <f t="shared" si="228"/>
        <v>0</v>
      </c>
      <c r="AC236" s="556">
        <f t="shared" si="228"/>
        <v>0</v>
      </c>
      <c r="AD236" s="556">
        <f t="shared" si="228"/>
        <v>0</v>
      </c>
      <c r="AE236" s="556">
        <f t="shared" si="228"/>
        <v>0</v>
      </c>
      <c r="AF236" s="556">
        <f t="shared" si="228"/>
        <v>0</v>
      </c>
      <c r="AG236" s="556">
        <f t="shared" si="228"/>
        <v>0</v>
      </c>
      <c r="AH236" s="556">
        <f t="shared" ref="AH236:AK236" si="229">+AH217+AH226</f>
        <v>0</v>
      </c>
      <c r="AI236" s="556">
        <f t="shared" si="229"/>
        <v>0</v>
      </c>
      <c r="AJ236" s="556">
        <f t="shared" si="229"/>
        <v>0</v>
      </c>
      <c r="AK236" s="556">
        <f t="shared" si="229"/>
        <v>0</v>
      </c>
      <c r="AL236" s="556">
        <f t="shared" ref="AL236:AP236" si="230">+AL217+AL226</f>
        <v>0</v>
      </c>
      <c r="AM236" s="556">
        <f t="shared" si="230"/>
        <v>0</v>
      </c>
      <c r="AN236" s="556">
        <f t="shared" si="230"/>
        <v>0</v>
      </c>
      <c r="AO236" s="556">
        <f t="shared" si="230"/>
        <v>0</v>
      </c>
      <c r="AP236" s="556">
        <f t="shared" si="230"/>
        <v>0</v>
      </c>
      <c r="AQ236" s="556">
        <f t="shared" ref="AQ236:AS236" si="231">+AQ217+AQ226</f>
        <v>0</v>
      </c>
      <c r="AR236" s="556">
        <f t="shared" si="231"/>
        <v>0</v>
      </c>
      <c r="AS236" s="556">
        <f t="shared" si="231"/>
        <v>0</v>
      </c>
      <c r="AT236" s="556"/>
      <c r="AU236" s="241">
        <f>+AU217+AU226</f>
        <v>0</v>
      </c>
      <c r="AV236" s="131"/>
      <c r="AW236" s="241">
        <f>+AW217+AW226</f>
        <v>0</v>
      </c>
      <c r="AX236" s="241">
        <f>+AW236-'ROR-Model'!G236</f>
        <v>0</v>
      </c>
    </row>
    <row r="237" spans="1:50">
      <c r="A237" s="330"/>
      <c r="B237" s="113"/>
      <c r="C237" s="114"/>
      <c r="D237" s="106"/>
      <c r="E237" s="331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16"/>
      <c r="AW237" s="133"/>
      <c r="AX237" s="133">
        <f>+AW237-'ROR-Model'!G237</f>
        <v>0</v>
      </c>
    </row>
    <row r="238" spans="1:50">
      <c r="A238" s="59" t="s">
        <v>24</v>
      </c>
      <c r="B238" s="113"/>
      <c r="C238" s="114"/>
      <c r="D238" s="106"/>
      <c r="E238" s="331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16"/>
      <c r="AW238" s="133"/>
      <c r="AX238" s="133">
        <f>+AW238-'ROR-Model'!G238</f>
        <v>0</v>
      </c>
    </row>
    <row r="239" spans="1:50">
      <c r="A239" s="330"/>
      <c r="B239" s="332" t="s">
        <v>15</v>
      </c>
      <c r="C239" s="332" t="s">
        <v>16</v>
      </c>
      <c r="D239" s="106"/>
      <c r="E239" s="331"/>
      <c r="F239" s="116"/>
      <c r="G239" s="116"/>
      <c r="H239" s="116">
        <f>H1*Revenue!$K$238</f>
        <v>4185702.370000001</v>
      </c>
      <c r="I239" s="116"/>
      <c r="J239" s="116"/>
      <c r="K239" s="116"/>
      <c r="L239" s="116"/>
      <c r="M239" s="116"/>
      <c r="N239" s="116"/>
      <c r="O239" s="116"/>
      <c r="P239" s="116"/>
      <c r="Q239" s="133"/>
      <c r="R239" s="133"/>
      <c r="S239" s="133"/>
      <c r="T239" s="133">
        <f>'Optional Adjustment 2'!G239*$T$1</f>
        <v>0</v>
      </c>
      <c r="U239" s="133">
        <f>'Optional Adjustment 3'!G239*$U$1</f>
        <v>0</v>
      </c>
      <c r="V239" s="133">
        <f>'Optional Adjustment 4'!G239*$V$1</f>
        <v>0</v>
      </c>
      <c r="W239" s="133">
        <f>'Optional Adjustment 5'!G239*$W$1</f>
        <v>0</v>
      </c>
      <c r="X239" s="133">
        <f>'Optional Adjustment 6'!G239*$X$1</f>
        <v>0</v>
      </c>
      <c r="Y239" s="133">
        <f>'Optional Adjustment 7'!G239*$Y$1</f>
        <v>0</v>
      </c>
      <c r="Z239" s="133">
        <f>'Optional Adjustment 8'!G239*$Z$1</f>
        <v>0</v>
      </c>
      <c r="AA239" s="133">
        <f>'Optional Adjustment 9'!G239*$AA$1</f>
        <v>0</v>
      </c>
      <c r="AB239" s="133">
        <f>'Optional Adjustment 10'!G239*$AB$1</f>
        <v>0</v>
      </c>
      <c r="AC239" s="133">
        <f>'Optional Adjustment 11'!G239*$AC$1</f>
        <v>0</v>
      </c>
      <c r="AD239" s="133">
        <f>'Optional Adjustment 12'!G239*$AD$1</f>
        <v>0</v>
      </c>
      <c r="AE239" s="133">
        <f>'Optional Adjustment 13'!G239*$AE$1</f>
        <v>0</v>
      </c>
      <c r="AF239" s="133">
        <f>'Optional Adjustment 14'!G239*$AF$1</f>
        <v>0</v>
      </c>
      <c r="AG239" s="133">
        <f>'Optional Adjustment 15'!G239*$AG$1</f>
        <v>0</v>
      </c>
      <c r="AH239" s="133">
        <f>'Optional Adjustment 16'!G239*$AH$1</f>
        <v>0</v>
      </c>
      <c r="AI239" s="133">
        <f>'Optional Adjustment 17'!G239*$AI$1</f>
        <v>0</v>
      </c>
      <c r="AJ239" s="133">
        <f>'Optional Adjustment 18'!G239*$AJ$1</f>
        <v>0</v>
      </c>
      <c r="AK239" s="133">
        <f>'Optional Adjustment 19'!G239*$AK$1</f>
        <v>0</v>
      </c>
      <c r="AL239" s="133">
        <f>'Optional Adjustment 20'!G239*$AL$1</f>
        <v>0</v>
      </c>
      <c r="AM239" s="133">
        <f>'Optional Adjustment 21'!G239*$AM$1</f>
        <v>0</v>
      </c>
      <c r="AN239" s="133">
        <f>'Optional Adjustment 22'!G239*$AN$1</f>
        <v>0</v>
      </c>
      <c r="AO239" s="133">
        <f>'Optional Adjustment 23'!G239*$AO$1</f>
        <v>0</v>
      </c>
      <c r="AP239" s="133">
        <f>'Optional Adjustment 24'!G239*$AP$1</f>
        <v>0</v>
      </c>
      <c r="AQ239" s="133">
        <f>'Optional Adjustment 25'!G239*$AQ$1</f>
        <v>0</v>
      </c>
      <c r="AR239" s="133">
        <f>'Optional Adjustment 26'!G239*$AR$1</f>
        <v>0</v>
      </c>
      <c r="AS239" s="133">
        <f>'Optional Adjustment 27'!G239*$AS$1</f>
        <v>0</v>
      </c>
      <c r="AT239" s="133"/>
      <c r="AU239" s="133">
        <f>SUM(F239:AT239)</f>
        <v>4185702.370000001</v>
      </c>
      <c r="AV239" s="116"/>
      <c r="AW239" s="133">
        <f>SUM(AU239:AU239)</f>
        <v>4185702.370000001</v>
      </c>
      <c r="AX239" s="133">
        <f>+AW239-'ROR-Model'!G239</f>
        <v>0</v>
      </c>
    </row>
    <row r="240" spans="1:50">
      <c r="A240" s="330"/>
      <c r="B240" s="728"/>
      <c r="C240" s="728"/>
      <c r="D240" s="106"/>
      <c r="E240" s="331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16"/>
      <c r="AW240" s="133"/>
      <c r="AX240" s="133">
        <f>+AW240-'ROR-Model'!G240</f>
        <v>0</v>
      </c>
    </row>
    <row r="241" spans="1:50">
      <c r="A241" s="330"/>
      <c r="B241" s="728"/>
      <c r="C241" s="728"/>
      <c r="D241" s="106"/>
      <c r="E241" s="331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>
        <f>SUM(F241:AT241)</f>
        <v>0</v>
      </c>
      <c r="AV241" s="116"/>
      <c r="AW241" s="133">
        <f>SUM(AU241:AU241)</f>
        <v>0</v>
      </c>
      <c r="AX241" s="133">
        <f>+AW241-'ROR-Model'!G241</f>
        <v>0</v>
      </c>
    </row>
    <row r="242" spans="1:50">
      <c r="A242" s="330"/>
      <c r="B242" s="728"/>
      <c r="C242" s="728"/>
      <c r="D242" s="106"/>
      <c r="E242" s="331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16"/>
      <c r="AW242" s="133"/>
      <c r="AX242" s="133">
        <f>+AW242-'ROR-Model'!G242</f>
        <v>0</v>
      </c>
    </row>
    <row r="243" spans="1:50">
      <c r="A243" s="330"/>
      <c r="B243" s="332"/>
      <c r="C243" s="332" t="s">
        <v>18</v>
      </c>
      <c r="D243" s="106"/>
      <c r="E243" s="331"/>
      <c r="F243" s="116"/>
      <c r="G243" s="116"/>
      <c r="H243" s="116">
        <f>H1*Revenue!$K$242</f>
        <v>-1108710.3100000005</v>
      </c>
      <c r="I243" s="116"/>
      <c r="J243" s="116"/>
      <c r="K243" s="116"/>
      <c r="L243" s="116"/>
      <c r="M243" s="116"/>
      <c r="N243" s="116"/>
      <c r="O243" s="116"/>
      <c r="P243" s="116"/>
      <c r="Q243" s="133"/>
      <c r="R243" s="133"/>
      <c r="S243" s="133"/>
      <c r="T243" s="133">
        <f>'Optional Adjustment 2'!G243*$T$1</f>
        <v>0</v>
      </c>
      <c r="U243" s="133">
        <f>'Optional Adjustment 3'!G243*$U$1</f>
        <v>0</v>
      </c>
      <c r="V243" s="133">
        <f>'Optional Adjustment 4'!G243*$V$1</f>
        <v>0</v>
      </c>
      <c r="W243" s="133">
        <f>'Optional Adjustment 5'!G243*$W$1</f>
        <v>0</v>
      </c>
      <c r="X243" s="133">
        <f>'Optional Adjustment 6'!G243*$X$1</f>
        <v>0</v>
      </c>
      <c r="Y243" s="133">
        <f>'Optional Adjustment 7'!G243*$Y$1</f>
        <v>0</v>
      </c>
      <c r="Z243" s="133">
        <f>'Optional Adjustment 8'!G243*$Z$1</f>
        <v>0</v>
      </c>
      <c r="AA243" s="133">
        <f>'Optional Adjustment 9'!G243*$AA$1</f>
        <v>0</v>
      </c>
      <c r="AB243" s="133">
        <f>'Optional Adjustment 10'!G243*$AB$1</f>
        <v>0</v>
      </c>
      <c r="AC243" s="133">
        <f>'Optional Adjustment 11'!G243*$AC$1</f>
        <v>0</v>
      </c>
      <c r="AD243" s="133">
        <f>'Optional Adjustment 12'!G243*$AD$1</f>
        <v>0</v>
      </c>
      <c r="AE243" s="133">
        <f>'Optional Adjustment 13'!G243*$AE$1</f>
        <v>0</v>
      </c>
      <c r="AF243" s="133">
        <f>'Optional Adjustment 14'!G243*$AF$1</f>
        <v>0</v>
      </c>
      <c r="AG243" s="133">
        <f>'Optional Adjustment 15'!G243*$AG$1</f>
        <v>0</v>
      </c>
      <c r="AH243" s="133">
        <f>'Optional Adjustment 16'!G243*$AH$1</f>
        <v>0</v>
      </c>
      <c r="AI243" s="133">
        <f>'Optional Adjustment 17'!G243*$AI$1</f>
        <v>0</v>
      </c>
      <c r="AJ243" s="133">
        <f>'Optional Adjustment 18'!G243*$AJ$1</f>
        <v>0</v>
      </c>
      <c r="AK243" s="133">
        <f>'Optional Adjustment 19'!G243*$AK$1</f>
        <v>0</v>
      </c>
      <c r="AL243" s="133">
        <f>'Optional Adjustment 20'!G243*$AL$1</f>
        <v>0</v>
      </c>
      <c r="AM243" s="133">
        <f>'Optional Adjustment 21'!G243*$AM$1</f>
        <v>0</v>
      </c>
      <c r="AN243" s="133">
        <f>'Optional Adjustment 22'!G243*$AN$1</f>
        <v>0</v>
      </c>
      <c r="AO243" s="133">
        <f>'Optional Adjustment 23'!G243*$AO$1</f>
        <v>0</v>
      </c>
      <c r="AP243" s="133">
        <f>'Optional Adjustment 24'!G243*$AP$1</f>
        <v>0</v>
      </c>
      <c r="AQ243" s="133">
        <f>'Optional Adjustment 25'!G243*$AQ$1</f>
        <v>0</v>
      </c>
      <c r="AR243" s="133">
        <f>'Optional Adjustment 26'!G243*$AR$1</f>
        <v>0</v>
      </c>
      <c r="AS243" s="133">
        <f>'Optional Adjustment 27'!G243*$AS$1</f>
        <v>0</v>
      </c>
      <c r="AT243" s="133"/>
      <c r="AU243" s="133">
        <f>SUM(F243:AT243)</f>
        <v>-1108710.3100000005</v>
      </c>
      <c r="AV243" s="116"/>
      <c r="AW243" s="133">
        <f>SUM(AU243:AU243)</f>
        <v>-1108710.3100000005</v>
      </c>
      <c r="AX243" s="133">
        <f>+AW243-'ROR-Model'!G243</f>
        <v>0</v>
      </c>
    </row>
    <row r="244" spans="1:50">
      <c r="A244" s="330"/>
      <c r="B244" s="332"/>
      <c r="C244" s="332" t="s">
        <v>19</v>
      </c>
      <c r="D244" s="106"/>
      <c r="E244" s="331"/>
      <c r="F244" s="131">
        <f>SUM(F239:F243)</f>
        <v>0</v>
      </c>
      <c r="G244" s="131"/>
      <c r="H244" s="131">
        <f>H1*SUM(H239:H243)</f>
        <v>3076992.0600000005</v>
      </c>
      <c r="I244" s="131">
        <f>SUM(I239:I243)</f>
        <v>0</v>
      </c>
      <c r="J244" s="131">
        <f t="shared" ref="J244:P244" si="232">SUM(J239:J243)</f>
        <v>0</v>
      </c>
      <c r="K244" s="131">
        <f t="shared" si="232"/>
        <v>0</v>
      </c>
      <c r="L244" s="131">
        <f t="shared" si="232"/>
        <v>0</v>
      </c>
      <c r="M244" s="131">
        <f t="shared" si="232"/>
        <v>0</v>
      </c>
      <c r="N244" s="131">
        <f t="shared" si="232"/>
        <v>0</v>
      </c>
      <c r="O244" s="131">
        <f t="shared" si="232"/>
        <v>0</v>
      </c>
      <c r="P244" s="131">
        <f t="shared" si="232"/>
        <v>0</v>
      </c>
      <c r="Q244" s="241">
        <f t="shared" ref="Q244:W244" si="233">SUM(Q239:Q243)</f>
        <v>0</v>
      </c>
      <c r="R244" s="241">
        <f t="shared" si="233"/>
        <v>0</v>
      </c>
      <c r="S244" s="556"/>
      <c r="T244" s="556">
        <f t="shared" si="233"/>
        <v>0</v>
      </c>
      <c r="U244" s="556">
        <f t="shared" si="233"/>
        <v>0</v>
      </c>
      <c r="V244" s="556">
        <f t="shared" si="233"/>
        <v>0</v>
      </c>
      <c r="W244" s="556">
        <f t="shared" si="233"/>
        <v>0</v>
      </c>
      <c r="X244" s="556">
        <f t="shared" ref="X244:AG244" si="234">SUM(X239:X243)</f>
        <v>0</v>
      </c>
      <c r="Y244" s="556">
        <f t="shared" si="234"/>
        <v>0</v>
      </c>
      <c r="Z244" s="556">
        <f t="shared" si="234"/>
        <v>0</v>
      </c>
      <c r="AA244" s="556">
        <f t="shared" si="234"/>
        <v>0</v>
      </c>
      <c r="AB244" s="556">
        <f t="shared" si="234"/>
        <v>0</v>
      </c>
      <c r="AC244" s="556">
        <f t="shared" si="234"/>
        <v>0</v>
      </c>
      <c r="AD244" s="556">
        <f t="shared" si="234"/>
        <v>0</v>
      </c>
      <c r="AE244" s="556">
        <f t="shared" si="234"/>
        <v>0</v>
      </c>
      <c r="AF244" s="556">
        <f t="shared" si="234"/>
        <v>0</v>
      </c>
      <c r="AG244" s="556">
        <f t="shared" si="234"/>
        <v>0</v>
      </c>
      <c r="AH244" s="556">
        <f t="shared" ref="AH244:AK244" si="235">SUM(AH239:AH243)</f>
        <v>0</v>
      </c>
      <c r="AI244" s="556">
        <f t="shared" si="235"/>
        <v>0</v>
      </c>
      <c r="AJ244" s="556">
        <f t="shared" si="235"/>
        <v>0</v>
      </c>
      <c r="AK244" s="556">
        <f t="shared" si="235"/>
        <v>0</v>
      </c>
      <c r="AL244" s="556">
        <f t="shared" ref="AL244:AP244" si="236">SUM(AL239:AL243)</f>
        <v>0</v>
      </c>
      <c r="AM244" s="556">
        <f t="shared" si="236"/>
        <v>0</v>
      </c>
      <c r="AN244" s="556">
        <f t="shared" si="236"/>
        <v>0</v>
      </c>
      <c r="AO244" s="556">
        <f t="shared" si="236"/>
        <v>0</v>
      </c>
      <c r="AP244" s="556">
        <f t="shared" si="236"/>
        <v>0</v>
      </c>
      <c r="AQ244" s="556">
        <f t="shared" ref="AQ244:AS244" si="237">SUM(AQ239:AQ243)</f>
        <v>0</v>
      </c>
      <c r="AR244" s="556">
        <f t="shared" si="237"/>
        <v>0</v>
      </c>
      <c r="AS244" s="556">
        <f t="shared" si="237"/>
        <v>0</v>
      </c>
      <c r="AT244" s="556"/>
      <c r="AU244" s="241">
        <f>SUM(AU239:AU243)</f>
        <v>3076992.0600000005</v>
      </c>
      <c r="AV244" s="131"/>
      <c r="AW244" s="241">
        <f>SUM(AW239:AW243)</f>
        <v>3076992.0600000005</v>
      </c>
      <c r="AX244" s="241">
        <f>+AW244-'ROR-Model'!G244</f>
        <v>0</v>
      </c>
    </row>
    <row r="245" spans="1:50">
      <c r="A245" s="330"/>
      <c r="B245" s="332"/>
      <c r="C245" s="332"/>
      <c r="D245" s="106"/>
      <c r="E245" s="331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16"/>
      <c r="AW245" s="133"/>
      <c r="AX245" s="133">
        <f>+AW245-'ROR-Model'!G245</f>
        <v>0</v>
      </c>
    </row>
    <row r="246" spans="1:50">
      <c r="A246" s="330"/>
      <c r="B246" s="332"/>
      <c r="C246" s="332" t="s">
        <v>20</v>
      </c>
      <c r="D246" s="106"/>
      <c r="E246" s="331"/>
      <c r="F246" s="116"/>
      <c r="G246" s="116"/>
      <c r="H246" s="116">
        <f>H1*Revenue!$K$245</f>
        <v>157327</v>
      </c>
      <c r="I246" s="116"/>
      <c r="J246" s="116"/>
      <c r="K246" s="116"/>
      <c r="L246" s="116"/>
      <c r="M246" s="116"/>
      <c r="N246" s="116"/>
      <c r="O246" s="116"/>
      <c r="P246" s="116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>
        <f>SUM(F246:AT246)</f>
        <v>157327</v>
      </c>
      <c r="AV246" s="116"/>
      <c r="AW246" s="133">
        <f>SUM(AU246:AU246)</f>
        <v>157327</v>
      </c>
      <c r="AX246" s="133">
        <f>+AW246-'ROR-Model'!G246</f>
        <v>0</v>
      </c>
    </row>
    <row r="247" spans="1:50">
      <c r="A247" s="330"/>
      <c r="B247" s="728"/>
      <c r="C247" s="728"/>
      <c r="D247" s="106"/>
      <c r="E247" s="331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16"/>
      <c r="AW247" s="133"/>
      <c r="AX247" s="133">
        <f>+AW247-'ROR-Model'!G247</f>
        <v>0</v>
      </c>
    </row>
    <row r="248" spans="1:50">
      <c r="A248" s="330"/>
      <c r="B248" s="332" t="s">
        <v>809</v>
      </c>
      <c r="C248" s="332" t="s">
        <v>16</v>
      </c>
      <c r="D248" s="106"/>
      <c r="E248" s="331"/>
      <c r="F248" s="116"/>
      <c r="G248" s="116"/>
      <c r="H248" s="116">
        <f>H1*Revenue!$K$247</f>
        <v>-12432.640000000014</v>
      </c>
      <c r="I248" s="116"/>
      <c r="J248" s="116"/>
      <c r="K248" s="116"/>
      <c r="L248" s="116"/>
      <c r="M248" s="116"/>
      <c r="N248" s="116"/>
      <c r="O248" s="116"/>
      <c r="P248" s="116"/>
      <c r="Q248" s="133"/>
      <c r="R248" s="133"/>
      <c r="S248" s="133"/>
      <c r="T248" s="133">
        <f>'Optional Adjustment 2'!G248*$T$1</f>
        <v>0</v>
      </c>
      <c r="U248" s="133">
        <f>'Optional Adjustment 3'!G248*$U$1</f>
        <v>0</v>
      </c>
      <c r="V248" s="133">
        <f>'Optional Adjustment 4'!G248*$V$1</f>
        <v>0</v>
      </c>
      <c r="W248" s="133">
        <f>'Optional Adjustment 5'!G248*$W$1</f>
        <v>0</v>
      </c>
      <c r="X248" s="133">
        <f>'Optional Adjustment 6'!G248*$X$1</f>
        <v>0</v>
      </c>
      <c r="Y248" s="133">
        <f>'Optional Adjustment 7'!G248*$Y$1</f>
        <v>0</v>
      </c>
      <c r="Z248" s="133">
        <f>'Optional Adjustment 8'!G248*$Z$1</f>
        <v>0</v>
      </c>
      <c r="AA248" s="133">
        <f>'Optional Adjustment 9'!G248*$AA$1</f>
        <v>0</v>
      </c>
      <c r="AB248" s="133">
        <f>'Optional Adjustment 10'!G248*$AB$1</f>
        <v>0</v>
      </c>
      <c r="AC248" s="133">
        <f>'Optional Adjustment 11'!G248*$AC$1</f>
        <v>0</v>
      </c>
      <c r="AD248" s="133">
        <f>'Optional Adjustment 12'!G248*$AD$1</f>
        <v>0</v>
      </c>
      <c r="AE248" s="133">
        <f>'Optional Adjustment 13'!G248*$AE$1</f>
        <v>0</v>
      </c>
      <c r="AF248" s="133">
        <f>'Optional Adjustment 14'!G248*$AF$1</f>
        <v>0</v>
      </c>
      <c r="AG248" s="133">
        <f>'Optional Adjustment 15'!G248*$AG$1</f>
        <v>0</v>
      </c>
      <c r="AH248" s="133">
        <f>'Optional Adjustment 16'!G248*$AH$1</f>
        <v>0</v>
      </c>
      <c r="AI248" s="133">
        <f>'Optional Adjustment 17'!G248*$AI$1</f>
        <v>0</v>
      </c>
      <c r="AJ248" s="133">
        <f>'Optional Adjustment 18'!G248*$AJ$1</f>
        <v>0</v>
      </c>
      <c r="AK248" s="133">
        <f>'Optional Adjustment 19'!G248*$AK$1</f>
        <v>0</v>
      </c>
      <c r="AL248" s="133">
        <f>'Optional Adjustment 20'!G248*$AL$1</f>
        <v>0</v>
      </c>
      <c r="AM248" s="133">
        <f>'Optional Adjustment 21'!G248*$AM$1</f>
        <v>0</v>
      </c>
      <c r="AN248" s="133">
        <f>'Optional Adjustment 22'!G248*$AN$1</f>
        <v>0</v>
      </c>
      <c r="AO248" s="133">
        <f>'Optional Adjustment 23'!G248*$AO$1</f>
        <v>0</v>
      </c>
      <c r="AP248" s="133">
        <f>'Optional Adjustment 24'!G248*$AP$1</f>
        <v>0</v>
      </c>
      <c r="AQ248" s="133">
        <f>'Optional Adjustment 25'!G248*$AQ$1</f>
        <v>0</v>
      </c>
      <c r="AR248" s="133">
        <f>'Optional Adjustment 26'!G248*$AR$1</f>
        <v>0</v>
      </c>
      <c r="AS248" s="133">
        <f>'Optional Adjustment 27'!G248*$AS$1</f>
        <v>0</v>
      </c>
      <c r="AT248" s="133"/>
      <c r="AU248" s="133">
        <f>SUM(F248:AT248)</f>
        <v>-12432.640000000014</v>
      </c>
      <c r="AV248" s="116"/>
      <c r="AW248" s="133">
        <f>SUM(AU248:AU248)</f>
        <v>-12432.640000000014</v>
      </c>
      <c r="AX248" s="133">
        <f>+AW248-'ROR-Model'!G248</f>
        <v>0</v>
      </c>
    </row>
    <row r="249" spans="1:50">
      <c r="A249" s="330"/>
      <c r="B249" s="332"/>
      <c r="C249" s="332"/>
      <c r="D249" s="106"/>
      <c r="E249" s="331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16"/>
      <c r="AW249" s="133"/>
      <c r="AX249" s="133">
        <f>+AW249-'ROR-Model'!G249</f>
        <v>0</v>
      </c>
    </row>
    <row r="250" spans="1:50">
      <c r="A250" s="330"/>
      <c r="B250" s="332"/>
      <c r="C250" s="332"/>
      <c r="D250" s="106"/>
      <c r="E250" s="331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>
        <f>SUM(F250:AT250)</f>
        <v>0</v>
      </c>
      <c r="AV250" s="116"/>
      <c r="AW250" s="133">
        <f>SUM(AU250:AU250)</f>
        <v>0</v>
      </c>
      <c r="AX250" s="133">
        <f>+AW250-'ROR-Model'!G250</f>
        <v>0</v>
      </c>
    </row>
    <row r="251" spans="1:50">
      <c r="A251" s="330"/>
      <c r="B251" s="728"/>
      <c r="C251" s="728"/>
      <c r="D251" s="106"/>
      <c r="E251" s="331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16"/>
      <c r="AW251" s="133"/>
      <c r="AX251" s="133">
        <f>+AW251-'ROR-Model'!G251</f>
        <v>0</v>
      </c>
    </row>
    <row r="252" spans="1:50">
      <c r="A252" s="330"/>
      <c r="B252" s="332"/>
      <c r="C252" s="332" t="s">
        <v>18</v>
      </c>
      <c r="D252" s="106"/>
      <c r="E252" s="331"/>
      <c r="F252" s="116"/>
      <c r="G252" s="116"/>
      <c r="H252" s="116">
        <f>H1*Revenue!$K$251</f>
        <v>-83174.050000000047</v>
      </c>
      <c r="I252" s="116"/>
      <c r="J252" s="116"/>
      <c r="K252" s="116"/>
      <c r="L252" s="116"/>
      <c r="M252" s="116"/>
      <c r="N252" s="116"/>
      <c r="O252" s="116"/>
      <c r="P252" s="116"/>
      <c r="Q252" s="133"/>
      <c r="R252" s="133"/>
      <c r="S252" s="133"/>
      <c r="T252" s="133">
        <f>'Optional Adjustment 2'!G252*$T$1</f>
        <v>0</v>
      </c>
      <c r="U252" s="133">
        <f>'Optional Adjustment 3'!G252*$U$1</f>
        <v>0</v>
      </c>
      <c r="V252" s="133">
        <f>'Optional Adjustment 4'!G252*$V$1</f>
        <v>0</v>
      </c>
      <c r="W252" s="133">
        <f>'Optional Adjustment 5'!G252*$W$1</f>
        <v>0</v>
      </c>
      <c r="X252" s="133">
        <f>'Optional Adjustment 6'!G252*$X$1</f>
        <v>0</v>
      </c>
      <c r="Y252" s="133">
        <f>'Optional Adjustment 7'!G252*$Y$1</f>
        <v>0</v>
      </c>
      <c r="Z252" s="133">
        <f>'Optional Adjustment 8'!G252*$Z$1</f>
        <v>0</v>
      </c>
      <c r="AA252" s="133">
        <f>'Optional Adjustment 9'!G252*$AA$1</f>
        <v>0</v>
      </c>
      <c r="AB252" s="133">
        <f>'Optional Adjustment 10'!G252*$AB$1</f>
        <v>0</v>
      </c>
      <c r="AC252" s="133">
        <f>'Optional Adjustment 11'!G252*$AC$1</f>
        <v>0</v>
      </c>
      <c r="AD252" s="133">
        <f>'Optional Adjustment 12'!G252*$AD$1</f>
        <v>0</v>
      </c>
      <c r="AE252" s="133">
        <f>'Optional Adjustment 13'!G252*$AE$1</f>
        <v>0</v>
      </c>
      <c r="AF252" s="133">
        <f>'Optional Adjustment 14'!G252*$AF$1</f>
        <v>0</v>
      </c>
      <c r="AG252" s="133">
        <f>'Optional Adjustment 15'!G252*$AG$1</f>
        <v>0</v>
      </c>
      <c r="AH252" s="133">
        <f>'Optional Adjustment 16'!G252*$AH$1</f>
        <v>0</v>
      </c>
      <c r="AI252" s="133">
        <f>'Optional Adjustment 17'!G252*$AI$1</f>
        <v>0</v>
      </c>
      <c r="AJ252" s="133">
        <f>'Optional Adjustment 18'!G252*$AJ$1</f>
        <v>0</v>
      </c>
      <c r="AK252" s="133">
        <f>'Optional Adjustment 19'!G252*$AK$1</f>
        <v>0</v>
      </c>
      <c r="AL252" s="133">
        <f>'Optional Adjustment 20'!G252*$AL$1</f>
        <v>0</v>
      </c>
      <c r="AM252" s="133">
        <f>'Optional Adjustment 21'!G252*$AM$1</f>
        <v>0</v>
      </c>
      <c r="AN252" s="133">
        <f>'Optional Adjustment 22'!G252*$AN$1</f>
        <v>0</v>
      </c>
      <c r="AO252" s="133">
        <f>'Optional Adjustment 23'!G252*$AO$1</f>
        <v>0</v>
      </c>
      <c r="AP252" s="133">
        <f>'Optional Adjustment 24'!G252*$AP$1</f>
        <v>0</v>
      </c>
      <c r="AQ252" s="133">
        <f>'Optional Adjustment 25'!G252*$AQ$1</f>
        <v>0</v>
      </c>
      <c r="AR252" s="133">
        <f>'Optional Adjustment 26'!G252*$AR$1</f>
        <v>0</v>
      </c>
      <c r="AS252" s="133">
        <f>'Optional Adjustment 27'!G252*$AS$1</f>
        <v>0</v>
      </c>
      <c r="AT252" s="133"/>
      <c r="AU252" s="133">
        <f>SUM(F252:AT252)</f>
        <v>-83174.050000000047</v>
      </c>
      <c r="AV252" s="116"/>
      <c r="AW252" s="133">
        <f>SUM(AU252:AU252)</f>
        <v>-83174.050000000047</v>
      </c>
      <c r="AX252" s="133">
        <f>+AW252-'ROR-Model'!G252</f>
        <v>0</v>
      </c>
    </row>
    <row r="253" spans="1:50">
      <c r="A253" s="330"/>
      <c r="B253" s="332"/>
      <c r="C253" s="332" t="s">
        <v>19</v>
      </c>
      <c r="D253" s="106"/>
      <c r="E253" s="331"/>
      <c r="F253" s="131">
        <f>SUM(F248:F252)</f>
        <v>0</v>
      </c>
      <c r="G253" s="131"/>
      <c r="H253" s="131">
        <f>H1*SUM(H248:H252)</f>
        <v>-95606.690000000061</v>
      </c>
      <c r="I253" s="131">
        <f>SUM(I248:I252)</f>
        <v>0</v>
      </c>
      <c r="J253" s="131">
        <f t="shared" ref="J253:P253" si="238">SUM(J248:J252)</f>
        <v>0</v>
      </c>
      <c r="K253" s="131">
        <f t="shared" si="238"/>
        <v>0</v>
      </c>
      <c r="L253" s="131">
        <f t="shared" si="238"/>
        <v>0</v>
      </c>
      <c r="M253" s="131">
        <f t="shared" si="238"/>
        <v>0</v>
      </c>
      <c r="N253" s="131">
        <f t="shared" si="238"/>
        <v>0</v>
      </c>
      <c r="O253" s="131">
        <f t="shared" si="238"/>
        <v>0</v>
      </c>
      <c r="P253" s="131">
        <f t="shared" si="238"/>
        <v>0</v>
      </c>
      <c r="Q253" s="241">
        <f t="shared" ref="Q253:W253" si="239">SUM(Q248:Q252)</f>
        <v>0</v>
      </c>
      <c r="R253" s="241">
        <f t="shared" si="239"/>
        <v>0</v>
      </c>
      <c r="S253" s="556"/>
      <c r="T253" s="556">
        <f t="shared" si="239"/>
        <v>0</v>
      </c>
      <c r="U253" s="556">
        <f t="shared" si="239"/>
        <v>0</v>
      </c>
      <c r="V253" s="556">
        <f t="shared" si="239"/>
        <v>0</v>
      </c>
      <c r="W253" s="556">
        <f t="shared" si="239"/>
        <v>0</v>
      </c>
      <c r="X253" s="556">
        <f t="shared" ref="X253:AG253" si="240">SUM(X248:X252)</f>
        <v>0</v>
      </c>
      <c r="Y253" s="556">
        <f t="shared" si="240"/>
        <v>0</v>
      </c>
      <c r="Z253" s="556">
        <f t="shared" si="240"/>
        <v>0</v>
      </c>
      <c r="AA253" s="556">
        <f t="shared" si="240"/>
        <v>0</v>
      </c>
      <c r="AB253" s="556">
        <f t="shared" si="240"/>
        <v>0</v>
      </c>
      <c r="AC253" s="556">
        <f t="shared" si="240"/>
        <v>0</v>
      </c>
      <c r="AD253" s="556">
        <f t="shared" si="240"/>
        <v>0</v>
      </c>
      <c r="AE253" s="556">
        <f t="shared" si="240"/>
        <v>0</v>
      </c>
      <c r="AF253" s="556">
        <f t="shared" si="240"/>
        <v>0</v>
      </c>
      <c r="AG253" s="556">
        <f t="shared" si="240"/>
        <v>0</v>
      </c>
      <c r="AH253" s="556">
        <f t="shared" ref="AH253:AK253" si="241">SUM(AH248:AH252)</f>
        <v>0</v>
      </c>
      <c r="AI253" s="556">
        <f t="shared" si="241"/>
        <v>0</v>
      </c>
      <c r="AJ253" s="556">
        <f t="shared" si="241"/>
        <v>0</v>
      </c>
      <c r="AK253" s="556">
        <f t="shared" si="241"/>
        <v>0</v>
      </c>
      <c r="AL253" s="556">
        <f t="shared" ref="AL253:AP253" si="242">SUM(AL248:AL252)</f>
        <v>0</v>
      </c>
      <c r="AM253" s="556">
        <f t="shared" si="242"/>
        <v>0</v>
      </c>
      <c r="AN253" s="556">
        <f t="shared" si="242"/>
        <v>0</v>
      </c>
      <c r="AO253" s="556">
        <f t="shared" si="242"/>
        <v>0</v>
      </c>
      <c r="AP253" s="556">
        <f t="shared" si="242"/>
        <v>0</v>
      </c>
      <c r="AQ253" s="556">
        <f t="shared" ref="AQ253:AS253" si="243">SUM(AQ248:AQ252)</f>
        <v>0</v>
      </c>
      <c r="AR253" s="556">
        <f t="shared" si="243"/>
        <v>0</v>
      </c>
      <c r="AS253" s="556">
        <f t="shared" si="243"/>
        <v>0</v>
      </c>
      <c r="AT253" s="556"/>
      <c r="AU253" s="241">
        <f>SUM(AU248:AU252)</f>
        <v>-95606.690000000061</v>
      </c>
      <c r="AV253" s="131"/>
      <c r="AW253" s="241">
        <f>SUM(AW248:AW252)</f>
        <v>-95606.690000000061</v>
      </c>
      <c r="AX253" s="241">
        <f>+AW253-'ROR-Model'!G253</f>
        <v>0</v>
      </c>
    </row>
    <row r="254" spans="1:50">
      <c r="A254" s="330"/>
      <c r="B254" s="332"/>
      <c r="C254" s="332"/>
      <c r="D254" s="106"/>
      <c r="E254" s="331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16"/>
      <c r="AW254" s="133"/>
      <c r="AX254" s="133">
        <f>+AW254-'ROR-Model'!G254</f>
        <v>0</v>
      </c>
    </row>
    <row r="255" spans="1:50">
      <c r="A255" s="330"/>
      <c r="B255" s="332"/>
      <c r="C255" s="332" t="s">
        <v>20</v>
      </c>
      <c r="D255" s="106"/>
      <c r="E255" s="331"/>
      <c r="F255" s="116"/>
      <c r="G255" s="116"/>
      <c r="H255" s="116">
        <f>H1*Revenue!$K$254</f>
        <v>1178</v>
      </c>
      <c r="I255" s="116"/>
      <c r="J255" s="116"/>
      <c r="K255" s="116"/>
      <c r="L255" s="116"/>
      <c r="M255" s="116"/>
      <c r="N255" s="116"/>
      <c r="O255" s="116"/>
      <c r="P255" s="116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>
        <f>SUM(F255:AT255)</f>
        <v>1178</v>
      </c>
      <c r="AV255" s="116"/>
      <c r="AW255" s="133">
        <f>SUM(AU255:AU255)</f>
        <v>1178</v>
      </c>
      <c r="AX255" s="133">
        <f>+AW255-'ROR-Model'!G255</f>
        <v>0</v>
      </c>
    </row>
    <row r="256" spans="1:50">
      <c r="A256" s="330"/>
      <c r="B256" s="728"/>
      <c r="C256" s="728"/>
      <c r="D256" s="106"/>
      <c r="E256" s="331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16"/>
      <c r="AW256" s="133"/>
      <c r="AX256" s="133">
        <f>+AW256-'ROR-Model'!G256</f>
        <v>0</v>
      </c>
    </row>
    <row r="257" spans="1:50">
      <c r="A257" s="330"/>
      <c r="B257" s="332" t="s">
        <v>810</v>
      </c>
      <c r="C257" s="332" t="s">
        <v>16</v>
      </c>
      <c r="D257" s="106"/>
      <c r="E257" s="331"/>
      <c r="F257" s="116"/>
      <c r="G257" s="116"/>
      <c r="H257" s="116">
        <f>H1*Revenue!$K$256</f>
        <v>-28578.709690600008</v>
      </c>
      <c r="I257" s="116"/>
      <c r="J257" s="116"/>
      <c r="K257" s="116"/>
      <c r="L257" s="116"/>
      <c r="M257" s="116"/>
      <c r="N257" s="116"/>
      <c r="O257" s="116"/>
      <c r="P257" s="116"/>
      <c r="Q257" s="133"/>
      <c r="R257" s="133"/>
      <c r="S257" s="133"/>
      <c r="T257" s="133">
        <f>'Optional Adjustment 2'!G257*$T$1</f>
        <v>0</v>
      </c>
      <c r="U257" s="133">
        <f>'Optional Adjustment 3'!G257*$U$1</f>
        <v>0</v>
      </c>
      <c r="V257" s="133">
        <f>'Optional Adjustment 4'!G257*$V$1</f>
        <v>0</v>
      </c>
      <c r="W257" s="133">
        <f>'Optional Adjustment 5'!G257*$W$1</f>
        <v>0</v>
      </c>
      <c r="X257" s="133">
        <f>'Optional Adjustment 6'!G257*$X$1</f>
        <v>0</v>
      </c>
      <c r="Y257" s="133">
        <f>'Optional Adjustment 7'!G257*$Y$1</f>
        <v>0</v>
      </c>
      <c r="Z257" s="133">
        <f>'Optional Adjustment 8'!G257*$Z$1</f>
        <v>0</v>
      </c>
      <c r="AA257" s="133">
        <f>'Optional Adjustment 9'!G257*$AA$1</f>
        <v>0</v>
      </c>
      <c r="AB257" s="133">
        <f>'Optional Adjustment 10'!G257*$AB$1</f>
        <v>0</v>
      </c>
      <c r="AC257" s="133">
        <f>'Optional Adjustment 11'!G257*$AC$1</f>
        <v>0</v>
      </c>
      <c r="AD257" s="133">
        <f>'Optional Adjustment 12'!G257*$AD$1</f>
        <v>0</v>
      </c>
      <c r="AE257" s="133">
        <f>'Optional Adjustment 13'!G257*$AE$1</f>
        <v>0</v>
      </c>
      <c r="AF257" s="133">
        <f>'Optional Adjustment 14'!G257*$AF$1</f>
        <v>0</v>
      </c>
      <c r="AG257" s="133">
        <f>'Optional Adjustment 15'!G257*$AG$1</f>
        <v>0</v>
      </c>
      <c r="AH257" s="133">
        <f>'Optional Adjustment 16'!G257*$AH$1</f>
        <v>0</v>
      </c>
      <c r="AI257" s="133">
        <f>'Optional Adjustment 17'!G257*$AI$1</f>
        <v>0</v>
      </c>
      <c r="AJ257" s="133">
        <f>'Optional Adjustment 18'!G257*$AJ$1</f>
        <v>0</v>
      </c>
      <c r="AK257" s="133">
        <f>'Optional Adjustment 19'!G257*$AK$1</f>
        <v>0</v>
      </c>
      <c r="AL257" s="133">
        <f>'Optional Adjustment 20'!G257*$AL$1</f>
        <v>0</v>
      </c>
      <c r="AM257" s="133">
        <f>'Optional Adjustment 21'!G257*$AM$1</f>
        <v>0</v>
      </c>
      <c r="AN257" s="133">
        <f>'Optional Adjustment 22'!G257*$AN$1</f>
        <v>0</v>
      </c>
      <c r="AO257" s="133">
        <f>'Optional Adjustment 23'!G257*$AO$1</f>
        <v>0</v>
      </c>
      <c r="AP257" s="133">
        <f>'Optional Adjustment 24'!G257*$AP$1</f>
        <v>0</v>
      </c>
      <c r="AQ257" s="133">
        <f>'Optional Adjustment 25'!G257*$AQ$1</f>
        <v>0</v>
      </c>
      <c r="AR257" s="133">
        <f>'Optional Adjustment 26'!G257*$AR$1</f>
        <v>0</v>
      </c>
      <c r="AS257" s="133">
        <f>'Optional Adjustment 27'!G257*$AS$1</f>
        <v>0</v>
      </c>
      <c r="AT257" s="133"/>
      <c r="AU257" s="133">
        <f>SUM(F257:AT257)</f>
        <v>-28578.709690600008</v>
      </c>
      <c r="AV257" s="116"/>
      <c r="AW257" s="133">
        <f>SUM(AU257:AU257)</f>
        <v>-28578.709690600008</v>
      </c>
      <c r="AX257" s="133">
        <f>+AW257-'ROR-Model'!G257</f>
        <v>0</v>
      </c>
    </row>
    <row r="258" spans="1:50">
      <c r="A258" s="330"/>
      <c r="B258" s="332"/>
      <c r="C258" s="332"/>
      <c r="D258" s="106"/>
      <c r="E258" s="331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16"/>
      <c r="AW258" s="133"/>
      <c r="AX258" s="133">
        <f>+AW258-'ROR-Model'!G258</f>
        <v>0</v>
      </c>
    </row>
    <row r="259" spans="1:50">
      <c r="A259" s="330"/>
      <c r="B259" s="332"/>
      <c r="C259" s="332"/>
      <c r="D259" s="106"/>
      <c r="E259" s="331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>
        <f>SUM(F259:AT259)</f>
        <v>0</v>
      </c>
      <c r="AV259" s="116"/>
      <c r="AW259" s="133">
        <f>SUM(AU259:AU259)</f>
        <v>0</v>
      </c>
      <c r="AX259" s="133">
        <f>+AW259-'ROR-Model'!G259</f>
        <v>0</v>
      </c>
    </row>
    <row r="260" spans="1:50">
      <c r="A260" s="330"/>
      <c r="B260" s="728"/>
      <c r="C260" s="728"/>
      <c r="D260" s="106"/>
      <c r="E260" s="331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16"/>
      <c r="AW260" s="133"/>
      <c r="AX260" s="133">
        <f>+AW260-'ROR-Model'!G260</f>
        <v>0</v>
      </c>
    </row>
    <row r="261" spans="1:50">
      <c r="A261" s="330"/>
      <c r="B261" s="332"/>
      <c r="C261" s="332" t="s">
        <v>18</v>
      </c>
      <c r="D261" s="106"/>
      <c r="E261" s="331"/>
      <c r="F261" s="116"/>
      <c r="G261" s="116"/>
      <c r="H261" s="116">
        <f>H1*Revenue!$K$260</f>
        <v>-14476.180309399999</v>
      </c>
      <c r="I261" s="116"/>
      <c r="J261" s="116"/>
      <c r="K261" s="116"/>
      <c r="L261" s="116"/>
      <c r="M261" s="116"/>
      <c r="N261" s="116"/>
      <c r="O261" s="116"/>
      <c r="P261" s="116"/>
      <c r="Q261" s="133"/>
      <c r="R261" s="133"/>
      <c r="S261" s="133"/>
      <c r="T261" s="133">
        <f>'Optional Adjustment 2'!G261*$T$1</f>
        <v>0</v>
      </c>
      <c r="U261" s="133">
        <f>'Optional Adjustment 3'!G261*$U$1</f>
        <v>0</v>
      </c>
      <c r="V261" s="133">
        <f>'Optional Adjustment 4'!G261*$V$1</f>
        <v>0</v>
      </c>
      <c r="W261" s="133">
        <f>'Optional Adjustment 5'!G261*$W$1</f>
        <v>0</v>
      </c>
      <c r="X261" s="133">
        <f>'Optional Adjustment 6'!G261*$X$1</f>
        <v>0</v>
      </c>
      <c r="Y261" s="133">
        <f>'Optional Adjustment 7'!G261*$Y$1</f>
        <v>0</v>
      </c>
      <c r="Z261" s="133">
        <f>'Optional Adjustment 8'!G261*$Z$1</f>
        <v>0</v>
      </c>
      <c r="AA261" s="133">
        <f>'Optional Adjustment 9'!G261*$AA$1</f>
        <v>0</v>
      </c>
      <c r="AB261" s="133">
        <f>'Optional Adjustment 10'!G261*$AB$1</f>
        <v>0</v>
      </c>
      <c r="AC261" s="133">
        <f>'Optional Adjustment 11'!G261*$AC$1</f>
        <v>0</v>
      </c>
      <c r="AD261" s="133">
        <f>'Optional Adjustment 12'!G261*$AD$1</f>
        <v>0</v>
      </c>
      <c r="AE261" s="133">
        <f>'Optional Adjustment 13'!G261*$AE$1</f>
        <v>0</v>
      </c>
      <c r="AF261" s="133">
        <f>'Optional Adjustment 14'!G261*$AF$1</f>
        <v>0</v>
      </c>
      <c r="AG261" s="133">
        <f>'Optional Adjustment 15'!G261*$AG$1</f>
        <v>0</v>
      </c>
      <c r="AH261" s="133">
        <f>'Optional Adjustment 16'!G261*$AH$1</f>
        <v>0</v>
      </c>
      <c r="AI261" s="133">
        <f>'Optional Adjustment 17'!G261*$AI$1</f>
        <v>0</v>
      </c>
      <c r="AJ261" s="133">
        <f>'Optional Adjustment 18'!G261*$AJ$1</f>
        <v>0</v>
      </c>
      <c r="AK261" s="133">
        <f>'Optional Adjustment 19'!G261*$AK$1</f>
        <v>0</v>
      </c>
      <c r="AL261" s="133">
        <f>'Optional Adjustment 20'!G261*$AL$1</f>
        <v>0</v>
      </c>
      <c r="AM261" s="133">
        <f>'Optional Adjustment 21'!G261*$AM$1</f>
        <v>0</v>
      </c>
      <c r="AN261" s="133">
        <f>'Optional Adjustment 22'!G261*$AN$1</f>
        <v>0</v>
      </c>
      <c r="AO261" s="133">
        <f>'Optional Adjustment 23'!G261*$AO$1</f>
        <v>0</v>
      </c>
      <c r="AP261" s="133">
        <f>'Optional Adjustment 24'!G261*$AP$1</f>
        <v>0</v>
      </c>
      <c r="AQ261" s="133">
        <f>'Optional Adjustment 25'!G261*$AQ$1</f>
        <v>0</v>
      </c>
      <c r="AR261" s="133">
        <f>'Optional Adjustment 26'!G261*$AR$1</f>
        <v>0</v>
      </c>
      <c r="AS261" s="133">
        <f>'Optional Adjustment 27'!G261*$AS$1</f>
        <v>0</v>
      </c>
      <c r="AT261" s="133"/>
      <c r="AU261" s="133">
        <f>SUM(F261:AT261)</f>
        <v>-14476.180309399999</v>
      </c>
      <c r="AV261" s="116"/>
      <c r="AW261" s="133">
        <f>SUM(AU261:AU261)</f>
        <v>-14476.180309399999</v>
      </c>
      <c r="AX261" s="133">
        <f>+AW261-'ROR-Model'!G261</f>
        <v>0</v>
      </c>
    </row>
    <row r="262" spans="1:50">
      <c r="A262" s="330"/>
      <c r="B262" s="332"/>
      <c r="C262" s="332" t="s">
        <v>19</v>
      </c>
      <c r="D262" s="106"/>
      <c r="E262" s="331"/>
      <c r="F262" s="131">
        <f>SUM(F257:F261)</f>
        <v>0</v>
      </c>
      <c r="G262" s="131"/>
      <c r="H262" s="131">
        <f>H1*SUM(H257:H261)</f>
        <v>-43054.890000000007</v>
      </c>
      <c r="I262" s="131">
        <f>SUM(I257:I261)</f>
        <v>0</v>
      </c>
      <c r="J262" s="131">
        <f t="shared" ref="J262:P262" si="244">SUM(J257:J261)</f>
        <v>0</v>
      </c>
      <c r="K262" s="131">
        <f t="shared" si="244"/>
        <v>0</v>
      </c>
      <c r="L262" s="131">
        <f t="shared" si="244"/>
        <v>0</v>
      </c>
      <c r="M262" s="131">
        <f t="shared" si="244"/>
        <v>0</v>
      </c>
      <c r="N262" s="131">
        <f t="shared" si="244"/>
        <v>0</v>
      </c>
      <c r="O262" s="131">
        <f t="shared" si="244"/>
        <v>0</v>
      </c>
      <c r="P262" s="131">
        <f t="shared" si="244"/>
        <v>0</v>
      </c>
      <c r="Q262" s="241">
        <f t="shared" ref="Q262:W262" si="245">SUM(Q257:Q261)</f>
        <v>0</v>
      </c>
      <c r="R262" s="241">
        <f t="shared" si="245"/>
        <v>0</v>
      </c>
      <c r="S262" s="556"/>
      <c r="T262" s="556">
        <f t="shared" si="245"/>
        <v>0</v>
      </c>
      <c r="U262" s="556">
        <f t="shared" si="245"/>
        <v>0</v>
      </c>
      <c r="V262" s="556">
        <f t="shared" si="245"/>
        <v>0</v>
      </c>
      <c r="W262" s="556">
        <f t="shared" si="245"/>
        <v>0</v>
      </c>
      <c r="X262" s="556">
        <f t="shared" ref="X262:AG262" si="246">SUM(X257:X261)</f>
        <v>0</v>
      </c>
      <c r="Y262" s="556">
        <f t="shared" si="246"/>
        <v>0</v>
      </c>
      <c r="Z262" s="556">
        <f t="shared" si="246"/>
        <v>0</v>
      </c>
      <c r="AA262" s="556">
        <f t="shared" si="246"/>
        <v>0</v>
      </c>
      <c r="AB262" s="556">
        <f t="shared" si="246"/>
        <v>0</v>
      </c>
      <c r="AC262" s="556">
        <f t="shared" si="246"/>
        <v>0</v>
      </c>
      <c r="AD262" s="556">
        <f t="shared" si="246"/>
        <v>0</v>
      </c>
      <c r="AE262" s="556">
        <f t="shared" si="246"/>
        <v>0</v>
      </c>
      <c r="AF262" s="556">
        <f t="shared" si="246"/>
        <v>0</v>
      </c>
      <c r="AG262" s="556">
        <f t="shared" si="246"/>
        <v>0</v>
      </c>
      <c r="AH262" s="556">
        <f t="shared" ref="AH262:AK262" si="247">SUM(AH257:AH261)</f>
        <v>0</v>
      </c>
      <c r="AI262" s="556">
        <f t="shared" si="247"/>
        <v>0</v>
      </c>
      <c r="AJ262" s="556">
        <f t="shared" si="247"/>
        <v>0</v>
      </c>
      <c r="AK262" s="556">
        <f t="shared" si="247"/>
        <v>0</v>
      </c>
      <c r="AL262" s="556">
        <f t="shared" ref="AL262:AP262" si="248">SUM(AL257:AL261)</f>
        <v>0</v>
      </c>
      <c r="AM262" s="556">
        <f t="shared" si="248"/>
        <v>0</v>
      </c>
      <c r="AN262" s="556">
        <f t="shared" si="248"/>
        <v>0</v>
      </c>
      <c r="AO262" s="556">
        <f t="shared" si="248"/>
        <v>0</v>
      </c>
      <c r="AP262" s="556">
        <f t="shared" si="248"/>
        <v>0</v>
      </c>
      <c r="AQ262" s="556">
        <f t="shared" ref="AQ262:AS262" si="249">SUM(AQ257:AQ261)</f>
        <v>0</v>
      </c>
      <c r="AR262" s="556">
        <f t="shared" si="249"/>
        <v>0</v>
      </c>
      <c r="AS262" s="556">
        <f t="shared" si="249"/>
        <v>0</v>
      </c>
      <c r="AT262" s="556"/>
      <c r="AU262" s="241">
        <f>SUM(AU257:AU261)</f>
        <v>-43054.890000000007</v>
      </c>
      <c r="AV262" s="131"/>
      <c r="AW262" s="241">
        <f>SUM(AW257:AW261)</f>
        <v>-43054.890000000007</v>
      </c>
      <c r="AX262" s="241">
        <f>+AW262-'ROR-Model'!G262</f>
        <v>0</v>
      </c>
    </row>
    <row r="263" spans="1:50">
      <c r="A263" s="330"/>
      <c r="B263" s="332"/>
      <c r="C263" s="332"/>
      <c r="D263" s="106"/>
      <c r="E263" s="331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16"/>
      <c r="AW263" s="133"/>
      <c r="AX263" s="133">
        <f>+AW263-'ROR-Model'!G263</f>
        <v>0</v>
      </c>
    </row>
    <row r="264" spans="1:50">
      <c r="A264" s="330"/>
      <c r="B264" s="332"/>
      <c r="C264" s="332" t="s">
        <v>20</v>
      </c>
      <c r="D264" s="106"/>
      <c r="E264" s="331"/>
      <c r="F264" s="116"/>
      <c r="G264" s="116"/>
      <c r="H264" s="116">
        <f>H1*Revenue!$K$263</f>
        <v>-2440.8700000000008</v>
      </c>
      <c r="I264" s="116"/>
      <c r="J264" s="116"/>
      <c r="K264" s="116"/>
      <c r="L264" s="116"/>
      <c r="M264" s="116"/>
      <c r="N264" s="116"/>
      <c r="O264" s="116"/>
      <c r="P264" s="116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>
        <f>SUM(F264:AT264)</f>
        <v>-2440.8700000000008</v>
      </c>
      <c r="AV264" s="116"/>
      <c r="AW264" s="133">
        <f>SUM(AU264:AU264)</f>
        <v>-2440.8700000000008</v>
      </c>
      <c r="AX264" s="133">
        <f>+AW264-'ROR-Model'!G264</f>
        <v>0</v>
      </c>
    </row>
    <row r="265" spans="1:50">
      <c r="A265" s="330"/>
      <c r="B265" s="728"/>
      <c r="C265" s="728"/>
      <c r="D265" s="106"/>
      <c r="E265" s="331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16"/>
      <c r="AW265" s="133"/>
      <c r="AX265" s="133">
        <f>+AW265-'ROR-Model'!G265</f>
        <v>0</v>
      </c>
    </row>
    <row r="266" spans="1:50">
      <c r="A266" s="330"/>
      <c r="B266" s="332" t="s">
        <v>765</v>
      </c>
      <c r="C266" s="332" t="s">
        <v>16</v>
      </c>
      <c r="D266" s="106"/>
      <c r="E266" s="331"/>
      <c r="F266" s="116"/>
      <c r="G266" s="116"/>
      <c r="H266" s="116">
        <f>H1*Revenue!$K$265</f>
        <v>0</v>
      </c>
      <c r="I266" s="116"/>
      <c r="J266" s="116"/>
      <c r="K266" s="116"/>
      <c r="L266" s="116"/>
      <c r="M266" s="116"/>
      <c r="N266" s="116"/>
      <c r="O266" s="116"/>
      <c r="P266" s="116"/>
      <c r="Q266" s="133"/>
      <c r="R266" s="133"/>
      <c r="S266" s="133"/>
      <c r="T266" s="133">
        <f>'Optional Adjustment 2'!G266*$T$1</f>
        <v>0</v>
      </c>
      <c r="U266" s="133">
        <f>'Optional Adjustment 3'!G266*$U$1</f>
        <v>0</v>
      </c>
      <c r="V266" s="133">
        <f>'Optional Adjustment 4'!G266*$V$1</f>
        <v>0</v>
      </c>
      <c r="W266" s="133">
        <f>'Optional Adjustment 5'!G266*$W$1</f>
        <v>0</v>
      </c>
      <c r="X266" s="133">
        <f>'Optional Adjustment 6'!G266*$X$1</f>
        <v>0</v>
      </c>
      <c r="Y266" s="133">
        <f>'Optional Adjustment 7'!G266*$Y$1</f>
        <v>0</v>
      </c>
      <c r="Z266" s="133">
        <f>'Optional Adjustment 8'!G266*$Z$1</f>
        <v>0</v>
      </c>
      <c r="AA266" s="133">
        <f>'Optional Adjustment 9'!G266*$AA$1</f>
        <v>0</v>
      </c>
      <c r="AB266" s="133">
        <f>'Optional Adjustment 10'!G266*$AB$1</f>
        <v>0</v>
      </c>
      <c r="AC266" s="133">
        <f>'Optional Adjustment 11'!G266*$AC$1</f>
        <v>0</v>
      </c>
      <c r="AD266" s="133">
        <f>'Optional Adjustment 12'!G266*$AD$1</f>
        <v>0</v>
      </c>
      <c r="AE266" s="133">
        <f>'Optional Adjustment 13'!G266*$AE$1</f>
        <v>0</v>
      </c>
      <c r="AF266" s="133">
        <f>'Optional Adjustment 14'!G266*$AF$1</f>
        <v>0</v>
      </c>
      <c r="AG266" s="133">
        <f>'Optional Adjustment 15'!G266*$AG$1</f>
        <v>0</v>
      </c>
      <c r="AH266" s="133">
        <f>'Optional Adjustment 16'!G266*$AH$1</f>
        <v>0</v>
      </c>
      <c r="AI266" s="133">
        <f>'Optional Adjustment 17'!G266*$AI$1</f>
        <v>0</v>
      </c>
      <c r="AJ266" s="133">
        <f>'Optional Adjustment 18'!G266*$AJ$1</f>
        <v>0</v>
      </c>
      <c r="AK266" s="133">
        <f>'Optional Adjustment 19'!G266*$AK$1</f>
        <v>0</v>
      </c>
      <c r="AL266" s="133">
        <f>'Optional Adjustment 20'!G266*$AL$1</f>
        <v>0</v>
      </c>
      <c r="AM266" s="133">
        <f>'Optional Adjustment 21'!G266*$AM$1</f>
        <v>0</v>
      </c>
      <c r="AN266" s="133">
        <f>'Optional Adjustment 22'!G266*$AN$1</f>
        <v>0</v>
      </c>
      <c r="AO266" s="133">
        <f>'Optional Adjustment 23'!G266*$AO$1</f>
        <v>0</v>
      </c>
      <c r="AP266" s="133">
        <f>'Optional Adjustment 24'!G266*$AP$1</f>
        <v>0</v>
      </c>
      <c r="AQ266" s="133">
        <f>'Optional Adjustment 25'!G266*$AQ$1</f>
        <v>0</v>
      </c>
      <c r="AR266" s="133">
        <f>'Optional Adjustment 26'!G266*$AR$1</f>
        <v>0</v>
      </c>
      <c r="AS266" s="133">
        <f>'Optional Adjustment 27'!G266*$AS$1</f>
        <v>0</v>
      </c>
      <c r="AT266" s="133"/>
      <c r="AU266" s="133">
        <f>SUM(F266:AT266)</f>
        <v>0</v>
      </c>
      <c r="AV266" s="116"/>
      <c r="AW266" s="133">
        <f>SUM(AU266:AU266)</f>
        <v>0</v>
      </c>
      <c r="AX266" s="133">
        <f>+AW266-'ROR-Model'!G266</f>
        <v>0</v>
      </c>
    </row>
    <row r="267" spans="1:50">
      <c r="A267" s="330"/>
      <c r="B267" s="332"/>
      <c r="C267" s="332"/>
      <c r="D267" s="106"/>
      <c r="E267" s="331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  <c r="AV267" s="116"/>
      <c r="AW267" s="133"/>
      <c r="AX267" s="133">
        <f>+AW267-'ROR-Model'!G267</f>
        <v>0</v>
      </c>
    </row>
    <row r="268" spans="1:50">
      <c r="A268" s="330"/>
      <c r="B268" s="332"/>
      <c r="C268" s="332"/>
      <c r="D268" s="106"/>
      <c r="E268" s="331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>
        <f>SUM(F268:AT268)</f>
        <v>0</v>
      </c>
      <c r="AV268" s="116"/>
      <c r="AW268" s="133">
        <f>SUM(AU268:AU268)</f>
        <v>0</v>
      </c>
      <c r="AX268" s="133">
        <f>+AW268-'ROR-Model'!G268</f>
        <v>0</v>
      </c>
    </row>
    <row r="269" spans="1:50">
      <c r="A269" s="330"/>
      <c r="B269" s="728"/>
      <c r="C269" s="728"/>
      <c r="D269" s="106"/>
      <c r="E269" s="331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16"/>
      <c r="AW269" s="133"/>
      <c r="AX269" s="133">
        <f>+AW269-'ROR-Model'!G269</f>
        <v>0</v>
      </c>
    </row>
    <row r="270" spans="1:50">
      <c r="A270" s="330"/>
      <c r="B270" s="332"/>
      <c r="C270" s="332" t="s">
        <v>18</v>
      </c>
      <c r="D270" s="106"/>
      <c r="E270" s="331"/>
      <c r="F270" s="116"/>
      <c r="G270" s="116"/>
      <c r="H270" s="116">
        <f>H1*Revenue!$K$269</f>
        <v>0</v>
      </c>
      <c r="I270" s="116"/>
      <c r="J270" s="116"/>
      <c r="K270" s="116"/>
      <c r="L270" s="116"/>
      <c r="M270" s="116"/>
      <c r="N270" s="116"/>
      <c r="O270" s="116"/>
      <c r="P270" s="116"/>
      <c r="Q270" s="133"/>
      <c r="R270" s="133"/>
      <c r="S270" s="133"/>
      <c r="T270" s="133">
        <f>'Optional Adjustment 2'!G270*$T$1</f>
        <v>0</v>
      </c>
      <c r="U270" s="133">
        <f>'Optional Adjustment 3'!G270*$U$1</f>
        <v>0</v>
      </c>
      <c r="V270" s="133">
        <f>'Optional Adjustment 4'!G270*$V$1</f>
        <v>0</v>
      </c>
      <c r="W270" s="133">
        <f>'Optional Adjustment 5'!G270*$W$1</f>
        <v>0</v>
      </c>
      <c r="X270" s="133">
        <f>'Optional Adjustment 6'!G270*$X$1</f>
        <v>0</v>
      </c>
      <c r="Y270" s="133">
        <f>'Optional Adjustment 7'!G270*$Y$1</f>
        <v>0</v>
      </c>
      <c r="Z270" s="133">
        <f>'Optional Adjustment 8'!G270*$Z$1</f>
        <v>0</v>
      </c>
      <c r="AA270" s="133">
        <f>'Optional Adjustment 9'!G270*$AA$1</f>
        <v>0</v>
      </c>
      <c r="AB270" s="133">
        <f>'Optional Adjustment 10'!G270*$AB$1</f>
        <v>0</v>
      </c>
      <c r="AC270" s="133">
        <f>'Optional Adjustment 11'!G270*$AC$1</f>
        <v>0</v>
      </c>
      <c r="AD270" s="133">
        <f>'Optional Adjustment 12'!G270*$AD$1</f>
        <v>0</v>
      </c>
      <c r="AE270" s="133">
        <f>'Optional Adjustment 13'!G270*$AE$1</f>
        <v>0</v>
      </c>
      <c r="AF270" s="133">
        <f>'Optional Adjustment 14'!G270*$AF$1</f>
        <v>0</v>
      </c>
      <c r="AG270" s="133">
        <f>'Optional Adjustment 15'!G270*$AG$1</f>
        <v>0</v>
      </c>
      <c r="AH270" s="133">
        <f>'Optional Adjustment 16'!G270*$AH$1</f>
        <v>0</v>
      </c>
      <c r="AI270" s="133">
        <f>'Optional Adjustment 17'!G270*$AI$1</f>
        <v>0</v>
      </c>
      <c r="AJ270" s="133">
        <f>'Optional Adjustment 18'!G270*$AJ$1</f>
        <v>0</v>
      </c>
      <c r="AK270" s="133">
        <f>'Optional Adjustment 19'!G270*$AK$1</f>
        <v>0</v>
      </c>
      <c r="AL270" s="133">
        <f>'Optional Adjustment 20'!G270*$AL$1</f>
        <v>0</v>
      </c>
      <c r="AM270" s="133">
        <f>'Optional Adjustment 21'!G270*$AM$1</f>
        <v>0</v>
      </c>
      <c r="AN270" s="133">
        <f>'Optional Adjustment 22'!G270*$AN$1</f>
        <v>0</v>
      </c>
      <c r="AO270" s="133">
        <f>'Optional Adjustment 23'!G270*$AO$1</f>
        <v>0</v>
      </c>
      <c r="AP270" s="133">
        <f>'Optional Adjustment 24'!G270*$AP$1</f>
        <v>0</v>
      </c>
      <c r="AQ270" s="133">
        <f>'Optional Adjustment 25'!G270*$AQ$1</f>
        <v>0</v>
      </c>
      <c r="AR270" s="133">
        <f>'Optional Adjustment 26'!G270*$AR$1</f>
        <v>0</v>
      </c>
      <c r="AS270" s="133">
        <f>'Optional Adjustment 27'!G270*$AS$1</f>
        <v>0</v>
      </c>
      <c r="AT270" s="133"/>
      <c r="AU270" s="133">
        <f>SUM(F270:AT270)</f>
        <v>0</v>
      </c>
      <c r="AV270" s="116"/>
      <c r="AW270" s="133">
        <f>SUM(AU270:AU270)</f>
        <v>0</v>
      </c>
      <c r="AX270" s="133">
        <f>+AW270-'ROR-Model'!G270</f>
        <v>0</v>
      </c>
    </row>
    <row r="271" spans="1:50">
      <c r="A271" s="330"/>
      <c r="B271" s="332"/>
      <c r="C271" s="332" t="s">
        <v>19</v>
      </c>
      <c r="D271" s="106"/>
      <c r="E271" s="331"/>
      <c r="F271" s="131">
        <f>SUM(F266:F270)</f>
        <v>0</v>
      </c>
      <c r="G271" s="131"/>
      <c r="H271" s="131">
        <f>H1*SUM(H266:H270)</f>
        <v>0</v>
      </c>
      <c r="I271" s="131">
        <f>SUM(I266:I270)</f>
        <v>0</v>
      </c>
      <c r="J271" s="131">
        <f t="shared" ref="J271:P271" si="250">SUM(J266:J270)</f>
        <v>0</v>
      </c>
      <c r="K271" s="131">
        <f t="shared" si="250"/>
        <v>0</v>
      </c>
      <c r="L271" s="131">
        <f t="shared" si="250"/>
        <v>0</v>
      </c>
      <c r="M271" s="131">
        <f t="shared" si="250"/>
        <v>0</v>
      </c>
      <c r="N271" s="131">
        <f t="shared" si="250"/>
        <v>0</v>
      </c>
      <c r="O271" s="131">
        <f t="shared" si="250"/>
        <v>0</v>
      </c>
      <c r="P271" s="131">
        <f t="shared" si="250"/>
        <v>0</v>
      </c>
      <c r="Q271" s="241">
        <f t="shared" ref="Q271:W271" si="251">SUM(Q266:Q270)</f>
        <v>0</v>
      </c>
      <c r="R271" s="241">
        <f t="shared" si="251"/>
        <v>0</v>
      </c>
      <c r="S271" s="556"/>
      <c r="T271" s="556">
        <f t="shared" si="251"/>
        <v>0</v>
      </c>
      <c r="U271" s="556">
        <f t="shared" si="251"/>
        <v>0</v>
      </c>
      <c r="V271" s="556">
        <f t="shared" si="251"/>
        <v>0</v>
      </c>
      <c r="W271" s="556">
        <f t="shared" si="251"/>
        <v>0</v>
      </c>
      <c r="X271" s="556">
        <f t="shared" ref="X271:AG271" si="252">SUM(X266:X270)</f>
        <v>0</v>
      </c>
      <c r="Y271" s="556">
        <f t="shared" si="252"/>
        <v>0</v>
      </c>
      <c r="Z271" s="556">
        <f t="shared" si="252"/>
        <v>0</v>
      </c>
      <c r="AA271" s="556">
        <f t="shared" si="252"/>
        <v>0</v>
      </c>
      <c r="AB271" s="556">
        <f t="shared" si="252"/>
        <v>0</v>
      </c>
      <c r="AC271" s="556">
        <f t="shared" si="252"/>
        <v>0</v>
      </c>
      <c r="AD271" s="556">
        <f t="shared" si="252"/>
        <v>0</v>
      </c>
      <c r="AE271" s="556">
        <f t="shared" si="252"/>
        <v>0</v>
      </c>
      <c r="AF271" s="556">
        <f t="shared" si="252"/>
        <v>0</v>
      </c>
      <c r="AG271" s="556">
        <f t="shared" si="252"/>
        <v>0</v>
      </c>
      <c r="AH271" s="556">
        <f t="shared" ref="AH271:AK271" si="253">SUM(AH266:AH270)</f>
        <v>0</v>
      </c>
      <c r="AI271" s="556">
        <f t="shared" si="253"/>
        <v>0</v>
      </c>
      <c r="AJ271" s="556">
        <f t="shared" si="253"/>
        <v>0</v>
      </c>
      <c r="AK271" s="556">
        <f t="shared" si="253"/>
        <v>0</v>
      </c>
      <c r="AL271" s="556">
        <f t="shared" ref="AL271:AP271" si="254">SUM(AL266:AL270)</f>
        <v>0</v>
      </c>
      <c r="AM271" s="556">
        <f t="shared" si="254"/>
        <v>0</v>
      </c>
      <c r="AN271" s="556">
        <f t="shared" si="254"/>
        <v>0</v>
      </c>
      <c r="AO271" s="556">
        <f t="shared" si="254"/>
        <v>0</v>
      </c>
      <c r="AP271" s="556">
        <f t="shared" si="254"/>
        <v>0</v>
      </c>
      <c r="AQ271" s="556">
        <f t="shared" ref="AQ271:AS271" si="255">SUM(AQ266:AQ270)</f>
        <v>0</v>
      </c>
      <c r="AR271" s="556">
        <f t="shared" si="255"/>
        <v>0</v>
      </c>
      <c r="AS271" s="556">
        <f t="shared" si="255"/>
        <v>0</v>
      </c>
      <c r="AT271" s="556"/>
      <c r="AU271" s="241">
        <f>SUM(AU266:AU270)</f>
        <v>0</v>
      </c>
      <c r="AV271" s="131"/>
      <c r="AW271" s="241">
        <f>SUM(AW266:AW270)</f>
        <v>0</v>
      </c>
      <c r="AX271" s="241">
        <f>+AW271-'ROR-Model'!G271</f>
        <v>0</v>
      </c>
    </row>
    <row r="272" spans="1:50">
      <c r="A272" s="330"/>
      <c r="B272" s="332"/>
      <c r="C272" s="332"/>
      <c r="D272" s="106"/>
      <c r="E272" s="331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16"/>
      <c r="AW272" s="133"/>
      <c r="AX272" s="133">
        <f>+AW272-'ROR-Model'!G272</f>
        <v>0</v>
      </c>
    </row>
    <row r="273" spans="1:50">
      <c r="A273" s="330"/>
      <c r="B273" s="332"/>
      <c r="C273" s="332" t="s">
        <v>20</v>
      </c>
      <c r="D273" s="106"/>
      <c r="E273" s="331"/>
      <c r="F273" s="116"/>
      <c r="G273" s="116"/>
      <c r="H273" s="116">
        <f>H1*Revenue!$K$272</f>
        <v>0</v>
      </c>
      <c r="I273" s="116"/>
      <c r="J273" s="116"/>
      <c r="K273" s="116"/>
      <c r="L273" s="116"/>
      <c r="M273" s="116"/>
      <c r="N273" s="116"/>
      <c r="O273" s="116"/>
      <c r="P273" s="116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>
        <f>SUM(F273:AT273)</f>
        <v>0</v>
      </c>
      <c r="AV273" s="116"/>
      <c r="AW273" s="133">
        <f>SUM(AU273:AU273)</f>
        <v>0</v>
      </c>
      <c r="AX273" s="133">
        <f>+AW273-'ROR-Model'!G273</f>
        <v>0</v>
      </c>
    </row>
    <row r="274" spans="1:50">
      <c r="A274" s="330"/>
      <c r="B274" s="728"/>
      <c r="C274" s="728"/>
      <c r="D274" s="106"/>
      <c r="E274" s="331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16"/>
      <c r="AW274" s="133"/>
      <c r="AX274" s="133">
        <f>+AW274-'ROR-Model'!G274</f>
        <v>0</v>
      </c>
    </row>
    <row r="275" spans="1:50">
      <c r="A275" s="330"/>
      <c r="B275" s="332" t="s">
        <v>88</v>
      </c>
      <c r="C275" s="728" t="s">
        <v>16</v>
      </c>
      <c r="D275" s="106"/>
      <c r="E275" s="331"/>
      <c r="F275" s="116"/>
      <c r="G275" s="116"/>
      <c r="H275" s="116">
        <f>H1*Revenue!$K$274</f>
        <v>2828.0699999999997</v>
      </c>
      <c r="I275" s="116"/>
      <c r="J275" s="116"/>
      <c r="K275" s="116"/>
      <c r="L275" s="116"/>
      <c r="M275" s="116"/>
      <c r="N275" s="116"/>
      <c r="O275" s="116"/>
      <c r="P275" s="116"/>
      <c r="Q275" s="133"/>
      <c r="R275" s="133"/>
      <c r="S275" s="133"/>
      <c r="T275" s="133">
        <f>'Optional Adjustment 2'!G275*$T$1</f>
        <v>0</v>
      </c>
      <c r="U275" s="133">
        <f>'Optional Adjustment 3'!G275*$U$1</f>
        <v>0</v>
      </c>
      <c r="V275" s="133">
        <f>'Optional Adjustment 4'!G275*$V$1</f>
        <v>0</v>
      </c>
      <c r="W275" s="133">
        <f>'Optional Adjustment 5'!G275*$W$1</f>
        <v>0</v>
      </c>
      <c r="X275" s="133">
        <f>'Optional Adjustment 6'!G275*$X$1</f>
        <v>0</v>
      </c>
      <c r="Y275" s="133">
        <f>'Optional Adjustment 7'!G275*$Y$1</f>
        <v>0</v>
      </c>
      <c r="Z275" s="133">
        <f>'Optional Adjustment 8'!G275*$Z$1</f>
        <v>0</v>
      </c>
      <c r="AA275" s="133">
        <f>'Optional Adjustment 9'!G275*$AA$1</f>
        <v>0</v>
      </c>
      <c r="AB275" s="133">
        <f>'Optional Adjustment 10'!G275*$AB$1</f>
        <v>0</v>
      </c>
      <c r="AC275" s="133">
        <f>'Optional Adjustment 11'!G275*$AC$1</f>
        <v>0</v>
      </c>
      <c r="AD275" s="133">
        <f>'Optional Adjustment 12'!G275*$AD$1</f>
        <v>0</v>
      </c>
      <c r="AE275" s="133">
        <f>'Optional Adjustment 13'!G275*$AE$1</f>
        <v>0</v>
      </c>
      <c r="AF275" s="133">
        <f>'Optional Adjustment 14'!G275*$AF$1</f>
        <v>0</v>
      </c>
      <c r="AG275" s="133">
        <f>'Optional Adjustment 15'!G275*$AG$1</f>
        <v>0</v>
      </c>
      <c r="AH275" s="133">
        <f>'Optional Adjustment 16'!G275*$AH$1</f>
        <v>0</v>
      </c>
      <c r="AI275" s="133">
        <f>'Optional Adjustment 17'!G275*$AI$1</f>
        <v>0</v>
      </c>
      <c r="AJ275" s="133">
        <f>'Optional Adjustment 18'!G275*$AJ$1</f>
        <v>0</v>
      </c>
      <c r="AK275" s="133">
        <f>'Optional Adjustment 19'!G275*$AK$1</f>
        <v>0</v>
      </c>
      <c r="AL275" s="133">
        <f>'Optional Adjustment 20'!G275*$AL$1</f>
        <v>0</v>
      </c>
      <c r="AM275" s="133">
        <f>'Optional Adjustment 21'!G275*$AM$1</f>
        <v>0</v>
      </c>
      <c r="AN275" s="133">
        <f>'Optional Adjustment 22'!G275*$AN$1</f>
        <v>0</v>
      </c>
      <c r="AO275" s="133">
        <f>'Optional Adjustment 23'!G275*$AO$1</f>
        <v>0</v>
      </c>
      <c r="AP275" s="133">
        <f>'Optional Adjustment 24'!G275*$AP$1</f>
        <v>0</v>
      </c>
      <c r="AQ275" s="133">
        <f>'Optional Adjustment 25'!G275*$AQ$1</f>
        <v>0</v>
      </c>
      <c r="AR275" s="133">
        <f>'Optional Adjustment 26'!G275*$AR$1</f>
        <v>0</v>
      </c>
      <c r="AS275" s="133">
        <f>'Optional Adjustment 27'!G275*$AS$1</f>
        <v>0</v>
      </c>
      <c r="AT275" s="133"/>
      <c r="AU275" s="133">
        <f>SUM(F275:AT275)</f>
        <v>2828.0699999999997</v>
      </c>
      <c r="AV275" s="116"/>
      <c r="AW275" s="133">
        <f>SUM(AU275:AU275)</f>
        <v>2828.0699999999997</v>
      </c>
      <c r="AX275" s="133">
        <f>+AW275-'ROR-Model'!G275</f>
        <v>0</v>
      </c>
    </row>
    <row r="276" spans="1:50">
      <c r="A276" s="330"/>
      <c r="B276" s="728"/>
      <c r="C276" s="728"/>
      <c r="D276" s="106"/>
      <c r="E276" s="331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16"/>
      <c r="AW276" s="133"/>
      <c r="AX276" s="133">
        <f>+AW276-'ROR-Model'!G276</f>
        <v>0</v>
      </c>
    </row>
    <row r="277" spans="1:50">
      <c r="A277" s="330"/>
      <c r="B277" s="728"/>
      <c r="C277" s="728" t="s">
        <v>17</v>
      </c>
      <c r="D277" s="106"/>
      <c r="E277" s="331"/>
      <c r="F277" s="116"/>
      <c r="G277" s="116"/>
      <c r="H277" s="116">
        <f>H1*Revenue!$K$276</f>
        <v>27053.749999999993</v>
      </c>
      <c r="I277" s="116"/>
      <c r="J277" s="116"/>
      <c r="K277" s="116"/>
      <c r="L277" s="116"/>
      <c r="M277" s="116"/>
      <c r="N277" s="116"/>
      <c r="O277" s="116"/>
      <c r="P277" s="116"/>
      <c r="Q277" s="133"/>
      <c r="R277" s="133"/>
      <c r="S277" s="133"/>
      <c r="T277" s="133">
        <f>'Optional Adjustment 2'!G277*$T$1</f>
        <v>0</v>
      </c>
      <c r="U277" s="133">
        <f>'Optional Adjustment 3'!G277*$U$1</f>
        <v>0</v>
      </c>
      <c r="V277" s="133">
        <f>'Optional Adjustment 4'!G277*$V$1</f>
        <v>0</v>
      </c>
      <c r="W277" s="133">
        <f>'Optional Adjustment 5'!G277*$W$1</f>
        <v>0</v>
      </c>
      <c r="X277" s="133">
        <f>'Optional Adjustment 6'!G277*$X$1</f>
        <v>0</v>
      </c>
      <c r="Y277" s="133">
        <f>'Optional Adjustment 7'!G277*$Y$1</f>
        <v>0</v>
      </c>
      <c r="Z277" s="133">
        <f>'Optional Adjustment 8'!G277*$Z$1</f>
        <v>0</v>
      </c>
      <c r="AA277" s="133">
        <f>'Optional Adjustment 9'!G277*$AA$1</f>
        <v>0</v>
      </c>
      <c r="AB277" s="133">
        <f>'Optional Adjustment 10'!G277*$AB$1</f>
        <v>0</v>
      </c>
      <c r="AC277" s="133">
        <f>'Optional Adjustment 11'!G277*$AC$1</f>
        <v>0</v>
      </c>
      <c r="AD277" s="133">
        <f>'Optional Adjustment 12'!G277*$AD$1</f>
        <v>0</v>
      </c>
      <c r="AE277" s="133">
        <f>'Optional Adjustment 13'!G277*$AE$1</f>
        <v>0</v>
      </c>
      <c r="AF277" s="133">
        <f>'Optional Adjustment 14'!G277*$AF$1</f>
        <v>0</v>
      </c>
      <c r="AG277" s="133">
        <f>'Optional Adjustment 15'!G277*$AG$1</f>
        <v>0</v>
      </c>
      <c r="AH277" s="133">
        <f>'Optional Adjustment 16'!G277*$AH$1</f>
        <v>0</v>
      </c>
      <c r="AI277" s="133">
        <f>'Optional Adjustment 17'!G277*$AI$1</f>
        <v>0</v>
      </c>
      <c r="AJ277" s="133">
        <f>'Optional Adjustment 18'!G277*$AJ$1</f>
        <v>0</v>
      </c>
      <c r="AK277" s="133">
        <f>'Optional Adjustment 19'!G277*$AK$1</f>
        <v>0</v>
      </c>
      <c r="AL277" s="133">
        <f>'Optional Adjustment 20'!G277*$AL$1</f>
        <v>0</v>
      </c>
      <c r="AM277" s="133">
        <f>'Optional Adjustment 21'!G277*$AM$1</f>
        <v>0</v>
      </c>
      <c r="AN277" s="133">
        <f>'Optional Adjustment 22'!G277*$AN$1</f>
        <v>0</v>
      </c>
      <c r="AO277" s="133">
        <f>'Optional Adjustment 23'!G277*$AO$1</f>
        <v>0</v>
      </c>
      <c r="AP277" s="133">
        <f>'Optional Adjustment 24'!G277*$AP$1</f>
        <v>0</v>
      </c>
      <c r="AQ277" s="133">
        <f>'Optional Adjustment 25'!G277*$AQ$1</f>
        <v>0</v>
      </c>
      <c r="AR277" s="133">
        <f>'Optional Adjustment 26'!G277*$AR$1</f>
        <v>0</v>
      </c>
      <c r="AS277" s="133">
        <f>'Optional Adjustment 27'!G277*$AS$1</f>
        <v>0</v>
      </c>
      <c r="AT277" s="133"/>
      <c r="AU277" s="133">
        <f>SUM(F277:AT277)</f>
        <v>27053.749999999993</v>
      </c>
      <c r="AV277" s="116"/>
      <c r="AW277" s="133">
        <f>SUM(AU277:AU277)</f>
        <v>27053.749999999993</v>
      </c>
      <c r="AX277" s="133">
        <f>+AW277-'ROR-Model'!G277</f>
        <v>0</v>
      </c>
    </row>
    <row r="278" spans="1:50">
      <c r="A278" s="330"/>
      <c r="B278" s="728"/>
      <c r="C278" s="728"/>
      <c r="D278" s="106"/>
      <c r="E278" s="331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16"/>
      <c r="AW278" s="133"/>
      <c r="AX278" s="133">
        <f>+AW278-'ROR-Model'!G278</f>
        <v>0</v>
      </c>
    </row>
    <row r="279" spans="1:50">
      <c r="A279" s="330"/>
      <c r="B279" s="332"/>
      <c r="C279" s="728" t="s">
        <v>18</v>
      </c>
      <c r="D279" s="106"/>
      <c r="E279" s="331"/>
      <c r="F279" s="116"/>
      <c r="G279" s="116"/>
      <c r="H279" s="116">
        <f>H1*Revenue!$K$278</f>
        <v>-100942.95999999996</v>
      </c>
      <c r="I279" s="116"/>
      <c r="J279" s="116"/>
      <c r="K279" s="116"/>
      <c r="L279" s="116"/>
      <c r="M279" s="116"/>
      <c r="N279" s="116"/>
      <c r="O279" s="116"/>
      <c r="P279" s="116"/>
      <c r="Q279" s="133"/>
      <c r="R279" s="133"/>
      <c r="S279" s="133"/>
      <c r="T279" s="133">
        <f>'Optional Adjustment 2'!G279*$T$1</f>
        <v>0</v>
      </c>
      <c r="U279" s="133">
        <f>'Optional Adjustment 3'!G279*$U$1</f>
        <v>0</v>
      </c>
      <c r="V279" s="133">
        <f>'Optional Adjustment 4'!G279*$V$1</f>
        <v>0</v>
      </c>
      <c r="W279" s="133">
        <f>'Optional Adjustment 5'!G279*$W$1</f>
        <v>0</v>
      </c>
      <c r="X279" s="133">
        <f>'Optional Adjustment 6'!G279*$X$1</f>
        <v>0</v>
      </c>
      <c r="Y279" s="133">
        <f>'Optional Adjustment 7'!G279*$Y$1</f>
        <v>0</v>
      </c>
      <c r="Z279" s="133">
        <f>'Optional Adjustment 8'!G279*$Z$1</f>
        <v>0</v>
      </c>
      <c r="AA279" s="133">
        <f>'Optional Adjustment 9'!G279*$AA$1</f>
        <v>0</v>
      </c>
      <c r="AB279" s="133">
        <f>'Optional Adjustment 10'!G279*$AB$1</f>
        <v>0</v>
      </c>
      <c r="AC279" s="133">
        <f>'Optional Adjustment 11'!G279*$AC$1</f>
        <v>0</v>
      </c>
      <c r="AD279" s="133">
        <f>'Optional Adjustment 12'!G279*$AD$1</f>
        <v>0</v>
      </c>
      <c r="AE279" s="133">
        <f>'Optional Adjustment 13'!G279*$AE$1</f>
        <v>0</v>
      </c>
      <c r="AF279" s="133">
        <f>'Optional Adjustment 14'!G279*$AF$1</f>
        <v>0</v>
      </c>
      <c r="AG279" s="133">
        <f>'Optional Adjustment 15'!G279*$AG$1</f>
        <v>0</v>
      </c>
      <c r="AH279" s="133">
        <f>'Optional Adjustment 16'!G279*$AH$1</f>
        <v>0</v>
      </c>
      <c r="AI279" s="133">
        <f>'Optional Adjustment 17'!G279*$AI$1</f>
        <v>0</v>
      </c>
      <c r="AJ279" s="133">
        <f>'Optional Adjustment 18'!G279*$AJ$1</f>
        <v>0</v>
      </c>
      <c r="AK279" s="133">
        <f>'Optional Adjustment 19'!G279*$AK$1</f>
        <v>0</v>
      </c>
      <c r="AL279" s="133">
        <f>'Optional Adjustment 20'!G279*$AL$1</f>
        <v>0</v>
      </c>
      <c r="AM279" s="133">
        <f>'Optional Adjustment 21'!G279*$AM$1</f>
        <v>0</v>
      </c>
      <c r="AN279" s="133">
        <f>'Optional Adjustment 22'!G279*$AN$1</f>
        <v>0</v>
      </c>
      <c r="AO279" s="133">
        <f>'Optional Adjustment 23'!G279*$AO$1</f>
        <v>0</v>
      </c>
      <c r="AP279" s="133">
        <f>'Optional Adjustment 24'!G279*$AP$1</f>
        <v>0</v>
      </c>
      <c r="AQ279" s="133">
        <f>'Optional Adjustment 25'!G279*$AQ$1</f>
        <v>0</v>
      </c>
      <c r="AR279" s="133">
        <f>'Optional Adjustment 26'!G279*$AR$1</f>
        <v>0</v>
      </c>
      <c r="AS279" s="133">
        <f>'Optional Adjustment 27'!G279*$AS$1</f>
        <v>0</v>
      </c>
      <c r="AT279" s="133"/>
      <c r="AU279" s="133">
        <f>SUM(F279:AT279)</f>
        <v>-100942.95999999996</v>
      </c>
      <c r="AV279" s="116"/>
      <c r="AW279" s="133">
        <f>SUM(AU279:AU279)</f>
        <v>-100942.95999999996</v>
      </c>
      <c r="AX279" s="133">
        <f>+AW279-'ROR-Model'!G279</f>
        <v>0</v>
      </c>
    </row>
    <row r="280" spans="1:50">
      <c r="A280" s="330"/>
      <c r="B280" s="332"/>
      <c r="C280" s="728" t="s">
        <v>19</v>
      </c>
      <c r="D280" s="106"/>
      <c r="E280" s="331"/>
      <c r="F280" s="131">
        <f>SUM(F275:F279)</f>
        <v>0</v>
      </c>
      <c r="G280" s="131"/>
      <c r="H280" s="131">
        <f>H1*SUM(H275:H279)</f>
        <v>-71061.13999999997</v>
      </c>
      <c r="I280" s="131">
        <f>SUM(I275:I279)</f>
        <v>0</v>
      </c>
      <c r="J280" s="131">
        <f t="shared" ref="J280:P280" si="256">SUM(J275:J279)</f>
        <v>0</v>
      </c>
      <c r="K280" s="131">
        <f t="shared" si="256"/>
        <v>0</v>
      </c>
      <c r="L280" s="131">
        <f t="shared" si="256"/>
        <v>0</v>
      </c>
      <c r="M280" s="131">
        <f t="shared" si="256"/>
        <v>0</v>
      </c>
      <c r="N280" s="131">
        <f t="shared" si="256"/>
        <v>0</v>
      </c>
      <c r="O280" s="131">
        <f t="shared" si="256"/>
        <v>0</v>
      </c>
      <c r="P280" s="131">
        <f t="shared" si="256"/>
        <v>0</v>
      </c>
      <c r="Q280" s="241">
        <f t="shared" ref="Q280:W280" si="257">SUM(Q275:Q279)</f>
        <v>0</v>
      </c>
      <c r="R280" s="241">
        <f t="shared" si="257"/>
        <v>0</v>
      </c>
      <c r="S280" s="556"/>
      <c r="T280" s="556">
        <f t="shared" si="257"/>
        <v>0</v>
      </c>
      <c r="U280" s="556">
        <f t="shared" si="257"/>
        <v>0</v>
      </c>
      <c r="V280" s="556">
        <f t="shared" si="257"/>
        <v>0</v>
      </c>
      <c r="W280" s="556">
        <f t="shared" si="257"/>
        <v>0</v>
      </c>
      <c r="X280" s="556">
        <f t="shared" ref="X280:AG280" si="258">SUM(X275:X279)</f>
        <v>0</v>
      </c>
      <c r="Y280" s="556">
        <f t="shared" si="258"/>
        <v>0</v>
      </c>
      <c r="Z280" s="556">
        <f t="shared" si="258"/>
        <v>0</v>
      </c>
      <c r="AA280" s="556">
        <f t="shared" si="258"/>
        <v>0</v>
      </c>
      <c r="AB280" s="556">
        <f t="shared" si="258"/>
        <v>0</v>
      </c>
      <c r="AC280" s="556">
        <f t="shared" si="258"/>
        <v>0</v>
      </c>
      <c r="AD280" s="556">
        <f t="shared" si="258"/>
        <v>0</v>
      </c>
      <c r="AE280" s="556">
        <f t="shared" si="258"/>
        <v>0</v>
      </c>
      <c r="AF280" s="556">
        <f t="shared" si="258"/>
        <v>0</v>
      </c>
      <c r="AG280" s="556">
        <f t="shared" si="258"/>
        <v>0</v>
      </c>
      <c r="AH280" s="556">
        <f t="shared" ref="AH280:AK280" si="259">SUM(AH275:AH279)</f>
        <v>0</v>
      </c>
      <c r="AI280" s="556">
        <f t="shared" si="259"/>
        <v>0</v>
      </c>
      <c r="AJ280" s="556">
        <f t="shared" si="259"/>
        <v>0</v>
      </c>
      <c r="AK280" s="556">
        <f t="shared" si="259"/>
        <v>0</v>
      </c>
      <c r="AL280" s="556">
        <f t="shared" ref="AL280:AP280" si="260">SUM(AL275:AL279)</f>
        <v>0</v>
      </c>
      <c r="AM280" s="556">
        <f t="shared" si="260"/>
        <v>0</v>
      </c>
      <c r="AN280" s="556">
        <f t="shared" si="260"/>
        <v>0</v>
      </c>
      <c r="AO280" s="556">
        <f t="shared" si="260"/>
        <v>0</v>
      </c>
      <c r="AP280" s="556">
        <f t="shared" si="260"/>
        <v>0</v>
      </c>
      <c r="AQ280" s="556">
        <f t="shared" ref="AQ280:AS280" si="261">SUM(AQ275:AQ279)</f>
        <v>0</v>
      </c>
      <c r="AR280" s="556">
        <f t="shared" si="261"/>
        <v>0</v>
      </c>
      <c r="AS280" s="556">
        <f t="shared" si="261"/>
        <v>0</v>
      </c>
      <c r="AT280" s="556"/>
      <c r="AU280" s="241">
        <f>SUM(AU275:AU279)</f>
        <v>-71061.13999999997</v>
      </c>
      <c r="AV280" s="131"/>
      <c r="AW280" s="241">
        <f>SUM(AW275:AW279)</f>
        <v>-71061.13999999997</v>
      </c>
      <c r="AX280" s="241">
        <f>+AW280-'ROR-Model'!G280</f>
        <v>0</v>
      </c>
    </row>
    <row r="281" spans="1:50">
      <c r="A281" s="330"/>
      <c r="B281" s="332"/>
      <c r="C281" s="728"/>
      <c r="D281" s="106"/>
      <c r="E281" s="331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16"/>
      <c r="AW281" s="133"/>
      <c r="AX281" s="133">
        <f>+AW281-'ROR-Model'!G281</f>
        <v>0</v>
      </c>
    </row>
    <row r="282" spans="1:50">
      <c r="A282" s="330"/>
      <c r="B282" s="332"/>
      <c r="C282" s="728" t="s">
        <v>20</v>
      </c>
      <c r="D282" s="106"/>
      <c r="E282" s="331"/>
      <c r="F282" s="116"/>
      <c r="G282" s="116"/>
      <c r="H282" s="116">
        <f>H1*Revenue!$K$281</f>
        <v>660</v>
      </c>
      <c r="I282" s="116"/>
      <c r="J282" s="116"/>
      <c r="K282" s="116"/>
      <c r="L282" s="116"/>
      <c r="M282" s="116"/>
      <c r="N282" s="116"/>
      <c r="O282" s="116"/>
      <c r="P282" s="116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>
        <f>SUM(F282:AT282)</f>
        <v>660</v>
      </c>
      <c r="AV282" s="116"/>
      <c r="AW282" s="133">
        <f>SUM(AU282:AU282)</f>
        <v>660</v>
      </c>
      <c r="AX282" s="133">
        <f>+AW282-'ROR-Model'!G282</f>
        <v>0</v>
      </c>
    </row>
    <row r="283" spans="1:50">
      <c r="A283" s="330"/>
      <c r="B283" s="728"/>
      <c r="C283" s="728"/>
      <c r="D283" s="106"/>
      <c r="E283" s="331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16"/>
      <c r="AW283" s="133"/>
      <c r="AX283" s="133">
        <f>+AW283-'ROR-Model'!G283</f>
        <v>0</v>
      </c>
    </row>
    <row r="284" spans="1:50">
      <c r="A284" s="330"/>
      <c r="B284" s="332" t="s">
        <v>89</v>
      </c>
      <c r="C284" s="728" t="s">
        <v>16</v>
      </c>
      <c r="D284" s="106"/>
      <c r="E284" s="331"/>
      <c r="F284" s="116"/>
      <c r="G284" s="116"/>
      <c r="H284" s="116">
        <f>H1*Revenue!$K$283</f>
        <v>0</v>
      </c>
      <c r="I284" s="116"/>
      <c r="J284" s="116"/>
      <c r="K284" s="116"/>
      <c r="L284" s="116"/>
      <c r="M284" s="116"/>
      <c r="N284" s="116"/>
      <c r="O284" s="116"/>
      <c r="P284" s="116"/>
      <c r="Q284" s="133"/>
      <c r="R284" s="133"/>
      <c r="S284" s="133"/>
      <c r="T284" s="133">
        <f>'Optional Adjustment 2'!G284*$T$1</f>
        <v>0</v>
      </c>
      <c r="U284" s="133">
        <f>'Optional Adjustment 3'!G284*$U$1</f>
        <v>0</v>
      </c>
      <c r="V284" s="133">
        <f>'Optional Adjustment 4'!G284*$V$1</f>
        <v>0</v>
      </c>
      <c r="W284" s="133">
        <f>'Optional Adjustment 5'!G284*$W$1</f>
        <v>0</v>
      </c>
      <c r="X284" s="133">
        <f>'Optional Adjustment 6'!G284*$X$1</f>
        <v>0</v>
      </c>
      <c r="Y284" s="133">
        <f>'Optional Adjustment 7'!G284*$Y$1</f>
        <v>0</v>
      </c>
      <c r="Z284" s="133">
        <f>'Optional Adjustment 8'!G284*$Z$1</f>
        <v>0</v>
      </c>
      <c r="AA284" s="133">
        <f>'Optional Adjustment 9'!G284*$AA$1</f>
        <v>0</v>
      </c>
      <c r="AB284" s="133">
        <f>'Optional Adjustment 10'!G284*$AB$1</f>
        <v>0</v>
      </c>
      <c r="AC284" s="133">
        <f>'Optional Adjustment 11'!G284*$AC$1</f>
        <v>0</v>
      </c>
      <c r="AD284" s="133">
        <f>'Optional Adjustment 12'!G284*$AD$1</f>
        <v>0</v>
      </c>
      <c r="AE284" s="133">
        <f>'Optional Adjustment 13'!G284*$AE$1</f>
        <v>0</v>
      </c>
      <c r="AF284" s="133">
        <f>'Optional Adjustment 14'!G284*$AF$1</f>
        <v>0</v>
      </c>
      <c r="AG284" s="133">
        <f>'Optional Adjustment 15'!G284*$AG$1</f>
        <v>0</v>
      </c>
      <c r="AH284" s="133">
        <f>'Optional Adjustment 16'!G284*$AH$1</f>
        <v>0</v>
      </c>
      <c r="AI284" s="133">
        <f>'Optional Adjustment 17'!G284*$AI$1</f>
        <v>0</v>
      </c>
      <c r="AJ284" s="133">
        <f>'Optional Adjustment 18'!G284*$AJ$1</f>
        <v>0</v>
      </c>
      <c r="AK284" s="133">
        <f>'Optional Adjustment 19'!G284*$AK$1</f>
        <v>0</v>
      </c>
      <c r="AL284" s="133">
        <f>'Optional Adjustment 20'!G284*$AL$1</f>
        <v>0</v>
      </c>
      <c r="AM284" s="133">
        <f>'Optional Adjustment 21'!G284*$AM$1</f>
        <v>0</v>
      </c>
      <c r="AN284" s="133">
        <f>'Optional Adjustment 22'!G284*$AN$1</f>
        <v>0</v>
      </c>
      <c r="AO284" s="133">
        <f>'Optional Adjustment 23'!G284*$AO$1</f>
        <v>0</v>
      </c>
      <c r="AP284" s="133">
        <f>'Optional Adjustment 24'!G284*$AP$1</f>
        <v>0</v>
      </c>
      <c r="AQ284" s="133">
        <f>'Optional Adjustment 25'!G284*$AQ$1</f>
        <v>0</v>
      </c>
      <c r="AR284" s="133">
        <f>'Optional Adjustment 26'!G284*$AR$1</f>
        <v>0</v>
      </c>
      <c r="AS284" s="133">
        <f>'Optional Adjustment 27'!G284*$AS$1</f>
        <v>0</v>
      </c>
      <c r="AT284" s="133"/>
      <c r="AU284" s="133">
        <f>SUM(F284:AT284)</f>
        <v>0</v>
      </c>
      <c r="AV284" s="116"/>
      <c r="AW284" s="133">
        <f>SUM(AU284:AU284)</f>
        <v>0</v>
      </c>
      <c r="AX284" s="133">
        <f>+AW284-'ROR-Model'!G284</f>
        <v>0</v>
      </c>
    </row>
    <row r="285" spans="1:50">
      <c r="A285" s="330"/>
      <c r="B285" s="728"/>
      <c r="C285" s="728"/>
      <c r="D285" s="243" t="s">
        <v>546</v>
      </c>
      <c r="E285" s="331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16"/>
      <c r="AW285" s="133"/>
      <c r="AX285" s="133">
        <f>+AW285-'ROR-Model'!G285</f>
        <v>0</v>
      </c>
    </row>
    <row r="286" spans="1:50">
      <c r="A286" s="330"/>
      <c r="B286" s="728"/>
      <c r="C286" s="728" t="s">
        <v>17</v>
      </c>
      <c r="D286" s="106"/>
      <c r="E286" s="331"/>
      <c r="F286" s="116"/>
      <c r="G286" s="116"/>
      <c r="H286" s="116">
        <f>H1*Revenue!$K$285</f>
        <v>0</v>
      </c>
      <c r="I286" s="116"/>
      <c r="J286" s="116"/>
      <c r="K286" s="116"/>
      <c r="L286" s="116"/>
      <c r="M286" s="116"/>
      <c r="N286" s="116"/>
      <c r="O286" s="116"/>
      <c r="P286" s="116"/>
      <c r="Q286" s="133"/>
      <c r="R286" s="133"/>
      <c r="S286" s="133"/>
      <c r="T286" s="133">
        <f>'Optional Adjustment 2'!G286*$T$1</f>
        <v>0</v>
      </c>
      <c r="U286" s="133">
        <f>'Optional Adjustment 3'!G286*$U$1</f>
        <v>0</v>
      </c>
      <c r="V286" s="133">
        <f>'Optional Adjustment 4'!G286*$V$1</f>
        <v>0</v>
      </c>
      <c r="W286" s="133">
        <f>'Optional Adjustment 5'!G286*$W$1</f>
        <v>0</v>
      </c>
      <c r="X286" s="133">
        <f>'Optional Adjustment 6'!G286*$X$1</f>
        <v>0</v>
      </c>
      <c r="Y286" s="133">
        <f>'Optional Adjustment 7'!G286*$Y$1</f>
        <v>0</v>
      </c>
      <c r="Z286" s="133">
        <f>'Optional Adjustment 8'!G286*$Z$1</f>
        <v>0</v>
      </c>
      <c r="AA286" s="133">
        <f>'Optional Adjustment 9'!G286*$AA$1</f>
        <v>0</v>
      </c>
      <c r="AB286" s="133">
        <f>'Optional Adjustment 10'!G286*$AB$1</f>
        <v>0</v>
      </c>
      <c r="AC286" s="133">
        <f>'Optional Adjustment 11'!G286*$AC$1</f>
        <v>0</v>
      </c>
      <c r="AD286" s="133">
        <f>'Optional Adjustment 12'!G286*$AD$1</f>
        <v>0</v>
      </c>
      <c r="AE286" s="133">
        <f>'Optional Adjustment 13'!G286*$AE$1</f>
        <v>0</v>
      </c>
      <c r="AF286" s="133">
        <f>'Optional Adjustment 14'!G286*$AF$1</f>
        <v>0</v>
      </c>
      <c r="AG286" s="133">
        <f>'Optional Adjustment 15'!G286*$AG$1</f>
        <v>0</v>
      </c>
      <c r="AH286" s="133">
        <f>'Optional Adjustment 16'!G286*$AH$1</f>
        <v>0</v>
      </c>
      <c r="AI286" s="133">
        <f>'Optional Adjustment 17'!G286*$AI$1</f>
        <v>0</v>
      </c>
      <c r="AJ286" s="133">
        <f>'Optional Adjustment 18'!G286*$AJ$1</f>
        <v>0</v>
      </c>
      <c r="AK286" s="133">
        <f>'Optional Adjustment 19'!G286*$AK$1</f>
        <v>0</v>
      </c>
      <c r="AL286" s="133">
        <f>'Optional Adjustment 20'!G286*$AL$1</f>
        <v>0</v>
      </c>
      <c r="AM286" s="133">
        <f>'Optional Adjustment 21'!G286*$AM$1</f>
        <v>0</v>
      </c>
      <c r="AN286" s="133">
        <f>'Optional Adjustment 22'!G286*$AN$1</f>
        <v>0</v>
      </c>
      <c r="AO286" s="133">
        <f>'Optional Adjustment 23'!G286*$AO$1</f>
        <v>0</v>
      </c>
      <c r="AP286" s="133">
        <f>'Optional Adjustment 24'!G286*$AP$1</f>
        <v>0</v>
      </c>
      <c r="AQ286" s="133">
        <f>'Optional Adjustment 25'!G286*$AQ$1</f>
        <v>0</v>
      </c>
      <c r="AR286" s="133">
        <f>'Optional Adjustment 26'!G286*$AR$1</f>
        <v>0</v>
      </c>
      <c r="AS286" s="133">
        <f>'Optional Adjustment 27'!G286*$AS$1</f>
        <v>0</v>
      </c>
      <c r="AT286" s="133"/>
      <c r="AU286" s="133">
        <f>SUM(F286:AT286)</f>
        <v>0</v>
      </c>
      <c r="AV286" s="116"/>
      <c r="AW286" s="133">
        <f>SUM(AU286:AU286)</f>
        <v>0</v>
      </c>
      <c r="AX286" s="133">
        <f>+AW286-'ROR-Model'!G286</f>
        <v>0</v>
      </c>
    </row>
    <row r="287" spans="1:50">
      <c r="A287" s="330"/>
      <c r="B287" s="728"/>
      <c r="C287" s="728"/>
      <c r="D287" s="106"/>
      <c r="E287" s="331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16"/>
      <c r="AW287" s="133"/>
      <c r="AX287" s="133">
        <f>+AW287-'ROR-Model'!G287</f>
        <v>0</v>
      </c>
    </row>
    <row r="288" spans="1:50">
      <c r="A288" s="330"/>
      <c r="B288" s="332"/>
      <c r="C288" s="728" t="s">
        <v>18</v>
      </c>
      <c r="D288" s="106"/>
      <c r="E288" s="331"/>
      <c r="F288" s="116"/>
      <c r="G288" s="116"/>
      <c r="H288" s="116">
        <f>H1*Revenue!$K$287</f>
        <v>0</v>
      </c>
      <c r="I288" s="116"/>
      <c r="J288" s="116"/>
      <c r="K288" s="116"/>
      <c r="L288" s="116"/>
      <c r="M288" s="116"/>
      <c r="N288" s="116"/>
      <c r="O288" s="116"/>
      <c r="P288" s="116"/>
      <c r="Q288" s="133"/>
      <c r="R288" s="133"/>
      <c r="S288" s="133"/>
      <c r="T288" s="133">
        <f>'Optional Adjustment 2'!G288*$T$1</f>
        <v>0</v>
      </c>
      <c r="U288" s="133">
        <f>'Optional Adjustment 3'!G288*$U$1</f>
        <v>0</v>
      </c>
      <c r="V288" s="133">
        <f>'Optional Adjustment 4'!G288*$V$1</f>
        <v>0</v>
      </c>
      <c r="W288" s="133">
        <f>'Optional Adjustment 5'!G288*$W$1</f>
        <v>0</v>
      </c>
      <c r="X288" s="133">
        <f>'Optional Adjustment 6'!G288*$X$1</f>
        <v>0</v>
      </c>
      <c r="Y288" s="133">
        <f>'Optional Adjustment 7'!G288*$Y$1</f>
        <v>0</v>
      </c>
      <c r="Z288" s="133">
        <f>'Optional Adjustment 8'!G288*$Z$1</f>
        <v>0</v>
      </c>
      <c r="AA288" s="133">
        <f>'Optional Adjustment 9'!G288*$AA$1</f>
        <v>0</v>
      </c>
      <c r="AB288" s="133">
        <f>'Optional Adjustment 10'!G288*$AB$1</f>
        <v>0</v>
      </c>
      <c r="AC288" s="133">
        <f>'Optional Adjustment 11'!G288*$AC$1</f>
        <v>0</v>
      </c>
      <c r="AD288" s="133">
        <f>'Optional Adjustment 12'!G288*$AD$1</f>
        <v>0</v>
      </c>
      <c r="AE288" s="133">
        <f>'Optional Adjustment 13'!G288*$AE$1</f>
        <v>0</v>
      </c>
      <c r="AF288" s="133">
        <f>'Optional Adjustment 14'!G288*$AF$1</f>
        <v>0</v>
      </c>
      <c r="AG288" s="133">
        <f>'Optional Adjustment 15'!G288*$AG$1</f>
        <v>0</v>
      </c>
      <c r="AH288" s="133">
        <f>'Optional Adjustment 16'!G288*$AH$1</f>
        <v>0</v>
      </c>
      <c r="AI288" s="133">
        <f>'Optional Adjustment 17'!G288*$AI$1</f>
        <v>0</v>
      </c>
      <c r="AJ288" s="133">
        <f>'Optional Adjustment 18'!G288*$AJ$1</f>
        <v>0</v>
      </c>
      <c r="AK288" s="133">
        <f>'Optional Adjustment 19'!G288*$AK$1</f>
        <v>0</v>
      </c>
      <c r="AL288" s="133">
        <f>'Optional Adjustment 20'!G288*$AL$1</f>
        <v>0</v>
      </c>
      <c r="AM288" s="133">
        <f>'Optional Adjustment 21'!G288*$AM$1</f>
        <v>0</v>
      </c>
      <c r="AN288" s="133">
        <f>'Optional Adjustment 22'!G288*$AN$1</f>
        <v>0</v>
      </c>
      <c r="AO288" s="133">
        <f>'Optional Adjustment 23'!G288*$AO$1</f>
        <v>0</v>
      </c>
      <c r="AP288" s="133">
        <f>'Optional Adjustment 24'!G288*$AP$1</f>
        <v>0</v>
      </c>
      <c r="AQ288" s="133">
        <f>'Optional Adjustment 25'!G288*$AQ$1</f>
        <v>0</v>
      </c>
      <c r="AR288" s="133">
        <f>'Optional Adjustment 26'!G288*$AR$1</f>
        <v>0</v>
      </c>
      <c r="AS288" s="133">
        <f>'Optional Adjustment 27'!G288*$AS$1</f>
        <v>0</v>
      </c>
      <c r="AT288" s="133"/>
      <c r="AU288" s="133">
        <f>SUM(F288:AT288)</f>
        <v>0</v>
      </c>
      <c r="AV288" s="116"/>
      <c r="AW288" s="133">
        <f>SUM(AU288:AU288)</f>
        <v>0</v>
      </c>
      <c r="AX288" s="133">
        <f>+AW288-'ROR-Model'!G288</f>
        <v>0</v>
      </c>
    </row>
    <row r="289" spans="1:50">
      <c r="A289" s="330"/>
      <c r="B289" s="332"/>
      <c r="C289" s="728" t="s">
        <v>19</v>
      </c>
      <c r="D289" s="106"/>
      <c r="E289" s="331"/>
      <c r="F289" s="131">
        <f>SUM(F284:F288)</f>
        <v>0</v>
      </c>
      <c r="G289" s="131"/>
      <c r="H289" s="131">
        <f>H1*SUM(H284:H288)</f>
        <v>0</v>
      </c>
      <c r="I289" s="131">
        <f>SUM(I284:I288)</f>
        <v>0</v>
      </c>
      <c r="J289" s="131">
        <f t="shared" ref="J289:P289" si="262">SUM(J284:J288)</f>
        <v>0</v>
      </c>
      <c r="K289" s="131">
        <f t="shared" si="262"/>
        <v>0</v>
      </c>
      <c r="L289" s="131">
        <f t="shared" si="262"/>
        <v>0</v>
      </c>
      <c r="M289" s="131">
        <f t="shared" si="262"/>
        <v>0</v>
      </c>
      <c r="N289" s="131">
        <f t="shared" si="262"/>
        <v>0</v>
      </c>
      <c r="O289" s="131">
        <f t="shared" si="262"/>
        <v>0</v>
      </c>
      <c r="P289" s="131">
        <f t="shared" si="262"/>
        <v>0</v>
      </c>
      <c r="Q289" s="241">
        <f t="shared" ref="Q289:W289" si="263">SUM(Q284:Q288)</f>
        <v>0</v>
      </c>
      <c r="R289" s="241">
        <f t="shared" si="263"/>
        <v>0</v>
      </c>
      <c r="S289" s="556"/>
      <c r="T289" s="556">
        <f t="shared" si="263"/>
        <v>0</v>
      </c>
      <c r="U289" s="556">
        <f t="shared" si="263"/>
        <v>0</v>
      </c>
      <c r="V289" s="556">
        <f t="shared" si="263"/>
        <v>0</v>
      </c>
      <c r="W289" s="556">
        <f t="shared" si="263"/>
        <v>0</v>
      </c>
      <c r="X289" s="556">
        <f t="shared" ref="X289:AG289" si="264">SUM(X284:X288)</f>
        <v>0</v>
      </c>
      <c r="Y289" s="556">
        <f t="shared" si="264"/>
        <v>0</v>
      </c>
      <c r="Z289" s="556">
        <f t="shared" si="264"/>
        <v>0</v>
      </c>
      <c r="AA289" s="556">
        <f t="shared" si="264"/>
        <v>0</v>
      </c>
      <c r="AB289" s="556">
        <f t="shared" si="264"/>
        <v>0</v>
      </c>
      <c r="AC289" s="556">
        <f t="shared" si="264"/>
        <v>0</v>
      </c>
      <c r="AD289" s="556">
        <f t="shared" si="264"/>
        <v>0</v>
      </c>
      <c r="AE289" s="556">
        <f t="shared" si="264"/>
        <v>0</v>
      </c>
      <c r="AF289" s="556">
        <f t="shared" si="264"/>
        <v>0</v>
      </c>
      <c r="AG289" s="556">
        <f t="shared" si="264"/>
        <v>0</v>
      </c>
      <c r="AH289" s="556">
        <f t="shared" ref="AH289:AK289" si="265">SUM(AH284:AH288)</f>
        <v>0</v>
      </c>
      <c r="AI289" s="556">
        <f t="shared" si="265"/>
        <v>0</v>
      </c>
      <c r="AJ289" s="556">
        <f t="shared" si="265"/>
        <v>0</v>
      </c>
      <c r="AK289" s="556">
        <f t="shared" si="265"/>
        <v>0</v>
      </c>
      <c r="AL289" s="556">
        <f t="shared" ref="AL289:AP289" si="266">SUM(AL284:AL288)</f>
        <v>0</v>
      </c>
      <c r="AM289" s="556">
        <f t="shared" si="266"/>
        <v>0</v>
      </c>
      <c r="AN289" s="556">
        <f t="shared" si="266"/>
        <v>0</v>
      </c>
      <c r="AO289" s="556">
        <f t="shared" si="266"/>
        <v>0</v>
      </c>
      <c r="AP289" s="556">
        <f t="shared" si="266"/>
        <v>0</v>
      </c>
      <c r="AQ289" s="556">
        <f t="shared" ref="AQ289:AS289" si="267">SUM(AQ284:AQ288)</f>
        <v>0</v>
      </c>
      <c r="AR289" s="556">
        <f t="shared" si="267"/>
        <v>0</v>
      </c>
      <c r="AS289" s="556">
        <f t="shared" si="267"/>
        <v>0</v>
      </c>
      <c r="AT289" s="556"/>
      <c r="AU289" s="241">
        <f>SUM(AU284:AU288)</f>
        <v>0</v>
      </c>
      <c r="AV289" s="131"/>
      <c r="AW289" s="241">
        <f>SUM(AW284:AW288)</f>
        <v>0</v>
      </c>
      <c r="AX289" s="241">
        <f>+AW289-'ROR-Model'!G289</f>
        <v>0</v>
      </c>
    </row>
    <row r="290" spans="1:50">
      <c r="A290" s="330"/>
      <c r="B290" s="332"/>
      <c r="C290" s="728"/>
      <c r="D290" s="106"/>
      <c r="E290" s="331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16"/>
      <c r="AW290" s="133"/>
      <c r="AX290" s="133">
        <f>+AW290-'ROR-Model'!G290</f>
        <v>0</v>
      </c>
    </row>
    <row r="291" spans="1:50">
      <c r="A291" s="330"/>
      <c r="B291" s="332"/>
      <c r="C291" s="728" t="s">
        <v>20</v>
      </c>
      <c r="D291" s="106"/>
      <c r="E291" s="331"/>
      <c r="F291" s="116"/>
      <c r="G291" s="116"/>
      <c r="H291" s="116">
        <f>H1*Revenue!$K$290</f>
        <v>0</v>
      </c>
      <c r="I291" s="116"/>
      <c r="J291" s="116"/>
      <c r="K291" s="116"/>
      <c r="L291" s="116"/>
      <c r="M291" s="116"/>
      <c r="N291" s="116"/>
      <c r="O291" s="116"/>
      <c r="P291" s="116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>
        <f>SUM(F291:AT291)</f>
        <v>0</v>
      </c>
      <c r="AV291" s="116"/>
      <c r="AW291" s="133">
        <f>SUM(AU291:AU291)</f>
        <v>0</v>
      </c>
      <c r="AX291" s="133">
        <f>+AW291-'ROR-Model'!G291</f>
        <v>0</v>
      </c>
    </row>
    <row r="292" spans="1:50">
      <c r="A292" s="330"/>
      <c r="B292" s="728"/>
      <c r="C292" s="728"/>
      <c r="D292" s="106"/>
      <c r="E292" s="331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16"/>
      <c r="AW292" s="133"/>
      <c r="AX292" s="133">
        <f>+AW292-'ROR-Model'!G292</f>
        <v>0</v>
      </c>
    </row>
    <row r="293" spans="1:50">
      <c r="A293" s="330"/>
      <c r="B293" s="728" t="s">
        <v>25</v>
      </c>
      <c r="C293" s="728" t="s">
        <v>16</v>
      </c>
      <c r="D293" s="106"/>
      <c r="E293" s="331"/>
      <c r="F293" s="116"/>
      <c r="G293" s="116"/>
      <c r="H293" s="116">
        <f>H1*Revenue!$K$292</f>
        <v>0</v>
      </c>
      <c r="I293" s="116"/>
      <c r="J293" s="116"/>
      <c r="K293" s="116"/>
      <c r="L293" s="116"/>
      <c r="M293" s="116"/>
      <c r="N293" s="116"/>
      <c r="O293" s="116"/>
      <c r="P293" s="116"/>
      <c r="Q293" s="133"/>
      <c r="R293" s="133"/>
      <c r="S293" s="133"/>
      <c r="T293" s="133">
        <f>'Optional Adjustment 2'!G293*$T$1</f>
        <v>0</v>
      </c>
      <c r="U293" s="133">
        <f>'Optional Adjustment 3'!G293*$U$1</f>
        <v>0</v>
      </c>
      <c r="V293" s="133">
        <f>'Optional Adjustment 4'!G293*$V$1</f>
        <v>0</v>
      </c>
      <c r="W293" s="133">
        <f>'Optional Adjustment 5'!G293*$W$1</f>
        <v>0</v>
      </c>
      <c r="X293" s="133">
        <f>'Optional Adjustment 6'!G293*$X$1</f>
        <v>0</v>
      </c>
      <c r="Y293" s="133">
        <f>'Optional Adjustment 7'!G293*$Y$1</f>
        <v>0</v>
      </c>
      <c r="Z293" s="133">
        <f>'Optional Adjustment 8'!G293*$Z$1</f>
        <v>0</v>
      </c>
      <c r="AA293" s="133">
        <f>'Optional Adjustment 9'!G293*$AA$1</f>
        <v>0</v>
      </c>
      <c r="AB293" s="133">
        <f>'Optional Adjustment 10'!G293*$AB$1</f>
        <v>0</v>
      </c>
      <c r="AC293" s="133">
        <f>'Optional Adjustment 11'!G293*$AC$1</f>
        <v>0</v>
      </c>
      <c r="AD293" s="133">
        <f>'Optional Adjustment 12'!G293*$AD$1</f>
        <v>0</v>
      </c>
      <c r="AE293" s="133">
        <f>'Optional Adjustment 13'!G293*$AE$1</f>
        <v>0</v>
      </c>
      <c r="AF293" s="133">
        <f>'Optional Adjustment 14'!G293*$AF$1</f>
        <v>0</v>
      </c>
      <c r="AG293" s="133">
        <f>'Optional Adjustment 15'!G293*$AG$1</f>
        <v>0</v>
      </c>
      <c r="AH293" s="133">
        <f>'Optional Adjustment 16'!G293*$AH$1</f>
        <v>0</v>
      </c>
      <c r="AI293" s="133">
        <f>'Optional Adjustment 17'!G293*$AI$1</f>
        <v>0</v>
      </c>
      <c r="AJ293" s="133">
        <f>'Optional Adjustment 18'!G293*$AJ$1</f>
        <v>0</v>
      </c>
      <c r="AK293" s="133">
        <f>'Optional Adjustment 19'!G293*$AK$1</f>
        <v>0</v>
      </c>
      <c r="AL293" s="133">
        <f>'Optional Adjustment 20'!G293*$AL$1</f>
        <v>0</v>
      </c>
      <c r="AM293" s="133">
        <f>'Optional Adjustment 21'!G293*$AM$1</f>
        <v>0</v>
      </c>
      <c r="AN293" s="133">
        <f>'Optional Adjustment 22'!G293*$AN$1</f>
        <v>0</v>
      </c>
      <c r="AO293" s="133">
        <f>'Optional Adjustment 23'!G293*$AO$1</f>
        <v>0</v>
      </c>
      <c r="AP293" s="133">
        <f>'Optional Adjustment 24'!G293*$AP$1</f>
        <v>0</v>
      </c>
      <c r="AQ293" s="133">
        <f>'Optional Adjustment 25'!G293*$AQ$1</f>
        <v>0</v>
      </c>
      <c r="AR293" s="133">
        <f>'Optional Adjustment 26'!G293*$AR$1</f>
        <v>0</v>
      </c>
      <c r="AS293" s="133">
        <f>'Optional Adjustment 27'!G293*$AS$1</f>
        <v>0</v>
      </c>
      <c r="AT293" s="133"/>
      <c r="AU293" s="133">
        <f>SUM(F293:AT293)</f>
        <v>0</v>
      </c>
      <c r="AV293" s="116"/>
      <c r="AW293" s="133">
        <f>SUM(AU293:AU293)</f>
        <v>0</v>
      </c>
      <c r="AX293" s="133">
        <f>+AW293-'ROR-Model'!G293</f>
        <v>0</v>
      </c>
    </row>
    <row r="294" spans="1:50">
      <c r="A294" s="330"/>
      <c r="B294" s="728" t="s">
        <v>693</v>
      </c>
      <c r="C294" s="728" t="s">
        <v>463</v>
      </c>
      <c r="D294" s="243" t="s">
        <v>546</v>
      </c>
      <c r="E294" s="331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16"/>
      <c r="AW294" s="133"/>
      <c r="AX294" s="133">
        <f>+AW294-'ROR-Model'!G294</f>
        <v>0</v>
      </c>
    </row>
    <row r="295" spans="1:50">
      <c r="A295" s="330"/>
      <c r="B295" s="728"/>
      <c r="C295" s="728"/>
      <c r="D295" s="106"/>
      <c r="E295" s="331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>
        <f>SUM(F295:AT295)</f>
        <v>0</v>
      </c>
      <c r="AV295" s="116"/>
      <c r="AW295" s="133">
        <f>SUM(AU295:AU295)</f>
        <v>0</v>
      </c>
      <c r="AX295" s="133">
        <f>+AW295-'ROR-Model'!G295</f>
        <v>0</v>
      </c>
    </row>
    <row r="296" spans="1:50">
      <c r="A296" s="330"/>
      <c r="B296" s="728"/>
      <c r="C296" s="728"/>
      <c r="D296" s="106"/>
      <c r="E296" s="331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16"/>
      <c r="AW296" s="133"/>
      <c r="AX296" s="133">
        <f>+AW296-'ROR-Model'!G296</f>
        <v>0</v>
      </c>
    </row>
    <row r="297" spans="1:50">
      <c r="A297" s="330"/>
      <c r="B297" s="332"/>
      <c r="C297" s="332" t="s">
        <v>18</v>
      </c>
      <c r="D297" s="106"/>
      <c r="E297" s="331"/>
      <c r="F297" s="116"/>
      <c r="G297" s="116"/>
      <c r="H297" s="116">
        <f>H1*Revenue!$K$296</f>
        <v>0</v>
      </c>
      <c r="I297" s="116"/>
      <c r="J297" s="116"/>
      <c r="K297" s="116"/>
      <c r="L297" s="116"/>
      <c r="M297" s="116"/>
      <c r="N297" s="116"/>
      <c r="O297" s="116"/>
      <c r="P297" s="116"/>
      <c r="Q297" s="133"/>
      <c r="R297" s="133"/>
      <c r="S297" s="133"/>
      <c r="T297" s="133">
        <f>'Optional Adjustment 2'!G297*$T$1</f>
        <v>0</v>
      </c>
      <c r="U297" s="133">
        <f>'Optional Adjustment 3'!G297*$U$1</f>
        <v>0</v>
      </c>
      <c r="V297" s="133">
        <f>'Optional Adjustment 4'!G297*$V$1</f>
        <v>0</v>
      </c>
      <c r="W297" s="133">
        <f>'Optional Adjustment 5'!G297*$W$1</f>
        <v>0</v>
      </c>
      <c r="X297" s="133">
        <f>'Optional Adjustment 6'!G297*$X$1</f>
        <v>0</v>
      </c>
      <c r="Y297" s="133">
        <f>'Optional Adjustment 7'!G297*$Y$1</f>
        <v>0</v>
      </c>
      <c r="Z297" s="133">
        <f>'Optional Adjustment 8'!G297*$Z$1</f>
        <v>0</v>
      </c>
      <c r="AA297" s="133">
        <f>'Optional Adjustment 9'!G297*$AA$1</f>
        <v>0</v>
      </c>
      <c r="AB297" s="133">
        <f>'Optional Adjustment 10'!G297*$AB$1</f>
        <v>0</v>
      </c>
      <c r="AC297" s="133">
        <f>'Optional Adjustment 11'!G297*$AC$1</f>
        <v>0</v>
      </c>
      <c r="AD297" s="133">
        <f>'Optional Adjustment 12'!G297*$AD$1</f>
        <v>0</v>
      </c>
      <c r="AE297" s="133">
        <f>'Optional Adjustment 13'!G297*$AE$1</f>
        <v>0</v>
      </c>
      <c r="AF297" s="133">
        <f>'Optional Adjustment 14'!G297*$AF$1</f>
        <v>0</v>
      </c>
      <c r="AG297" s="133">
        <f>'Optional Adjustment 15'!G297*$AG$1</f>
        <v>0</v>
      </c>
      <c r="AH297" s="133">
        <f>'Optional Adjustment 16'!G297*$AH$1</f>
        <v>0</v>
      </c>
      <c r="AI297" s="133">
        <f>'Optional Adjustment 17'!G297*$AI$1</f>
        <v>0</v>
      </c>
      <c r="AJ297" s="133">
        <f>'Optional Adjustment 18'!G297*$AJ$1</f>
        <v>0</v>
      </c>
      <c r="AK297" s="133">
        <f>'Optional Adjustment 19'!G297*$AK$1</f>
        <v>0</v>
      </c>
      <c r="AL297" s="133">
        <f>'Optional Adjustment 20'!G297*$AL$1</f>
        <v>0</v>
      </c>
      <c r="AM297" s="133">
        <f>'Optional Adjustment 21'!G297*$AM$1</f>
        <v>0</v>
      </c>
      <c r="AN297" s="133">
        <f>'Optional Adjustment 22'!G297*$AN$1</f>
        <v>0</v>
      </c>
      <c r="AO297" s="133">
        <f>'Optional Adjustment 23'!G297*$AO$1</f>
        <v>0</v>
      </c>
      <c r="AP297" s="133">
        <f>'Optional Adjustment 24'!G297*$AP$1</f>
        <v>0</v>
      </c>
      <c r="AQ297" s="133">
        <f>'Optional Adjustment 25'!G297*$AQ$1</f>
        <v>0</v>
      </c>
      <c r="AR297" s="133">
        <f>'Optional Adjustment 26'!G297*$AR$1</f>
        <v>0</v>
      </c>
      <c r="AS297" s="133">
        <f>'Optional Adjustment 27'!G297*$AS$1</f>
        <v>0</v>
      </c>
      <c r="AT297" s="133"/>
      <c r="AU297" s="133">
        <f>SUM(F297:AT297)</f>
        <v>0</v>
      </c>
      <c r="AV297" s="116"/>
      <c r="AW297" s="133">
        <f>SUM(AU297:AU297)</f>
        <v>0</v>
      </c>
      <c r="AX297" s="133">
        <f>+AW297-'ROR-Model'!G297</f>
        <v>0</v>
      </c>
    </row>
    <row r="298" spans="1:50">
      <c r="A298" s="330"/>
      <c r="B298" s="332"/>
      <c r="C298" s="332" t="s">
        <v>19</v>
      </c>
      <c r="D298" s="106"/>
      <c r="E298" s="331"/>
      <c r="F298" s="131">
        <f>SUM(F293:F297)</f>
        <v>0</v>
      </c>
      <c r="G298" s="131"/>
      <c r="H298" s="131">
        <f>H1*SUM(H293:H297)</f>
        <v>0</v>
      </c>
      <c r="I298" s="131">
        <f>SUM(I293:I297)</f>
        <v>0</v>
      </c>
      <c r="J298" s="131">
        <f t="shared" ref="J298:P298" si="268">SUM(J293:J297)</f>
        <v>0</v>
      </c>
      <c r="K298" s="131">
        <f t="shared" si="268"/>
        <v>0</v>
      </c>
      <c r="L298" s="131">
        <f t="shared" si="268"/>
        <v>0</v>
      </c>
      <c r="M298" s="131">
        <f t="shared" si="268"/>
        <v>0</v>
      </c>
      <c r="N298" s="131">
        <f t="shared" si="268"/>
        <v>0</v>
      </c>
      <c r="O298" s="131">
        <f t="shared" si="268"/>
        <v>0</v>
      </c>
      <c r="P298" s="131">
        <f t="shared" si="268"/>
        <v>0</v>
      </c>
      <c r="Q298" s="241">
        <f t="shared" ref="Q298:W298" si="269">SUM(Q293:Q297)</f>
        <v>0</v>
      </c>
      <c r="R298" s="241">
        <f t="shared" si="269"/>
        <v>0</v>
      </c>
      <c r="S298" s="556"/>
      <c r="T298" s="556">
        <f t="shared" si="269"/>
        <v>0</v>
      </c>
      <c r="U298" s="556">
        <f t="shared" si="269"/>
        <v>0</v>
      </c>
      <c r="V298" s="556">
        <f t="shared" si="269"/>
        <v>0</v>
      </c>
      <c r="W298" s="556">
        <f t="shared" si="269"/>
        <v>0</v>
      </c>
      <c r="X298" s="556">
        <f t="shared" ref="X298:AG298" si="270">SUM(X293:X297)</f>
        <v>0</v>
      </c>
      <c r="Y298" s="556">
        <f t="shared" si="270"/>
        <v>0</v>
      </c>
      <c r="Z298" s="556">
        <f t="shared" si="270"/>
        <v>0</v>
      </c>
      <c r="AA298" s="556">
        <f t="shared" si="270"/>
        <v>0</v>
      </c>
      <c r="AB298" s="556">
        <f t="shared" si="270"/>
        <v>0</v>
      </c>
      <c r="AC298" s="556">
        <f t="shared" si="270"/>
        <v>0</v>
      </c>
      <c r="AD298" s="556">
        <f t="shared" si="270"/>
        <v>0</v>
      </c>
      <c r="AE298" s="556">
        <f t="shared" si="270"/>
        <v>0</v>
      </c>
      <c r="AF298" s="556">
        <f t="shared" si="270"/>
        <v>0</v>
      </c>
      <c r="AG298" s="556">
        <f t="shared" si="270"/>
        <v>0</v>
      </c>
      <c r="AH298" s="556">
        <f t="shared" ref="AH298:AK298" si="271">SUM(AH293:AH297)</f>
        <v>0</v>
      </c>
      <c r="AI298" s="556">
        <f t="shared" si="271"/>
        <v>0</v>
      </c>
      <c r="AJ298" s="556">
        <f t="shared" si="271"/>
        <v>0</v>
      </c>
      <c r="AK298" s="556">
        <f t="shared" si="271"/>
        <v>0</v>
      </c>
      <c r="AL298" s="556">
        <f t="shared" ref="AL298:AP298" si="272">SUM(AL293:AL297)</f>
        <v>0</v>
      </c>
      <c r="AM298" s="556">
        <f t="shared" si="272"/>
        <v>0</v>
      </c>
      <c r="AN298" s="556">
        <f t="shared" si="272"/>
        <v>0</v>
      </c>
      <c r="AO298" s="556">
        <f t="shared" si="272"/>
        <v>0</v>
      </c>
      <c r="AP298" s="556">
        <f t="shared" si="272"/>
        <v>0</v>
      </c>
      <c r="AQ298" s="556">
        <f t="shared" ref="AQ298:AS298" si="273">SUM(AQ293:AQ297)</f>
        <v>0</v>
      </c>
      <c r="AR298" s="556">
        <f t="shared" si="273"/>
        <v>0</v>
      </c>
      <c r="AS298" s="556">
        <f t="shared" si="273"/>
        <v>0</v>
      </c>
      <c r="AT298" s="556"/>
      <c r="AU298" s="241">
        <f>SUM(AU293:AU297)</f>
        <v>0</v>
      </c>
      <c r="AV298" s="131"/>
      <c r="AW298" s="241">
        <f>SUM(AW293:AW297)</f>
        <v>0</v>
      </c>
      <c r="AX298" s="241">
        <f>+AW298-'ROR-Model'!G298</f>
        <v>0</v>
      </c>
    </row>
    <row r="299" spans="1:50">
      <c r="A299" s="330"/>
      <c r="B299" s="332"/>
      <c r="C299" s="332"/>
      <c r="D299" s="106"/>
      <c r="E299" s="331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16"/>
      <c r="AW299" s="133"/>
      <c r="AX299" s="133">
        <f>+AW299-'ROR-Model'!G299</f>
        <v>0</v>
      </c>
    </row>
    <row r="300" spans="1:50">
      <c r="A300" s="330"/>
      <c r="B300" s="332"/>
      <c r="C300" s="332" t="s">
        <v>20</v>
      </c>
      <c r="D300" s="106"/>
      <c r="E300" s="331"/>
      <c r="F300" s="116"/>
      <c r="G300" s="116"/>
      <c r="H300" s="116">
        <f>H1*Revenue!$K$299</f>
        <v>0</v>
      </c>
      <c r="I300" s="116"/>
      <c r="J300" s="116"/>
      <c r="K300" s="116"/>
      <c r="L300" s="116"/>
      <c r="M300" s="116"/>
      <c r="N300" s="116"/>
      <c r="O300" s="116"/>
      <c r="P300" s="116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>
        <f>SUM(F300:AT300)</f>
        <v>0</v>
      </c>
      <c r="AV300" s="116"/>
      <c r="AW300" s="133">
        <f>SUM(AU300:AU300)</f>
        <v>0</v>
      </c>
      <c r="AX300" s="133">
        <f>+AW300-'ROR-Model'!G300</f>
        <v>0</v>
      </c>
    </row>
    <row r="301" spans="1:50">
      <c r="A301" s="330"/>
      <c r="B301" s="728"/>
      <c r="C301" s="728"/>
      <c r="D301" s="106"/>
      <c r="E301" s="331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16"/>
      <c r="AW301" s="133"/>
      <c r="AX301" s="133">
        <f>+AW301-'ROR-Model'!G301</f>
        <v>0</v>
      </c>
    </row>
    <row r="302" spans="1:50">
      <c r="A302" s="330"/>
      <c r="B302" s="332" t="s">
        <v>26</v>
      </c>
      <c r="C302" s="332" t="s">
        <v>16</v>
      </c>
      <c r="D302" s="106"/>
      <c r="E302" s="331"/>
      <c r="F302" s="116"/>
      <c r="G302" s="116"/>
      <c r="H302" s="116">
        <f>H1*Revenue!$K$301</f>
        <v>-2538.9876800000056</v>
      </c>
      <c r="I302" s="116"/>
      <c r="J302" s="116"/>
      <c r="K302" s="116"/>
      <c r="L302" s="116"/>
      <c r="M302" s="116"/>
      <c r="N302" s="116"/>
      <c r="O302" s="116"/>
      <c r="P302" s="116"/>
      <c r="Q302" s="133"/>
      <c r="R302" s="133"/>
      <c r="S302" s="133"/>
      <c r="T302" s="133">
        <f>'Optional Adjustment 2'!G302*$T$1</f>
        <v>0</v>
      </c>
      <c r="U302" s="133">
        <f>'Optional Adjustment 3'!G302*$U$1</f>
        <v>0</v>
      </c>
      <c r="V302" s="133">
        <f>'Optional Adjustment 4'!G302*$V$1</f>
        <v>0</v>
      </c>
      <c r="W302" s="133">
        <f>'Optional Adjustment 5'!G302*$W$1</f>
        <v>0</v>
      </c>
      <c r="X302" s="133">
        <f>'Optional Adjustment 6'!G302*$X$1</f>
        <v>0</v>
      </c>
      <c r="Y302" s="133">
        <f>'Optional Adjustment 7'!G302*$Y$1</f>
        <v>0</v>
      </c>
      <c r="Z302" s="133">
        <f>'Optional Adjustment 8'!G302*$Z$1</f>
        <v>0</v>
      </c>
      <c r="AA302" s="133">
        <f>'Optional Adjustment 9'!G302*$AA$1</f>
        <v>0</v>
      </c>
      <c r="AB302" s="133">
        <f>'Optional Adjustment 10'!G302*$AB$1</f>
        <v>0</v>
      </c>
      <c r="AC302" s="133">
        <f>'Optional Adjustment 11'!G302*$AC$1</f>
        <v>0</v>
      </c>
      <c r="AD302" s="133">
        <f>'Optional Adjustment 12'!G302*$AD$1</f>
        <v>0</v>
      </c>
      <c r="AE302" s="133">
        <f>'Optional Adjustment 13'!G302*$AE$1</f>
        <v>0</v>
      </c>
      <c r="AF302" s="133">
        <f>'Optional Adjustment 14'!G302*$AF$1</f>
        <v>0</v>
      </c>
      <c r="AG302" s="133">
        <f>'Optional Adjustment 15'!G302*$AG$1</f>
        <v>0</v>
      </c>
      <c r="AH302" s="133">
        <f>'Optional Adjustment 16'!G302*$AH$1</f>
        <v>0</v>
      </c>
      <c r="AI302" s="133">
        <f>'Optional Adjustment 17'!G302*$AI$1</f>
        <v>0</v>
      </c>
      <c r="AJ302" s="133">
        <f>'Optional Adjustment 18'!G302*$AJ$1</f>
        <v>0</v>
      </c>
      <c r="AK302" s="133">
        <f>'Optional Adjustment 19'!G302*$AK$1</f>
        <v>0</v>
      </c>
      <c r="AL302" s="133">
        <f>'Optional Adjustment 20'!G302*$AL$1</f>
        <v>0</v>
      </c>
      <c r="AM302" s="133">
        <f>'Optional Adjustment 21'!G302*$AM$1</f>
        <v>0</v>
      </c>
      <c r="AN302" s="133">
        <f>'Optional Adjustment 22'!G302*$AN$1</f>
        <v>0</v>
      </c>
      <c r="AO302" s="133">
        <f>'Optional Adjustment 23'!G302*$AO$1</f>
        <v>0</v>
      </c>
      <c r="AP302" s="133">
        <f>'Optional Adjustment 24'!G302*$AP$1</f>
        <v>0</v>
      </c>
      <c r="AQ302" s="133">
        <f>'Optional Adjustment 25'!G302*$AQ$1</f>
        <v>0</v>
      </c>
      <c r="AR302" s="133">
        <f>'Optional Adjustment 26'!G302*$AR$1</f>
        <v>0</v>
      </c>
      <c r="AS302" s="133">
        <f>'Optional Adjustment 27'!G302*$AS$1</f>
        <v>0</v>
      </c>
      <c r="AT302" s="133"/>
      <c r="AU302" s="133">
        <f>SUM(F302:AT302)</f>
        <v>-2538.9876800000056</v>
      </c>
      <c r="AV302" s="116"/>
      <c r="AW302" s="133">
        <f>SUM(AU302:AU302)</f>
        <v>-2538.9876800000056</v>
      </c>
      <c r="AX302" s="133">
        <f>+AW302-'ROR-Model'!G302</f>
        <v>0</v>
      </c>
    </row>
    <row r="303" spans="1:50">
      <c r="A303" s="330"/>
      <c r="B303" s="728"/>
      <c r="C303" s="332"/>
      <c r="D303" s="243" t="s">
        <v>546</v>
      </c>
      <c r="E303" s="331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16"/>
      <c r="AW303" s="133"/>
      <c r="AX303" s="133">
        <f>+AW303-'ROR-Model'!G303</f>
        <v>0</v>
      </c>
    </row>
    <row r="304" spans="1:50">
      <c r="A304" s="330"/>
      <c r="B304" s="728"/>
      <c r="C304" s="332"/>
      <c r="D304" s="106"/>
      <c r="E304" s="331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>
        <f>SUM(F304:AT304)</f>
        <v>0</v>
      </c>
      <c r="AV304" s="116"/>
      <c r="AW304" s="133">
        <f>SUM(AU304:AU304)</f>
        <v>0</v>
      </c>
      <c r="AX304" s="133">
        <f>+AW304-'ROR-Model'!G304</f>
        <v>0</v>
      </c>
    </row>
    <row r="305" spans="1:50">
      <c r="A305" s="330"/>
      <c r="B305" s="728"/>
      <c r="C305" s="332"/>
      <c r="D305" s="106"/>
      <c r="E305" s="331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16"/>
      <c r="AW305" s="133"/>
      <c r="AX305" s="133">
        <f>+AW305-'ROR-Model'!G305</f>
        <v>0</v>
      </c>
    </row>
    <row r="306" spans="1:50">
      <c r="A306" s="330"/>
      <c r="B306" s="332"/>
      <c r="C306" s="332" t="s">
        <v>18</v>
      </c>
      <c r="D306" s="106"/>
      <c r="E306" s="331"/>
      <c r="F306" s="116"/>
      <c r="G306" s="116"/>
      <c r="H306" s="116">
        <f>H1*Revenue!$K$305</f>
        <v>0</v>
      </c>
      <c r="I306" s="116"/>
      <c r="J306" s="116"/>
      <c r="K306" s="116"/>
      <c r="L306" s="116"/>
      <c r="M306" s="116"/>
      <c r="N306" s="116"/>
      <c r="O306" s="116"/>
      <c r="P306" s="116"/>
      <c r="Q306" s="133"/>
      <c r="R306" s="133"/>
      <c r="S306" s="133"/>
      <c r="T306" s="133">
        <f>'Optional Adjustment 2'!G306*$T$1</f>
        <v>0</v>
      </c>
      <c r="U306" s="133">
        <f>'Optional Adjustment 3'!G306*$U$1</f>
        <v>0</v>
      </c>
      <c r="V306" s="133">
        <f>'Optional Adjustment 4'!G306*$V$1</f>
        <v>0</v>
      </c>
      <c r="W306" s="133">
        <f>'Optional Adjustment 5'!G306*$W$1</f>
        <v>0</v>
      </c>
      <c r="X306" s="133">
        <f>'Optional Adjustment 6'!G306*$X$1</f>
        <v>0</v>
      </c>
      <c r="Y306" s="133">
        <f>'Optional Adjustment 7'!G306*$Y$1</f>
        <v>0</v>
      </c>
      <c r="Z306" s="133">
        <f>'Optional Adjustment 8'!G306*$Z$1</f>
        <v>0</v>
      </c>
      <c r="AA306" s="133">
        <f>'Optional Adjustment 9'!G306*$AA$1</f>
        <v>0</v>
      </c>
      <c r="AB306" s="133">
        <f>'Optional Adjustment 10'!G306*$AB$1</f>
        <v>0</v>
      </c>
      <c r="AC306" s="133">
        <f>'Optional Adjustment 11'!G306*$AC$1</f>
        <v>0</v>
      </c>
      <c r="AD306" s="133">
        <f>'Optional Adjustment 12'!G306*$AD$1</f>
        <v>0</v>
      </c>
      <c r="AE306" s="133">
        <f>'Optional Adjustment 13'!G306*$AE$1</f>
        <v>0</v>
      </c>
      <c r="AF306" s="133">
        <f>'Optional Adjustment 14'!G306*$AF$1</f>
        <v>0</v>
      </c>
      <c r="AG306" s="133">
        <f>'Optional Adjustment 15'!G306*$AG$1</f>
        <v>0</v>
      </c>
      <c r="AH306" s="133">
        <f>'Optional Adjustment 16'!G306*$AH$1</f>
        <v>0</v>
      </c>
      <c r="AI306" s="133">
        <f>'Optional Adjustment 17'!G306*$AI$1</f>
        <v>0</v>
      </c>
      <c r="AJ306" s="133">
        <f>'Optional Adjustment 18'!G306*$AJ$1</f>
        <v>0</v>
      </c>
      <c r="AK306" s="133">
        <f>'Optional Adjustment 19'!G306*$AK$1</f>
        <v>0</v>
      </c>
      <c r="AL306" s="133">
        <f>'Optional Adjustment 20'!G306*$AL$1</f>
        <v>0</v>
      </c>
      <c r="AM306" s="133">
        <f>'Optional Adjustment 21'!G306*$AM$1</f>
        <v>0</v>
      </c>
      <c r="AN306" s="133">
        <f>'Optional Adjustment 22'!G306*$AN$1</f>
        <v>0</v>
      </c>
      <c r="AO306" s="133">
        <f>'Optional Adjustment 23'!G306*$AO$1</f>
        <v>0</v>
      </c>
      <c r="AP306" s="133">
        <f>'Optional Adjustment 24'!G306*$AP$1</f>
        <v>0</v>
      </c>
      <c r="AQ306" s="133">
        <f>'Optional Adjustment 25'!G306*$AQ$1</f>
        <v>0</v>
      </c>
      <c r="AR306" s="133">
        <f>'Optional Adjustment 26'!G306*$AR$1</f>
        <v>0</v>
      </c>
      <c r="AS306" s="133">
        <f>'Optional Adjustment 27'!G306*$AS$1</f>
        <v>0</v>
      </c>
      <c r="AT306" s="133"/>
      <c r="AU306" s="133">
        <f>SUM(F306:AT306)</f>
        <v>0</v>
      </c>
      <c r="AV306" s="116"/>
      <c r="AW306" s="133">
        <f>SUM(AU306:AU306)</f>
        <v>0</v>
      </c>
      <c r="AX306" s="133">
        <f>+AW306-'ROR-Model'!G306</f>
        <v>0</v>
      </c>
    </row>
    <row r="307" spans="1:50">
      <c r="A307" s="330"/>
      <c r="B307" s="332"/>
      <c r="C307" s="332" t="s">
        <v>19</v>
      </c>
      <c r="D307" s="106"/>
      <c r="E307" s="331"/>
      <c r="F307" s="131">
        <f>SUM(F302:F306)</f>
        <v>0</v>
      </c>
      <c r="G307" s="131"/>
      <c r="H307" s="131">
        <f>H1*SUM(H302:H306)</f>
        <v>-2538.9876800000056</v>
      </c>
      <c r="I307" s="131">
        <f>SUM(I302:I306)</f>
        <v>0</v>
      </c>
      <c r="J307" s="131">
        <f t="shared" ref="J307:P307" si="274">SUM(J302:J306)</f>
        <v>0</v>
      </c>
      <c r="K307" s="131">
        <f t="shared" si="274"/>
        <v>0</v>
      </c>
      <c r="L307" s="131">
        <f t="shared" si="274"/>
        <v>0</v>
      </c>
      <c r="M307" s="131">
        <f t="shared" si="274"/>
        <v>0</v>
      </c>
      <c r="N307" s="131">
        <f t="shared" si="274"/>
        <v>0</v>
      </c>
      <c r="O307" s="131">
        <f t="shared" si="274"/>
        <v>0</v>
      </c>
      <c r="P307" s="131">
        <f t="shared" si="274"/>
        <v>0</v>
      </c>
      <c r="Q307" s="241">
        <f t="shared" ref="Q307:W307" si="275">SUM(Q302:Q306)</f>
        <v>0</v>
      </c>
      <c r="R307" s="241">
        <f t="shared" si="275"/>
        <v>0</v>
      </c>
      <c r="S307" s="556"/>
      <c r="T307" s="556">
        <f t="shared" si="275"/>
        <v>0</v>
      </c>
      <c r="U307" s="556">
        <f t="shared" si="275"/>
        <v>0</v>
      </c>
      <c r="V307" s="556">
        <f t="shared" si="275"/>
        <v>0</v>
      </c>
      <c r="W307" s="556">
        <f t="shared" si="275"/>
        <v>0</v>
      </c>
      <c r="X307" s="556">
        <f t="shared" ref="X307:AG307" si="276">SUM(X302:X306)</f>
        <v>0</v>
      </c>
      <c r="Y307" s="556">
        <f t="shared" si="276"/>
        <v>0</v>
      </c>
      <c r="Z307" s="556">
        <f t="shared" si="276"/>
        <v>0</v>
      </c>
      <c r="AA307" s="556">
        <f t="shared" si="276"/>
        <v>0</v>
      </c>
      <c r="AB307" s="556">
        <f t="shared" si="276"/>
        <v>0</v>
      </c>
      <c r="AC307" s="556">
        <f t="shared" si="276"/>
        <v>0</v>
      </c>
      <c r="AD307" s="556">
        <f t="shared" si="276"/>
        <v>0</v>
      </c>
      <c r="AE307" s="556">
        <f t="shared" si="276"/>
        <v>0</v>
      </c>
      <c r="AF307" s="556">
        <f t="shared" si="276"/>
        <v>0</v>
      </c>
      <c r="AG307" s="556">
        <f t="shared" si="276"/>
        <v>0</v>
      </c>
      <c r="AH307" s="556">
        <f t="shared" ref="AH307:AK307" si="277">SUM(AH302:AH306)</f>
        <v>0</v>
      </c>
      <c r="AI307" s="556">
        <f t="shared" si="277"/>
        <v>0</v>
      </c>
      <c r="AJ307" s="556">
        <f t="shared" si="277"/>
        <v>0</v>
      </c>
      <c r="AK307" s="556">
        <f t="shared" si="277"/>
        <v>0</v>
      </c>
      <c r="AL307" s="556">
        <f t="shared" ref="AL307:AP307" si="278">SUM(AL302:AL306)</f>
        <v>0</v>
      </c>
      <c r="AM307" s="556">
        <f t="shared" si="278"/>
        <v>0</v>
      </c>
      <c r="AN307" s="556">
        <f t="shared" si="278"/>
        <v>0</v>
      </c>
      <c r="AO307" s="556">
        <f t="shared" si="278"/>
        <v>0</v>
      </c>
      <c r="AP307" s="556">
        <f t="shared" si="278"/>
        <v>0</v>
      </c>
      <c r="AQ307" s="556">
        <f t="shared" ref="AQ307:AS307" si="279">SUM(AQ302:AQ306)</f>
        <v>0</v>
      </c>
      <c r="AR307" s="556">
        <f t="shared" si="279"/>
        <v>0</v>
      </c>
      <c r="AS307" s="556">
        <f t="shared" si="279"/>
        <v>0</v>
      </c>
      <c r="AT307" s="556"/>
      <c r="AU307" s="241">
        <f>SUM(AU302:AU306)</f>
        <v>-2538.9876800000056</v>
      </c>
      <c r="AV307" s="131"/>
      <c r="AW307" s="241">
        <f>SUM(AW302:AW306)</f>
        <v>-2538.9876800000056</v>
      </c>
      <c r="AX307" s="241">
        <f>+AW307-'ROR-Model'!G307</f>
        <v>0</v>
      </c>
    </row>
    <row r="308" spans="1:50">
      <c r="A308" s="330"/>
      <c r="B308" s="332"/>
      <c r="C308" s="332"/>
      <c r="D308" s="106"/>
      <c r="E308" s="331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16"/>
      <c r="AW308" s="133"/>
      <c r="AX308" s="133">
        <f>+AW308-'ROR-Model'!G308</f>
        <v>0</v>
      </c>
    </row>
    <row r="309" spans="1:50">
      <c r="A309" s="330"/>
      <c r="B309" s="332"/>
      <c r="C309" s="332" t="s">
        <v>20</v>
      </c>
      <c r="D309" s="106"/>
      <c r="E309" s="331"/>
      <c r="F309" s="116"/>
      <c r="G309" s="116"/>
      <c r="H309" s="116">
        <f>H1*Revenue!$K$308</f>
        <v>0</v>
      </c>
      <c r="I309" s="116"/>
      <c r="J309" s="116"/>
      <c r="K309" s="116"/>
      <c r="L309" s="116"/>
      <c r="M309" s="116"/>
      <c r="N309" s="116"/>
      <c r="O309" s="116"/>
      <c r="P309" s="116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>
        <f>SUM(F309:AT309)</f>
        <v>0</v>
      </c>
      <c r="AV309" s="116"/>
      <c r="AW309" s="133">
        <f>SUM(AU309:AU309)</f>
        <v>0</v>
      </c>
      <c r="AX309" s="133">
        <f>+AW309-'ROR-Model'!G309</f>
        <v>0</v>
      </c>
    </row>
    <row r="310" spans="1:50">
      <c r="A310" s="330"/>
      <c r="B310" s="728"/>
      <c r="C310" s="728"/>
      <c r="D310" s="106"/>
      <c r="E310" s="331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16"/>
      <c r="AW310" s="133"/>
      <c r="AX310" s="133">
        <f>+AW310-'ROR-Model'!G310</f>
        <v>0</v>
      </c>
    </row>
    <row r="311" spans="1:50">
      <c r="A311" s="330"/>
      <c r="B311" s="728" t="s">
        <v>25</v>
      </c>
      <c r="C311" s="332" t="s">
        <v>16</v>
      </c>
      <c r="D311" s="106"/>
      <c r="E311" s="331"/>
      <c r="F311" s="116"/>
      <c r="G311" s="116"/>
      <c r="H311" s="116">
        <f>H1*Revenue!$K$310</f>
        <v>-6991.3600000000006</v>
      </c>
      <c r="I311" s="116"/>
      <c r="J311" s="116"/>
      <c r="K311" s="116"/>
      <c r="L311" s="116"/>
      <c r="M311" s="116"/>
      <c r="N311" s="116"/>
      <c r="O311" s="116"/>
      <c r="P311" s="116"/>
      <c r="Q311" s="133"/>
      <c r="R311" s="133"/>
      <c r="S311" s="133"/>
      <c r="T311" s="133">
        <f>'Optional Adjustment 2'!G311*$T$1</f>
        <v>0</v>
      </c>
      <c r="U311" s="133">
        <f>'Optional Adjustment 3'!G311*$U$1</f>
        <v>0</v>
      </c>
      <c r="V311" s="133">
        <f>'Optional Adjustment 4'!G311*$V$1</f>
        <v>0</v>
      </c>
      <c r="W311" s="133">
        <f>'Optional Adjustment 5'!G311*$W$1</f>
        <v>0</v>
      </c>
      <c r="X311" s="133">
        <f>'Optional Adjustment 6'!G311*$X$1</f>
        <v>0</v>
      </c>
      <c r="Y311" s="133">
        <f>'Optional Adjustment 7'!G311*$Y$1</f>
        <v>0</v>
      </c>
      <c r="Z311" s="133">
        <f>'Optional Adjustment 8'!G311*$Z$1</f>
        <v>0</v>
      </c>
      <c r="AA311" s="133">
        <f>'Optional Adjustment 9'!G311*$AA$1</f>
        <v>0</v>
      </c>
      <c r="AB311" s="133">
        <f>'Optional Adjustment 10'!G311*$AB$1</f>
        <v>0</v>
      </c>
      <c r="AC311" s="133">
        <f>'Optional Adjustment 11'!G311*$AC$1</f>
        <v>0</v>
      </c>
      <c r="AD311" s="133">
        <f>'Optional Adjustment 12'!G311*$AD$1</f>
        <v>0</v>
      </c>
      <c r="AE311" s="133">
        <f>'Optional Adjustment 13'!G311*$AE$1</f>
        <v>0</v>
      </c>
      <c r="AF311" s="133">
        <f>'Optional Adjustment 14'!G311*$AF$1</f>
        <v>0</v>
      </c>
      <c r="AG311" s="133">
        <f>'Optional Adjustment 15'!G311*$AG$1</f>
        <v>0</v>
      </c>
      <c r="AH311" s="133">
        <f>'Optional Adjustment 16'!G311*$AH$1</f>
        <v>0</v>
      </c>
      <c r="AI311" s="133">
        <f>'Optional Adjustment 17'!G311*$AI$1</f>
        <v>0</v>
      </c>
      <c r="AJ311" s="133">
        <f>'Optional Adjustment 18'!G311*$AJ$1</f>
        <v>0</v>
      </c>
      <c r="AK311" s="133">
        <f>'Optional Adjustment 19'!G311*$AK$1</f>
        <v>0</v>
      </c>
      <c r="AL311" s="133">
        <f>'Optional Adjustment 20'!G311*$AL$1</f>
        <v>0</v>
      </c>
      <c r="AM311" s="133">
        <f>'Optional Adjustment 21'!G311*$AM$1</f>
        <v>0</v>
      </c>
      <c r="AN311" s="133">
        <f>'Optional Adjustment 22'!G311*$AN$1</f>
        <v>0</v>
      </c>
      <c r="AO311" s="133">
        <f>'Optional Adjustment 23'!G311*$AO$1</f>
        <v>0</v>
      </c>
      <c r="AP311" s="133">
        <f>'Optional Adjustment 24'!G311*$AP$1</f>
        <v>0</v>
      </c>
      <c r="AQ311" s="133">
        <f>'Optional Adjustment 25'!G311*$AQ$1</f>
        <v>0</v>
      </c>
      <c r="AR311" s="133">
        <f>'Optional Adjustment 26'!G311*$AR$1</f>
        <v>0</v>
      </c>
      <c r="AS311" s="133">
        <f>'Optional Adjustment 27'!G311*$AS$1</f>
        <v>0</v>
      </c>
      <c r="AT311" s="133"/>
      <c r="AU311" s="133">
        <f>SUM(F311:AT311)</f>
        <v>-6991.3600000000006</v>
      </c>
      <c r="AV311" s="116"/>
      <c r="AW311" s="133">
        <f>SUM(AU311:AU311)</f>
        <v>-6991.3600000000006</v>
      </c>
      <c r="AX311" s="133">
        <f>+AW311-'ROR-Model'!G311</f>
        <v>0</v>
      </c>
    </row>
    <row r="312" spans="1:50">
      <c r="A312" s="330"/>
      <c r="B312" s="728" t="s">
        <v>694</v>
      </c>
      <c r="C312" s="332"/>
      <c r="D312" s="243" t="s">
        <v>546</v>
      </c>
      <c r="E312" s="331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16"/>
      <c r="AW312" s="133"/>
      <c r="AX312" s="133">
        <f>+AW312-'ROR-Model'!G312</f>
        <v>0</v>
      </c>
    </row>
    <row r="313" spans="1:50">
      <c r="A313" s="330"/>
      <c r="B313" s="728"/>
      <c r="C313" s="332"/>
      <c r="D313" s="106"/>
      <c r="E313" s="331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>
        <f>SUM(F313:AT313)</f>
        <v>0</v>
      </c>
      <c r="AV313" s="116"/>
      <c r="AW313" s="133">
        <f>SUM(AU313:AU313)</f>
        <v>0</v>
      </c>
      <c r="AX313" s="133">
        <f>+AW313-'ROR-Model'!G313</f>
        <v>0</v>
      </c>
    </row>
    <row r="314" spans="1:50">
      <c r="A314" s="330"/>
      <c r="B314" s="728"/>
      <c r="C314" s="332"/>
      <c r="D314" s="106"/>
      <c r="E314" s="331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16"/>
      <c r="AW314" s="133"/>
      <c r="AX314" s="133">
        <f>+AW314-'ROR-Model'!G314</f>
        <v>0</v>
      </c>
    </row>
    <row r="315" spans="1:50">
      <c r="A315" s="330"/>
      <c r="B315" s="332"/>
      <c r="C315" s="332" t="s">
        <v>18</v>
      </c>
      <c r="D315" s="106"/>
      <c r="E315" s="331"/>
      <c r="F315" s="116"/>
      <c r="G315" s="116"/>
      <c r="H315" s="116">
        <f>H1*Revenue!$K$314</f>
        <v>0</v>
      </c>
      <c r="I315" s="116"/>
      <c r="J315" s="116"/>
      <c r="K315" s="116"/>
      <c r="L315" s="116"/>
      <c r="M315" s="116"/>
      <c r="N315" s="116"/>
      <c r="O315" s="116"/>
      <c r="P315" s="116"/>
      <c r="Q315" s="133"/>
      <c r="R315" s="133"/>
      <c r="S315" s="133"/>
      <c r="T315" s="133">
        <f>'Optional Adjustment 2'!G315*$T$1</f>
        <v>0</v>
      </c>
      <c r="U315" s="133">
        <f>'Optional Adjustment 3'!G315*$U$1</f>
        <v>0</v>
      </c>
      <c r="V315" s="133">
        <f>'Optional Adjustment 4'!G315*$V$1</f>
        <v>0</v>
      </c>
      <c r="W315" s="133">
        <f>'Optional Adjustment 5'!G315*$W$1</f>
        <v>0</v>
      </c>
      <c r="X315" s="133">
        <f>'Optional Adjustment 6'!G315*$X$1</f>
        <v>0</v>
      </c>
      <c r="Y315" s="133">
        <f>'Optional Adjustment 7'!G315*$Y$1</f>
        <v>0</v>
      </c>
      <c r="Z315" s="133">
        <f>'Optional Adjustment 8'!G315*$Z$1</f>
        <v>0</v>
      </c>
      <c r="AA315" s="133">
        <f>'Optional Adjustment 9'!G315*$AA$1</f>
        <v>0</v>
      </c>
      <c r="AB315" s="133">
        <f>'Optional Adjustment 10'!G315*$AB$1</f>
        <v>0</v>
      </c>
      <c r="AC315" s="133">
        <f>'Optional Adjustment 11'!G315*$AC$1</f>
        <v>0</v>
      </c>
      <c r="AD315" s="133">
        <f>'Optional Adjustment 12'!G315*$AD$1</f>
        <v>0</v>
      </c>
      <c r="AE315" s="133">
        <f>'Optional Adjustment 13'!G315*$AE$1</f>
        <v>0</v>
      </c>
      <c r="AF315" s="133">
        <f>'Optional Adjustment 14'!G315*$AF$1</f>
        <v>0</v>
      </c>
      <c r="AG315" s="133">
        <f>'Optional Adjustment 15'!G315*$AG$1</f>
        <v>0</v>
      </c>
      <c r="AH315" s="133">
        <f>'Optional Adjustment 16'!G315*$AH$1</f>
        <v>0</v>
      </c>
      <c r="AI315" s="133">
        <f>'Optional Adjustment 17'!G315*$AI$1</f>
        <v>0</v>
      </c>
      <c r="AJ315" s="133">
        <f>'Optional Adjustment 18'!G315*$AJ$1</f>
        <v>0</v>
      </c>
      <c r="AK315" s="133">
        <f>'Optional Adjustment 19'!G315*$AK$1</f>
        <v>0</v>
      </c>
      <c r="AL315" s="133">
        <f>'Optional Adjustment 20'!G315*$AL$1</f>
        <v>0</v>
      </c>
      <c r="AM315" s="133">
        <f>'Optional Adjustment 21'!G315*$AM$1</f>
        <v>0</v>
      </c>
      <c r="AN315" s="133">
        <f>'Optional Adjustment 22'!G315*$AN$1</f>
        <v>0</v>
      </c>
      <c r="AO315" s="133">
        <f>'Optional Adjustment 23'!G315*$AO$1</f>
        <v>0</v>
      </c>
      <c r="AP315" s="133">
        <f>'Optional Adjustment 24'!G315*$AP$1</f>
        <v>0</v>
      </c>
      <c r="AQ315" s="133">
        <f>'Optional Adjustment 25'!G315*$AQ$1</f>
        <v>0</v>
      </c>
      <c r="AR315" s="133">
        <f>'Optional Adjustment 26'!G315*$AR$1</f>
        <v>0</v>
      </c>
      <c r="AS315" s="133">
        <f>'Optional Adjustment 27'!G315*$AS$1</f>
        <v>0</v>
      </c>
      <c r="AT315" s="133"/>
      <c r="AU315" s="133">
        <f>SUM(F315:AT315)</f>
        <v>0</v>
      </c>
      <c r="AV315" s="116"/>
      <c r="AW315" s="133">
        <f>SUM(AU315:AU315)</f>
        <v>0</v>
      </c>
      <c r="AX315" s="133">
        <f>+AW315-'ROR-Model'!G315</f>
        <v>0</v>
      </c>
    </row>
    <row r="316" spans="1:50">
      <c r="A316" s="330"/>
      <c r="B316" s="332"/>
      <c r="C316" s="332" t="s">
        <v>19</v>
      </c>
      <c r="D316" s="106"/>
      <c r="E316" s="331"/>
      <c r="F316" s="131">
        <f>SUM(F311:F315)</f>
        <v>0</v>
      </c>
      <c r="G316" s="131"/>
      <c r="H316" s="131">
        <f>H1*SUM(H311:H315)</f>
        <v>-6991.3600000000006</v>
      </c>
      <c r="I316" s="131">
        <f>SUM(I311:I315)</f>
        <v>0</v>
      </c>
      <c r="J316" s="131">
        <f t="shared" ref="J316:P316" si="280">SUM(J311:J315)</f>
        <v>0</v>
      </c>
      <c r="K316" s="131">
        <f t="shared" si="280"/>
        <v>0</v>
      </c>
      <c r="L316" s="131">
        <f t="shared" si="280"/>
        <v>0</v>
      </c>
      <c r="M316" s="131">
        <f t="shared" si="280"/>
        <v>0</v>
      </c>
      <c r="N316" s="131">
        <f t="shared" si="280"/>
        <v>0</v>
      </c>
      <c r="O316" s="131">
        <f t="shared" si="280"/>
        <v>0</v>
      </c>
      <c r="P316" s="131">
        <f t="shared" si="280"/>
        <v>0</v>
      </c>
      <c r="Q316" s="241">
        <f t="shared" ref="Q316:W316" si="281">SUM(Q311:Q315)</f>
        <v>0</v>
      </c>
      <c r="R316" s="241">
        <f t="shared" si="281"/>
        <v>0</v>
      </c>
      <c r="S316" s="556"/>
      <c r="T316" s="556">
        <f t="shared" si="281"/>
        <v>0</v>
      </c>
      <c r="U316" s="556">
        <f t="shared" si="281"/>
        <v>0</v>
      </c>
      <c r="V316" s="556">
        <f t="shared" si="281"/>
        <v>0</v>
      </c>
      <c r="W316" s="556">
        <f t="shared" si="281"/>
        <v>0</v>
      </c>
      <c r="X316" s="556">
        <f t="shared" ref="X316:AG316" si="282">SUM(X311:X315)</f>
        <v>0</v>
      </c>
      <c r="Y316" s="556">
        <f t="shared" si="282"/>
        <v>0</v>
      </c>
      <c r="Z316" s="556">
        <f t="shared" si="282"/>
        <v>0</v>
      </c>
      <c r="AA316" s="556">
        <f t="shared" si="282"/>
        <v>0</v>
      </c>
      <c r="AB316" s="556">
        <f t="shared" si="282"/>
        <v>0</v>
      </c>
      <c r="AC316" s="556">
        <f t="shared" si="282"/>
        <v>0</v>
      </c>
      <c r="AD316" s="556">
        <f t="shared" si="282"/>
        <v>0</v>
      </c>
      <c r="AE316" s="556">
        <f t="shared" si="282"/>
        <v>0</v>
      </c>
      <c r="AF316" s="556">
        <f t="shared" si="282"/>
        <v>0</v>
      </c>
      <c r="AG316" s="556">
        <f t="shared" si="282"/>
        <v>0</v>
      </c>
      <c r="AH316" s="556">
        <f t="shared" ref="AH316:AK316" si="283">SUM(AH311:AH315)</f>
        <v>0</v>
      </c>
      <c r="AI316" s="556">
        <f t="shared" si="283"/>
        <v>0</v>
      </c>
      <c r="AJ316" s="556">
        <f t="shared" si="283"/>
        <v>0</v>
      </c>
      <c r="AK316" s="556">
        <f t="shared" si="283"/>
        <v>0</v>
      </c>
      <c r="AL316" s="556">
        <f t="shared" ref="AL316:AP316" si="284">SUM(AL311:AL315)</f>
        <v>0</v>
      </c>
      <c r="AM316" s="556">
        <f t="shared" si="284"/>
        <v>0</v>
      </c>
      <c r="AN316" s="556">
        <f t="shared" si="284"/>
        <v>0</v>
      </c>
      <c r="AO316" s="556">
        <f t="shared" si="284"/>
        <v>0</v>
      </c>
      <c r="AP316" s="556">
        <f t="shared" si="284"/>
        <v>0</v>
      </c>
      <c r="AQ316" s="556">
        <f t="shared" ref="AQ316:AS316" si="285">SUM(AQ311:AQ315)</f>
        <v>0</v>
      </c>
      <c r="AR316" s="556">
        <f t="shared" si="285"/>
        <v>0</v>
      </c>
      <c r="AS316" s="556">
        <f t="shared" si="285"/>
        <v>0</v>
      </c>
      <c r="AT316" s="556"/>
      <c r="AU316" s="241">
        <f>SUM(AU311:AU315)</f>
        <v>-6991.3600000000006</v>
      </c>
      <c r="AV316" s="131"/>
      <c r="AW316" s="241">
        <f>SUM(AW311:AW315)</f>
        <v>-6991.3600000000006</v>
      </c>
      <c r="AX316" s="241">
        <f>+AW316-'ROR-Model'!G316</f>
        <v>0</v>
      </c>
    </row>
    <row r="317" spans="1:50">
      <c r="A317" s="330"/>
      <c r="B317" s="332"/>
      <c r="C317" s="332"/>
      <c r="D317" s="106"/>
      <c r="E317" s="331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16"/>
      <c r="AW317" s="133"/>
      <c r="AX317" s="133">
        <f>+AW317-'ROR-Model'!G317</f>
        <v>0</v>
      </c>
    </row>
    <row r="318" spans="1:50">
      <c r="A318" s="330"/>
      <c r="B318" s="332"/>
      <c r="C318" s="332" t="s">
        <v>20</v>
      </c>
      <c r="D318" s="106"/>
      <c r="E318" s="331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>
        <f>SUM(F318:AT318)</f>
        <v>0</v>
      </c>
      <c r="AV318" s="116"/>
      <c r="AW318" s="133">
        <f>SUM(AU318:AU318)</f>
        <v>0</v>
      </c>
      <c r="AX318" s="133">
        <f>+AW318-'ROR-Model'!G318</f>
        <v>0</v>
      </c>
    </row>
    <row r="319" spans="1:50">
      <c r="A319" s="330"/>
      <c r="B319" s="332"/>
      <c r="C319" s="332"/>
      <c r="D319" s="106"/>
      <c r="E319" s="331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16"/>
      <c r="AW319" s="133"/>
      <c r="AX319" s="133"/>
    </row>
    <row r="320" spans="1:50">
      <c r="A320" s="330"/>
      <c r="B320" s="728" t="s">
        <v>690</v>
      </c>
      <c r="C320" s="728" t="s">
        <v>96</v>
      </c>
      <c r="D320" s="106"/>
      <c r="E320" s="331"/>
      <c r="F320" s="116">
        <v>0</v>
      </c>
      <c r="G320" s="116"/>
      <c r="H320" s="116">
        <f>H1*Revenue!$K$319</f>
        <v>-4050945.56</v>
      </c>
      <c r="I320" s="116">
        <v>0</v>
      </c>
      <c r="J320" s="116">
        <v>0</v>
      </c>
      <c r="K320" s="116">
        <v>0</v>
      </c>
      <c r="L320" s="116">
        <v>0</v>
      </c>
      <c r="M320" s="116">
        <v>0</v>
      </c>
      <c r="N320" s="116">
        <v>0</v>
      </c>
      <c r="O320" s="116">
        <v>0</v>
      </c>
      <c r="P320" s="116">
        <v>0</v>
      </c>
      <c r="Q320" s="116">
        <v>0</v>
      </c>
      <c r="R320" s="116">
        <v>0</v>
      </c>
      <c r="S320" s="133"/>
      <c r="T320" s="133">
        <f>'Optional Adjustment 2'!G320*$T$1</f>
        <v>0</v>
      </c>
      <c r="U320" s="133">
        <f>'Optional Adjustment 3'!G320*$U$1</f>
        <v>0</v>
      </c>
      <c r="V320" s="133">
        <f>'Optional Adjustment 4'!G320*$V$1</f>
        <v>0</v>
      </c>
      <c r="W320" s="133">
        <f>'Optional Adjustment 5'!G320*$W$1</f>
        <v>0</v>
      </c>
      <c r="X320" s="133">
        <f>'Optional Adjustment 6'!G320*$X$1</f>
        <v>0</v>
      </c>
      <c r="Y320" s="133">
        <f>'Optional Adjustment 7'!G320*$Y$1</f>
        <v>0</v>
      </c>
      <c r="Z320" s="133">
        <f>'Optional Adjustment 8'!G320*$Z$1</f>
        <v>0</v>
      </c>
      <c r="AA320" s="133">
        <f>'Optional Adjustment 9'!G320*$AA$1</f>
        <v>0</v>
      </c>
      <c r="AB320" s="133">
        <f>'Optional Adjustment 10'!G320*$AB$1</f>
        <v>0</v>
      </c>
      <c r="AC320" s="133">
        <f>'Optional Adjustment 11'!G320*$AC$1</f>
        <v>0</v>
      </c>
      <c r="AD320" s="133">
        <f>'Optional Adjustment 12'!G320*$AD$1</f>
        <v>0</v>
      </c>
      <c r="AE320" s="133">
        <f>'Optional Adjustment 13'!G320*$AE$1</f>
        <v>0</v>
      </c>
      <c r="AF320" s="133">
        <f>'Optional Adjustment 14'!G320*$AF$1</f>
        <v>0</v>
      </c>
      <c r="AG320" s="133">
        <f>'Optional Adjustment 15'!G320*$AG$1</f>
        <v>0</v>
      </c>
      <c r="AH320" s="133">
        <f>'Optional Adjustment 16'!G320*$AH$1</f>
        <v>0</v>
      </c>
      <c r="AI320" s="133">
        <f>'Optional Adjustment 17'!G320*$AI$1</f>
        <v>0</v>
      </c>
      <c r="AJ320" s="133">
        <f>'Optional Adjustment 18'!G320*$AJ$1</f>
        <v>0</v>
      </c>
      <c r="AK320" s="133">
        <f>'Optional Adjustment 19'!G320*$AK$1</f>
        <v>0</v>
      </c>
      <c r="AL320" s="133">
        <f>'Optional Adjustment 20'!G320*$AL$1</f>
        <v>0</v>
      </c>
      <c r="AM320" s="133">
        <f>'Optional Adjustment 21'!G320*$AM$1</f>
        <v>0</v>
      </c>
      <c r="AN320" s="133">
        <f>'Optional Adjustment 22'!G320*$AN$1</f>
        <v>0</v>
      </c>
      <c r="AO320" s="133">
        <f>'Optional Adjustment 23'!G320*$AO$1</f>
        <v>0</v>
      </c>
      <c r="AP320" s="133">
        <f>'Optional Adjustment 24'!G320*$AP$1</f>
        <v>0</v>
      </c>
      <c r="AQ320" s="133">
        <f>'Optional Adjustment 25'!G320*$AQ$1</f>
        <v>0</v>
      </c>
      <c r="AR320" s="133">
        <f>'Optional Adjustment 26'!G320*$AR$1</f>
        <v>0</v>
      </c>
      <c r="AS320" s="133">
        <f>'Optional Adjustment 27'!G320*$AS$1</f>
        <v>0</v>
      </c>
      <c r="AT320" s="133"/>
      <c r="AU320" s="116">
        <f>SUM(F320:AT320)</f>
        <v>-4050945.56</v>
      </c>
      <c r="AV320" s="116"/>
      <c r="AW320" s="133">
        <f>SUM(AU320:AU320)</f>
        <v>-4050945.56</v>
      </c>
      <c r="AX320" s="133">
        <f>+AW320-'ROR-Model'!G320</f>
        <v>0</v>
      </c>
    </row>
    <row r="321" spans="1:50" ht="13.5" thickBot="1">
      <c r="A321" s="330"/>
      <c r="B321" s="728" t="s">
        <v>114</v>
      </c>
      <c r="C321" s="728" t="s">
        <v>96</v>
      </c>
      <c r="D321" s="106"/>
      <c r="E321" s="331"/>
      <c r="F321" s="235">
        <v>0</v>
      </c>
      <c r="G321" s="235"/>
      <c r="H321" s="235">
        <f>H1*Revenue!$K$320</f>
        <v>-165057.12000000002</v>
      </c>
      <c r="I321" s="235">
        <v>0</v>
      </c>
      <c r="J321" s="235">
        <v>0</v>
      </c>
      <c r="K321" s="235">
        <f>K1*'ENERGY EFFICIENCY SERVICES ADJ'!H13</f>
        <v>0</v>
      </c>
      <c r="L321" s="235">
        <v>0</v>
      </c>
      <c r="M321" s="235">
        <v>0</v>
      </c>
      <c r="N321" s="235">
        <v>0</v>
      </c>
      <c r="O321" s="235">
        <v>0</v>
      </c>
      <c r="P321" s="235">
        <v>0</v>
      </c>
      <c r="Q321" s="235">
        <v>0</v>
      </c>
      <c r="R321" s="235">
        <v>0</v>
      </c>
      <c r="S321" s="235"/>
      <c r="T321" s="235">
        <f>'Optional Adjustment 2'!G321*$T$1</f>
        <v>0</v>
      </c>
      <c r="U321" s="235">
        <f>'Optional Adjustment 3'!G321*$U$1</f>
        <v>0</v>
      </c>
      <c r="V321" s="235">
        <f>'Optional Adjustment 4'!G321*$V$1</f>
        <v>0</v>
      </c>
      <c r="W321" s="235">
        <f>'Optional Adjustment 5'!G321*$W$1</f>
        <v>0</v>
      </c>
      <c r="X321" s="235">
        <f>'Optional Adjustment 6'!G321*$X$1</f>
        <v>0</v>
      </c>
      <c r="Y321" s="235">
        <f>'Optional Adjustment 7'!G321*$Y$1</f>
        <v>0</v>
      </c>
      <c r="Z321" s="235">
        <f>'Optional Adjustment 8'!G321*$Z$1</f>
        <v>0</v>
      </c>
      <c r="AA321" s="235">
        <f>'Optional Adjustment 9'!G321*$AA$1</f>
        <v>0</v>
      </c>
      <c r="AB321" s="235">
        <f>'Optional Adjustment 10'!G321*$AB$1</f>
        <v>0</v>
      </c>
      <c r="AC321" s="235">
        <f>'Optional Adjustment 11'!G321*$AC$1</f>
        <v>0</v>
      </c>
      <c r="AD321" s="235">
        <f>'Optional Adjustment 12'!G321*$AD$1</f>
        <v>0</v>
      </c>
      <c r="AE321" s="235">
        <f>'Optional Adjustment 13'!G321*$AE$1</f>
        <v>0</v>
      </c>
      <c r="AF321" s="235">
        <f>'Optional Adjustment 14'!G321*$AF$1</f>
        <v>0</v>
      </c>
      <c r="AG321" s="235">
        <f>'Optional Adjustment 15'!G321*$AG$1</f>
        <v>0</v>
      </c>
      <c r="AH321" s="235">
        <f>'Optional Adjustment 16'!G321*$AH$1</f>
        <v>0</v>
      </c>
      <c r="AI321" s="235">
        <f>'Optional Adjustment 17'!G321*$AI$1</f>
        <v>0</v>
      </c>
      <c r="AJ321" s="235">
        <f>'Optional Adjustment 18'!G321*$AJ$1</f>
        <v>0</v>
      </c>
      <c r="AK321" s="235">
        <f>'Optional Adjustment 19'!G321*$AK$1</f>
        <v>0</v>
      </c>
      <c r="AL321" s="235">
        <f>'Optional Adjustment 20'!G321*$AL$1</f>
        <v>0</v>
      </c>
      <c r="AM321" s="235">
        <f>'Optional Adjustment 21'!G321*$AM$1</f>
        <v>0</v>
      </c>
      <c r="AN321" s="235">
        <f>'Optional Adjustment 22'!G321*$AN$1</f>
        <v>0</v>
      </c>
      <c r="AO321" s="235">
        <f>'Optional Adjustment 23'!G321*$AO$1</f>
        <v>0</v>
      </c>
      <c r="AP321" s="235">
        <f>'Optional Adjustment 24'!G321*$AP$1</f>
        <v>0</v>
      </c>
      <c r="AQ321" s="235">
        <f>'Optional Adjustment 25'!G321*$AQ$1</f>
        <v>0</v>
      </c>
      <c r="AR321" s="235">
        <f>'Optional Adjustment 26'!G321*$AR$1</f>
        <v>0</v>
      </c>
      <c r="AS321" s="235">
        <f>'Optional Adjustment 27'!G321*$AS$1</f>
        <v>0</v>
      </c>
      <c r="AT321" s="235"/>
      <c r="AU321" s="235">
        <f>SUM(F321:AT321)</f>
        <v>-165057.12000000002</v>
      </c>
      <c r="AV321" s="235"/>
      <c r="AW321" s="242">
        <f>SUM(AU321:AU321)</f>
        <v>-165057.12000000002</v>
      </c>
      <c r="AX321" s="242">
        <f>+AW321-'ROR-Model'!G321</f>
        <v>0</v>
      </c>
    </row>
    <row r="322" spans="1:50" ht="13.5" thickTop="1">
      <c r="A322" s="330"/>
      <c r="B322" s="728" t="s">
        <v>545</v>
      </c>
      <c r="C322" s="728"/>
      <c r="D322" s="106"/>
      <c r="E322" s="331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33"/>
      <c r="AV322" s="116"/>
      <c r="AW322" s="133"/>
      <c r="AX322" s="133">
        <f>+AW322-'ROR-Model'!G322</f>
        <v>0</v>
      </c>
    </row>
    <row r="323" spans="1:50">
      <c r="A323" s="330"/>
      <c r="B323" s="332"/>
      <c r="C323" s="332" t="s">
        <v>16</v>
      </c>
      <c r="D323" s="106"/>
      <c r="E323" s="331"/>
      <c r="F323" s="133">
        <f>F1*(+F239+F248+F257+F266+F275+F320+F321)</f>
        <v>0</v>
      </c>
      <c r="G323" s="133"/>
      <c r="H323" s="133">
        <f t="shared" ref="H323:Q323" si="286">H1*(+H239+H248+H257+H266+H275+H320+H321)</f>
        <v>-68483.589690599503</v>
      </c>
      <c r="I323" s="133">
        <f t="shared" si="286"/>
        <v>0</v>
      </c>
      <c r="J323" s="133">
        <f t="shared" si="286"/>
        <v>0</v>
      </c>
      <c r="K323" s="133">
        <f t="shared" si="286"/>
        <v>0</v>
      </c>
      <c r="L323" s="133">
        <f t="shared" si="286"/>
        <v>0</v>
      </c>
      <c r="M323" s="133">
        <f t="shared" si="286"/>
        <v>0</v>
      </c>
      <c r="N323" s="133">
        <f t="shared" si="286"/>
        <v>0</v>
      </c>
      <c r="O323" s="133">
        <f t="shared" si="286"/>
        <v>0</v>
      </c>
      <c r="P323" s="133">
        <f t="shared" si="286"/>
        <v>0</v>
      </c>
      <c r="Q323" s="133">
        <f t="shared" si="286"/>
        <v>0</v>
      </c>
      <c r="R323" s="133">
        <f t="shared" ref="R323" si="287">R1*(+R239+R248+R257+R266+R275+R320+R321)</f>
        <v>0</v>
      </c>
      <c r="S323" s="133"/>
      <c r="T323" s="133">
        <f t="shared" ref="T323:W323" si="288">T1*(+T239+T248+T257+T266+T275+T320+T321)</f>
        <v>0</v>
      </c>
      <c r="U323" s="133">
        <f t="shared" si="288"/>
        <v>0</v>
      </c>
      <c r="V323" s="133">
        <f t="shared" si="288"/>
        <v>0</v>
      </c>
      <c r="W323" s="133">
        <f t="shared" si="288"/>
        <v>0</v>
      </c>
      <c r="X323" s="133">
        <f t="shared" ref="X323:AG323" si="289">X1*(+X239+X248+X257+X266+X275+X320+X321)</f>
        <v>0</v>
      </c>
      <c r="Y323" s="133">
        <f t="shared" si="289"/>
        <v>0</v>
      </c>
      <c r="Z323" s="133">
        <f t="shared" si="289"/>
        <v>0</v>
      </c>
      <c r="AA323" s="133">
        <f t="shared" si="289"/>
        <v>0</v>
      </c>
      <c r="AB323" s="133">
        <f t="shared" si="289"/>
        <v>0</v>
      </c>
      <c r="AC323" s="133">
        <f t="shared" si="289"/>
        <v>0</v>
      </c>
      <c r="AD323" s="133">
        <f t="shared" si="289"/>
        <v>0</v>
      </c>
      <c r="AE323" s="133">
        <f t="shared" si="289"/>
        <v>0</v>
      </c>
      <c r="AF323" s="133">
        <f t="shared" si="289"/>
        <v>0</v>
      </c>
      <c r="AG323" s="133">
        <f t="shared" si="289"/>
        <v>0</v>
      </c>
      <c r="AH323" s="133">
        <f t="shared" ref="AH323:AK323" si="290">AH1*(+AH239+AH248+AH257+AH266+AH275+AH320+AH321)</f>
        <v>0</v>
      </c>
      <c r="AI323" s="133">
        <f t="shared" si="290"/>
        <v>0</v>
      </c>
      <c r="AJ323" s="133">
        <f t="shared" si="290"/>
        <v>0</v>
      </c>
      <c r="AK323" s="133">
        <f t="shared" si="290"/>
        <v>0</v>
      </c>
      <c r="AL323" s="133">
        <f t="shared" ref="AL323:AP323" si="291">AL1*(+AL239+AL248+AL257+AL266+AL275+AL320+AL321)</f>
        <v>0</v>
      </c>
      <c r="AM323" s="133">
        <f t="shared" si="291"/>
        <v>0</v>
      </c>
      <c r="AN323" s="133">
        <f t="shared" si="291"/>
        <v>0</v>
      </c>
      <c r="AO323" s="133">
        <f t="shared" si="291"/>
        <v>0</v>
      </c>
      <c r="AP323" s="133">
        <f t="shared" si="291"/>
        <v>0</v>
      </c>
      <c r="AQ323" s="133">
        <f t="shared" ref="AQ323:AT323" si="292">AQ1*(+AQ239+AQ248+AQ257+AQ266+AQ275+AQ320+AQ321)</f>
        <v>0</v>
      </c>
      <c r="AR323" s="133">
        <f t="shared" si="292"/>
        <v>0</v>
      </c>
      <c r="AS323" s="133">
        <f t="shared" si="292"/>
        <v>0</v>
      </c>
      <c r="AT323" s="133">
        <f t="shared" si="292"/>
        <v>0</v>
      </c>
      <c r="AU323" s="133">
        <f>+AU239+AU248+AU257+AU266+AU275+AU320+AU321</f>
        <v>-68483.589690599503</v>
      </c>
      <c r="AV323" s="133"/>
      <c r="AW323" s="133">
        <f>+AW239+AW248+AW257+AW266+AW320+AW321</f>
        <v>-71311.659690599336</v>
      </c>
      <c r="AX323" s="133">
        <f>+AW323-'ROR-Model'!G323</f>
        <v>0</v>
      </c>
    </row>
    <row r="324" spans="1:50">
      <c r="A324" s="330"/>
      <c r="B324" s="332"/>
      <c r="C324" s="332" t="s">
        <v>17</v>
      </c>
      <c r="D324" s="106"/>
      <c r="E324" s="331"/>
      <c r="F324" s="133">
        <f>F1*(+F277+F286)</f>
        <v>0</v>
      </c>
      <c r="G324" s="133"/>
      <c r="H324" s="133">
        <f>H1*(+H277+H286)</f>
        <v>27053.749999999993</v>
      </c>
      <c r="I324" s="133">
        <f>I1*(+I277+I286)</f>
        <v>0</v>
      </c>
      <c r="J324" s="133">
        <f t="shared" ref="J324:Q324" si="293">J1*(+J277+J286)</f>
        <v>0</v>
      </c>
      <c r="K324" s="133">
        <f t="shared" si="293"/>
        <v>0</v>
      </c>
      <c r="L324" s="133">
        <f t="shared" si="293"/>
        <v>0</v>
      </c>
      <c r="M324" s="133">
        <f t="shared" si="293"/>
        <v>0</v>
      </c>
      <c r="N324" s="133">
        <f t="shared" si="293"/>
        <v>0</v>
      </c>
      <c r="O324" s="133">
        <f t="shared" si="293"/>
        <v>0</v>
      </c>
      <c r="P324" s="133">
        <f t="shared" si="293"/>
        <v>0</v>
      </c>
      <c r="Q324" s="133">
        <f t="shared" si="293"/>
        <v>0</v>
      </c>
      <c r="R324" s="133">
        <f t="shared" ref="R324" si="294">R1*(+R277+R286)</f>
        <v>0</v>
      </c>
      <c r="S324" s="133"/>
      <c r="T324" s="133">
        <f t="shared" ref="T324:W324" si="295">T1*(+T277+T286)</f>
        <v>0</v>
      </c>
      <c r="U324" s="133">
        <f t="shared" si="295"/>
        <v>0</v>
      </c>
      <c r="V324" s="133">
        <f t="shared" si="295"/>
        <v>0</v>
      </c>
      <c r="W324" s="133">
        <f t="shared" si="295"/>
        <v>0</v>
      </c>
      <c r="X324" s="133">
        <f t="shared" ref="X324:AG324" si="296">X1*(+X277+X286)</f>
        <v>0</v>
      </c>
      <c r="Y324" s="133">
        <f t="shared" si="296"/>
        <v>0</v>
      </c>
      <c r="Z324" s="133">
        <f t="shared" si="296"/>
        <v>0</v>
      </c>
      <c r="AA324" s="133">
        <f t="shared" si="296"/>
        <v>0</v>
      </c>
      <c r="AB324" s="133">
        <f t="shared" si="296"/>
        <v>0</v>
      </c>
      <c r="AC324" s="133">
        <f t="shared" si="296"/>
        <v>0</v>
      </c>
      <c r="AD324" s="133">
        <f t="shared" si="296"/>
        <v>0</v>
      </c>
      <c r="AE324" s="133">
        <f t="shared" si="296"/>
        <v>0</v>
      </c>
      <c r="AF324" s="133">
        <f t="shared" si="296"/>
        <v>0</v>
      </c>
      <c r="AG324" s="133">
        <f t="shared" si="296"/>
        <v>0</v>
      </c>
      <c r="AH324" s="133">
        <f t="shared" ref="AH324:AK324" si="297">AH1*(+AH277+AH286)</f>
        <v>0</v>
      </c>
      <c r="AI324" s="133">
        <f t="shared" si="297"/>
        <v>0</v>
      </c>
      <c r="AJ324" s="133">
        <f t="shared" si="297"/>
        <v>0</v>
      </c>
      <c r="AK324" s="133">
        <f t="shared" si="297"/>
        <v>0</v>
      </c>
      <c r="AL324" s="133">
        <f t="shared" ref="AL324:AP324" si="298">AL1*(+AL277+AL286)</f>
        <v>0</v>
      </c>
      <c r="AM324" s="133">
        <f t="shared" si="298"/>
        <v>0</v>
      </c>
      <c r="AN324" s="133">
        <f t="shared" si="298"/>
        <v>0</v>
      </c>
      <c r="AO324" s="133">
        <f t="shared" si="298"/>
        <v>0</v>
      </c>
      <c r="AP324" s="133">
        <f t="shared" si="298"/>
        <v>0</v>
      </c>
      <c r="AQ324" s="133">
        <f t="shared" ref="AQ324:AT324" si="299">AQ1*(+AQ277+AQ286)</f>
        <v>0</v>
      </c>
      <c r="AR324" s="133">
        <f t="shared" si="299"/>
        <v>0</v>
      </c>
      <c r="AS324" s="133">
        <f t="shared" si="299"/>
        <v>0</v>
      </c>
      <c r="AT324" s="133">
        <f t="shared" si="299"/>
        <v>0</v>
      </c>
      <c r="AU324" s="133">
        <f>+AU277+AU286</f>
        <v>27053.749999999993</v>
      </c>
      <c r="AV324" s="133"/>
      <c r="AW324" s="133">
        <f>+AW277+AW286</f>
        <v>27053.749999999993</v>
      </c>
      <c r="AX324" s="133">
        <f>+AW324-'ROR-Model'!G324</f>
        <v>0</v>
      </c>
    </row>
    <row r="325" spans="1:50">
      <c r="A325" s="330"/>
      <c r="B325" s="332"/>
      <c r="C325" s="728" t="s">
        <v>548</v>
      </c>
      <c r="D325" s="106"/>
      <c r="E325" s="331"/>
      <c r="F325" s="133">
        <f>F1*(+F284+F293+F302+F311)</f>
        <v>0</v>
      </c>
      <c r="G325" s="133"/>
      <c r="H325" s="133">
        <f>H1*(+H284+H293+H302+H311)</f>
        <v>-9530.3476800000062</v>
      </c>
      <c r="I325" s="133">
        <f>I1*(+I284+I293+I302+I311)</f>
        <v>0</v>
      </c>
      <c r="J325" s="133">
        <f t="shared" ref="J325:Q325" si="300">J1*(+J284+J293+J302+J311)</f>
        <v>0</v>
      </c>
      <c r="K325" s="133">
        <f t="shared" si="300"/>
        <v>0</v>
      </c>
      <c r="L325" s="133">
        <f t="shared" si="300"/>
        <v>0</v>
      </c>
      <c r="M325" s="133">
        <f t="shared" si="300"/>
        <v>0</v>
      </c>
      <c r="N325" s="133">
        <f t="shared" si="300"/>
        <v>0</v>
      </c>
      <c r="O325" s="133">
        <f t="shared" si="300"/>
        <v>0</v>
      </c>
      <c r="P325" s="133">
        <f t="shared" si="300"/>
        <v>0</v>
      </c>
      <c r="Q325" s="133">
        <f t="shared" si="300"/>
        <v>0</v>
      </c>
      <c r="R325" s="133">
        <f t="shared" ref="R325" si="301">R1*(+R284+R293+R302+R311)</f>
        <v>0</v>
      </c>
      <c r="S325" s="133"/>
      <c r="T325" s="133">
        <f t="shared" ref="T325:W325" si="302">T1*(+T284+T293+T302+T311)</f>
        <v>0</v>
      </c>
      <c r="U325" s="133">
        <f t="shared" si="302"/>
        <v>0</v>
      </c>
      <c r="V325" s="133">
        <f t="shared" si="302"/>
        <v>0</v>
      </c>
      <c r="W325" s="133">
        <f t="shared" si="302"/>
        <v>0</v>
      </c>
      <c r="X325" s="133">
        <f t="shared" ref="X325:AG325" si="303">X1*(+X284+X293+X302+X311)</f>
        <v>0</v>
      </c>
      <c r="Y325" s="133">
        <f t="shared" si="303"/>
        <v>0</v>
      </c>
      <c r="Z325" s="133">
        <f t="shared" si="303"/>
        <v>0</v>
      </c>
      <c r="AA325" s="133">
        <f t="shared" si="303"/>
        <v>0</v>
      </c>
      <c r="AB325" s="133">
        <f t="shared" si="303"/>
        <v>0</v>
      </c>
      <c r="AC325" s="133">
        <f t="shared" si="303"/>
        <v>0</v>
      </c>
      <c r="AD325" s="133">
        <f t="shared" si="303"/>
        <v>0</v>
      </c>
      <c r="AE325" s="133">
        <f t="shared" si="303"/>
        <v>0</v>
      </c>
      <c r="AF325" s="133">
        <f t="shared" si="303"/>
        <v>0</v>
      </c>
      <c r="AG325" s="133">
        <f t="shared" si="303"/>
        <v>0</v>
      </c>
      <c r="AH325" s="133">
        <f t="shared" ref="AH325:AK325" si="304">AH1*(+AH284+AH293+AH302+AH311)</f>
        <v>0</v>
      </c>
      <c r="AI325" s="133">
        <f t="shared" si="304"/>
        <v>0</v>
      </c>
      <c r="AJ325" s="133">
        <f t="shared" si="304"/>
        <v>0</v>
      </c>
      <c r="AK325" s="133">
        <f t="shared" si="304"/>
        <v>0</v>
      </c>
      <c r="AL325" s="133">
        <f t="shared" ref="AL325:AP325" si="305">AL1*(+AL284+AL293+AL302+AL311)</f>
        <v>0</v>
      </c>
      <c r="AM325" s="133">
        <f t="shared" si="305"/>
        <v>0</v>
      </c>
      <c r="AN325" s="133">
        <f t="shared" si="305"/>
        <v>0</v>
      </c>
      <c r="AO325" s="133">
        <f t="shared" si="305"/>
        <v>0</v>
      </c>
      <c r="AP325" s="133">
        <f t="shared" si="305"/>
        <v>0</v>
      </c>
      <c r="AQ325" s="133">
        <f t="shared" ref="AQ325:AT325" si="306">AQ1*(+AQ284+AQ293+AQ302+AQ311)</f>
        <v>0</v>
      </c>
      <c r="AR325" s="133">
        <f t="shared" si="306"/>
        <v>0</v>
      </c>
      <c r="AS325" s="133">
        <f t="shared" si="306"/>
        <v>0</v>
      </c>
      <c r="AT325" s="133">
        <f t="shared" si="306"/>
        <v>0</v>
      </c>
      <c r="AU325" s="133">
        <f>+AU284+AU293+AU302+AU311</f>
        <v>-9530.3476800000062</v>
      </c>
      <c r="AV325" s="133"/>
      <c r="AW325" s="133">
        <f>+AW284+AW293+AW302+AW311+AW275</f>
        <v>-6702.2776800000065</v>
      </c>
      <c r="AX325" s="133">
        <f>+AW325-'ROR-Model'!G325</f>
        <v>0</v>
      </c>
    </row>
    <row r="326" spans="1:50">
      <c r="A326" s="330"/>
      <c r="B326" s="332"/>
      <c r="C326" s="332" t="s">
        <v>18</v>
      </c>
      <c r="D326" s="106"/>
      <c r="E326" s="331"/>
      <c r="F326" s="133">
        <f>F1*(+F243+F252+F261+F270+F279+F288+F297+F306+F315)</f>
        <v>0</v>
      </c>
      <c r="G326" s="133"/>
      <c r="H326" s="133">
        <f>H1*(+H243+H252+H261+H270+H279+H288+H297+H306+H315)</f>
        <v>-1307303.5003094005</v>
      </c>
      <c r="I326" s="133">
        <f>I1*(+I243+I252+I261+I270+I279+I288+I297+I306+I315)</f>
        <v>0</v>
      </c>
      <c r="J326" s="133">
        <f t="shared" ref="J326:Q326" si="307">J1*(+J243+J252+J261+J270+J279+J288+J297+J306+J315)</f>
        <v>0</v>
      </c>
      <c r="K326" s="133">
        <f t="shared" si="307"/>
        <v>0</v>
      </c>
      <c r="L326" s="133">
        <f t="shared" si="307"/>
        <v>0</v>
      </c>
      <c r="M326" s="133">
        <f t="shared" si="307"/>
        <v>0</v>
      </c>
      <c r="N326" s="133">
        <f t="shared" si="307"/>
        <v>0</v>
      </c>
      <c r="O326" s="133">
        <f t="shared" si="307"/>
        <v>0</v>
      </c>
      <c r="P326" s="133">
        <f t="shared" si="307"/>
        <v>0</v>
      </c>
      <c r="Q326" s="133">
        <f t="shared" si="307"/>
        <v>0</v>
      </c>
      <c r="R326" s="133">
        <f t="shared" ref="R326" si="308">R1*(+R243+R252+R261+R270+R279+R288+R297+R306+R315)</f>
        <v>0</v>
      </c>
      <c r="S326" s="133"/>
      <c r="T326" s="133">
        <f t="shared" ref="T326:W326" si="309">T1*(+T243+T252+T261+T270+T279+T288+T297+T306+T315)</f>
        <v>0</v>
      </c>
      <c r="U326" s="133">
        <f t="shared" si="309"/>
        <v>0</v>
      </c>
      <c r="V326" s="133">
        <f t="shared" si="309"/>
        <v>0</v>
      </c>
      <c r="W326" s="133">
        <f t="shared" si="309"/>
        <v>0</v>
      </c>
      <c r="X326" s="133">
        <f t="shared" ref="X326:AG326" si="310">X1*(+X243+X252+X261+X270+X279+X288+X297+X306+X315)</f>
        <v>0</v>
      </c>
      <c r="Y326" s="133">
        <f t="shared" si="310"/>
        <v>0</v>
      </c>
      <c r="Z326" s="133">
        <f t="shared" si="310"/>
        <v>0</v>
      </c>
      <c r="AA326" s="133">
        <f t="shared" si="310"/>
        <v>0</v>
      </c>
      <c r="AB326" s="133">
        <f t="shared" si="310"/>
        <v>0</v>
      </c>
      <c r="AC326" s="133">
        <f t="shared" si="310"/>
        <v>0</v>
      </c>
      <c r="AD326" s="133">
        <f t="shared" si="310"/>
        <v>0</v>
      </c>
      <c r="AE326" s="133">
        <f t="shared" si="310"/>
        <v>0</v>
      </c>
      <c r="AF326" s="133">
        <f t="shared" si="310"/>
        <v>0</v>
      </c>
      <c r="AG326" s="133">
        <f t="shared" si="310"/>
        <v>0</v>
      </c>
      <c r="AH326" s="133">
        <f t="shared" ref="AH326:AK326" si="311">AH1*(+AH243+AH252+AH261+AH270+AH279+AH288+AH297+AH306+AH315)</f>
        <v>0</v>
      </c>
      <c r="AI326" s="133">
        <f t="shared" si="311"/>
        <v>0</v>
      </c>
      <c r="AJ326" s="133">
        <f t="shared" si="311"/>
        <v>0</v>
      </c>
      <c r="AK326" s="133">
        <f t="shared" si="311"/>
        <v>0</v>
      </c>
      <c r="AL326" s="133">
        <f t="shared" ref="AL326:AP326" si="312">AL1*(+AL243+AL252+AL261+AL270+AL279+AL288+AL297+AL306+AL315)</f>
        <v>0</v>
      </c>
      <c r="AM326" s="133">
        <f t="shared" si="312"/>
        <v>0</v>
      </c>
      <c r="AN326" s="133">
        <f t="shared" si="312"/>
        <v>0</v>
      </c>
      <c r="AO326" s="133">
        <f t="shared" si="312"/>
        <v>0</v>
      </c>
      <c r="AP326" s="133">
        <f t="shared" si="312"/>
        <v>0</v>
      </c>
      <c r="AQ326" s="133">
        <f t="shared" ref="AQ326:AT326" si="313">AQ1*(+AQ243+AQ252+AQ261+AQ270+AQ279+AQ288+AQ297+AQ306+AQ315)</f>
        <v>0</v>
      </c>
      <c r="AR326" s="133">
        <f t="shared" si="313"/>
        <v>0</v>
      </c>
      <c r="AS326" s="133">
        <f t="shared" si="313"/>
        <v>0</v>
      </c>
      <c r="AT326" s="133">
        <f t="shared" si="313"/>
        <v>0</v>
      </c>
      <c r="AU326" s="133">
        <f>+AU243+AU252+AU261+AU270+AU279+AU288+AU297+AU306+AU315</f>
        <v>-1307303.5003094005</v>
      </c>
      <c r="AV326" s="133"/>
      <c r="AW326" s="133">
        <f>+AW243+AW252+AW261+AW270+AW279+AW288+AW297+AW306+AW315</f>
        <v>-1307303.5003094005</v>
      </c>
      <c r="AX326" s="133">
        <f>+AW326-'ROR-Model'!G326</f>
        <v>0</v>
      </c>
    </row>
    <row r="327" spans="1:50">
      <c r="A327" s="330"/>
      <c r="B327" s="332"/>
      <c r="C327" s="332" t="s">
        <v>27</v>
      </c>
      <c r="D327" s="106"/>
      <c r="E327" s="331"/>
      <c r="F327" s="241">
        <f t="shared" ref="F327" si="314">F1*+F244+F253+F262+F271+F280+F289+F298+F307+F316+F320+F321</f>
        <v>0</v>
      </c>
      <c r="G327" s="241"/>
      <c r="H327" s="241">
        <f>H1*+H244+H253+H262+H271+H280+H289+H298+H307+H316+H320+H321</f>
        <v>-1358263.6876799995</v>
      </c>
      <c r="I327" s="241">
        <f t="shared" ref="I327:Q327" si="315">I1*+I244+I253+I262+I271+I280+I289+I298+I307+I316+I320+I321</f>
        <v>0</v>
      </c>
      <c r="J327" s="241">
        <f t="shared" si="315"/>
        <v>0</v>
      </c>
      <c r="K327" s="241">
        <f t="shared" si="315"/>
        <v>0</v>
      </c>
      <c r="L327" s="241">
        <f t="shared" si="315"/>
        <v>0</v>
      </c>
      <c r="M327" s="241">
        <f t="shared" si="315"/>
        <v>0</v>
      </c>
      <c r="N327" s="241">
        <f t="shared" si="315"/>
        <v>0</v>
      </c>
      <c r="O327" s="241">
        <f t="shared" si="315"/>
        <v>0</v>
      </c>
      <c r="P327" s="241">
        <f t="shared" si="315"/>
        <v>0</v>
      </c>
      <c r="Q327" s="241">
        <f t="shared" si="315"/>
        <v>0</v>
      </c>
      <c r="R327" s="241">
        <f t="shared" ref="R327" si="316">R1*+R244+R253+R262+R271+R280+R289+R298+R307+R316+R320+R321</f>
        <v>0</v>
      </c>
      <c r="S327" s="556"/>
      <c r="T327" s="556">
        <f t="shared" ref="T327" si="317">T1*+T244+T253+T262+T271+T280+T289+T298+T307+T316+T320+T321</f>
        <v>0</v>
      </c>
      <c r="U327" s="556">
        <f t="shared" ref="U327:W327" si="318">U1*+U244+U253+U262+U271+U280+U289+U298+U307+U316+U320+U321</f>
        <v>0</v>
      </c>
      <c r="V327" s="556">
        <f t="shared" ref="V327" si="319">V1*+V244+V253+V262+V271+V280+V289+V298+V307+V316+V320+V321</f>
        <v>0</v>
      </c>
      <c r="W327" s="556">
        <f t="shared" si="318"/>
        <v>0</v>
      </c>
      <c r="X327" s="556">
        <f t="shared" ref="X327:AG327" si="320">X1*+X244+X253+X262+X271+X280+X289+X298+X307+X316+X320+X321</f>
        <v>0</v>
      </c>
      <c r="Y327" s="556">
        <f t="shared" si="320"/>
        <v>0</v>
      </c>
      <c r="Z327" s="556">
        <f t="shared" si="320"/>
        <v>0</v>
      </c>
      <c r="AA327" s="556">
        <f t="shared" si="320"/>
        <v>0</v>
      </c>
      <c r="AB327" s="556">
        <f t="shared" si="320"/>
        <v>0</v>
      </c>
      <c r="AC327" s="556">
        <f t="shared" si="320"/>
        <v>0</v>
      </c>
      <c r="AD327" s="556">
        <f t="shared" si="320"/>
        <v>0</v>
      </c>
      <c r="AE327" s="556">
        <f t="shared" si="320"/>
        <v>0</v>
      </c>
      <c r="AF327" s="556">
        <f t="shared" si="320"/>
        <v>0</v>
      </c>
      <c r="AG327" s="556">
        <f t="shared" si="320"/>
        <v>0</v>
      </c>
      <c r="AH327" s="556">
        <f t="shared" ref="AH327:AK327" si="321">AH1*+AH244+AH253+AH262+AH271+AH280+AH289+AH298+AH307+AH316+AH320+AH321</f>
        <v>0</v>
      </c>
      <c r="AI327" s="556">
        <f t="shared" si="321"/>
        <v>0</v>
      </c>
      <c r="AJ327" s="556">
        <f t="shared" si="321"/>
        <v>0</v>
      </c>
      <c r="AK327" s="556">
        <f t="shared" si="321"/>
        <v>0</v>
      </c>
      <c r="AL327" s="556">
        <f t="shared" ref="AL327:AP327" si="322">AL1*+AL244+AL253+AL262+AL271+AL280+AL289+AL298+AL307+AL316+AL320+AL321</f>
        <v>0</v>
      </c>
      <c r="AM327" s="556">
        <f t="shared" si="322"/>
        <v>0</v>
      </c>
      <c r="AN327" s="556">
        <f t="shared" si="322"/>
        <v>0</v>
      </c>
      <c r="AO327" s="556">
        <f t="shared" si="322"/>
        <v>0</v>
      </c>
      <c r="AP327" s="556">
        <f t="shared" si="322"/>
        <v>0</v>
      </c>
      <c r="AQ327" s="556">
        <f t="shared" ref="AQ327:AT327" si="323">AQ1*+AQ244+AQ253+AQ262+AQ271+AQ280+AQ289+AQ298+AQ307+AQ316+AQ320+AQ321</f>
        <v>0</v>
      </c>
      <c r="AR327" s="556">
        <f t="shared" si="323"/>
        <v>0</v>
      </c>
      <c r="AS327" s="556">
        <f t="shared" si="323"/>
        <v>0</v>
      </c>
      <c r="AT327" s="556">
        <f t="shared" si="323"/>
        <v>0</v>
      </c>
      <c r="AU327" s="241">
        <f>SUM(AU323:AU326)</f>
        <v>-1358263.68768</v>
      </c>
      <c r="AV327" s="241"/>
      <c r="AW327" s="241">
        <f>SUM(AW323:AW326)</f>
        <v>-1358263.6876799997</v>
      </c>
      <c r="AX327" s="241">
        <f>+AW327-'ROR-Model'!G327</f>
        <v>0</v>
      </c>
    </row>
    <row r="328" spans="1:50">
      <c r="A328" s="330"/>
      <c r="B328" s="332"/>
      <c r="C328" s="332"/>
      <c r="D328" s="106"/>
      <c r="E328" s="33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556"/>
      <c r="T328" s="556"/>
      <c r="U328" s="556"/>
      <c r="V328" s="556"/>
      <c r="W328" s="556"/>
      <c r="X328" s="556"/>
      <c r="Y328" s="556"/>
      <c r="Z328" s="556"/>
      <c r="AA328" s="556"/>
      <c r="AB328" s="556"/>
      <c r="AC328" s="556"/>
      <c r="AD328" s="556"/>
      <c r="AE328" s="556"/>
      <c r="AF328" s="556"/>
      <c r="AG328" s="556"/>
      <c r="AH328" s="556"/>
      <c r="AI328" s="556"/>
      <c r="AJ328" s="556"/>
      <c r="AK328" s="556"/>
      <c r="AL328" s="556"/>
      <c r="AM328" s="556"/>
      <c r="AN328" s="556"/>
      <c r="AO328" s="556"/>
      <c r="AP328" s="556"/>
      <c r="AQ328" s="556"/>
      <c r="AR328" s="556"/>
      <c r="AS328" s="556"/>
      <c r="AT328" s="556"/>
      <c r="AU328" s="241"/>
      <c r="AV328" s="241"/>
      <c r="AW328" s="241"/>
      <c r="AX328" s="241">
        <f>+AW328-'ROR-Model'!G328</f>
        <v>0</v>
      </c>
    </row>
    <row r="329" spans="1:50">
      <c r="A329" s="330"/>
      <c r="B329" s="332"/>
      <c r="C329" s="728" t="s">
        <v>59</v>
      </c>
      <c r="D329" s="106"/>
      <c r="E329" s="331"/>
      <c r="F329" s="133">
        <f>F1*(F246+F255+F264+F273+F282+F291)</f>
        <v>0</v>
      </c>
      <c r="G329" s="133"/>
      <c r="H329" s="133">
        <f>H1*(H246+H255+H264+H273+H282+H291)</f>
        <v>156724.13</v>
      </c>
      <c r="I329" s="133">
        <f>I1*(I246+I255+I264+I273+I282+I291)</f>
        <v>0</v>
      </c>
      <c r="J329" s="133">
        <f t="shared" ref="J329:Q329" si="324">J1*(J246+J255+J264+J273+J282+J291)</f>
        <v>0</v>
      </c>
      <c r="K329" s="133">
        <f t="shared" si="324"/>
        <v>0</v>
      </c>
      <c r="L329" s="133">
        <f t="shared" si="324"/>
        <v>0</v>
      </c>
      <c r="M329" s="133">
        <f t="shared" si="324"/>
        <v>0</v>
      </c>
      <c r="N329" s="133">
        <f t="shared" si="324"/>
        <v>0</v>
      </c>
      <c r="O329" s="133">
        <f t="shared" si="324"/>
        <v>0</v>
      </c>
      <c r="P329" s="133">
        <f t="shared" si="324"/>
        <v>0</v>
      </c>
      <c r="Q329" s="133">
        <f t="shared" si="324"/>
        <v>0</v>
      </c>
      <c r="R329" s="133">
        <f t="shared" ref="R329" si="325">R1*(R246+R255+R264+R273+R282+R291)</f>
        <v>0</v>
      </c>
      <c r="S329" s="133"/>
      <c r="T329" s="133">
        <f t="shared" ref="T329:W329" si="326">T1*(T246+T255+T264+T273+T282+T291)</f>
        <v>0</v>
      </c>
      <c r="U329" s="133">
        <f t="shared" si="326"/>
        <v>0</v>
      </c>
      <c r="V329" s="133">
        <f t="shared" si="326"/>
        <v>0</v>
      </c>
      <c r="W329" s="133">
        <f t="shared" si="326"/>
        <v>0</v>
      </c>
      <c r="X329" s="133">
        <f t="shared" ref="X329:AG329" si="327">X1*(X246+X255+X264+X273+X282+X291)</f>
        <v>0</v>
      </c>
      <c r="Y329" s="133">
        <f t="shared" si="327"/>
        <v>0</v>
      </c>
      <c r="Z329" s="133">
        <f t="shared" si="327"/>
        <v>0</v>
      </c>
      <c r="AA329" s="133">
        <f t="shared" si="327"/>
        <v>0</v>
      </c>
      <c r="AB329" s="133">
        <f t="shared" si="327"/>
        <v>0</v>
      </c>
      <c r="AC329" s="133">
        <f t="shared" si="327"/>
        <v>0</v>
      </c>
      <c r="AD329" s="133">
        <f t="shared" si="327"/>
        <v>0</v>
      </c>
      <c r="AE329" s="133">
        <f t="shared" si="327"/>
        <v>0</v>
      </c>
      <c r="AF329" s="133">
        <f t="shared" si="327"/>
        <v>0</v>
      </c>
      <c r="AG329" s="133">
        <f t="shared" si="327"/>
        <v>0</v>
      </c>
      <c r="AH329" s="133">
        <f t="shared" ref="AH329:AK329" si="328">AH1*(AH246+AH255+AH264+AH273+AH282+AH291)</f>
        <v>0</v>
      </c>
      <c r="AI329" s="133">
        <f t="shared" si="328"/>
        <v>0</v>
      </c>
      <c r="AJ329" s="133">
        <f t="shared" si="328"/>
        <v>0</v>
      </c>
      <c r="AK329" s="133">
        <f t="shared" si="328"/>
        <v>0</v>
      </c>
      <c r="AL329" s="133">
        <f t="shared" ref="AL329:AP329" si="329">AL1*(AL246+AL255+AL264+AL273+AL282+AL291)</f>
        <v>0</v>
      </c>
      <c r="AM329" s="133">
        <f t="shared" si="329"/>
        <v>0</v>
      </c>
      <c r="AN329" s="133">
        <f t="shared" si="329"/>
        <v>0</v>
      </c>
      <c r="AO329" s="133">
        <f t="shared" si="329"/>
        <v>0</v>
      </c>
      <c r="AP329" s="133">
        <f t="shared" si="329"/>
        <v>0</v>
      </c>
      <c r="AQ329" s="133">
        <f t="shared" ref="AQ329:AT329" si="330">AQ1*(AQ246+AQ255+AQ264+AQ273+AQ282+AQ291)</f>
        <v>0</v>
      </c>
      <c r="AR329" s="133">
        <f t="shared" si="330"/>
        <v>0</v>
      </c>
      <c r="AS329" s="133">
        <f t="shared" si="330"/>
        <v>0</v>
      </c>
      <c r="AT329" s="133">
        <f t="shared" si="330"/>
        <v>0</v>
      </c>
      <c r="AU329" s="133">
        <f>AU246+AU255+AU264+AU273+AU282+AU291</f>
        <v>156724.13</v>
      </c>
      <c r="AV329" s="133"/>
      <c r="AW329" s="133">
        <f>AW246+AW255+AW264+AW273+AW282+AW291</f>
        <v>156724.13</v>
      </c>
      <c r="AX329" s="133">
        <f>+AW329-'ROR-Model'!G329</f>
        <v>0</v>
      </c>
    </row>
    <row r="330" spans="1:50">
      <c r="A330" s="330"/>
      <c r="B330" s="332"/>
      <c r="C330" s="332" t="s">
        <v>60</v>
      </c>
      <c r="D330" s="106"/>
      <c r="E330" s="331"/>
      <c r="F330" s="133">
        <f>F1*(F309+F318+F300)</f>
        <v>0</v>
      </c>
      <c r="G330" s="133"/>
      <c r="H330" s="133">
        <f>H1*(H309+H318+H300)</f>
        <v>0</v>
      </c>
      <c r="I330" s="133">
        <f>I1*(I309+I318+I300)</f>
        <v>0</v>
      </c>
      <c r="J330" s="133">
        <f t="shared" ref="J330:Q330" si="331">J1*(J309+J318+J300)</f>
        <v>0</v>
      </c>
      <c r="K330" s="133">
        <f t="shared" si="331"/>
        <v>0</v>
      </c>
      <c r="L330" s="133">
        <f t="shared" si="331"/>
        <v>0</v>
      </c>
      <c r="M330" s="133">
        <f t="shared" si="331"/>
        <v>0</v>
      </c>
      <c r="N330" s="133">
        <f t="shared" si="331"/>
        <v>0</v>
      </c>
      <c r="O330" s="133">
        <f t="shared" si="331"/>
        <v>0</v>
      </c>
      <c r="P330" s="133">
        <f t="shared" si="331"/>
        <v>0</v>
      </c>
      <c r="Q330" s="133">
        <f t="shared" si="331"/>
        <v>0</v>
      </c>
      <c r="R330" s="133">
        <f t="shared" ref="R330" si="332">R1*(R309+R318+R300)</f>
        <v>0</v>
      </c>
      <c r="S330" s="133"/>
      <c r="T330" s="133">
        <f t="shared" ref="T330:W330" si="333">T1*(T309+T318+T300)</f>
        <v>0</v>
      </c>
      <c r="U330" s="133">
        <f t="shared" si="333"/>
        <v>0</v>
      </c>
      <c r="V330" s="133">
        <f t="shared" si="333"/>
        <v>0</v>
      </c>
      <c r="W330" s="133">
        <f t="shared" si="333"/>
        <v>0</v>
      </c>
      <c r="X330" s="133">
        <f t="shared" ref="X330:AG330" si="334">X1*(X309+X318+X300)</f>
        <v>0</v>
      </c>
      <c r="Y330" s="133">
        <f t="shared" si="334"/>
        <v>0</v>
      </c>
      <c r="Z330" s="133">
        <f t="shared" si="334"/>
        <v>0</v>
      </c>
      <c r="AA330" s="133">
        <f t="shared" si="334"/>
        <v>0</v>
      </c>
      <c r="AB330" s="133">
        <f t="shared" si="334"/>
        <v>0</v>
      </c>
      <c r="AC330" s="133">
        <f t="shared" si="334"/>
        <v>0</v>
      </c>
      <c r="AD330" s="133">
        <f t="shared" si="334"/>
        <v>0</v>
      </c>
      <c r="AE330" s="133">
        <f t="shared" si="334"/>
        <v>0</v>
      </c>
      <c r="AF330" s="133">
        <f t="shared" si="334"/>
        <v>0</v>
      </c>
      <c r="AG330" s="133">
        <f t="shared" si="334"/>
        <v>0</v>
      </c>
      <c r="AH330" s="133">
        <f t="shared" ref="AH330:AK330" si="335">AH1*(AH309+AH318+AH300)</f>
        <v>0</v>
      </c>
      <c r="AI330" s="133">
        <f t="shared" si="335"/>
        <v>0</v>
      </c>
      <c r="AJ330" s="133">
        <f t="shared" si="335"/>
        <v>0</v>
      </c>
      <c r="AK330" s="133">
        <f t="shared" si="335"/>
        <v>0</v>
      </c>
      <c r="AL330" s="133">
        <f t="shared" ref="AL330:AP330" si="336">AL1*(AL309+AL318+AL300)</f>
        <v>0</v>
      </c>
      <c r="AM330" s="133">
        <f t="shared" si="336"/>
        <v>0</v>
      </c>
      <c r="AN330" s="133">
        <f t="shared" si="336"/>
        <v>0</v>
      </c>
      <c r="AO330" s="133">
        <f t="shared" si="336"/>
        <v>0</v>
      </c>
      <c r="AP330" s="133">
        <f t="shared" si="336"/>
        <v>0</v>
      </c>
      <c r="AQ330" s="133">
        <f t="shared" ref="AQ330:AT330" si="337">AQ1*(AQ309+AQ318+AQ300)</f>
        <v>0</v>
      </c>
      <c r="AR330" s="133">
        <f t="shared" si="337"/>
        <v>0</v>
      </c>
      <c r="AS330" s="133">
        <f t="shared" si="337"/>
        <v>0</v>
      </c>
      <c r="AT330" s="133">
        <f t="shared" si="337"/>
        <v>0</v>
      </c>
      <c r="AU330" s="133">
        <f>AU309+AU318+AU300</f>
        <v>0</v>
      </c>
      <c r="AV330" s="133"/>
      <c r="AW330" s="133">
        <f>AW309+AW318+AW300</f>
        <v>0</v>
      </c>
      <c r="AX330" s="133">
        <f>+AW330-'ROR-Model'!G330</f>
        <v>0</v>
      </c>
    </row>
    <row r="331" spans="1:50">
      <c r="A331" s="330"/>
      <c r="B331" s="332"/>
      <c r="C331" s="332" t="s">
        <v>28</v>
      </c>
      <c r="D331" s="106"/>
      <c r="E331" s="331"/>
      <c r="F331" s="241">
        <f>F1*+F246+F255+F264+F273+F282+F291+F300+F309+F318</f>
        <v>0</v>
      </c>
      <c r="G331" s="241"/>
      <c r="H331" s="241">
        <f>H1*+H246+H255+H264+H273+H282+H291+H300+H309+H318</f>
        <v>156724.13</v>
      </c>
      <c r="I331" s="241">
        <f>I1*+I246+I255+I264+I273+I282+I291+I300+I309+I318</f>
        <v>0</v>
      </c>
      <c r="J331" s="241">
        <f t="shared" ref="J331:Q331" si="338">J1*+J246+J255+J264+J273+J282+J291+J300+J309+J318</f>
        <v>0</v>
      </c>
      <c r="K331" s="241">
        <f t="shared" si="338"/>
        <v>0</v>
      </c>
      <c r="L331" s="241">
        <f t="shared" si="338"/>
        <v>0</v>
      </c>
      <c r="M331" s="241">
        <f t="shared" si="338"/>
        <v>0</v>
      </c>
      <c r="N331" s="241">
        <f t="shared" si="338"/>
        <v>0</v>
      </c>
      <c r="O331" s="241">
        <f t="shared" si="338"/>
        <v>0</v>
      </c>
      <c r="P331" s="241">
        <f t="shared" si="338"/>
        <v>0</v>
      </c>
      <c r="Q331" s="241">
        <f t="shared" si="338"/>
        <v>0</v>
      </c>
      <c r="R331" s="241">
        <f t="shared" ref="R331" si="339">R1*+R246+R255+R264+R273+R282+R291+R300+R309+R318</f>
        <v>0</v>
      </c>
      <c r="S331" s="556"/>
      <c r="T331" s="556">
        <f t="shared" ref="T331:W331" si="340">T1*+T246+T255+T264+T273+T282+T291+T300+T309+T318</f>
        <v>0</v>
      </c>
      <c r="U331" s="556">
        <f t="shared" si="340"/>
        <v>0</v>
      </c>
      <c r="V331" s="556">
        <f t="shared" si="340"/>
        <v>0</v>
      </c>
      <c r="W331" s="556">
        <f t="shared" si="340"/>
        <v>0</v>
      </c>
      <c r="X331" s="556">
        <f t="shared" ref="X331:AG331" si="341">X1*+X246+X255+X264+X273+X282+X291+X300+X309+X318</f>
        <v>0</v>
      </c>
      <c r="Y331" s="556">
        <f t="shared" si="341"/>
        <v>0</v>
      </c>
      <c r="Z331" s="556">
        <f t="shared" si="341"/>
        <v>0</v>
      </c>
      <c r="AA331" s="556">
        <f t="shared" si="341"/>
        <v>0</v>
      </c>
      <c r="AB331" s="556">
        <f t="shared" si="341"/>
        <v>0</v>
      </c>
      <c r="AC331" s="556">
        <f t="shared" si="341"/>
        <v>0</v>
      </c>
      <c r="AD331" s="556">
        <f t="shared" si="341"/>
        <v>0</v>
      </c>
      <c r="AE331" s="556">
        <f t="shared" si="341"/>
        <v>0</v>
      </c>
      <c r="AF331" s="556">
        <f t="shared" si="341"/>
        <v>0</v>
      </c>
      <c r="AG331" s="556">
        <f t="shared" si="341"/>
        <v>0</v>
      </c>
      <c r="AH331" s="556">
        <f t="shared" ref="AH331:AK331" si="342">AH1*+AH246+AH255+AH264+AH273+AH282+AH291+AH300+AH309+AH318</f>
        <v>0</v>
      </c>
      <c r="AI331" s="556">
        <f t="shared" si="342"/>
        <v>0</v>
      </c>
      <c r="AJ331" s="556">
        <f t="shared" si="342"/>
        <v>0</v>
      </c>
      <c r="AK331" s="556">
        <f t="shared" si="342"/>
        <v>0</v>
      </c>
      <c r="AL331" s="556">
        <f t="shared" ref="AL331:AP331" si="343">AL1*+AL246+AL255+AL264+AL273+AL282+AL291+AL300+AL309+AL318</f>
        <v>0</v>
      </c>
      <c r="AM331" s="556">
        <f t="shared" si="343"/>
        <v>0</v>
      </c>
      <c r="AN331" s="556">
        <f t="shared" si="343"/>
        <v>0</v>
      </c>
      <c r="AO331" s="556">
        <f t="shared" si="343"/>
        <v>0</v>
      </c>
      <c r="AP331" s="556">
        <f t="shared" si="343"/>
        <v>0</v>
      </c>
      <c r="AQ331" s="556">
        <f t="shared" ref="AQ331:AT331" si="344">AQ1*+AQ246+AQ255+AQ264+AQ273+AQ282+AQ291+AQ300+AQ309+AQ318</f>
        <v>0</v>
      </c>
      <c r="AR331" s="556">
        <f t="shared" si="344"/>
        <v>0</v>
      </c>
      <c r="AS331" s="556">
        <f t="shared" si="344"/>
        <v>0</v>
      </c>
      <c r="AT331" s="556">
        <f t="shared" si="344"/>
        <v>0</v>
      </c>
      <c r="AU331" s="241">
        <f>+AU246+AU255+AU264+AU273+AU282+AU291+AU300+AU309+AU318</f>
        <v>156724.13</v>
      </c>
      <c r="AV331" s="241"/>
      <c r="AW331" s="241">
        <f>+AW246+AW255+AW264+AW273+AW282+AW291+AW300+AW309+AW318</f>
        <v>156724.13</v>
      </c>
      <c r="AX331" s="241">
        <f>+AW331-'ROR-Model'!G331</f>
        <v>0</v>
      </c>
    </row>
    <row r="332" spans="1:50">
      <c r="A332" s="330"/>
      <c r="B332" s="728"/>
      <c r="C332" s="728"/>
      <c r="D332" s="106"/>
      <c r="E332" s="331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16"/>
      <c r="AW332" s="133"/>
      <c r="AX332" s="133">
        <f>+AW332-'ROR-Model'!G332</f>
        <v>0</v>
      </c>
    </row>
    <row r="333" spans="1:50">
      <c r="A333" s="59" t="s">
        <v>29</v>
      </c>
      <c r="B333" s="332"/>
      <c r="C333" s="332"/>
      <c r="D333" s="106"/>
      <c r="E333" s="331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16"/>
      <c r="AW333" s="133"/>
      <c r="AX333" s="133">
        <f>+AW333-'ROR-Model'!G333</f>
        <v>0</v>
      </c>
    </row>
    <row r="334" spans="1:50">
      <c r="A334" s="330"/>
      <c r="B334" s="728" t="s">
        <v>89</v>
      </c>
      <c r="C334" s="728" t="s">
        <v>16</v>
      </c>
      <c r="D334" s="106"/>
      <c r="E334" s="331"/>
      <c r="F334" s="116"/>
      <c r="G334" s="116"/>
      <c r="H334" s="116">
        <f>H1*Revenue!$K$333</f>
        <v>0</v>
      </c>
      <c r="I334" s="116"/>
      <c r="J334" s="116"/>
      <c r="K334" s="116"/>
      <c r="L334" s="116"/>
      <c r="M334" s="116"/>
      <c r="N334" s="116"/>
      <c r="O334" s="116"/>
      <c r="P334" s="116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>
        <f>SUM(F334:AT334)</f>
        <v>0</v>
      </c>
      <c r="AV334" s="116"/>
      <c r="AW334" s="133">
        <f>SUM(AU334:AU334)</f>
        <v>0</v>
      </c>
      <c r="AX334" s="133">
        <f>+AW334-'ROR-Model'!G334</f>
        <v>0</v>
      </c>
    </row>
    <row r="335" spans="1:50">
      <c r="A335" s="330"/>
      <c r="B335" s="728"/>
      <c r="C335" s="728"/>
      <c r="D335" s="106"/>
      <c r="E335" s="331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16"/>
      <c r="AW335" s="133"/>
      <c r="AX335" s="133">
        <f>+AW335-'ROR-Model'!G335</f>
        <v>0</v>
      </c>
    </row>
    <row r="336" spans="1:50">
      <c r="A336" s="330"/>
      <c r="B336" s="728"/>
      <c r="C336" s="728"/>
      <c r="D336" s="106"/>
      <c r="E336" s="331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>
        <f>SUM(F336:AT336)</f>
        <v>0</v>
      </c>
      <c r="AV336" s="116"/>
      <c r="AW336" s="133">
        <f>SUM(AU336:AU336)</f>
        <v>0</v>
      </c>
      <c r="AX336" s="133">
        <f>+AW336-'ROR-Model'!G336</f>
        <v>0</v>
      </c>
    </row>
    <row r="337" spans="1:50">
      <c r="A337" s="330"/>
      <c r="B337" s="728"/>
      <c r="C337" s="728"/>
      <c r="D337" s="106"/>
      <c r="E337" s="331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16"/>
      <c r="AW337" s="133"/>
      <c r="AX337" s="133">
        <f>+AW337-'ROR-Model'!G337</f>
        <v>0</v>
      </c>
    </row>
    <row r="338" spans="1:50">
      <c r="A338" s="330"/>
      <c r="B338" s="728"/>
      <c r="C338" s="728" t="s">
        <v>18</v>
      </c>
      <c r="D338" s="106"/>
      <c r="E338" s="331"/>
      <c r="F338" s="116"/>
      <c r="G338" s="116"/>
      <c r="H338" s="116">
        <f>H1*Revenue!$K$337</f>
        <v>0</v>
      </c>
      <c r="I338" s="116"/>
      <c r="J338" s="116"/>
      <c r="K338" s="116"/>
      <c r="L338" s="116"/>
      <c r="M338" s="116"/>
      <c r="N338" s="116"/>
      <c r="O338" s="116"/>
      <c r="P338" s="116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>
        <f>SUM(F338:AT338)</f>
        <v>0</v>
      </c>
      <c r="AV338" s="116"/>
      <c r="AW338" s="133">
        <f>SUM(AU338:AU338)</f>
        <v>0</v>
      </c>
      <c r="AX338" s="133">
        <f>+AW338-'ROR-Model'!G338</f>
        <v>0</v>
      </c>
    </row>
    <row r="339" spans="1:50">
      <c r="A339" s="330"/>
      <c r="B339" s="728"/>
      <c r="C339" s="728" t="s">
        <v>19</v>
      </c>
      <c r="D339" s="106"/>
      <c r="E339" s="331"/>
      <c r="F339" s="131">
        <f>SUM(F334:F338)</f>
        <v>0</v>
      </c>
      <c r="G339" s="131"/>
      <c r="H339" s="131">
        <f>H1*SUM(H334:H338)</f>
        <v>0</v>
      </c>
      <c r="I339" s="131">
        <f>SUM(I334:I338)</f>
        <v>0</v>
      </c>
      <c r="J339" s="131">
        <f t="shared" ref="J339:P339" si="345">SUM(J334:J338)</f>
        <v>0</v>
      </c>
      <c r="K339" s="131">
        <f t="shared" si="345"/>
        <v>0</v>
      </c>
      <c r="L339" s="131">
        <f t="shared" si="345"/>
        <v>0</v>
      </c>
      <c r="M339" s="131">
        <f t="shared" si="345"/>
        <v>0</v>
      </c>
      <c r="N339" s="131">
        <f t="shared" si="345"/>
        <v>0</v>
      </c>
      <c r="O339" s="131">
        <f t="shared" si="345"/>
        <v>0</v>
      </c>
      <c r="P339" s="131">
        <f t="shared" si="345"/>
        <v>0</v>
      </c>
      <c r="Q339" s="241">
        <f t="shared" ref="Q339:W339" si="346">SUM(Q334:Q338)</f>
        <v>0</v>
      </c>
      <c r="R339" s="241">
        <f t="shared" si="346"/>
        <v>0</v>
      </c>
      <c r="S339" s="556"/>
      <c r="T339" s="556">
        <f t="shared" si="346"/>
        <v>0</v>
      </c>
      <c r="U339" s="556">
        <f t="shared" si="346"/>
        <v>0</v>
      </c>
      <c r="V339" s="556">
        <f t="shared" si="346"/>
        <v>0</v>
      </c>
      <c r="W339" s="556">
        <f t="shared" si="346"/>
        <v>0</v>
      </c>
      <c r="X339" s="556">
        <f t="shared" ref="X339:AG339" si="347">SUM(X334:X338)</f>
        <v>0</v>
      </c>
      <c r="Y339" s="556">
        <f t="shared" si="347"/>
        <v>0</v>
      </c>
      <c r="Z339" s="556">
        <f t="shared" si="347"/>
        <v>0</v>
      </c>
      <c r="AA339" s="556">
        <f t="shared" si="347"/>
        <v>0</v>
      </c>
      <c r="AB339" s="556">
        <f t="shared" si="347"/>
        <v>0</v>
      </c>
      <c r="AC339" s="556">
        <f t="shared" si="347"/>
        <v>0</v>
      </c>
      <c r="AD339" s="556">
        <f t="shared" si="347"/>
        <v>0</v>
      </c>
      <c r="AE339" s="556">
        <f t="shared" si="347"/>
        <v>0</v>
      </c>
      <c r="AF339" s="556">
        <f t="shared" si="347"/>
        <v>0</v>
      </c>
      <c r="AG339" s="556">
        <f t="shared" si="347"/>
        <v>0</v>
      </c>
      <c r="AH339" s="556">
        <f t="shared" ref="AH339:AK339" si="348">SUM(AH334:AH338)</f>
        <v>0</v>
      </c>
      <c r="AI339" s="556">
        <f t="shared" si="348"/>
        <v>0</v>
      </c>
      <c r="AJ339" s="556">
        <f t="shared" si="348"/>
        <v>0</v>
      </c>
      <c r="AK339" s="556">
        <f t="shared" si="348"/>
        <v>0</v>
      </c>
      <c r="AL339" s="556">
        <f t="shared" ref="AL339:AP339" si="349">SUM(AL334:AL338)</f>
        <v>0</v>
      </c>
      <c r="AM339" s="556">
        <f t="shared" si="349"/>
        <v>0</v>
      </c>
      <c r="AN339" s="556">
        <f t="shared" si="349"/>
        <v>0</v>
      </c>
      <c r="AO339" s="556">
        <f t="shared" si="349"/>
        <v>0</v>
      </c>
      <c r="AP339" s="556">
        <f t="shared" si="349"/>
        <v>0</v>
      </c>
      <c r="AQ339" s="556">
        <f t="shared" ref="AQ339:AT339" si="350">SUM(AQ334:AQ338)</f>
        <v>0</v>
      </c>
      <c r="AR339" s="556">
        <f t="shared" si="350"/>
        <v>0</v>
      </c>
      <c r="AS339" s="556">
        <f t="shared" si="350"/>
        <v>0</v>
      </c>
      <c r="AT339" s="556">
        <f t="shared" si="350"/>
        <v>0</v>
      </c>
      <c r="AU339" s="241">
        <f>SUM(AU334:AU338)</f>
        <v>0</v>
      </c>
      <c r="AV339" s="131"/>
      <c r="AW339" s="241">
        <f>SUM(AW334:AW338)</f>
        <v>0</v>
      </c>
      <c r="AX339" s="241">
        <f>+AW339-'ROR-Model'!G339</f>
        <v>0</v>
      </c>
    </row>
    <row r="340" spans="1:50">
      <c r="A340" s="330"/>
      <c r="B340" s="728"/>
      <c r="C340" s="728"/>
      <c r="D340" s="106"/>
      <c r="E340" s="331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16"/>
      <c r="AW340" s="133"/>
      <c r="AX340" s="133">
        <f>+AW340-'ROR-Model'!G340</f>
        <v>0</v>
      </c>
    </row>
    <row r="341" spans="1:50">
      <c r="A341" s="330"/>
      <c r="B341" s="728"/>
      <c r="C341" s="728" t="s">
        <v>20</v>
      </c>
      <c r="D341" s="106"/>
      <c r="E341" s="331"/>
      <c r="F341" s="116"/>
      <c r="G341" s="116"/>
      <c r="H341" s="116">
        <f>H1*Revenue!$K$340</f>
        <v>0</v>
      </c>
      <c r="I341" s="116"/>
      <c r="J341" s="116"/>
      <c r="K341" s="116"/>
      <c r="L341" s="116"/>
      <c r="M341" s="116"/>
      <c r="N341" s="116"/>
      <c r="O341" s="116"/>
      <c r="P341" s="116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>
        <f>SUM(F341:AT341)</f>
        <v>0</v>
      </c>
      <c r="AV341" s="116"/>
      <c r="AW341" s="133">
        <f>SUM(AU341:AU341)</f>
        <v>0</v>
      </c>
      <c r="AX341" s="133">
        <f>+AW341-'ROR-Model'!G341</f>
        <v>0</v>
      </c>
    </row>
    <row r="342" spans="1:50">
      <c r="A342" s="330"/>
      <c r="B342" s="332"/>
      <c r="C342" s="332"/>
      <c r="D342" s="106"/>
      <c r="E342" s="331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16"/>
      <c r="AW342" s="133"/>
      <c r="AX342" s="133">
        <f>+AW342-'ROR-Model'!G342</f>
        <v>0</v>
      </c>
    </row>
    <row r="343" spans="1:50">
      <c r="A343" s="330"/>
      <c r="B343" s="728" t="s">
        <v>25</v>
      </c>
      <c r="C343" s="728" t="s">
        <v>16</v>
      </c>
      <c r="D343" s="106"/>
      <c r="E343" s="331"/>
      <c r="F343" s="116"/>
      <c r="G343" s="116"/>
      <c r="H343" s="116">
        <f>H1*Revenue!$K$342</f>
        <v>0</v>
      </c>
      <c r="I343" s="116"/>
      <c r="J343" s="116"/>
      <c r="K343" s="116"/>
      <c r="L343" s="116"/>
      <c r="M343" s="116"/>
      <c r="N343" s="116"/>
      <c r="O343" s="116"/>
      <c r="P343" s="116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>
        <f>SUM(F343:AT343)</f>
        <v>0</v>
      </c>
      <c r="AV343" s="116"/>
      <c r="AW343" s="133">
        <f>SUM(AU343:AU343)</f>
        <v>0</v>
      </c>
      <c r="AX343" s="133">
        <f>+AW343-'ROR-Model'!G343</f>
        <v>0</v>
      </c>
    </row>
    <row r="344" spans="1:50">
      <c r="A344" s="330"/>
      <c r="B344" s="728"/>
      <c r="C344" s="728"/>
      <c r="D344" s="106"/>
      <c r="E344" s="331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16"/>
      <c r="AW344" s="133"/>
      <c r="AX344" s="133">
        <f>+AW344-'ROR-Model'!G344</f>
        <v>0</v>
      </c>
    </row>
    <row r="345" spans="1:50">
      <c r="A345" s="330"/>
      <c r="B345" s="728"/>
      <c r="C345" s="728"/>
      <c r="D345" s="106"/>
      <c r="E345" s="331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>
        <f>SUM(F345:AT345)</f>
        <v>0</v>
      </c>
      <c r="AV345" s="116"/>
      <c r="AW345" s="133">
        <f>SUM(AU345:AU345)</f>
        <v>0</v>
      </c>
      <c r="AX345" s="133">
        <f>+AW345-'ROR-Model'!G345</f>
        <v>0</v>
      </c>
    </row>
    <row r="346" spans="1:50">
      <c r="A346" s="330"/>
      <c r="B346" s="728"/>
      <c r="C346" s="728"/>
      <c r="D346" s="106"/>
      <c r="E346" s="331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16"/>
      <c r="AW346" s="133"/>
      <c r="AX346" s="133">
        <f>+AW346-'ROR-Model'!G346</f>
        <v>0</v>
      </c>
    </row>
    <row r="347" spans="1:50">
      <c r="A347" s="330"/>
      <c r="B347" s="728"/>
      <c r="C347" s="728" t="s">
        <v>18</v>
      </c>
      <c r="D347" s="106"/>
      <c r="E347" s="331"/>
      <c r="F347" s="116"/>
      <c r="G347" s="116"/>
      <c r="H347" s="116">
        <f>H1*Revenue!$K$346</f>
        <v>0</v>
      </c>
      <c r="I347" s="116"/>
      <c r="J347" s="116"/>
      <c r="K347" s="116"/>
      <c r="L347" s="116"/>
      <c r="M347" s="116"/>
      <c r="N347" s="116"/>
      <c r="O347" s="116"/>
      <c r="P347" s="116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>
        <f>SUM(F347:AT347)</f>
        <v>0</v>
      </c>
      <c r="AV347" s="116"/>
      <c r="AW347" s="133">
        <f>SUM(AU347:AU347)</f>
        <v>0</v>
      </c>
      <c r="AX347" s="133">
        <f>+AW347-'ROR-Model'!G347</f>
        <v>0</v>
      </c>
    </row>
    <row r="348" spans="1:50">
      <c r="A348" s="330"/>
      <c r="B348" s="728"/>
      <c r="C348" s="728" t="s">
        <v>19</v>
      </c>
      <c r="D348" s="106"/>
      <c r="E348" s="331"/>
      <c r="F348" s="131">
        <f>SUM(F343:F347)</f>
        <v>0</v>
      </c>
      <c r="G348" s="131"/>
      <c r="H348" s="131">
        <f>H1*SUM(H343:H347)</f>
        <v>0</v>
      </c>
      <c r="I348" s="131">
        <f>SUM(I343:I347)</f>
        <v>0</v>
      </c>
      <c r="J348" s="131">
        <f t="shared" ref="J348:P348" si="351">SUM(J343:J347)</f>
        <v>0</v>
      </c>
      <c r="K348" s="131">
        <f t="shared" si="351"/>
        <v>0</v>
      </c>
      <c r="L348" s="131">
        <f t="shared" si="351"/>
        <v>0</v>
      </c>
      <c r="M348" s="131">
        <f t="shared" si="351"/>
        <v>0</v>
      </c>
      <c r="N348" s="131">
        <f t="shared" si="351"/>
        <v>0</v>
      </c>
      <c r="O348" s="131">
        <f t="shared" si="351"/>
        <v>0</v>
      </c>
      <c r="P348" s="131">
        <f t="shared" si="351"/>
        <v>0</v>
      </c>
      <c r="Q348" s="241">
        <f t="shared" ref="Q348:W348" si="352">SUM(Q343:Q347)</f>
        <v>0</v>
      </c>
      <c r="R348" s="241">
        <f t="shared" si="352"/>
        <v>0</v>
      </c>
      <c r="S348" s="556"/>
      <c r="T348" s="556">
        <f t="shared" si="352"/>
        <v>0</v>
      </c>
      <c r="U348" s="556">
        <f t="shared" si="352"/>
        <v>0</v>
      </c>
      <c r="V348" s="556">
        <f t="shared" si="352"/>
        <v>0</v>
      </c>
      <c r="W348" s="556">
        <f t="shared" si="352"/>
        <v>0</v>
      </c>
      <c r="X348" s="556">
        <f t="shared" ref="X348:AG348" si="353">SUM(X343:X347)</f>
        <v>0</v>
      </c>
      <c r="Y348" s="556">
        <f t="shared" si="353"/>
        <v>0</v>
      </c>
      <c r="Z348" s="556">
        <f t="shared" si="353"/>
        <v>0</v>
      </c>
      <c r="AA348" s="556">
        <f t="shared" si="353"/>
        <v>0</v>
      </c>
      <c r="AB348" s="556">
        <f t="shared" si="353"/>
        <v>0</v>
      </c>
      <c r="AC348" s="556">
        <f t="shared" si="353"/>
        <v>0</v>
      </c>
      <c r="AD348" s="556">
        <f t="shared" si="353"/>
        <v>0</v>
      </c>
      <c r="AE348" s="556">
        <f t="shared" si="353"/>
        <v>0</v>
      </c>
      <c r="AF348" s="556">
        <f t="shared" si="353"/>
        <v>0</v>
      </c>
      <c r="AG348" s="556">
        <f t="shared" si="353"/>
        <v>0</v>
      </c>
      <c r="AH348" s="556">
        <f t="shared" ref="AH348:AK348" si="354">SUM(AH343:AH347)</f>
        <v>0</v>
      </c>
      <c r="AI348" s="556">
        <f t="shared" si="354"/>
        <v>0</v>
      </c>
      <c r="AJ348" s="556">
        <f t="shared" si="354"/>
        <v>0</v>
      </c>
      <c r="AK348" s="556">
        <f t="shared" si="354"/>
        <v>0</v>
      </c>
      <c r="AL348" s="556">
        <f t="shared" ref="AL348:AP348" si="355">SUM(AL343:AL347)</f>
        <v>0</v>
      </c>
      <c r="AM348" s="556">
        <f t="shared" si="355"/>
        <v>0</v>
      </c>
      <c r="AN348" s="556">
        <f t="shared" si="355"/>
        <v>0</v>
      </c>
      <c r="AO348" s="556">
        <f t="shared" si="355"/>
        <v>0</v>
      </c>
      <c r="AP348" s="556">
        <f t="shared" si="355"/>
        <v>0</v>
      </c>
      <c r="AQ348" s="556">
        <f t="shared" ref="AQ348:AT348" si="356">SUM(AQ343:AQ347)</f>
        <v>0</v>
      </c>
      <c r="AR348" s="556">
        <f t="shared" si="356"/>
        <v>0</v>
      </c>
      <c r="AS348" s="556">
        <f t="shared" si="356"/>
        <v>0</v>
      </c>
      <c r="AT348" s="556">
        <f t="shared" si="356"/>
        <v>0</v>
      </c>
      <c r="AU348" s="241">
        <f>SUM(AU343:AU347)</f>
        <v>0</v>
      </c>
      <c r="AV348" s="131"/>
      <c r="AW348" s="241">
        <f>SUM(AW343:AW347)</f>
        <v>0</v>
      </c>
      <c r="AX348" s="241">
        <f>+AW348-'ROR-Model'!G348</f>
        <v>0</v>
      </c>
    </row>
    <row r="349" spans="1:50">
      <c r="A349" s="330"/>
      <c r="B349" s="728"/>
      <c r="C349" s="728"/>
      <c r="D349" s="106"/>
      <c r="E349" s="331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16"/>
      <c r="AW349" s="133"/>
      <c r="AX349" s="133"/>
    </row>
    <row r="350" spans="1:50">
      <c r="A350" s="330"/>
      <c r="B350" s="728"/>
      <c r="C350" s="728" t="s">
        <v>20</v>
      </c>
      <c r="D350" s="106"/>
      <c r="E350" s="331"/>
      <c r="F350" s="116"/>
      <c r="G350" s="116"/>
      <c r="H350" s="116">
        <f>H1*Revenue!$K$349</f>
        <v>0</v>
      </c>
      <c r="I350" s="116"/>
      <c r="J350" s="116"/>
      <c r="K350" s="116"/>
      <c r="L350" s="116"/>
      <c r="M350" s="116"/>
      <c r="N350" s="116"/>
      <c r="O350" s="116"/>
      <c r="P350" s="116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>
        <f>SUM(F350:AT350)</f>
        <v>0</v>
      </c>
      <c r="AV350" s="116"/>
      <c r="AW350" s="133">
        <f>SUM(AU350:AU350)</f>
        <v>0</v>
      </c>
      <c r="AX350" s="133">
        <f>+AW350-'ROR-Model'!G350</f>
        <v>0</v>
      </c>
    </row>
    <row r="351" spans="1:50" ht="13.5" thickBot="1">
      <c r="A351" s="330"/>
      <c r="B351" s="332"/>
      <c r="C351" s="332"/>
      <c r="D351" s="106"/>
      <c r="E351" s="331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35"/>
      <c r="AW351" s="242"/>
      <c r="AX351" s="242">
        <f>+AW351-'ROR-Model'!G351</f>
        <v>0</v>
      </c>
    </row>
    <row r="352" spans="1:50" ht="13.5" thickTop="1">
      <c r="A352" s="330"/>
      <c r="B352" s="332" t="s">
        <v>547</v>
      </c>
      <c r="C352" s="728"/>
      <c r="D352" s="106"/>
      <c r="E352" s="331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16"/>
      <c r="AW352" s="133"/>
      <c r="AX352" s="133">
        <f>+AW352-'ROR-Model'!G352</f>
        <v>0</v>
      </c>
    </row>
    <row r="353" spans="1:50">
      <c r="A353" s="330"/>
      <c r="B353" s="332"/>
      <c r="C353" s="728" t="s">
        <v>16</v>
      </c>
      <c r="D353" s="106"/>
      <c r="E353" s="331"/>
      <c r="F353" s="133">
        <f>+F334+F343</f>
        <v>0</v>
      </c>
      <c r="G353" s="133"/>
      <c r="H353" s="133">
        <f>H1*+H334+H343</f>
        <v>0</v>
      </c>
      <c r="I353" s="133">
        <f>+I334+I343</f>
        <v>0</v>
      </c>
      <c r="J353" s="133">
        <f t="shared" ref="J353:Q353" si="357">+J334+J343</f>
        <v>0</v>
      </c>
      <c r="K353" s="133">
        <f t="shared" si="357"/>
        <v>0</v>
      </c>
      <c r="L353" s="133">
        <f t="shared" si="357"/>
        <v>0</v>
      </c>
      <c r="M353" s="133">
        <f t="shared" si="357"/>
        <v>0</v>
      </c>
      <c r="N353" s="133">
        <f t="shared" si="357"/>
        <v>0</v>
      </c>
      <c r="O353" s="133">
        <f t="shared" si="357"/>
        <v>0</v>
      </c>
      <c r="P353" s="133">
        <f t="shared" si="357"/>
        <v>0</v>
      </c>
      <c r="Q353" s="133">
        <f t="shared" si="357"/>
        <v>0</v>
      </c>
      <c r="R353" s="133">
        <f t="shared" ref="R353" si="358">+R334+R343</f>
        <v>0</v>
      </c>
      <c r="S353" s="133"/>
      <c r="T353" s="133">
        <f t="shared" ref="T353:W353" si="359">+T334+T343</f>
        <v>0</v>
      </c>
      <c r="U353" s="133">
        <f t="shared" si="359"/>
        <v>0</v>
      </c>
      <c r="V353" s="133">
        <f t="shared" si="359"/>
        <v>0</v>
      </c>
      <c r="W353" s="133">
        <f t="shared" si="359"/>
        <v>0</v>
      </c>
      <c r="X353" s="133">
        <f t="shared" ref="X353:AG353" si="360">+X334+X343</f>
        <v>0</v>
      </c>
      <c r="Y353" s="133">
        <f t="shared" si="360"/>
        <v>0</v>
      </c>
      <c r="Z353" s="133">
        <f t="shared" si="360"/>
        <v>0</v>
      </c>
      <c r="AA353" s="133">
        <f t="shared" si="360"/>
        <v>0</v>
      </c>
      <c r="AB353" s="133">
        <f t="shared" si="360"/>
        <v>0</v>
      </c>
      <c r="AC353" s="133">
        <f t="shared" si="360"/>
        <v>0</v>
      </c>
      <c r="AD353" s="133">
        <f t="shared" si="360"/>
        <v>0</v>
      </c>
      <c r="AE353" s="133">
        <f t="shared" si="360"/>
        <v>0</v>
      </c>
      <c r="AF353" s="133">
        <f t="shared" si="360"/>
        <v>0</v>
      </c>
      <c r="AG353" s="133">
        <f t="shared" si="360"/>
        <v>0</v>
      </c>
      <c r="AH353" s="133">
        <f t="shared" ref="AH353:AK353" si="361">+AH334+AH343</f>
        <v>0</v>
      </c>
      <c r="AI353" s="133">
        <f t="shared" si="361"/>
        <v>0</v>
      </c>
      <c r="AJ353" s="133">
        <f t="shared" si="361"/>
        <v>0</v>
      </c>
      <c r="AK353" s="133">
        <f t="shared" si="361"/>
        <v>0</v>
      </c>
      <c r="AL353" s="133">
        <f t="shared" ref="AL353:AP353" si="362">+AL334+AL343</f>
        <v>0</v>
      </c>
      <c r="AM353" s="133">
        <f t="shared" si="362"/>
        <v>0</v>
      </c>
      <c r="AN353" s="133">
        <f t="shared" si="362"/>
        <v>0</v>
      </c>
      <c r="AO353" s="133">
        <f t="shared" si="362"/>
        <v>0</v>
      </c>
      <c r="AP353" s="133">
        <f t="shared" si="362"/>
        <v>0</v>
      </c>
      <c r="AQ353" s="133">
        <f t="shared" ref="AQ353:AT353" si="363">+AQ334+AQ343</f>
        <v>0</v>
      </c>
      <c r="AR353" s="133">
        <f t="shared" si="363"/>
        <v>0</v>
      </c>
      <c r="AS353" s="133">
        <f t="shared" si="363"/>
        <v>0</v>
      </c>
      <c r="AT353" s="133">
        <f t="shared" si="363"/>
        <v>0</v>
      </c>
      <c r="AU353" s="133">
        <f>+AU334+AU343</f>
        <v>0</v>
      </c>
      <c r="AV353" s="133"/>
      <c r="AW353" s="133">
        <f>+AW334+AW343</f>
        <v>0</v>
      </c>
      <c r="AX353" s="133">
        <f>+AW353-'ROR-Model'!G353</f>
        <v>0</v>
      </c>
    </row>
    <row r="354" spans="1:50">
      <c r="A354" s="330"/>
      <c r="B354" s="332"/>
      <c r="C354" s="728" t="s">
        <v>18</v>
      </c>
      <c r="D354" s="106"/>
      <c r="E354" s="331"/>
      <c r="F354" s="133">
        <f>+F337+F346</f>
        <v>0</v>
      </c>
      <c r="G354" s="133"/>
      <c r="H354" s="133">
        <f>H1*+H337+H346</f>
        <v>0</v>
      </c>
      <c r="I354" s="133">
        <f>+I337+I346</f>
        <v>0</v>
      </c>
      <c r="J354" s="133">
        <f t="shared" ref="J354:Q354" si="364">+J337+J346</f>
        <v>0</v>
      </c>
      <c r="K354" s="133">
        <f t="shared" si="364"/>
        <v>0</v>
      </c>
      <c r="L354" s="133">
        <f t="shared" si="364"/>
        <v>0</v>
      </c>
      <c r="M354" s="133">
        <f t="shared" si="364"/>
        <v>0</v>
      </c>
      <c r="N354" s="133">
        <f t="shared" si="364"/>
        <v>0</v>
      </c>
      <c r="O354" s="133">
        <f t="shared" si="364"/>
        <v>0</v>
      </c>
      <c r="P354" s="133">
        <f t="shared" si="364"/>
        <v>0</v>
      </c>
      <c r="Q354" s="133">
        <f t="shared" si="364"/>
        <v>0</v>
      </c>
      <c r="R354" s="133">
        <f t="shared" ref="R354" si="365">+R337+R346</f>
        <v>0</v>
      </c>
      <c r="S354" s="133"/>
      <c r="T354" s="133">
        <f t="shared" ref="T354:W354" si="366">+T337+T346</f>
        <v>0</v>
      </c>
      <c r="U354" s="133">
        <f t="shared" si="366"/>
        <v>0</v>
      </c>
      <c r="V354" s="133">
        <f t="shared" si="366"/>
        <v>0</v>
      </c>
      <c r="W354" s="133">
        <f t="shared" si="366"/>
        <v>0</v>
      </c>
      <c r="X354" s="133">
        <f t="shared" ref="X354:AG354" si="367">+X337+X346</f>
        <v>0</v>
      </c>
      <c r="Y354" s="133">
        <f t="shared" si="367"/>
        <v>0</v>
      </c>
      <c r="Z354" s="133">
        <f t="shared" si="367"/>
        <v>0</v>
      </c>
      <c r="AA354" s="133">
        <f t="shared" si="367"/>
        <v>0</v>
      </c>
      <c r="AB354" s="133">
        <f t="shared" si="367"/>
        <v>0</v>
      </c>
      <c r="AC354" s="133">
        <f t="shared" si="367"/>
        <v>0</v>
      </c>
      <c r="AD354" s="133">
        <f t="shared" si="367"/>
        <v>0</v>
      </c>
      <c r="AE354" s="133">
        <f t="shared" si="367"/>
        <v>0</v>
      </c>
      <c r="AF354" s="133">
        <f t="shared" si="367"/>
        <v>0</v>
      </c>
      <c r="AG354" s="133">
        <f t="shared" si="367"/>
        <v>0</v>
      </c>
      <c r="AH354" s="133">
        <f t="shared" ref="AH354:AK354" si="368">+AH337+AH346</f>
        <v>0</v>
      </c>
      <c r="AI354" s="133">
        <f t="shared" si="368"/>
        <v>0</v>
      </c>
      <c r="AJ354" s="133">
        <f t="shared" si="368"/>
        <v>0</v>
      </c>
      <c r="AK354" s="133">
        <f t="shared" si="368"/>
        <v>0</v>
      </c>
      <c r="AL354" s="133">
        <f t="shared" ref="AL354:AP354" si="369">+AL337+AL346</f>
        <v>0</v>
      </c>
      <c r="AM354" s="133">
        <f t="shared" si="369"/>
        <v>0</v>
      </c>
      <c r="AN354" s="133">
        <f t="shared" si="369"/>
        <v>0</v>
      </c>
      <c r="AO354" s="133">
        <f t="shared" si="369"/>
        <v>0</v>
      </c>
      <c r="AP354" s="133">
        <f t="shared" si="369"/>
        <v>0</v>
      </c>
      <c r="AQ354" s="133">
        <f t="shared" ref="AQ354:AT354" si="370">+AQ337+AQ346</f>
        <v>0</v>
      </c>
      <c r="AR354" s="133">
        <f t="shared" si="370"/>
        <v>0</v>
      </c>
      <c r="AS354" s="133">
        <f t="shared" si="370"/>
        <v>0</v>
      </c>
      <c r="AT354" s="133">
        <f t="shared" si="370"/>
        <v>0</v>
      </c>
      <c r="AU354" s="133">
        <f>+AU337+AU346</f>
        <v>0</v>
      </c>
      <c r="AV354" s="133"/>
      <c r="AW354" s="133">
        <f>+AW337+AW346</f>
        <v>0</v>
      </c>
      <c r="AX354" s="133">
        <f>+AW354-'ROR-Model'!G354</f>
        <v>0</v>
      </c>
    </row>
    <row r="355" spans="1:50">
      <c r="A355" s="330"/>
      <c r="B355" s="332"/>
      <c r="C355" s="332" t="s">
        <v>30</v>
      </c>
      <c r="D355" s="106"/>
      <c r="E355" s="331"/>
      <c r="F355" s="133">
        <f>F339+F348</f>
        <v>0</v>
      </c>
      <c r="G355" s="133"/>
      <c r="H355" s="133">
        <f>H1*H339+H348</f>
        <v>0</v>
      </c>
      <c r="I355" s="133">
        <f>I339+I348</f>
        <v>0</v>
      </c>
      <c r="J355" s="133">
        <f t="shared" ref="J355:Q355" si="371">J339+J348</f>
        <v>0</v>
      </c>
      <c r="K355" s="133">
        <f t="shared" si="371"/>
        <v>0</v>
      </c>
      <c r="L355" s="133">
        <f t="shared" si="371"/>
        <v>0</v>
      </c>
      <c r="M355" s="133">
        <f t="shared" si="371"/>
        <v>0</v>
      </c>
      <c r="N355" s="133">
        <f t="shared" si="371"/>
        <v>0</v>
      </c>
      <c r="O355" s="133">
        <f t="shared" si="371"/>
        <v>0</v>
      </c>
      <c r="P355" s="133">
        <f t="shared" si="371"/>
        <v>0</v>
      </c>
      <c r="Q355" s="133">
        <f t="shared" si="371"/>
        <v>0</v>
      </c>
      <c r="R355" s="133">
        <f t="shared" ref="R355" si="372">R339+R348</f>
        <v>0</v>
      </c>
      <c r="S355" s="133"/>
      <c r="T355" s="133">
        <f t="shared" ref="T355:W355" si="373">T339+T348</f>
        <v>0</v>
      </c>
      <c r="U355" s="133">
        <f t="shared" si="373"/>
        <v>0</v>
      </c>
      <c r="V355" s="133">
        <f t="shared" si="373"/>
        <v>0</v>
      </c>
      <c r="W355" s="133">
        <f t="shared" si="373"/>
        <v>0</v>
      </c>
      <c r="X355" s="133">
        <f t="shared" ref="X355:AG355" si="374">X339+X348</f>
        <v>0</v>
      </c>
      <c r="Y355" s="133">
        <f t="shared" si="374"/>
        <v>0</v>
      </c>
      <c r="Z355" s="133">
        <f t="shared" si="374"/>
        <v>0</v>
      </c>
      <c r="AA355" s="133">
        <f t="shared" si="374"/>
        <v>0</v>
      </c>
      <c r="AB355" s="133">
        <f t="shared" si="374"/>
        <v>0</v>
      </c>
      <c r="AC355" s="133">
        <f t="shared" si="374"/>
        <v>0</v>
      </c>
      <c r="AD355" s="133">
        <f t="shared" si="374"/>
        <v>0</v>
      </c>
      <c r="AE355" s="133">
        <f t="shared" si="374"/>
        <v>0</v>
      </c>
      <c r="AF355" s="133">
        <f t="shared" si="374"/>
        <v>0</v>
      </c>
      <c r="AG355" s="133">
        <f t="shared" si="374"/>
        <v>0</v>
      </c>
      <c r="AH355" s="133">
        <f t="shared" ref="AH355:AK355" si="375">AH339+AH348</f>
        <v>0</v>
      </c>
      <c r="AI355" s="133">
        <f t="shared" si="375"/>
        <v>0</v>
      </c>
      <c r="AJ355" s="133">
        <f t="shared" si="375"/>
        <v>0</v>
      </c>
      <c r="AK355" s="133">
        <f t="shared" si="375"/>
        <v>0</v>
      </c>
      <c r="AL355" s="133">
        <f t="shared" ref="AL355:AP355" si="376">AL339+AL348</f>
        <v>0</v>
      </c>
      <c r="AM355" s="133">
        <f t="shared" si="376"/>
        <v>0</v>
      </c>
      <c r="AN355" s="133">
        <f t="shared" si="376"/>
        <v>0</v>
      </c>
      <c r="AO355" s="133">
        <f t="shared" si="376"/>
        <v>0</v>
      </c>
      <c r="AP355" s="133">
        <f t="shared" si="376"/>
        <v>0</v>
      </c>
      <c r="AQ355" s="133">
        <f t="shared" ref="AQ355:AT355" si="377">AQ339+AQ348</f>
        <v>0</v>
      </c>
      <c r="AR355" s="133">
        <f t="shared" si="377"/>
        <v>0</v>
      </c>
      <c r="AS355" s="133">
        <f t="shared" si="377"/>
        <v>0</v>
      </c>
      <c r="AT355" s="133">
        <f t="shared" si="377"/>
        <v>0</v>
      </c>
      <c r="AU355" s="133">
        <f>AU339+AU348</f>
        <v>0</v>
      </c>
      <c r="AV355" s="133"/>
      <c r="AW355" s="133">
        <f>AW339+AW348</f>
        <v>0</v>
      </c>
      <c r="AX355" s="133">
        <f>+AW355-'ROR-Model'!G355</f>
        <v>0</v>
      </c>
    </row>
    <row r="356" spans="1:50">
      <c r="A356" s="330"/>
      <c r="B356" s="332"/>
      <c r="C356" s="332"/>
      <c r="D356" s="106"/>
      <c r="E356" s="331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>
        <f>+AW356-'ROR-Model'!G356</f>
        <v>0</v>
      </c>
    </row>
    <row r="357" spans="1:50">
      <c r="A357" s="330"/>
      <c r="B357" s="728"/>
      <c r="C357" s="332" t="s">
        <v>59</v>
      </c>
      <c r="D357" s="106"/>
      <c r="E357" s="331"/>
      <c r="F357" s="133">
        <f>F341</f>
        <v>0</v>
      </c>
      <c r="G357" s="133"/>
      <c r="H357" s="133">
        <f>H1*H341</f>
        <v>0</v>
      </c>
      <c r="I357" s="133">
        <f>I341</f>
        <v>0</v>
      </c>
      <c r="J357" s="133">
        <f t="shared" ref="J357:Q357" si="378">J341</f>
        <v>0</v>
      </c>
      <c r="K357" s="133">
        <f t="shared" si="378"/>
        <v>0</v>
      </c>
      <c r="L357" s="133">
        <f t="shared" si="378"/>
        <v>0</v>
      </c>
      <c r="M357" s="133">
        <f t="shared" si="378"/>
        <v>0</v>
      </c>
      <c r="N357" s="133">
        <f t="shared" si="378"/>
        <v>0</v>
      </c>
      <c r="O357" s="133">
        <f t="shared" si="378"/>
        <v>0</v>
      </c>
      <c r="P357" s="133">
        <f t="shared" si="378"/>
        <v>0</v>
      </c>
      <c r="Q357" s="133">
        <f t="shared" si="378"/>
        <v>0</v>
      </c>
      <c r="R357" s="133">
        <f t="shared" ref="R357" si="379">R341</f>
        <v>0</v>
      </c>
      <c r="S357" s="133"/>
      <c r="T357" s="133">
        <f t="shared" ref="T357:W357" si="380">T341</f>
        <v>0</v>
      </c>
      <c r="U357" s="133">
        <f t="shared" si="380"/>
        <v>0</v>
      </c>
      <c r="V357" s="133">
        <f t="shared" si="380"/>
        <v>0</v>
      </c>
      <c r="W357" s="133">
        <f t="shared" si="380"/>
        <v>0</v>
      </c>
      <c r="X357" s="133">
        <f t="shared" ref="X357:AG357" si="381">X341</f>
        <v>0</v>
      </c>
      <c r="Y357" s="133">
        <f t="shared" si="381"/>
        <v>0</v>
      </c>
      <c r="Z357" s="133">
        <f t="shared" si="381"/>
        <v>0</v>
      </c>
      <c r="AA357" s="133">
        <f t="shared" si="381"/>
        <v>0</v>
      </c>
      <c r="AB357" s="133">
        <f t="shared" si="381"/>
        <v>0</v>
      </c>
      <c r="AC357" s="133">
        <f t="shared" si="381"/>
        <v>0</v>
      </c>
      <c r="AD357" s="133">
        <f t="shared" si="381"/>
        <v>0</v>
      </c>
      <c r="AE357" s="133">
        <f t="shared" si="381"/>
        <v>0</v>
      </c>
      <c r="AF357" s="133">
        <f t="shared" si="381"/>
        <v>0</v>
      </c>
      <c r="AG357" s="133">
        <f t="shared" si="381"/>
        <v>0</v>
      </c>
      <c r="AH357" s="133">
        <f t="shared" ref="AH357:AK357" si="382">AH341</f>
        <v>0</v>
      </c>
      <c r="AI357" s="133">
        <f t="shared" si="382"/>
        <v>0</v>
      </c>
      <c r="AJ357" s="133">
        <f t="shared" si="382"/>
        <v>0</v>
      </c>
      <c r="AK357" s="133">
        <f t="shared" si="382"/>
        <v>0</v>
      </c>
      <c r="AL357" s="133">
        <f t="shared" ref="AL357:AP357" si="383">AL341</f>
        <v>0</v>
      </c>
      <c r="AM357" s="133">
        <f t="shared" si="383"/>
        <v>0</v>
      </c>
      <c r="AN357" s="133">
        <f t="shared" si="383"/>
        <v>0</v>
      </c>
      <c r="AO357" s="133">
        <f t="shared" si="383"/>
        <v>0</v>
      </c>
      <c r="AP357" s="133">
        <f t="shared" si="383"/>
        <v>0</v>
      </c>
      <c r="AQ357" s="133">
        <f t="shared" ref="AQ357:AT357" si="384">AQ341</f>
        <v>0</v>
      </c>
      <c r="AR357" s="133">
        <f t="shared" si="384"/>
        <v>0</v>
      </c>
      <c r="AS357" s="133">
        <f t="shared" si="384"/>
        <v>0</v>
      </c>
      <c r="AT357" s="133">
        <f t="shared" si="384"/>
        <v>0</v>
      </c>
      <c r="AU357" s="133">
        <f>AU341</f>
        <v>0</v>
      </c>
      <c r="AV357" s="133"/>
      <c r="AW357" s="133">
        <f>AW341</f>
        <v>0</v>
      </c>
      <c r="AX357" s="133">
        <f>+AW357-'ROR-Model'!G357</f>
        <v>0</v>
      </c>
    </row>
    <row r="358" spans="1:50">
      <c r="A358" s="330"/>
      <c r="B358" s="728"/>
      <c r="C358" s="728" t="s">
        <v>60</v>
      </c>
      <c r="D358" s="106"/>
      <c r="E358" s="331"/>
      <c r="F358" s="133">
        <f>F350</f>
        <v>0</v>
      </c>
      <c r="G358" s="133"/>
      <c r="H358" s="133">
        <f>H1*H350</f>
        <v>0</v>
      </c>
      <c r="I358" s="133">
        <f>I350</f>
        <v>0</v>
      </c>
      <c r="J358" s="133">
        <f t="shared" ref="J358:Q358" si="385">J350</f>
        <v>0</v>
      </c>
      <c r="K358" s="133">
        <f t="shared" si="385"/>
        <v>0</v>
      </c>
      <c r="L358" s="133">
        <f t="shared" si="385"/>
        <v>0</v>
      </c>
      <c r="M358" s="133">
        <f t="shared" si="385"/>
        <v>0</v>
      </c>
      <c r="N358" s="133">
        <f t="shared" si="385"/>
        <v>0</v>
      </c>
      <c r="O358" s="133">
        <f t="shared" si="385"/>
        <v>0</v>
      </c>
      <c r="P358" s="133">
        <f t="shared" si="385"/>
        <v>0</v>
      </c>
      <c r="Q358" s="133">
        <f t="shared" si="385"/>
        <v>0</v>
      </c>
      <c r="R358" s="133">
        <f t="shared" ref="R358" si="386">R350</f>
        <v>0</v>
      </c>
      <c r="S358" s="133"/>
      <c r="T358" s="133">
        <f t="shared" ref="T358:W358" si="387">T350</f>
        <v>0</v>
      </c>
      <c r="U358" s="133">
        <f t="shared" si="387"/>
        <v>0</v>
      </c>
      <c r="V358" s="133">
        <f t="shared" si="387"/>
        <v>0</v>
      </c>
      <c r="W358" s="133">
        <f t="shared" si="387"/>
        <v>0</v>
      </c>
      <c r="X358" s="133">
        <f t="shared" ref="X358:AG358" si="388">X350</f>
        <v>0</v>
      </c>
      <c r="Y358" s="133">
        <f t="shared" si="388"/>
        <v>0</v>
      </c>
      <c r="Z358" s="133">
        <f t="shared" si="388"/>
        <v>0</v>
      </c>
      <c r="AA358" s="133">
        <f t="shared" si="388"/>
        <v>0</v>
      </c>
      <c r="AB358" s="133">
        <f t="shared" si="388"/>
        <v>0</v>
      </c>
      <c r="AC358" s="133">
        <f t="shared" si="388"/>
        <v>0</v>
      </c>
      <c r="AD358" s="133">
        <f t="shared" si="388"/>
        <v>0</v>
      </c>
      <c r="AE358" s="133">
        <f t="shared" si="388"/>
        <v>0</v>
      </c>
      <c r="AF358" s="133">
        <f t="shared" si="388"/>
        <v>0</v>
      </c>
      <c r="AG358" s="133">
        <f t="shared" si="388"/>
        <v>0</v>
      </c>
      <c r="AH358" s="133">
        <f t="shared" ref="AH358:AK358" si="389">AH350</f>
        <v>0</v>
      </c>
      <c r="AI358" s="133">
        <f t="shared" si="389"/>
        <v>0</v>
      </c>
      <c r="AJ358" s="133">
        <f t="shared" si="389"/>
        <v>0</v>
      </c>
      <c r="AK358" s="133">
        <f t="shared" si="389"/>
        <v>0</v>
      </c>
      <c r="AL358" s="133">
        <f t="shared" ref="AL358:AP358" si="390">AL350</f>
        <v>0</v>
      </c>
      <c r="AM358" s="133">
        <f t="shared" si="390"/>
        <v>0</v>
      </c>
      <c r="AN358" s="133">
        <f t="shared" si="390"/>
        <v>0</v>
      </c>
      <c r="AO358" s="133">
        <f t="shared" si="390"/>
        <v>0</v>
      </c>
      <c r="AP358" s="133">
        <f t="shared" si="390"/>
        <v>0</v>
      </c>
      <c r="AQ358" s="133">
        <f t="shared" ref="AQ358:AT358" si="391">AQ350</f>
        <v>0</v>
      </c>
      <c r="AR358" s="133">
        <f t="shared" si="391"/>
        <v>0</v>
      </c>
      <c r="AS358" s="133">
        <f t="shared" si="391"/>
        <v>0</v>
      </c>
      <c r="AT358" s="133">
        <f t="shared" si="391"/>
        <v>0</v>
      </c>
      <c r="AU358" s="133">
        <f>AU350</f>
        <v>0</v>
      </c>
      <c r="AV358" s="133"/>
      <c r="AW358" s="133">
        <f>AW350</f>
        <v>0</v>
      </c>
      <c r="AX358" s="133">
        <f>+AW358-'ROR-Model'!G358</f>
        <v>0</v>
      </c>
    </row>
    <row r="359" spans="1:50">
      <c r="A359" s="330"/>
      <c r="B359" s="728"/>
      <c r="C359" s="332" t="s">
        <v>31</v>
      </c>
      <c r="D359" s="106"/>
      <c r="E359" s="331"/>
      <c r="F359" s="133">
        <f>F341+F350</f>
        <v>0</v>
      </c>
      <c r="G359" s="133"/>
      <c r="H359" s="133">
        <f>H1*H341+H350</f>
        <v>0</v>
      </c>
      <c r="I359" s="133">
        <f>I341+I350</f>
        <v>0</v>
      </c>
      <c r="J359" s="133">
        <f t="shared" ref="J359:Q359" si="392">J341+J350</f>
        <v>0</v>
      </c>
      <c r="K359" s="133">
        <f t="shared" si="392"/>
        <v>0</v>
      </c>
      <c r="L359" s="133">
        <f t="shared" si="392"/>
        <v>0</v>
      </c>
      <c r="M359" s="133">
        <f t="shared" si="392"/>
        <v>0</v>
      </c>
      <c r="N359" s="133">
        <f t="shared" si="392"/>
        <v>0</v>
      </c>
      <c r="O359" s="133">
        <f t="shared" si="392"/>
        <v>0</v>
      </c>
      <c r="P359" s="133">
        <f t="shared" si="392"/>
        <v>0</v>
      </c>
      <c r="Q359" s="133">
        <f t="shared" si="392"/>
        <v>0</v>
      </c>
      <c r="R359" s="133">
        <f t="shared" ref="R359" si="393">R341+R350</f>
        <v>0</v>
      </c>
      <c r="S359" s="133"/>
      <c r="T359" s="133">
        <f t="shared" ref="T359:W359" si="394">T341+T350</f>
        <v>0</v>
      </c>
      <c r="U359" s="133">
        <f t="shared" si="394"/>
        <v>0</v>
      </c>
      <c r="V359" s="133">
        <f t="shared" si="394"/>
        <v>0</v>
      </c>
      <c r="W359" s="133">
        <f t="shared" si="394"/>
        <v>0</v>
      </c>
      <c r="X359" s="133">
        <f t="shared" ref="X359:AG359" si="395">X341+X350</f>
        <v>0</v>
      </c>
      <c r="Y359" s="133">
        <f t="shared" si="395"/>
        <v>0</v>
      </c>
      <c r="Z359" s="133">
        <f t="shared" si="395"/>
        <v>0</v>
      </c>
      <c r="AA359" s="133">
        <f t="shared" si="395"/>
        <v>0</v>
      </c>
      <c r="AB359" s="133">
        <f t="shared" si="395"/>
        <v>0</v>
      </c>
      <c r="AC359" s="133">
        <f t="shared" si="395"/>
        <v>0</v>
      </c>
      <c r="AD359" s="133">
        <f t="shared" si="395"/>
        <v>0</v>
      </c>
      <c r="AE359" s="133">
        <f t="shared" si="395"/>
        <v>0</v>
      </c>
      <c r="AF359" s="133">
        <f t="shared" si="395"/>
        <v>0</v>
      </c>
      <c r="AG359" s="133">
        <f t="shared" si="395"/>
        <v>0</v>
      </c>
      <c r="AH359" s="133">
        <f t="shared" ref="AH359:AK359" si="396">AH341+AH350</f>
        <v>0</v>
      </c>
      <c r="AI359" s="133">
        <f t="shared" si="396"/>
        <v>0</v>
      </c>
      <c r="AJ359" s="133">
        <f t="shared" si="396"/>
        <v>0</v>
      </c>
      <c r="AK359" s="133">
        <f t="shared" si="396"/>
        <v>0</v>
      </c>
      <c r="AL359" s="133">
        <f t="shared" ref="AL359:AP359" si="397">AL341+AL350</f>
        <v>0</v>
      </c>
      <c r="AM359" s="133">
        <f t="shared" si="397"/>
        <v>0</v>
      </c>
      <c r="AN359" s="133">
        <f t="shared" si="397"/>
        <v>0</v>
      </c>
      <c r="AO359" s="133">
        <f t="shared" si="397"/>
        <v>0</v>
      </c>
      <c r="AP359" s="133">
        <f t="shared" si="397"/>
        <v>0</v>
      </c>
      <c r="AQ359" s="133">
        <f t="shared" ref="AQ359:AT359" si="398">AQ341+AQ350</f>
        <v>0</v>
      </c>
      <c r="AR359" s="133">
        <f t="shared" si="398"/>
        <v>0</v>
      </c>
      <c r="AS359" s="133">
        <f t="shared" si="398"/>
        <v>0</v>
      </c>
      <c r="AT359" s="133">
        <f t="shared" si="398"/>
        <v>0</v>
      </c>
      <c r="AU359" s="133">
        <f>AU341+AU350</f>
        <v>0</v>
      </c>
      <c r="AV359" s="133"/>
      <c r="AW359" s="133">
        <f>AW341+AW350</f>
        <v>0</v>
      </c>
      <c r="AX359" s="133">
        <f>+AW359-'ROR-Model'!G359</f>
        <v>0</v>
      </c>
    </row>
    <row r="360" spans="1:50" ht="13.5" thickBot="1">
      <c r="A360" s="330"/>
      <c r="B360" s="332"/>
      <c r="C360" s="332"/>
      <c r="D360" s="106"/>
      <c r="E360" s="331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35"/>
      <c r="AW360" s="242"/>
      <c r="AX360" s="242">
        <f>+AW360-'ROR-Model'!G360</f>
        <v>0</v>
      </c>
    </row>
    <row r="361" spans="1:50" ht="13.5" thickTop="1">
      <c r="A361" s="59" t="s">
        <v>32</v>
      </c>
      <c r="B361" s="332"/>
      <c r="C361" s="332"/>
      <c r="D361" s="106"/>
      <c r="E361" s="331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16"/>
      <c r="AW361" s="133"/>
      <c r="AX361" s="133"/>
    </row>
    <row r="362" spans="1:50">
      <c r="A362" s="330"/>
      <c r="B362" s="332" t="s">
        <v>659</v>
      </c>
      <c r="C362" s="728"/>
      <c r="D362" s="106"/>
      <c r="E362" s="331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16"/>
      <c r="AW362" s="133"/>
      <c r="AX362" s="133"/>
    </row>
    <row r="363" spans="1:50">
      <c r="A363" s="330"/>
      <c r="B363" s="332"/>
      <c r="C363" s="728" t="s">
        <v>16</v>
      </c>
      <c r="D363" s="106"/>
      <c r="E363" s="331"/>
      <c r="F363" s="133">
        <f t="shared" ref="F363:Q363" si="399">F1*(F200+F229+F323+F353)</f>
        <v>0</v>
      </c>
      <c r="G363" s="133"/>
      <c r="H363" s="133">
        <f t="shared" si="399"/>
        <v>-5956150.2791244444</v>
      </c>
      <c r="I363" s="133">
        <f t="shared" si="399"/>
        <v>0</v>
      </c>
      <c r="J363" s="133">
        <f t="shared" si="399"/>
        <v>0</v>
      </c>
      <c r="K363" s="133">
        <f t="shared" si="399"/>
        <v>0</v>
      </c>
      <c r="L363" s="133">
        <f t="shared" si="399"/>
        <v>0</v>
      </c>
      <c r="M363" s="133">
        <f t="shared" si="399"/>
        <v>0</v>
      </c>
      <c r="N363" s="133">
        <f t="shared" si="399"/>
        <v>0</v>
      </c>
      <c r="O363" s="133">
        <f t="shared" si="399"/>
        <v>0</v>
      </c>
      <c r="P363" s="133">
        <f t="shared" si="399"/>
        <v>0</v>
      </c>
      <c r="Q363" s="133">
        <f t="shared" si="399"/>
        <v>0</v>
      </c>
      <c r="R363" s="133">
        <f t="shared" ref="R363" si="400">R1*(R200+R229+R323+R353)</f>
        <v>0</v>
      </c>
      <c r="S363" s="133"/>
      <c r="T363" s="133">
        <f t="shared" ref="T363" si="401">T1*(T200+T229+T323+T353)</f>
        <v>0</v>
      </c>
      <c r="U363" s="133">
        <f t="shared" ref="U363:W363" si="402">U1*(U200+U229+U323+U353)</f>
        <v>0</v>
      </c>
      <c r="V363" s="133">
        <f t="shared" ref="V363" si="403">V1*(V200+V229+V323+V353)</f>
        <v>0</v>
      </c>
      <c r="W363" s="133">
        <f t="shared" si="402"/>
        <v>0</v>
      </c>
      <c r="X363" s="133">
        <f t="shared" ref="X363:AG363" si="404">X1*(X200+X229+X323+X353)</f>
        <v>0</v>
      </c>
      <c r="Y363" s="133">
        <f t="shared" si="404"/>
        <v>0</v>
      </c>
      <c r="Z363" s="133">
        <f t="shared" si="404"/>
        <v>0</v>
      </c>
      <c r="AA363" s="133">
        <f t="shared" si="404"/>
        <v>0</v>
      </c>
      <c r="AB363" s="133">
        <f t="shared" si="404"/>
        <v>0</v>
      </c>
      <c r="AC363" s="133">
        <f t="shared" si="404"/>
        <v>0</v>
      </c>
      <c r="AD363" s="133">
        <f t="shared" si="404"/>
        <v>0</v>
      </c>
      <c r="AE363" s="133">
        <f t="shared" si="404"/>
        <v>0</v>
      </c>
      <c r="AF363" s="133">
        <f t="shared" si="404"/>
        <v>0</v>
      </c>
      <c r="AG363" s="133">
        <f t="shared" si="404"/>
        <v>0</v>
      </c>
      <c r="AH363" s="133">
        <f t="shared" ref="AH363:AK363" si="405">AH1*(AH200+AH229+AH323+AH353)</f>
        <v>0</v>
      </c>
      <c r="AI363" s="133">
        <f t="shared" si="405"/>
        <v>0</v>
      </c>
      <c r="AJ363" s="133">
        <f t="shared" si="405"/>
        <v>0</v>
      </c>
      <c r="AK363" s="133">
        <f t="shared" si="405"/>
        <v>0</v>
      </c>
      <c r="AL363" s="133">
        <f t="shared" ref="AL363:AP363" si="406">AL1*(AL200+AL229+AL323+AL353)</f>
        <v>0</v>
      </c>
      <c r="AM363" s="133">
        <f t="shared" si="406"/>
        <v>0</v>
      </c>
      <c r="AN363" s="133">
        <f t="shared" si="406"/>
        <v>0</v>
      </c>
      <c r="AO363" s="133">
        <f t="shared" si="406"/>
        <v>0</v>
      </c>
      <c r="AP363" s="133">
        <f t="shared" si="406"/>
        <v>0</v>
      </c>
      <c r="AQ363" s="133">
        <f t="shared" ref="AQ363:AT363" si="407">AQ1*(AQ200+AQ229+AQ323+AQ353)</f>
        <v>0</v>
      </c>
      <c r="AR363" s="133">
        <f t="shared" si="407"/>
        <v>0</v>
      </c>
      <c r="AS363" s="133">
        <f t="shared" si="407"/>
        <v>0</v>
      </c>
      <c r="AT363" s="133">
        <f t="shared" si="407"/>
        <v>0</v>
      </c>
      <c r="AU363" s="133">
        <f>(AU200+AU229+AU323+AU353)</f>
        <v>-5956150.2791244444</v>
      </c>
      <c r="AV363" s="133"/>
      <c r="AW363" s="133">
        <f>(AW200+AW229+AW323+AW353)</f>
        <v>-5958978.3491244437</v>
      </c>
      <c r="AX363" s="133">
        <f>+AW363-'ROR-Model'!G363</f>
        <v>0</v>
      </c>
    </row>
    <row r="364" spans="1:50">
      <c r="A364" s="330"/>
      <c r="B364" s="332"/>
      <c r="C364" s="728" t="s">
        <v>17</v>
      </c>
      <c r="D364" s="106"/>
      <c r="E364" s="331"/>
      <c r="F364" s="133">
        <f t="shared" ref="F364:Q364" si="408">F1*(F201+F230+F324)</f>
        <v>0</v>
      </c>
      <c r="G364" s="133"/>
      <c r="H364" s="133">
        <f t="shared" si="408"/>
        <v>17380587.811989293</v>
      </c>
      <c r="I364" s="133">
        <f t="shared" si="408"/>
        <v>0</v>
      </c>
      <c r="J364" s="133">
        <f t="shared" si="408"/>
        <v>0</v>
      </c>
      <c r="K364" s="133">
        <f t="shared" si="408"/>
        <v>0</v>
      </c>
      <c r="L364" s="133">
        <f t="shared" si="408"/>
        <v>0</v>
      </c>
      <c r="M364" s="133">
        <f t="shared" si="408"/>
        <v>0</v>
      </c>
      <c r="N364" s="133">
        <f t="shared" si="408"/>
        <v>0</v>
      </c>
      <c r="O364" s="133">
        <f t="shared" si="408"/>
        <v>0</v>
      </c>
      <c r="P364" s="133">
        <f t="shared" si="408"/>
        <v>0</v>
      </c>
      <c r="Q364" s="133">
        <f t="shared" si="408"/>
        <v>0</v>
      </c>
      <c r="R364" s="133">
        <f t="shared" ref="R364" si="409">R1*(R201+R230+R324)</f>
        <v>0</v>
      </c>
      <c r="S364" s="133"/>
      <c r="T364" s="133">
        <f t="shared" ref="T364" si="410">T1*(T201+T230+T324)</f>
        <v>0</v>
      </c>
      <c r="U364" s="133">
        <f t="shared" ref="U364:W364" si="411">U1*(U201+U230+U324)</f>
        <v>0</v>
      </c>
      <c r="V364" s="133">
        <f t="shared" ref="V364" si="412">V1*(V201+V230+V324)</f>
        <v>0</v>
      </c>
      <c r="W364" s="133">
        <f t="shared" si="411"/>
        <v>0</v>
      </c>
      <c r="X364" s="133">
        <f t="shared" ref="X364:AG364" si="413">X1*(X201+X230+X324)</f>
        <v>0</v>
      </c>
      <c r="Y364" s="133">
        <f t="shared" si="413"/>
        <v>0</v>
      </c>
      <c r="Z364" s="133">
        <f t="shared" si="413"/>
        <v>0</v>
      </c>
      <c r="AA364" s="133">
        <f t="shared" si="413"/>
        <v>0</v>
      </c>
      <c r="AB364" s="133">
        <f t="shared" si="413"/>
        <v>0</v>
      </c>
      <c r="AC364" s="133">
        <f t="shared" si="413"/>
        <v>0</v>
      </c>
      <c r="AD364" s="133">
        <f t="shared" si="413"/>
        <v>0</v>
      </c>
      <c r="AE364" s="133">
        <f t="shared" si="413"/>
        <v>0</v>
      </c>
      <c r="AF364" s="133">
        <f t="shared" si="413"/>
        <v>0</v>
      </c>
      <c r="AG364" s="133">
        <f t="shared" si="413"/>
        <v>0</v>
      </c>
      <c r="AH364" s="133">
        <f t="shared" ref="AH364:AK364" si="414">AH1*(AH201+AH230+AH324)</f>
        <v>0</v>
      </c>
      <c r="AI364" s="133">
        <f t="shared" si="414"/>
        <v>0</v>
      </c>
      <c r="AJ364" s="133">
        <f t="shared" si="414"/>
        <v>0</v>
      </c>
      <c r="AK364" s="133">
        <f t="shared" si="414"/>
        <v>0</v>
      </c>
      <c r="AL364" s="133">
        <f t="shared" ref="AL364:AP364" si="415">AL1*(AL201+AL230+AL324)</f>
        <v>0</v>
      </c>
      <c r="AM364" s="133">
        <f t="shared" si="415"/>
        <v>0</v>
      </c>
      <c r="AN364" s="133">
        <f t="shared" si="415"/>
        <v>0</v>
      </c>
      <c r="AO364" s="133">
        <f t="shared" si="415"/>
        <v>0</v>
      </c>
      <c r="AP364" s="133">
        <f t="shared" si="415"/>
        <v>0</v>
      </c>
      <c r="AQ364" s="133">
        <f t="shared" ref="AQ364:AT364" si="416">AQ1*(AQ201+AQ230+AQ324)</f>
        <v>0</v>
      </c>
      <c r="AR364" s="133">
        <f t="shared" si="416"/>
        <v>0</v>
      </c>
      <c r="AS364" s="133">
        <f t="shared" si="416"/>
        <v>0</v>
      </c>
      <c r="AT364" s="133">
        <f t="shared" si="416"/>
        <v>0</v>
      </c>
      <c r="AU364" s="133">
        <f>(AU201+AU230+AU324)</f>
        <v>17380587.811989293</v>
      </c>
      <c r="AV364" s="133"/>
      <c r="AW364" s="133">
        <f>(AW201+AW230+AW324)</f>
        <v>17380587.811989293</v>
      </c>
      <c r="AX364" s="133">
        <f>+AW364-'ROR-Model'!G364</f>
        <v>0</v>
      </c>
    </row>
    <row r="365" spans="1:50">
      <c r="A365" s="330"/>
      <c r="B365" s="332"/>
      <c r="C365" s="728" t="s">
        <v>548</v>
      </c>
      <c r="D365" s="106"/>
      <c r="E365" s="331"/>
      <c r="F365" s="133">
        <f t="shared" ref="F365:Q365" si="417">F1*(F325)</f>
        <v>0</v>
      </c>
      <c r="G365" s="133"/>
      <c r="H365" s="133">
        <f t="shared" si="417"/>
        <v>-9530.3476800000062</v>
      </c>
      <c r="I365" s="133">
        <f t="shared" si="417"/>
        <v>0</v>
      </c>
      <c r="J365" s="133">
        <f t="shared" si="417"/>
        <v>0</v>
      </c>
      <c r="K365" s="133">
        <f t="shared" si="417"/>
        <v>0</v>
      </c>
      <c r="L365" s="133">
        <f t="shared" si="417"/>
        <v>0</v>
      </c>
      <c r="M365" s="133">
        <f t="shared" si="417"/>
        <v>0</v>
      </c>
      <c r="N365" s="133">
        <f t="shared" si="417"/>
        <v>0</v>
      </c>
      <c r="O365" s="133">
        <f t="shared" si="417"/>
        <v>0</v>
      </c>
      <c r="P365" s="133">
        <f t="shared" si="417"/>
        <v>0</v>
      </c>
      <c r="Q365" s="133">
        <f t="shared" si="417"/>
        <v>0</v>
      </c>
      <c r="R365" s="133">
        <f t="shared" ref="R365" si="418">R1*(R325)</f>
        <v>0</v>
      </c>
      <c r="S365" s="133"/>
      <c r="T365" s="133">
        <f t="shared" ref="T365" si="419">T1*(T325)</f>
        <v>0</v>
      </c>
      <c r="U365" s="133">
        <f t="shared" ref="U365:W365" si="420">U1*(U325)</f>
        <v>0</v>
      </c>
      <c r="V365" s="133">
        <f t="shared" ref="V365" si="421">V1*(V325)</f>
        <v>0</v>
      </c>
      <c r="W365" s="133">
        <f t="shared" si="420"/>
        <v>0</v>
      </c>
      <c r="X365" s="133">
        <f t="shared" ref="X365:AG365" si="422">X1*(X325)</f>
        <v>0</v>
      </c>
      <c r="Y365" s="133">
        <f t="shared" si="422"/>
        <v>0</v>
      </c>
      <c r="Z365" s="133">
        <f t="shared" si="422"/>
        <v>0</v>
      </c>
      <c r="AA365" s="133">
        <f t="shared" si="422"/>
        <v>0</v>
      </c>
      <c r="AB365" s="133">
        <f t="shared" si="422"/>
        <v>0</v>
      </c>
      <c r="AC365" s="133">
        <f t="shared" si="422"/>
        <v>0</v>
      </c>
      <c r="AD365" s="133">
        <f t="shared" si="422"/>
        <v>0</v>
      </c>
      <c r="AE365" s="133">
        <f t="shared" si="422"/>
        <v>0</v>
      </c>
      <c r="AF365" s="133">
        <f t="shared" si="422"/>
        <v>0</v>
      </c>
      <c r="AG365" s="133">
        <f t="shared" si="422"/>
        <v>0</v>
      </c>
      <c r="AH365" s="133">
        <f t="shared" ref="AH365:AK365" si="423">AH1*(AH325)</f>
        <v>0</v>
      </c>
      <c r="AI365" s="133">
        <f t="shared" si="423"/>
        <v>0</v>
      </c>
      <c r="AJ365" s="133">
        <f t="shared" si="423"/>
        <v>0</v>
      </c>
      <c r="AK365" s="133">
        <f t="shared" si="423"/>
        <v>0</v>
      </c>
      <c r="AL365" s="133">
        <f t="shared" ref="AL365:AP365" si="424">AL1*(AL325)</f>
        <v>0</v>
      </c>
      <c r="AM365" s="133">
        <f t="shared" si="424"/>
        <v>0</v>
      </c>
      <c r="AN365" s="133">
        <f t="shared" si="424"/>
        <v>0</v>
      </c>
      <c r="AO365" s="133">
        <f t="shared" si="424"/>
        <v>0</v>
      </c>
      <c r="AP365" s="133">
        <f t="shared" si="424"/>
        <v>0</v>
      </c>
      <c r="AQ365" s="133">
        <f t="shared" ref="AQ365:AT365" si="425">AQ1*(AQ325)</f>
        <v>0</v>
      </c>
      <c r="AR365" s="133">
        <f t="shared" si="425"/>
        <v>0</v>
      </c>
      <c r="AS365" s="133">
        <f t="shared" si="425"/>
        <v>0</v>
      </c>
      <c r="AT365" s="133">
        <f t="shared" si="425"/>
        <v>0</v>
      </c>
      <c r="AU365" s="133">
        <f>(AU325)</f>
        <v>-9530.3476800000062</v>
      </c>
      <c r="AV365" s="133"/>
      <c r="AW365" s="133">
        <f>(AW325)</f>
        <v>-6702.2776800000065</v>
      </c>
      <c r="AX365" s="133">
        <f>+AW365-'ROR-Model'!G365</f>
        <v>0</v>
      </c>
    </row>
    <row r="366" spans="1:50">
      <c r="A366" s="330"/>
      <c r="B366" s="332"/>
      <c r="C366" s="728" t="s">
        <v>18</v>
      </c>
      <c r="D366" s="106"/>
      <c r="E366" s="331"/>
      <c r="F366" s="133">
        <f t="shared" ref="F366:Q366" si="426">F1*(F202+F231+F326+F354)</f>
        <v>0</v>
      </c>
      <c r="G366" s="133"/>
      <c r="H366" s="133">
        <f t="shared" si="426"/>
        <v>-28713744.715467051</v>
      </c>
      <c r="I366" s="133">
        <f t="shared" si="426"/>
        <v>0</v>
      </c>
      <c r="J366" s="133">
        <f t="shared" si="426"/>
        <v>0</v>
      </c>
      <c r="K366" s="133">
        <f t="shared" si="426"/>
        <v>0</v>
      </c>
      <c r="L366" s="133">
        <f t="shared" si="426"/>
        <v>0</v>
      </c>
      <c r="M366" s="133">
        <f t="shared" si="426"/>
        <v>0</v>
      </c>
      <c r="N366" s="133">
        <f t="shared" si="426"/>
        <v>0</v>
      </c>
      <c r="O366" s="133">
        <f t="shared" si="426"/>
        <v>0</v>
      </c>
      <c r="P366" s="133">
        <f t="shared" si="426"/>
        <v>0</v>
      </c>
      <c r="Q366" s="133">
        <f t="shared" si="426"/>
        <v>0</v>
      </c>
      <c r="R366" s="133">
        <f t="shared" ref="R366" si="427">R1*(R202+R231+R326+R354)</f>
        <v>0</v>
      </c>
      <c r="S366" s="133"/>
      <c r="T366" s="133">
        <f t="shared" ref="T366" si="428">T1*(T202+T231+T326+T354)</f>
        <v>0</v>
      </c>
      <c r="U366" s="133">
        <f t="shared" ref="U366:W366" si="429">U1*(U202+U231+U326+U354)</f>
        <v>0</v>
      </c>
      <c r="V366" s="133">
        <f t="shared" ref="V366" si="430">V1*(V202+V231+V326+V354)</f>
        <v>0</v>
      </c>
      <c r="W366" s="133">
        <f t="shared" si="429"/>
        <v>0</v>
      </c>
      <c r="X366" s="133">
        <f t="shared" ref="X366:AG366" si="431">X1*(X202+X231+X326+X354)</f>
        <v>0</v>
      </c>
      <c r="Y366" s="133">
        <f t="shared" si="431"/>
        <v>0</v>
      </c>
      <c r="Z366" s="133">
        <f t="shared" si="431"/>
        <v>0</v>
      </c>
      <c r="AA366" s="133">
        <f t="shared" si="431"/>
        <v>0</v>
      </c>
      <c r="AB366" s="133">
        <f t="shared" si="431"/>
        <v>0</v>
      </c>
      <c r="AC366" s="133">
        <f t="shared" si="431"/>
        <v>0</v>
      </c>
      <c r="AD366" s="133">
        <f t="shared" si="431"/>
        <v>0</v>
      </c>
      <c r="AE366" s="133">
        <f t="shared" si="431"/>
        <v>0</v>
      </c>
      <c r="AF366" s="133">
        <f t="shared" si="431"/>
        <v>0</v>
      </c>
      <c r="AG366" s="133">
        <f t="shared" si="431"/>
        <v>0</v>
      </c>
      <c r="AH366" s="133">
        <f t="shared" ref="AH366:AK366" si="432">AH1*(AH202+AH231+AH326+AH354)</f>
        <v>0</v>
      </c>
      <c r="AI366" s="133">
        <f t="shared" si="432"/>
        <v>0</v>
      </c>
      <c r="AJ366" s="133">
        <f t="shared" si="432"/>
        <v>0</v>
      </c>
      <c r="AK366" s="133">
        <f t="shared" si="432"/>
        <v>0</v>
      </c>
      <c r="AL366" s="133">
        <f t="shared" ref="AL366:AP366" si="433">AL1*(AL202+AL231+AL326+AL354)</f>
        <v>0</v>
      </c>
      <c r="AM366" s="133">
        <f t="shared" si="433"/>
        <v>0</v>
      </c>
      <c r="AN366" s="133">
        <f t="shared" si="433"/>
        <v>0</v>
      </c>
      <c r="AO366" s="133">
        <f t="shared" si="433"/>
        <v>0</v>
      </c>
      <c r="AP366" s="133">
        <f t="shared" si="433"/>
        <v>0</v>
      </c>
      <c r="AQ366" s="133">
        <f t="shared" ref="AQ366:AT366" si="434">AQ1*(AQ202+AQ231+AQ326+AQ354)</f>
        <v>0</v>
      </c>
      <c r="AR366" s="133">
        <f t="shared" si="434"/>
        <v>0</v>
      </c>
      <c r="AS366" s="133">
        <f t="shared" si="434"/>
        <v>0</v>
      </c>
      <c r="AT366" s="133">
        <f t="shared" si="434"/>
        <v>0</v>
      </c>
      <c r="AU366" s="133">
        <f>(AU202+AU231+AU326+AU354)</f>
        <v>-28713744.715467051</v>
      </c>
      <c r="AV366" s="133"/>
      <c r="AW366" s="133">
        <f>(AW202+AW231+AW326+AW354)</f>
        <v>-28713744.715467051</v>
      </c>
      <c r="AX366" s="133">
        <f>+AW366-'ROR-Model'!G366</f>
        <v>0</v>
      </c>
    </row>
    <row r="367" spans="1:50">
      <c r="A367" s="330"/>
      <c r="B367" s="332"/>
      <c r="C367" s="728"/>
      <c r="D367" s="106"/>
      <c r="E367" s="331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>
        <f>+AW367-'ROR-Model'!G367</f>
        <v>0</v>
      </c>
    </row>
    <row r="368" spans="1:50">
      <c r="A368" s="330"/>
      <c r="B368" s="332"/>
      <c r="C368" s="332" t="s">
        <v>659</v>
      </c>
      <c r="D368" s="106"/>
      <c r="E368" s="331"/>
      <c r="F368" s="133">
        <f t="shared" ref="F368:Q368" si="435">F1*(F203+F232+F327+F355)</f>
        <v>0</v>
      </c>
      <c r="G368" s="133"/>
      <c r="H368" s="133">
        <f t="shared" si="435"/>
        <v>-17298837.530282199</v>
      </c>
      <c r="I368" s="133">
        <f t="shared" si="435"/>
        <v>0</v>
      </c>
      <c r="J368" s="133">
        <f t="shared" si="435"/>
        <v>0</v>
      </c>
      <c r="K368" s="133">
        <f t="shared" si="435"/>
        <v>0</v>
      </c>
      <c r="L368" s="133">
        <f t="shared" si="435"/>
        <v>0</v>
      </c>
      <c r="M368" s="133">
        <f t="shared" si="435"/>
        <v>0</v>
      </c>
      <c r="N368" s="133">
        <f t="shared" si="435"/>
        <v>0</v>
      </c>
      <c r="O368" s="133">
        <f t="shared" si="435"/>
        <v>0</v>
      </c>
      <c r="P368" s="133">
        <f t="shared" si="435"/>
        <v>0</v>
      </c>
      <c r="Q368" s="133">
        <f t="shared" si="435"/>
        <v>0</v>
      </c>
      <c r="R368" s="133">
        <f t="shared" ref="R368" si="436">R1*(R203+R232+R327+R355)</f>
        <v>0</v>
      </c>
      <c r="S368" s="133"/>
      <c r="T368" s="133">
        <f t="shared" ref="T368" si="437">T1*(T203+T232+T327+T355)</f>
        <v>0</v>
      </c>
      <c r="U368" s="133">
        <f t="shared" ref="U368:W368" si="438">U1*(U203+U232+U327+U355)</f>
        <v>0</v>
      </c>
      <c r="V368" s="133">
        <f t="shared" ref="V368" si="439">V1*(V203+V232+V327+V355)</f>
        <v>0</v>
      </c>
      <c r="W368" s="133">
        <f t="shared" si="438"/>
        <v>0</v>
      </c>
      <c r="X368" s="133">
        <f t="shared" ref="X368:AG368" si="440">X1*(X203+X232+X327+X355)</f>
        <v>0</v>
      </c>
      <c r="Y368" s="133">
        <f t="shared" si="440"/>
        <v>0</v>
      </c>
      <c r="Z368" s="133">
        <f t="shared" si="440"/>
        <v>0</v>
      </c>
      <c r="AA368" s="133">
        <f t="shared" si="440"/>
        <v>0</v>
      </c>
      <c r="AB368" s="133">
        <f t="shared" si="440"/>
        <v>0</v>
      </c>
      <c r="AC368" s="133">
        <f t="shared" si="440"/>
        <v>0</v>
      </c>
      <c r="AD368" s="133">
        <f t="shared" si="440"/>
        <v>0</v>
      </c>
      <c r="AE368" s="133">
        <f t="shared" si="440"/>
        <v>0</v>
      </c>
      <c r="AF368" s="133">
        <f t="shared" si="440"/>
        <v>0</v>
      </c>
      <c r="AG368" s="133">
        <f t="shared" si="440"/>
        <v>0</v>
      </c>
      <c r="AH368" s="133">
        <f t="shared" ref="AH368:AK368" si="441">AH1*(AH203+AH232+AH327+AH355)</f>
        <v>0</v>
      </c>
      <c r="AI368" s="133">
        <f t="shared" si="441"/>
        <v>0</v>
      </c>
      <c r="AJ368" s="133">
        <f t="shared" si="441"/>
        <v>0</v>
      </c>
      <c r="AK368" s="133">
        <f t="shared" si="441"/>
        <v>0</v>
      </c>
      <c r="AL368" s="133">
        <f t="shared" ref="AL368:AP368" si="442">AL1*(AL203+AL232+AL327+AL355)</f>
        <v>0</v>
      </c>
      <c r="AM368" s="133">
        <f t="shared" si="442"/>
        <v>0</v>
      </c>
      <c r="AN368" s="133">
        <f t="shared" si="442"/>
        <v>0</v>
      </c>
      <c r="AO368" s="133">
        <f t="shared" si="442"/>
        <v>0</v>
      </c>
      <c r="AP368" s="133">
        <f t="shared" si="442"/>
        <v>0</v>
      </c>
      <c r="AQ368" s="133">
        <f t="shared" ref="AQ368:AT368" si="443">AQ1*(AQ203+AQ232+AQ327+AQ355)</f>
        <v>0</v>
      </c>
      <c r="AR368" s="133">
        <f t="shared" si="443"/>
        <v>0</v>
      </c>
      <c r="AS368" s="133">
        <f t="shared" si="443"/>
        <v>0</v>
      </c>
      <c r="AT368" s="133">
        <f t="shared" si="443"/>
        <v>0</v>
      </c>
      <c r="AU368" s="133">
        <f>(AU203+AU232+AU327+AU355)</f>
        <v>-17298837.530282199</v>
      </c>
      <c r="AV368" s="133"/>
      <c r="AW368" s="133">
        <f>(AW203+AW232+AW327+AW355)</f>
        <v>-17298837.530282199</v>
      </c>
      <c r="AX368" s="133">
        <f>+AW368-'ROR-Model'!G368</f>
        <v>0</v>
      </c>
    </row>
    <row r="369" spans="1:50">
      <c r="A369" s="330"/>
      <c r="B369" s="332"/>
      <c r="C369" s="332"/>
      <c r="D369" s="106"/>
      <c r="E369" s="331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>
        <f>+AW369-'ROR-Model'!G369</f>
        <v>0</v>
      </c>
    </row>
    <row r="370" spans="1:50">
      <c r="A370" s="330"/>
      <c r="B370" s="728"/>
      <c r="C370" s="332" t="s">
        <v>59</v>
      </c>
      <c r="D370" s="106"/>
      <c r="E370" s="331"/>
      <c r="F370" s="133">
        <f t="shared" ref="F370:Q370" si="444">F1*(F205+F234+F329+F357)</f>
        <v>0</v>
      </c>
      <c r="G370" s="133"/>
      <c r="H370" s="133">
        <f t="shared" si="444"/>
        <v>9208078.5200000014</v>
      </c>
      <c r="I370" s="133">
        <f t="shared" si="444"/>
        <v>0</v>
      </c>
      <c r="J370" s="133">
        <f t="shared" si="444"/>
        <v>0</v>
      </c>
      <c r="K370" s="133">
        <f t="shared" si="444"/>
        <v>0</v>
      </c>
      <c r="L370" s="133">
        <f t="shared" si="444"/>
        <v>0</v>
      </c>
      <c r="M370" s="133">
        <f t="shared" si="444"/>
        <v>0</v>
      </c>
      <c r="N370" s="133">
        <f t="shared" si="444"/>
        <v>0</v>
      </c>
      <c r="O370" s="133">
        <f t="shared" si="444"/>
        <v>0</v>
      </c>
      <c r="P370" s="133">
        <f t="shared" si="444"/>
        <v>0</v>
      </c>
      <c r="Q370" s="133">
        <f t="shared" si="444"/>
        <v>0</v>
      </c>
      <c r="R370" s="133">
        <f t="shared" ref="R370" si="445">R1*(R205+R234+R329+R357)</f>
        <v>0</v>
      </c>
      <c r="S370" s="133"/>
      <c r="T370" s="133">
        <f t="shared" ref="T370" si="446">T1*(T205+T234+T329+T357)</f>
        <v>0</v>
      </c>
      <c r="U370" s="133">
        <f t="shared" ref="U370:W370" si="447">U1*(U205+U234+U329+U357)</f>
        <v>0</v>
      </c>
      <c r="V370" s="133">
        <f t="shared" ref="V370" si="448">V1*(V205+V234+V329+V357)</f>
        <v>0</v>
      </c>
      <c r="W370" s="133">
        <f t="shared" si="447"/>
        <v>0</v>
      </c>
      <c r="X370" s="133">
        <f t="shared" ref="X370:AG370" si="449">X1*(X205+X234+X329+X357)</f>
        <v>0</v>
      </c>
      <c r="Y370" s="133">
        <f t="shared" si="449"/>
        <v>0</v>
      </c>
      <c r="Z370" s="133">
        <f t="shared" si="449"/>
        <v>0</v>
      </c>
      <c r="AA370" s="133">
        <f t="shared" si="449"/>
        <v>0</v>
      </c>
      <c r="AB370" s="133">
        <f t="shared" si="449"/>
        <v>0</v>
      </c>
      <c r="AC370" s="133">
        <f t="shared" si="449"/>
        <v>0</v>
      </c>
      <c r="AD370" s="133">
        <f t="shared" si="449"/>
        <v>0</v>
      </c>
      <c r="AE370" s="133">
        <f t="shared" si="449"/>
        <v>0</v>
      </c>
      <c r="AF370" s="133">
        <f t="shared" si="449"/>
        <v>0</v>
      </c>
      <c r="AG370" s="133">
        <f t="shared" si="449"/>
        <v>0</v>
      </c>
      <c r="AH370" s="133">
        <f t="shared" ref="AH370:AK370" si="450">AH1*(AH205+AH234+AH329+AH357)</f>
        <v>0</v>
      </c>
      <c r="AI370" s="133">
        <f t="shared" si="450"/>
        <v>0</v>
      </c>
      <c r="AJ370" s="133">
        <f t="shared" si="450"/>
        <v>0</v>
      </c>
      <c r="AK370" s="133">
        <f t="shared" si="450"/>
        <v>0</v>
      </c>
      <c r="AL370" s="133">
        <f t="shared" ref="AL370:AP370" si="451">AL1*(AL205+AL234+AL329+AL357)</f>
        <v>0</v>
      </c>
      <c r="AM370" s="133">
        <f t="shared" si="451"/>
        <v>0</v>
      </c>
      <c r="AN370" s="133">
        <f t="shared" si="451"/>
        <v>0</v>
      </c>
      <c r="AO370" s="133">
        <f t="shared" si="451"/>
        <v>0</v>
      </c>
      <c r="AP370" s="133">
        <f t="shared" si="451"/>
        <v>0</v>
      </c>
      <c r="AQ370" s="133">
        <f t="shared" ref="AQ370:AT370" si="452">AQ1*(AQ205+AQ234+AQ329+AQ357)</f>
        <v>0</v>
      </c>
      <c r="AR370" s="133">
        <f t="shared" si="452"/>
        <v>0</v>
      </c>
      <c r="AS370" s="133">
        <f t="shared" si="452"/>
        <v>0</v>
      </c>
      <c r="AT370" s="133">
        <f t="shared" si="452"/>
        <v>0</v>
      </c>
      <c r="AU370" s="133">
        <f>(AU205+AU234+AU329+AU357)</f>
        <v>9208078.5200000014</v>
      </c>
      <c r="AV370" s="133"/>
      <c r="AW370" s="133">
        <f>(AW205+AW234+AW329+AW357)</f>
        <v>9208078.5200000014</v>
      </c>
      <c r="AX370" s="133">
        <f>+AW370-'ROR-Model'!G370</f>
        <v>0</v>
      </c>
    </row>
    <row r="371" spans="1:50">
      <c r="A371" s="330"/>
      <c r="B371" s="728"/>
      <c r="C371" s="728" t="s">
        <v>60</v>
      </c>
      <c r="D371" s="106"/>
      <c r="E371" s="331"/>
      <c r="F371" s="133">
        <f t="shared" ref="F371:Q371" si="453">F1*(F206+F235+F330+F358)</f>
        <v>0</v>
      </c>
      <c r="G371" s="133"/>
      <c r="H371" s="133">
        <f t="shared" si="453"/>
        <v>11747065</v>
      </c>
      <c r="I371" s="133">
        <f t="shared" si="453"/>
        <v>0</v>
      </c>
      <c r="J371" s="133">
        <f t="shared" si="453"/>
        <v>0</v>
      </c>
      <c r="K371" s="133">
        <f t="shared" si="453"/>
        <v>0</v>
      </c>
      <c r="L371" s="133">
        <f t="shared" si="453"/>
        <v>0</v>
      </c>
      <c r="M371" s="133">
        <f t="shared" si="453"/>
        <v>0</v>
      </c>
      <c r="N371" s="133">
        <f t="shared" si="453"/>
        <v>0</v>
      </c>
      <c r="O371" s="133">
        <f t="shared" si="453"/>
        <v>0</v>
      </c>
      <c r="P371" s="133">
        <f t="shared" si="453"/>
        <v>0</v>
      </c>
      <c r="Q371" s="133">
        <f t="shared" si="453"/>
        <v>0</v>
      </c>
      <c r="R371" s="133">
        <f t="shared" ref="R371" si="454">R1*(R206+R235+R330+R358)</f>
        <v>0</v>
      </c>
      <c r="S371" s="133"/>
      <c r="T371" s="133">
        <f t="shared" ref="T371" si="455">T1*(T206+T235+T330+T358)</f>
        <v>0</v>
      </c>
      <c r="U371" s="133">
        <f t="shared" ref="U371:W371" si="456">U1*(U206+U235+U330+U358)</f>
        <v>0</v>
      </c>
      <c r="V371" s="133">
        <f t="shared" ref="V371" si="457">V1*(V206+V235+V330+V358)</f>
        <v>0</v>
      </c>
      <c r="W371" s="133">
        <f t="shared" si="456"/>
        <v>0</v>
      </c>
      <c r="X371" s="133">
        <f t="shared" ref="X371:AG371" si="458">X1*(X206+X235+X330+X358)</f>
        <v>0</v>
      </c>
      <c r="Y371" s="133">
        <f t="shared" si="458"/>
        <v>0</v>
      </c>
      <c r="Z371" s="133">
        <f t="shared" si="458"/>
        <v>0</v>
      </c>
      <c r="AA371" s="133">
        <f t="shared" si="458"/>
        <v>0</v>
      </c>
      <c r="AB371" s="133">
        <f t="shared" si="458"/>
        <v>0</v>
      </c>
      <c r="AC371" s="133">
        <f t="shared" si="458"/>
        <v>0</v>
      </c>
      <c r="AD371" s="133">
        <f t="shared" si="458"/>
        <v>0</v>
      </c>
      <c r="AE371" s="133">
        <f t="shared" si="458"/>
        <v>0</v>
      </c>
      <c r="AF371" s="133">
        <f t="shared" si="458"/>
        <v>0</v>
      </c>
      <c r="AG371" s="133">
        <f t="shared" si="458"/>
        <v>0</v>
      </c>
      <c r="AH371" s="133">
        <f t="shared" ref="AH371:AK371" si="459">AH1*(AH206+AH235+AH330+AH358)</f>
        <v>0</v>
      </c>
      <c r="AI371" s="133">
        <f t="shared" si="459"/>
        <v>0</v>
      </c>
      <c r="AJ371" s="133">
        <f t="shared" si="459"/>
        <v>0</v>
      </c>
      <c r="AK371" s="133">
        <f t="shared" si="459"/>
        <v>0</v>
      </c>
      <c r="AL371" s="133">
        <f t="shared" ref="AL371:AP371" si="460">AL1*(AL206+AL235+AL330+AL358)</f>
        <v>0</v>
      </c>
      <c r="AM371" s="133">
        <f t="shared" si="460"/>
        <v>0</v>
      </c>
      <c r="AN371" s="133">
        <f t="shared" si="460"/>
        <v>0</v>
      </c>
      <c r="AO371" s="133">
        <f t="shared" si="460"/>
        <v>0</v>
      </c>
      <c r="AP371" s="133">
        <f t="shared" si="460"/>
        <v>0</v>
      </c>
      <c r="AQ371" s="133">
        <f t="shared" ref="AQ371:AT371" si="461">AQ1*(AQ206+AQ235+AQ330+AQ358)</f>
        <v>0</v>
      </c>
      <c r="AR371" s="133">
        <f t="shared" si="461"/>
        <v>0</v>
      </c>
      <c r="AS371" s="133">
        <f t="shared" si="461"/>
        <v>0</v>
      </c>
      <c r="AT371" s="133">
        <f t="shared" si="461"/>
        <v>0</v>
      </c>
      <c r="AU371" s="133">
        <f>(AU206+AU235+AU330+AU358)</f>
        <v>11747065</v>
      </c>
      <c r="AV371" s="133"/>
      <c r="AW371" s="133">
        <f>(AW206+AW235+AW330+AW358)</f>
        <v>11747065</v>
      </c>
      <c r="AX371" s="133">
        <f>+AW371-'ROR-Model'!G371</f>
        <v>0</v>
      </c>
    </row>
    <row r="372" spans="1:50">
      <c r="A372" s="330"/>
      <c r="C372" s="332" t="s">
        <v>33</v>
      </c>
      <c r="D372" s="106"/>
      <c r="E372" s="331"/>
      <c r="F372" s="133">
        <f t="shared" ref="F372:Q372" si="462">F1*(F207+F236+F331+F359)</f>
        <v>0</v>
      </c>
      <c r="G372" s="133"/>
      <c r="H372" s="133">
        <f t="shared" si="462"/>
        <v>20955143.52</v>
      </c>
      <c r="I372" s="133">
        <f t="shared" si="462"/>
        <v>0</v>
      </c>
      <c r="J372" s="133">
        <f t="shared" si="462"/>
        <v>0</v>
      </c>
      <c r="K372" s="133">
        <f t="shared" si="462"/>
        <v>0</v>
      </c>
      <c r="L372" s="133">
        <f t="shared" si="462"/>
        <v>0</v>
      </c>
      <c r="M372" s="133">
        <f t="shared" si="462"/>
        <v>0</v>
      </c>
      <c r="N372" s="133">
        <f t="shared" si="462"/>
        <v>0</v>
      </c>
      <c r="O372" s="133">
        <f t="shared" si="462"/>
        <v>0</v>
      </c>
      <c r="P372" s="133">
        <f t="shared" si="462"/>
        <v>0</v>
      </c>
      <c r="Q372" s="133">
        <f t="shared" si="462"/>
        <v>0</v>
      </c>
      <c r="R372" s="133">
        <f t="shared" ref="R372" si="463">R1*(R207+R236+R331+R359)</f>
        <v>0</v>
      </c>
      <c r="S372" s="133"/>
      <c r="T372" s="133">
        <f t="shared" ref="T372" si="464">T1*(T207+T236+T331+T359)</f>
        <v>0</v>
      </c>
      <c r="U372" s="133">
        <f t="shared" ref="U372:W372" si="465">U1*(U207+U236+U331+U359)</f>
        <v>0</v>
      </c>
      <c r="V372" s="133">
        <f t="shared" ref="V372" si="466">V1*(V207+V236+V331+V359)</f>
        <v>0</v>
      </c>
      <c r="W372" s="133">
        <f t="shared" si="465"/>
        <v>0</v>
      </c>
      <c r="X372" s="133">
        <f t="shared" ref="X372:AG372" si="467">X1*(X207+X236+X331+X359)</f>
        <v>0</v>
      </c>
      <c r="Y372" s="133">
        <f t="shared" si="467"/>
        <v>0</v>
      </c>
      <c r="Z372" s="133">
        <f t="shared" si="467"/>
        <v>0</v>
      </c>
      <c r="AA372" s="133">
        <f t="shared" si="467"/>
        <v>0</v>
      </c>
      <c r="AB372" s="133">
        <f t="shared" si="467"/>
        <v>0</v>
      </c>
      <c r="AC372" s="133">
        <f t="shared" si="467"/>
        <v>0</v>
      </c>
      <c r="AD372" s="133">
        <f t="shared" si="467"/>
        <v>0</v>
      </c>
      <c r="AE372" s="133">
        <f t="shared" si="467"/>
        <v>0</v>
      </c>
      <c r="AF372" s="133">
        <f t="shared" si="467"/>
        <v>0</v>
      </c>
      <c r="AG372" s="133">
        <f t="shared" si="467"/>
        <v>0</v>
      </c>
      <c r="AH372" s="133">
        <f t="shared" ref="AH372:AK372" si="468">AH1*(AH207+AH236+AH331+AH359)</f>
        <v>0</v>
      </c>
      <c r="AI372" s="133">
        <f t="shared" si="468"/>
        <v>0</v>
      </c>
      <c r="AJ372" s="133">
        <f t="shared" si="468"/>
        <v>0</v>
      </c>
      <c r="AK372" s="133">
        <f t="shared" si="468"/>
        <v>0</v>
      </c>
      <c r="AL372" s="133">
        <f t="shared" ref="AL372:AP372" si="469">AL1*(AL207+AL236+AL331+AL359)</f>
        <v>0</v>
      </c>
      <c r="AM372" s="133">
        <f t="shared" si="469"/>
        <v>0</v>
      </c>
      <c r="AN372" s="133">
        <f t="shared" si="469"/>
        <v>0</v>
      </c>
      <c r="AO372" s="133">
        <f t="shared" si="469"/>
        <v>0</v>
      </c>
      <c r="AP372" s="133">
        <f t="shared" si="469"/>
        <v>0</v>
      </c>
      <c r="AQ372" s="133">
        <f t="shared" ref="AQ372:AT372" si="470">AQ1*(AQ207+AQ236+AQ331+AQ359)</f>
        <v>0</v>
      </c>
      <c r="AR372" s="133">
        <f t="shared" si="470"/>
        <v>0</v>
      </c>
      <c r="AS372" s="133">
        <f t="shared" si="470"/>
        <v>0</v>
      </c>
      <c r="AT372" s="133">
        <f t="shared" si="470"/>
        <v>0</v>
      </c>
      <c r="AU372" s="133">
        <f>(AU207+AU236+AU331+AU359)</f>
        <v>20955143.52</v>
      </c>
      <c r="AV372" s="133"/>
      <c r="AW372" s="133">
        <f>(AW207+AW236+AW331+AW359)</f>
        <v>20955143.52</v>
      </c>
      <c r="AX372" s="133">
        <f>+AW372-'ROR-Model'!G372</f>
        <v>0</v>
      </c>
    </row>
    <row r="373" spans="1:50">
      <c r="A373" s="330"/>
      <c r="B373" s="106"/>
      <c r="C373" s="106"/>
      <c r="D373" s="106"/>
      <c r="E373" s="331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16"/>
      <c r="AW373" s="133"/>
      <c r="AX373" s="133">
        <f>+AW373-'ROR-Model'!G373</f>
        <v>0</v>
      </c>
    </row>
    <row r="374" spans="1:50">
      <c r="A374" s="330"/>
      <c r="B374" s="106"/>
      <c r="C374" s="106"/>
      <c r="D374" s="106"/>
      <c r="E374" s="331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16"/>
      <c r="AW374" s="133"/>
      <c r="AX374" s="133">
        <f>+AW374-'ROR-Model'!G374</f>
        <v>0</v>
      </c>
    </row>
    <row r="375" spans="1:50">
      <c r="A375" s="59" t="s">
        <v>167</v>
      </c>
      <c r="B375" s="106"/>
      <c r="C375" s="106"/>
      <c r="D375" s="106"/>
      <c r="E375" s="331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16"/>
      <c r="AW375" s="133"/>
      <c r="AX375" s="133">
        <f>+AW375-'ROR-Model'!G375</f>
        <v>0</v>
      </c>
    </row>
    <row r="376" spans="1:50">
      <c r="A376" s="330"/>
      <c r="B376" s="106"/>
      <c r="C376" s="106"/>
      <c r="D376" s="106"/>
      <c r="E376" s="331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16"/>
      <c r="AW376" s="133"/>
      <c r="AX376" s="133">
        <f>+AW376-'ROR-Model'!G376</f>
        <v>0</v>
      </c>
    </row>
    <row r="377" spans="1:50">
      <c r="A377" s="134"/>
      <c r="B377" s="106" t="s">
        <v>168</v>
      </c>
      <c r="C377" s="106"/>
      <c r="D377" s="106"/>
      <c r="E377" s="331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16"/>
      <c r="AW377" s="133"/>
      <c r="AX377" s="133">
        <f>+AW377-'ROR-Model'!G377</f>
        <v>0</v>
      </c>
    </row>
    <row r="378" spans="1:50">
      <c r="A378" s="134"/>
      <c r="B378" s="106"/>
      <c r="C378" s="106"/>
      <c r="D378" s="106"/>
      <c r="E378" s="331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16"/>
      <c r="AW378" s="133"/>
      <c r="AX378" s="133">
        <f>+AW378-'ROR-Model'!G378</f>
        <v>0</v>
      </c>
    </row>
    <row r="379" spans="1:50">
      <c r="A379" s="134">
        <v>483</v>
      </c>
      <c r="B379" s="106" t="s">
        <v>169</v>
      </c>
      <c r="C379" s="106"/>
      <c r="D379" s="106"/>
      <c r="E379" s="331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16"/>
      <c r="AW379" s="133"/>
      <c r="AX379" s="133">
        <f>+AW379-'ROR-Model'!G379</f>
        <v>0</v>
      </c>
    </row>
    <row r="380" spans="1:50">
      <c r="A380" s="134"/>
      <c r="B380" s="106"/>
      <c r="C380" s="106" t="s">
        <v>14</v>
      </c>
      <c r="D380" s="106"/>
      <c r="E380" s="742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33"/>
      <c r="R380" s="133"/>
      <c r="S380" s="133"/>
      <c r="T380" s="133">
        <f>'Optional Adjustment 2'!G380*$T$1</f>
        <v>0</v>
      </c>
      <c r="U380" s="133">
        <f>'Optional Adjustment 3'!G380*$U$1</f>
        <v>0</v>
      </c>
      <c r="V380" s="133">
        <f>'Optional Adjustment 4'!G380*$V$1</f>
        <v>0</v>
      </c>
      <c r="W380" s="133">
        <f>'Optional Adjustment 5'!G380*$W$1</f>
        <v>0</v>
      </c>
      <c r="X380" s="133">
        <f>'Optional Adjustment 6'!G380*$X$1</f>
        <v>0</v>
      </c>
      <c r="Y380" s="133">
        <f>'Optional Adjustment 7'!G380*$Y$1</f>
        <v>0</v>
      </c>
      <c r="Z380" s="133">
        <f>'Optional Adjustment 8'!G380*$Z$1</f>
        <v>0</v>
      </c>
      <c r="AA380" s="133">
        <f>'Optional Adjustment 9'!G380*$AA$1</f>
        <v>0</v>
      </c>
      <c r="AB380" s="133">
        <f>'Optional Adjustment 10'!G380*$AB$1</f>
        <v>0</v>
      </c>
      <c r="AC380" s="133">
        <f>'Optional Adjustment 11'!G380*$AC$1</f>
        <v>0</v>
      </c>
      <c r="AD380" s="133">
        <f>'Optional Adjustment 12'!G380*$AD$1</f>
        <v>0</v>
      </c>
      <c r="AE380" s="133">
        <f>'Optional Adjustment 13'!G380*$AE$1</f>
        <v>0</v>
      </c>
      <c r="AF380" s="133">
        <f>'Optional Adjustment 14'!G380*$AF$1</f>
        <v>0</v>
      </c>
      <c r="AG380" s="133">
        <f>'Optional Adjustment 15'!G380*$AG$1</f>
        <v>0</v>
      </c>
      <c r="AH380" s="133">
        <f>'Optional Adjustment 16'!G380*$AH$1</f>
        <v>0</v>
      </c>
      <c r="AI380" s="133">
        <f>'Optional Adjustment 17'!G380*$AI$1</f>
        <v>0</v>
      </c>
      <c r="AJ380" s="133">
        <f>'Optional Adjustment 18'!G380*$AJ$1</f>
        <v>0</v>
      </c>
      <c r="AK380" s="133">
        <f>'Optional Adjustment 19'!G380*$AK$1</f>
        <v>0</v>
      </c>
      <c r="AL380" s="133">
        <f>'Optional Adjustment 20'!G380*$AL$1</f>
        <v>0</v>
      </c>
      <c r="AM380" s="133">
        <f>'Optional Adjustment 21'!G380*$AM$1</f>
        <v>0</v>
      </c>
      <c r="AN380" s="133">
        <f>'Optional Adjustment 22'!G380*$AN$1</f>
        <v>0</v>
      </c>
      <c r="AO380" s="133">
        <f>'Optional Adjustment 23'!G380*$AO$1</f>
        <v>0</v>
      </c>
      <c r="AP380" s="133">
        <f>'Optional Adjustment 24'!G380*$AP$1</f>
        <v>0</v>
      </c>
      <c r="AQ380" s="133">
        <f>'Optional Adjustment 25'!G380*$AQ$1</f>
        <v>0</v>
      </c>
      <c r="AR380" s="133">
        <f>'Optional Adjustment 26'!G380*$AR$1</f>
        <v>0</v>
      </c>
      <c r="AS380" s="133">
        <f>'Optional Adjustment 27'!G380*$AS$1</f>
        <v>0</v>
      </c>
      <c r="AT380" s="133"/>
      <c r="AU380" s="133">
        <f>SUM(F380:AT380)</f>
        <v>0</v>
      </c>
      <c r="AV380" s="116"/>
      <c r="AW380" s="133">
        <f>SUM(AU380:AU380)</f>
        <v>0</v>
      </c>
      <c r="AX380" s="133">
        <f>+AW380-'ROR-Model'!G380</f>
        <v>0</v>
      </c>
    </row>
    <row r="381" spans="1:50">
      <c r="A381" s="134"/>
      <c r="B381" s="106"/>
      <c r="C381" s="106" t="s">
        <v>24</v>
      </c>
      <c r="D381" s="106"/>
      <c r="E381" s="742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33"/>
      <c r="R381" s="133"/>
      <c r="S381" s="133"/>
      <c r="T381" s="133">
        <f>'Optional Adjustment 2'!G381*$T$1</f>
        <v>0</v>
      </c>
      <c r="U381" s="133">
        <f>'Optional Adjustment 3'!G381*$U$1</f>
        <v>0</v>
      </c>
      <c r="V381" s="133">
        <f>'Optional Adjustment 4'!G381*$V$1</f>
        <v>0</v>
      </c>
      <c r="W381" s="133">
        <f>'Optional Adjustment 5'!G381*$W$1</f>
        <v>0</v>
      </c>
      <c r="X381" s="133">
        <f>'Optional Adjustment 6'!G381*$X$1</f>
        <v>0</v>
      </c>
      <c r="Y381" s="133">
        <f>'Optional Adjustment 7'!G381*$Y$1</f>
        <v>0</v>
      </c>
      <c r="Z381" s="133">
        <f>'Optional Adjustment 8'!G381*$Z$1</f>
        <v>0</v>
      </c>
      <c r="AA381" s="133">
        <f>'Optional Adjustment 9'!G381*$AA$1</f>
        <v>0</v>
      </c>
      <c r="AB381" s="133">
        <f>'Optional Adjustment 10'!G381*$AB$1</f>
        <v>0</v>
      </c>
      <c r="AC381" s="133">
        <f>'Optional Adjustment 11'!G381*$AC$1</f>
        <v>0</v>
      </c>
      <c r="AD381" s="133">
        <f>'Optional Adjustment 12'!G381*$AD$1</f>
        <v>0</v>
      </c>
      <c r="AE381" s="133">
        <f>'Optional Adjustment 13'!G381*$AE$1</f>
        <v>0</v>
      </c>
      <c r="AF381" s="133">
        <f>'Optional Adjustment 14'!G381*$AF$1</f>
        <v>0</v>
      </c>
      <c r="AG381" s="133">
        <f>'Optional Adjustment 15'!G381*$AG$1</f>
        <v>0</v>
      </c>
      <c r="AH381" s="133">
        <f>'Optional Adjustment 16'!G381*$AH$1</f>
        <v>0</v>
      </c>
      <c r="AI381" s="133">
        <f>'Optional Adjustment 17'!G381*$AI$1</f>
        <v>0</v>
      </c>
      <c r="AJ381" s="133">
        <f>'Optional Adjustment 18'!G381*$AJ$1</f>
        <v>0</v>
      </c>
      <c r="AK381" s="133">
        <f>'Optional Adjustment 19'!G381*$AK$1</f>
        <v>0</v>
      </c>
      <c r="AL381" s="133">
        <f>'Optional Adjustment 20'!G381*$AL$1</f>
        <v>0</v>
      </c>
      <c r="AM381" s="133">
        <f>'Optional Adjustment 21'!G381*$AM$1</f>
        <v>0</v>
      </c>
      <c r="AN381" s="133">
        <f>'Optional Adjustment 22'!G381*$AN$1</f>
        <v>0</v>
      </c>
      <c r="AO381" s="133">
        <f>'Optional Adjustment 23'!G381*$AO$1</f>
        <v>0</v>
      </c>
      <c r="AP381" s="133">
        <f>'Optional Adjustment 24'!G381*$AP$1</f>
        <v>0</v>
      </c>
      <c r="AQ381" s="133">
        <f>'Optional Adjustment 25'!G381*$AQ$1</f>
        <v>0</v>
      </c>
      <c r="AR381" s="133">
        <f>'Optional Adjustment 26'!G381*$AR$1</f>
        <v>0</v>
      </c>
      <c r="AS381" s="133">
        <f>'Optional Adjustment 27'!G381*$AS$1</f>
        <v>0</v>
      </c>
      <c r="AT381" s="133"/>
      <c r="AU381" s="133">
        <f>SUM(F381:AT381)</f>
        <v>0</v>
      </c>
      <c r="AV381" s="116"/>
      <c r="AW381" s="133">
        <f>SUM(AU381:AU381)</f>
        <v>0</v>
      </c>
      <c r="AX381" s="133">
        <f>+AW381-'ROR-Model'!G381</f>
        <v>0</v>
      </c>
    </row>
    <row r="382" spans="1:50">
      <c r="A382" s="134"/>
      <c r="B382" s="106"/>
      <c r="C382" s="106" t="s">
        <v>170</v>
      </c>
      <c r="D382" s="106"/>
      <c r="E382" s="742"/>
      <c r="F382" s="131">
        <f>SUM(F380:F381)</f>
        <v>0</v>
      </c>
      <c r="G382" s="131"/>
      <c r="H382" s="131">
        <f>H1*SUM(H380:H381)</f>
        <v>0</v>
      </c>
      <c r="I382" s="131">
        <f>SUM(I380:I381)</f>
        <v>0</v>
      </c>
      <c r="J382" s="131">
        <f t="shared" ref="J382:P382" si="471">SUM(J380:J381)</f>
        <v>0</v>
      </c>
      <c r="K382" s="131">
        <f t="shared" si="471"/>
        <v>0</v>
      </c>
      <c r="L382" s="131">
        <f t="shared" si="471"/>
        <v>0</v>
      </c>
      <c r="M382" s="131">
        <f t="shared" si="471"/>
        <v>0</v>
      </c>
      <c r="N382" s="131">
        <f t="shared" si="471"/>
        <v>0</v>
      </c>
      <c r="O382" s="131">
        <f t="shared" si="471"/>
        <v>0</v>
      </c>
      <c r="P382" s="131">
        <f t="shared" si="471"/>
        <v>0</v>
      </c>
      <c r="Q382" s="241">
        <f>SUM(Q380:Q381)</f>
        <v>0</v>
      </c>
      <c r="R382" s="241">
        <f>SUM(R380:R381)</f>
        <v>0</v>
      </c>
      <c r="S382" s="556"/>
      <c r="T382" s="556">
        <f t="shared" ref="T382:AG382" si="472">SUM(T380:T381)</f>
        <v>0</v>
      </c>
      <c r="U382" s="556">
        <f t="shared" si="472"/>
        <v>0</v>
      </c>
      <c r="V382" s="556">
        <f t="shared" si="472"/>
        <v>0</v>
      </c>
      <c r="W382" s="556">
        <f t="shared" si="472"/>
        <v>0</v>
      </c>
      <c r="X382" s="556">
        <f t="shared" si="472"/>
        <v>0</v>
      </c>
      <c r="Y382" s="556">
        <f t="shared" si="472"/>
        <v>0</v>
      </c>
      <c r="Z382" s="556">
        <f t="shared" si="472"/>
        <v>0</v>
      </c>
      <c r="AA382" s="556">
        <f t="shared" si="472"/>
        <v>0</v>
      </c>
      <c r="AB382" s="556">
        <f t="shared" si="472"/>
        <v>0</v>
      </c>
      <c r="AC382" s="556">
        <f t="shared" si="472"/>
        <v>0</v>
      </c>
      <c r="AD382" s="556">
        <f t="shared" si="472"/>
        <v>0</v>
      </c>
      <c r="AE382" s="556">
        <f t="shared" si="472"/>
        <v>0</v>
      </c>
      <c r="AF382" s="556">
        <f t="shared" si="472"/>
        <v>0</v>
      </c>
      <c r="AG382" s="556">
        <f t="shared" si="472"/>
        <v>0</v>
      </c>
      <c r="AH382" s="556">
        <f t="shared" ref="AH382:AK382" si="473">SUM(AH380:AH381)</f>
        <v>0</v>
      </c>
      <c r="AI382" s="556">
        <f t="shared" si="473"/>
        <v>0</v>
      </c>
      <c r="AJ382" s="556">
        <f t="shared" si="473"/>
        <v>0</v>
      </c>
      <c r="AK382" s="556">
        <f t="shared" si="473"/>
        <v>0</v>
      </c>
      <c r="AL382" s="556">
        <f t="shared" ref="AL382:AP382" si="474">SUM(AL380:AL381)</f>
        <v>0</v>
      </c>
      <c r="AM382" s="556">
        <f t="shared" si="474"/>
        <v>0</v>
      </c>
      <c r="AN382" s="556">
        <f t="shared" si="474"/>
        <v>0</v>
      </c>
      <c r="AO382" s="556">
        <f t="shared" si="474"/>
        <v>0</v>
      </c>
      <c r="AP382" s="556">
        <f t="shared" si="474"/>
        <v>0</v>
      </c>
      <c r="AQ382" s="556">
        <f t="shared" ref="AQ382:AS382" si="475">SUM(AQ380:AQ381)</f>
        <v>0</v>
      </c>
      <c r="AR382" s="556">
        <f t="shared" si="475"/>
        <v>0</v>
      </c>
      <c r="AS382" s="556">
        <f t="shared" si="475"/>
        <v>0</v>
      </c>
      <c r="AT382" s="556"/>
      <c r="AU382" s="241">
        <f>SUM(AU380:AU381)</f>
        <v>0</v>
      </c>
      <c r="AV382" s="131"/>
      <c r="AW382" s="241">
        <f>SUM(AW380:AW381)</f>
        <v>0</v>
      </c>
      <c r="AX382" s="241">
        <f>+AW382-'ROR-Model'!G382</f>
        <v>0</v>
      </c>
    </row>
    <row r="383" spans="1:50">
      <c r="A383" s="134"/>
      <c r="B383" s="106"/>
      <c r="C383" s="106"/>
      <c r="D383" s="106"/>
      <c r="E383" s="742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16"/>
      <c r="AW383" s="133"/>
      <c r="AX383" s="133">
        <f>+AW383-'ROR-Model'!G383</f>
        <v>0</v>
      </c>
    </row>
    <row r="384" spans="1:50">
      <c r="A384" s="134">
        <v>487</v>
      </c>
      <c r="B384" s="106" t="s">
        <v>173</v>
      </c>
      <c r="C384" s="106"/>
      <c r="D384" s="106"/>
      <c r="E384" s="742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16"/>
      <c r="AW384" s="133"/>
      <c r="AX384" s="133">
        <f>+AW384-'ROR-Model'!G384</f>
        <v>0</v>
      </c>
    </row>
    <row r="385" spans="1:50">
      <c r="A385" s="134"/>
      <c r="B385" s="106"/>
      <c r="C385" s="106" t="s">
        <v>14</v>
      </c>
      <c r="D385" s="106"/>
      <c r="E385" s="742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33"/>
      <c r="R385" s="133"/>
      <c r="S385" s="133"/>
      <c r="T385" s="133">
        <f>'Optional Adjustment 2'!G385*$T$1</f>
        <v>0</v>
      </c>
      <c r="U385" s="133">
        <f>'Optional Adjustment 3'!G385*$U$1</f>
        <v>0</v>
      </c>
      <c r="V385" s="133">
        <f>'Optional Adjustment 4'!G385*$V$1</f>
        <v>0</v>
      </c>
      <c r="W385" s="133">
        <f>'Optional Adjustment 5'!G385*$W$1</f>
        <v>0</v>
      </c>
      <c r="X385" s="133">
        <f>'Optional Adjustment 6'!G385*$X$1</f>
        <v>0</v>
      </c>
      <c r="Y385" s="133">
        <f>'Optional Adjustment 7'!G385*$Y$1</f>
        <v>0</v>
      </c>
      <c r="Z385" s="133">
        <f>'Optional Adjustment 8'!G385*$Z$1</f>
        <v>0</v>
      </c>
      <c r="AA385" s="133">
        <f>'Optional Adjustment 9'!G385*$AA$1</f>
        <v>0</v>
      </c>
      <c r="AB385" s="133">
        <f>'Optional Adjustment 10'!G385*$AB$1</f>
        <v>0</v>
      </c>
      <c r="AC385" s="133">
        <f>'Optional Adjustment 11'!G385*$AC$1</f>
        <v>0</v>
      </c>
      <c r="AD385" s="133">
        <f>'Optional Adjustment 12'!G385*$AD$1</f>
        <v>0</v>
      </c>
      <c r="AE385" s="133">
        <f>'Optional Adjustment 13'!G385*$AE$1</f>
        <v>0</v>
      </c>
      <c r="AF385" s="133">
        <f>'Optional Adjustment 14'!G385*$AF$1</f>
        <v>0</v>
      </c>
      <c r="AG385" s="133">
        <f>'Optional Adjustment 15'!G385*$AG$1</f>
        <v>0</v>
      </c>
      <c r="AH385" s="133">
        <f>'Optional Adjustment 16'!G385*$AH$1</f>
        <v>0</v>
      </c>
      <c r="AI385" s="133">
        <f>'Optional Adjustment 17'!G385*$AI$1</f>
        <v>0</v>
      </c>
      <c r="AJ385" s="133">
        <f>'Optional Adjustment 18'!G385*$AJ$1</f>
        <v>0</v>
      </c>
      <c r="AK385" s="133">
        <f>'Optional Adjustment 19'!G385*$AK$1</f>
        <v>0</v>
      </c>
      <c r="AL385" s="133">
        <f>'Optional Adjustment 20'!G385*$AL$1</f>
        <v>0</v>
      </c>
      <c r="AM385" s="133">
        <f>'Optional Adjustment 21'!G385*$AM$1</f>
        <v>0</v>
      </c>
      <c r="AN385" s="133">
        <f>'Optional Adjustment 22'!G385*$AN$1</f>
        <v>0</v>
      </c>
      <c r="AO385" s="133">
        <f>'Optional Adjustment 23'!G385*$AO$1</f>
        <v>0</v>
      </c>
      <c r="AP385" s="133">
        <f>'Optional Adjustment 24'!G385*$AP$1</f>
        <v>0</v>
      </c>
      <c r="AQ385" s="133">
        <f>'Optional Adjustment 25'!G385*$AQ$1</f>
        <v>0</v>
      </c>
      <c r="AR385" s="133">
        <f>'Optional Adjustment 26'!G385*$AR$1</f>
        <v>0</v>
      </c>
      <c r="AS385" s="133">
        <f>'Optional Adjustment 27'!G385*$AS$1</f>
        <v>0</v>
      </c>
      <c r="AT385" s="133"/>
      <c r="AU385" s="133">
        <f>SUM(F385:AT385)</f>
        <v>0</v>
      </c>
      <c r="AV385" s="116"/>
      <c r="AW385" s="133">
        <f>SUM(AU385:AU385)</f>
        <v>0</v>
      </c>
      <c r="AX385" s="133">
        <f>+AW385-'ROR-Model'!G385</f>
        <v>0</v>
      </c>
    </row>
    <row r="386" spans="1:50">
      <c r="A386" s="134"/>
      <c r="B386" s="106"/>
      <c r="C386" s="106" t="s">
        <v>24</v>
      </c>
      <c r="D386" s="106"/>
      <c r="E386" s="742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33"/>
      <c r="R386" s="133"/>
      <c r="S386" s="133"/>
      <c r="T386" s="133">
        <f>'Optional Adjustment 2'!G386*$T$1</f>
        <v>0</v>
      </c>
      <c r="U386" s="133">
        <f>'Optional Adjustment 3'!G386*$U$1</f>
        <v>0</v>
      </c>
      <c r="V386" s="133">
        <f>'Optional Adjustment 4'!G386*$V$1</f>
        <v>0</v>
      </c>
      <c r="W386" s="133">
        <f>'Optional Adjustment 5'!G386*$W$1</f>
        <v>0</v>
      </c>
      <c r="X386" s="133">
        <f>'Optional Adjustment 6'!G386*$X$1</f>
        <v>0</v>
      </c>
      <c r="Y386" s="133">
        <f>'Optional Adjustment 7'!G386*$Y$1</f>
        <v>0</v>
      </c>
      <c r="Z386" s="133">
        <f>'Optional Adjustment 8'!G386*$Z$1</f>
        <v>0</v>
      </c>
      <c r="AA386" s="133">
        <f>'Optional Adjustment 9'!G386*$AA$1</f>
        <v>0</v>
      </c>
      <c r="AB386" s="133">
        <f>'Optional Adjustment 10'!G386*$AB$1</f>
        <v>0</v>
      </c>
      <c r="AC386" s="133">
        <f>'Optional Adjustment 11'!G386*$AC$1</f>
        <v>0</v>
      </c>
      <c r="AD386" s="133">
        <f>'Optional Adjustment 12'!G386*$AD$1</f>
        <v>0</v>
      </c>
      <c r="AE386" s="133">
        <f>'Optional Adjustment 13'!G386*$AE$1</f>
        <v>0</v>
      </c>
      <c r="AF386" s="133">
        <f>'Optional Adjustment 14'!G386*$AF$1</f>
        <v>0</v>
      </c>
      <c r="AG386" s="133">
        <f>'Optional Adjustment 15'!G386*$AG$1</f>
        <v>0</v>
      </c>
      <c r="AH386" s="133">
        <f>'Optional Adjustment 16'!G386*$AH$1</f>
        <v>0</v>
      </c>
      <c r="AI386" s="133">
        <f>'Optional Adjustment 17'!G386*$AI$1</f>
        <v>0</v>
      </c>
      <c r="AJ386" s="133">
        <f>'Optional Adjustment 18'!G386*$AJ$1</f>
        <v>0</v>
      </c>
      <c r="AK386" s="133">
        <f>'Optional Adjustment 19'!G386*$AK$1</f>
        <v>0</v>
      </c>
      <c r="AL386" s="133">
        <f>'Optional Adjustment 20'!G386*$AL$1</f>
        <v>0</v>
      </c>
      <c r="AM386" s="133">
        <f>'Optional Adjustment 21'!G386*$AM$1</f>
        <v>0</v>
      </c>
      <c r="AN386" s="133">
        <f>'Optional Adjustment 22'!G386*$AN$1</f>
        <v>0</v>
      </c>
      <c r="AO386" s="133">
        <f>'Optional Adjustment 23'!G386*$AO$1</f>
        <v>0</v>
      </c>
      <c r="AP386" s="133">
        <f>'Optional Adjustment 24'!G386*$AP$1</f>
        <v>0</v>
      </c>
      <c r="AQ386" s="133">
        <f>'Optional Adjustment 25'!G386*$AQ$1</f>
        <v>0</v>
      </c>
      <c r="AR386" s="133">
        <f>'Optional Adjustment 26'!G386*$AR$1</f>
        <v>0</v>
      </c>
      <c r="AS386" s="133">
        <f>'Optional Adjustment 27'!G386*$AS$1</f>
        <v>0</v>
      </c>
      <c r="AT386" s="133"/>
      <c r="AU386" s="133">
        <f>SUM(F386:AT386)</f>
        <v>0</v>
      </c>
      <c r="AV386" s="116"/>
      <c r="AW386" s="133">
        <f>SUM(AU386:AU386)</f>
        <v>0</v>
      </c>
      <c r="AX386" s="133">
        <f>+AW386-'ROR-Model'!G386</f>
        <v>0</v>
      </c>
    </row>
    <row r="387" spans="1:50">
      <c r="A387" s="134"/>
      <c r="B387" s="106"/>
      <c r="C387" s="106" t="s">
        <v>170</v>
      </c>
      <c r="D387" s="106"/>
      <c r="E387" s="742"/>
      <c r="F387" s="131">
        <f>SUM(F385:F386)</f>
        <v>0</v>
      </c>
      <c r="G387" s="131"/>
      <c r="H387" s="131">
        <f>H1*SUM(H385:H386)</f>
        <v>0</v>
      </c>
      <c r="I387" s="131">
        <f>SUM(I385:I386)</f>
        <v>0</v>
      </c>
      <c r="J387" s="131">
        <f t="shared" ref="J387:P387" si="476">SUM(J385:J386)</f>
        <v>0</v>
      </c>
      <c r="K387" s="131">
        <f t="shared" si="476"/>
        <v>0</v>
      </c>
      <c r="L387" s="131">
        <f t="shared" si="476"/>
        <v>0</v>
      </c>
      <c r="M387" s="131">
        <f t="shared" si="476"/>
        <v>0</v>
      </c>
      <c r="N387" s="131">
        <f t="shared" si="476"/>
        <v>0</v>
      </c>
      <c r="O387" s="131">
        <f t="shared" si="476"/>
        <v>0</v>
      </c>
      <c r="P387" s="131">
        <f t="shared" si="476"/>
        <v>0</v>
      </c>
      <c r="Q387" s="241">
        <f>SUM(Q385:Q386)</f>
        <v>0</v>
      </c>
      <c r="R387" s="241">
        <f>SUM(R385:R386)</f>
        <v>0</v>
      </c>
      <c r="S387" s="556"/>
      <c r="T387" s="556">
        <f t="shared" ref="T387:AG387" si="477">SUM(T385:T386)</f>
        <v>0</v>
      </c>
      <c r="U387" s="556">
        <f t="shared" si="477"/>
        <v>0</v>
      </c>
      <c r="V387" s="556">
        <f t="shared" si="477"/>
        <v>0</v>
      </c>
      <c r="W387" s="556">
        <f t="shared" si="477"/>
        <v>0</v>
      </c>
      <c r="X387" s="556">
        <f t="shared" si="477"/>
        <v>0</v>
      </c>
      <c r="Y387" s="556">
        <f t="shared" si="477"/>
        <v>0</v>
      </c>
      <c r="Z387" s="556">
        <f t="shared" si="477"/>
        <v>0</v>
      </c>
      <c r="AA387" s="556">
        <f t="shared" si="477"/>
        <v>0</v>
      </c>
      <c r="AB387" s="556">
        <f t="shared" si="477"/>
        <v>0</v>
      </c>
      <c r="AC387" s="556">
        <f t="shared" si="477"/>
        <v>0</v>
      </c>
      <c r="AD387" s="556">
        <f t="shared" si="477"/>
        <v>0</v>
      </c>
      <c r="AE387" s="556">
        <f t="shared" si="477"/>
        <v>0</v>
      </c>
      <c r="AF387" s="556">
        <f t="shared" si="477"/>
        <v>0</v>
      </c>
      <c r="AG387" s="556">
        <f t="shared" si="477"/>
        <v>0</v>
      </c>
      <c r="AH387" s="556">
        <f t="shared" ref="AH387:AK387" si="478">SUM(AH385:AH386)</f>
        <v>0</v>
      </c>
      <c r="AI387" s="556">
        <f t="shared" si="478"/>
        <v>0</v>
      </c>
      <c r="AJ387" s="556">
        <f t="shared" si="478"/>
        <v>0</v>
      </c>
      <c r="AK387" s="556">
        <f t="shared" si="478"/>
        <v>0</v>
      </c>
      <c r="AL387" s="556">
        <f t="shared" ref="AL387:AP387" si="479">SUM(AL385:AL386)</f>
        <v>0</v>
      </c>
      <c r="AM387" s="556">
        <f t="shared" si="479"/>
        <v>0</v>
      </c>
      <c r="AN387" s="556">
        <f t="shared" si="479"/>
        <v>0</v>
      </c>
      <c r="AO387" s="556">
        <f t="shared" si="479"/>
        <v>0</v>
      </c>
      <c r="AP387" s="556">
        <f t="shared" si="479"/>
        <v>0</v>
      </c>
      <c r="AQ387" s="556">
        <f t="shared" ref="AQ387:AS387" si="480">SUM(AQ385:AQ386)</f>
        <v>0</v>
      </c>
      <c r="AR387" s="556">
        <f t="shared" si="480"/>
        <v>0</v>
      </c>
      <c r="AS387" s="556">
        <f t="shared" si="480"/>
        <v>0</v>
      </c>
      <c r="AT387" s="556"/>
      <c r="AU387" s="241">
        <f>SUM(AU385:AU386)</f>
        <v>0</v>
      </c>
      <c r="AV387" s="131"/>
      <c r="AW387" s="241">
        <f>SUM(AW385:AW386)</f>
        <v>0</v>
      </c>
      <c r="AX387" s="241">
        <f>+AW387-'ROR-Model'!G387</f>
        <v>0</v>
      </c>
    </row>
    <row r="388" spans="1:50">
      <c r="A388" s="134"/>
      <c r="B388" s="106"/>
      <c r="C388" s="106"/>
      <c r="D388" s="106"/>
      <c r="E388" s="742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16"/>
      <c r="AW388" s="133"/>
      <c r="AX388" s="133">
        <f>+AW388-'ROR-Model'!G388</f>
        <v>0</v>
      </c>
    </row>
    <row r="389" spans="1:50">
      <c r="A389" s="134">
        <v>4860</v>
      </c>
      <c r="B389" s="106" t="s">
        <v>314</v>
      </c>
      <c r="C389" s="106"/>
      <c r="D389" s="106"/>
      <c r="E389" s="742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16"/>
      <c r="AW389" s="133"/>
      <c r="AX389" s="133">
        <f>+AW389-'ROR-Model'!G389</f>
        <v>0</v>
      </c>
    </row>
    <row r="390" spans="1:50">
      <c r="A390" s="134"/>
      <c r="B390" s="106"/>
      <c r="C390" s="106" t="s">
        <v>14</v>
      </c>
      <c r="D390" s="106"/>
      <c r="E390" s="742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33"/>
      <c r="R390" s="133"/>
      <c r="S390" s="133"/>
      <c r="T390" s="133">
        <f>'Optional Adjustment 2'!G390*$T$1</f>
        <v>0</v>
      </c>
      <c r="U390" s="133">
        <f>'Optional Adjustment 3'!G390*$U$1</f>
        <v>0</v>
      </c>
      <c r="V390" s="133">
        <f>'Optional Adjustment 4'!G390*$V$1</f>
        <v>0</v>
      </c>
      <c r="W390" s="133">
        <f>'Optional Adjustment 5'!G390*$W$1</f>
        <v>0</v>
      </c>
      <c r="X390" s="133">
        <f>'Optional Adjustment 6'!G390*$X$1</f>
        <v>0</v>
      </c>
      <c r="Y390" s="133">
        <f>'Optional Adjustment 7'!G390*$Y$1</f>
        <v>0</v>
      </c>
      <c r="Z390" s="133">
        <f>'Optional Adjustment 8'!G390*$Z$1</f>
        <v>0</v>
      </c>
      <c r="AA390" s="133">
        <f>'Optional Adjustment 9'!G390*$AA$1</f>
        <v>0</v>
      </c>
      <c r="AB390" s="133">
        <f>'Optional Adjustment 10'!G390*$AB$1</f>
        <v>0</v>
      </c>
      <c r="AC390" s="133">
        <f>'Optional Adjustment 11'!G390*$AC$1</f>
        <v>0</v>
      </c>
      <c r="AD390" s="133">
        <f>'Optional Adjustment 12'!G390*$AD$1</f>
        <v>0</v>
      </c>
      <c r="AE390" s="133">
        <f>'Optional Adjustment 13'!G390*$AE$1</f>
        <v>0</v>
      </c>
      <c r="AF390" s="133">
        <f>'Optional Adjustment 14'!G390*$AF$1</f>
        <v>0</v>
      </c>
      <c r="AG390" s="133">
        <f>'Optional Adjustment 15'!G390*$AG$1</f>
        <v>0</v>
      </c>
      <c r="AH390" s="133">
        <f>'Optional Adjustment 16'!G390*$AH$1</f>
        <v>0</v>
      </c>
      <c r="AI390" s="133">
        <f>'Optional Adjustment 17'!G390*$AI$1</f>
        <v>0</v>
      </c>
      <c r="AJ390" s="133">
        <f>'Optional Adjustment 18'!G390*$AJ$1</f>
        <v>0</v>
      </c>
      <c r="AK390" s="133">
        <f>'Optional Adjustment 19'!G390*$AK$1</f>
        <v>0</v>
      </c>
      <c r="AL390" s="133">
        <f>'Optional Adjustment 20'!G390*$AL$1</f>
        <v>0</v>
      </c>
      <c r="AM390" s="133">
        <f>'Optional Adjustment 21'!G390*$AM$1</f>
        <v>0</v>
      </c>
      <c r="AN390" s="133">
        <f>'Optional Adjustment 22'!G390*$AN$1</f>
        <v>0</v>
      </c>
      <c r="AO390" s="133">
        <f>'Optional Adjustment 23'!G390*$AO$1</f>
        <v>0</v>
      </c>
      <c r="AP390" s="133">
        <f>'Optional Adjustment 24'!G390*$AP$1</f>
        <v>0</v>
      </c>
      <c r="AQ390" s="133">
        <f>'Optional Adjustment 25'!G390*$AQ$1</f>
        <v>0</v>
      </c>
      <c r="AR390" s="133">
        <f>'Optional Adjustment 26'!G390*$AR$1</f>
        <v>0</v>
      </c>
      <c r="AS390" s="133">
        <f>'Optional Adjustment 27'!G390*$AS$1</f>
        <v>0</v>
      </c>
      <c r="AT390" s="133"/>
      <c r="AU390" s="133">
        <f>SUM(F390:AT390)</f>
        <v>0</v>
      </c>
      <c r="AV390" s="116"/>
      <c r="AW390" s="133">
        <f>SUM(AU390:AU390)</f>
        <v>0</v>
      </c>
      <c r="AX390" s="133">
        <f>+AW390-'ROR-Model'!G390</f>
        <v>0</v>
      </c>
    </row>
    <row r="391" spans="1:50">
      <c r="A391" s="134"/>
      <c r="B391" s="106"/>
      <c r="C391" s="106" t="s">
        <v>24</v>
      </c>
      <c r="D391" s="106"/>
      <c r="E391" s="742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33"/>
      <c r="R391" s="133"/>
      <c r="S391" s="133"/>
      <c r="T391" s="133">
        <f>'Optional Adjustment 2'!G391*$T$1</f>
        <v>0</v>
      </c>
      <c r="U391" s="133">
        <f>'Optional Adjustment 3'!G391*$U$1</f>
        <v>0</v>
      </c>
      <c r="V391" s="133">
        <f>'Optional Adjustment 4'!G391*$V$1</f>
        <v>0</v>
      </c>
      <c r="W391" s="133">
        <f>'Optional Adjustment 5'!G391*$W$1</f>
        <v>0</v>
      </c>
      <c r="X391" s="133">
        <f>'Optional Adjustment 6'!G391*$X$1</f>
        <v>0</v>
      </c>
      <c r="Y391" s="133">
        <f>'Optional Adjustment 7'!G391*$Y$1</f>
        <v>0</v>
      </c>
      <c r="Z391" s="133">
        <f>'Optional Adjustment 8'!G391*$Z$1</f>
        <v>0</v>
      </c>
      <c r="AA391" s="133">
        <f>'Optional Adjustment 9'!G391*$AA$1</f>
        <v>0</v>
      </c>
      <c r="AB391" s="133">
        <f>'Optional Adjustment 10'!G391*$AB$1</f>
        <v>0</v>
      </c>
      <c r="AC391" s="133">
        <f>'Optional Adjustment 11'!G391*$AC$1</f>
        <v>0</v>
      </c>
      <c r="AD391" s="133">
        <f>'Optional Adjustment 12'!G391*$AD$1</f>
        <v>0</v>
      </c>
      <c r="AE391" s="133">
        <f>'Optional Adjustment 13'!G391*$AE$1</f>
        <v>0</v>
      </c>
      <c r="AF391" s="133">
        <f>'Optional Adjustment 14'!G391*$AF$1</f>
        <v>0</v>
      </c>
      <c r="AG391" s="133">
        <f>'Optional Adjustment 15'!G391*$AG$1</f>
        <v>0</v>
      </c>
      <c r="AH391" s="133">
        <f>'Optional Adjustment 16'!G391*$AH$1</f>
        <v>0</v>
      </c>
      <c r="AI391" s="133">
        <f>'Optional Adjustment 17'!G391*$AI$1</f>
        <v>0</v>
      </c>
      <c r="AJ391" s="133">
        <f>'Optional Adjustment 18'!G391*$AJ$1</f>
        <v>0</v>
      </c>
      <c r="AK391" s="133">
        <f>'Optional Adjustment 19'!G391*$AK$1</f>
        <v>0</v>
      </c>
      <c r="AL391" s="133">
        <f>'Optional Adjustment 20'!G391*$AL$1</f>
        <v>0</v>
      </c>
      <c r="AM391" s="133">
        <f>'Optional Adjustment 21'!G391*$AM$1</f>
        <v>0</v>
      </c>
      <c r="AN391" s="133">
        <f>'Optional Adjustment 22'!G391*$AN$1</f>
        <v>0</v>
      </c>
      <c r="AO391" s="133">
        <f>'Optional Adjustment 23'!G391*$AO$1</f>
        <v>0</v>
      </c>
      <c r="AP391" s="133">
        <f>'Optional Adjustment 24'!G391*$AP$1</f>
        <v>0</v>
      </c>
      <c r="AQ391" s="133">
        <f>'Optional Adjustment 25'!G391*$AQ$1</f>
        <v>0</v>
      </c>
      <c r="AR391" s="133">
        <f>'Optional Adjustment 26'!G391*$AR$1</f>
        <v>0</v>
      </c>
      <c r="AS391" s="133">
        <f>'Optional Adjustment 27'!G391*$AS$1</f>
        <v>0</v>
      </c>
      <c r="AT391" s="133"/>
      <c r="AU391" s="133">
        <f>SUM(F391:AT391)</f>
        <v>0</v>
      </c>
      <c r="AV391" s="116"/>
      <c r="AW391" s="133">
        <f>SUM(AU391:AU391)</f>
        <v>0</v>
      </c>
      <c r="AX391" s="133">
        <f>+AW391-'ROR-Model'!G391</f>
        <v>0</v>
      </c>
    </row>
    <row r="392" spans="1:50">
      <c r="A392" s="134"/>
      <c r="B392" s="106"/>
      <c r="C392" s="106" t="s">
        <v>170</v>
      </c>
      <c r="D392" s="106"/>
      <c r="E392" s="742"/>
      <c r="F392" s="131">
        <f>SUM(F390:F391)</f>
        <v>0</v>
      </c>
      <c r="G392" s="131"/>
      <c r="H392" s="131">
        <f>H1*SUM(H390:H391)</f>
        <v>0</v>
      </c>
      <c r="I392" s="131">
        <f>SUM(I390:I391)</f>
        <v>0</v>
      </c>
      <c r="J392" s="131">
        <f t="shared" ref="J392:P392" si="481">SUM(J390:J391)</f>
        <v>0</v>
      </c>
      <c r="K392" s="131">
        <f t="shared" si="481"/>
        <v>0</v>
      </c>
      <c r="L392" s="131">
        <f t="shared" si="481"/>
        <v>0</v>
      </c>
      <c r="M392" s="131">
        <f t="shared" si="481"/>
        <v>0</v>
      </c>
      <c r="N392" s="131">
        <f t="shared" si="481"/>
        <v>0</v>
      </c>
      <c r="O392" s="131">
        <f t="shared" si="481"/>
        <v>0</v>
      </c>
      <c r="P392" s="131">
        <f t="shared" si="481"/>
        <v>0</v>
      </c>
      <c r="Q392" s="241">
        <f>SUM(Q390:Q391)</f>
        <v>0</v>
      </c>
      <c r="R392" s="241">
        <f>SUM(R390:R391)</f>
        <v>0</v>
      </c>
      <c r="S392" s="556"/>
      <c r="T392" s="556">
        <f t="shared" ref="T392:AG392" si="482">SUM(T390:T391)</f>
        <v>0</v>
      </c>
      <c r="U392" s="556">
        <f t="shared" si="482"/>
        <v>0</v>
      </c>
      <c r="V392" s="556">
        <f t="shared" si="482"/>
        <v>0</v>
      </c>
      <c r="W392" s="556">
        <f t="shared" si="482"/>
        <v>0</v>
      </c>
      <c r="X392" s="556">
        <f t="shared" si="482"/>
        <v>0</v>
      </c>
      <c r="Y392" s="556">
        <f t="shared" si="482"/>
        <v>0</v>
      </c>
      <c r="Z392" s="556">
        <f t="shared" si="482"/>
        <v>0</v>
      </c>
      <c r="AA392" s="556">
        <f t="shared" si="482"/>
        <v>0</v>
      </c>
      <c r="AB392" s="556">
        <f t="shared" si="482"/>
        <v>0</v>
      </c>
      <c r="AC392" s="556">
        <f t="shared" si="482"/>
        <v>0</v>
      </c>
      <c r="AD392" s="556">
        <f t="shared" si="482"/>
        <v>0</v>
      </c>
      <c r="AE392" s="556">
        <f t="shared" si="482"/>
        <v>0</v>
      </c>
      <c r="AF392" s="556">
        <f t="shared" si="482"/>
        <v>0</v>
      </c>
      <c r="AG392" s="556">
        <f t="shared" si="482"/>
        <v>0</v>
      </c>
      <c r="AH392" s="556">
        <f t="shared" ref="AH392:AK392" si="483">SUM(AH390:AH391)</f>
        <v>0</v>
      </c>
      <c r="AI392" s="556">
        <f t="shared" si="483"/>
        <v>0</v>
      </c>
      <c r="AJ392" s="556">
        <f t="shared" si="483"/>
        <v>0</v>
      </c>
      <c r="AK392" s="556">
        <f t="shared" si="483"/>
        <v>0</v>
      </c>
      <c r="AL392" s="556">
        <f t="shared" ref="AL392:AP392" si="484">SUM(AL390:AL391)</f>
        <v>0</v>
      </c>
      <c r="AM392" s="556">
        <f t="shared" si="484"/>
        <v>0</v>
      </c>
      <c r="AN392" s="556">
        <f t="shared" si="484"/>
        <v>0</v>
      </c>
      <c r="AO392" s="556">
        <f t="shared" si="484"/>
        <v>0</v>
      </c>
      <c r="AP392" s="556">
        <f t="shared" si="484"/>
        <v>0</v>
      </c>
      <c r="AQ392" s="556">
        <f t="shared" ref="AQ392:AS392" si="485">SUM(AQ390:AQ391)</f>
        <v>0</v>
      </c>
      <c r="AR392" s="556">
        <f t="shared" si="485"/>
        <v>0</v>
      </c>
      <c r="AS392" s="556">
        <f t="shared" si="485"/>
        <v>0</v>
      </c>
      <c r="AT392" s="556"/>
      <c r="AU392" s="241">
        <f>SUM(AU390:AU391)</f>
        <v>0</v>
      </c>
      <c r="AV392" s="131"/>
      <c r="AW392" s="241">
        <f>SUM(AW390:AW391)</f>
        <v>0</v>
      </c>
      <c r="AX392" s="241">
        <f>+AW392-'ROR-Model'!G392</f>
        <v>0</v>
      </c>
    </row>
    <row r="393" spans="1:50">
      <c r="A393" s="134"/>
      <c r="B393" s="106"/>
      <c r="C393" s="106"/>
      <c r="D393" s="106"/>
      <c r="E393" s="742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16"/>
      <c r="AW393" s="133"/>
      <c r="AX393" s="133">
        <f>+AW393-'ROR-Model'!G393</f>
        <v>0</v>
      </c>
    </row>
    <row r="394" spans="1:50">
      <c r="A394" s="134">
        <v>4861</v>
      </c>
      <c r="B394" s="106" t="s">
        <v>315</v>
      </c>
      <c r="C394" s="106"/>
      <c r="D394" s="106"/>
      <c r="E394" s="742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16"/>
      <c r="AW394" s="133"/>
      <c r="AX394" s="133">
        <f>+AW394-'ROR-Model'!G394</f>
        <v>0</v>
      </c>
    </row>
    <row r="395" spans="1:50">
      <c r="A395" s="134"/>
      <c r="B395" s="106"/>
      <c r="C395" s="106" t="s">
        <v>14</v>
      </c>
      <c r="D395" s="106"/>
      <c r="E395" s="742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33"/>
      <c r="R395" s="133"/>
      <c r="S395" s="133"/>
      <c r="T395" s="133">
        <f>'Optional Adjustment 2'!G395*$T$1</f>
        <v>0</v>
      </c>
      <c r="U395" s="133">
        <f>'Optional Adjustment 3'!G395*$U$1</f>
        <v>0</v>
      </c>
      <c r="V395" s="133">
        <f>'Optional Adjustment 4'!G395*$V$1</f>
        <v>0</v>
      </c>
      <c r="W395" s="133">
        <f>'Optional Adjustment 5'!G395*$W$1</f>
        <v>0</v>
      </c>
      <c r="X395" s="133">
        <f>'Optional Adjustment 6'!G395*$X$1</f>
        <v>0</v>
      </c>
      <c r="Y395" s="133">
        <f>'Optional Adjustment 7'!G395*$Y$1</f>
        <v>0</v>
      </c>
      <c r="Z395" s="133">
        <f>'Optional Adjustment 8'!G395*$Z$1</f>
        <v>0</v>
      </c>
      <c r="AA395" s="133">
        <f>'Optional Adjustment 9'!G395*$AA$1</f>
        <v>0</v>
      </c>
      <c r="AB395" s="133">
        <f>'Optional Adjustment 10'!G395*$AB$1</f>
        <v>0</v>
      </c>
      <c r="AC395" s="133">
        <f>'Optional Adjustment 11'!G395*$AC$1</f>
        <v>0</v>
      </c>
      <c r="AD395" s="133">
        <f>'Optional Adjustment 12'!G395*$AD$1</f>
        <v>0</v>
      </c>
      <c r="AE395" s="133">
        <f>'Optional Adjustment 13'!G395*$AE$1</f>
        <v>0</v>
      </c>
      <c r="AF395" s="133">
        <f>'Optional Adjustment 14'!G395*$AF$1</f>
        <v>0</v>
      </c>
      <c r="AG395" s="133">
        <f>'Optional Adjustment 15'!G395*$AG$1</f>
        <v>0</v>
      </c>
      <c r="AH395" s="133">
        <f>'Optional Adjustment 16'!G395*$AH$1</f>
        <v>0</v>
      </c>
      <c r="AI395" s="133">
        <f>'Optional Adjustment 17'!G395*$AI$1</f>
        <v>0</v>
      </c>
      <c r="AJ395" s="133">
        <f>'Optional Adjustment 18'!G395*$AJ$1</f>
        <v>0</v>
      </c>
      <c r="AK395" s="133">
        <f>'Optional Adjustment 19'!G395*$AK$1</f>
        <v>0</v>
      </c>
      <c r="AL395" s="133">
        <f>'Optional Adjustment 20'!G395*$AL$1</f>
        <v>0</v>
      </c>
      <c r="AM395" s="133">
        <f>'Optional Adjustment 21'!G395*$AM$1</f>
        <v>0</v>
      </c>
      <c r="AN395" s="133">
        <f>'Optional Adjustment 22'!G395*$AN$1</f>
        <v>0</v>
      </c>
      <c r="AO395" s="133">
        <f>'Optional Adjustment 23'!G395*$AO$1</f>
        <v>0</v>
      </c>
      <c r="AP395" s="133">
        <f>'Optional Adjustment 24'!G395*$AP$1</f>
        <v>0</v>
      </c>
      <c r="AQ395" s="133">
        <f>'Optional Adjustment 25'!G395*$AQ$1</f>
        <v>0</v>
      </c>
      <c r="AR395" s="133">
        <f>'Optional Adjustment 26'!G395*$AR$1</f>
        <v>0</v>
      </c>
      <c r="AS395" s="133">
        <f>'Optional Adjustment 27'!G395*$AS$1</f>
        <v>0</v>
      </c>
      <c r="AT395" s="133"/>
      <c r="AU395" s="133">
        <f>SUM(F395:AT395)</f>
        <v>0</v>
      </c>
      <c r="AV395" s="116"/>
      <c r="AW395" s="133">
        <f>SUM(AU395:AU395)</f>
        <v>0</v>
      </c>
      <c r="AX395" s="133">
        <f>+AW395-'ROR-Model'!G395</f>
        <v>0</v>
      </c>
    </row>
    <row r="396" spans="1:50">
      <c r="A396" s="134"/>
      <c r="B396" s="106"/>
      <c r="C396" s="106" t="s">
        <v>24</v>
      </c>
      <c r="D396" s="106"/>
      <c r="E396" s="742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33"/>
      <c r="R396" s="133"/>
      <c r="S396" s="133"/>
      <c r="T396" s="133">
        <f>'Optional Adjustment 2'!G396*$T$1</f>
        <v>0</v>
      </c>
      <c r="U396" s="133">
        <f>'Optional Adjustment 3'!G396*$U$1</f>
        <v>0</v>
      </c>
      <c r="V396" s="133">
        <f>'Optional Adjustment 4'!G396*$V$1</f>
        <v>0</v>
      </c>
      <c r="W396" s="133">
        <f>'Optional Adjustment 5'!G396*$W$1</f>
        <v>0</v>
      </c>
      <c r="X396" s="133">
        <f>'Optional Adjustment 6'!G396*$X$1</f>
        <v>0</v>
      </c>
      <c r="Y396" s="133">
        <f>'Optional Adjustment 7'!G396*$Y$1</f>
        <v>0</v>
      </c>
      <c r="Z396" s="133">
        <f>'Optional Adjustment 8'!G396*$Z$1</f>
        <v>0</v>
      </c>
      <c r="AA396" s="133">
        <f>'Optional Adjustment 9'!G396*$AA$1</f>
        <v>0</v>
      </c>
      <c r="AB396" s="133">
        <f>'Optional Adjustment 10'!G396*$AB$1</f>
        <v>0</v>
      </c>
      <c r="AC396" s="133">
        <f>'Optional Adjustment 11'!G396*$AC$1</f>
        <v>0</v>
      </c>
      <c r="AD396" s="133">
        <f>'Optional Adjustment 12'!G396*$AD$1</f>
        <v>0</v>
      </c>
      <c r="AE396" s="133">
        <f>'Optional Adjustment 13'!G396*$AE$1</f>
        <v>0</v>
      </c>
      <c r="AF396" s="133">
        <f>'Optional Adjustment 14'!G396*$AF$1</f>
        <v>0</v>
      </c>
      <c r="AG396" s="133">
        <f>'Optional Adjustment 15'!G396*$AG$1</f>
        <v>0</v>
      </c>
      <c r="AH396" s="133">
        <f>'Optional Adjustment 16'!G396*$AH$1</f>
        <v>0</v>
      </c>
      <c r="AI396" s="133">
        <f>'Optional Adjustment 17'!G396*$AI$1</f>
        <v>0</v>
      </c>
      <c r="AJ396" s="133">
        <f>'Optional Adjustment 18'!G396*$AJ$1</f>
        <v>0</v>
      </c>
      <c r="AK396" s="133">
        <f>'Optional Adjustment 19'!G396*$AK$1</f>
        <v>0</v>
      </c>
      <c r="AL396" s="133">
        <f>'Optional Adjustment 20'!G396*$AL$1</f>
        <v>0</v>
      </c>
      <c r="AM396" s="133">
        <f>'Optional Adjustment 21'!G396*$AM$1</f>
        <v>0</v>
      </c>
      <c r="AN396" s="133">
        <f>'Optional Adjustment 22'!G396*$AN$1</f>
        <v>0</v>
      </c>
      <c r="AO396" s="133">
        <f>'Optional Adjustment 23'!G396*$AO$1</f>
        <v>0</v>
      </c>
      <c r="AP396" s="133">
        <f>'Optional Adjustment 24'!G396*$AP$1</f>
        <v>0</v>
      </c>
      <c r="AQ396" s="133">
        <f>'Optional Adjustment 25'!G396*$AQ$1</f>
        <v>0</v>
      </c>
      <c r="AR396" s="133">
        <f>'Optional Adjustment 26'!G396*$AR$1</f>
        <v>0</v>
      </c>
      <c r="AS396" s="133">
        <f>'Optional Adjustment 27'!G396*$AS$1</f>
        <v>0</v>
      </c>
      <c r="AT396" s="133"/>
      <c r="AU396" s="133">
        <f>SUM(F396:AT396)</f>
        <v>0</v>
      </c>
      <c r="AV396" s="116"/>
      <c r="AW396" s="133">
        <f>SUM(AU396:AU396)</f>
        <v>0</v>
      </c>
      <c r="AX396" s="133">
        <f>+AW396-'ROR-Model'!G396</f>
        <v>0</v>
      </c>
    </row>
    <row r="397" spans="1:50">
      <c r="A397" s="134"/>
      <c r="B397" s="106"/>
      <c r="C397" s="106" t="s">
        <v>170</v>
      </c>
      <c r="D397" s="106"/>
      <c r="E397" s="742"/>
      <c r="F397" s="131">
        <f>SUM(F395:F396)</f>
        <v>0</v>
      </c>
      <c r="G397" s="131"/>
      <c r="H397" s="131">
        <f>H1*SUM(H395:H396)</f>
        <v>0</v>
      </c>
      <c r="I397" s="131">
        <f>SUM(I395:I396)</f>
        <v>0</v>
      </c>
      <c r="J397" s="131">
        <f t="shared" ref="J397:P397" si="486">SUM(J395:J396)</f>
        <v>0</v>
      </c>
      <c r="K397" s="131">
        <f t="shared" si="486"/>
        <v>0</v>
      </c>
      <c r="L397" s="131">
        <f t="shared" si="486"/>
        <v>0</v>
      </c>
      <c r="M397" s="131">
        <f t="shared" si="486"/>
        <v>0</v>
      </c>
      <c r="N397" s="131">
        <f t="shared" si="486"/>
        <v>0</v>
      </c>
      <c r="O397" s="131">
        <f t="shared" si="486"/>
        <v>0</v>
      </c>
      <c r="P397" s="131">
        <f t="shared" si="486"/>
        <v>0</v>
      </c>
      <c r="Q397" s="241">
        <f>SUM(Q395:Q396)</f>
        <v>0</v>
      </c>
      <c r="R397" s="241">
        <f>SUM(R395:R396)</f>
        <v>0</v>
      </c>
      <c r="S397" s="556"/>
      <c r="T397" s="556">
        <f t="shared" ref="T397:AG397" si="487">SUM(T395:T396)</f>
        <v>0</v>
      </c>
      <c r="U397" s="556">
        <f t="shared" si="487"/>
        <v>0</v>
      </c>
      <c r="V397" s="556">
        <f t="shared" si="487"/>
        <v>0</v>
      </c>
      <c r="W397" s="556">
        <f t="shared" si="487"/>
        <v>0</v>
      </c>
      <c r="X397" s="556">
        <f t="shared" si="487"/>
        <v>0</v>
      </c>
      <c r="Y397" s="556">
        <f t="shared" si="487"/>
        <v>0</v>
      </c>
      <c r="Z397" s="556">
        <f t="shared" si="487"/>
        <v>0</v>
      </c>
      <c r="AA397" s="556">
        <f t="shared" si="487"/>
        <v>0</v>
      </c>
      <c r="AB397" s="556">
        <f t="shared" si="487"/>
        <v>0</v>
      </c>
      <c r="AC397" s="556">
        <f t="shared" si="487"/>
        <v>0</v>
      </c>
      <c r="AD397" s="556">
        <f t="shared" si="487"/>
        <v>0</v>
      </c>
      <c r="AE397" s="556">
        <f t="shared" si="487"/>
        <v>0</v>
      </c>
      <c r="AF397" s="556">
        <f t="shared" si="487"/>
        <v>0</v>
      </c>
      <c r="AG397" s="556">
        <f t="shared" si="487"/>
        <v>0</v>
      </c>
      <c r="AH397" s="556">
        <f t="shared" ref="AH397:AK397" si="488">SUM(AH395:AH396)</f>
        <v>0</v>
      </c>
      <c r="AI397" s="556">
        <f t="shared" si="488"/>
        <v>0</v>
      </c>
      <c r="AJ397" s="556">
        <f t="shared" si="488"/>
        <v>0</v>
      </c>
      <c r="AK397" s="556">
        <f t="shared" si="488"/>
        <v>0</v>
      </c>
      <c r="AL397" s="556">
        <f t="shared" ref="AL397:AP397" si="489">SUM(AL395:AL396)</f>
        <v>0</v>
      </c>
      <c r="AM397" s="556">
        <f t="shared" si="489"/>
        <v>0</v>
      </c>
      <c r="AN397" s="556">
        <f t="shared" si="489"/>
        <v>0</v>
      </c>
      <c r="AO397" s="556">
        <f t="shared" si="489"/>
        <v>0</v>
      </c>
      <c r="AP397" s="556">
        <f t="shared" si="489"/>
        <v>0</v>
      </c>
      <c r="AQ397" s="556">
        <f t="shared" ref="AQ397:AS397" si="490">SUM(AQ395:AQ396)</f>
        <v>0</v>
      </c>
      <c r="AR397" s="556">
        <f t="shared" si="490"/>
        <v>0</v>
      </c>
      <c r="AS397" s="556">
        <f t="shared" si="490"/>
        <v>0</v>
      </c>
      <c r="AT397" s="556"/>
      <c r="AU397" s="241">
        <f>SUM(AU395:AU396)</f>
        <v>0</v>
      </c>
      <c r="AV397" s="131"/>
      <c r="AW397" s="241">
        <f>SUM(AW395:AW396)</f>
        <v>0</v>
      </c>
      <c r="AX397" s="241">
        <f>+AW397-'ROR-Model'!G397</f>
        <v>0</v>
      </c>
    </row>
    <row r="398" spans="1:50">
      <c r="A398" s="134"/>
      <c r="B398" s="106"/>
      <c r="C398" s="106"/>
      <c r="D398" s="106"/>
      <c r="E398" s="742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16"/>
      <c r="AW398" s="133"/>
      <c r="AX398" s="133">
        <f>+AW398-'ROR-Model'!G398</f>
        <v>0</v>
      </c>
    </row>
    <row r="399" spans="1:50">
      <c r="A399" s="134">
        <v>4862</v>
      </c>
      <c r="B399" s="106" t="s">
        <v>316</v>
      </c>
      <c r="C399" s="106"/>
      <c r="D399" s="106"/>
      <c r="E399" s="742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16"/>
      <c r="AW399" s="133"/>
      <c r="AX399" s="133">
        <f>+AW399-'ROR-Model'!G399</f>
        <v>0</v>
      </c>
    </row>
    <row r="400" spans="1:50">
      <c r="A400" s="134"/>
      <c r="B400" s="106"/>
      <c r="C400" s="106" t="s">
        <v>14</v>
      </c>
      <c r="D400" s="106"/>
      <c r="E400" s="742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33"/>
      <c r="R400" s="133"/>
      <c r="S400" s="133"/>
      <c r="T400" s="133">
        <f>'Optional Adjustment 2'!G400*$T$1</f>
        <v>0</v>
      </c>
      <c r="U400" s="133">
        <f>'Optional Adjustment 3'!G400*$U$1</f>
        <v>0</v>
      </c>
      <c r="V400" s="133">
        <f>'Optional Adjustment 4'!G400*$V$1</f>
        <v>0</v>
      </c>
      <c r="W400" s="133">
        <f>'Optional Adjustment 5'!G400*$W$1</f>
        <v>0</v>
      </c>
      <c r="X400" s="133">
        <f>'Optional Adjustment 6'!G400*$X$1</f>
        <v>0</v>
      </c>
      <c r="Y400" s="133">
        <f>'Optional Adjustment 7'!G400*$Y$1</f>
        <v>0</v>
      </c>
      <c r="Z400" s="133">
        <f>'Optional Adjustment 8'!G400*$Z$1</f>
        <v>0</v>
      </c>
      <c r="AA400" s="133">
        <f>'Optional Adjustment 9'!G400*$AA$1</f>
        <v>0</v>
      </c>
      <c r="AB400" s="133">
        <f>'Optional Adjustment 10'!G400*$AB$1</f>
        <v>0</v>
      </c>
      <c r="AC400" s="133">
        <f>'Optional Adjustment 11'!G400*$AC$1</f>
        <v>0</v>
      </c>
      <c r="AD400" s="133">
        <f>'Optional Adjustment 12'!G400*$AD$1</f>
        <v>0</v>
      </c>
      <c r="AE400" s="133">
        <f>'Optional Adjustment 13'!G400*$AE$1</f>
        <v>0</v>
      </c>
      <c r="AF400" s="133">
        <f>'Optional Adjustment 14'!G400*$AF$1</f>
        <v>0</v>
      </c>
      <c r="AG400" s="133">
        <f>'Optional Adjustment 15'!G400*$AG$1</f>
        <v>0</v>
      </c>
      <c r="AH400" s="133">
        <f>'Optional Adjustment 16'!G400*$AH$1</f>
        <v>0</v>
      </c>
      <c r="AI400" s="133">
        <f>'Optional Adjustment 17'!G400*$AI$1</f>
        <v>0</v>
      </c>
      <c r="AJ400" s="133">
        <f>'Optional Adjustment 18'!G400*$AJ$1</f>
        <v>0</v>
      </c>
      <c r="AK400" s="133">
        <f>'Optional Adjustment 19'!G400*$AK$1</f>
        <v>0</v>
      </c>
      <c r="AL400" s="133">
        <f>'Optional Adjustment 20'!G400*$AL$1</f>
        <v>0</v>
      </c>
      <c r="AM400" s="133">
        <f>'Optional Adjustment 21'!G400*$AM$1</f>
        <v>0</v>
      </c>
      <c r="AN400" s="133">
        <f>'Optional Adjustment 22'!G400*$AN$1</f>
        <v>0</v>
      </c>
      <c r="AO400" s="133">
        <f>'Optional Adjustment 23'!G400*$AO$1</f>
        <v>0</v>
      </c>
      <c r="AP400" s="133">
        <f>'Optional Adjustment 24'!G400*$AP$1</f>
        <v>0</v>
      </c>
      <c r="AQ400" s="133">
        <f>'Optional Adjustment 25'!G400*$AQ$1</f>
        <v>0</v>
      </c>
      <c r="AR400" s="133">
        <f>'Optional Adjustment 26'!G400*$AR$1</f>
        <v>0</v>
      </c>
      <c r="AS400" s="133">
        <f>'Optional Adjustment 27'!G400*$AS$1</f>
        <v>0</v>
      </c>
      <c r="AT400" s="133"/>
      <c r="AU400" s="133">
        <f>SUM(F400:AT400)</f>
        <v>0</v>
      </c>
      <c r="AV400" s="116"/>
      <c r="AW400" s="133">
        <f>SUM(AU400:AU400)</f>
        <v>0</v>
      </c>
      <c r="AX400" s="133">
        <f>+AW400-'ROR-Model'!G400</f>
        <v>0</v>
      </c>
    </row>
    <row r="401" spans="1:50">
      <c r="A401" s="134"/>
      <c r="B401" s="106"/>
      <c r="C401" s="106" t="s">
        <v>24</v>
      </c>
      <c r="D401" s="106"/>
      <c r="E401" s="742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33"/>
      <c r="R401" s="133"/>
      <c r="S401" s="133"/>
      <c r="T401" s="133">
        <f>'Optional Adjustment 2'!G401*$T$1</f>
        <v>0</v>
      </c>
      <c r="U401" s="133">
        <f>'Optional Adjustment 3'!G401*$U$1</f>
        <v>0</v>
      </c>
      <c r="V401" s="133">
        <f>'Optional Adjustment 4'!G401*$V$1</f>
        <v>0</v>
      </c>
      <c r="W401" s="133">
        <f>'Optional Adjustment 5'!G401*$W$1</f>
        <v>0</v>
      </c>
      <c r="X401" s="133">
        <f>'Optional Adjustment 6'!G401*$X$1</f>
        <v>0</v>
      </c>
      <c r="Y401" s="133">
        <f>'Optional Adjustment 7'!G401*$Y$1</f>
        <v>0</v>
      </c>
      <c r="Z401" s="133">
        <f>'Optional Adjustment 8'!G401*$Z$1</f>
        <v>0</v>
      </c>
      <c r="AA401" s="133">
        <f>'Optional Adjustment 9'!G401*$AA$1</f>
        <v>0</v>
      </c>
      <c r="AB401" s="133">
        <f>'Optional Adjustment 10'!G401*$AB$1</f>
        <v>0</v>
      </c>
      <c r="AC401" s="133">
        <f>'Optional Adjustment 11'!G401*$AC$1</f>
        <v>0</v>
      </c>
      <c r="AD401" s="133">
        <f>'Optional Adjustment 12'!G401*$AD$1</f>
        <v>0</v>
      </c>
      <c r="AE401" s="133">
        <f>'Optional Adjustment 13'!G401*$AE$1</f>
        <v>0</v>
      </c>
      <c r="AF401" s="133">
        <f>'Optional Adjustment 14'!G401*$AF$1</f>
        <v>0</v>
      </c>
      <c r="AG401" s="133">
        <f>'Optional Adjustment 15'!G401*$AG$1</f>
        <v>0</v>
      </c>
      <c r="AH401" s="133">
        <f>'Optional Adjustment 16'!G401*$AH$1</f>
        <v>0</v>
      </c>
      <c r="AI401" s="133">
        <f>'Optional Adjustment 17'!G401*$AI$1</f>
        <v>0</v>
      </c>
      <c r="AJ401" s="133">
        <f>'Optional Adjustment 18'!G401*$AJ$1</f>
        <v>0</v>
      </c>
      <c r="AK401" s="133">
        <f>'Optional Adjustment 19'!G401*$AK$1</f>
        <v>0</v>
      </c>
      <c r="AL401" s="133">
        <f>'Optional Adjustment 20'!G401*$AL$1</f>
        <v>0</v>
      </c>
      <c r="AM401" s="133">
        <f>'Optional Adjustment 21'!G401*$AM$1</f>
        <v>0</v>
      </c>
      <c r="AN401" s="133">
        <f>'Optional Adjustment 22'!G401*$AN$1</f>
        <v>0</v>
      </c>
      <c r="AO401" s="133">
        <f>'Optional Adjustment 23'!G401*$AO$1</f>
        <v>0</v>
      </c>
      <c r="AP401" s="133">
        <f>'Optional Adjustment 24'!G401*$AP$1</f>
        <v>0</v>
      </c>
      <c r="AQ401" s="133">
        <f>'Optional Adjustment 25'!G401*$AQ$1</f>
        <v>0</v>
      </c>
      <c r="AR401" s="133">
        <f>'Optional Adjustment 26'!G401*$AR$1</f>
        <v>0</v>
      </c>
      <c r="AS401" s="133">
        <f>'Optional Adjustment 27'!G401*$AS$1</f>
        <v>0</v>
      </c>
      <c r="AT401" s="133"/>
      <c r="AU401" s="133">
        <f>SUM(F401:AT401)</f>
        <v>0</v>
      </c>
      <c r="AV401" s="116"/>
      <c r="AW401" s="133">
        <f>SUM(AU401:AU401)</f>
        <v>0</v>
      </c>
      <c r="AX401" s="133">
        <f>+AW401-'ROR-Model'!G401</f>
        <v>0</v>
      </c>
    </row>
    <row r="402" spans="1:50">
      <c r="A402" s="134"/>
      <c r="B402" s="106"/>
      <c r="C402" s="106" t="s">
        <v>170</v>
      </c>
      <c r="D402" s="106"/>
      <c r="E402" s="742"/>
      <c r="F402" s="131">
        <f>SUM(F400:F401)</f>
        <v>0</v>
      </c>
      <c r="G402" s="131"/>
      <c r="H402" s="131">
        <f>H1*SUM(H400:H401)</f>
        <v>0</v>
      </c>
      <c r="I402" s="131">
        <f>SUM(I400:I401)</f>
        <v>0</v>
      </c>
      <c r="J402" s="131">
        <f t="shared" ref="J402:P402" si="491">SUM(J400:J401)</f>
        <v>0</v>
      </c>
      <c r="K402" s="131">
        <f t="shared" si="491"/>
        <v>0</v>
      </c>
      <c r="L402" s="131">
        <f t="shared" si="491"/>
        <v>0</v>
      </c>
      <c r="M402" s="131">
        <f t="shared" si="491"/>
        <v>0</v>
      </c>
      <c r="N402" s="131">
        <f t="shared" si="491"/>
        <v>0</v>
      </c>
      <c r="O402" s="131">
        <f t="shared" si="491"/>
        <v>0</v>
      </c>
      <c r="P402" s="131">
        <f t="shared" si="491"/>
        <v>0</v>
      </c>
      <c r="Q402" s="241">
        <f>SUM(Q400:Q401)</f>
        <v>0</v>
      </c>
      <c r="R402" s="241">
        <f>SUM(R400:R401)</f>
        <v>0</v>
      </c>
      <c r="S402" s="556"/>
      <c r="T402" s="556">
        <f t="shared" ref="T402:AG402" si="492">SUM(T400:T401)</f>
        <v>0</v>
      </c>
      <c r="U402" s="556">
        <f t="shared" si="492"/>
        <v>0</v>
      </c>
      <c r="V402" s="556">
        <f t="shared" si="492"/>
        <v>0</v>
      </c>
      <c r="W402" s="556">
        <f t="shared" si="492"/>
        <v>0</v>
      </c>
      <c r="X402" s="556">
        <f t="shared" si="492"/>
        <v>0</v>
      </c>
      <c r="Y402" s="556">
        <f t="shared" si="492"/>
        <v>0</v>
      </c>
      <c r="Z402" s="556">
        <f t="shared" si="492"/>
        <v>0</v>
      </c>
      <c r="AA402" s="556">
        <f t="shared" si="492"/>
        <v>0</v>
      </c>
      <c r="AB402" s="556">
        <f t="shared" si="492"/>
        <v>0</v>
      </c>
      <c r="AC402" s="556">
        <f t="shared" si="492"/>
        <v>0</v>
      </c>
      <c r="AD402" s="556">
        <f t="shared" si="492"/>
        <v>0</v>
      </c>
      <c r="AE402" s="556">
        <f t="shared" si="492"/>
        <v>0</v>
      </c>
      <c r="AF402" s="556">
        <f t="shared" si="492"/>
        <v>0</v>
      </c>
      <c r="AG402" s="556">
        <f t="shared" si="492"/>
        <v>0</v>
      </c>
      <c r="AH402" s="556">
        <f t="shared" ref="AH402:AK402" si="493">SUM(AH400:AH401)</f>
        <v>0</v>
      </c>
      <c r="AI402" s="556">
        <f t="shared" si="493"/>
        <v>0</v>
      </c>
      <c r="AJ402" s="556">
        <f t="shared" si="493"/>
        <v>0</v>
      </c>
      <c r="AK402" s="556">
        <f t="shared" si="493"/>
        <v>0</v>
      </c>
      <c r="AL402" s="556">
        <f t="shared" ref="AL402:AP402" si="494">SUM(AL400:AL401)</f>
        <v>0</v>
      </c>
      <c r="AM402" s="556">
        <f t="shared" si="494"/>
        <v>0</v>
      </c>
      <c r="AN402" s="556">
        <f t="shared" si="494"/>
        <v>0</v>
      </c>
      <c r="AO402" s="556">
        <f t="shared" si="494"/>
        <v>0</v>
      </c>
      <c r="AP402" s="556">
        <f t="shared" si="494"/>
        <v>0</v>
      </c>
      <c r="AQ402" s="556">
        <f t="shared" ref="AQ402:AS402" si="495">SUM(AQ400:AQ401)</f>
        <v>0</v>
      </c>
      <c r="AR402" s="556">
        <f t="shared" si="495"/>
        <v>0</v>
      </c>
      <c r="AS402" s="556">
        <f t="shared" si="495"/>
        <v>0</v>
      </c>
      <c r="AT402" s="556"/>
      <c r="AU402" s="241">
        <f>SUM(AU400:AU401)</f>
        <v>0</v>
      </c>
      <c r="AV402" s="131"/>
      <c r="AW402" s="241">
        <f>SUM(AW400:AW401)</f>
        <v>0</v>
      </c>
      <c r="AX402" s="241">
        <f>+AW402-'ROR-Model'!G402</f>
        <v>0</v>
      </c>
    </row>
    <row r="403" spans="1:50">
      <c r="A403" s="134"/>
      <c r="B403" s="106"/>
      <c r="C403" s="106"/>
      <c r="D403" s="106"/>
      <c r="E403" s="742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16"/>
      <c r="AW403" s="133"/>
      <c r="AX403" s="133">
        <f>+AW403-'ROR-Model'!G403</f>
        <v>0</v>
      </c>
    </row>
    <row r="404" spans="1:50">
      <c r="A404" s="134" t="s">
        <v>411</v>
      </c>
      <c r="B404" s="106" t="s">
        <v>317</v>
      </c>
      <c r="C404" s="106"/>
      <c r="D404" s="106"/>
      <c r="E404" s="742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16"/>
      <c r="AW404" s="133"/>
      <c r="AX404" s="133">
        <f>+AW404-'ROR-Model'!G404</f>
        <v>0</v>
      </c>
    </row>
    <row r="405" spans="1:50">
      <c r="A405" s="134"/>
      <c r="B405" s="106"/>
      <c r="C405" s="106" t="s">
        <v>14</v>
      </c>
      <c r="D405" s="106"/>
      <c r="E405" s="742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33"/>
      <c r="R405" s="133"/>
      <c r="S405" s="133"/>
      <c r="T405" s="133">
        <f>'Optional Adjustment 2'!G405*$T$1</f>
        <v>0</v>
      </c>
      <c r="U405" s="133">
        <f>'Optional Adjustment 3'!G405*$U$1</f>
        <v>0</v>
      </c>
      <c r="V405" s="133">
        <f>'Optional Adjustment 4'!G405*$V$1</f>
        <v>0</v>
      </c>
      <c r="W405" s="133">
        <f>'Optional Adjustment 5'!G405*$W$1</f>
        <v>0</v>
      </c>
      <c r="X405" s="133">
        <f>'Optional Adjustment 6'!G405*$X$1</f>
        <v>0</v>
      </c>
      <c r="Y405" s="133">
        <f>'Optional Adjustment 7'!G405*$Y$1</f>
        <v>0</v>
      </c>
      <c r="Z405" s="133">
        <f>'Optional Adjustment 8'!G405*$Z$1</f>
        <v>0</v>
      </c>
      <c r="AA405" s="133">
        <f>'Optional Adjustment 9'!G405*$AA$1</f>
        <v>0</v>
      </c>
      <c r="AB405" s="133">
        <f>'Optional Adjustment 10'!G405*$AB$1</f>
        <v>0</v>
      </c>
      <c r="AC405" s="133">
        <f>'Optional Adjustment 11'!G405*$AC$1</f>
        <v>0</v>
      </c>
      <c r="AD405" s="133">
        <f>'Optional Adjustment 12'!G405*$AD$1</f>
        <v>0</v>
      </c>
      <c r="AE405" s="133">
        <f>'Optional Adjustment 13'!G405*$AE$1</f>
        <v>0</v>
      </c>
      <c r="AF405" s="133">
        <f>'Optional Adjustment 14'!G405*$AF$1</f>
        <v>0</v>
      </c>
      <c r="AG405" s="133">
        <f>'Optional Adjustment 15'!G405*$AG$1</f>
        <v>0</v>
      </c>
      <c r="AH405" s="133">
        <f>'Optional Adjustment 16'!G405*$AH$1</f>
        <v>0</v>
      </c>
      <c r="AI405" s="133">
        <f>'Optional Adjustment 17'!G405*$AI$1</f>
        <v>0</v>
      </c>
      <c r="AJ405" s="133">
        <f>'Optional Adjustment 18'!G405*$AJ$1</f>
        <v>0</v>
      </c>
      <c r="AK405" s="133">
        <f>'Optional Adjustment 19'!G405*$AK$1</f>
        <v>0</v>
      </c>
      <c r="AL405" s="133">
        <f>'Optional Adjustment 20'!G405*$AL$1</f>
        <v>0</v>
      </c>
      <c r="AM405" s="133">
        <f>'Optional Adjustment 21'!G405*$AM$1</f>
        <v>0</v>
      </c>
      <c r="AN405" s="133">
        <f>'Optional Adjustment 22'!G405*$AN$1</f>
        <v>0</v>
      </c>
      <c r="AO405" s="133">
        <f>'Optional Adjustment 23'!G405*$AO$1</f>
        <v>0</v>
      </c>
      <c r="AP405" s="133">
        <f>'Optional Adjustment 24'!G405*$AP$1</f>
        <v>0</v>
      </c>
      <c r="AQ405" s="133">
        <f>'Optional Adjustment 25'!G405*$AQ$1</f>
        <v>0</v>
      </c>
      <c r="AR405" s="133">
        <f>'Optional Adjustment 26'!G405*$AR$1</f>
        <v>0</v>
      </c>
      <c r="AS405" s="133">
        <f>'Optional Adjustment 27'!G405*$AS$1</f>
        <v>0</v>
      </c>
      <c r="AT405" s="133"/>
      <c r="AU405" s="133">
        <f>SUM(F405:AT405)</f>
        <v>0</v>
      </c>
      <c r="AV405" s="116"/>
      <c r="AW405" s="133">
        <f>SUM(AU405:AU405)</f>
        <v>0</v>
      </c>
      <c r="AX405" s="133">
        <f>+AW405-'ROR-Model'!G405</f>
        <v>0</v>
      </c>
    </row>
    <row r="406" spans="1:50">
      <c r="A406" s="134"/>
      <c r="B406" s="106"/>
      <c r="C406" s="106" t="s">
        <v>24</v>
      </c>
      <c r="D406" s="106"/>
      <c r="E406" s="742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33"/>
      <c r="R406" s="133"/>
      <c r="S406" s="133"/>
      <c r="T406" s="133">
        <f>'Optional Adjustment 2'!G406*$T$1</f>
        <v>0</v>
      </c>
      <c r="U406" s="133">
        <f>'Optional Adjustment 3'!G406*$U$1</f>
        <v>0</v>
      </c>
      <c r="V406" s="133">
        <f>'Optional Adjustment 4'!G406*$V$1</f>
        <v>0</v>
      </c>
      <c r="W406" s="133">
        <f>'Optional Adjustment 5'!G406*$W$1</f>
        <v>0</v>
      </c>
      <c r="X406" s="133">
        <f>'Optional Adjustment 6'!G406*$X$1</f>
        <v>0</v>
      </c>
      <c r="Y406" s="133">
        <f>'Optional Adjustment 7'!G406*$Y$1</f>
        <v>0</v>
      </c>
      <c r="Z406" s="133">
        <f>'Optional Adjustment 8'!G406*$Z$1</f>
        <v>0</v>
      </c>
      <c r="AA406" s="133">
        <f>'Optional Adjustment 9'!G406*$AA$1</f>
        <v>0</v>
      </c>
      <c r="AB406" s="133">
        <f>'Optional Adjustment 10'!G406*$AB$1</f>
        <v>0</v>
      </c>
      <c r="AC406" s="133">
        <f>'Optional Adjustment 11'!G406*$AC$1</f>
        <v>0</v>
      </c>
      <c r="AD406" s="133">
        <f>'Optional Adjustment 12'!G406*$AD$1</f>
        <v>0</v>
      </c>
      <c r="AE406" s="133">
        <f>'Optional Adjustment 13'!G406*$AE$1</f>
        <v>0</v>
      </c>
      <c r="AF406" s="133">
        <f>'Optional Adjustment 14'!G406*$AF$1</f>
        <v>0</v>
      </c>
      <c r="AG406" s="133">
        <f>'Optional Adjustment 15'!G406*$AG$1</f>
        <v>0</v>
      </c>
      <c r="AH406" s="133">
        <f>'Optional Adjustment 16'!G406*$AH$1</f>
        <v>0</v>
      </c>
      <c r="AI406" s="133">
        <f>'Optional Adjustment 17'!G406*$AI$1</f>
        <v>0</v>
      </c>
      <c r="AJ406" s="133">
        <f>'Optional Adjustment 18'!G406*$AJ$1</f>
        <v>0</v>
      </c>
      <c r="AK406" s="133">
        <f>'Optional Adjustment 19'!G406*$AK$1</f>
        <v>0</v>
      </c>
      <c r="AL406" s="133">
        <f>'Optional Adjustment 20'!G406*$AL$1</f>
        <v>0</v>
      </c>
      <c r="AM406" s="133">
        <f>'Optional Adjustment 21'!G406*$AM$1</f>
        <v>0</v>
      </c>
      <c r="AN406" s="133">
        <f>'Optional Adjustment 22'!G406*$AN$1</f>
        <v>0</v>
      </c>
      <c r="AO406" s="133">
        <f>'Optional Adjustment 23'!G406*$AO$1</f>
        <v>0</v>
      </c>
      <c r="AP406" s="133">
        <f>'Optional Adjustment 24'!G406*$AP$1</f>
        <v>0</v>
      </c>
      <c r="AQ406" s="133">
        <f>'Optional Adjustment 25'!G406*$AQ$1</f>
        <v>0</v>
      </c>
      <c r="AR406" s="133">
        <f>'Optional Adjustment 26'!G406*$AR$1</f>
        <v>0</v>
      </c>
      <c r="AS406" s="133">
        <f>'Optional Adjustment 27'!G406*$AS$1</f>
        <v>0</v>
      </c>
      <c r="AT406" s="133"/>
      <c r="AU406" s="133">
        <f>SUM(F406:AT406)</f>
        <v>0</v>
      </c>
      <c r="AV406" s="116"/>
      <c r="AW406" s="133">
        <f>SUM(AU406:AU406)</f>
        <v>0</v>
      </c>
      <c r="AX406" s="133">
        <f>+AW406-'ROR-Model'!G406</f>
        <v>0</v>
      </c>
    </row>
    <row r="407" spans="1:50">
      <c r="A407" s="134"/>
      <c r="B407" s="106"/>
      <c r="C407" s="106" t="s">
        <v>170</v>
      </c>
      <c r="D407" s="106"/>
      <c r="E407" s="742"/>
      <c r="F407" s="131">
        <f>SUM(F405:F406)</f>
        <v>0</v>
      </c>
      <c r="G407" s="131"/>
      <c r="H407" s="131">
        <f>H1*SUM(H405:H406)</f>
        <v>0</v>
      </c>
      <c r="I407" s="131">
        <f>SUM(I405:I406)</f>
        <v>0</v>
      </c>
      <c r="J407" s="131">
        <f t="shared" ref="J407:P407" si="496">SUM(J405:J406)</f>
        <v>0</v>
      </c>
      <c r="K407" s="131">
        <f t="shared" si="496"/>
        <v>0</v>
      </c>
      <c r="L407" s="131">
        <f t="shared" si="496"/>
        <v>0</v>
      </c>
      <c r="M407" s="131">
        <f t="shared" si="496"/>
        <v>0</v>
      </c>
      <c r="N407" s="131">
        <f t="shared" si="496"/>
        <v>0</v>
      </c>
      <c r="O407" s="131">
        <f t="shared" si="496"/>
        <v>0</v>
      </c>
      <c r="P407" s="131">
        <f t="shared" si="496"/>
        <v>0</v>
      </c>
      <c r="Q407" s="241">
        <f>SUM(Q405:Q406)</f>
        <v>0</v>
      </c>
      <c r="R407" s="241">
        <f>SUM(R405:R406)</f>
        <v>0</v>
      </c>
      <c r="S407" s="556"/>
      <c r="T407" s="556">
        <f t="shared" ref="T407:AG407" si="497">SUM(T405:T406)</f>
        <v>0</v>
      </c>
      <c r="U407" s="556">
        <f t="shared" si="497"/>
        <v>0</v>
      </c>
      <c r="V407" s="556">
        <f t="shared" si="497"/>
        <v>0</v>
      </c>
      <c r="W407" s="556">
        <f t="shared" si="497"/>
        <v>0</v>
      </c>
      <c r="X407" s="556">
        <f t="shared" si="497"/>
        <v>0</v>
      </c>
      <c r="Y407" s="556">
        <f t="shared" si="497"/>
        <v>0</v>
      </c>
      <c r="Z407" s="556">
        <f t="shared" si="497"/>
        <v>0</v>
      </c>
      <c r="AA407" s="556">
        <f t="shared" si="497"/>
        <v>0</v>
      </c>
      <c r="AB407" s="556">
        <f t="shared" si="497"/>
        <v>0</v>
      </c>
      <c r="AC407" s="556">
        <f t="shared" si="497"/>
        <v>0</v>
      </c>
      <c r="AD407" s="556">
        <f t="shared" si="497"/>
        <v>0</v>
      </c>
      <c r="AE407" s="556">
        <f t="shared" si="497"/>
        <v>0</v>
      </c>
      <c r="AF407" s="556">
        <f t="shared" si="497"/>
        <v>0</v>
      </c>
      <c r="AG407" s="556">
        <f t="shared" si="497"/>
        <v>0</v>
      </c>
      <c r="AH407" s="556">
        <f t="shared" ref="AH407:AK407" si="498">SUM(AH405:AH406)</f>
        <v>0</v>
      </c>
      <c r="AI407" s="556">
        <f t="shared" si="498"/>
        <v>0</v>
      </c>
      <c r="AJ407" s="556">
        <f t="shared" si="498"/>
        <v>0</v>
      </c>
      <c r="AK407" s="556">
        <f t="shared" si="498"/>
        <v>0</v>
      </c>
      <c r="AL407" s="556">
        <f t="shared" ref="AL407:AP407" si="499">SUM(AL405:AL406)</f>
        <v>0</v>
      </c>
      <c r="AM407" s="556">
        <f t="shared" si="499"/>
        <v>0</v>
      </c>
      <c r="AN407" s="556">
        <f t="shared" si="499"/>
        <v>0</v>
      </c>
      <c r="AO407" s="556">
        <f t="shared" si="499"/>
        <v>0</v>
      </c>
      <c r="AP407" s="556">
        <f t="shared" si="499"/>
        <v>0</v>
      </c>
      <c r="AQ407" s="556">
        <f t="shared" ref="AQ407:AS407" si="500">SUM(AQ405:AQ406)</f>
        <v>0</v>
      </c>
      <c r="AR407" s="556">
        <f t="shared" si="500"/>
        <v>0</v>
      </c>
      <c r="AS407" s="556">
        <f t="shared" si="500"/>
        <v>0</v>
      </c>
      <c r="AT407" s="556"/>
      <c r="AU407" s="241">
        <f>SUM(AU405:AU406)</f>
        <v>0</v>
      </c>
      <c r="AV407" s="131"/>
      <c r="AW407" s="241">
        <f>SUM(AW405:AW406)</f>
        <v>0</v>
      </c>
      <c r="AX407" s="241">
        <f>+AW407-'ROR-Model'!G407</f>
        <v>0</v>
      </c>
    </row>
    <row r="408" spans="1:50">
      <c r="A408" s="134"/>
      <c r="B408" s="106"/>
      <c r="C408" s="106"/>
      <c r="D408" s="106"/>
      <c r="E408" s="742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16"/>
      <c r="AW408" s="133"/>
      <c r="AX408" s="133">
        <f>+AW408-'ROR-Model'!G408</f>
        <v>0</v>
      </c>
    </row>
    <row r="409" spans="1:50">
      <c r="A409" s="134" t="s">
        <v>412</v>
      </c>
      <c r="B409" s="106" t="s">
        <v>318</v>
      </c>
      <c r="C409" s="106"/>
      <c r="D409" s="106"/>
      <c r="E409" s="742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16"/>
      <c r="AW409" s="133"/>
      <c r="AX409" s="133">
        <f>+AW409-'ROR-Model'!G409</f>
        <v>0</v>
      </c>
    </row>
    <row r="410" spans="1:50">
      <c r="A410" s="134"/>
      <c r="B410" s="106"/>
      <c r="C410" s="106" t="s">
        <v>14</v>
      </c>
      <c r="D410" s="106"/>
      <c r="E410" s="742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33"/>
      <c r="R410" s="133"/>
      <c r="S410" s="133"/>
      <c r="T410" s="133">
        <f>'Optional Adjustment 2'!G410*$T$1</f>
        <v>0</v>
      </c>
      <c r="U410" s="133">
        <f>'Optional Adjustment 3'!G410*$U$1</f>
        <v>0</v>
      </c>
      <c r="V410" s="133">
        <f>'Optional Adjustment 4'!G410*$V$1</f>
        <v>0</v>
      </c>
      <c r="W410" s="133">
        <f>'Optional Adjustment 5'!G410*$W$1</f>
        <v>0</v>
      </c>
      <c r="X410" s="133">
        <f>'Optional Adjustment 6'!G410*$X$1</f>
        <v>0</v>
      </c>
      <c r="Y410" s="133">
        <f>'Optional Adjustment 7'!G410*$Y$1</f>
        <v>0</v>
      </c>
      <c r="Z410" s="133">
        <f>'Optional Adjustment 8'!G410*$Z$1</f>
        <v>0</v>
      </c>
      <c r="AA410" s="133">
        <f>'Optional Adjustment 9'!G410*$AA$1</f>
        <v>0</v>
      </c>
      <c r="AB410" s="133">
        <f>'Optional Adjustment 10'!G410*$AB$1</f>
        <v>0</v>
      </c>
      <c r="AC410" s="133">
        <f>'Optional Adjustment 11'!G410*$AC$1</f>
        <v>0</v>
      </c>
      <c r="AD410" s="133">
        <f>'Optional Adjustment 12'!G410*$AD$1</f>
        <v>0</v>
      </c>
      <c r="AE410" s="133">
        <f>'Optional Adjustment 13'!G410*$AE$1</f>
        <v>0</v>
      </c>
      <c r="AF410" s="133">
        <f>'Optional Adjustment 14'!G410*$AF$1</f>
        <v>0</v>
      </c>
      <c r="AG410" s="133">
        <f>'Optional Adjustment 15'!G410*$AG$1</f>
        <v>0</v>
      </c>
      <c r="AH410" s="133">
        <f>'Optional Adjustment 16'!G410*$AH$1</f>
        <v>0</v>
      </c>
      <c r="AI410" s="133">
        <f>'Optional Adjustment 17'!G410*$AI$1</f>
        <v>0</v>
      </c>
      <c r="AJ410" s="133">
        <f>'Optional Adjustment 18'!G410*$AJ$1</f>
        <v>0</v>
      </c>
      <c r="AK410" s="133">
        <f>'Optional Adjustment 19'!G410*$AK$1</f>
        <v>0</v>
      </c>
      <c r="AL410" s="133">
        <f>'Optional Adjustment 20'!G410*$AL$1</f>
        <v>0</v>
      </c>
      <c r="AM410" s="133">
        <f>'Optional Adjustment 21'!G410*$AM$1</f>
        <v>0</v>
      </c>
      <c r="AN410" s="133">
        <f>'Optional Adjustment 22'!G410*$AN$1</f>
        <v>0</v>
      </c>
      <c r="AO410" s="133">
        <f>'Optional Adjustment 23'!G410*$AO$1</f>
        <v>0</v>
      </c>
      <c r="AP410" s="133">
        <f>'Optional Adjustment 24'!G410*$AP$1</f>
        <v>0</v>
      </c>
      <c r="AQ410" s="133">
        <f>'Optional Adjustment 25'!G410*$AQ$1</f>
        <v>0</v>
      </c>
      <c r="AR410" s="133">
        <f>'Optional Adjustment 26'!G410*$AR$1</f>
        <v>0</v>
      </c>
      <c r="AS410" s="133">
        <f>'Optional Adjustment 27'!G410*$AS$1</f>
        <v>0</v>
      </c>
      <c r="AT410" s="133"/>
      <c r="AU410" s="133">
        <f>SUM(F410:AT410)</f>
        <v>0</v>
      </c>
      <c r="AV410" s="116"/>
      <c r="AW410" s="133">
        <f>SUM(AU410:AU410)</f>
        <v>0</v>
      </c>
      <c r="AX410" s="133">
        <f>+AW410-'ROR-Model'!G410</f>
        <v>0</v>
      </c>
    </row>
    <row r="411" spans="1:50">
      <c r="A411" s="134"/>
      <c r="B411" s="106"/>
      <c r="C411" s="106" t="s">
        <v>24</v>
      </c>
      <c r="D411" s="106"/>
      <c r="E411" s="742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33"/>
      <c r="R411" s="133"/>
      <c r="S411" s="133"/>
      <c r="T411" s="133">
        <f>'Optional Adjustment 2'!G411*$T$1</f>
        <v>0</v>
      </c>
      <c r="U411" s="133">
        <f>'Optional Adjustment 3'!G411*$U$1</f>
        <v>0</v>
      </c>
      <c r="V411" s="133">
        <f>'Optional Adjustment 4'!G411*$V$1</f>
        <v>0</v>
      </c>
      <c r="W411" s="133">
        <f>'Optional Adjustment 5'!G411*$W$1</f>
        <v>0</v>
      </c>
      <c r="X411" s="133">
        <f>'Optional Adjustment 6'!G411*$X$1</f>
        <v>0</v>
      </c>
      <c r="Y411" s="133">
        <f>'Optional Adjustment 7'!G411*$Y$1</f>
        <v>0</v>
      </c>
      <c r="Z411" s="133">
        <f>'Optional Adjustment 8'!G411*$Z$1</f>
        <v>0</v>
      </c>
      <c r="AA411" s="133">
        <f>'Optional Adjustment 9'!G411*$AA$1</f>
        <v>0</v>
      </c>
      <c r="AB411" s="133">
        <f>'Optional Adjustment 10'!G411*$AB$1</f>
        <v>0</v>
      </c>
      <c r="AC411" s="133">
        <f>'Optional Adjustment 11'!G411*$AC$1</f>
        <v>0</v>
      </c>
      <c r="AD411" s="133">
        <f>'Optional Adjustment 12'!G411*$AD$1</f>
        <v>0</v>
      </c>
      <c r="AE411" s="133">
        <f>'Optional Adjustment 13'!G411*$AE$1</f>
        <v>0</v>
      </c>
      <c r="AF411" s="133">
        <f>'Optional Adjustment 14'!G411*$AF$1</f>
        <v>0</v>
      </c>
      <c r="AG411" s="133">
        <f>'Optional Adjustment 15'!G411*$AG$1</f>
        <v>0</v>
      </c>
      <c r="AH411" s="133">
        <f>'Optional Adjustment 16'!G411*$AH$1</f>
        <v>0</v>
      </c>
      <c r="AI411" s="133">
        <f>'Optional Adjustment 17'!G411*$AI$1</f>
        <v>0</v>
      </c>
      <c r="AJ411" s="133">
        <f>'Optional Adjustment 18'!G411*$AJ$1</f>
        <v>0</v>
      </c>
      <c r="AK411" s="133">
        <f>'Optional Adjustment 19'!G411*$AK$1</f>
        <v>0</v>
      </c>
      <c r="AL411" s="133">
        <f>'Optional Adjustment 20'!G411*$AL$1</f>
        <v>0</v>
      </c>
      <c r="AM411" s="133">
        <f>'Optional Adjustment 21'!G411*$AM$1</f>
        <v>0</v>
      </c>
      <c r="AN411" s="133">
        <f>'Optional Adjustment 22'!G411*$AN$1</f>
        <v>0</v>
      </c>
      <c r="AO411" s="133">
        <f>'Optional Adjustment 23'!G411*$AO$1</f>
        <v>0</v>
      </c>
      <c r="AP411" s="133">
        <f>'Optional Adjustment 24'!G411*$AP$1</f>
        <v>0</v>
      </c>
      <c r="AQ411" s="133">
        <f>'Optional Adjustment 25'!G411*$AQ$1</f>
        <v>0</v>
      </c>
      <c r="AR411" s="133">
        <f>'Optional Adjustment 26'!G411*$AR$1</f>
        <v>0</v>
      </c>
      <c r="AS411" s="133">
        <f>'Optional Adjustment 27'!G411*$AS$1</f>
        <v>0</v>
      </c>
      <c r="AT411" s="133"/>
      <c r="AU411" s="133">
        <f>SUM(F411:AT411)</f>
        <v>0</v>
      </c>
      <c r="AV411" s="116"/>
      <c r="AW411" s="133">
        <f>SUM(AU411:AU411)</f>
        <v>0</v>
      </c>
      <c r="AX411" s="133">
        <f>+AW411-'ROR-Model'!G411</f>
        <v>0</v>
      </c>
    </row>
    <row r="412" spans="1:50">
      <c r="A412" s="134"/>
      <c r="B412" s="106"/>
      <c r="C412" s="106" t="s">
        <v>170</v>
      </c>
      <c r="D412" s="106"/>
      <c r="E412" s="742"/>
      <c r="F412" s="131">
        <f>SUM(F410:F411)</f>
        <v>0</v>
      </c>
      <c r="G412" s="131"/>
      <c r="H412" s="131">
        <f>H1*SUM(H410:H411)</f>
        <v>0</v>
      </c>
      <c r="I412" s="131">
        <f>SUM(I410:I411)</f>
        <v>0</v>
      </c>
      <c r="J412" s="131">
        <f t="shared" ref="J412:P412" si="501">SUM(J410:J411)</f>
        <v>0</v>
      </c>
      <c r="K412" s="131">
        <f t="shared" si="501"/>
        <v>0</v>
      </c>
      <c r="L412" s="131">
        <f t="shared" si="501"/>
        <v>0</v>
      </c>
      <c r="M412" s="131">
        <f t="shared" si="501"/>
        <v>0</v>
      </c>
      <c r="N412" s="131">
        <f t="shared" si="501"/>
        <v>0</v>
      </c>
      <c r="O412" s="131">
        <f t="shared" si="501"/>
        <v>0</v>
      </c>
      <c r="P412" s="131">
        <f t="shared" si="501"/>
        <v>0</v>
      </c>
      <c r="Q412" s="241">
        <f>SUM(Q410:Q411)</f>
        <v>0</v>
      </c>
      <c r="R412" s="241">
        <f>SUM(R410:R411)</f>
        <v>0</v>
      </c>
      <c r="S412" s="556"/>
      <c r="T412" s="556">
        <f t="shared" ref="T412:AG412" si="502">SUM(T410:T411)</f>
        <v>0</v>
      </c>
      <c r="U412" s="556">
        <f t="shared" si="502"/>
        <v>0</v>
      </c>
      <c r="V412" s="556">
        <f t="shared" si="502"/>
        <v>0</v>
      </c>
      <c r="W412" s="556">
        <f t="shared" si="502"/>
        <v>0</v>
      </c>
      <c r="X412" s="556">
        <f t="shared" si="502"/>
        <v>0</v>
      </c>
      <c r="Y412" s="556">
        <f t="shared" si="502"/>
        <v>0</v>
      </c>
      <c r="Z412" s="556">
        <f t="shared" si="502"/>
        <v>0</v>
      </c>
      <c r="AA412" s="556">
        <f t="shared" si="502"/>
        <v>0</v>
      </c>
      <c r="AB412" s="556">
        <f t="shared" si="502"/>
        <v>0</v>
      </c>
      <c r="AC412" s="556">
        <f t="shared" si="502"/>
        <v>0</v>
      </c>
      <c r="AD412" s="556">
        <f t="shared" si="502"/>
        <v>0</v>
      </c>
      <c r="AE412" s="556">
        <f t="shared" si="502"/>
        <v>0</v>
      </c>
      <c r="AF412" s="556">
        <f t="shared" si="502"/>
        <v>0</v>
      </c>
      <c r="AG412" s="556">
        <f t="shared" si="502"/>
        <v>0</v>
      </c>
      <c r="AH412" s="556">
        <f t="shared" ref="AH412:AK412" si="503">SUM(AH410:AH411)</f>
        <v>0</v>
      </c>
      <c r="AI412" s="556">
        <f t="shared" si="503"/>
        <v>0</v>
      </c>
      <c r="AJ412" s="556">
        <f t="shared" si="503"/>
        <v>0</v>
      </c>
      <c r="AK412" s="556">
        <f t="shared" si="503"/>
        <v>0</v>
      </c>
      <c r="AL412" s="556">
        <f t="shared" ref="AL412:AP412" si="504">SUM(AL410:AL411)</f>
        <v>0</v>
      </c>
      <c r="AM412" s="556">
        <f t="shared" si="504"/>
        <v>0</v>
      </c>
      <c r="AN412" s="556">
        <f t="shared" si="504"/>
        <v>0</v>
      </c>
      <c r="AO412" s="556">
        <f t="shared" si="504"/>
        <v>0</v>
      </c>
      <c r="AP412" s="556">
        <f t="shared" si="504"/>
        <v>0</v>
      </c>
      <c r="AQ412" s="556">
        <f t="shared" ref="AQ412:AS412" si="505">SUM(AQ410:AQ411)</f>
        <v>0</v>
      </c>
      <c r="AR412" s="556">
        <f t="shared" si="505"/>
        <v>0</v>
      </c>
      <c r="AS412" s="556">
        <f t="shared" si="505"/>
        <v>0</v>
      </c>
      <c r="AT412" s="556"/>
      <c r="AU412" s="241">
        <f>SUM(AU410:AU411)</f>
        <v>0</v>
      </c>
      <c r="AV412" s="131"/>
      <c r="AW412" s="241">
        <f>SUM(AW410:AW411)</f>
        <v>0</v>
      </c>
      <c r="AX412" s="241">
        <f>+AW412-'ROR-Model'!G412</f>
        <v>0</v>
      </c>
    </row>
    <row r="413" spans="1:50">
      <c r="A413" s="134"/>
      <c r="B413" s="106"/>
      <c r="C413" s="106"/>
      <c r="D413" s="106"/>
      <c r="E413" s="742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16"/>
      <c r="AW413" s="133"/>
      <c r="AX413" s="133">
        <f>+AW413-'ROR-Model'!G413</f>
        <v>0</v>
      </c>
    </row>
    <row r="414" spans="1:50">
      <c r="A414" s="134" t="s">
        <v>413</v>
      </c>
      <c r="B414" s="106" t="s">
        <v>319</v>
      </c>
      <c r="C414" s="106"/>
      <c r="D414" s="106"/>
      <c r="E414" s="742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16"/>
      <c r="AW414" s="133"/>
      <c r="AX414" s="133">
        <f>+AW414-'ROR-Model'!G414</f>
        <v>0</v>
      </c>
    </row>
    <row r="415" spans="1:50">
      <c r="A415" s="134"/>
      <c r="B415" s="106"/>
      <c r="C415" s="106" t="s">
        <v>14</v>
      </c>
      <c r="D415" s="106"/>
      <c r="E415" s="742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33"/>
      <c r="R415" s="133"/>
      <c r="S415" s="133"/>
      <c r="T415" s="133">
        <f>'Optional Adjustment 2'!G415*$T$1</f>
        <v>0</v>
      </c>
      <c r="U415" s="133">
        <f>'Optional Adjustment 3'!G415*$U$1</f>
        <v>0</v>
      </c>
      <c r="V415" s="133">
        <f>'Optional Adjustment 4'!G415*$V$1</f>
        <v>0</v>
      </c>
      <c r="W415" s="133">
        <f>'Optional Adjustment 5'!G415*$W$1</f>
        <v>0</v>
      </c>
      <c r="X415" s="133">
        <f>'Optional Adjustment 6'!G415*$X$1</f>
        <v>0</v>
      </c>
      <c r="Y415" s="133">
        <f>'Optional Adjustment 7'!G415*$Y$1</f>
        <v>0</v>
      </c>
      <c r="Z415" s="133">
        <f>'Optional Adjustment 8'!G415*$Z$1</f>
        <v>0</v>
      </c>
      <c r="AA415" s="133">
        <f>'Optional Adjustment 9'!G415*$AA$1</f>
        <v>0</v>
      </c>
      <c r="AB415" s="133">
        <f>'Optional Adjustment 10'!G415*$AB$1</f>
        <v>0</v>
      </c>
      <c r="AC415" s="133">
        <f>'Optional Adjustment 11'!G415*$AC$1</f>
        <v>0</v>
      </c>
      <c r="AD415" s="133">
        <f>'Optional Adjustment 12'!G415*$AD$1</f>
        <v>0</v>
      </c>
      <c r="AE415" s="133">
        <f>'Optional Adjustment 13'!G415*$AE$1</f>
        <v>0</v>
      </c>
      <c r="AF415" s="133">
        <f>'Optional Adjustment 14'!G415*$AF$1</f>
        <v>0</v>
      </c>
      <c r="AG415" s="133">
        <f>'Optional Adjustment 15'!G415*$AG$1</f>
        <v>0</v>
      </c>
      <c r="AH415" s="133">
        <f>'Optional Adjustment 16'!G415*$AH$1</f>
        <v>0</v>
      </c>
      <c r="AI415" s="133">
        <f>'Optional Adjustment 17'!G415*$AI$1</f>
        <v>0</v>
      </c>
      <c r="AJ415" s="133">
        <f>'Optional Adjustment 18'!G415*$AJ$1</f>
        <v>0</v>
      </c>
      <c r="AK415" s="133">
        <f>'Optional Adjustment 19'!G415*$AK$1</f>
        <v>0</v>
      </c>
      <c r="AL415" s="133">
        <f>'Optional Adjustment 20'!G415*$AL$1</f>
        <v>0</v>
      </c>
      <c r="AM415" s="133">
        <f>'Optional Adjustment 21'!G415*$AM$1</f>
        <v>0</v>
      </c>
      <c r="AN415" s="133">
        <f>'Optional Adjustment 22'!G415*$AN$1</f>
        <v>0</v>
      </c>
      <c r="AO415" s="133">
        <f>'Optional Adjustment 23'!G415*$AO$1</f>
        <v>0</v>
      </c>
      <c r="AP415" s="133">
        <f>'Optional Adjustment 24'!G415*$AP$1</f>
        <v>0</v>
      </c>
      <c r="AQ415" s="133">
        <f>'Optional Adjustment 25'!G415*$AQ$1</f>
        <v>0</v>
      </c>
      <c r="AR415" s="133">
        <f>'Optional Adjustment 26'!G415*$AR$1</f>
        <v>0</v>
      </c>
      <c r="AS415" s="133">
        <f>'Optional Adjustment 27'!G415*$AS$1</f>
        <v>0</v>
      </c>
      <c r="AT415" s="133"/>
      <c r="AU415" s="133">
        <f>SUM(F415:AT415)</f>
        <v>0</v>
      </c>
      <c r="AV415" s="116"/>
      <c r="AW415" s="133">
        <f>SUM(AU415:AU415)</f>
        <v>0</v>
      </c>
      <c r="AX415" s="133">
        <f>+AW415-'ROR-Model'!G415</f>
        <v>0</v>
      </c>
    </row>
    <row r="416" spans="1:50">
      <c r="A416" s="134"/>
      <c r="B416" s="106"/>
      <c r="C416" s="106" t="s">
        <v>24</v>
      </c>
      <c r="D416" s="106"/>
      <c r="E416" s="742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33"/>
      <c r="R416" s="133"/>
      <c r="S416" s="133"/>
      <c r="T416" s="133">
        <f>'Optional Adjustment 2'!G416*$T$1</f>
        <v>0</v>
      </c>
      <c r="U416" s="133">
        <f>'Optional Adjustment 3'!G416*$U$1</f>
        <v>0</v>
      </c>
      <c r="V416" s="133">
        <f>'Optional Adjustment 4'!G416*$V$1</f>
        <v>0</v>
      </c>
      <c r="W416" s="133">
        <f>'Optional Adjustment 5'!G416*$W$1</f>
        <v>0</v>
      </c>
      <c r="X416" s="133">
        <f>'Optional Adjustment 6'!G416*$X$1</f>
        <v>0</v>
      </c>
      <c r="Y416" s="133">
        <f>'Optional Adjustment 7'!G416*$Y$1</f>
        <v>0</v>
      </c>
      <c r="Z416" s="133">
        <f>'Optional Adjustment 8'!G416*$Z$1</f>
        <v>0</v>
      </c>
      <c r="AA416" s="133">
        <f>'Optional Adjustment 9'!G416*$AA$1</f>
        <v>0</v>
      </c>
      <c r="AB416" s="133">
        <f>'Optional Adjustment 10'!G416*$AB$1</f>
        <v>0</v>
      </c>
      <c r="AC416" s="133">
        <f>'Optional Adjustment 11'!G416*$AC$1</f>
        <v>0</v>
      </c>
      <c r="AD416" s="133">
        <f>'Optional Adjustment 12'!G416*$AD$1</f>
        <v>0</v>
      </c>
      <c r="AE416" s="133">
        <f>'Optional Adjustment 13'!G416*$AE$1</f>
        <v>0</v>
      </c>
      <c r="AF416" s="133">
        <f>'Optional Adjustment 14'!G416*$AF$1</f>
        <v>0</v>
      </c>
      <c r="AG416" s="133">
        <f>'Optional Adjustment 15'!G416*$AG$1</f>
        <v>0</v>
      </c>
      <c r="AH416" s="133">
        <f>'Optional Adjustment 16'!G416*$AH$1</f>
        <v>0</v>
      </c>
      <c r="AI416" s="133">
        <f>'Optional Adjustment 17'!G416*$AI$1</f>
        <v>0</v>
      </c>
      <c r="AJ416" s="133">
        <f>'Optional Adjustment 18'!G416*$AJ$1</f>
        <v>0</v>
      </c>
      <c r="AK416" s="133">
        <f>'Optional Adjustment 19'!G416*$AK$1</f>
        <v>0</v>
      </c>
      <c r="AL416" s="133">
        <f>'Optional Adjustment 20'!G416*$AL$1</f>
        <v>0</v>
      </c>
      <c r="AM416" s="133">
        <f>'Optional Adjustment 21'!G416*$AM$1</f>
        <v>0</v>
      </c>
      <c r="AN416" s="133">
        <f>'Optional Adjustment 22'!G416*$AN$1</f>
        <v>0</v>
      </c>
      <c r="AO416" s="133">
        <f>'Optional Adjustment 23'!G416*$AO$1</f>
        <v>0</v>
      </c>
      <c r="AP416" s="133">
        <f>'Optional Adjustment 24'!G416*$AP$1</f>
        <v>0</v>
      </c>
      <c r="AQ416" s="133">
        <f>'Optional Adjustment 25'!G416*$AQ$1</f>
        <v>0</v>
      </c>
      <c r="AR416" s="133">
        <f>'Optional Adjustment 26'!G416*$AR$1</f>
        <v>0</v>
      </c>
      <c r="AS416" s="133">
        <f>'Optional Adjustment 27'!G416*$AS$1</f>
        <v>0</v>
      </c>
      <c r="AT416" s="133"/>
      <c r="AU416" s="133">
        <f>SUM(F416:AT416)</f>
        <v>0</v>
      </c>
      <c r="AV416" s="116"/>
      <c r="AW416" s="133">
        <f>SUM(AU416:AU416)</f>
        <v>0</v>
      </c>
      <c r="AX416" s="133">
        <f>+AW416-'ROR-Model'!G416</f>
        <v>0</v>
      </c>
    </row>
    <row r="417" spans="1:50">
      <c r="A417" s="134"/>
      <c r="B417" s="106"/>
      <c r="C417" s="106" t="s">
        <v>170</v>
      </c>
      <c r="D417" s="106"/>
      <c r="E417" s="742"/>
      <c r="F417" s="131">
        <f>SUM(F415:F416)</f>
        <v>0</v>
      </c>
      <c r="G417" s="131"/>
      <c r="H417" s="131">
        <f>H1*SUM(H415:H416)</f>
        <v>0</v>
      </c>
      <c r="I417" s="131">
        <f>SUM(I415:I416)</f>
        <v>0</v>
      </c>
      <c r="J417" s="131">
        <f t="shared" ref="J417:P417" si="506">SUM(J415:J416)</f>
        <v>0</v>
      </c>
      <c r="K417" s="131">
        <f t="shared" si="506"/>
        <v>0</v>
      </c>
      <c r="L417" s="131">
        <f t="shared" si="506"/>
        <v>0</v>
      </c>
      <c r="M417" s="131">
        <f t="shared" si="506"/>
        <v>0</v>
      </c>
      <c r="N417" s="131">
        <f t="shared" si="506"/>
        <v>0</v>
      </c>
      <c r="O417" s="131">
        <f t="shared" si="506"/>
        <v>0</v>
      </c>
      <c r="P417" s="131">
        <f t="shared" si="506"/>
        <v>0</v>
      </c>
      <c r="Q417" s="241">
        <f>SUM(Q415:Q416)</f>
        <v>0</v>
      </c>
      <c r="R417" s="241">
        <f>SUM(R415:R416)</f>
        <v>0</v>
      </c>
      <c r="S417" s="556"/>
      <c r="T417" s="556">
        <f t="shared" ref="T417:AG417" si="507">SUM(T415:T416)</f>
        <v>0</v>
      </c>
      <c r="U417" s="556">
        <f t="shared" si="507"/>
        <v>0</v>
      </c>
      <c r="V417" s="556">
        <f t="shared" si="507"/>
        <v>0</v>
      </c>
      <c r="W417" s="556">
        <f t="shared" si="507"/>
        <v>0</v>
      </c>
      <c r="X417" s="556">
        <f t="shared" si="507"/>
        <v>0</v>
      </c>
      <c r="Y417" s="556">
        <f t="shared" si="507"/>
        <v>0</v>
      </c>
      <c r="Z417" s="556">
        <f t="shared" si="507"/>
        <v>0</v>
      </c>
      <c r="AA417" s="556">
        <f t="shared" si="507"/>
        <v>0</v>
      </c>
      <c r="AB417" s="556">
        <f t="shared" si="507"/>
        <v>0</v>
      </c>
      <c r="AC417" s="556">
        <f t="shared" si="507"/>
        <v>0</v>
      </c>
      <c r="AD417" s="556">
        <f t="shared" si="507"/>
        <v>0</v>
      </c>
      <c r="AE417" s="556">
        <f t="shared" si="507"/>
        <v>0</v>
      </c>
      <c r="AF417" s="556">
        <f t="shared" si="507"/>
        <v>0</v>
      </c>
      <c r="AG417" s="556">
        <f t="shared" si="507"/>
        <v>0</v>
      </c>
      <c r="AH417" s="556">
        <f t="shared" ref="AH417:AK417" si="508">SUM(AH415:AH416)</f>
        <v>0</v>
      </c>
      <c r="AI417" s="556">
        <f t="shared" si="508"/>
        <v>0</v>
      </c>
      <c r="AJ417" s="556">
        <f t="shared" si="508"/>
        <v>0</v>
      </c>
      <c r="AK417" s="556">
        <f t="shared" si="508"/>
        <v>0</v>
      </c>
      <c r="AL417" s="556">
        <f t="shared" ref="AL417:AP417" si="509">SUM(AL415:AL416)</f>
        <v>0</v>
      </c>
      <c r="AM417" s="556">
        <f t="shared" si="509"/>
        <v>0</v>
      </c>
      <c r="AN417" s="556">
        <f t="shared" si="509"/>
        <v>0</v>
      </c>
      <c r="AO417" s="556">
        <f t="shared" si="509"/>
        <v>0</v>
      </c>
      <c r="AP417" s="556">
        <f t="shared" si="509"/>
        <v>0</v>
      </c>
      <c r="AQ417" s="556">
        <f t="shared" ref="AQ417:AS417" si="510">SUM(AQ415:AQ416)</f>
        <v>0</v>
      </c>
      <c r="AR417" s="556">
        <f t="shared" si="510"/>
        <v>0</v>
      </c>
      <c r="AS417" s="556">
        <f t="shared" si="510"/>
        <v>0</v>
      </c>
      <c r="AT417" s="556"/>
      <c r="AU417" s="241">
        <f>SUM(AU415:AU416)</f>
        <v>0</v>
      </c>
      <c r="AV417" s="131"/>
      <c r="AW417" s="241">
        <f>SUM(AW415:AW416)</f>
        <v>0</v>
      </c>
      <c r="AX417" s="241">
        <f>+AW417-'ROR-Model'!G417</f>
        <v>0</v>
      </c>
    </row>
    <row r="418" spans="1:50">
      <c r="A418" s="134"/>
      <c r="B418" s="106"/>
      <c r="C418" s="106"/>
      <c r="D418" s="106"/>
      <c r="E418" s="742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16"/>
      <c r="AW418" s="133"/>
      <c r="AX418" s="133">
        <f>+AW418-'ROR-Model'!G418</f>
        <v>0</v>
      </c>
    </row>
    <row r="419" spans="1:50">
      <c r="A419" s="134" t="s">
        <v>414</v>
      </c>
      <c r="B419" s="106" t="s">
        <v>415</v>
      </c>
      <c r="C419" s="106"/>
      <c r="D419" s="106"/>
      <c r="E419" s="742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16"/>
      <c r="AW419" s="133"/>
      <c r="AX419" s="133">
        <f>+AW419-'ROR-Model'!G419</f>
        <v>0</v>
      </c>
    </row>
    <row r="420" spans="1:50">
      <c r="A420" s="134"/>
      <c r="B420" s="106"/>
      <c r="C420" s="106" t="s">
        <v>14</v>
      </c>
      <c r="D420" s="106"/>
      <c r="E420" s="742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33"/>
      <c r="R420" s="133"/>
      <c r="S420" s="133"/>
      <c r="T420" s="133">
        <f>'Optional Adjustment 2'!G420*$T$1</f>
        <v>0</v>
      </c>
      <c r="U420" s="133">
        <f>'Optional Adjustment 3'!G420*$U$1</f>
        <v>0</v>
      </c>
      <c r="V420" s="133">
        <f>'Optional Adjustment 4'!G420*$V$1</f>
        <v>0</v>
      </c>
      <c r="W420" s="133">
        <f>'Optional Adjustment 5'!G420*$W$1</f>
        <v>0</v>
      </c>
      <c r="X420" s="133">
        <f>'Optional Adjustment 6'!G420*$X$1</f>
        <v>0</v>
      </c>
      <c r="Y420" s="133">
        <f>'Optional Adjustment 7'!G420*$Y$1</f>
        <v>0</v>
      </c>
      <c r="Z420" s="133">
        <f>'Optional Adjustment 8'!G420*$Z$1</f>
        <v>0</v>
      </c>
      <c r="AA420" s="133">
        <f>'Optional Adjustment 9'!G420*$AA$1</f>
        <v>0</v>
      </c>
      <c r="AB420" s="133">
        <f>'Optional Adjustment 10'!G420*$AB$1</f>
        <v>0</v>
      </c>
      <c r="AC420" s="133">
        <f>'Optional Adjustment 11'!G420*$AC$1</f>
        <v>0</v>
      </c>
      <c r="AD420" s="133">
        <f>'Optional Adjustment 12'!G420*$AD$1</f>
        <v>0</v>
      </c>
      <c r="AE420" s="133">
        <f>'Optional Adjustment 13'!G420*$AE$1</f>
        <v>0</v>
      </c>
      <c r="AF420" s="133">
        <f>'Optional Adjustment 14'!G420*$AF$1</f>
        <v>0</v>
      </c>
      <c r="AG420" s="133">
        <f>'Optional Adjustment 15'!G420*$AG$1</f>
        <v>0</v>
      </c>
      <c r="AH420" s="133">
        <f>'Optional Adjustment 16'!G420*$AH$1</f>
        <v>0</v>
      </c>
      <c r="AI420" s="133">
        <f>'Optional Adjustment 17'!G420*$AI$1</f>
        <v>0</v>
      </c>
      <c r="AJ420" s="133">
        <f>'Optional Adjustment 18'!G420*$AJ$1</f>
        <v>0</v>
      </c>
      <c r="AK420" s="133">
        <f>'Optional Adjustment 19'!G420*$AK$1</f>
        <v>0</v>
      </c>
      <c r="AL420" s="133">
        <f>'Optional Adjustment 20'!G420*$AL$1</f>
        <v>0</v>
      </c>
      <c r="AM420" s="133">
        <f>'Optional Adjustment 21'!G420*$AM$1</f>
        <v>0</v>
      </c>
      <c r="AN420" s="133">
        <f>'Optional Adjustment 22'!G420*$AN$1</f>
        <v>0</v>
      </c>
      <c r="AO420" s="133">
        <f>'Optional Adjustment 23'!G420*$AO$1</f>
        <v>0</v>
      </c>
      <c r="AP420" s="133">
        <f>'Optional Adjustment 24'!G420*$AP$1</f>
        <v>0</v>
      </c>
      <c r="AQ420" s="133">
        <f>'Optional Adjustment 25'!G420*$AQ$1</f>
        <v>0</v>
      </c>
      <c r="AR420" s="133">
        <f>'Optional Adjustment 26'!G420*$AR$1</f>
        <v>0</v>
      </c>
      <c r="AS420" s="133">
        <f>'Optional Adjustment 27'!G420*$AS$1</f>
        <v>0</v>
      </c>
      <c r="AT420" s="133"/>
      <c r="AU420" s="133">
        <f>SUM(F420:AT420)</f>
        <v>0</v>
      </c>
      <c r="AV420" s="116"/>
      <c r="AW420" s="133">
        <f>SUM(AU420:AU420)</f>
        <v>0</v>
      </c>
      <c r="AX420" s="133">
        <f>+AW420-'ROR-Model'!G420</f>
        <v>0</v>
      </c>
    </row>
    <row r="421" spans="1:50">
      <c r="A421" s="134"/>
      <c r="B421" s="106"/>
      <c r="C421" s="106" t="s">
        <v>24</v>
      </c>
      <c r="D421" s="106"/>
      <c r="E421" s="742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33"/>
      <c r="R421" s="133"/>
      <c r="S421" s="133"/>
      <c r="T421" s="133">
        <f>'Optional Adjustment 2'!G421*$T$1</f>
        <v>0</v>
      </c>
      <c r="U421" s="133">
        <f>'Optional Adjustment 3'!G421*$U$1</f>
        <v>0</v>
      </c>
      <c r="V421" s="133">
        <f>'Optional Adjustment 4'!G421*$V$1</f>
        <v>0</v>
      </c>
      <c r="W421" s="133">
        <f>'Optional Adjustment 5'!G421*$W$1</f>
        <v>0</v>
      </c>
      <c r="X421" s="133">
        <f>'Optional Adjustment 6'!G421*$X$1</f>
        <v>0</v>
      </c>
      <c r="Y421" s="133">
        <f>'Optional Adjustment 7'!G421*$Y$1</f>
        <v>0</v>
      </c>
      <c r="Z421" s="133">
        <f>'Optional Adjustment 8'!G421*$Z$1</f>
        <v>0</v>
      </c>
      <c r="AA421" s="133">
        <f>'Optional Adjustment 9'!G421*$AA$1</f>
        <v>0</v>
      </c>
      <c r="AB421" s="133">
        <f>'Optional Adjustment 10'!G421*$AB$1</f>
        <v>0</v>
      </c>
      <c r="AC421" s="133">
        <f>'Optional Adjustment 11'!G421*$AC$1</f>
        <v>0</v>
      </c>
      <c r="AD421" s="133">
        <f>'Optional Adjustment 12'!G421*$AD$1</f>
        <v>0</v>
      </c>
      <c r="AE421" s="133">
        <f>'Optional Adjustment 13'!G421*$AE$1</f>
        <v>0</v>
      </c>
      <c r="AF421" s="133">
        <f>'Optional Adjustment 14'!G421*$AF$1</f>
        <v>0</v>
      </c>
      <c r="AG421" s="133">
        <f>'Optional Adjustment 15'!G421*$AG$1</f>
        <v>0</v>
      </c>
      <c r="AH421" s="133">
        <f>'Optional Adjustment 16'!G421*$AH$1</f>
        <v>0</v>
      </c>
      <c r="AI421" s="133">
        <f>'Optional Adjustment 17'!G421*$AI$1</f>
        <v>0</v>
      </c>
      <c r="AJ421" s="133">
        <f>'Optional Adjustment 18'!G421*$AJ$1</f>
        <v>0</v>
      </c>
      <c r="AK421" s="133">
        <f>'Optional Adjustment 19'!G421*$AK$1</f>
        <v>0</v>
      </c>
      <c r="AL421" s="133">
        <f>'Optional Adjustment 20'!G421*$AL$1</f>
        <v>0</v>
      </c>
      <c r="AM421" s="133">
        <f>'Optional Adjustment 21'!G421*$AM$1</f>
        <v>0</v>
      </c>
      <c r="AN421" s="133">
        <f>'Optional Adjustment 22'!G421*$AN$1</f>
        <v>0</v>
      </c>
      <c r="AO421" s="133">
        <f>'Optional Adjustment 23'!G421*$AO$1</f>
        <v>0</v>
      </c>
      <c r="AP421" s="133">
        <f>'Optional Adjustment 24'!G421*$AP$1</f>
        <v>0</v>
      </c>
      <c r="AQ421" s="133">
        <f>'Optional Adjustment 25'!G421*$AQ$1</f>
        <v>0</v>
      </c>
      <c r="AR421" s="133">
        <f>'Optional Adjustment 26'!G421*$AR$1</f>
        <v>0</v>
      </c>
      <c r="AS421" s="133">
        <f>'Optional Adjustment 27'!G421*$AS$1</f>
        <v>0</v>
      </c>
      <c r="AT421" s="133"/>
      <c r="AU421" s="133">
        <f>SUM(F421:AT421)</f>
        <v>0</v>
      </c>
      <c r="AV421" s="116"/>
      <c r="AW421" s="133">
        <f>SUM(AU421:AU421)</f>
        <v>0</v>
      </c>
      <c r="AX421" s="133">
        <f>+AW421-'ROR-Model'!G421</f>
        <v>0</v>
      </c>
    </row>
    <row r="422" spans="1:50">
      <c r="A422" s="134"/>
      <c r="B422" s="106"/>
      <c r="C422" s="106" t="s">
        <v>170</v>
      </c>
      <c r="D422" s="106"/>
      <c r="E422" s="742"/>
      <c r="F422" s="131">
        <f>SUM(F420:F421)</f>
        <v>0</v>
      </c>
      <c r="G422" s="131"/>
      <c r="H422" s="131">
        <f>H1*SUM(H420:H421)</f>
        <v>0</v>
      </c>
      <c r="I422" s="131">
        <f>SUM(I420:I421)</f>
        <v>0</v>
      </c>
      <c r="J422" s="131">
        <f t="shared" ref="J422:P422" si="511">SUM(J420:J421)</f>
        <v>0</v>
      </c>
      <c r="K422" s="131">
        <f t="shared" si="511"/>
        <v>0</v>
      </c>
      <c r="L422" s="131">
        <f t="shared" si="511"/>
        <v>0</v>
      </c>
      <c r="M422" s="131">
        <f t="shared" si="511"/>
        <v>0</v>
      </c>
      <c r="N422" s="131">
        <f t="shared" si="511"/>
        <v>0</v>
      </c>
      <c r="O422" s="131">
        <f t="shared" si="511"/>
        <v>0</v>
      </c>
      <c r="P422" s="131">
        <f t="shared" si="511"/>
        <v>0</v>
      </c>
      <c r="Q422" s="241">
        <f>SUM(Q420:Q421)</f>
        <v>0</v>
      </c>
      <c r="R422" s="241">
        <f>SUM(R420:R421)</f>
        <v>0</v>
      </c>
      <c r="S422" s="556"/>
      <c r="T422" s="556">
        <f t="shared" ref="T422:AG422" si="512">SUM(T420:T421)</f>
        <v>0</v>
      </c>
      <c r="U422" s="556">
        <f t="shared" si="512"/>
        <v>0</v>
      </c>
      <c r="V422" s="556">
        <f t="shared" si="512"/>
        <v>0</v>
      </c>
      <c r="W422" s="556">
        <f t="shared" si="512"/>
        <v>0</v>
      </c>
      <c r="X422" s="556">
        <f t="shared" si="512"/>
        <v>0</v>
      </c>
      <c r="Y422" s="556">
        <f t="shared" si="512"/>
        <v>0</v>
      </c>
      <c r="Z422" s="556">
        <f t="shared" si="512"/>
        <v>0</v>
      </c>
      <c r="AA422" s="556">
        <f t="shared" si="512"/>
        <v>0</v>
      </c>
      <c r="AB422" s="556">
        <f t="shared" si="512"/>
        <v>0</v>
      </c>
      <c r="AC422" s="556">
        <f t="shared" si="512"/>
        <v>0</v>
      </c>
      <c r="AD422" s="556">
        <f t="shared" si="512"/>
        <v>0</v>
      </c>
      <c r="AE422" s="556">
        <f t="shared" si="512"/>
        <v>0</v>
      </c>
      <c r="AF422" s="556">
        <f t="shared" si="512"/>
        <v>0</v>
      </c>
      <c r="AG422" s="556">
        <f t="shared" si="512"/>
        <v>0</v>
      </c>
      <c r="AH422" s="556">
        <f t="shared" ref="AH422:AK422" si="513">SUM(AH420:AH421)</f>
        <v>0</v>
      </c>
      <c r="AI422" s="556">
        <f t="shared" si="513"/>
        <v>0</v>
      </c>
      <c r="AJ422" s="556">
        <f t="shared" si="513"/>
        <v>0</v>
      </c>
      <c r="AK422" s="556">
        <f t="shared" si="513"/>
        <v>0</v>
      </c>
      <c r="AL422" s="556">
        <f t="shared" ref="AL422:AP422" si="514">SUM(AL420:AL421)</f>
        <v>0</v>
      </c>
      <c r="AM422" s="556">
        <f t="shared" si="514"/>
        <v>0</v>
      </c>
      <c r="AN422" s="556">
        <f t="shared" si="514"/>
        <v>0</v>
      </c>
      <c r="AO422" s="556">
        <f t="shared" si="514"/>
        <v>0</v>
      </c>
      <c r="AP422" s="556">
        <f t="shared" si="514"/>
        <v>0</v>
      </c>
      <c r="AQ422" s="556">
        <f t="shared" ref="AQ422:AS422" si="515">SUM(AQ420:AQ421)</f>
        <v>0</v>
      </c>
      <c r="AR422" s="556">
        <f t="shared" si="515"/>
        <v>0</v>
      </c>
      <c r="AS422" s="556">
        <f t="shared" si="515"/>
        <v>0</v>
      </c>
      <c r="AT422" s="556"/>
      <c r="AU422" s="241">
        <f>SUM(AU420:AU421)</f>
        <v>0</v>
      </c>
      <c r="AV422" s="131"/>
      <c r="AW422" s="241">
        <f>SUM(AW420:AW421)</f>
        <v>0</v>
      </c>
      <c r="AX422" s="241">
        <f>+AW422-'ROR-Model'!G422</f>
        <v>0</v>
      </c>
    </row>
    <row r="423" spans="1:50">
      <c r="A423" s="134"/>
      <c r="B423" s="106"/>
      <c r="C423" s="106"/>
      <c r="D423" s="106"/>
      <c r="E423" s="742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16"/>
      <c r="AW423" s="133"/>
      <c r="AX423" s="133">
        <f>+AW423-'ROR-Model'!G423</f>
        <v>0</v>
      </c>
    </row>
    <row r="424" spans="1:50">
      <c r="A424" s="134" t="s">
        <v>416</v>
      </c>
      <c r="B424" s="106" t="s">
        <v>320</v>
      </c>
      <c r="C424" s="106"/>
      <c r="D424" s="106"/>
      <c r="E424" s="742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16"/>
      <c r="AW424" s="133"/>
      <c r="AX424" s="133">
        <f>+AW424-'ROR-Model'!G424</f>
        <v>0</v>
      </c>
    </row>
    <row r="425" spans="1:50">
      <c r="A425" s="134"/>
      <c r="B425" s="106"/>
      <c r="C425" s="106" t="s">
        <v>14</v>
      </c>
      <c r="D425" s="106"/>
      <c r="E425" s="742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33"/>
      <c r="R425" s="133"/>
      <c r="S425" s="133"/>
      <c r="T425" s="133">
        <f>'Optional Adjustment 2'!G425*$T$1</f>
        <v>0</v>
      </c>
      <c r="U425" s="133">
        <f>'Optional Adjustment 3'!G425*$U$1</f>
        <v>0</v>
      </c>
      <c r="V425" s="133">
        <f>'Optional Adjustment 4'!G425*$V$1</f>
        <v>0</v>
      </c>
      <c r="W425" s="133">
        <f>'Optional Adjustment 5'!G425*$W$1</f>
        <v>0</v>
      </c>
      <c r="X425" s="133">
        <f>'Optional Adjustment 6'!G425*$X$1</f>
        <v>0</v>
      </c>
      <c r="Y425" s="133">
        <f>'Optional Adjustment 7'!G425*$Y$1</f>
        <v>0</v>
      </c>
      <c r="Z425" s="133">
        <f>'Optional Adjustment 8'!G425*$Z$1</f>
        <v>0</v>
      </c>
      <c r="AA425" s="133">
        <f>'Optional Adjustment 9'!G425*$AA$1</f>
        <v>0</v>
      </c>
      <c r="AB425" s="133">
        <f>'Optional Adjustment 10'!G425*$AB$1</f>
        <v>0</v>
      </c>
      <c r="AC425" s="133">
        <f>'Optional Adjustment 11'!G425*$AC$1</f>
        <v>0</v>
      </c>
      <c r="AD425" s="133">
        <f>'Optional Adjustment 12'!G425*$AD$1</f>
        <v>0</v>
      </c>
      <c r="AE425" s="133">
        <f>'Optional Adjustment 13'!G425*$AE$1</f>
        <v>0</v>
      </c>
      <c r="AF425" s="133">
        <f>'Optional Adjustment 14'!G425*$AF$1</f>
        <v>0</v>
      </c>
      <c r="AG425" s="133">
        <f>'Optional Adjustment 15'!G425*$AG$1</f>
        <v>0</v>
      </c>
      <c r="AH425" s="133">
        <f>'Optional Adjustment 16'!G425*$AH$1</f>
        <v>0</v>
      </c>
      <c r="AI425" s="133">
        <f>'Optional Adjustment 17'!G425*$AI$1</f>
        <v>0</v>
      </c>
      <c r="AJ425" s="133">
        <f>'Optional Adjustment 18'!G425*$AJ$1</f>
        <v>0</v>
      </c>
      <c r="AK425" s="133">
        <f>'Optional Adjustment 19'!G425*$AK$1</f>
        <v>0</v>
      </c>
      <c r="AL425" s="133">
        <f>'Optional Adjustment 20'!G425*$AL$1</f>
        <v>0</v>
      </c>
      <c r="AM425" s="133">
        <f>'Optional Adjustment 21'!G425*$AM$1</f>
        <v>0</v>
      </c>
      <c r="AN425" s="133">
        <f>'Optional Adjustment 22'!G425*$AN$1</f>
        <v>0</v>
      </c>
      <c r="AO425" s="133">
        <f>'Optional Adjustment 23'!G425*$AO$1</f>
        <v>0</v>
      </c>
      <c r="AP425" s="133">
        <f>'Optional Adjustment 24'!G425*$AP$1</f>
        <v>0</v>
      </c>
      <c r="AQ425" s="133">
        <f>'Optional Adjustment 25'!G425*$AQ$1</f>
        <v>0</v>
      </c>
      <c r="AR425" s="133">
        <f>'Optional Adjustment 26'!G425*$AR$1</f>
        <v>0</v>
      </c>
      <c r="AS425" s="133">
        <f>'Optional Adjustment 27'!G425*$AS$1</f>
        <v>0</v>
      </c>
      <c r="AT425" s="133"/>
      <c r="AU425" s="133">
        <f>SUM(F425:AT425)</f>
        <v>0</v>
      </c>
      <c r="AV425" s="116"/>
      <c r="AW425" s="133">
        <f>SUM(AU425:AU425)</f>
        <v>0</v>
      </c>
      <c r="AX425" s="133">
        <f>+AW425-'ROR-Model'!G425</f>
        <v>0</v>
      </c>
    </row>
    <row r="426" spans="1:50">
      <c r="A426" s="134"/>
      <c r="B426" s="106"/>
      <c r="C426" s="106" t="s">
        <v>24</v>
      </c>
      <c r="D426" s="106"/>
      <c r="E426" s="742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33"/>
      <c r="R426" s="133"/>
      <c r="S426" s="133"/>
      <c r="T426" s="133">
        <f>'Optional Adjustment 2'!G426*$T$1</f>
        <v>0</v>
      </c>
      <c r="U426" s="133">
        <f>'Optional Adjustment 3'!G426*$U$1</f>
        <v>0</v>
      </c>
      <c r="V426" s="133">
        <f>'Optional Adjustment 4'!G426*$V$1</f>
        <v>0</v>
      </c>
      <c r="W426" s="133">
        <f>'Optional Adjustment 5'!G426*$W$1</f>
        <v>0</v>
      </c>
      <c r="X426" s="133">
        <f>'Optional Adjustment 6'!G426*$X$1</f>
        <v>0</v>
      </c>
      <c r="Y426" s="133">
        <f>'Optional Adjustment 7'!G426*$Y$1</f>
        <v>0</v>
      </c>
      <c r="Z426" s="133">
        <f>'Optional Adjustment 8'!G426*$Z$1</f>
        <v>0</v>
      </c>
      <c r="AA426" s="133">
        <f>'Optional Adjustment 9'!G426*$AA$1</f>
        <v>0</v>
      </c>
      <c r="AB426" s="133">
        <f>'Optional Adjustment 10'!G426*$AB$1</f>
        <v>0</v>
      </c>
      <c r="AC426" s="133">
        <f>'Optional Adjustment 11'!G426*$AC$1</f>
        <v>0</v>
      </c>
      <c r="AD426" s="133">
        <f>'Optional Adjustment 12'!G426*$AD$1</f>
        <v>0</v>
      </c>
      <c r="AE426" s="133">
        <f>'Optional Adjustment 13'!G426*$AE$1</f>
        <v>0</v>
      </c>
      <c r="AF426" s="133">
        <f>'Optional Adjustment 14'!G426*$AF$1</f>
        <v>0</v>
      </c>
      <c r="AG426" s="133">
        <f>'Optional Adjustment 15'!G426*$AG$1</f>
        <v>0</v>
      </c>
      <c r="AH426" s="133">
        <f>'Optional Adjustment 16'!G426*$AH$1</f>
        <v>0</v>
      </c>
      <c r="AI426" s="133">
        <f>'Optional Adjustment 17'!G426*$AI$1</f>
        <v>0</v>
      </c>
      <c r="AJ426" s="133">
        <f>'Optional Adjustment 18'!G426*$AJ$1</f>
        <v>0</v>
      </c>
      <c r="AK426" s="133">
        <f>'Optional Adjustment 19'!G426*$AK$1</f>
        <v>0</v>
      </c>
      <c r="AL426" s="133">
        <f>'Optional Adjustment 20'!G426*$AL$1</f>
        <v>0</v>
      </c>
      <c r="AM426" s="133">
        <f>'Optional Adjustment 21'!G426*$AM$1</f>
        <v>0</v>
      </c>
      <c r="AN426" s="133">
        <f>'Optional Adjustment 22'!G426*$AN$1</f>
        <v>0</v>
      </c>
      <c r="AO426" s="133">
        <f>'Optional Adjustment 23'!G426*$AO$1</f>
        <v>0</v>
      </c>
      <c r="AP426" s="133">
        <f>'Optional Adjustment 24'!G426*$AP$1</f>
        <v>0</v>
      </c>
      <c r="AQ426" s="133">
        <f>'Optional Adjustment 25'!G426*$AQ$1</f>
        <v>0</v>
      </c>
      <c r="AR426" s="133">
        <f>'Optional Adjustment 26'!G426*$AR$1</f>
        <v>0</v>
      </c>
      <c r="AS426" s="133">
        <f>'Optional Adjustment 27'!G426*$AS$1</f>
        <v>0</v>
      </c>
      <c r="AT426" s="133"/>
      <c r="AU426" s="133">
        <f>SUM(F426:AT426)</f>
        <v>0</v>
      </c>
      <c r="AV426" s="116"/>
      <c r="AW426" s="133">
        <f>SUM(AU426:AU426)</f>
        <v>0</v>
      </c>
      <c r="AX426" s="133">
        <f>+AW426-'ROR-Model'!G426</f>
        <v>0</v>
      </c>
    </row>
    <row r="427" spans="1:50">
      <c r="A427" s="134"/>
      <c r="B427" s="106"/>
      <c r="C427" s="106" t="s">
        <v>170</v>
      </c>
      <c r="D427" s="106"/>
      <c r="E427" s="742"/>
      <c r="F427" s="131">
        <f>SUM(F425:F426)</f>
        <v>0</v>
      </c>
      <c r="G427" s="131"/>
      <c r="H427" s="131">
        <f>H1*SUM(H425:H426)</f>
        <v>0</v>
      </c>
      <c r="I427" s="131">
        <f>SUM(I425:I426)</f>
        <v>0</v>
      </c>
      <c r="J427" s="131">
        <f t="shared" ref="J427:P427" si="516">SUM(J425:J426)</f>
        <v>0</v>
      </c>
      <c r="K427" s="131">
        <f t="shared" si="516"/>
        <v>0</v>
      </c>
      <c r="L427" s="131">
        <f t="shared" si="516"/>
        <v>0</v>
      </c>
      <c r="M427" s="131">
        <f t="shared" si="516"/>
        <v>0</v>
      </c>
      <c r="N427" s="131">
        <f t="shared" si="516"/>
        <v>0</v>
      </c>
      <c r="O427" s="131">
        <f t="shared" si="516"/>
        <v>0</v>
      </c>
      <c r="P427" s="131">
        <f t="shared" si="516"/>
        <v>0</v>
      </c>
      <c r="Q427" s="241">
        <f>SUM(Q425:Q426)</f>
        <v>0</v>
      </c>
      <c r="R427" s="241">
        <f>SUM(R425:R426)</f>
        <v>0</v>
      </c>
      <c r="S427" s="556"/>
      <c r="T427" s="556">
        <f t="shared" ref="T427:AG427" si="517">SUM(T425:T426)</f>
        <v>0</v>
      </c>
      <c r="U427" s="556">
        <f t="shared" si="517"/>
        <v>0</v>
      </c>
      <c r="V427" s="556">
        <f t="shared" si="517"/>
        <v>0</v>
      </c>
      <c r="W427" s="556">
        <f t="shared" si="517"/>
        <v>0</v>
      </c>
      <c r="X427" s="556">
        <f t="shared" si="517"/>
        <v>0</v>
      </c>
      <c r="Y427" s="556">
        <f t="shared" si="517"/>
        <v>0</v>
      </c>
      <c r="Z427" s="556">
        <f t="shared" si="517"/>
        <v>0</v>
      </c>
      <c r="AA427" s="556">
        <f t="shared" si="517"/>
        <v>0</v>
      </c>
      <c r="AB427" s="556">
        <f t="shared" si="517"/>
        <v>0</v>
      </c>
      <c r="AC427" s="556">
        <f t="shared" si="517"/>
        <v>0</v>
      </c>
      <c r="AD427" s="556">
        <f t="shared" si="517"/>
        <v>0</v>
      </c>
      <c r="AE427" s="556">
        <f t="shared" si="517"/>
        <v>0</v>
      </c>
      <c r="AF427" s="556">
        <f t="shared" si="517"/>
        <v>0</v>
      </c>
      <c r="AG427" s="556">
        <f t="shared" si="517"/>
        <v>0</v>
      </c>
      <c r="AH427" s="556">
        <f t="shared" ref="AH427:AK427" si="518">SUM(AH425:AH426)</f>
        <v>0</v>
      </c>
      <c r="AI427" s="556">
        <f t="shared" si="518"/>
        <v>0</v>
      </c>
      <c r="AJ427" s="556">
        <f t="shared" si="518"/>
        <v>0</v>
      </c>
      <c r="AK427" s="556">
        <f t="shared" si="518"/>
        <v>0</v>
      </c>
      <c r="AL427" s="556">
        <f t="shared" ref="AL427:AP427" si="519">SUM(AL425:AL426)</f>
        <v>0</v>
      </c>
      <c r="AM427" s="556">
        <f t="shared" si="519"/>
        <v>0</v>
      </c>
      <c r="AN427" s="556">
        <f t="shared" si="519"/>
        <v>0</v>
      </c>
      <c r="AO427" s="556">
        <f t="shared" si="519"/>
        <v>0</v>
      </c>
      <c r="AP427" s="556">
        <f t="shared" si="519"/>
        <v>0</v>
      </c>
      <c r="AQ427" s="556">
        <f t="shared" ref="AQ427:AS427" si="520">SUM(AQ425:AQ426)</f>
        <v>0</v>
      </c>
      <c r="AR427" s="556">
        <f t="shared" si="520"/>
        <v>0</v>
      </c>
      <c r="AS427" s="556">
        <f t="shared" si="520"/>
        <v>0</v>
      </c>
      <c r="AT427" s="556"/>
      <c r="AU427" s="241">
        <f>SUM(AU425:AU426)</f>
        <v>0</v>
      </c>
      <c r="AV427" s="131"/>
      <c r="AW427" s="241">
        <f>SUM(AW425:AW426)</f>
        <v>0</v>
      </c>
      <c r="AX427" s="241">
        <f>+AW427-'ROR-Model'!G427</f>
        <v>0</v>
      </c>
    </row>
    <row r="428" spans="1:50">
      <c r="A428" s="134"/>
      <c r="B428" s="106"/>
      <c r="C428" s="106"/>
      <c r="D428" s="106"/>
      <c r="E428" s="742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16"/>
      <c r="AW428" s="133"/>
      <c r="AX428" s="133">
        <f>+AW428-'ROR-Model'!G428</f>
        <v>0</v>
      </c>
    </row>
    <row r="429" spans="1:50">
      <c r="A429" s="135" t="s">
        <v>417</v>
      </c>
      <c r="B429" s="106" t="s">
        <v>321</v>
      </c>
      <c r="C429" s="106"/>
      <c r="D429" s="106"/>
      <c r="E429" s="742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16"/>
      <c r="AW429" s="133"/>
      <c r="AX429" s="133">
        <f>+AW429-'ROR-Model'!G429</f>
        <v>0</v>
      </c>
    </row>
    <row r="430" spans="1:50">
      <c r="A430" s="134"/>
      <c r="B430" s="106"/>
      <c r="C430" s="106" t="s">
        <v>14</v>
      </c>
      <c r="D430" s="106"/>
      <c r="E430" s="742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33"/>
      <c r="R430" s="133"/>
      <c r="S430" s="133"/>
      <c r="T430" s="133">
        <f>'Optional Adjustment 2'!G430*$T$1</f>
        <v>0</v>
      </c>
      <c r="U430" s="133">
        <f>'Optional Adjustment 3'!G430*$U$1</f>
        <v>0</v>
      </c>
      <c r="V430" s="133">
        <f>'Optional Adjustment 4'!G430*$V$1</f>
        <v>0</v>
      </c>
      <c r="W430" s="133">
        <f>'Optional Adjustment 5'!G430*$W$1</f>
        <v>0</v>
      </c>
      <c r="X430" s="133">
        <f>'Optional Adjustment 6'!G430*$X$1</f>
        <v>0</v>
      </c>
      <c r="Y430" s="133">
        <f>'Optional Adjustment 7'!G430*$Y$1</f>
        <v>0</v>
      </c>
      <c r="Z430" s="133">
        <f>'Optional Adjustment 8'!G430*$Z$1</f>
        <v>0</v>
      </c>
      <c r="AA430" s="133">
        <f>'Optional Adjustment 9'!G430*$AA$1</f>
        <v>0</v>
      </c>
      <c r="AB430" s="133">
        <f>'Optional Adjustment 10'!G430*$AB$1</f>
        <v>0</v>
      </c>
      <c r="AC430" s="133">
        <f>'Optional Adjustment 11'!G430*$AC$1</f>
        <v>0</v>
      </c>
      <c r="AD430" s="133">
        <f>'Optional Adjustment 12'!G430*$AD$1</f>
        <v>0</v>
      </c>
      <c r="AE430" s="133">
        <f>'Optional Adjustment 13'!G430*$AE$1</f>
        <v>0</v>
      </c>
      <c r="AF430" s="133">
        <f>'Optional Adjustment 14'!G430*$AF$1</f>
        <v>0</v>
      </c>
      <c r="AG430" s="133">
        <f>'Optional Adjustment 15'!G430*$AG$1</f>
        <v>0</v>
      </c>
      <c r="AH430" s="133">
        <f>'Optional Adjustment 16'!G430*$AH$1</f>
        <v>0</v>
      </c>
      <c r="AI430" s="133">
        <f>'Optional Adjustment 17'!G430*$AI$1</f>
        <v>0</v>
      </c>
      <c r="AJ430" s="133">
        <f>'Optional Adjustment 18'!G430*$AJ$1</f>
        <v>0</v>
      </c>
      <c r="AK430" s="133">
        <f>'Optional Adjustment 19'!G430*$AK$1</f>
        <v>0</v>
      </c>
      <c r="AL430" s="133">
        <f>'Optional Adjustment 20'!G430*$AL$1</f>
        <v>0</v>
      </c>
      <c r="AM430" s="133">
        <f>'Optional Adjustment 21'!G430*$AM$1</f>
        <v>0</v>
      </c>
      <c r="AN430" s="133">
        <f>'Optional Adjustment 22'!G430*$AN$1</f>
        <v>0</v>
      </c>
      <c r="AO430" s="133">
        <f>'Optional Adjustment 23'!G430*$AO$1</f>
        <v>0</v>
      </c>
      <c r="AP430" s="133">
        <f>'Optional Adjustment 24'!G430*$AP$1</f>
        <v>0</v>
      </c>
      <c r="AQ430" s="133">
        <f>'Optional Adjustment 25'!G430*$AQ$1</f>
        <v>0</v>
      </c>
      <c r="AR430" s="133">
        <f>'Optional Adjustment 26'!G430*$AR$1</f>
        <v>0</v>
      </c>
      <c r="AS430" s="133">
        <f>'Optional Adjustment 27'!G430*$AS$1</f>
        <v>0</v>
      </c>
      <c r="AT430" s="133"/>
      <c r="AU430" s="133">
        <f>SUM(F430:AT430)</f>
        <v>0</v>
      </c>
      <c r="AV430" s="116"/>
      <c r="AW430" s="133">
        <f>SUM(AU430:AU430)</f>
        <v>0</v>
      </c>
      <c r="AX430" s="133">
        <f>+AW430-'ROR-Model'!G430</f>
        <v>0</v>
      </c>
    </row>
    <row r="431" spans="1:50">
      <c r="A431" s="134"/>
      <c r="B431" s="106"/>
      <c r="C431" s="106" t="s">
        <v>24</v>
      </c>
      <c r="D431" s="106"/>
      <c r="E431" s="742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33"/>
      <c r="R431" s="133"/>
      <c r="S431" s="133"/>
      <c r="T431" s="133">
        <f>'Optional Adjustment 2'!G431*$T$1</f>
        <v>0</v>
      </c>
      <c r="U431" s="133">
        <f>'Optional Adjustment 3'!G431*$U$1</f>
        <v>0</v>
      </c>
      <c r="V431" s="133">
        <f>'Optional Adjustment 4'!G431*$V$1</f>
        <v>0</v>
      </c>
      <c r="W431" s="133">
        <f>'Optional Adjustment 5'!G431*$W$1</f>
        <v>0</v>
      </c>
      <c r="X431" s="133">
        <f>'Optional Adjustment 6'!G431*$X$1</f>
        <v>0</v>
      </c>
      <c r="Y431" s="133">
        <f>'Optional Adjustment 7'!G431*$Y$1</f>
        <v>0</v>
      </c>
      <c r="Z431" s="133">
        <f>'Optional Adjustment 8'!G431*$Z$1</f>
        <v>0</v>
      </c>
      <c r="AA431" s="133">
        <f>'Optional Adjustment 9'!G431*$AA$1</f>
        <v>0</v>
      </c>
      <c r="AB431" s="133">
        <f>'Optional Adjustment 10'!G431*$AB$1</f>
        <v>0</v>
      </c>
      <c r="AC431" s="133">
        <f>'Optional Adjustment 11'!G431*$AC$1</f>
        <v>0</v>
      </c>
      <c r="AD431" s="133">
        <f>'Optional Adjustment 12'!G431*$AD$1</f>
        <v>0</v>
      </c>
      <c r="AE431" s="133">
        <f>'Optional Adjustment 13'!G431*$AE$1</f>
        <v>0</v>
      </c>
      <c r="AF431" s="133">
        <f>'Optional Adjustment 14'!G431*$AF$1</f>
        <v>0</v>
      </c>
      <c r="AG431" s="133">
        <f>'Optional Adjustment 15'!G431*$AG$1</f>
        <v>0</v>
      </c>
      <c r="AH431" s="133">
        <f>'Optional Adjustment 16'!G431*$AH$1</f>
        <v>0</v>
      </c>
      <c r="AI431" s="133">
        <f>'Optional Adjustment 17'!G431*$AI$1</f>
        <v>0</v>
      </c>
      <c r="AJ431" s="133">
        <f>'Optional Adjustment 18'!G431*$AJ$1</f>
        <v>0</v>
      </c>
      <c r="AK431" s="133">
        <f>'Optional Adjustment 19'!G431*$AK$1</f>
        <v>0</v>
      </c>
      <c r="AL431" s="133">
        <f>'Optional Adjustment 20'!G431*$AL$1</f>
        <v>0</v>
      </c>
      <c r="AM431" s="133">
        <f>'Optional Adjustment 21'!G431*$AM$1</f>
        <v>0</v>
      </c>
      <c r="AN431" s="133">
        <f>'Optional Adjustment 22'!G431*$AN$1</f>
        <v>0</v>
      </c>
      <c r="AO431" s="133">
        <f>'Optional Adjustment 23'!G431*$AO$1</f>
        <v>0</v>
      </c>
      <c r="AP431" s="133">
        <f>'Optional Adjustment 24'!G431*$AP$1</f>
        <v>0</v>
      </c>
      <c r="AQ431" s="133">
        <f>'Optional Adjustment 25'!G431*$AQ$1</f>
        <v>0</v>
      </c>
      <c r="AR431" s="133">
        <f>'Optional Adjustment 26'!G431*$AR$1</f>
        <v>0</v>
      </c>
      <c r="AS431" s="133">
        <f>'Optional Adjustment 27'!G431*$AS$1</f>
        <v>0</v>
      </c>
      <c r="AT431" s="133"/>
      <c r="AU431" s="133">
        <f>SUM(F431:AT431)</f>
        <v>0</v>
      </c>
      <c r="AV431" s="116"/>
      <c r="AW431" s="133">
        <f>SUM(AU431:AU431)</f>
        <v>0</v>
      </c>
      <c r="AX431" s="133">
        <f>+AW431-'ROR-Model'!G431</f>
        <v>0</v>
      </c>
    </row>
    <row r="432" spans="1:50">
      <c r="A432" s="134"/>
      <c r="B432" s="106"/>
      <c r="C432" s="106" t="s">
        <v>170</v>
      </c>
      <c r="D432" s="106"/>
      <c r="E432" s="742"/>
      <c r="F432" s="131">
        <f>SUM(F430:F431)</f>
        <v>0</v>
      </c>
      <c r="G432" s="131"/>
      <c r="H432" s="131">
        <f>H1*SUM(H430:H431)</f>
        <v>0</v>
      </c>
      <c r="I432" s="131">
        <f>SUM(I430:I431)</f>
        <v>0</v>
      </c>
      <c r="J432" s="131">
        <f t="shared" ref="J432:P432" si="521">SUM(J430:J431)</f>
        <v>0</v>
      </c>
      <c r="K432" s="131">
        <f t="shared" si="521"/>
        <v>0</v>
      </c>
      <c r="L432" s="131">
        <f t="shared" si="521"/>
        <v>0</v>
      </c>
      <c r="M432" s="131">
        <f t="shared" si="521"/>
        <v>0</v>
      </c>
      <c r="N432" s="131">
        <f t="shared" si="521"/>
        <v>0</v>
      </c>
      <c r="O432" s="131">
        <f t="shared" si="521"/>
        <v>0</v>
      </c>
      <c r="P432" s="131">
        <f t="shared" si="521"/>
        <v>0</v>
      </c>
      <c r="Q432" s="241">
        <f>SUM(Q430:Q431)</f>
        <v>0</v>
      </c>
      <c r="R432" s="241">
        <f>SUM(R430:R431)</f>
        <v>0</v>
      </c>
      <c r="S432" s="556"/>
      <c r="T432" s="556">
        <f t="shared" ref="T432:AG432" si="522">SUM(T430:T431)</f>
        <v>0</v>
      </c>
      <c r="U432" s="556">
        <f t="shared" si="522"/>
        <v>0</v>
      </c>
      <c r="V432" s="556">
        <f t="shared" si="522"/>
        <v>0</v>
      </c>
      <c r="W432" s="556">
        <f t="shared" si="522"/>
        <v>0</v>
      </c>
      <c r="X432" s="556">
        <f t="shared" si="522"/>
        <v>0</v>
      </c>
      <c r="Y432" s="556">
        <f t="shared" si="522"/>
        <v>0</v>
      </c>
      <c r="Z432" s="556">
        <f t="shared" si="522"/>
        <v>0</v>
      </c>
      <c r="AA432" s="556">
        <f t="shared" si="522"/>
        <v>0</v>
      </c>
      <c r="AB432" s="556">
        <f t="shared" si="522"/>
        <v>0</v>
      </c>
      <c r="AC432" s="556">
        <f t="shared" si="522"/>
        <v>0</v>
      </c>
      <c r="AD432" s="556">
        <f t="shared" si="522"/>
        <v>0</v>
      </c>
      <c r="AE432" s="556">
        <f t="shared" si="522"/>
        <v>0</v>
      </c>
      <c r="AF432" s="556">
        <f t="shared" si="522"/>
        <v>0</v>
      </c>
      <c r="AG432" s="556">
        <f t="shared" si="522"/>
        <v>0</v>
      </c>
      <c r="AH432" s="556">
        <f t="shared" ref="AH432:AK432" si="523">SUM(AH430:AH431)</f>
        <v>0</v>
      </c>
      <c r="AI432" s="556">
        <f t="shared" si="523"/>
        <v>0</v>
      </c>
      <c r="AJ432" s="556">
        <f t="shared" si="523"/>
        <v>0</v>
      </c>
      <c r="AK432" s="556">
        <f t="shared" si="523"/>
        <v>0</v>
      </c>
      <c r="AL432" s="556">
        <f t="shared" ref="AL432:AP432" si="524">SUM(AL430:AL431)</f>
        <v>0</v>
      </c>
      <c r="AM432" s="556">
        <f t="shared" si="524"/>
        <v>0</v>
      </c>
      <c r="AN432" s="556">
        <f t="shared" si="524"/>
        <v>0</v>
      </c>
      <c r="AO432" s="556">
        <f t="shared" si="524"/>
        <v>0</v>
      </c>
      <c r="AP432" s="556">
        <f t="shared" si="524"/>
        <v>0</v>
      </c>
      <c r="AQ432" s="556">
        <f t="shared" ref="AQ432:AS432" si="525">SUM(AQ430:AQ431)</f>
        <v>0</v>
      </c>
      <c r="AR432" s="556">
        <f t="shared" si="525"/>
        <v>0</v>
      </c>
      <c r="AS432" s="556">
        <f t="shared" si="525"/>
        <v>0</v>
      </c>
      <c r="AT432" s="556"/>
      <c r="AU432" s="241">
        <f>SUM(AU430:AU431)</f>
        <v>0</v>
      </c>
      <c r="AV432" s="131"/>
      <c r="AW432" s="241">
        <f>SUM(AW430:AW431)</f>
        <v>0</v>
      </c>
      <c r="AX432" s="241">
        <f>+AW432-'ROR-Model'!G432</f>
        <v>0</v>
      </c>
    </row>
    <row r="433" spans="1:50">
      <c r="A433" s="134"/>
      <c r="B433" s="106"/>
      <c r="C433" s="106"/>
      <c r="D433" s="106"/>
      <c r="E433" s="742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16"/>
      <c r="AW433" s="133"/>
      <c r="AX433" s="133">
        <f>+AW433-'ROR-Model'!G433</f>
        <v>0</v>
      </c>
    </row>
    <row r="434" spans="1:50">
      <c r="A434" s="134" t="s">
        <v>418</v>
      </c>
      <c r="B434" s="106" t="s">
        <v>323</v>
      </c>
      <c r="C434" s="106"/>
      <c r="D434" s="106"/>
      <c r="E434" s="742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16"/>
      <c r="AW434" s="133"/>
      <c r="AX434" s="133">
        <f>+AW434-'ROR-Model'!G434</f>
        <v>0</v>
      </c>
    </row>
    <row r="435" spans="1:50">
      <c r="A435" s="134"/>
      <c r="B435" s="106"/>
      <c r="C435" s="106" t="s">
        <v>14</v>
      </c>
      <c r="D435" s="106"/>
      <c r="E435" s="742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33"/>
      <c r="R435" s="133"/>
      <c r="S435" s="133"/>
      <c r="T435" s="133">
        <f>'Optional Adjustment 2'!G435*$T$1</f>
        <v>0</v>
      </c>
      <c r="U435" s="133">
        <f>'Optional Adjustment 3'!G435*$U$1</f>
        <v>0</v>
      </c>
      <c r="V435" s="133">
        <f>'Optional Adjustment 4'!G435*$V$1</f>
        <v>0</v>
      </c>
      <c r="W435" s="133">
        <f>'Optional Adjustment 5'!G435*$W$1</f>
        <v>0</v>
      </c>
      <c r="X435" s="133">
        <f>'Optional Adjustment 6'!G435*$X$1</f>
        <v>0</v>
      </c>
      <c r="Y435" s="133">
        <f>'Optional Adjustment 7'!G435*$Y$1</f>
        <v>0</v>
      </c>
      <c r="Z435" s="133">
        <f>'Optional Adjustment 8'!G435*$Z$1</f>
        <v>0</v>
      </c>
      <c r="AA435" s="133">
        <f>'Optional Adjustment 9'!G435*$AA$1</f>
        <v>0</v>
      </c>
      <c r="AB435" s="133">
        <f>'Optional Adjustment 10'!G435*$AB$1</f>
        <v>0</v>
      </c>
      <c r="AC435" s="133">
        <f>'Optional Adjustment 11'!G435*$AC$1</f>
        <v>0</v>
      </c>
      <c r="AD435" s="133">
        <f>'Optional Adjustment 12'!G435*$AD$1</f>
        <v>0</v>
      </c>
      <c r="AE435" s="133">
        <f>'Optional Adjustment 13'!G435*$AE$1</f>
        <v>0</v>
      </c>
      <c r="AF435" s="133">
        <f>'Optional Adjustment 14'!G435*$AF$1</f>
        <v>0</v>
      </c>
      <c r="AG435" s="133">
        <f>'Optional Adjustment 15'!G435*$AG$1</f>
        <v>0</v>
      </c>
      <c r="AH435" s="133">
        <f>'Optional Adjustment 16'!G435*$AH$1</f>
        <v>0</v>
      </c>
      <c r="AI435" s="133">
        <f>'Optional Adjustment 17'!G435*$AI$1</f>
        <v>0</v>
      </c>
      <c r="AJ435" s="133">
        <f>'Optional Adjustment 18'!G435*$AJ$1</f>
        <v>0</v>
      </c>
      <c r="AK435" s="133">
        <f>'Optional Adjustment 19'!G435*$AK$1</f>
        <v>0</v>
      </c>
      <c r="AL435" s="133">
        <f>'Optional Adjustment 20'!G435*$AL$1</f>
        <v>0</v>
      </c>
      <c r="AM435" s="133">
        <f>'Optional Adjustment 21'!G435*$AM$1</f>
        <v>0</v>
      </c>
      <c r="AN435" s="133">
        <f>'Optional Adjustment 22'!G435*$AN$1</f>
        <v>0</v>
      </c>
      <c r="AO435" s="133">
        <f>'Optional Adjustment 23'!G435*$AO$1</f>
        <v>0</v>
      </c>
      <c r="AP435" s="133">
        <f>'Optional Adjustment 24'!G435*$AP$1</f>
        <v>0</v>
      </c>
      <c r="AQ435" s="133">
        <f>'Optional Adjustment 25'!G435*$AQ$1</f>
        <v>0</v>
      </c>
      <c r="AR435" s="133">
        <f>'Optional Adjustment 26'!G435*$AR$1</f>
        <v>0</v>
      </c>
      <c r="AS435" s="133">
        <f>'Optional Adjustment 27'!G435*$AS$1</f>
        <v>0</v>
      </c>
      <c r="AT435" s="133"/>
      <c r="AU435" s="133">
        <f>SUM(F435:AT435)</f>
        <v>0</v>
      </c>
      <c r="AV435" s="116"/>
      <c r="AW435" s="133">
        <f>SUM(AU435:AU435)</f>
        <v>0</v>
      </c>
      <c r="AX435" s="133">
        <f>+AW435-'ROR-Model'!G435</f>
        <v>0</v>
      </c>
    </row>
    <row r="436" spans="1:50">
      <c r="A436" s="134"/>
      <c r="B436" s="106"/>
      <c r="C436" s="106" t="s">
        <v>24</v>
      </c>
      <c r="D436" s="106"/>
      <c r="E436" s="742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33"/>
      <c r="R436" s="133"/>
      <c r="S436" s="133"/>
      <c r="T436" s="133">
        <f>'Optional Adjustment 2'!G436*$T$1</f>
        <v>0</v>
      </c>
      <c r="U436" s="133">
        <f>'Optional Adjustment 3'!G436*$U$1</f>
        <v>0</v>
      </c>
      <c r="V436" s="133">
        <f>'Optional Adjustment 4'!G436*$V$1</f>
        <v>0</v>
      </c>
      <c r="W436" s="133">
        <f>'Optional Adjustment 5'!G436*$W$1</f>
        <v>0</v>
      </c>
      <c r="X436" s="133">
        <f>'Optional Adjustment 6'!G436*$X$1</f>
        <v>0</v>
      </c>
      <c r="Y436" s="133">
        <f>'Optional Adjustment 7'!G436*$Y$1</f>
        <v>0</v>
      </c>
      <c r="Z436" s="133">
        <f>'Optional Adjustment 8'!G436*$Z$1</f>
        <v>0</v>
      </c>
      <c r="AA436" s="133">
        <f>'Optional Adjustment 9'!G436*$AA$1</f>
        <v>0</v>
      </c>
      <c r="AB436" s="133">
        <f>'Optional Adjustment 10'!G436*$AB$1</f>
        <v>0</v>
      </c>
      <c r="AC436" s="133">
        <f>'Optional Adjustment 11'!G436*$AC$1</f>
        <v>0</v>
      </c>
      <c r="AD436" s="133">
        <f>'Optional Adjustment 12'!G436*$AD$1</f>
        <v>0</v>
      </c>
      <c r="AE436" s="133">
        <f>'Optional Adjustment 13'!G436*$AE$1</f>
        <v>0</v>
      </c>
      <c r="AF436" s="133">
        <f>'Optional Adjustment 14'!G436*$AF$1</f>
        <v>0</v>
      </c>
      <c r="AG436" s="133">
        <f>'Optional Adjustment 15'!G436*$AG$1</f>
        <v>0</v>
      </c>
      <c r="AH436" s="133">
        <f>'Optional Adjustment 16'!G436*$AH$1</f>
        <v>0</v>
      </c>
      <c r="AI436" s="133">
        <f>'Optional Adjustment 17'!G436*$AI$1</f>
        <v>0</v>
      </c>
      <c r="AJ436" s="133">
        <f>'Optional Adjustment 18'!G436*$AJ$1</f>
        <v>0</v>
      </c>
      <c r="AK436" s="133">
        <f>'Optional Adjustment 19'!G436*$AK$1</f>
        <v>0</v>
      </c>
      <c r="AL436" s="133">
        <f>'Optional Adjustment 20'!G436*$AL$1</f>
        <v>0</v>
      </c>
      <c r="AM436" s="133">
        <f>'Optional Adjustment 21'!G436*$AM$1</f>
        <v>0</v>
      </c>
      <c r="AN436" s="133">
        <f>'Optional Adjustment 22'!G436*$AN$1</f>
        <v>0</v>
      </c>
      <c r="AO436" s="133">
        <f>'Optional Adjustment 23'!G436*$AO$1</f>
        <v>0</v>
      </c>
      <c r="AP436" s="133">
        <f>'Optional Adjustment 24'!G436*$AP$1</f>
        <v>0</v>
      </c>
      <c r="AQ436" s="133">
        <f>'Optional Adjustment 25'!G436*$AQ$1</f>
        <v>0</v>
      </c>
      <c r="AR436" s="133">
        <f>'Optional Adjustment 26'!G436*$AR$1</f>
        <v>0</v>
      </c>
      <c r="AS436" s="133">
        <f>'Optional Adjustment 27'!G436*$AS$1</f>
        <v>0</v>
      </c>
      <c r="AT436" s="133"/>
      <c r="AU436" s="133">
        <f>SUM(F436:AT436)</f>
        <v>0</v>
      </c>
      <c r="AV436" s="116"/>
      <c r="AW436" s="133">
        <f>SUM(AU436:AU436)</f>
        <v>0</v>
      </c>
      <c r="AX436" s="133">
        <f>+AW436-'ROR-Model'!G436</f>
        <v>0</v>
      </c>
    </row>
    <row r="437" spans="1:50">
      <c r="A437" s="134"/>
      <c r="B437" s="106"/>
      <c r="C437" s="106" t="s">
        <v>170</v>
      </c>
      <c r="D437" s="106"/>
      <c r="E437" s="742"/>
      <c r="F437" s="131">
        <f>SUM(F435:F436)</f>
        <v>0</v>
      </c>
      <c r="G437" s="131"/>
      <c r="H437" s="131">
        <f>H1*SUM(H435:H436)</f>
        <v>0</v>
      </c>
      <c r="I437" s="131">
        <f>SUM(I435:I436)</f>
        <v>0</v>
      </c>
      <c r="J437" s="131">
        <f t="shared" ref="J437:P437" si="526">SUM(J435:J436)</f>
        <v>0</v>
      </c>
      <c r="K437" s="131">
        <f t="shared" si="526"/>
        <v>0</v>
      </c>
      <c r="L437" s="131">
        <f t="shared" si="526"/>
        <v>0</v>
      </c>
      <c r="M437" s="131">
        <f t="shared" si="526"/>
        <v>0</v>
      </c>
      <c r="N437" s="131">
        <f t="shared" si="526"/>
        <v>0</v>
      </c>
      <c r="O437" s="131">
        <f t="shared" si="526"/>
        <v>0</v>
      </c>
      <c r="P437" s="131">
        <f t="shared" si="526"/>
        <v>0</v>
      </c>
      <c r="Q437" s="241">
        <f>SUM(Q435:Q436)</f>
        <v>0</v>
      </c>
      <c r="R437" s="241">
        <f>SUM(R435:R436)</f>
        <v>0</v>
      </c>
      <c r="S437" s="556"/>
      <c r="T437" s="556">
        <f t="shared" ref="T437:AG437" si="527">SUM(T435:T436)</f>
        <v>0</v>
      </c>
      <c r="U437" s="556">
        <f t="shared" si="527"/>
        <v>0</v>
      </c>
      <c r="V437" s="556">
        <f t="shared" si="527"/>
        <v>0</v>
      </c>
      <c r="W437" s="556">
        <f t="shared" si="527"/>
        <v>0</v>
      </c>
      <c r="X437" s="556">
        <f t="shared" si="527"/>
        <v>0</v>
      </c>
      <c r="Y437" s="556">
        <f t="shared" si="527"/>
        <v>0</v>
      </c>
      <c r="Z437" s="556">
        <f t="shared" si="527"/>
        <v>0</v>
      </c>
      <c r="AA437" s="556">
        <f t="shared" si="527"/>
        <v>0</v>
      </c>
      <c r="AB437" s="556">
        <f t="shared" si="527"/>
        <v>0</v>
      </c>
      <c r="AC437" s="556">
        <f t="shared" si="527"/>
        <v>0</v>
      </c>
      <c r="AD437" s="556">
        <f t="shared" si="527"/>
        <v>0</v>
      </c>
      <c r="AE437" s="556">
        <f t="shared" si="527"/>
        <v>0</v>
      </c>
      <c r="AF437" s="556">
        <f t="shared" si="527"/>
        <v>0</v>
      </c>
      <c r="AG437" s="556">
        <f t="shared" si="527"/>
        <v>0</v>
      </c>
      <c r="AH437" s="556">
        <f t="shared" ref="AH437:AK437" si="528">SUM(AH435:AH436)</f>
        <v>0</v>
      </c>
      <c r="AI437" s="556">
        <f t="shared" si="528"/>
        <v>0</v>
      </c>
      <c r="AJ437" s="556">
        <f t="shared" si="528"/>
        <v>0</v>
      </c>
      <c r="AK437" s="556">
        <f t="shared" si="528"/>
        <v>0</v>
      </c>
      <c r="AL437" s="556">
        <f t="shared" ref="AL437:AP437" si="529">SUM(AL435:AL436)</f>
        <v>0</v>
      </c>
      <c r="AM437" s="556">
        <f t="shared" si="529"/>
        <v>0</v>
      </c>
      <c r="AN437" s="556">
        <f t="shared" si="529"/>
        <v>0</v>
      </c>
      <c r="AO437" s="556">
        <f t="shared" si="529"/>
        <v>0</v>
      </c>
      <c r="AP437" s="556">
        <f t="shared" si="529"/>
        <v>0</v>
      </c>
      <c r="AQ437" s="556">
        <f t="shared" ref="AQ437:AS437" si="530">SUM(AQ435:AQ436)</f>
        <v>0</v>
      </c>
      <c r="AR437" s="556">
        <f t="shared" si="530"/>
        <v>0</v>
      </c>
      <c r="AS437" s="556">
        <f t="shared" si="530"/>
        <v>0</v>
      </c>
      <c r="AT437" s="556"/>
      <c r="AU437" s="241">
        <f>SUM(AU435:AU436)</f>
        <v>0</v>
      </c>
      <c r="AV437" s="131"/>
      <c r="AW437" s="241">
        <f>SUM(AW435:AW436)</f>
        <v>0</v>
      </c>
      <c r="AX437" s="241">
        <f>+AW437-'ROR-Model'!G437</f>
        <v>0</v>
      </c>
    </row>
    <row r="438" spans="1:50">
      <c r="A438" s="134"/>
      <c r="B438" s="106"/>
      <c r="C438" s="106"/>
      <c r="D438" s="106"/>
      <c r="E438" s="742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16"/>
      <c r="AW438" s="133"/>
      <c r="AX438" s="133">
        <f>+AW438-'ROR-Model'!G438</f>
        <v>0</v>
      </c>
    </row>
    <row r="439" spans="1:50">
      <c r="A439" s="134" t="s">
        <v>419</v>
      </c>
      <c r="B439" s="106" t="s">
        <v>324</v>
      </c>
      <c r="C439" s="106"/>
      <c r="D439" s="106"/>
      <c r="E439" s="742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16"/>
      <c r="AW439" s="133"/>
      <c r="AX439" s="133">
        <f>+AW439-'ROR-Model'!G439</f>
        <v>0</v>
      </c>
    </row>
    <row r="440" spans="1:50">
      <c r="A440" s="134"/>
      <c r="B440" s="106"/>
      <c r="C440" s="106" t="s">
        <v>14</v>
      </c>
      <c r="D440" s="106"/>
      <c r="E440" s="742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33"/>
      <c r="R440" s="133"/>
      <c r="S440" s="133"/>
      <c r="T440" s="133">
        <f>'Optional Adjustment 2'!G440*$T$1</f>
        <v>0</v>
      </c>
      <c r="U440" s="133">
        <f>'Optional Adjustment 3'!G440*$U$1</f>
        <v>0</v>
      </c>
      <c r="V440" s="133">
        <f>'Optional Adjustment 4'!G440*$V$1</f>
        <v>0</v>
      </c>
      <c r="W440" s="133">
        <f>'Optional Adjustment 5'!G440*$W$1</f>
        <v>0</v>
      </c>
      <c r="X440" s="133">
        <f>'Optional Adjustment 6'!G440*$X$1</f>
        <v>0</v>
      </c>
      <c r="Y440" s="133">
        <f>'Optional Adjustment 7'!G440*$Y$1</f>
        <v>0</v>
      </c>
      <c r="Z440" s="133">
        <f>'Optional Adjustment 8'!G440*$Z$1</f>
        <v>0</v>
      </c>
      <c r="AA440" s="133">
        <f>'Optional Adjustment 9'!G440*$AA$1</f>
        <v>0</v>
      </c>
      <c r="AB440" s="133">
        <f>'Optional Adjustment 10'!G440*$AB$1</f>
        <v>0</v>
      </c>
      <c r="AC440" s="133">
        <f>'Optional Adjustment 11'!G440*$AC$1</f>
        <v>0</v>
      </c>
      <c r="AD440" s="133">
        <f>'Optional Adjustment 12'!G440*$AD$1</f>
        <v>0</v>
      </c>
      <c r="AE440" s="133">
        <f>'Optional Adjustment 13'!G440*$AE$1</f>
        <v>0</v>
      </c>
      <c r="AF440" s="133">
        <f>'Optional Adjustment 14'!G440*$AF$1</f>
        <v>0</v>
      </c>
      <c r="AG440" s="133">
        <f>'Optional Adjustment 15'!G440*$AG$1</f>
        <v>0</v>
      </c>
      <c r="AH440" s="133">
        <f>'Optional Adjustment 16'!G440*$AH$1</f>
        <v>0</v>
      </c>
      <c r="AI440" s="133">
        <f>'Optional Adjustment 17'!G440*$AI$1</f>
        <v>0</v>
      </c>
      <c r="AJ440" s="133">
        <f>'Optional Adjustment 18'!G440*$AJ$1</f>
        <v>0</v>
      </c>
      <c r="AK440" s="133">
        <f>'Optional Adjustment 19'!G440*$AK$1</f>
        <v>0</v>
      </c>
      <c r="AL440" s="133">
        <f>'Optional Adjustment 20'!G440*$AL$1</f>
        <v>0</v>
      </c>
      <c r="AM440" s="133">
        <f>'Optional Adjustment 21'!G440*$AM$1</f>
        <v>0</v>
      </c>
      <c r="AN440" s="133">
        <f>'Optional Adjustment 22'!G440*$AN$1</f>
        <v>0</v>
      </c>
      <c r="AO440" s="133">
        <f>'Optional Adjustment 23'!G440*$AO$1</f>
        <v>0</v>
      </c>
      <c r="AP440" s="133">
        <f>'Optional Adjustment 24'!G440*$AP$1</f>
        <v>0</v>
      </c>
      <c r="AQ440" s="133">
        <f>'Optional Adjustment 25'!G440*$AQ$1</f>
        <v>0</v>
      </c>
      <c r="AR440" s="133">
        <f>'Optional Adjustment 26'!G440*$AR$1</f>
        <v>0</v>
      </c>
      <c r="AS440" s="133">
        <f>'Optional Adjustment 27'!G440*$AS$1</f>
        <v>0</v>
      </c>
      <c r="AT440" s="133"/>
      <c r="AU440" s="133">
        <f>SUM(F440:AT440)</f>
        <v>0</v>
      </c>
      <c r="AV440" s="116"/>
      <c r="AW440" s="133">
        <f>SUM(AU440:AU440)</f>
        <v>0</v>
      </c>
      <c r="AX440" s="133">
        <f>+AW440-'ROR-Model'!G440</f>
        <v>0</v>
      </c>
    </row>
    <row r="441" spans="1:50">
      <c r="A441" s="134"/>
      <c r="B441" s="106"/>
      <c r="C441" s="106" t="s">
        <v>24</v>
      </c>
      <c r="D441" s="106"/>
      <c r="E441" s="742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33"/>
      <c r="R441" s="133"/>
      <c r="S441" s="133"/>
      <c r="T441" s="133">
        <f>'Optional Adjustment 2'!G441*$T$1</f>
        <v>0</v>
      </c>
      <c r="U441" s="133">
        <f>'Optional Adjustment 3'!G441*$U$1</f>
        <v>0</v>
      </c>
      <c r="V441" s="133">
        <f>'Optional Adjustment 4'!G441*$V$1</f>
        <v>0</v>
      </c>
      <c r="W441" s="133">
        <f>'Optional Adjustment 5'!G441*$W$1</f>
        <v>0</v>
      </c>
      <c r="X441" s="133">
        <f>'Optional Adjustment 6'!G441*$X$1</f>
        <v>0</v>
      </c>
      <c r="Y441" s="133">
        <f>'Optional Adjustment 7'!G441*$Y$1</f>
        <v>0</v>
      </c>
      <c r="Z441" s="133">
        <f>'Optional Adjustment 8'!G441*$Z$1</f>
        <v>0</v>
      </c>
      <c r="AA441" s="133">
        <f>'Optional Adjustment 9'!G441*$AA$1</f>
        <v>0</v>
      </c>
      <c r="AB441" s="133">
        <f>'Optional Adjustment 10'!G441*$AB$1</f>
        <v>0</v>
      </c>
      <c r="AC441" s="133">
        <f>'Optional Adjustment 11'!G441*$AC$1</f>
        <v>0</v>
      </c>
      <c r="AD441" s="133">
        <f>'Optional Adjustment 12'!G441*$AD$1</f>
        <v>0</v>
      </c>
      <c r="AE441" s="133">
        <f>'Optional Adjustment 13'!G441*$AE$1</f>
        <v>0</v>
      </c>
      <c r="AF441" s="133">
        <f>'Optional Adjustment 14'!G441*$AF$1</f>
        <v>0</v>
      </c>
      <c r="AG441" s="133">
        <f>'Optional Adjustment 15'!G441*$AG$1</f>
        <v>0</v>
      </c>
      <c r="AH441" s="133">
        <f>'Optional Adjustment 16'!G441*$AH$1</f>
        <v>0</v>
      </c>
      <c r="AI441" s="133">
        <f>'Optional Adjustment 17'!G441*$AI$1</f>
        <v>0</v>
      </c>
      <c r="AJ441" s="133">
        <f>'Optional Adjustment 18'!G441*$AJ$1</f>
        <v>0</v>
      </c>
      <c r="AK441" s="133">
        <f>'Optional Adjustment 19'!G441*$AK$1</f>
        <v>0</v>
      </c>
      <c r="AL441" s="133">
        <f>'Optional Adjustment 20'!G441*$AL$1</f>
        <v>0</v>
      </c>
      <c r="AM441" s="133">
        <f>'Optional Adjustment 21'!G441*$AM$1</f>
        <v>0</v>
      </c>
      <c r="AN441" s="133">
        <f>'Optional Adjustment 22'!G441*$AN$1</f>
        <v>0</v>
      </c>
      <c r="AO441" s="133">
        <f>'Optional Adjustment 23'!G441*$AO$1</f>
        <v>0</v>
      </c>
      <c r="AP441" s="133">
        <f>'Optional Adjustment 24'!G441*$AP$1</f>
        <v>0</v>
      </c>
      <c r="AQ441" s="133">
        <f>'Optional Adjustment 25'!G441*$AQ$1</f>
        <v>0</v>
      </c>
      <c r="AR441" s="133">
        <f>'Optional Adjustment 26'!G441*$AR$1</f>
        <v>0</v>
      </c>
      <c r="AS441" s="133">
        <f>'Optional Adjustment 27'!G441*$AS$1</f>
        <v>0</v>
      </c>
      <c r="AT441" s="133"/>
      <c r="AU441" s="133">
        <f>SUM(F441:AT441)</f>
        <v>0</v>
      </c>
      <c r="AV441" s="116"/>
      <c r="AW441" s="133">
        <f>SUM(AU441:AU441)</f>
        <v>0</v>
      </c>
      <c r="AX441" s="133">
        <f>+AW441-'ROR-Model'!G441</f>
        <v>0</v>
      </c>
    </row>
    <row r="442" spans="1:50">
      <c r="A442" s="134"/>
      <c r="B442" s="106"/>
      <c r="C442" s="106" t="s">
        <v>170</v>
      </c>
      <c r="D442" s="106"/>
      <c r="E442" s="742"/>
      <c r="F442" s="131">
        <f>SUM(F440:F441)</f>
        <v>0</v>
      </c>
      <c r="G442" s="131"/>
      <c r="H442" s="131">
        <f>H1*SUM(H440:H441)</f>
        <v>0</v>
      </c>
      <c r="I442" s="131">
        <f>SUM(I440:I441)</f>
        <v>0</v>
      </c>
      <c r="J442" s="131">
        <f t="shared" ref="J442:P442" si="531">SUM(J440:J441)</f>
        <v>0</v>
      </c>
      <c r="K442" s="131">
        <f t="shared" si="531"/>
        <v>0</v>
      </c>
      <c r="L442" s="131">
        <f t="shared" si="531"/>
        <v>0</v>
      </c>
      <c r="M442" s="131">
        <f t="shared" si="531"/>
        <v>0</v>
      </c>
      <c r="N442" s="131">
        <f t="shared" si="531"/>
        <v>0</v>
      </c>
      <c r="O442" s="131">
        <f t="shared" si="531"/>
        <v>0</v>
      </c>
      <c r="P442" s="131">
        <f t="shared" si="531"/>
        <v>0</v>
      </c>
      <c r="Q442" s="241">
        <f>SUM(Q440:Q441)</f>
        <v>0</v>
      </c>
      <c r="R442" s="241">
        <f>SUM(R440:R441)</f>
        <v>0</v>
      </c>
      <c r="S442" s="556"/>
      <c r="T442" s="556">
        <f t="shared" ref="T442:AG442" si="532">SUM(T440:T441)</f>
        <v>0</v>
      </c>
      <c r="U442" s="556">
        <f t="shared" si="532"/>
        <v>0</v>
      </c>
      <c r="V442" s="556">
        <f t="shared" si="532"/>
        <v>0</v>
      </c>
      <c r="W442" s="556">
        <f t="shared" si="532"/>
        <v>0</v>
      </c>
      <c r="X442" s="556">
        <f t="shared" si="532"/>
        <v>0</v>
      </c>
      <c r="Y442" s="556">
        <f t="shared" si="532"/>
        <v>0</v>
      </c>
      <c r="Z442" s="556">
        <f t="shared" si="532"/>
        <v>0</v>
      </c>
      <c r="AA442" s="556">
        <f t="shared" si="532"/>
        <v>0</v>
      </c>
      <c r="AB442" s="556">
        <f t="shared" si="532"/>
        <v>0</v>
      </c>
      <c r="AC442" s="556">
        <f t="shared" si="532"/>
        <v>0</v>
      </c>
      <c r="AD442" s="556">
        <f t="shared" si="532"/>
        <v>0</v>
      </c>
      <c r="AE442" s="556">
        <f t="shared" si="532"/>
        <v>0</v>
      </c>
      <c r="AF442" s="556">
        <f t="shared" si="532"/>
        <v>0</v>
      </c>
      <c r="AG442" s="556">
        <f t="shared" si="532"/>
        <v>0</v>
      </c>
      <c r="AH442" s="556">
        <f t="shared" ref="AH442:AK442" si="533">SUM(AH440:AH441)</f>
        <v>0</v>
      </c>
      <c r="AI442" s="556">
        <f t="shared" si="533"/>
        <v>0</v>
      </c>
      <c r="AJ442" s="556">
        <f t="shared" si="533"/>
        <v>0</v>
      </c>
      <c r="AK442" s="556">
        <f t="shared" si="533"/>
        <v>0</v>
      </c>
      <c r="AL442" s="556">
        <f t="shared" ref="AL442:AP442" si="534">SUM(AL440:AL441)</f>
        <v>0</v>
      </c>
      <c r="AM442" s="556">
        <f t="shared" si="534"/>
        <v>0</v>
      </c>
      <c r="AN442" s="556">
        <f t="shared" si="534"/>
        <v>0</v>
      </c>
      <c r="AO442" s="556">
        <f t="shared" si="534"/>
        <v>0</v>
      </c>
      <c r="AP442" s="556">
        <f t="shared" si="534"/>
        <v>0</v>
      </c>
      <c r="AQ442" s="556">
        <f t="shared" ref="AQ442:AS442" si="535">SUM(AQ440:AQ441)</f>
        <v>0</v>
      </c>
      <c r="AR442" s="556">
        <f t="shared" si="535"/>
        <v>0</v>
      </c>
      <c r="AS442" s="556">
        <f t="shared" si="535"/>
        <v>0</v>
      </c>
      <c r="AT442" s="556"/>
      <c r="AU442" s="241">
        <f>SUM(AU440:AU441)</f>
        <v>0</v>
      </c>
      <c r="AV442" s="131"/>
      <c r="AW442" s="241">
        <f>SUM(AW440:AW441)</f>
        <v>0</v>
      </c>
      <c r="AX442" s="241">
        <f>+AW442-'ROR-Model'!G442</f>
        <v>0</v>
      </c>
    </row>
    <row r="443" spans="1:50">
      <c r="A443" s="134"/>
      <c r="B443" s="106"/>
      <c r="C443" s="106"/>
      <c r="D443" s="106"/>
      <c r="E443" s="742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16"/>
      <c r="AW443" s="133"/>
      <c r="AX443" s="133">
        <f>+AW443-'ROR-Model'!G443</f>
        <v>0</v>
      </c>
    </row>
    <row r="444" spans="1:50">
      <c r="A444" s="134" t="s">
        <v>420</v>
      </c>
      <c r="B444" s="106" t="s">
        <v>325</v>
      </c>
      <c r="C444" s="106"/>
      <c r="D444" s="106"/>
      <c r="E444" s="742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16"/>
      <c r="AW444" s="133"/>
      <c r="AX444" s="133">
        <f>+AW444-'ROR-Model'!G444</f>
        <v>0</v>
      </c>
    </row>
    <row r="445" spans="1:50">
      <c r="A445" s="134"/>
      <c r="B445" s="106"/>
      <c r="C445" s="106" t="s">
        <v>14</v>
      </c>
      <c r="D445" s="106"/>
      <c r="E445" s="742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33"/>
      <c r="R445" s="133"/>
      <c r="S445" s="133"/>
      <c r="T445" s="133">
        <f>'Optional Adjustment 2'!G445*$T$1</f>
        <v>0</v>
      </c>
      <c r="U445" s="133">
        <f>'Optional Adjustment 3'!G445*$U$1</f>
        <v>0</v>
      </c>
      <c r="V445" s="133">
        <f>'Optional Adjustment 4'!G445*$V$1</f>
        <v>0</v>
      </c>
      <c r="W445" s="133">
        <f>'Optional Adjustment 5'!G445*$W$1</f>
        <v>0</v>
      </c>
      <c r="X445" s="133">
        <f>'Optional Adjustment 6'!G445*$X$1</f>
        <v>0</v>
      </c>
      <c r="Y445" s="133">
        <f>'Optional Adjustment 7'!G445*$Y$1</f>
        <v>0</v>
      </c>
      <c r="Z445" s="133">
        <f>'Optional Adjustment 8'!G445*$Z$1</f>
        <v>0</v>
      </c>
      <c r="AA445" s="133">
        <f>'Optional Adjustment 9'!G445*$AA$1</f>
        <v>0</v>
      </c>
      <c r="AB445" s="133">
        <f>'Optional Adjustment 10'!G445*$AB$1</f>
        <v>0</v>
      </c>
      <c r="AC445" s="133">
        <f>'Optional Adjustment 11'!G445*$AC$1</f>
        <v>0</v>
      </c>
      <c r="AD445" s="133">
        <f>'Optional Adjustment 12'!G445*$AD$1</f>
        <v>0</v>
      </c>
      <c r="AE445" s="133">
        <f>'Optional Adjustment 13'!G445*$AE$1</f>
        <v>0</v>
      </c>
      <c r="AF445" s="133">
        <f>'Optional Adjustment 14'!G445*$AF$1</f>
        <v>0</v>
      </c>
      <c r="AG445" s="133">
        <f>'Optional Adjustment 15'!G445*$AG$1</f>
        <v>0</v>
      </c>
      <c r="AH445" s="133">
        <f>'Optional Adjustment 16'!G445*$AH$1</f>
        <v>0</v>
      </c>
      <c r="AI445" s="133">
        <f>'Optional Adjustment 17'!G445*$AI$1</f>
        <v>0</v>
      </c>
      <c r="AJ445" s="133">
        <f>'Optional Adjustment 18'!G445*$AJ$1</f>
        <v>0</v>
      </c>
      <c r="AK445" s="133">
        <f>'Optional Adjustment 19'!G445*$AK$1</f>
        <v>0</v>
      </c>
      <c r="AL445" s="133">
        <f>'Optional Adjustment 20'!G445*$AL$1</f>
        <v>0</v>
      </c>
      <c r="AM445" s="133">
        <f>'Optional Adjustment 21'!G445*$AM$1</f>
        <v>0</v>
      </c>
      <c r="AN445" s="133">
        <f>'Optional Adjustment 22'!G445*$AN$1</f>
        <v>0</v>
      </c>
      <c r="AO445" s="133">
        <f>'Optional Adjustment 23'!G445*$AO$1</f>
        <v>0</v>
      </c>
      <c r="AP445" s="133">
        <f>'Optional Adjustment 24'!G445*$AP$1</f>
        <v>0</v>
      </c>
      <c r="AQ445" s="133">
        <f>'Optional Adjustment 25'!G445*$AQ$1</f>
        <v>0</v>
      </c>
      <c r="AR445" s="133">
        <f>'Optional Adjustment 26'!G445*$AR$1</f>
        <v>0</v>
      </c>
      <c r="AS445" s="133">
        <f>'Optional Adjustment 27'!G445*$AS$1</f>
        <v>0</v>
      </c>
      <c r="AT445" s="133"/>
      <c r="AU445" s="133">
        <f>SUM(F445:AT445)</f>
        <v>0</v>
      </c>
      <c r="AV445" s="116"/>
      <c r="AW445" s="133">
        <f>SUM(AU445:AU445)</f>
        <v>0</v>
      </c>
      <c r="AX445" s="133">
        <f>+AW445-'ROR-Model'!G445</f>
        <v>0</v>
      </c>
    </row>
    <row r="446" spans="1:50">
      <c r="A446" s="134"/>
      <c r="B446" s="106"/>
      <c r="C446" s="106" t="s">
        <v>24</v>
      </c>
      <c r="D446" s="106"/>
      <c r="E446" s="742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33"/>
      <c r="R446" s="133"/>
      <c r="S446" s="133"/>
      <c r="T446" s="133">
        <f>'Optional Adjustment 2'!G446*$T$1</f>
        <v>0</v>
      </c>
      <c r="U446" s="133">
        <f>'Optional Adjustment 3'!G446*$U$1</f>
        <v>0</v>
      </c>
      <c r="V446" s="133">
        <f>'Optional Adjustment 4'!G446*$V$1</f>
        <v>0</v>
      </c>
      <c r="W446" s="133">
        <f>'Optional Adjustment 5'!G446*$W$1</f>
        <v>0</v>
      </c>
      <c r="X446" s="133">
        <f>'Optional Adjustment 6'!G446*$X$1</f>
        <v>0</v>
      </c>
      <c r="Y446" s="133">
        <f>'Optional Adjustment 7'!G446*$Y$1</f>
        <v>0</v>
      </c>
      <c r="Z446" s="133">
        <f>'Optional Adjustment 8'!G446*$Z$1</f>
        <v>0</v>
      </c>
      <c r="AA446" s="133">
        <f>'Optional Adjustment 9'!G446*$AA$1</f>
        <v>0</v>
      </c>
      <c r="AB446" s="133">
        <f>'Optional Adjustment 10'!G446*$AB$1</f>
        <v>0</v>
      </c>
      <c r="AC446" s="133">
        <f>'Optional Adjustment 11'!G446*$AC$1</f>
        <v>0</v>
      </c>
      <c r="AD446" s="133">
        <f>'Optional Adjustment 12'!G446*$AD$1</f>
        <v>0</v>
      </c>
      <c r="AE446" s="133">
        <f>'Optional Adjustment 13'!G446*$AE$1</f>
        <v>0</v>
      </c>
      <c r="AF446" s="133">
        <f>'Optional Adjustment 14'!G446*$AF$1</f>
        <v>0</v>
      </c>
      <c r="AG446" s="133">
        <f>'Optional Adjustment 15'!G446*$AG$1</f>
        <v>0</v>
      </c>
      <c r="AH446" s="133">
        <f>'Optional Adjustment 16'!G446*$AH$1</f>
        <v>0</v>
      </c>
      <c r="AI446" s="133">
        <f>'Optional Adjustment 17'!G446*$AI$1</f>
        <v>0</v>
      </c>
      <c r="AJ446" s="133">
        <f>'Optional Adjustment 18'!G446*$AJ$1</f>
        <v>0</v>
      </c>
      <c r="AK446" s="133">
        <f>'Optional Adjustment 19'!G446*$AK$1</f>
        <v>0</v>
      </c>
      <c r="AL446" s="133">
        <f>'Optional Adjustment 20'!G446*$AL$1</f>
        <v>0</v>
      </c>
      <c r="AM446" s="133">
        <f>'Optional Adjustment 21'!G446*$AM$1</f>
        <v>0</v>
      </c>
      <c r="AN446" s="133">
        <f>'Optional Adjustment 22'!G446*$AN$1</f>
        <v>0</v>
      </c>
      <c r="AO446" s="133">
        <f>'Optional Adjustment 23'!G446*$AO$1</f>
        <v>0</v>
      </c>
      <c r="AP446" s="133">
        <f>'Optional Adjustment 24'!G446*$AP$1</f>
        <v>0</v>
      </c>
      <c r="AQ446" s="133">
        <f>'Optional Adjustment 25'!G446*$AQ$1</f>
        <v>0</v>
      </c>
      <c r="AR446" s="133">
        <f>'Optional Adjustment 26'!G446*$AR$1</f>
        <v>0</v>
      </c>
      <c r="AS446" s="133">
        <f>'Optional Adjustment 27'!G446*$AS$1</f>
        <v>0</v>
      </c>
      <c r="AT446" s="133"/>
      <c r="AU446" s="133">
        <f>SUM(F446:AT446)</f>
        <v>0</v>
      </c>
      <c r="AV446" s="116"/>
      <c r="AW446" s="133">
        <f>SUM(AU446:AU446)</f>
        <v>0</v>
      </c>
      <c r="AX446" s="133">
        <f>+AW446-'ROR-Model'!G446</f>
        <v>0</v>
      </c>
    </row>
    <row r="447" spans="1:50">
      <c r="A447" s="134"/>
      <c r="B447" s="106"/>
      <c r="C447" s="106" t="s">
        <v>170</v>
      </c>
      <c r="D447" s="106"/>
      <c r="E447" s="742"/>
      <c r="F447" s="131">
        <f>SUM(F445:F446)</f>
        <v>0</v>
      </c>
      <c r="G447" s="131"/>
      <c r="H447" s="131">
        <f>H1*SUM(H445:H446)</f>
        <v>0</v>
      </c>
      <c r="I447" s="131">
        <f>SUM(I445:I446)</f>
        <v>0</v>
      </c>
      <c r="J447" s="131">
        <f t="shared" ref="J447:P447" si="536">SUM(J445:J446)</f>
        <v>0</v>
      </c>
      <c r="K447" s="131">
        <f t="shared" si="536"/>
        <v>0</v>
      </c>
      <c r="L447" s="131">
        <f t="shared" si="536"/>
        <v>0</v>
      </c>
      <c r="M447" s="131">
        <f t="shared" si="536"/>
        <v>0</v>
      </c>
      <c r="N447" s="131">
        <f t="shared" si="536"/>
        <v>0</v>
      </c>
      <c r="O447" s="131">
        <f t="shared" si="536"/>
        <v>0</v>
      </c>
      <c r="P447" s="131">
        <f t="shared" si="536"/>
        <v>0</v>
      </c>
      <c r="Q447" s="241">
        <f>SUM(Q445:Q446)</f>
        <v>0</v>
      </c>
      <c r="R447" s="241">
        <f>SUM(R445:R446)</f>
        <v>0</v>
      </c>
      <c r="S447" s="556"/>
      <c r="T447" s="556">
        <f t="shared" ref="T447:AG447" si="537">SUM(T445:T446)</f>
        <v>0</v>
      </c>
      <c r="U447" s="556">
        <f t="shared" si="537"/>
        <v>0</v>
      </c>
      <c r="V447" s="556">
        <f t="shared" si="537"/>
        <v>0</v>
      </c>
      <c r="W447" s="556">
        <f t="shared" si="537"/>
        <v>0</v>
      </c>
      <c r="X447" s="556">
        <f t="shared" si="537"/>
        <v>0</v>
      </c>
      <c r="Y447" s="556">
        <f t="shared" si="537"/>
        <v>0</v>
      </c>
      <c r="Z447" s="556">
        <f t="shared" si="537"/>
        <v>0</v>
      </c>
      <c r="AA447" s="556">
        <f t="shared" si="537"/>
        <v>0</v>
      </c>
      <c r="AB447" s="556">
        <f t="shared" si="537"/>
        <v>0</v>
      </c>
      <c r="AC447" s="556">
        <f t="shared" si="537"/>
        <v>0</v>
      </c>
      <c r="AD447" s="556">
        <f t="shared" si="537"/>
        <v>0</v>
      </c>
      <c r="AE447" s="556">
        <f t="shared" si="537"/>
        <v>0</v>
      </c>
      <c r="AF447" s="556">
        <f t="shared" si="537"/>
        <v>0</v>
      </c>
      <c r="AG447" s="556">
        <f t="shared" si="537"/>
        <v>0</v>
      </c>
      <c r="AH447" s="556">
        <f t="shared" ref="AH447:AK447" si="538">SUM(AH445:AH446)</f>
        <v>0</v>
      </c>
      <c r="AI447" s="556">
        <f t="shared" si="538"/>
        <v>0</v>
      </c>
      <c r="AJ447" s="556">
        <f t="shared" si="538"/>
        <v>0</v>
      </c>
      <c r="AK447" s="556">
        <f t="shared" si="538"/>
        <v>0</v>
      </c>
      <c r="AL447" s="556">
        <f t="shared" ref="AL447:AP447" si="539">SUM(AL445:AL446)</f>
        <v>0</v>
      </c>
      <c r="AM447" s="556">
        <f t="shared" si="539"/>
        <v>0</v>
      </c>
      <c r="AN447" s="556">
        <f t="shared" si="539"/>
        <v>0</v>
      </c>
      <c r="AO447" s="556">
        <f t="shared" si="539"/>
        <v>0</v>
      </c>
      <c r="AP447" s="556">
        <f t="shared" si="539"/>
        <v>0</v>
      </c>
      <c r="AQ447" s="556">
        <f t="shared" ref="AQ447:AS447" si="540">SUM(AQ445:AQ446)</f>
        <v>0</v>
      </c>
      <c r="AR447" s="556">
        <f t="shared" si="540"/>
        <v>0</v>
      </c>
      <c r="AS447" s="556">
        <f t="shared" si="540"/>
        <v>0</v>
      </c>
      <c r="AT447" s="556"/>
      <c r="AU447" s="241">
        <f>SUM(AU445:AU446)</f>
        <v>0</v>
      </c>
      <c r="AV447" s="131"/>
      <c r="AW447" s="241">
        <f>SUM(AW445:AW446)</f>
        <v>0</v>
      </c>
      <c r="AX447" s="241">
        <f>+AW447-'ROR-Model'!G447</f>
        <v>0</v>
      </c>
    </row>
    <row r="448" spans="1:50">
      <c r="A448" s="134"/>
      <c r="B448" s="106"/>
      <c r="C448" s="106"/>
      <c r="D448" s="106"/>
      <c r="E448" s="742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16"/>
      <c r="AW448" s="133"/>
      <c r="AX448" s="133">
        <f>+AW448-'ROR-Model'!G448</f>
        <v>0</v>
      </c>
    </row>
    <row r="449" spans="1:50">
      <c r="A449" s="134" t="s">
        <v>421</v>
      </c>
      <c r="B449" s="106" t="s">
        <v>326</v>
      </c>
      <c r="C449" s="106"/>
      <c r="D449" s="106"/>
      <c r="E449" s="742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16"/>
      <c r="AW449" s="133"/>
      <c r="AX449" s="133">
        <f>+AW449-'ROR-Model'!G449</f>
        <v>0</v>
      </c>
    </row>
    <row r="450" spans="1:50">
      <c r="A450" s="134"/>
      <c r="B450" s="106"/>
      <c r="C450" s="106" t="s">
        <v>14</v>
      </c>
      <c r="D450" s="106"/>
      <c r="E450" s="742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33"/>
      <c r="R450" s="133"/>
      <c r="S450" s="133"/>
      <c r="T450" s="133">
        <f>'Optional Adjustment 2'!G450*$T$1</f>
        <v>0</v>
      </c>
      <c r="U450" s="133">
        <f>'Optional Adjustment 3'!G450*$U$1</f>
        <v>0</v>
      </c>
      <c r="V450" s="133">
        <f>'Optional Adjustment 4'!G450*$V$1</f>
        <v>0</v>
      </c>
      <c r="W450" s="133">
        <f>'Optional Adjustment 5'!G450*$W$1</f>
        <v>0</v>
      </c>
      <c r="X450" s="133">
        <f>'Optional Adjustment 6'!G450*$X$1</f>
        <v>0</v>
      </c>
      <c r="Y450" s="133">
        <f>'Optional Adjustment 7'!G450*$Y$1</f>
        <v>0</v>
      </c>
      <c r="Z450" s="133">
        <f>'Optional Adjustment 8'!G450*$Z$1</f>
        <v>0</v>
      </c>
      <c r="AA450" s="133">
        <f>'Optional Adjustment 9'!G450*$AA$1</f>
        <v>0</v>
      </c>
      <c r="AB450" s="133">
        <f>'Optional Adjustment 10'!G450*$AB$1</f>
        <v>0</v>
      </c>
      <c r="AC450" s="133">
        <f>'Optional Adjustment 11'!G450*$AC$1</f>
        <v>0</v>
      </c>
      <c r="AD450" s="133">
        <f>'Optional Adjustment 12'!G450*$AD$1</f>
        <v>0</v>
      </c>
      <c r="AE450" s="133">
        <f>'Optional Adjustment 13'!G450*$AE$1</f>
        <v>0</v>
      </c>
      <c r="AF450" s="133">
        <f>'Optional Adjustment 14'!G450*$AF$1</f>
        <v>0</v>
      </c>
      <c r="AG450" s="133">
        <f>'Optional Adjustment 15'!G450*$AG$1</f>
        <v>0</v>
      </c>
      <c r="AH450" s="133">
        <f>'Optional Adjustment 16'!G450*$AH$1</f>
        <v>0</v>
      </c>
      <c r="AI450" s="133">
        <f>'Optional Adjustment 17'!G450*$AI$1</f>
        <v>0</v>
      </c>
      <c r="AJ450" s="133">
        <f>'Optional Adjustment 18'!G450*$AJ$1</f>
        <v>0</v>
      </c>
      <c r="AK450" s="133">
        <f>'Optional Adjustment 19'!G450*$AK$1</f>
        <v>0</v>
      </c>
      <c r="AL450" s="133">
        <f>'Optional Adjustment 20'!G450*$AL$1</f>
        <v>0</v>
      </c>
      <c r="AM450" s="133">
        <f>'Optional Adjustment 21'!G450*$AM$1</f>
        <v>0</v>
      </c>
      <c r="AN450" s="133">
        <f>'Optional Adjustment 22'!G450*$AN$1</f>
        <v>0</v>
      </c>
      <c r="AO450" s="133">
        <f>'Optional Adjustment 23'!G450*$AO$1</f>
        <v>0</v>
      </c>
      <c r="AP450" s="133">
        <f>'Optional Adjustment 24'!G450*$AP$1</f>
        <v>0</v>
      </c>
      <c r="AQ450" s="133">
        <f>'Optional Adjustment 25'!G450*$AQ$1</f>
        <v>0</v>
      </c>
      <c r="AR450" s="133">
        <f>'Optional Adjustment 26'!G450*$AR$1</f>
        <v>0</v>
      </c>
      <c r="AS450" s="133">
        <f>'Optional Adjustment 27'!G450*$AS$1</f>
        <v>0</v>
      </c>
      <c r="AT450" s="133"/>
      <c r="AU450" s="133">
        <f>SUM(F450:AT450)</f>
        <v>0</v>
      </c>
      <c r="AV450" s="116"/>
      <c r="AW450" s="133">
        <f>SUM(AU450:AU450)</f>
        <v>0</v>
      </c>
      <c r="AX450" s="133">
        <f>+AW450-'ROR-Model'!G450</f>
        <v>0</v>
      </c>
    </row>
    <row r="451" spans="1:50">
      <c r="A451" s="134"/>
      <c r="B451" s="106"/>
      <c r="C451" s="106" t="s">
        <v>24</v>
      </c>
      <c r="D451" s="106"/>
      <c r="E451" s="742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33"/>
      <c r="R451" s="133"/>
      <c r="S451" s="133"/>
      <c r="T451" s="133">
        <f>'Optional Adjustment 2'!G451*$T$1</f>
        <v>0</v>
      </c>
      <c r="U451" s="133">
        <f>'Optional Adjustment 3'!G451*$U$1</f>
        <v>0</v>
      </c>
      <c r="V451" s="133">
        <f>'Optional Adjustment 4'!G451*$V$1</f>
        <v>0</v>
      </c>
      <c r="W451" s="133">
        <f>'Optional Adjustment 5'!G451*$W$1</f>
        <v>0</v>
      </c>
      <c r="X451" s="133">
        <f>'Optional Adjustment 6'!G451*$X$1</f>
        <v>0</v>
      </c>
      <c r="Y451" s="133">
        <f>'Optional Adjustment 7'!G451*$Y$1</f>
        <v>0</v>
      </c>
      <c r="Z451" s="133">
        <f>'Optional Adjustment 8'!G451*$Z$1</f>
        <v>0</v>
      </c>
      <c r="AA451" s="133">
        <f>'Optional Adjustment 9'!G451*$AA$1</f>
        <v>0</v>
      </c>
      <c r="AB451" s="133">
        <f>'Optional Adjustment 10'!G451*$AB$1</f>
        <v>0</v>
      </c>
      <c r="AC451" s="133">
        <f>'Optional Adjustment 11'!G451*$AC$1</f>
        <v>0</v>
      </c>
      <c r="AD451" s="133">
        <f>'Optional Adjustment 12'!G451*$AD$1</f>
        <v>0</v>
      </c>
      <c r="AE451" s="133">
        <f>'Optional Adjustment 13'!G451*$AE$1</f>
        <v>0</v>
      </c>
      <c r="AF451" s="133">
        <f>'Optional Adjustment 14'!G451*$AF$1</f>
        <v>0</v>
      </c>
      <c r="AG451" s="133">
        <f>'Optional Adjustment 15'!G451*$AG$1</f>
        <v>0</v>
      </c>
      <c r="AH451" s="133">
        <f>'Optional Adjustment 16'!G451*$AH$1</f>
        <v>0</v>
      </c>
      <c r="AI451" s="133">
        <f>'Optional Adjustment 17'!G451*$AI$1</f>
        <v>0</v>
      </c>
      <c r="AJ451" s="133">
        <f>'Optional Adjustment 18'!G451*$AJ$1</f>
        <v>0</v>
      </c>
      <c r="AK451" s="133">
        <f>'Optional Adjustment 19'!G451*$AK$1</f>
        <v>0</v>
      </c>
      <c r="AL451" s="133">
        <f>'Optional Adjustment 20'!G451*$AL$1</f>
        <v>0</v>
      </c>
      <c r="AM451" s="133">
        <f>'Optional Adjustment 21'!G451*$AM$1</f>
        <v>0</v>
      </c>
      <c r="AN451" s="133">
        <f>'Optional Adjustment 22'!G451*$AN$1</f>
        <v>0</v>
      </c>
      <c r="AO451" s="133">
        <f>'Optional Adjustment 23'!G451*$AO$1</f>
        <v>0</v>
      </c>
      <c r="AP451" s="133">
        <f>'Optional Adjustment 24'!G451*$AP$1</f>
        <v>0</v>
      </c>
      <c r="AQ451" s="133">
        <f>'Optional Adjustment 25'!G451*$AQ$1</f>
        <v>0</v>
      </c>
      <c r="AR451" s="133">
        <f>'Optional Adjustment 26'!G451*$AR$1</f>
        <v>0</v>
      </c>
      <c r="AS451" s="133">
        <f>'Optional Adjustment 27'!G451*$AS$1</f>
        <v>0</v>
      </c>
      <c r="AT451" s="133"/>
      <c r="AU451" s="133">
        <f>SUM(F451:AT451)</f>
        <v>0</v>
      </c>
      <c r="AV451" s="116"/>
      <c r="AW451" s="133">
        <f>SUM(AU451:AU451)</f>
        <v>0</v>
      </c>
      <c r="AX451" s="133">
        <f>+AW451-'ROR-Model'!G451</f>
        <v>0</v>
      </c>
    </row>
    <row r="452" spans="1:50">
      <c r="A452" s="134"/>
      <c r="B452" s="106"/>
      <c r="C452" s="106" t="s">
        <v>170</v>
      </c>
      <c r="D452" s="106"/>
      <c r="E452" s="742"/>
      <c r="F452" s="131">
        <f>SUM(F450:F451)</f>
        <v>0</v>
      </c>
      <c r="G452" s="131"/>
      <c r="H452" s="131">
        <f>H1*SUM(H450:H451)</f>
        <v>0</v>
      </c>
      <c r="I452" s="131">
        <f>SUM(I450:I451)</f>
        <v>0</v>
      </c>
      <c r="J452" s="131">
        <f t="shared" ref="J452:P452" si="541">SUM(J450:J451)</f>
        <v>0</v>
      </c>
      <c r="K452" s="131">
        <f t="shared" si="541"/>
        <v>0</v>
      </c>
      <c r="L452" s="131">
        <f t="shared" si="541"/>
        <v>0</v>
      </c>
      <c r="M452" s="131">
        <f t="shared" si="541"/>
        <v>0</v>
      </c>
      <c r="N452" s="131">
        <f t="shared" si="541"/>
        <v>0</v>
      </c>
      <c r="O452" s="131">
        <f t="shared" si="541"/>
        <v>0</v>
      </c>
      <c r="P452" s="131">
        <f t="shared" si="541"/>
        <v>0</v>
      </c>
      <c r="Q452" s="241">
        <f>SUM(Q450:Q451)</f>
        <v>0</v>
      </c>
      <c r="R452" s="241">
        <f>SUM(R450:R451)</f>
        <v>0</v>
      </c>
      <c r="S452" s="556"/>
      <c r="T452" s="556">
        <f t="shared" ref="T452:AG452" si="542">SUM(T450:T451)</f>
        <v>0</v>
      </c>
      <c r="U452" s="556">
        <f t="shared" si="542"/>
        <v>0</v>
      </c>
      <c r="V452" s="556">
        <f t="shared" si="542"/>
        <v>0</v>
      </c>
      <c r="W452" s="556">
        <f t="shared" si="542"/>
        <v>0</v>
      </c>
      <c r="X452" s="556">
        <f t="shared" si="542"/>
        <v>0</v>
      </c>
      <c r="Y452" s="556">
        <f t="shared" si="542"/>
        <v>0</v>
      </c>
      <c r="Z452" s="556">
        <f t="shared" si="542"/>
        <v>0</v>
      </c>
      <c r="AA452" s="556">
        <f t="shared" si="542"/>
        <v>0</v>
      </c>
      <c r="AB452" s="556">
        <f t="shared" si="542"/>
        <v>0</v>
      </c>
      <c r="AC452" s="556">
        <f t="shared" si="542"/>
        <v>0</v>
      </c>
      <c r="AD452" s="556">
        <f t="shared" si="542"/>
        <v>0</v>
      </c>
      <c r="AE452" s="556">
        <f t="shared" si="542"/>
        <v>0</v>
      </c>
      <c r="AF452" s="556">
        <f t="shared" si="542"/>
        <v>0</v>
      </c>
      <c r="AG452" s="556">
        <f t="shared" si="542"/>
        <v>0</v>
      </c>
      <c r="AH452" s="556">
        <f t="shared" ref="AH452:AK452" si="543">SUM(AH450:AH451)</f>
        <v>0</v>
      </c>
      <c r="AI452" s="556">
        <f t="shared" si="543"/>
        <v>0</v>
      </c>
      <c r="AJ452" s="556">
        <f t="shared" si="543"/>
        <v>0</v>
      </c>
      <c r="AK452" s="556">
        <f t="shared" si="543"/>
        <v>0</v>
      </c>
      <c r="AL452" s="556">
        <f t="shared" ref="AL452:AP452" si="544">SUM(AL450:AL451)</f>
        <v>0</v>
      </c>
      <c r="AM452" s="556">
        <f t="shared" si="544"/>
        <v>0</v>
      </c>
      <c r="AN452" s="556">
        <f t="shared" si="544"/>
        <v>0</v>
      </c>
      <c r="AO452" s="556">
        <f t="shared" si="544"/>
        <v>0</v>
      </c>
      <c r="AP452" s="556">
        <f t="shared" si="544"/>
        <v>0</v>
      </c>
      <c r="AQ452" s="556">
        <f t="shared" ref="AQ452:AS452" si="545">SUM(AQ450:AQ451)</f>
        <v>0</v>
      </c>
      <c r="AR452" s="556">
        <f t="shared" si="545"/>
        <v>0</v>
      </c>
      <c r="AS452" s="556">
        <f t="shared" si="545"/>
        <v>0</v>
      </c>
      <c r="AT452" s="556"/>
      <c r="AU452" s="241">
        <f>SUM(AU450:AU451)</f>
        <v>0</v>
      </c>
      <c r="AV452" s="131"/>
      <c r="AW452" s="241">
        <f>SUM(AW450:AW451)</f>
        <v>0</v>
      </c>
      <c r="AX452" s="241">
        <f>+AW452-'ROR-Model'!G452</f>
        <v>0</v>
      </c>
    </row>
    <row r="453" spans="1:50">
      <c r="A453" s="134"/>
      <c r="B453" s="106"/>
      <c r="C453" s="106"/>
      <c r="D453" s="106"/>
      <c r="E453" s="742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16"/>
      <c r="AW453" s="133"/>
      <c r="AX453" s="133">
        <f>+AW453-'ROR-Model'!G453</f>
        <v>0</v>
      </c>
    </row>
    <row r="454" spans="1:50">
      <c r="A454" s="134">
        <v>4891</v>
      </c>
      <c r="B454" s="106" t="s">
        <v>327</v>
      </c>
      <c r="C454" s="106"/>
      <c r="D454" s="106"/>
      <c r="E454" s="742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16"/>
      <c r="AW454" s="133"/>
      <c r="AX454" s="133">
        <f>+AW454-'ROR-Model'!G454</f>
        <v>0</v>
      </c>
    </row>
    <row r="455" spans="1:50">
      <c r="A455" s="134"/>
      <c r="B455" s="106"/>
      <c r="C455" s="106" t="s">
        <v>14</v>
      </c>
      <c r="D455" s="106"/>
      <c r="E455" s="742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33"/>
      <c r="R455" s="133"/>
      <c r="S455" s="133"/>
      <c r="T455" s="133">
        <f>'Optional Adjustment 2'!G455*$T$1</f>
        <v>0</v>
      </c>
      <c r="U455" s="133">
        <f>'Optional Adjustment 3'!G455*$U$1</f>
        <v>0</v>
      </c>
      <c r="V455" s="133">
        <f>'Optional Adjustment 4'!G455*$V$1</f>
        <v>0</v>
      </c>
      <c r="W455" s="133">
        <f>'Optional Adjustment 5'!G455*$W$1</f>
        <v>0</v>
      </c>
      <c r="X455" s="133">
        <f>'Optional Adjustment 6'!G455*$X$1</f>
        <v>0</v>
      </c>
      <c r="Y455" s="133">
        <f>'Optional Adjustment 7'!G455*$Y$1</f>
        <v>0</v>
      </c>
      <c r="Z455" s="133">
        <f>'Optional Adjustment 8'!G455*$Z$1</f>
        <v>0</v>
      </c>
      <c r="AA455" s="133">
        <f>'Optional Adjustment 9'!G455*$AA$1</f>
        <v>0</v>
      </c>
      <c r="AB455" s="133">
        <f>'Optional Adjustment 10'!G455*$AB$1</f>
        <v>0</v>
      </c>
      <c r="AC455" s="133">
        <f>'Optional Adjustment 11'!G455*$AC$1</f>
        <v>0</v>
      </c>
      <c r="AD455" s="133">
        <f>'Optional Adjustment 12'!G455*$AD$1</f>
        <v>0</v>
      </c>
      <c r="AE455" s="133">
        <f>'Optional Adjustment 13'!G455*$AE$1</f>
        <v>0</v>
      </c>
      <c r="AF455" s="133">
        <f>'Optional Adjustment 14'!G455*$AF$1</f>
        <v>0</v>
      </c>
      <c r="AG455" s="133">
        <f>'Optional Adjustment 15'!G455*$AG$1</f>
        <v>0</v>
      </c>
      <c r="AH455" s="133">
        <f>'Optional Adjustment 16'!G455*$AH$1</f>
        <v>0</v>
      </c>
      <c r="AI455" s="133">
        <f>'Optional Adjustment 17'!G455*$AI$1</f>
        <v>0</v>
      </c>
      <c r="AJ455" s="133">
        <f>'Optional Adjustment 18'!G455*$AJ$1</f>
        <v>0</v>
      </c>
      <c r="AK455" s="133">
        <f>'Optional Adjustment 19'!G455*$AK$1</f>
        <v>0</v>
      </c>
      <c r="AL455" s="133">
        <f>'Optional Adjustment 20'!G455*$AL$1</f>
        <v>0</v>
      </c>
      <c r="AM455" s="133">
        <f>'Optional Adjustment 21'!G455*$AM$1</f>
        <v>0</v>
      </c>
      <c r="AN455" s="133">
        <f>'Optional Adjustment 22'!G455*$AN$1</f>
        <v>0</v>
      </c>
      <c r="AO455" s="133">
        <f>'Optional Adjustment 23'!G455*$AO$1</f>
        <v>0</v>
      </c>
      <c r="AP455" s="133">
        <f>'Optional Adjustment 24'!G455*$AP$1</f>
        <v>0</v>
      </c>
      <c r="AQ455" s="133">
        <f>'Optional Adjustment 25'!G455*$AQ$1</f>
        <v>0</v>
      </c>
      <c r="AR455" s="133">
        <f>'Optional Adjustment 26'!G455*$AR$1</f>
        <v>0</v>
      </c>
      <c r="AS455" s="133">
        <f>'Optional Adjustment 27'!G455*$AS$1</f>
        <v>0</v>
      </c>
      <c r="AT455" s="133"/>
      <c r="AU455" s="133">
        <f>SUM(F455:AT455)</f>
        <v>0</v>
      </c>
      <c r="AV455" s="116"/>
      <c r="AW455" s="133">
        <f>SUM(AU455:AU455)</f>
        <v>0</v>
      </c>
      <c r="AX455" s="133">
        <f>+AW455-'ROR-Model'!G455</f>
        <v>0</v>
      </c>
    </row>
    <row r="456" spans="1:50">
      <c r="A456" s="134"/>
      <c r="B456" s="106"/>
      <c r="C456" s="106" t="s">
        <v>24</v>
      </c>
      <c r="D456" s="106"/>
      <c r="E456" s="742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33"/>
      <c r="R456" s="133"/>
      <c r="S456" s="133"/>
      <c r="T456" s="133">
        <f>'Optional Adjustment 2'!G456*$T$1</f>
        <v>0</v>
      </c>
      <c r="U456" s="133">
        <f>'Optional Adjustment 3'!G456*$U$1</f>
        <v>0</v>
      </c>
      <c r="V456" s="133">
        <f>'Optional Adjustment 4'!G456*$V$1</f>
        <v>0</v>
      </c>
      <c r="W456" s="133">
        <f>'Optional Adjustment 5'!G456*$W$1</f>
        <v>0</v>
      </c>
      <c r="X456" s="133">
        <f>'Optional Adjustment 6'!G456*$X$1</f>
        <v>0</v>
      </c>
      <c r="Y456" s="133">
        <f>'Optional Adjustment 7'!G456*$Y$1</f>
        <v>0</v>
      </c>
      <c r="Z456" s="133">
        <f>'Optional Adjustment 8'!G456*$Z$1</f>
        <v>0</v>
      </c>
      <c r="AA456" s="133">
        <f>'Optional Adjustment 9'!G456*$AA$1</f>
        <v>0</v>
      </c>
      <c r="AB456" s="133">
        <f>'Optional Adjustment 10'!G456*$AB$1</f>
        <v>0</v>
      </c>
      <c r="AC456" s="133">
        <f>'Optional Adjustment 11'!G456*$AC$1</f>
        <v>0</v>
      </c>
      <c r="AD456" s="133">
        <f>'Optional Adjustment 12'!G456*$AD$1</f>
        <v>0</v>
      </c>
      <c r="AE456" s="133">
        <f>'Optional Adjustment 13'!G456*$AE$1</f>
        <v>0</v>
      </c>
      <c r="AF456" s="133">
        <f>'Optional Adjustment 14'!G456*$AF$1</f>
        <v>0</v>
      </c>
      <c r="AG456" s="133">
        <f>'Optional Adjustment 15'!G456*$AG$1</f>
        <v>0</v>
      </c>
      <c r="AH456" s="133">
        <f>'Optional Adjustment 16'!G456*$AH$1</f>
        <v>0</v>
      </c>
      <c r="AI456" s="133">
        <f>'Optional Adjustment 17'!G456*$AI$1</f>
        <v>0</v>
      </c>
      <c r="AJ456" s="133">
        <f>'Optional Adjustment 18'!G456*$AJ$1</f>
        <v>0</v>
      </c>
      <c r="AK456" s="133">
        <f>'Optional Adjustment 19'!G456*$AK$1</f>
        <v>0</v>
      </c>
      <c r="AL456" s="133">
        <f>'Optional Adjustment 20'!G456*$AL$1</f>
        <v>0</v>
      </c>
      <c r="AM456" s="133">
        <f>'Optional Adjustment 21'!G456*$AM$1</f>
        <v>0</v>
      </c>
      <c r="AN456" s="133">
        <f>'Optional Adjustment 22'!G456*$AN$1</f>
        <v>0</v>
      </c>
      <c r="AO456" s="133">
        <f>'Optional Adjustment 23'!G456*$AO$1</f>
        <v>0</v>
      </c>
      <c r="AP456" s="133">
        <f>'Optional Adjustment 24'!G456*$AP$1</f>
        <v>0</v>
      </c>
      <c r="AQ456" s="133">
        <f>'Optional Adjustment 25'!G456*$AQ$1</f>
        <v>0</v>
      </c>
      <c r="AR456" s="133">
        <f>'Optional Adjustment 26'!G456*$AR$1</f>
        <v>0</v>
      </c>
      <c r="AS456" s="133">
        <f>'Optional Adjustment 27'!G456*$AS$1</f>
        <v>0</v>
      </c>
      <c r="AT456" s="133"/>
      <c r="AU456" s="133">
        <f>SUM(F456:AT456)</f>
        <v>0</v>
      </c>
      <c r="AV456" s="116"/>
      <c r="AW456" s="133">
        <f>SUM(AU456:AU456)</f>
        <v>0</v>
      </c>
      <c r="AX456" s="133">
        <f>+AW456-'ROR-Model'!G456</f>
        <v>0</v>
      </c>
    </row>
    <row r="457" spans="1:50">
      <c r="A457" s="134"/>
      <c r="B457" s="106"/>
      <c r="C457" s="106" t="s">
        <v>170</v>
      </c>
      <c r="D457" s="106"/>
      <c r="E457" s="742"/>
      <c r="F457" s="131">
        <f>SUM(F455:F456)</f>
        <v>0</v>
      </c>
      <c r="G457" s="131"/>
      <c r="H457" s="131">
        <f>H1*SUM(H455:H456)</f>
        <v>0</v>
      </c>
      <c r="I457" s="131">
        <f>SUM(I455:I456)</f>
        <v>0</v>
      </c>
      <c r="J457" s="131">
        <f t="shared" ref="J457:P457" si="546">SUM(J455:J456)</f>
        <v>0</v>
      </c>
      <c r="K457" s="131">
        <f t="shared" si="546"/>
        <v>0</v>
      </c>
      <c r="L457" s="131">
        <f t="shared" si="546"/>
        <v>0</v>
      </c>
      <c r="M457" s="131">
        <f t="shared" si="546"/>
        <v>0</v>
      </c>
      <c r="N457" s="131">
        <f t="shared" si="546"/>
        <v>0</v>
      </c>
      <c r="O457" s="131">
        <f t="shared" si="546"/>
        <v>0</v>
      </c>
      <c r="P457" s="131">
        <f t="shared" si="546"/>
        <v>0</v>
      </c>
      <c r="Q457" s="241">
        <f>SUM(Q455:Q456)</f>
        <v>0</v>
      </c>
      <c r="R457" s="241">
        <f>SUM(R455:R456)</f>
        <v>0</v>
      </c>
      <c r="S457" s="556"/>
      <c r="T457" s="556">
        <f t="shared" ref="T457:AG457" si="547">SUM(T455:T456)</f>
        <v>0</v>
      </c>
      <c r="U457" s="556">
        <f t="shared" si="547"/>
        <v>0</v>
      </c>
      <c r="V457" s="556">
        <f t="shared" si="547"/>
        <v>0</v>
      </c>
      <c r="W457" s="556">
        <f t="shared" si="547"/>
        <v>0</v>
      </c>
      <c r="X457" s="556">
        <f t="shared" si="547"/>
        <v>0</v>
      </c>
      <c r="Y457" s="556">
        <f t="shared" si="547"/>
        <v>0</v>
      </c>
      <c r="Z457" s="556">
        <f t="shared" si="547"/>
        <v>0</v>
      </c>
      <c r="AA457" s="556">
        <f t="shared" si="547"/>
        <v>0</v>
      </c>
      <c r="AB457" s="556">
        <f t="shared" si="547"/>
        <v>0</v>
      </c>
      <c r="AC457" s="556">
        <f t="shared" si="547"/>
        <v>0</v>
      </c>
      <c r="AD457" s="556">
        <f t="shared" si="547"/>
        <v>0</v>
      </c>
      <c r="AE457" s="556">
        <f t="shared" si="547"/>
        <v>0</v>
      </c>
      <c r="AF457" s="556">
        <f t="shared" si="547"/>
        <v>0</v>
      </c>
      <c r="AG457" s="556">
        <f t="shared" si="547"/>
        <v>0</v>
      </c>
      <c r="AH457" s="556">
        <f t="shared" ref="AH457:AK457" si="548">SUM(AH455:AH456)</f>
        <v>0</v>
      </c>
      <c r="AI457" s="556">
        <f t="shared" si="548"/>
        <v>0</v>
      </c>
      <c r="AJ457" s="556">
        <f t="shared" si="548"/>
        <v>0</v>
      </c>
      <c r="AK457" s="556">
        <f t="shared" si="548"/>
        <v>0</v>
      </c>
      <c r="AL457" s="556">
        <f t="shared" ref="AL457:AP457" si="549">SUM(AL455:AL456)</f>
        <v>0</v>
      </c>
      <c r="AM457" s="556">
        <f t="shared" si="549"/>
        <v>0</v>
      </c>
      <c r="AN457" s="556">
        <f t="shared" si="549"/>
        <v>0</v>
      </c>
      <c r="AO457" s="556">
        <f t="shared" si="549"/>
        <v>0</v>
      </c>
      <c r="AP457" s="556">
        <f t="shared" si="549"/>
        <v>0</v>
      </c>
      <c r="AQ457" s="556">
        <f t="shared" ref="AQ457:AS457" si="550">SUM(AQ455:AQ456)</f>
        <v>0</v>
      </c>
      <c r="AR457" s="556">
        <f t="shared" si="550"/>
        <v>0</v>
      </c>
      <c r="AS457" s="556">
        <f t="shared" si="550"/>
        <v>0</v>
      </c>
      <c r="AT457" s="556"/>
      <c r="AU457" s="241">
        <f>SUM(AU455:AU456)</f>
        <v>0</v>
      </c>
      <c r="AV457" s="131"/>
      <c r="AW457" s="241">
        <f>SUM(AW455:AW456)</f>
        <v>0</v>
      </c>
      <c r="AX457" s="241">
        <f>+AW457-'ROR-Model'!G457</f>
        <v>0</v>
      </c>
    </row>
    <row r="458" spans="1:50">
      <c r="A458" s="134"/>
      <c r="B458" s="106"/>
      <c r="C458" s="106"/>
      <c r="D458" s="106"/>
      <c r="E458" s="742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16"/>
      <c r="AW458" s="133"/>
      <c r="AX458" s="133">
        <f>+AW458-'ROR-Model'!G458</f>
        <v>0</v>
      </c>
    </row>
    <row r="459" spans="1:50">
      <c r="A459" s="134">
        <v>490</v>
      </c>
      <c r="B459" s="106" t="s">
        <v>328</v>
      </c>
      <c r="C459" s="106"/>
      <c r="D459" s="106"/>
      <c r="E459" s="742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16"/>
      <c r="AW459" s="133"/>
      <c r="AX459" s="133">
        <f>+AW459-'ROR-Model'!G459</f>
        <v>0</v>
      </c>
    </row>
    <row r="460" spans="1:50">
      <c r="A460" s="134"/>
      <c r="B460" s="106"/>
      <c r="C460" s="106" t="s">
        <v>14</v>
      </c>
      <c r="D460" s="106"/>
      <c r="E460" s="742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33"/>
      <c r="R460" s="133"/>
      <c r="S460" s="133"/>
      <c r="T460" s="133">
        <f>'Optional Adjustment 2'!G460*$T$1</f>
        <v>0</v>
      </c>
      <c r="U460" s="133">
        <f>'Optional Adjustment 3'!G460*$U$1</f>
        <v>0</v>
      </c>
      <c r="V460" s="133">
        <f>'Optional Adjustment 4'!G460*$V$1</f>
        <v>0</v>
      </c>
      <c r="W460" s="133">
        <f>'Optional Adjustment 5'!G460*$W$1</f>
        <v>0</v>
      </c>
      <c r="X460" s="133">
        <f>'Optional Adjustment 6'!G460*$X$1</f>
        <v>0</v>
      </c>
      <c r="Y460" s="133">
        <f>'Optional Adjustment 7'!G460*$Y$1</f>
        <v>0</v>
      </c>
      <c r="Z460" s="133">
        <f>'Optional Adjustment 8'!G460*$Z$1</f>
        <v>0</v>
      </c>
      <c r="AA460" s="133">
        <f>'Optional Adjustment 9'!G460*$AA$1</f>
        <v>0</v>
      </c>
      <c r="AB460" s="133">
        <f>'Optional Adjustment 10'!G460*$AB$1</f>
        <v>0</v>
      </c>
      <c r="AC460" s="133">
        <f>'Optional Adjustment 11'!G460*$AC$1</f>
        <v>0</v>
      </c>
      <c r="AD460" s="133">
        <f>'Optional Adjustment 12'!G460*$AD$1</f>
        <v>0</v>
      </c>
      <c r="AE460" s="133">
        <f>'Optional Adjustment 13'!G460*$AE$1</f>
        <v>0</v>
      </c>
      <c r="AF460" s="133">
        <f>'Optional Adjustment 14'!G460*$AF$1</f>
        <v>0</v>
      </c>
      <c r="AG460" s="133">
        <f>'Optional Adjustment 15'!G460*$AG$1</f>
        <v>0</v>
      </c>
      <c r="AH460" s="133">
        <f>'Optional Adjustment 16'!G460*$AH$1</f>
        <v>0</v>
      </c>
      <c r="AI460" s="133">
        <f>'Optional Adjustment 17'!G460*$AI$1</f>
        <v>0</v>
      </c>
      <c r="AJ460" s="133">
        <f>'Optional Adjustment 18'!G460*$AJ$1</f>
        <v>0</v>
      </c>
      <c r="AK460" s="133">
        <f>'Optional Adjustment 19'!G460*$AK$1</f>
        <v>0</v>
      </c>
      <c r="AL460" s="133">
        <f>'Optional Adjustment 20'!G460*$AL$1</f>
        <v>0</v>
      </c>
      <c r="AM460" s="133">
        <f>'Optional Adjustment 21'!G460*$AM$1</f>
        <v>0</v>
      </c>
      <c r="AN460" s="133">
        <f>'Optional Adjustment 22'!G460*$AN$1</f>
        <v>0</v>
      </c>
      <c r="AO460" s="133">
        <f>'Optional Adjustment 23'!G460*$AO$1</f>
        <v>0</v>
      </c>
      <c r="AP460" s="133">
        <f>'Optional Adjustment 24'!G460*$AP$1</f>
        <v>0</v>
      </c>
      <c r="AQ460" s="133">
        <f>'Optional Adjustment 25'!G460*$AQ$1</f>
        <v>0</v>
      </c>
      <c r="AR460" s="133">
        <f>'Optional Adjustment 26'!G460*$AR$1</f>
        <v>0</v>
      </c>
      <c r="AS460" s="133">
        <f>'Optional Adjustment 27'!G460*$AS$1</f>
        <v>0</v>
      </c>
      <c r="AT460" s="133"/>
      <c r="AU460" s="133">
        <f>SUM(F460:AT460)</f>
        <v>0</v>
      </c>
      <c r="AV460" s="116"/>
      <c r="AW460" s="133">
        <f>SUM(AU460:AU460)</f>
        <v>0</v>
      </c>
      <c r="AX460" s="133">
        <f>+AW460-'ROR-Model'!G460</f>
        <v>0</v>
      </c>
    </row>
    <row r="461" spans="1:50">
      <c r="A461" s="134"/>
      <c r="B461" s="106"/>
      <c r="C461" s="106" t="s">
        <v>24</v>
      </c>
      <c r="D461" s="106"/>
      <c r="E461" s="742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33"/>
      <c r="R461" s="133"/>
      <c r="S461" s="133"/>
      <c r="T461" s="133">
        <f>'Optional Adjustment 2'!G461*$T$1</f>
        <v>0</v>
      </c>
      <c r="U461" s="133">
        <f>'Optional Adjustment 3'!G461*$U$1</f>
        <v>0</v>
      </c>
      <c r="V461" s="133">
        <f>'Optional Adjustment 4'!G461*$V$1</f>
        <v>0</v>
      </c>
      <c r="W461" s="133">
        <f>'Optional Adjustment 5'!G461*$W$1</f>
        <v>0</v>
      </c>
      <c r="X461" s="133">
        <f>'Optional Adjustment 6'!G461*$X$1</f>
        <v>0</v>
      </c>
      <c r="Y461" s="133">
        <f>'Optional Adjustment 7'!G461*$Y$1</f>
        <v>0</v>
      </c>
      <c r="Z461" s="133">
        <f>'Optional Adjustment 8'!G461*$Z$1</f>
        <v>0</v>
      </c>
      <c r="AA461" s="133">
        <f>'Optional Adjustment 9'!G461*$AA$1</f>
        <v>0</v>
      </c>
      <c r="AB461" s="133">
        <f>'Optional Adjustment 10'!G461*$AB$1</f>
        <v>0</v>
      </c>
      <c r="AC461" s="133">
        <f>'Optional Adjustment 11'!G461*$AC$1</f>
        <v>0</v>
      </c>
      <c r="AD461" s="133">
        <f>'Optional Adjustment 12'!G461*$AD$1</f>
        <v>0</v>
      </c>
      <c r="AE461" s="133">
        <f>'Optional Adjustment 13'!G461*$AE$1</f>
        <v>0</v>
      </c>
      <c r="AF461" s="133">
        <f>'Optional Adjustment 14'!G461*$AF$1</f>
        <v>0</v>
      </c>
      <c r="AG461" s="133">
        <f>'Optional Adjustment 15'!G461*$AG$1</f>
        <v>0</v>
      </c>
      <c r="AH461" s="133">
        <f>'Optional Adjustment 16'!G461*$AH$1</f>
        <v>0</v>
      </c>
      <c r="AI461" s="133">
        <f>'Optional Adjustment 17'!G461*$AI$1</f>
        <v>0</v>
      </c>
      <c r="AJ461" s="133">
        <f>'Optional Adjustment 18'!G461*$AJ$1</f>
        <v>0</v>
      </c>
      <c r="AK461" s="133">
        <f>'Optional Adjustment 19'!G461*$AK$1</f>
        <v>0</v>
      </c>
      <c r="AL461" s="133">
        <f>'Optional Adjustment 20'!G461*$AL$1</f>
        <v>0</v>
      </c>
      <c r="AM461" s="133">
        <f>'Optional Adjustment 21'!G461*$AM$1</f>
        <v>0</v>
      </c>
      <c r="AN461" s="133">
        <f>'Optional Adjustment 22'!G461*$AN$1</f>
        <v>0</v>
      </c>
      <c r="AO461" s="133">
        <f>'Optional Adjustment 23'!G461*$AO$1</f>
        <v>0</v>
      </c>
      <c r="AP461" s="133">
        <f>'Optional Adjustment 24'!G461*$AP$1</f>
        <v>0</v>
      </c>
      <c r="AQ461" s="133">
        <f>'Optional Adjustment 25'!G461*$AQ$1</f>
        <v>0</v>
      </c>
      <c r="AR461" s="133">
        <f>'Optional Adjustment 26'!G461*$AR$1</f>
        <v>0</v>
      </c>
      <c r="AS461" s="133">
        <f>'Optional Adjustment 27'!G461*$AS$1</f>
        <v>0</v>
      </c>
      <c r="AT461" s="133"/>
      <c r="AU461" s="133">
        <f>SUM(F461:AT461)</f>
        <v>0</v>
      </c>
      <c r="AV461" s="116"/>
      <c r="AW461" s="133">
        <f>SUM(AU461:AU461)</f>
        <v>0</v>
      </c>
      <c r="AX461" s="133">
        <f>+AW461-'ROR-Model'!G461</f>
        <v>0</v>
      </c>
    </row>
    <row r="462" spans="1:50">
      <c r="A462" s="134"/>
      <c r="B462" s="106"/>
      <c r="C462" s="106" t="s">
        <v>170</v>
      </c>
      <c r="D462" s="106"/>
      <c r="E462" s="742"/>
      <c r="F462" s="131">
        <f>SUM(F460:F461)</f>
        <v>0</v>
      </c>
      <c r="G462" s="131"/>
      <c r="H462" s="131">
        <f>H1*SUM(H460:H461)</f>
        <v>0</v>
      </c>
      <c r="I462" s="131">
        <f>SUM(I460:I461)</f>
        <v>0</v>
      </c>
      <c r="J462" s="131">
        <f t="shared" ref="J462:P462" si="551">SUM(J460:J461)</f>
        <v>0</v>
      </c>
      <c r="K462" s="131">
        <f t="shared" si="551"/>
        <v>0</v>
      </c>
      <c r="L462" s="131">
        <f t="shared" si="551"/>
        <v>0</v>
      </c>
      <c r="M462" s="131">
        <f t="shared" si="551"/>
        <v>0</v>
      </c>
      <c r="N462" s="131">
        <f t="shared" si="551"/>
        <v>0</v>
      </c>
      <c r="O462" s="131">
        <f t="shared" si="551"/>
        <v>0</v>
      </c>
      <c r="P462" s="131">
        <f t="shared" si="551"/>
        <v>0</v>
      </c>
      <c r="Q462" s="241">
        <f>SUM(Q460:Q461)</f>
        <v>0</v>
      </c>
      <c r="R462" s="241">
        <f>SUM(R460:R461)</f>
        <v>0</v>
      </c>
      <c r="S462" s="556"/>
      <c r="T462" s="556">
        <f t="shared" ref="T462:AG462" si="552">SUM(T460:T461)</f>
        <v>0</v>
      </c>
      <c r="U462" s="556">
        <f t="shared" si="552"/>
        <v>0</v>
      </c>
      <c r="V462" s="556">
        <f t="shared" si="552"/>
        <v>0</v>
      </c>
      <c r="W462" s="556">
        <f t="shared" si="552"/>
        <v>0</v>
      </c>
      <c r="X462" s="556">
        <f t="shared" si="552"/>
        <v>0</v>
      </c>
      <c r="Y462" s="556">
        <f t="shared" si="552"/>
        <v>0</v>
      </c>
      <c r="Z462" s="556">
        <f t="shared" si="552"/>
        <v>0</v>
      </c>
      <c r="AA462" s="556">
        <f t="shared" si="552"/>
        <v>0</v>
      </c>
      <c r="AB462" s="556">
        <f t="shared" si="552"/>
        <v>0</v>
      </c>
      <c r="AC462" s="556">
        <f t="shared" si="552"/>
        <v>0</v>
      </c>
      <c r="AD462" s="556">
        <f t="shared" si="552"/>
        <v>0</v>
      </c>
      <c r="AE462" s="556">
        <f t="shared" si="552"/>
        <v>0</v>
      </c>
      <c r="AF462" s="556">
        <f t="shared" si="552"/>
        <v>0</v>
      </c>
      <c r="AG462" s="556">
        <f t="shared" si="552"/>
        <v>0</v>
      </c>
      <c r="AH462" s="556">
        <f t="shared" ref="AH462:AK462" si="553">SUM(AH460:AH461)</f>
        <v>0</v>
      </c>
      <c r="AI462" s="556">
        <f t="shared" si="553"/>
        <v>0</v>
      </c>
      <c r="AJ462" s="556">
        <f t="shared" si="553"/>
        <v>0</v>
      </c>
      <c r="AK462" s="556">
        <f t="shared" si="553"/>
        <v>0</v>
      </c>
      <c r="AL462" s="556">
        <f t="shared" ref="AL462:AP462" si="554">SUM(AL460:AL461)</f>
        <v>0</v>
      </c>
      <c r="AM462" s="556">
        <f t="shared" si="554"/>
        <v>0</v>
      </c>
      <c r="AN462" s="556">
        <f t="shared" si="554"/>
        <v>0</v>
      </c>
      <c r="AO462" s="556">
        <f t="shared" si="554"/>
        <v>0</v>
      </c>
      <c r="AP462" s="556">
        <f t="shared" si="554"/>
        <v>0</v>
      </c>
      <c r="AQ462" s="556">
        <f t="shared" ref="AQ462:AS462" si="555">SUM(AQ460:AQ461)</f>
        <v>0</v>
      </c>
      <c r="AR462" s="556">
        <f t="shared" si="555"/>
        <v>0</v>
      </c>
      <c r="AS462" s="556">
        <f t="shared" si="555"/>
        <v>0</v>
      </c>
      <c r="AT462" s="556"/>
      <c r="AU462" s="241">
        <f>SUM(AU460:AU461)</f>
        <v>0</v>
      </c>
      <c r="AV462" s="131"/>
      <c r="AW462" s="241">
        <f>SUM(AW460:AW461)</f>
        <v>0</v>
      </c>
      <c r="AX462" s="241">
        <f>+AW462-'ROR-Model'!G462</f>
        <v>0</v>
      </c>
    </row>
    <row r="463" spans="1:50">
      <c r="A463" s="134"/>
      <c r="B463" s="106"/>
      <c r="C463" s="106"/>
      <c r="D463" s="106"/>
      <c r="E463" s="742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16"/>
      <c r="AW463" s="133"/>
      <c r="AX463" s="133">
        <f>+AW463-'ROR-Model'!G463</f>
        <v>0</v>
      </c>
    </row>
    <row r="464" spans="1:50">
      <c r="A464" s="134">
        <v>491</v>
      </c>
      <c r="B464" s="106" t="s">
        <v>329</v>
      </c>
      <c r="C464" s="106"/>
      <c r="D464" s="106"/>
      <c r="E464" s="742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16"/>
      <c r="AW464" s="133"/>
      <c r="AX464" s="133">
        <f>+AW464-'ROR-Model'!G464</f>
        <v>0</v>
      </c>
    </row>
    <row r="465" spans="1:50">
      <c r="A465" s="134"/>
      <c r="B465" s="106"/>
      <c r="C465" s="106" t="s">
        <v>14</v>
      </c>
      <c r="D465" s="106"/>
      <c r="E465" s="742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33"/>
      <c r="R465" s="133"/>
      <c r="S465" s="133"/>
      <c r="T465" s="133">
        <f>'Optional Adjustment 2'!G465*$T$1</f>
        <v>0</v>
      </c>
      <c r="U465" s="133">
        <f>'Optional Adjustment 3'!G465*$U$1</f>
        <v>0</v>
      </c>
      <c r="V465" s="133">
        <f>'Optional Adjustment 4'!G465*$V$1</f>
        <v>0</v>
      </c>
      <c r="W465" s="133">
        <f>'Optional Adjustment 5'!G465*$W$1</f>
        <v>0</v>
      </c>
      <c r="X465" s="133">
        <f>'Optional Adjustment 6'!G465*$X$1</f>
        <v>0</v>
      </c>
      <c r="Y465" s="133">
        <f>'Optional Adjustment 7'!G465*$Y$1</f>
        <v>0</v>
      </c>
      <c r="Z465" s="133">
        <f>'Optional Adjustment 8'!G465*$Z$1</f>
        <v>0</v>
      </c>
      <c r="AA465" s="133">
        <f>'Optional Adjustment 9'!G465*$AA$1</f>
        <v>0</v>
      </c>
      <c r="AB465" s="133">
        <f>'Optional Adjustment 10'!G465*$AB$1</f>
        <v>0</v>
      </c>
      <c r="AC465" s="133">
        <f>'Optional Adjustment 11'!G465*$AC$1</f>
        <v>0</v>
      </c>
      <c r="AD465" s="133">
        <f>'Optional Adjustment 12'!G465*$AD$1</f>
        <v>0</v>
      </c>
      <c r="AE465" s="133">
        <f>'Optional Adjustment 13'!G465*$AE$1</f>
        <v>0</v>
      </c>
      <c r="AF465" s="133">
        <f>'Optional Adjustment 14'!G465*$AF$1</f>
        <v>0</v>
      </c>
      <c r="AG465" s="133">
        <f>'Optional Adjustment 15'!G465*$AG$1</f>
        <v>0</v>
      </c>
      <c r="AH465" s="133">
        <f>'Optional Adjustment 16'!G465*$AH$1</f>
        <v>0</v>
      </c>
      <c r="AI465" s="133">
        <f>'Optional Adjustment 17'!G465*$AI$1</f>
        <v>0</v>
      </c>
      <c r="AJ465" s="133">
        <f>'Optional Adjustment 18'!G465*$AJ$1</f>
        <v>0</v>
      </c>
      <c r="AK465" s="133">
        <f>'Optional Adjustment 19'!G465*$AK$1</f>
        <v>0</v>
      </c>
      <c r="AL465" s="133">
        <f>'Optional Adjustment 20'!G465*$AL$1</f>
        <v>0</v>
      </c>
      <c r="AM465" s="133">
        <f>'Optional Adjustment 21'!G465*$AM$1</f>
        <v>0</v>
      </c>
      <c r="AN465" s="133">
        <f>'Optional Adjustment 22'!G465*$AN$1</f>
        <v>0</v>
      </c>
      <c r="AO465" s="133">
        <f>'Optional Adjustment 23'!G465*$AO$1</f>
        <v>0</v>
      </c>
      <c r="AP465" s="133">
        <f>'Optional Adjustment 24'!G465*$AP$1</f>
        <v>0</v>
      </c>
      <c r="AQ465" s="133">
        <f>'Optional Adjustment 25'!G465*$AQ$1</f>
        <v>0</v>
      </c>
      <c r="AR465" s="133">
        <f>'Optional Adjustment 26'!G465*$AR$1</f>
        <v>0</v>
      </c>
      <c r="AS465" s="133">
        <f>'Optional Adjustment 27'!G465*$AS$1</f>
        <v>0</v>
      </c>
      <c r="AT465" s="133"/>
      <c r="AU465" s="133">
        <f>SUM(F465:AT465)</f>
        <v>0</v>
      </c>
      <c r="AV465" s="116"/>
      <c r="AW465" s="133">
        <f>SUM(AU465:AU465)</f>
        <v>0</v>
      </c>
      <c r="AX465" s="133">
        <f>+AW465-'ROR-Model'!G465</f>
        <v>0</v>
      </c>
    </row>
    <row r="466" spans="1:50">
      <c r="A466" s="134"/>
      <c r="B466" s="106"/>
      <c r="C466" s="106" t="s">
        <v>24</v>
      </c>
      <c r="D466" s="106"/>
      <c r="E466" s="742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33"/>
      <c r="R466" s="133"/>
      <c r="S466" s="133"/>
      <c r="T466" s="133">
        <f>'Optional Adjustment 2'!G466*$T$1</f>
        <v>0</v>
      </c>
      <c r="U466" s="133">
        <f>'Optional Adjustment 3'!G466*$U$1</f>
        <v>0</v>
      </c>
      <c r="V466" s="133">
        <f>'Optional Adjustment 4'!G466*$V$1</f>
        <v>0</v>
      </c>
      <c r="W466" s="133">
        <f>'Optional Adjustment 5'!G466*$W$1</f>
        <v>0</v>
      </c>
      <c r="X466" s="133">
        <f>'Optional Adjustment 6'!G466*$X$1</f>
        <v>0</v>
      </c>
      <c r="Y466" s="133">
        <f>'Optional Adjustment 7'!G466*$Y$1</f>
        <v>0</v>
      </c>
      <c r="Z466" s="133">
        <f>'Optional Adjustment 8'!G466*$Z$1</f>
        <v>0</v>
      </c>
      <c r="AA466" s="133">
        <f>'Optional Adjustment 9'!G466*$AA$1</f>
        <v>0</v>
      </c>
      <c r="AB466" s="133">
        <f>'Optional Adjustment 10'!G466*$AB$1</f>
        <v>0</v>
      </c>
      <c r="AC466" s="133">
        <f>'Optional Adjustment 11'!G466*$AC$1</f>
        <v>0</v>
      </c>
      <c r="AD466" s="133">
        <f>'Optional Adjustment 12'!G466*$AD$1</f>
        <v>0</v>
      </c>
      <c r="AE466" s="133">
        <f>'Optional Adjustment 13'!G466*$AE$1</f>
        <v>0</v>
      </c>
      <c r="AF466" s="133">
        <f>'Optional Adjustment 14'!G466*$AF$1</f>
        <v>0</v>
      </c>
      <c r="AG466" s="133">
        <f>'Optional Adjustment 15'!G466*$AG$1</f>
        <v>0</v>
      </c>
      <c r="AH466" s="133">
        <f>'Optional Adjustment 16'!G466*$AH$1</f>
        <v>0</v>
      </c>
      <c r="AI466" s="133">
        <f>'Optional Adjustment 17'!G466*$AI$1</f>
        <v>0</v>
      </c>
      <c r="AJ466" s="133">
        <f>'Optional Adjustment 18'!G466*$AJ$1</f>
        <v>0</v>
      </c>
      <c r="AK466" s="133">
        <f>'Optional Adjustment 19'!G466*$AK$1</f>
        <v>0</v>
      </c>
      <c r="AL466" s="133">
        <f>'Optional Adjustment 20'!G466*$AL$1</f>
        <v>0</v>
      </c>
      <c r="AM466" s="133">
        <f>'Optional Adjustment 21'!G466*$AM$1</f>
        <v>0</v>
      </c>
      <c r="AN466" s="133">
        <f>'Optional Adjustment 22'!G466*$AN$1</f>
        <v>0</v>
      </c>
      <c r="AO466" s="133">
        <f>'Optional Adjustment 23'!G466*$AO$1</f>
        <v>0</v>
      </c>
      <c r="AP466" s="133">
        <f>'Optional Adjustment 24'!G466*$AP$1</f>
        <v>0</v>
      </c>
      <c r="AQ466" s="133">
        <f>'Optional Adjustment 25'!G466*$AQ$1</f>
        <v>0</v>
      </c>
      <c r="AR466" s="133">
        <f>'Optional Adjustment 26'!G466*$AR$1</f>
        <v>0</v>
      </c>
      <c r="AS466" s="133">
        <f>'Optional Adjustment 27'!G466*$AS$1</f>
        <v>0</v>
      </c>
      <c r="AT466" s="133"/>
      <c r="AU466" s="133">
        <f>SUM(F466:AT466)</f>
        <v>0</v>
      </c>
      <c r="AV466" s="116"/>
      <c r="AW466" s="133">
        <f>SUM(AU466:AU466)</f>
        <v>0</v>
      </c>
      <c r="AX466" s="133">
        <f>+AW466-'ROR-Model'!G466</f>
        <v>0</v>
      </c>
    </row>
    <row r="467" spans="1:50">
      <c r="A467" s="134"/>
      <c r="B467" s="106"/>
      <c r="C467" s="106" t="s">
        <v>170</v>
      </c>
      <c r="D467" s="106"/>
      <c r="E467" s="742"/>
      <c r="F467" s="131">
        <f>SUM(F465:F466)</f>
        <v>0</v>
      </c>
      <c r="G467" s="131"/>
      <c r="H467" s="131">
        <f>H1*SUM(H465:H466)</f>
        <v>0</v>
      </c>
      <c r="I467" s="131">
        <f>SUM(I465:I466)</f>
        <v>0</v>
      </c>
      <c r="J467" s="131">
        <f t="shared" ref="J467:P467" si="556">SUM(J465:J466)</f>
        <v>0</v>
      </c>
      <c r="K467" s="131">
        <f t="shared" si="556"/>
        <v>0</v>
      </c>
      <c r="L467" s="131">
        <f t="shared" si="556"/>
        <v>0</v>
      </c>
      <c r="M467" s="131">
        <f t="shared" si="556"/>
        <v>0</v>
      </c>
      <c r="N467" s="131">
        <f t="shared" si="556"/>
        <v>0</v>
      </c>
      <c r="O467" s="131">
        <f t="shared" si="556"/>
        <v>0</v>
      </c>
      <c r="P467" s="131">
        <f t="shared" si="556"/>
        <v>0</v>
      </c>
      <c r="Q467" s="241">
        <f>SUM(Q465:Q466)</f>
        <v>0</v>
      </c>
      <c r="R467" s="241">
        <f>SUM(R465:R466)</f>
        <v>0</v>
      </c>
      <c r="S467" s="556"/>
      <c r="T467" s="556">
        <f t="shared" ref="T467:AG467" si="557">SUM(T465:T466)</f>
        <v>0</v>
      </c>
      <c r="U467" s="556">
        <f t="shared" si="557"/>
        <v>0</v>
      </c>
      <c r="V467" s="556">
        <f t="shared" si="557"/>
        <v>0</v>
      </c>
      <c r="W467" s="556">
        <f t="shared" si="557"/>
        <v>0</v>
      </c>
      <c r="X467" s="556">
        <f t="shared" si="557"/>
        <v>0</v>
      </c>
      <c r="Y467" s="556">
        <f t="shared" si="557"/>
        <v>0</v>
      </c>
      <c r="Z467" s="556">
        <f t="shared" si="557"/>
        <v>0</v>
      </c>
      <c r="AA467" s="556">
        <f t="shared" si="557"/>
        <v>0</v>
      </c>
      <c r="AB467" s="556">
        <f t="shared" si="557"/>
        <v>0</v>
      </c>
      <c r="AC467" s="556">
        <f t="shared" si="557"/>
        <v>0</v>
      </c>
      <c r="AD467" s="556">
        <f t="shared" si="557"/>
        <v>0</v>
      </c>
      <c r="AE467" s="556">
        <f t="shared" si="557"/>
        <v>0</v>
      </c>
      <c r="AF467" s="556">
        <f t="shared" si="557"/>
        <v>0</v>
      </c>
      <c r="AG467" s="556">
        <f t="shared" si="557"/>
        <v>0</v>
      </c>
      <c r="AH467" s="556">
        <f t="shared" ref="AH467:AK467" si="558">SUM(AH465:AH466)</f>
        <v>0</v>
      </c>
      <c r="AI467" s="556">
        <f t="shared" si="558"/>
        <v>0</v>
      </c>
      <c r="AJ467" s="556">
        <f t="shared" si="558"/>
        <v>0</v>
      </c>
      <c r="AK467" s="556">
        <f t="shared" si="558"/>
        <v>0</v>
      </c>
      <c r="AL467" s="556">
        <f t="shared" ref="AL467:AP467" si="559">SUM(AL465:AL466)</f>
        <v>0</v>
      </c>
      <c r="AM467" s="556">
        <f t="shared" si="559"/>
        <v>0</v>
      </c>
      <c r="AN467" s="556">
        <f t="shared" si="559"/>
        <v>0</v>
      </c>
      <c r="AO467" s="556">
        <f t="shared" si="559"/>
        <v>0</v>
      </c>
      <c r="AP467" s="556">
        <f t="shared" si="559"/>
        <v>0</v>
      </c>
      <c r="AQ467" s="556">
        <f t="shared" ref="AQ467:AS467" si="560">SUM(AQ465:AQ466)</f>
        <v>0</v>
      </c>
      <c r="AR467" s="556">
        <f t="shared" si="560"/>
        <v>0</v>
      </c>
      <c r="AS467" s="556">
        <f t="shared" si="560"/>
        <v>0</v>
      </c>
      <c r="AT467" s="556"/>
      <c r="AU467" s="241">
        <f>SUM(AU465:AU466)</f>
        <v>0</v>
      </c>
      <c r="AV467" s="131"/>
      <c r="AW467" s="241">
        <f>SUM(AW465:AW466)</f>
        <v>0</v>
      </c>
      <c r="AX467" s="241">
        <f>+AW467-'ROR-Model'!G467</f>
        <v>0</v>
      </c>
    </row>
    <row r="468" spans="1:50">
      <c r="A468" s="134"/>
      <c r="B468" s="106"/>
      <c r="C468" s="106"/>
      <c r="D468" s="106"/>
      <c r="E468" s="742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16"/>
      <c r="AW468" s="133"/>
      <c r="AX468" s="133">
        <f>+AW468-'ROR-Model'!G468</f>
        <v>0</v>
      </c>
    </row>
    <row r="469" spans="1:50">
      <c r="A469" s="134">
        <v>492</v>
      </c>
      <c r="B469" s="106" t="s">
        <v>330</v>
      </c>
      <c r="C469" s="106"/>
      <c r="D469" s="106"/>
      <c r="E469" s="742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16"/>
      <c r="AW469" s="133"/>
      <c r="AX469" s="133">
        <f>+AW469-'ROR-Model'!G469</f>
        <v>0</v>
      </c>
    </row>
    <row r="470" spans="1:50">
      <c r="A470" s="134"/>
      <c r="B470" s="106"/>
      <c r="C470" s="106" t="s">
        <v>14</v>
      </c>
      <c r="D470" s="106"/>
      <c r="E470" s="742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33"/>
      <c r="R470" s="133"/>
      <c r="S470" s="133"/>
      <c r="T470" s="133">
        <f>'Optional Adjustment 2'!G470*$T$1</f>
        <v>0</v>
      </c>
      <c r="U470" s="133">
        <f>'Optional Adjustment 3'!G470*$U$1</f>
        <v>0</v>
      </c>
      <c r="V470" s="133">
        <f>'Optional Adjustment 4'!G470*$V$1</f>
        <v>0</v>
      </c>
      <c r="W470" s="133">
        <f>'Optional Adjustment 5'!G470*$W$1</f>
        <v>0</v>
      </c>
      <c r="X470" s="133">
        <f>'Optional Adjustment 6'!G470*$X$1</f>
        <v>0</v>
      </c>
      <c r="Y470" s="133">
        <f>'Optional Adjustment 7'!G470*$Y$1</f>
        <v>0</v>
      </c>
      <c r="Z470" s="133">
        <f>'Optional Adjustment 8'!G470*$Z$1</f>
        <v>0</v>
      </c>
      <c r="AA470" s="133">
        <f>'Optional Adjustment 9'!G470*$AA$1</f>
        <v>0</v>
      </c>
      <c r="AB470" s="133">
        <f>'Optional Adjustment 10'!G470*$AB$1</f>
        <v>0</v>
      </c>
      <c r="AC470" s="133">
        <f>'Optional Adjustment 11'!G470*$AC$1</f>
        <v>0</v>
      </c>
      <c r="AD470" s="133">
        <f>'Optional Adjustment 12'!G470*$AD$1</f>
        <v>0</v>
      </c>
      <c r="AE470" s="133">
        <f>'Optional Adjustment 13'!G470*$AE$1</f>
        <v>0</v>
      </c>
      <c r="AF470" s="133">
        <f>'Optional Adjustment 14'!G470*$AF$1</f>
        <v>0</v>
      </c>
      <c r="AG470" s="133">
        <f>'Optional Adjustment 15'!G470*$AG$1</f>
        <v>0</v>
      </c>
      <c r="AH470" s="133">
        <f>'Optional Adjustment 16'!G470*$AH$1</f>
        <v>0</v>
      </c>
      <c r="AI470" s="133">
        <f>'Optional Adjustment 17'!G470*$AI$1</f>
        <v>0</v>
      </c>
      <c r="AJ470" s="133">
        <f>'Optional Adjustment 18'!G470*$AJ$1</f>
        <v>0</v>
      </c>
      <c r="AK470" s="133">
        <f>'Optional Adjustment 19'!G470*$AK$1</f>
        <v>0</v>
      </c>
      <c r="AL470" s="133">
        <f>'Optional Adjustment 20'!G470*$AL$1</f>
        <v>0</v>
      </c>
      <c r="AM470" s="133">
        <f>'Optional Adjustment 21'!G470*$AM$1</f>
        <v>0</v>
      </c>
      <c r="AN470" s="133">
        <f>'Optional Adjustment 22'!G470*$AN$1</f>
        <v>0</v>
      </c>
      <c r="AO470" s="133">
        <f>'Optional Adjustment 23'!G470*$AO$1</f>
        <v>0</v>
      </c>
      <c r="AP470" s="133">
        <f>'Optional Adjustment 24'!G470*$AP$1</f>
        <v>0</v>
      </c>
      <c r="AQ470" s="133">
        <f>'Optional Adjustment 25'!G470*$AQ$1</f>
        <v>0</v>
      </c>
      <c r="AR470" s="133">
        <f>'Optional Adjustment 26'!G470*$AR$1</f>
        <v>0</v>
      </c>
      <c r="AS470" s="133">
        <f>'Optional Adjustment 27'!G470*$AS$1</f>
        <v>0</v>
      </c>
      <c r="AT470" s="133"/>
      <c r="AU470" s="133">
        <f>SUM(F470:AT470)</f>
        <v>0</v>
      </c>
      <c r="AV470" s="116"/>
      <c r="AW470" s="133">
        <f>SUM(AU470:AU470)</f>
        <v>0</v>
      </c>
      <c r="AX470" s="133">
        <f>+AW470-'ROR-Model'!G470</f>
        <v>0</v>
      </c>
    </row>
    <row r="471" spans="1:50">
      <c r="A471" s="134"/>
      <c r="B471" s="106"/>
      <c r="C471" s="106" t="s">
        <v>24</v>
      </c>
      <c r="D471" s="106"/>
      <c r="E471" s="742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33"/>
      <c r="R471" s="133"/>
      <c r="S471" s="133"/>
      <c r="T471" s="133">
        <f>'Optional Adjustment 2'!G471*$T$1</f>
        <v>0</v>
      </c>
      <c r="U471" s="133">
        <f>'Optional Adjustment 3'!G471*$U$1</f>
        <v>0</v>
      </c>
      <c r="V471" s="133">
        <f>'Optional Adjustment 4'!G471*$V$1</f>
        <v>0</v>
      </c>
      <c r="W471" s="133">
        <f>'Optional Adjustment 5'!G471*$W$1</f>
        <v>0</v>
      </c>
      <c r="X471" s="133">
        <f>'Optional Adjustment 6'!G471*$X$1</f>
        <v>0</v>
      </c>
      <c r="Y471" s="133">
        <f>'Optional Adjustment 7'!G471*$Y$1</f>
        <v>0</v>
      </c>
      <c r="Z471" s="133">
        <f>'Optional Adjustment 8'!G471*$Z$1</f>
        <v>0</v>
      </c>
      <c r="AA471" s="133">
        <f>'Optional Adjustment 9'!G471*$AA$1</f>
        <v>0</v>
      </c>
      <c r="AB471" s="133">
        <f>'Optional Adjustment 10'!G471*$AB$1</f>
        <v>0</v>
      </c>
      <c r="AC471" s="133">
        <f>'Optional Adjustment 11'!G471*$AC$1</f>
        <v>0</v>
      </c>
      <c r="AD471" s="133">
        <f>'Optional Adjustment 12'!G471*$AD$1</f>
        <v>0</v>
      </c>
      <c r="AE471" s="133">
        <f>'Optional Adjustment 13'!G471*$AE$1</f>
        <v>0</v>
      </c>
      <c r="AF471" s="133">
        <f>'Optional Adjustment 14'!G471*$AF$1</f>
        <v>0</v>
      </c>
      <c r="AG471" s="133">
        <f>'Optional Adjustment 15'!G471*$AG$1</f>
        <v>0</v>
      </c>
      <c r="AH471" s="133">
        <f>'Optional Adjustment 16'!G471*$AH$1</f>
        <v>0</v>
      </c>
      <c r="AI471" s="133">
        <f>'Optional Adjustment 17'!G471*$AI$1</f>
        <v>0</v>
      </c>
      <c r="AJ471" s="133">
        <f>'Optional Adjustment 18'!G471*$AJ$1</f>
        <v>0</v>
      </c>
      <c r="AK471" s="133">
        <f>'Optional Adjustment 19'!G471*$AK$1</f>
        <v>0</v>
      </c>
      <c r="AL471" s="133">
        <f>'Optional Adjustment 20'!G471*$AL$1</f>
        <v>0</v>
      </c>
      <c r="AM471" s="133">
        <f>'Optional Adjustment 21'!G471*$AM$1</f>
        <v>0</v>
      </c>
      <c r="AN471" s="133">
        <f>'Optional Adjustment 22'!G471*$AN$1</f>
        <v>0</v>
      </c>
      <c r="AO471" s="133">
        <f>'Optional Adjustment 23'!G471*$AO$1</f>
        <v>0</v>
      </c>
      <c r="AP471" s="133">
        <f>'Optional Adjustment 24'!G471*$AP$1</f>
        <v>0</v>
      </c>
      <c r="AQ471" s="133">
        <f>'Optional Adjustment 25'!G471*$AQ$1</f>
        <v>0</v>
      </c>
      <c r="AR471" s="133">
        <f>'Optional Adjustment 26'!G471*$AR$1</f>
        <v>0</v>
      </c>
      <c r="AS471" s="133">
        <f>'Optional Adjustment 27'!G471*$AS$1</f>
        <v>0</v>
      </c>
      <c r="AT471" s="133"/>
      <c r="AU471" s="133">
        <f>SUM(F471:AT471)</f>
        <v>0</v>
      </c>
      <c r="AV471" s="116"/>
      <c r="AW471" s="133">
        <f>SUM(AU471:AU471)</f>
        <v>0</v>
      </c>
      <c r="AX471" s="133">
        <f>+AW471-'ROR-Model'!G471</f>
        <v>0</v>
      </c>
    </row>
    <row r="472" spans="1:50">
      <c r="A472" s="134"/>
      <c r="B472" s="106"/>
      <c r="C472" s="106" t="s">
        <v>170</v>
      </c>
      <c r="D472" s="106"/>
      <c r="E472" s="742"/>
      <c r="F472" s="131">
        <f>SUM(F470:F471)</f>
        <v>0</v>
      </c>
      <c r="G472" s="131"/>
      <c r="H472" s="131">
        <f>H1*SUM(H470:H471)</f>
        <v>0</v>
      </c>
      <c r="I472" s="131">
        <f>SUM(I470:I471)</f>
        <v>0</v>
      </c>
      <c r="J472" s="131">
        <f t="shared" ref="J472:P472" si="561">SUM(J470:J471)</f>
        <v>0</v>
      </c>
      <c r="K472" s="131">
        <f t="shared" si="561"/>
        <v>0</v>
      </c>
      <c r="L472" s="131">
        <f t="shared" si="561"/>
        <v>0</v>
      </c>
      <c r="M472" s="131">
        <f t="shared" si="561"/>
        <v>0</v>
      </c>
      <c r="N472" s="131">
        <f t="shared" si="561"/>
        <v>0</v>
      </c>
      <c r="O472" s="131">
        <f t="shared" si="561"/>
        <v>0</v>
      </c>
      <c r="P472" s="131">
        <f t="shared" si="561"/>
        <v>0</v>
      </c>
      <c r="Q472" s="241">
        <f>SUM(Q470:Q471)</f>
        <v>0</v>
      </c>
      <c r="R472" s="241">
        <f>SUM(R470:R471)</f>
        <v>0</v>
      </c>
      <c r="S472" s="556"/>
      <c r="T472" s="556">
        <f t="shared" ref="T472:AG472" si="562">SUM(T470:T471)</f>
        <v>0</v>
      </c>
      <c r="U472" s="556">
        <f t="shared" si="562"/>
        <v>0</v>
      </c>
      <c r="V472" s="556">
        <f t="shared" si="562"/>
        <v>0</v>
      </c>
      <c r="W472" s="556">
        <f t="shared" si="562"/>
        <v>0</v>
      </c>
      <c r="X472" s="556">
        <f t="shared" si="562"/>
        <v>0</v>
      </c>
      <c r="Y472" s="556">
        <f t="shared" si="562"/>
        <v>0</v>
      </c>
      <c r="Z472" s="556">
        <f t="shared" si="562"/>
        <v>0</v>
      </c>
      <c r="AA472" s="556">
        <f t="shared" si="562"/>
        <v>0</v>
      </c>
      <c r="AB472" s="556">
        <f t="shared" si="562"/>
        <v>0</v>
      </c>
      <c r="AC472" s="556">
        <f t="shared" si="562"/>
        <v>0</v>
      </c>
      <c r="AD472" s="556">
        <f t="shared" si="562"/>
        <v>0</v>
      </c>
      <c r="AE472" s="556">
        <f t="shared" si="562"/>
        <v>0</v>
      </c>
      <c r="AF472" s="556">
        <f t="shared" si="562"/>
        <v>0</v>
      </c>
      <c r="AG472" s="556">
        <f t="shared" si="562"/>
        <v>0</v>
      </c>
      <c r="AH472" s="556">
        <f t="shared" ref="AH472:AK472" si="563">SUM(AH470:AH471)</f>
        <v>0</v>
      </c>
      <c r="AI472" s="556">
        <f t="shared" si="563"/>
        <v>0</v>
      </c>
      <c r="AJ472" s="556">
        <f t="shared" si="563"/>
        <v>0</v>
      </c>
      <c r="AK472" s="556">
        <f t="shared" si="563"/>
        <v>0</v>
      </c>
      <c r="AL472" s="556">
        <f t="shared" ref="AL472:AP472" si="564">SUM(AL470:AL471)</f>
        <v>0</v>
      </c>
      <c r="AM472" s="556">
        <f t="shared" si="564"/>
        <v>0</v>
      </c>
      <c r="AN472" s="556">
        <f t="shared" si="564"/>
        <v>0</v>
      </c>
      <c r="AO472" s="556">
        <f t="shared" si="564"/>
        <v>0</v>
      </c>
      <c r="AP472" s="556">
        <f t="shared" si="564"/>
        <v>0</v>
      </c>
      <c r="AQ472" s="556">
        <f t="shared" ref="AQ472:AS472" si="565">SUM(AQ470:AQ471)</f>
        <v>0</v>
      </c>
      <c r="AR472" s="556">
        <f t="shared" si="565"/>
        <v>0</v>
      </c>
      <c r="AS472" s="556">
        <f t="shared" si="565"/>
        <v>0</v>
      </c>
      <c r="AT472" s="556"/>
      <c r="AU472" s="241">
        <f>SUM(AU470:AU471)</f>
        <v>0</v>
      </c>
      <c r="AV472" s="131"/>
      <c r="AW472" s="241">
        <f>SUM(AW470:AW471)</f>
        <v>0</v>
      </c>
      <c r="AX472" s="241">
        <f>+AW472-'ROR-Model'!G472</f>
        <v>0</v>
      </c>
    </row>
    <row r="473" spans="1:50">
      <c r="A473" s="134"/>
      <c r="B473" s="106"/>
      <c r="C473" s="106"/>
      <c r="D473" s="106"/>
      <c r="E473" s="742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16"/>
      <c r="AW473" s="133"/>
      <c r="AX473" s="133">
        <f>+AW473-'ROR-Model'!G473</f>
        <v>0</v>
      </c>
    </row>
    <row r="474" spans="1:50">
      <c r="A474" s="134">
        <v>493</v>
      </c>
      <c r="B474" s="106" t="s">
        <v>331</v>
      </c>
      <c r="C474" s="106"/>
      <c r="D474" s="106"/>
      <c r="E474" s="742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16"/>
      <c r="AW474" s="133"/>
      <c r="AX474" s="133">
        <f>+AW474-'ROR-Model'!G474</f>
        <v>0</v>
      </c>
    </row>
    <row r="475" spans="1:50">
      <c r="A475" s="134"/>
      <c r="B475" s="106"/>
      <c r="C475" s="106" t="s">
        <v>14</v>
      </c>
      <c r="D475" s="106"/>
      <c r="E475" s="742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33"/>
      <c r="R475" s="133"/>
      <c r="S475" s="133"/>
      <c r="T475" s="133">
        <f>'Optional Adjustment 2'!G475*$T$1</f>
        <v>0</v>
      </c>
      <c r="U475" s="133">
        <f>'Optional Adjustment 3'!G475*$U$1</f>
        <v>0</v>
      </c>
      <c r="V475" s="133">
        <f>'Optional Adjustment 4'!G475*$V$1</f>
        <v>0</v>
      </c>
      <c r="W475" s="133">
        <f>'Optional Adjustment 5'!G475*$W$1</f>
        <v>0</v>
      </c>
      <c r="X475" s="133">
        <f>'Optional Adjustment 6'!G475*$X$1</f>
        <v>0</v>
      </c>
      <c r="Y475" s="133">
        <f>'Optional Adjustment 7'!G475*$Y$1</f>
        <v>0</v>
      </c>
      <c r="Z475" s="133">
        <f>'Optional Adjustment 8'!G475*$Z$1</f>
        <v>0</v>
      </c>
      <c r="AA475" s="133">
        <f>'Optional Adjustment 9'!G475*$AA$1</f>
        <v>0</v>
      </c>
      <c r="AB475" s="133">
        <f>'Optional Adjustment 10'!G475*$AB$1</f>
        <v>0</v>
      </c>
      <c r="AC475" s="133">
        <f>'Optional Adjustment 11'!G475*$AC$1</f>
        <v>0</v>
      </c>
      <c r="AD475" s="133">
        <f>'Optional Adjustment 12'!G475*$AD$1</f>
        <v>0</v>
      </c>
      <c r="AE475" s="133">
        <f>'Optional Adjustment 13'!G475*$AE$1</f>
        <v>0</v>
      </c>
      <c r="AF475" s="133">
        <f>'Optional Adjustment 14'!G475*$AF$1</f>
        <v>0</v>
      </c>
      <c r="AG475" s="133">
        <f>'Optional Adjustment 15'!G475*$AG$1</f>
        <v>0</v>
      </c>
      <c r="AH475" s="133">
        <f>'Optional Adjustment 16'!G475*$AH$1</f>
        <v>0</v>
      </c>
      <c r="AI475" s="133">
        <f>'Optional Adjustment 17'!G475*$AI$1</f>
        <v>0</v>
      </c>
      <c r="AJ475" s="133">
        <f>'Optional Adjustment 18'!G475*$AJ$1</f>
        <v>0</v>
      </c>
      <c r="AK475" s="133">
        <f>'Optional Adjustment 19'!G475*$AK$1</f>
        <v>0</v>
      </c>
      <c r="AL475" s="133">
        <f>'Optional Adjustment 20'!G475*$AL$1</f>
        <v>0</v>
      </c>
      <c r="AM475" s="133">
        <f>'Optional Adjustment 21'!G475*$AM$1</f>
        <v>0</v>
      </c>
      <c r="AN475" s="133">
        <f>'Optional Adjustment 22'!G475*$AN$1</f>
        <v>0</v>
      </c>
      <c r="AO475" s="133">
        <f>'Optional Adjustment 23'!G475*$AO$1</f>
        <v>0</v>
      </c>
      <c r="AP475" s="133">
        <f>'Optional Adjustment 24'!G475*$AP$1</f>
        <v>0</v>
      </c>
      <c r="AQ475" s="133">
        <f>'Optional Adjustment 25'!G475*$AQ$1</f>
        <v>0</v>
      </c>
      <c r="AR475" s="133">
        <f>'Optional Adjustment 26'!G475*$AR$1</f>
        <v>0</v>
      </c>
      <c r="AS475" s="133">
        <f>'Optional Adjustment 27'!G475*$AS$1</f>
        <v>0</v>
      </c>
      <c r="AT475" s="133"/>
      <c r="AU475" s="133">
        <f>SUM(F475:AT475)</f>
        <v>0</v>
      </c>
      <c r="AV475" s="116"/>
      <c r="AW475" s="133">
        <f>SUM(AU475:AU475)</f>
        <v>0</v>
      </c>
      <c r="AX475" s="133">
        <f>+AW475-'ROR-Model'!G475</f>
        <v>0</v>
      </c>
    </row>
    <row r="476" spans="1:50">
      <c r="A476" s="134"/>
      <c r="B476" s="106"/>
      <c r="C476" s="106" t="s">
        <v>24</v>
      </c>
      <c r="D476" s="106"/>
      <c r="E476" s="742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33"/>
      <c r="R476" s="133"/>
      <c r="S476" s="133"/>
      <c r="T476" s="133">
        <f>'Optional Adjustment 2'!G476*$T$1</f>
        <v>0</v>
      </c>
      <c r="U476" s="133">
        <f>'Optional Adjustment 3'!G476*$U$1</f>
        <v>0</v>
      </c>
      <c r="V476" s="133">
        <f>'Optional Adjustment 4'!G476*$V$1</f>
        <v>0</v>
      </c>
      <c r="W476" s="133">
        <f>'Optional Adjustment 5'!G476*$W$1</f>
        <v>0</v>
      </c>
      <c r="X476" s="133">
        <f>'Optional Adjustment 6'!G476*$X$1</f>
        <v>0</v>
      </c>
      <c r="Y476" s="133">
        <f>'Optional Adjustment 7'!G476*$Y$1</f>
        <v>0</v>
      </c>
      <c r="Z476" s="133">
        <f>'Optional Adjustment 8'!G476*$Z$1</f>
        <v>0</v>
      </c>
      <c r="AA476" s="133">
        <f>'Optional Adjustment 9'!G476*$AA$1</f>
        <v>0</v>
      </c>
      <c r="AB476" s="133">
        <f>'Optional Adjustment 10'!G476*$AB$1</f>
        <v>0</v>
      </c>
      <c r="AC476" s="133">
        <f>'Optional Adjustment 11'!G476*$AC$1</f>
        <v>0</v>
      </c>
      <c r="AD476" s="133">
        <f>'Optional Adjustment 12'!G476*$AD$1</f>
        <v>0</v>
      </c>
      <c r="AE476" s="133">
        <f>'Optional Adjustment 13'!G476*$AE$1</f>
        <v>0</v>
      </c>
      <c r="AF476" s="133">
        <f>'Optional Adjustment 14'!G476*$AF$1</f>
        <v>0</v>
      </c>
      <c r="AG476" s="133">
        <f>'Optional Adjustment 15'!G476*$AG$1</f>
        <v>0</v>
      </c>
      <c r="AH476" s="133">
        <f>'Optional Adjustment 16'!G476*$AH$1</f>
        <v>0</v>
      </c>
      <c r="AI476" s="133">
        <f>'Optional Adjustment 17'!G476*$AI$1</f>
        <v>0</v>
      </c>
      <c r="AJ476" s="133">
        <f>'Optional Adjustment 18'!G476*$AJ$1</f>
        <v>0</v>
      </c>
      <c r="AK476" s="133">
        <f>'Optional Adjustment 19'!G476*$AK$1</f>
        <v>0</v>
      </c>
      <c r="AL476" s="133">
        <f>'Optional Adjustment 20'!G476*$AL$1</f>
        <v>0</v>
      </c>
      <c r="AM476" s="133">
        <f>'Optional Adjustment 21'!G476*$AM$1</f>
        <v>0</v>
      </c>
      <c r="AN476" s="133">
        <f>'Optional Adjustment 22'!G476*$AN$1</f>
        <v>0</v>
      </c>
      <c r="AO476" s="133">
        <f>'Optional Adjustment 23'!G476*$AO$1</f>
        <v>0</v>
      </c>
      <c r="AP476" s="133">
        <f>'Optional Adjustment 24'!G476*$AP$1</f>
        <v>0</v>
      </c>
      <c r="AQ476" s="133">
        <f>'Optional Adjustment 25'!G476*$AQ$1</f>
        <v>0</v>
      </c>
      <c r="AR476" s="133">
        <f>'Optional Adjustment 26'!G476*$AR$1</f>
        <v>0</v>
      </c>
      <c r="AS476" s="133">
        <f>'Optional Adjustment 27'!G476*$AS$1</f>
        <v>0</v>
      </c>
      <c r="AT476" s="133"/>
      <c r="AU476" s="133">
        <f>SUM(F476:AT476)</f>
        <v>0</v>
      </c>
      <c r="AV476" s="116"/>
      <c r="AW476" s="133">
        <f>SUM(AU476:AU476)</f>
        <v>0</v>
      </c>
      <c r="AX476" s="133">
        <f>+AW476-'ROR-Model'!G476</f>
        <v>0</v>
      </c>
    </row>
    <row r="477" spans="1:50">
      <c r="A477" s="134"/>
      <c r="B477" s="106"/>
      <c r="C477" s="106" t="s">
        <v>170</v>
      </c>
      <c r="D477" s="106"/>
      <c r="E477" s="742"/>
      <c r="F477" s="131">
        <f>SUM(F475:F476)</f>
        <v>0</v>
      </c>
      <c r="G477" s="131"/>
      <c r="H477" s="131">
        <f>H1*SUM(H475:H476)</f>
        <v>0</v>
      </c>
      <c r="I477" s="131">
        <f>SUM(I475:I476)</f>
        <v>0</v>
      </c>
      <c r="J477" s="131">
        <f t="shared" ref="J477:P477" si="566">SUM(J475:J476)</f>
        <v>0</v>
      </c>
      <c r="K477" s="131">
        <f t="shared" si="566"/>
        <v>0</v>
      </c>
      <c r="L477" s="131">
        <f t="shared" si="566"/>
        <v>0</v>
      </c>
      <c r="M477" s="131">
        <f t="shared" si="566"/>
        <v>0</v>
      </c>
      <c r="N477" s="131">
        <f t="shared" si="566"/>
        <v>0</v>
      </c>
      <c r="O477" s="131">
        <f t="shared" si="566"/>
        <v>0</v>
      </c>
      <c r="P477" s="131">
        <f t="shared" si="566"/>
        <v>0</v>
      </c>
      <c r="Q477" s="241">
        <f>SUM(Q475:Q476)</f>
        <v>0</v>
      </c>
      <c r="R477" s="241">
        <f>SUM(R475:R476)</f>
        <v>0</v>
      </c>
      <c r="S477" s="556"/>
      <c r="T477" s="556">
        <f t="shared" ref="T477:AG477" si="567">SUM(T475:T476)</f>
        <v>0</v>
      </c>
      <c r="U477" s="556">
        <f t="shared" si="567"/>
        <v>0</v>
      </c>
      <c r="V477" s="556">
        <f t="shared" si="567"/>
        <v>0</v>
      </c>
      <c r="W477" s="556">
        <f t="shared" si="567"/>
        <v>0</v>
      </c>
      <c r="X477" s="556">
        <f t="shared" si="567"/>
        <v>0</v>
      </c>
      <c r="Y477" s="556">
        <f t="shared" si="567"/>
        <v>0</v>
      </c>
      <c r="Z477" s="556">
        <f t="shared" si="567"/>
        <v>0</v>
      </c>
      <c r="AA477" s="556">
        <f t="shared" si="567"/>
        <v>0</v>
      </c>
      <c r="AB477" s="556">
        <f t="shared" si="567"/>
        <v>0</v>
      </c>
      <c r="AC477" s="556">
        <f t="shared" si="567"/>
        <v>0</v>
      </c>
      <c r="AD477" s="556">
        <f t="shared" si="567"/>
        <v>0</v>
      </c>
      <c r="AE477" s="556">
        <f t="shared" si="567"/>
        <v>0</v>
      </c>
      <c r="AF477" s="556">
        <f t="shared" si="567"/>
        <v>0</v>
      </c>
      <c r="AG477" s="556">
        <f t="shared" si="567"/>
        <v>0</v>
      </c>
      <c r="AH477" s="556">
        <f t="shared" ref="AH477:AK477" si="568">SUM(AH475:AH476)</f>
        <v>0</v>
      </c>
      <c r="AI477" s="556">
        <f t="shared" si="568"/>
        <v>0</v>
      </c>
      <c r="AJ477" s="556">
        <f t="shared" si="568"/>
        <v>0</v>
      </c>
      <c r="AK477" s="556">
        <f t="shared" si="568"/>
        <v>0</v>
      </c>
      <c r="AL477" s="556">
        <f t="shared" ref="AL477:AP477" si="569">SUM(AL475:AL476)</f>
        <v>0</v>
      </c>
      <c r="AM477" s="556">
        <f t="shared" si="569"/>
        <v>0</v>
      </c>
      <c r="AN477" s="556">
        <f t="shared" si="569"/>
        <v>0</v>
      </c>
      <c r="AO477" s="556">
        <f t="shared" si="569"/>
        <v>0</v>
      </c>
      <c r="AP477" s="556">
        <f t="shared" si="569"/>
        <v>0</v>
      </c>
      <c r="AQ477" s="556">
        <f t="shared" ref="AQ477:AS477" si="570">SUM(AQ475:AQ476)</f>
        <v>0</v>
      </c>
      <c r="AR477" s="556">
        <f t="shared" si="570"/>
        <v>0</v>
      </c>
      <c r="AS477" s="556">
        <f t="shared" si="570"/>
        <v>0</v>
      </c>
      <c r="AT477" s="556"/>
      <c r="AU477" s="241">
        <f>SUM(AU475:AU476)</f>
        <v>0</v>
      </c>
      <c r="AV477" s="131"/>
      <c r="AW477" s="241">
        <f>SUM(AW475:AW476)</f>
        <v>0</v>
      </c>
      <c r="AX477" s="241">
        <f>+AW477-'ROR-Model'!G477</f>
        <v>0</v>
      </c>
    </row>
    <row r="478" spans="1:50">
      <c r="A478" s="134"/>
      <c r="B478" s="106"/>
      <c r="C478" s="106"/>
      <c r="D478" s="106"/>
      <c r="E478" s="742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16"/>
      <c r="AW478" s="133"/>
      <c r="AX478" s="133">
        <f>+AW478-'ROR-Model'!G478</f>
        <v>0</v>
      </c>
    </row>
    <row r="479" spans="1:50">
      <c r="A479" s="134">
        <v>495</v>
      </c>
      <c r="B479" s="106" t="s">
        <v>334</v>
      </c>
      <c r="C479" s="106"/>
      <c r="D479" s="106"/>
      <c r="E479" s="742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16"/>
      <c r="AW479" s="133"/>
      <c r="AX479" s="133">
        <f>+AW479-'ROR-Model'!G479</f>
        <v>0</v>
      </c>
    </row>
    <row r="480" spans="1:50">
      <c r="A480" s="134"/>
      <c r="B480" s="106"/>
      <c r="C480" s="106" t="s">
        <v>14</v>
      </c>
      <c r="D480" s="106"/>
      <c r="E480" s="742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33"/>
      <c r="R480" s="133"/>
      <c r="S480" s="133"/>
      <c r="T480" s="133">
        <f>'Optional Adjustment 2'!G480*$T$1</f>
        <v>0</v>
      </c>
      <c r="U480" s="133">
        <f>'Optional Adjustment 3'!G480*$U$1</f>
        <v>0</v>
      </c>
      <c r="V480" s="133">
        <f>'Optional Adjustment 4'!G480*$V$1</f>
        <v>0</v>
      </c>
      <c r="W480" s="133">
        <f>'Optional Adjustment 5'!G480*$W$1</f>
        <v>0</v>
      </c>
      <c r="X480" s="133">
        <f>'Optional Adjustment 6'!G480*$X$1</f>
        <v>0</v>
      </c>
      <c r="Y480" s="133">
        <f>'Optional Adjustment 7'!G480*$Y$1</f>
        <v>0</v>
      </c>
      <c r="Z480" s="133">
        <f>'Optional Adjustment 8'!G480*$Z$1</f>
        <v>0</v>
      </c>
      <c r="AA480" s="133">
        <f>'Optional Adjustment 9'!G480*$AA$1</f>
        <v>0</v>
      </c>
      <c r="AB480" s="133">
        <f>'Optional Adjustment 10'!G480*$AB$1</f>
        <v>0</v>
      </c>
      <c r="AC480" s="133">
        <f>'Optional Adjustment 11'!G480*$AC$1</f>
        <v>0</v>
      </c>
      <c r="AD480" s="133">
        <f>'Optional Adjustment 12'!G480*$AD$1</f>
        <v>0</v>
      </c>
      <c r="AE480" s="133">
        <f>'Optional Adjustment 13'!G480*$AE$1</f>
        <v>0</v>
      </c>
      <c r="AF480" s="133">
        <f>'Optional Adjustment 14'!G480*$AF$1</f>
        <v>0</v>
      </c>
      <c r="AG480" s="133">
        <f>'Optional Adjustment 15'!G480*$AG$1</f>
        <v>0</v>
      </c>
      <c r="AH480" s="133">
        <f>'Optional Adjustment 16'!G480*$AH$1</f>
        <v>0</v>
      </c>
      <c r="AI480" s="133">
        <f>'Optional Adjustment 17'!G480*$AI$1</f>
        <v>0</v>
      </c>
      <c r="AJ480" s="133">
        <f>'Optional Adjustment 18'!G480*$AJ$1</f>
        <v>0</v>
      </c>
      <c r="AK480" s="133">
        <f>'Optional Adjustment 19'!G480*$AK$1</f>
        <v>0</v>
      </c>
      <c r="AL480" s="133">
        <f>'Optional Adjustment 20'!G480*$AL$1</f>
        <v>0</v>
      </c>
      <c r="AM480" s="133">
        <f>'Optional Adjustment 21'!G480*$AM$1</f>
        <v>0</v>
      </c>
      <c r="AN480" s="133">
        <f>'Optional Adjustment 22'!G480*$AN$1</f>
        <v>0</v>
      </c>
      <c r="AO480" s="133">
        <f>'Optional Adjustment 23'!G480*$AO$1</f>
        <v>0</v>
      </c>
      <c r="AP480" s="133">
        <f>'Optional Adjustment 24'!G480*$AP$1</f>
        <v>0</v>
      </c>
      <c r="AQ480" s="133">
        <f>'Optional Adjustment 25'!G480*$AQ$1</f>
        <v>0</v>
      </c>
      <c r="AR480" s="133">
        <f>'Optional Adjustment 26'!G480*$AR$1</f>
        <v>0</v>
      </c>
      <c r="AS480" s="133">
        <f>'Optional Adjustment 27'!G480*$AS$1</f>
        <v>0</v>
      </c>
      <c r="AT480" s="133"/>
      <c r="AU480" s="133">
        <f>SUM(F480:AT480)</f>
        <v>0</v>
      </c>
      <c r="AV480" s="116"/>
      <c r="AW480" s="133">
        <f>SUM(AU480:AU480)</f>
        <v>0</v>
      </c>
      <c r="AX480" s="133">
        <f>+AW480-'ROR-Model'!G480</f>
        <v>0</v>
      </c>
    </row>
    <row r="481" spans="1:50">
      <c r="A481" s="134"/>
      <c r="B481" s="106"/>
      <c r="C481" s="106" t="s">
        <v>24</v>
      </c>
      <c r="D481" s="106"/>
      <c r="E481" s="742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33"/>
      <c r="R481" s="133"/>
      <c r="S481" s="133"/>
      <c r="T481" s="133">
        <f>'Optional Adjustment 2'!G481*$T$1</f>
        <v>0</v>
      </c>
      <c r="U481" s="133">
        <f>'Optional Adjustment 3'!G481*$U$1</f>
        <v>0</v>
      </c>
      <c r="V481" s="133">
        <f>'Optional Adjustment 4'!G481*$V$1</f>
        <v>0</v>
      </c>
      <c r="W481" s="133">
        <f>'Optional Adjustment 5'!G481*$W$1</f>
        <v>0</v>
      </c>
      <c r="X481" s="133">
        <f>'Optional Adjustment 6'!G481*$X$1</f>
        <v>0</v>
      </c>
      <c r="Y481" s="133">
        <f>'Optional Adjustment 7'!G481*$Y$1</f>
        <v>0</v>
      </c>
      <c r="Z481" s="133">
        <f>'Optional Adjustment 8'!G481*$Z$1</f>
        <v>0</v>
      </c>
      <c r="AA481" s="133">
        <f>'Optional Adjustment 9'!G481*$AA$1</f>
        <v>0</v>
      </c>
      <c r="AB481" s="133">
        <f>'Optional Adjustment 10'!G481*$AB$1</f>
        <v>0</v>
      </c>
      <c r="AC481" s="133">
        <f>'Optional Adjustment 11'!G481*$AC$1</f>
        <v>0</v>
      </c>
      <c r="AD481" s="133">
        <f>'Optional Adjustment 12'!G481*$AD$1</f>
        <v>0</v>
      </c>
      <c r="AE481" s="133">
        <f>'Optional Adjustment 13'!G481*$AE$1</f>
        <v>0</v>
      </c>
      <c r="AF481" s="133">
        <f>'Optional Adjustment 14'!G481*$AF$1</f>
        <v>0</v>
      </c>
      <c r="AG481" s="133">
        <f>'Optional Adjustment 15'!G481*$AG$1</f>
        <v>0</v>
      </c>
      <c r="AH481" s="133">
        <f>'Optional Adjustment 16'!G481*$AH$1</f>
        <v>0</v>
      </c>
      <c r="AI481" s="133">
        <f>'Optional Adjustment 17'!G481*$AI$1</f>
        <v>0</v>
      </c>
      <c r="AJ481" s="133">
        <f>'Optional Adjustment 18'!G481*$AJ$1</f>
        <v>0</v>
      </c>
      <c r="AK481" s="133">
        <f>'Optional Adjustment 19'!G481*$AK$1</f>
        <v>0</v>
      </c>
      <c r="AL481" s="133">
        <f>'Optional Adjustment 20'!G481*$AL$1</f>
        <v>0</v>
      </c>
      <c r="AM481" s="133">
        <f>'Optional Adjustment 21'!G481*$AM$1</f>
        <v>0</v>
      </c>
      <c r="AN481" s="133">
        <f>'Optional Adjustment 22'!G481*$AN$1</f>
        <v>0</v>
      </c>
      <c r="AO481" s="133">
        <f>'Optional Adjustment 23'!G481*$AO$1</f>
        <v>0</v>
      </c>
      <c r="AP481" s="133">
        <f>'Optional Adjustment 24'!G481*$AP$1</f>
        <v>0</v>
      </c>
      <c r="AQ481" s="133">
        <f>'Optional Adjustment 25'!G481*$AQ$1</f>
        <v>0</v>
      </c>
      <c r="AR481" s="133">
        <f>'Optional Adjustment 26'!G481*$AR$1</f>
        <v>0</v>
      </c>
      <c r="AS481" s="133">
        <f>'Optional Adjustment 27'!G481*$AS$1</f>
        <v>0</v>
      </c>
      <c r="AT481" s="133"/>
      <c r="AU481" s="133">
        <f>SUM(F481:AT481)</f>
        <v>0</v>
      </c>
      <c r="AV481" s="116"/>
      <c r="AW481" s="133">
        <f>SUM(AU481:AU481)</f>
        <v>0</v>
      </c>
      <c r="AX481" s="133">
        <f>+AW481-'ROR-Model'!G481</f>
        <v>0</v>
      </c>
    </row>
    <row r="482" spans="1:50">
      <c r="A482" s="134"/>
      <c r="B482" s="106"/>
      <c r="C482" s="106" t="s">
        <v>170</v>
      </c>
      <c r="D482" s="106"/>
      <c r="E482" s="742"/>
      <c r="F482" s="131">
        <f>SUM(F480:F481)</f>
        <v>0</v>
      </c>
      <c r="G482" s="131"/>
      <c r="H482" s="131">
        <f>H1*SUM(H480:H481)</f>
        <v>0</v>
      </c>
      <c r="I482" s="131">
        <f>SUM(I480:I481)</f>
        <v>0</v>
      </c>
      <c r="J482" s="131">
        <f t="shared" ref="J482:P482" si="571">SUM(J480:J481)</f>
        <v>0</v>
      </c>
      <c r="K482" s="131">
        <f t="shared" si="571"/>
        <v>0</v>
      </c>
      <c r="L482" s="131">
        <f t="shared" si="571"/>
        <v>0</v>
      </c>
      <c r="M482" s="131">
        <f t="shared" si="571"/>
        <v>0</v>
      </c>
      <c r="N482" s="131">
        <f t="shared" si="571"/>
        <v>0</v>
      </c>
      <c r="O482" s="131">
        <f t="shared" si="571"/>
        <v>0</v>
      </c>
      <c r="P482" s="131">
        <f t="shared" si="571"/>
        <v>0</v>
      </c>
      <c r="Q482" s="241">
        <f>SUM(Q480:Q481)</f>
        <v>0</v>
      </c>
      <c r="R482" s="241">
        <f>SUM(R480:R481)</f>
        <v>0</v>
      </c>
      <c r="S482" s="556"/>
      <c r="T482" s="556">
        <f t="shared" ref="T482:AG482" si="572">SUM(T480:T481)</f>
        <v>0</v>
      </c>
      <c r="U482" s="556">
        <f t="shared" si="572"/>
        <v>0</v>
      </c>
      <c r="V482" s="556">
        <f t="shared" si="572"/>
        <v>0</v>
      </c>
      <c r="W482" s="556">
        <f t="shared" si="572"/>
        <v>0</v>
      </c>
      <c r="X482" s="556">
        <f t="shared" si="572"/>
        <v>0</v>
      </c>
      <c r="Y482" s="556">
        <f t="shared" si="572"/>
        <v>0</v>
      </c>
      <c r="Z482" s="556">
        <f t="shared" si="572"/>
        <v>0</v>
      </c>
      <c r="AA482" s="556">
        <f t="shared" si="572"/>
        <v>0</v>
      </c>
      <c r="AB482" s="556">
        <f t="shared" si="572"/>
        <v>0</v>
      </c>
      <c r="AC482" s="556">
        <f t="shared" si="572"/>
        <v>0</v>
      </c>
      <c r="AD482" s="556">
        <f t="shared" si="572"/>
        <v>0</v>
      </c>
      <c r="AE482" s="556">
        <f t="shared" si="572"/>
        <v>0</v>
      </c>
      <c r="AF482" s="556">
        <f t="shared" si="572"/>
        <v>0</v>
      </c>
      <c r="AG482" s="556">
        <f t="shared" si="572"/>
        <v>0</v>
      </c>
      <c r="AH482" s="556">
        <f t="shared" ref="AH482:AK482" si="573">SUM(AH480:AH481)</f>
        <v>0</v>
      </c>
      <c r="AI482" s="556">
        <f t="shared" si="573"/>
        <v>0</v>
      </c>
      <c r="AJ482" s="556">
        <f t="shared" si="573"/>
        <v>0</v>
      </c>
      <c r="AK482" s="556">
        <f t="shared" si="573"/>
        <v>0</v>
      </c>
      <c r="AL482" s="556">
        <f t="shared" ref="AL482:AP482" si="574">SUM(AL480:AL481)</f>
        <v>0</v>
      </c>
      <c r="AM482" s="556">
        <f t="shared" si="574"/>
        <v>0</v>
      </c>
      <c r="AN482" s="556">
        <f t="shared" si="574"/>
        <v>0</v>
      </c>
      <c r="AO482" s="556">
        <f t="shared" si="574"/>
        <v>0</v>
      </c>
      <c r="AP482" s="556">
        <f t="shared" si="574"/>
        <v>0</v>
      </c>
      <c r="AQ482" s="556">
        <f t="shared" ref="AQ482:AS482" si="575">SUM(AQ480:AQ481)</f>
        <v>0</v>
      </c>
      <c r="AR482" s="556">
        <f t="shared" si="575"/>
        <v>0</v>
      </c>
      <c r="AS482" s="556">
        <f t="shared" si="575"/>
        <v>0</v>
      </c>
      <c r="AT482" s="556"/>
      <c r="AU482" s="241">
        <f>SUM(AU480:AU481)</f>
        <v>0</v>
      </c>
      <c r="AV482" s="131"/>
      <c r="AW482" s="241">
        <f>SUM(AW480:AW481)</f>
        <v>0</v>
      </c>
      <c r="AX482" s="241">
        <f>+AW482-'ROR-Model'!G482</f>
        <v>0</v>
      </c>
    </row>
    <row r="483" spans="1:50">
      <c r="A483" s="134"/>
      <c r="B483" s="106"/>
      <c r="C483" s="106"/>
      <c r="D483" s="106"/>
      <c r="E483" s="742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16"/>
      <c r="AW483" s="133"/>
      <c r="AX483" s="133">
        <f>+AW483-'ROR-Model'!G483</f>
        <v>0</v>
      </c>
    </row>
    <row r="484" spans="1:50">
      <c r="A484" s="134">
        <v>4951</v>
      </c>
      <c r="B484" s="106" t="s">
        <v>335</v>
      </c>
      <c r="C484" s="106"/>
      <c r="D484" s="106"/>
      <c r="E484" s="742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16"/>
      <c r="AW484" s="133"/>
      <c r="AX484" s="133">
        <f>+AW484-'ROR-Model'!G484</f>
        <v>0</v>
      </c>
    </row>
    <row r="485" spans="1:50">
      <c r="A485" s="134"/>
      <c r="B485" s="106"/>
      <c r="C485" s="106" t="s">
        <v>14</v>
      </c>
      <c r="D485" s="106"/>
      <c r="E485" s="742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33"/>
      <c r="R485" s="133"/>
      <c r="S485" s="133"/>
      <c r="T485" s="133">
        <f>'Optional Adjustment 2'!G485*$T$1</f>
        <v>0</v>
      </c>
      <c r="U485" s="133">
        <f>'Optional Adjustment 3'!G485*$U$1</f>
        <v>0</v>
      </c>
      <c r="V485" s="133">
        <f>'Optional Adjustment 4'!G485*$V$1</f>
        <v>0</v>
      </c>
      <c r="W485" s="133">
        <f>'Optional Adjustment 5'!G485*$W$1</f>
        <v>0</v>
      </c>
      <c r="X485" s="133">
        <f>'Optional Adjustment 6'!G485*$X$1</f>
        <v>0</v>
      </c>
      <c r="Y485" s="133">
        <f>'Optional Adjustment 7'!G485*$Y$1</f>
        <v>0</v>
      </c>
      <c r="Z485" s="133">
        <f>'Optional Adjustment 8'!G485*$Z$1</f>
        <v>0</v>
      </c>
      <c r="AA485" s="133">
        <f>'Optional Adjustment 9'!G485*$AA$1</f>
        <v>0</v>
      </c>
      <c r="AB485" s="133">
        <f>'Optional Adjustment 10'!G485*$AB$1</f>
        <v>0</v>
      </c>
      <c r="AC485" s="133">
        <f>'Optional Adjustment 11'!G485*$AC$1</f>
        <v>0</v>
      </c>
      <c r="AD485" s="133">
        <f>'Optional Adjustment 12'!G485*$AD$1</f>
        <v>0</v>
      </c>
      <c r="AE485" s="133">
        <f>'Optional Adjustment 13'!G485*$AE$1</f>
        <v>0</v>
      </c>
      <c r="AF485" s="133">
        <f>'Optional Adjustment 14'!G485*$AF$1</f>
        <v>0</v>
      </c>
      <c r="AG485" s="133">
        <f>'Optional Adjustment 15'!G485*$AG$1</f>
        <v>0</v>
      </c>
      <c r="AH485" s="133">
        <f>'Optional Adjustment 16'!G485*$AH$1</f>
        <v>0</v>
      </c>
      <c r="AI485" s="133">
        <f>'Optional Adjustment 17'!G485*$AI$1</f>
        <v>0</v>
      </c>
      <c r="AJ485" s="133">
        <f>'Optional Adjustment 18'!G485*$AJ$1</f>
        <v>0</v>
      </c>
      <c r="AK485" s="133">
        <f>'Optional Adjustment 19'!G485*$AK$1</f>
        <v>0</v>
      </c>
      <c r="AL485" s="133">
        <f>'Optional Adjustment 20'!G485*$AL$1</f>
        <v>0</v>
      </c>
      <c r="AM485" s="133">
        <f>'Optional Adjustment 21'!G485*$AM$1</f>
        <v>0</v>
      </c>
      <c r="AN485" s="133">
        <f>'Optional Adjustment 22'!G485*$AN$1</f>
        <v>0</v>
      </c>
      <c r="AO485" s="133">
        <f>'Optional Adjustment 23'!G485*$AO$1</f>
        <v>0</v>
      </c>
      <c r="AP485" s="133">
        <f>'Optional Adjustment 24'!G485*$AP$1</f>
        <v>0</v>
      </c>
      <c r="AQ485" s="133">
        <f>'Optional Adjustment 25'!G485*$AQ$1</f>
        <v>0</v>
      </c>
      <c r="AR485" s="133">
        <f>'Optional Adjustment 26'!G485*$AR$1</f>
        <v>0</v>
      </c>
      <c r="AS485" s="133">
        <f>'Optional Adjustment 27'!G485*$AS$1</f>
        <v>0</v>
      </c>
      <c r="AT485" s="133"/>
      <c r="AU485" s="133">
        <f>SUM(F485:AT485)</f>
        <v>0</v>
      </c>
      <c r="AV485" s="116"/>
      <c r="AW485" s="133">
        <f>SUM(AU485:AU485)</f>
        <v>0</v>
      </c>
      <c r="AX485" s="133">
        <f>+AW485-'ROR-Model'!G485</f>
        <v>0</v>
      </c>
    </row>
    <row r="486" spans="1:50">
      <c r="A486" s="134"/>
      <c r="B486" s="106"/>
      <c r="C486" s="106" t="s">
        <v>24</v>
      </c>
      <c r="D486" s="106"/>
      <c r="E486" s="742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>
        <f>SUM(F486:AT486)</f>
        <v>0</v>
      </c>
      <c r="AV486" s="116"/>
      <c r="AW486" s="133">
        <f>SUM(AU486:AU486)</f>
        <v>0</v>
      </c>
      <c r="AX486" s="133">
        <f>+AW486-'ROR-Model'!G486</f>
        <v>0</v>
      </c>
    </row>
    <row r="487" spans="1:50">
      <c r="A487" s="134"/>
      <c r="B487" s="106"/>
      <c r="C487" s="106" t="s">
        <v>170</v>
      </c>
      <c r="D487" s="106"/>
      <c r="E487" s="742"/>
      <c r="F487" s="131">
        <f>SUM(F485:F486)</f>
        <v>0</v>
      </c>
      <c r="G487" s="131"/>
      <c r="H487" s="131">
        <f>H1*SUM(H485:H486)</f>
        <v>0</v>
      </c>
      <c r="I487" s="131">
        <f>SUM(I485:I486)</f>
        <v>0</v>
      </c>
      <c r="J487" s="131">
        <f t="shared" ref="J487:P487" si="576">SUM(J485:J486)</f>
        <v>0</v>
      </c>
      <c r="K487" s="131">
        <f t="shared" si="576"/>
        <v>0</v>
      </c>
      <c r="L487" s="131">
        <f t="shared" si="576"/>
        <v>0</v>
      </c>
      <c r="M487" s="131">
        <f t="shared" si="576"/>
        <v>0</v>
      </c>
      <c r="N487" s="131">
        <f t="shared" si="576"/>
        <v>0</v>
      </c>
      <c r="O487" s="131">
        <f t="shared" si="576"/>
        <v>0</v>
      </c>
      <c r="P487" s="131">
        <f t="shared" si="576"/>
        <v>0</v>
      </c>
      <c r="Q487" s="241">
        <f>SUM(Q485:Q486)</f>
        <v>0</v>
      </c>
      <c r="R487" s="241">
        <f>SUM(R485:R486)</f>
        <v>0</v>
      </c>
      <c r="S487" s="556"/>
      <c r="T487" s="556">
        <f t="shared" ref="T487:AG487" si="577">SUM(T485:T486)</f>
        <v>0</v>
      </c>
      <c r="U487" s="556">
        <f t="shared" si="577"/>
        <v>0</v>
      </c>
      <c r="V487" s="556">
        <f t="shared" si="577"/>
        <v>0</v>
      </c>
      <c r="W487" s="556">
        <f t="shared" si="577"/>
        <v>0</v>
      </c>
      <c r="X487" s="556">
        <f t="shared" si="577"/>
        <v>0</v>
      </c>
      <c r="Y487" s="556">
        <f t="shared" si="577"/>
        <v>0</v>
      </c>
      <c r="Z487" s="556">
        <f t="shared" si="577"/>
        <v>0</v>
      </c>
      <c r="AA487" s="556">
        <f t="shared" si="577"/>
        <v>0</v>
      </c>
      <c r="AB487" s="556">
        <f t="shared" si="577"/>
        <v>0</v>
      </c>
      <c r="AC487" s="556">
        <f t="shared" si="577"/>
        <v>0</v>
      </c>
      <c r="AD487" s="556">
        <f t="shared" si="577"/>
        <v>0</v>
      </c>
      <c r="AE487" s="556">
        <f t="shared" si="577"/>
        <v>0</v>
      </c>
      <c r="AF487" s="556">
        <f t="shared" si="577"/>
        <v>0</v>
      </c>
      <c r="AG487" s="556">
        <f t="shared" si="577"/>
        <v>0</v>
      </c>
      <c r="AH487" s="556">
        <f t="shared" ref="AH487:AK487" si="578">SUM(AH485:AH486)</f>
        <v>0</v>
      </c>
      <c r="AI487" s="556">
        <f t="shared" si="578"/>
        <v>0</v>
      </c>
      <c r="AJ487" s="556">
        <f t="shared" si="578"/>
        <v>0</v>
      </c>
      <c r="AK487" s="556">
        <f t="shared" si="578"/>
        <v>0</v>
      </c>
      <c r="AL487" s="556">
        <f t="shared" ref="AL487:AP487" si="579">SUM(AL485:AL486)</f>
        <v>0</v>
      </c>
      <c r="AM487" s="556">
        <f t="shared" si="579"/>
        <v>0</v>
      </c>
      <c r="AN487" s="556">
        <f t="shared" si="579"/>
        <v>0</v>
      </c>
      <c r="AO487" s="556">
        <f t="shared" si="579"/>
        <v>0</v>
      </c>
      <c r="AP487" s="556">
        <f t="shared" si="579"/>
        <v>0</v>
      </c>
      <c r="AQ487" s="556">
        <f t="shared" ref="AQ487:AS487" si="580">SUM(AQ485:AQ486)</f>
        <v>0</v>
      </c>
      <c r="AR487" s="556">
        <f t="shared" si="580"/>
        <v>0</v>
      </c>
      <c r="AS487" s="556">
        <f t="shared" si="580"/>
        <v>0</v>
      </c>
      <c r="AT487" s="556"/>
      <c r="AU487" s="241">
        <f>SUM(AU485:AU486)</f>
        <v>0</v>
      </c>
      <c r="AV487" s="131"/>
      <c r="AW487" s="241">
        <f>SUM(AW485:AW486)</f>
        <v>0</v>
      </c>
      <c r="AX487" s="241">
        <f>+AW487-'ROR-Model'!G487</f>
        <v>0</v>
      </c>
    </row>
    <row r="488" spans="1:50">
      <c r="A488" s="134"/>
      <c r="B488" s="106"/>
      <c r="C488" s="106"/>
      <c r="D488" s="106"/>
      <c r="E488" s="742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16"/>
      <c r="AW488" s="133"/>
      <c r="AX488" s="133">
        <f>+AW488-'ROR-Model'!G488</f>
        <v>0</v>
      </c>
    </row>
    <row r="489" spans="1:50">
      <c r="A489" s="134">
        <v>4952</v>
      </c>
      <c r="B489" s="106" t="s">
        <v>336</v>
      </c>
      <c r="C489" s="106"/>
      <c r="D489" s="106"/>
      <c r="E489" s="742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16"/>
      <c r="AW489" s="133"/>
      <c r="AX489" s="133">
        <f>+AW489-'ROR-Model'!G489</f>
        <v>0</v>
      </c>
    </row>
    <row r="490" spans="1:50">
      <c r="A490" s="134"/>
      <c r="B490" s="106"/>
      <c r="C490" s="106" t="s">
        <v>14</v>
      </c>
      <c r="D490" s="106"/>
      <c r="E490" s="742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33"/>
      <c r="R490" s="133"/>
      <c r="S490" s="133"/>
      <c r="T490" s="133">
        <f>'Optional Adjustment 2'!G490*$T$1</f>
        <v>0</v>
      </c>
      <c r="U490" s="133">
        <f>'Optional Adjustment 3'!G490*$U$1</f>
        <v>0</v>
      </c>
      <c r="V490" s="133">
        <f>'Optional Adjustment 4'!G490*$V$1</f>
        <v>0</v>
      </c>
      <c r="W490" s="133">
        <f>'Optional Adjustment 5'!G490*$W$1</f>
        <v>0</v>
      </c>
      <c r="X490" s="133">
        <f>'Optional Adjustment 6'!G490*$X$1</f>
        <v>0</v>
      </c>
      <c r="Y490" s="133">
        <f>'Optional Adjustment 7'!G490*$Y$1</f>
        <v>0</v>
      </c>
      <c r="Z490" s="133">
        <f>'Optional Adjustment 8'!G490*$Z$1</f>
        <v>0</v>
      </c>
      <c r="AA490" s="133">
        <f>'Optional Adjustment 9'!G490*$AA$1</f>
        <v>0</v>
      </c>
      <c r="AB490" s="133">
        <f>'Optional Adjustment 10'!G490*$AB$1</f>
        <v>0</v>
      </c>
      <c r="AC490" s="133">
        <f>'Optional Adjustment 11'!G490*$AC$1</f>
        <v>0</v>
      </c>
      <c r="AD490" s="133">
        <f>'Optional Adjustment 12'!G490*$AD$1</f>
        <v>0</v>
      </c>
      <c r="AE490" s="133">
        <f>'Optional Adjustment 13'!G490*$AE$1</f>
        <v>0</v>
      </c>
      <c r="AF490" s="133">
        <f>'Optional Adjustment 14'!G490*$AF$1</f>
        <v>0</v>
      </c>
      <c r="AG490" s="133">
        <f>'Optional Adjustment 15'!G490*$AG$1</f>
        <v>0</v>
      </c>
      <c r="AH490" s="133">
        <f>'Optional Adjustment 16'!G490*$AH$1</f>
        <v>0</v>
      </c>
      <c r="AI490" s="133">
        <f>'Optional Adjustment 17'!G490*$AI$1</f>
        <v>0</v>
      </c>
      <c r="AJ490" s="133">
        <f>'Optional Adjustment 18'!G490*$AJ$1</f>
        <v>0</v>
      </c>
      <c r="AK490" s="133">
        <f>'Optional Adjustment 19'!G490*$AK$1</f>
        <v>0</v>
      </c>
      <c r="AL490" s="133">
        <f>'Optional Adjustment 20'!G490*$AL$1</f>
        <v>0</v>
      </c>
      <c r="AM490" s="133">
        <f>'Optional Adjustment 21'!G490*$AM$1</f>
        <v>0</v>
      </c>
      <c r="AN490" s="133">
        <f>'Optional Adjustment 22'!G490*$AN$1</f>
        <v>0</v>
      </c>
      <c r="AO490" s="133">
        <f>'Optional Adjustment 23'!G490*$AO$1</f>
        <v>0</v>
      </c>
      <c r="AP490" s="133">
        <f>'Optional Adjustment 24'!G490*$AP$1</f>
        <v>0</v>
      </c>
      <c r="AQ490" s="133">
        <f>'Optional Adjustment 25'!G490*$AQ$1</f>
        <v>0</v>
      </c>
      <c r="AR490" s="133">
        <f>'Optional Adjustment 26'!G490*$AR$1</f>
        <v>0</v>
      </c>
      <c r="AS490" s="133">
        <f>'Optional Adjustment 27'!G490*$AS$1</f>
        <v>0</v>
      </c>
      <c r="AT490" s="133"/>
      <c r="AU490" s="133">
        <f>SUM(F490:AT490)</f>
        <v>0</v>
      </c>
      <c r="AV490" s="116"/>
      <c r="AW490" s="133">
        <f>SUM(AU490:AU490)</f>
        <v>0</v>
      </c>
      <c r="AX490" s="133">
        <f>+AW490-'ROR-Model'!G490</f>
        <v>0</v>
      </c>
    </row>
    <row r="491" spans="1:50">
      <c r="A491" s="134"/>
      <c r="B491" s="106"/>
      <c r="C491" s="106" t="s">
        <v>24</v>
      </c>
      <c r="D491" s="106"/>
      <c r="E491" s="742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33"/>
      <c r="R491" s="133"/>
      <c r="S491" s="133"/>
      <c r="T491" s="133">
        <f>'Optional Adjustment 2'!G491*$T$1</f>
        <v>0</v>
      </c>
      <c r="U491" s="133">
        <f>'Optional Adjustment 3'!G491*$U$1</f>
        <v>0</v>
      </c>
      <c r="V491" s="133">
        <f>'Optional Adjustment 4'!G491*$V$1</f>
        <v>0</v>
      </c>
      <c r="W491" s="133">
        <f>'Optional Adjustment 5'!G491*$W$1</f>
        <v>0</v>
      </c>
      <c r="X491" s="133">
        <f>'Optional Adjustment 6'!G491*$X$1</f>
        <v>0</v>
      </c>
      <c r="Y491" s="133">
        <f>'Optional Adjustment 7'!G491*$Y$1</f>
        <v>0</v>
      </c>
      <c r="Z491" s="133">
        <f>'Optional Adjustment 8'!G491*$Z$1</f>
        <v>0</v>
      </c>
      <c r="AA491" s="133">
        <f>'Optional Adjustment 9'!G491*$AA$1</f>
        <v>0</v>
      </c>
      <c r="AB491" s="133">
        <f>'Optional Adjustment 10'!G491*$AB$1</f>
        <v>0</v>
      </c>
      <c r="AC491" s="133">
        <f>'Optional Adjustment 11'!G491*$AC$1</f>
        <v>0</v>
      </c>
      <c r="AD491" s="133">
        <f>'Optional Adjustment 12'!G491*$AD$1</f>
        <v>0</v>
      </c>
      <c r="AE491" s="133">
        <f>'Optional Adjustment 13'!G491*$AE$1</f>
        <v>0</v>
      </c>
      <c r="AF491" s="133">
        <f>'Optional Adjustment 14'!G491*$AF$1</f>
        <v>0</v>
      </c>
      <c r="AG491" s="133">
        <f>'Optional Adjustment 15'!G491*$AG$1</f>
        <v>0</v>
      </c>
      <c r="AH491" s="133">
        <f>'Optional Adjustment 16'!G491*$AH$1</f>
        <v>0</v>
      </c>
      <c r="AI491" s="133">
        <f>'Optional Adjustment 17'!G491*$AI$1</f>
        <v>0</v>
      </c>
      <c r="AJ491" s="133">
        <f>'Optional Adjustment 18'!G491*$AJ$1</f>
        <v>0</v>
      </c>
      <c r="AK491" s="133">
        <f>'Optional Adjustment 19'!G491*$AK$1</f>
        <v>0</v>
      </c>
      <c r="AL491" s="133">
        <f>'Optional Adjustment 20'!G491*$AL$1</f>
        <v>0</v>
      </c>
      <c r="AM491" s="133">
        <f>'Optional Adjustment 21'!G491*$AM$1</f>
        <v>0</v>
      </c>
      <c r="AN491" s="133">
        <f>'Optional Adjustment 22'!G491*$AN$1</f>
        <v>0</v>
      </c>
      <c r="AO491" s="133">
        <f>'Optional Adjustment 23'!G491*$AO$1</f>
        <v>0</v>
      </c>
      <c r="AP491" s="133">
        <f>'Optional Adjustment 24'!G491*$AP$1</f>
        <v>0</v>
      </c>
      <c r="AQ491" s="133">
        <f>'Optional Adjustment 25'!G491*$AQ$1</f>
        <v>0</v>
      </c>
      <c r="AR491" s="133">
        <f>'Optional Adjustment 26'!G491*$AR$1</f>
        <v>0</v>
      </c>
      <c r="AS491" s="133">
        <f>'Optional Adjustment 27'!G491*$AS$1</f>
        <v>0</v>
      </c>
      <c r="AT491" s="133"/>
      <c r="AU491" s="133">
        <f>SUM(F491:AT491)</f>
        <v>0</v>
      </c>
      <c r="AV491" s="116"/>
      <c r="AW491" s="133">
        <f>SUM(AU491:AU491)</f>
        <v>0</v>
      </c>
      <c r="AX491" s="133">
        <f>+AW491-'ROR-Model'!G491</f>
        <v>0</v>
      </c>
    </row>
    <row r="492" spans="1:50">
      <c r="A492" s="134"/>
      <c r="B492" s="106"/>
      <c r="C492" s="106" t="s">
        <v>170</v>
      </c>
      <c r="D492" s="106"/>
      <c r="E492" s="742"/>
      <c r="F492" s="131">
        <f>SUM(F490:F491)</f>
        <v>0</v>
      </c>
      <c r="G492" s="131"/>
      <c r="H492" s="131">
        <f>H1*SUM(H490:H491)</f>
        <v>0</v>
      </c>
      <c r="I492" s="131">
        <f>SUM(I490:I491)</f>
        <v>0</v>
      </c>
      <c r="J492" s="131">
        <f t="shared" ref="J492:P492" si="581">SUM(J490:J491)</f>
        <v>0</v>
      </c>
      <c r="K492" s="131">
        <f t="shared" si="581"/>
        <v>0</v>
      </c>
      <c r="L492" s="131">
        <f t="shared" si="581"/>
        <v>0</v>
      </c>
      <c r="M492" s="131">
        <f t="shared" si="581"/>
        <v>0</v>
      </c>
      <c r="N492" s="131">
        <f t="shared" si="581"/>
        <v>0</v>
      </c>
      <c r="O492" s="131">
        <f t="shared" si="581"/>
        <v>0</v>
      </c>
      <c r="P492" s="131">
        <f t="shared" si="581"/>
        <v>0</v>
      </c>
      <c r="Q492" s="241">
        <f>SUM(Q490:Q491)</f>
        <v>0</v>
      </c>
      <c r="R492" s="241">
        <f>SUM(R490:R491)</f>
        <v>0</v>
      </c>
      <c r="S492" s="556"/>
      <c r="T492" s="556">
        <f t="shared" ref="T492:AG492" si="582">SUM(T490:T491)</f>
        <v>0</v>
      </c>
      <c r="U492" s="556">
        <f t="shared" si="582"/>
        <v>0</v>
      </c>
      <c r="V492" s="556">
        <f t="shared" si="582"/>
        <v>0</v>
      </c>
      <c r="W492" s="556">
        <f t="shared" si="582"/>
        <v>0</v>
      </c>
      <c r="X492" s="556">
        <f t="shared" si="582"/>
        <v>0</v>
      </c>
      <c r="Y492" s="556">
        <f t="shared" si="582"/>
        <v>0</v>
      </c>
      <c r="Z492" s="556">
        <f t="shared" si="582"/>
        <v>0</v>
      </c>
      <c r="AA492" s="556">
        <f t="shared" si="582"/>
        <v>0</v>
      </c>
      <c r="AB492" s="556">
        <f t="shared" si="582"/>
        <v>0</v>
      </c>
      <c r="AC492" s="556">
        <f t="shared" si="582"/>
        <v>0</v>
      </c>
      <c r="AD492" s="556">
        <f t="shared" si="582"/>
        <v>0</v>
      </c>
      <c r="AE492" s="556">
        <f t="shared" si="582"/>
        <v>0</v>
      </c>
      <c r="AF492" s="556">
        <f t="shared" si="582"/>
        <v>0</v>
      </c>
      <c r="AG492" s="556">
        <f t="shared" si="582"/>
        <v>0</v>
      </c>
      <c r="AH492" s="556">
        <f t="shared" ref="AH492:AK492" si="583">SUM(AH490:AH491)</f>
        <v>0</v>
      </c>
      <c r="AI492" s="556">
        <f t="shared" si="583"/>
        <v>0</v>
      </c>
      <c r="AJ492" s="556">
        <f t="shared" si="583"/>
        <v>0</v>
      </c>
      <c r="AK492" s="556">
        <f t="shared" si="583"/>
        <v>0</v>
      </c>
      <c r="AL492" s="556">
        <f t="shared" ref="AL492:AP492" si="584">SUM(AL490:AL491)</f>
        <v>0</v>
      </c>
      <c r="AM492" s="556">
        <f t="shared" si="584"/>
        <v>0</v>
      </c>
      <c r="AN492" s="556">
        <f t="shared" si="584"/>
        <v>0</v>
      </c>
      <c r="AO492" s="556">
        <f t="shared" si="584"/>
        <v>0</v>
      </c>
      <c r="AP492" s="556">
        <f t="shared" si="584"/>
        <v>0</v>
      </c>
      <c r="AQ492" s="556">
        <f t="shared" ref="AQ492:AS492" si="585">SUM(AQ490:AQ491)</f>
        <v>0</v>
      </c>
      <c r="AR492" s="556">
        <f t="shared" si="585"/>
        <v>0</v>
      </c>
      <c r="AS492" s="556">
        <f t="shared" si="585"/>
        <v>0</v>
      </c>
      <c r="AT492" s="556"/>
      <c r="AU492" s="241">
        <f>SUM(AU490:AU491)</f>
        <v>0</v>
      </c>
      <c r="AV492" s="131"/>
      <c r="AW492" s="241">
        <f>SUM(AW490:AW491)</f>
        <v>0</v>
      </c>
      <c r="AX492" s="241">
        <f>+AW492-'ROR-Model'!G492</f>
        <v>0</v>
      </c>
    </row>
    <row r="493" spans="1:50">
      <c r="A493" s="134"/>
      <c r="B493" s="106"/>
      <c r="C493" s="106"/>
      <c r="D493" s="106"/>
      <c r="E493" s="742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16"/>
      <c r="AW493" s="133"/>
      <c r="AX493" s="133">
        <f>+AW493-'ROR-Model'!G493</f>
        <v>0</v>
      </c>
    </row>
    <row r="494" spans="1:50">
      <c r="A494" s="134">
        <v>4974</v>
      </c>
      <c r="B494" s="106" t="s">
        <v>340</v>
      </c>
      <c r="C494" s="106"/>
      <c r="D494" s="106"/>
      <c r="E494" s="742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16"/>
      <c r="AW494" s="133"/>
      <c r="AX494" s="133">
        <f>+AW494-'ROR-Model'!G494</f>
        <v>0</v>
      </c>
    </row>
    <row r="495" spans="1:50">
      <c r="A495" s="330"/>
      <c r="B495" s="106"/>
      <c r="C495" s="106" t="s">
        <v>14</v>
      </c>
      <c r="D495" s="106"/>
      <c r="E495" s="742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33"/>
      <c r="R495" s="133"/>
      <c r="S495" s="133"/>
      <c r="T495" s="133">
        <f>'Optional Adjustment 2'!G495*$T$1</f>
        <v>0</v>
      </c>
      <c r="U495" s="133">
        <f>'Optional Adjustment 3'!G495*$U$1</f>
        <v>0</v>
      </c>
      <c r="V495" s="133">
        <f>'Optional Adjustment 4'!G495*$V$1</f>
        <v>0</v>
      </c>
      <c r="W495" s="133">
        <f>'Optional Adjustment 5'!G495*$W$1</f>
        <v>0</v>
      </c>
      <c r="X495" s="133">
        <f>'Optional Adjustment 6'!G495*$X$1</f>
        <v>0</v>
      </c>
      <c r="Y495" s="133">
        <f>'Optional Adjustment 7'!G495*$Y$1</f>
        <v>0</v>
      </c>
      <c r="Z495" s="133">
        <f>'Optional Adjustment 8'!G495*$Z$1</f>
        <v>0</v>
      </c>
      <c r="AA495" s="133">
        <f>'Optional Adjustment 9'!G495*$AA$1</f>
        <v>0</v>
      </c>
      <c r="AB495" s="133">
        <f>'Optional Adjustment 10'!G495*$AB$1</f>
        <v>0</v>
      </c>
      <c r="AC495" s="133">
        <f>'Optional Adjustment 11'!G495*$AC$1</f>
        <v>0</v>
      </c>
      <c r="AD495" s="133">
        <f>'Optional Adjustment 12'!G495*$AD$1</f>
        <v>0</v>
      </c>
      <c r="AE495" s="133">
        <f>'Optional Adjustment 13'!G495*$AE$1</f>
        <v>0</v>
      </c>
      <c r="AF495" s="133">
        <f>'Optional Adjustment 14'!G495*$AF$1</f>
        <v>0</v>
      </c>
      <c r="AG495" s="133">
        <f>'Optional Adjustment 15'!G495*$AG$1</f>
        <v>0</v>
      </c>
      <c r="AH495" s="133">
        <f>'Optional Adjustment 16'!G495*$AH$1</f>
        <v>0</v>
      </c>
      <c r="AI495" s="133">
        <f>'Optional Adjustment 17'!G495*$AI$1</f>
        <v>0</v>
      </c>
      <c r="AJ495" s="133">
        <f>'Optional Adjustment 18'!G495*$AJ$1</f>
        <v>0</v>
      </c>
      <c r="AK495" s="133">
        <f>'Optional Adjustment 19'!G495*$AK$1</f>
        <v>0</v>
      </c>
      <c r="AL495" s="133">
        <f>'Optional Adjustment 20'!G495*$AL$1</f>
        <v>0</v>
      </c>
      <c r="AM495" s="133">
        <f>'Optional Adjustment 21'!G495*$AM$1</f>
        <v>0</v>
      </c>
      <c r="AN495" s="133">
        <f>'Optional Adjustment 22'!G495*$AN$1</f>
        <v>0</v>
      </c>
      <c r="AO495" s="133">
        <f>'Optional Adjustment 23'!G495*$AO$1</f>
        <v>0</v>
      </c>
      <c r="AP495" s="133">
        <f>'Optional Adjustment 24'!G495*$AP$1</f>
        <v>0</v>
      </c>
      <c r="AQ495" s="133">
        <f>'Optional Adjustment 25'!G495*$AQ$1</f>
        <v>0</v>
      </c>
      <c r="AR495" s="133">
        <f>'Optional Adjustment 26'!G495*$AR$1</f>
        <v>0</v>
      </c>
      <c r="AS495" s="133">
        <f>'Optional Adjustment 27'!G495*$AS$1</f>
        <v>0</v>
      </c>
      <c r="AT495" s="133"/>
      <c r="AU495" s="133">
        <f>SUM(F495:AT495)</f>
        <v>0</v>
      </c>
      <c r="AV495" s="116"/>
      <c r="AW495" s="133">
        <f>SUM(AU495:AU495)</f>
        <v>0</v>
      </c>
      <c r="AX495" s="133">
        <f>+AW495-'ROR-Model'!G495</f>
        <v>0</v>
      </c>
    </row>
    <row r="496" spans="1:50">
      <c r="A496" s="330"/>
      <c r="B496" s="106"/>
      <c r="C496" s="106" t="s">
        <v>24</v>
      </c>
      <c r="D496" s="106"/>
      <c r="E496" s="742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33"/>
      <c r="R496" s="133"/>
      <c r="S496" s="133"/>
      <c r="T496" s="133">
        <f>'Optional Adjustment 2'!G496*$T$1</f>
        <v>0</v>
      </c>
      <c r="U496" s="133">
        <f>'Optional Adjustment 3'!G496*$U$1</f>
        <v>0</v>
      </c>
      <c r="V496" s="133">
        <f>'Optional Adjustment 4'!G496*$V$1</f>
        <v>0</v>
      </c>
      <c r="W496" s="133">
        <f>'Optional Adjustment 5'!G496*$W$1</f>
        <v>0</v>
      </c>
      <c r="X496" s="133">
        <f>'Optional Adjustment 6'!G496*$X$1</f>
        <v>0</v>
      </c>
      <c r="Y496" s="133">
        <f>'Optional Adjustment 7'!G496*$Y$1</f>
        <v>0</v>
      </c>
      <c r="Z496" s="133">
        <f>'Optional Adjustment 8'!G496*$Z$1</f>
        <v>0</v>
      </c>
      <c r="AA496" s="133">
        <f>'Optional Adjustment 9'!G496*$AA$1</f>
        <v>0</v>
      </c>
      <c r="AB496" s="133">
        <f>'Optional Adjustment 10'!G496*$AB$1</f>
        <v>0</v>
      </c>
      <c r="AC496" s="133">
        <f>'Optional Adjustment 11'!G496*$AC$1</f>
        <v>0</v>
      </c>
      <c r="AD496" s="133">
        <f>'Optional Adjustment 12'!G496*$AD$1</f>
        <v>0</v>
      </c>
      <c r="AE496" s="133">
        <f>'Optional Adjustment 13'!G496*$AE$1</f>
        <v>0</v>
      </c>
      <c r="AF496" s="133">
        <f>'Optional Adjustment 14'!G496*$AF$1</f>
        <v>0</v>
      </c>
      <c r="AG496" s="133">
        <f>'Optional Adjustment 15'!G496*$AG$1</f>
        <v>0</v>
      </c>
      <c r="AH496" s="133">
        <f>'Optional Adjustment 16'!G496*$AH$1</f>
        <v>0</v>
      </c>
      <c r="AI496" s="133">
        <f>'Optional Adjustment 17'!G496*$AI$1</f>
        <v>0</v>
      </c>
      <c r="AJ496" s="133">
        <f>'Optional Adjustment 18'!G496*$AJ$1</f>
        <v>0</v>
      </c>
      <c r="AK496" s="133">
        <f>'Optional Adjustment 19'!G496*$AK$1</f>
        <v>0</v>
      </c>
      <c r="AL496" s="133">
        <f>'Optional Adjustment 20'!G496*$AL$1</f>
        <v>0</v>
      </c>
      <c r="AM496" s="133">
        <f>'Optional Adjustment 21'!G496*$AM$1</f>
        <v>0</v>
      </c>
      <c r="AN496" s="133">
        <f>'Optional Adjustment 22'!G496*$AN$1</f>
        <v>0</v>
      </c>
      <c r="AO496" s="133">
        <f>'Optional Adjustment 23'!G496*$AO$1</f>
        <v>0</v>
      </c>
      <c r="AP496" s="133">
        <f>'Optional Adjustment 24'!G496*$AP$1</f>
        <v>0</v>
      </c>
      <c r="AQ496" s="133">
        <f>'Optional Adjustment 25'!G496*$AQ$1</f>
        <v>0</v>
      </c>
      <c r="AR496" s="133">
        <f>'Optional Adjustment 26'!G496*$AR$1</f>
        <v>0</v>
      </c>
      <c r="AS496" s="133">
        <f>'Optional Adjustment 27'!G496*$AS$1</f>
        <v>0</v>
      </c>
      <c r="AT496" s="133"/>
      <c r="AU496" s="133">
        <f>SUM(F496:AT496)</f>
        <v>0</v>
      </c>
      <c r="AV496" s="116"/>
      <c r="AW496" s="133">
        <f>SUM(AU496:AU496)</f>
        <v>0</v>
      </c>
      <c r="AX496" s="133">
        <f>+AW496-'ROR-Model'!G496</f>
        <v>0</v>
      </c>
    </row>
    <row r="497" spans="1:50">
      <c r="A497" s="330"/>
      <c r="B497" s="106"/>
      <c r="C497" s="106" t="s">
        <v>170</v>
      </c>
      <c r="D497" s="106"/>
      <c r="E497" s="331"/>
      <c r="F497" s="131">
        <f>SUM(F495:F496)</f>
        <v>0</v>
      </c>
      <c r="G497" s="131"/>
      <c r="H497" s="131">
        <f>H1*SUM(H495:H496)</f>
        <v>0</v>
      </c>
      <c r="I497" s="131">
        <f>SUM(I495:I496)</f>
        <v>0</v>
      </c>
      <c r="J497" s="131">
        <f t="shared" ref="J497:P497" si="586">SUM(J495:J496)</f>
        <v>0</v>
      </c>
      <c r="K497" s="131">
        <f t="shared" si="586"/>
        <v>0</v>
      </c>
      <c r="L497" s="131">
        <f t="shared" si="586"/>
        <v>0</v>
      </c>
      <c r="M497" s="131">
        <f t="shared" si="586"/>
        <v>0</v>
      </c>
      <c r="N497" s="131">
        <f t="shared" si="586"/>
        <v>0</v>
      </c>
      <c r="O497" s="131">
        <f t="shared" si="586"/>
        <v>0</v>
      </c>
      <c r="P497" s="131">
        <f t="shared" si="586"/>
        <v>0</v>
      </c>
      <c r="Q497" s="241">
        <f>SUM(Q495:Q496)</f>
        <v>0</v>
      </c>
      <c r="R497" s="241">
        <f>SUM(R495:R496)</f>
        <v>0</v>
      </c>
      <c r="S497" s="556"/>
      <c r="T497" s="556">
        <f t="shared" ref="T497:AG497" si="587">SUM(T495:T496)</f>
        <v>0</v>
      </c>
      <c r="U497" s="556">
        <f t="shared" si="587"/>
        <v>0</v>
      </c>
      <c r="V497" s="556">
        <f t="shared" si="587"/>
        <v>0</v>
      </c>
      <c r="W497" s="556">
        <f t="shared" si="587"/>
        <v>0</v>
      </c>
      <c r="X497" s="556">
        <f t="shared" si="587"/>
        <v>0</v>
      </c>
      <c r="Y497" s="556">
        <f t="shared" si="587"/>
        <v>0</v>
      </c>
      <c r="Z497" s="556">
        <f t="shared" si="587"/>
        <v>0</v>
      </c>
      <c r="AA497" s="556">
        <f t="shared" si="587"/>
        <v>0</v>
      </c>
      <c r="AB497" s="556">
        <f t="shared" si="587"/>
        <v>0</v>
      </c>
      <c r="AC497" s="556">
        <f t="shared" si="587"/>
        <v>0</v>
      </c>
      <c r="AD497" s="556">
        <f t="shared" si="587"/>
        <v>0</v>
      </c>
      <c r="AE497" s="556">
        <f t="shared" si="587"/>
        <v>0</v>
      </c>
      <c r="AF497" s="556">
        <f t="shared" si="587"/>
        <v>0</v>
      </c>
      <c r="AG497" s="556">
        <f t="shared" si="587"/>
        <v>0</v>
      </c>
      <c r="AH497" s="556">
        <f t="shared" ref="AH497:AK497" si="588">SUM(AH495:AH496)</f>
        <v>0</v>
      </c>
      <c r="AI497" s="556">
        <f t="shared" si="588"/>
        <v>0</v>
      </c>
      <c r="AJ497" s="556">
        <f t="shared" si="588"/>
        <v>0</v>
      </c>
      <c r="AK497" s="556">
        <f t="shared" si="588"/>
        <v>0</v>
      </c>
      <c r="AL497" s="556">
        <f t="shared" ref="AL497:AP497" si="589">SUM(AL495:AL496)</f>
        <v>0</v>
      </c>
      <c r="AM497" s="556">
        <f t="shared" si="589"/>
        <v>0</v>
      </c>
      <c r="AN497" s="556">
        <f t="shared" si="589"/>
        <v>0</v>
      </c>
      <c r="AO497" s="556">
        <f t="shared" si="589"/>
        <v>0</v>
      </c>
      <c r="AP497" s="556">
        <f t="shared" si="589"/>
        <v>0</v>
      </c>
      <c r="AQ497" s="556">
        <f t="shared" ref="AQ497:AS497" si="590">SUM(AQ495:AQ496)</f>
        <v>0</v>
      </c>
      <c r="AR497" s="556">
        <f t="shared" si="590"/>
        <v>0</v>
      </c>
      <c r="AS497" s="556">
        <f t="shared" si="590"/>
        <v>0</v>
      </c>
      <c r="AT497" s="556"/>
      <c r="AU497" s="241">
        <f>SUM(AU495:AU496)</f>
        <v>0</v>
      </c>
      <c r="AV497" s="131"/>
      <c r="AW497" s="241">
        <f>SUM(AW495:AW496)</f>
        <v>0</v>
      </c>
      <c r="AX497" s="241">
        <f>+AW497-'ROR-Model'!G497</f>
        <v>0</v>
      </c>
    </row>
    <row r="498" spans="1:50" ht="13.5" thickBot="1">
      <c r="A498" s="330"/>
      <c r="B498" s="106"/>
      <c r="C498" s="106"/>
      <c r="D498" s="106"/>
      <c r="E498" s="331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  <c r="AA498" s="242"/>
      <c r="AB498" s="242"/>
      <c r="AC498" s="242"/>
      <c r="AD498" s="242"/>
      <c r="AE498" s="242"/>
      <c r="AF498" s="242"/>
      <c r="AG498" s="242"/>
      <c r="AH498" s="242"/>
      <c r="AI498" s="242"/>
      <c r="AJ498" s="242"/>
      <c r="AK498" s="242"/>
      <c r="AL498" s="242"/>
      <c r="AM498" s="242"/>
      <c r="AN498" s="242"/>
      <c r="AO498" s="242"/>
      <c r="AP498" s="242"/>
      <c r="AQ498" s="242"/>
      <c r="AR498" s="242"/>
      <c r="AS498" s="242"/>
      <c r="AT498" s="242"/>
      <c r="AU498" s="242"/>
      <c r="AV498" s="235"/>
      <c r="AW498" s="242"/>
      <c r="AX498" s="242">
        <f>+AW498-'ROR-Model'!G498</f>
        <v>0</v>
      </c>
    </row>
    <row r="499" spans="1:50" ht="13.5" thickTop="1">
      <c r="A499" s="59" t="s">
        <v>549</v>
      </c>
      <c r="B499" s="106"/>
      <c r="C499" s="106"/>
      <c r="D499" s="106"/>
      <c r="E499" s="331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16"/>
      <c r="AW499" s="133"/>
      <c r="AX499" s="133">
        <f>+AW499-'ROR-Model'!G499</f>
        <v>0</v>
      </c>
    </row>
    <row r="500" spans="1:50">
      <c r="A500" s="330"/>
      <c r="B500" s="33" t="s">
        <v>552</v>
      </c>
      <c r="C500" s="106"/>
      <c r="D500" s="106"/>
      <c r="E500" s="331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16"/>
      <c r="AW500" s="133"/>
      <c r="AX500" s="133">
        <f>+AW500-'ROR-Model'!G500</f>
        <v>0</v>
      </c>
    </row>
    <row r="501" spans="1:50">
      <c r="A501" s="330"/>
      <c r="B501" s="35"/>
      <c r="C501" s="116" t="s">
        <v>553</v>
      </c>
      <c r="D501" s="106"/>
      <c r="E501" s="331"/>
      <c r="F501" s="133">
        <f>F380+F460+F465+F470+F475+F480+F485+F490</f>
        <v>0</v>
      </c>
      <c r="G501" s="133"/>
      <c r="H501" s="133">
        <f>H1*H380+H460+H465+H470+H475+H480+H485+H490</f>
        <v>0</v>
      </c>
      <c r="I501" s="133">
        <f>I380+I460+I465+I470+I475+I480+I485+I490</f>
        <v>0</v>
      </c>
      <c r="J501" s="133">
        <f t="shared" ref="J501:Q501" si="591">J380+J460+J465+J470+J475+J480+J485+J490</f>
        <v>0</v>
      </c>
      <c r="K501" s="133">
        <f t="shared" si="591"/>
        <v>0</v>
      </c>
      <c r="L501" s="133">
        <f t="shared" si="591"/>
        <v>0</v>
      </c>
      <c r="M501" s="133">
        <f t="shared" si="591"/>
        <v>0</v>
      </c>
      <c r="N501" s="133">
        <f t="shared" si="591"/>
        <v>0</v>
      </c>
      <c r="O501" s="133">
        <f t="shared" si="591"/>
        <v>0</v>
      </c>
      <c r="P501" s="133">
        <f t="shared" si="591"/>
        <v>0</v>
      </c>
      <c r="Q501" s="133">
        <f t="shared" si="591"/>
        <v>0</v>
      </c>
      <c r="R501" s="133">
        <f t="shared" ref="R501" si="592">R380+R460+R465+R470+R475+R480+R485+R490</f>
        <v>0</v>
      </c>
      <c r="S501" s="133"/>
      <c r="T501" s="133">
        <f t="shared" ref="T501:AG501" si="593">T380+T460+T465+T470+T475+T480+T485+T490</f>
        <v>0</v>
      </c>
      <c r="U501" s="133">
        <f t="shared" si="593"/>
        <v>0</v>
      </c>
      <c r="V501" s="133">
        <f t="shared" si="593"/>
        <v>0</v>
      </c>
      <c r="W501" s="133">
        <f t="shared" si="593"/>
        <v>0</v>
      </c>
      <c r="X501" s="133">
        <f t="shared" si="593"/>
        <v>0</v>
      </c>
      <c r="Y501" s="133">
        <f t="shared" si="593"/>
        <v>0</v>
      </c>
      <c r="Z501" s="133">
        <f t="shared" si="593"/>
        <v>0</v>
      </c>
      <c r="AA501" s="133">
        <f t="shared" si="593"/>
        <v>0</v>
      </c>
      <c r="AB501" s="133">
        <f t="shared" si="593"/>
        <v>0</v>
      </c>
      <c r="AC501" s="133">
        <f t="shared" si="593"/>
        <v>0</v>
      </c>
      <c r="AD501" s="133">
        <f t="shared" si="593"/>
        <v>0</v>
      </c>
      <c r="AE501" s="133">
        <f t="shared" si="593"/>
        <v>0</v>
      </c>
      <c r="AF501" s="133">
        <f t="shared" si="593"/>
        <v>0</v>
      </c>
      <c r="AG501" s="133">
        <f t="shared" si="593"/>
        <v>0</v>
      </c>
      <c r="AH501" s="133">
        <f t="shared" ref="AH501:AK501" si="594">AH380+AH460+AH465+AH470+AH475+AH480+AH485+AH490</f>
        <v>0</v>
      </c>
      <c r="AI501" s="133">
        <f t="shared" si="594"/>
        <v>0</v>
      </c>
      <c r="AJ501" s="133">
        <f t="shared" si="594"/>
        <v>0</v>
      </c>
      <c r="AK501" s="133">
        <f t="shared" si="594"/>
        <v>0</v>
      </c>
      <c r="AL501" s="133">
        <f t="shared" ref="AL501:AP501" si="595">AL380+AL460+AL465+AL470+AL475+AL480+AL485+AL490</f>
        <v>0</v>
      </c>
      <c r="AM501" s="133">
        <f t="shared" si="595"/>
        <v>0</v>
      </c>
      <c r="AN501" s="133">
        <f t="shared" si="595"/>
        <v>0</v>
      </c>
      <c r="AO501" s="133">
        <f t="shared" si="595"/>
        <v>0</v>
      </c>
      <c r="AP501" s="133">
        <f t="shared" si="595"/>
        <v>0</v>
      </c>
      <c r="AQ501" s="133">
        <f t="shared" ref="AQ501:AT501" si="596">AQ380+AQ460+AQ465+AQ470+AQ475+AQ480+AQ485+AQ490</f>
        <v>0</v>
      </c>
      <c r="AR501" s="133">
        <f t="shared" si="596"/>
        <v>0</v>
      </c>
      <c r="AS501" s="133">
        <f t="shared" si="596"/>
        <v>0</v>
      </c>
      <c r="AT501" s="133">
        <f t="shared" si="596"/>
        <v>0</v>
      </c>
      <c r="AU501" s="133">
        <f>AU380+AU460+AU465+AU470+AU475+AU480+AU485+AU490</f>
        <v>0</v>
      </c>
      <c r="AV501" s="133"/>
      <c r="AW501" s="133">
        <f>AW380+AW460+AW465+AW470+AW475+AW480+AW485+AW490</f>
        <v>0</v>
      </c>
      <c r="AX501" s="133">
        <f>+AW501-'ROR-Model'!G501</f>
        <v>0</v>
      </c>
    </row>
    <row r="502" spans="1:50">
      <c r="A502" s="330"/>
      <c r="B502" s="35"/>
      <c r="C502" s="116" t="s">
        <v>554</v>
      </c>
      <c r="D502" s="106"/>
      <c r="E502" s="331"/>
      <c r="F502" s="133">
        <f>F385+F390+F395+F400+F405+F410+F415+F420+F425+F430+F435+F440+F445+F450+F455+F495</f>
        <v>0</v>
      </c>
      <c r="G502" s="133"/>
      <c r="H502" s="133">
        <f>H1*H385+H390+H395+H400+H405+H410+H415+H420+H425+H430+H435+H440+H445+H450+H455+H495</f>
        <v>0</v>
      </c>
      <c r="I502" s="133">
        <f>I385+I390+I395+I400+I405+I410+I415+I420+I425+I430+I435+I440+I445+I450+I455+I495</f>
        <v>0</v>
      </c>
      <c r="J502" s="133">
        <f t="shared" ref="J502:Q502" si="597">J385+J390+J395+J400+J405+J410+J415+J420+J425+J430+J435+J440+J445+J450+J455+J495</f>
        <v>0</v>
      </c>
      <c r="K502" s="133">
        <f t="shared" si="597"/>
        <v>0</v>
      </c>
      <c r="L502" s="133">
        <f t="shared" si="597"/>
        <v>0</v>
      </c>
      <c r="M502" s="133">
        <f t="shared" si="597"/>
        <v>0</v>
      </c>
      <c r="N502" s="133">
        <f t="shared" si="597"/>
        <v>0</v>
      </c>
      <c r="O502" s="133">
        <f t="shared" si="597"/>
        <v>0</v>
      </c>
      <c r="P502" s="133">
        <f t="shared" si="597"/>
        <v>0</v>
      </c>
      <c r="Q502" s="133">
        <f t="shared" si="597"/>
        <v>0</v>
      </c>
      <c r="R502" s="133">
        <f t="shared" ref="R502" si="598">R385+R390+R395+R400+R405+R410+R415+R420+R425+R430+R435+R440+R445+R450+R455+R495</f>
        <v>0</v>
      </c>
      <c r="S502" s="133"/>
      <c r="T502" s="133">
        <f t="shared" ref="T502:AG502" si="599">T385+T390+T395+T400+T405+T410+T415+T420+T425+T430+T435+T440+T445+T450+T455+T495</f>
        <v>0</v>
      </c>
      <c r="U502" s="133">
        <f t="shared" si="599"/>
        <v>0</v>
      </c>
      <c r="V502" s="133">
        <f t="shared" si="599"/>
        <v>0</v>
      </c>
      <c r="W502" s="133">
        <f t="shared" si="599"/>
        <v>0</v>
      </c>
      <c r="X502" s="133">
        <f t="shared" si="599"/>
        <v>0</v>
      </c>
      <c r="Y502" s="133">
        <f t="shared" si="599"/>
        <v>0</v>
      </c>
      <c r="Z502" s="133">
        <f t="shared" si="599"/>
        <v>0</v>
      </c>
      <c r="AA502" s="133">
        <f t="shared" si="599"/>
        <v>0</v>
      </c>
      <c r="AB502" s="133">
        <f t="shared" si="599"/>
        <v>0</v>
      </c>
      <c r="AC502" s="133">
        <f t="shared" si="599"/>
        <v>0</v>
      </c>
      <c r="AD502" s="133">
        <f t="shared" si="599"/>
        <v>0</v>
      </c>
      <c r="AE502" s="133">
        <f t="shared" si="599"/>
        <v>0</v>
      </c>
      <c r="AF502" s="133">
        <f t="shared" si="599"/>
        <v>0</v>
      </c>
      <c r="AG502" s="133">
        <f t="shared" si="599"/>
        <v>0</v>
      </c>
      <c r="AH502" s="133">
        <f t="shared" ref="AH502:AK502" si="600">AH385+AH390+AH395+AH400+AH405+AH410+AH415+AH420+AH425+AH430+AH435+AH440+AH445+AH450+AH455+AH495</f>
        <v>0</v>
      </c>
      <c r="AI502" s="133">
        <f t="shared" si="600"/>
        <v>0</v>
      </c>
      <c r="AJ502" s="133">
        <f t="shared" si="600"/>
        <v>0</v>
      </c>
      <c r="AK502" s="133">
        <f t="shared" si="600"/>
        <v>0</v>
      </c>
      <c r="AL502" s="133">
        <f t="shared" ref="AL502:AP502" si="601">AL385+AL390+AL395+AL400+AL405+AL410+AL415+AL420+AL425+AL430+AL435+AL440+AL445+AL450+AL455+AL495</f>
        <v>0</v>
      </c>
      <c r="AM502" s="133">
        <f t="shared" si="601"/>
        <v>0</v>
      </c>
      <c r="AN502" s="133">
        <f t="shared" si="601"/>
        <v>0</v>
      </c>
      <c r="AO502" s="133">
        <f t="shared" si="601"/>
        <v>0</v>
      </c>
      <c r="AP502" s="133">
        <f t="shared" si="601"/>
        <v>0</v>
      </c>
      <c r="AQ502" s="133">
        <f t="shared" ref="AQ502:AT502" si="602">AQ385+AQ390+AQ395+AQ400+AQ405+AQ410+AQ415+AQ420+AQ425+AQ430+AQ435+AQ440+AQ445+AQ450+AQ455+AQ495</f>
        <v>0</v>
      </c>
      <c r="AR502" s="133">
        <f t="shared" si="602"/>
        <v>0</v>
      </c>
      <c r="AS502" s="133">
        <f t="shared" si="602"/>
        <v>0</v>
      </c>
      <c r="AT502" s="133">
        <f t="shared" si="602"/>
        <v>0</v>
      </c>
      <c r="AU502" s="133">
        <f>AU385+AU390+AU395+AU400+AU405+AU410+AU415+AU420+AU425+AU430+AU435+AU440+AU445+AU450+AU455+AU495</f>
        <v>0</v>
      </c>
      <c r="AV502" s="133"/>
      <c r="AW502" s="133">
        <f>AW385+AW390+AW395+AW400+AW405+AW410+AW415+AW420+AW425+AW430+AW435+AW440+AW445+AW450+AW455+AW495</f>
        <v>0</v>
      </c>
      <c r="AX502" s="133">
        <f>+AW502-'ROR-Model'!G502</f>
        <v>0</v>
      </c>
    </row>
    <row r="503" spans="1:50">
      <c r="A503" s="330"/>
      <c r="B503" s="35"/>
      <c r="C503" s="60" t="s">
        <v>555</v>
      </c>
      <c r="D503" s="106"/>
      <c r="E503" s="331"/>
      <c r="F503" s="133">
        <f>F380+F385+F390+F395+F400+F405+F410+F415+F420+F425+F430+F435+F440+F445+F450+F455+F460+F465+F470+F475+F480+F485+F490+F495</f>
        <v>0</v>
      </c>
      <c r="G503" s="133"/>
      <c r="H503" s="133">
        <f>H1*H380+H385+H390+H395+H400+H405+H410+H415+H420+H425+H430+H435+H440+H445+H450+H455+H460+H465+H470+H475+H480+H485+H490+H495</f>
        <v>0</v>
      </c>
      <c r="I503" s="133">
        <f>I380+I385+I390+I395+I400+I405+I410+I415+I420+I425+I430+I435+I440+I445+I450+I455+I460+I465+I470+I475+I480+I485+I490+I495</f>
        <v>0</v>
      </c>
      <c r="J503" s="133">
        <f t="shared" ref="J503:Q503" si="603">J380+J385+J390+J395+J400+J405+J410+J415+J420+J425+J430+J435+J440+J445+J450+J455+J460+J465+J470+J475+J480+J485+J490+J495</f>
        <v>0</v>
      </c>
      <c r="K503" s="133">
        <f t="shared" si="603"/>
        <v>0</v>
      </c>
      <c r="L503" s="133">
        <f t="shared" si="603"/>
        <v>0</v>
      </c>
      <c r="M503" s="133">
        <f t="shared" si="603"/>
        <v>0</v>
      </c>
      <c r="N503" s="133">
        <f t="shared" si="603"/>
        <v>0</v>
      </c>
      <c r="O503" s="133">
        <f t="shared" si="603"/>
        <v>0</v>
      </c>
      <c r="P503" s="133">
        <f t="shared" si="603"/>
        <v>0</v>
      </c>
      <c r="Q503" s="133">
        <f t="shared" si="603"/>
        <v>0</v>
      </c>
      <c r="R503" s="133">
        <f t="shared" ref="R503" si="604">R380+R385+R390+R395+R400+R405+R410+R415+R420+R425+R430+R435+R440+R445+R450+R455+R460+R465+R470+R475+R480+R485+R490+R495</f>
        <v>0</v>
      </c>
      <c r="S503" s="133"/>
      <c r="T503" s="133">
        <f t="shared" ref="T503:AG503" si="605">T380+T385+T390+T395+T400+T405+T410+T415+T420+T425+T430+T435+T440+T445+T450+T455+T460+T465+T470+T475+T480+T485+T490+T495</f>
        <v>0</v>
      </c>
      <c r="U503" s="133">
        <f t="shared" si="605"/>
        <v>0</v>
      </c>
      <c r="V503" s="133">
        <f t="shared" si="605"/>
        <v>0</v>
      </c>
      <c r="W503" s="133">
        <f t="shared" si="605"/>
        <v>0</v>
      </c>
      <c r="X503" s="133">
        <f t="shared" si="605"/>
        <v>0</v>
      </c>
      <c r="Y503" s="133">
        <f t="shared" si="605"/>
        <v>0</v>
      </c>
      <c r="Z503" s="133">
        <f t="shared" si="605"/>
        <v>0</v>
      </c>
      <c r="AA503" s="133">
        <f t="shared" si="605"/>
        <v>0</v>
      </c>
      <c r="AB503" s="133">
        <f t="shared" si="605"/>
        <v>0</v>
      </c>
      <c r="AC503" s="133">
        <f t="shared" si="605"/>
        <v>0</v>
      </c>
      <c r="AD503" s="133">
        <f t="shared" si="605"/>
        <v>0</v>
      </c>
      <c r="AE503" s="133">
        <f t="shared" si="605"/>
        <v>0</v>
      </c>
      <c r="AF503" s="133">
        <f t="shared" si="605"/>
        <v>0</v>
      </c>
      <c r="AG503" s="133">
        <f t="shared" si="605"/>
        <v>0</v>
      </c>
      <c r="AH503" s="133">
        <f t="shared" ref="AH503:AK503" si="606">AH380+AH385+AH390+AH395+AH400+AH405+AH410+AH415+AH420+AH425+AH430+AH435+AH440+AH445+AH450+AH455+AH460+AH465+AH470+AH475+AH480+AH485+AH490+AH495</f>
        <v>0</v>
      </c>
      <c r="AI503" s="133">
        <f t="shared" si="606"/>
        <v>0</v>
      </c>
      <c r="AJ503" s="133">
        <f t="shared" si="606"/>
        <v>0</v>
      </c>
      <c r="AK503" s="133">
        <f t="shared" si="606"/>
        <v>0</v>
      </c>
      <c r="AL503" s="133">
        <f t="shared" ref="AL503:AP503" si="607">AL380+AL385+AL390+AL395+AL400+AL405+AL410+AL415+AL420+AL425+AL430+AL435+AL440+AL445+AL450+AL455+AL460+AL465+AL470+AL475+AL480+AL485+AL490+AL495</f>
        <v>0</v>
      </c>
      <c r="AM503" s="133">
        <f t="shared" si="607"/>
        <v>0</v>
      </c>
      <c r="AN503" s="133">
        <f t="shared" si="607"/>
        <v>0</v>
      </c>
      <c r="AO503" s="133">
        <f t="shared" si="607"/>
        <v>0</v>
      </c>
      <c r="AP503" s="133">
        <f t="shared" si="607"/>
        <v>0</v>
      </c>
      <c r="AQ503" s="133">
        <f t="shared" ref="AQ503:AT503" si="608">AQ380+AQ385+AQ390+AQ395+AQ400+AQ405+AQ410+AQ415+AQ420+AQ425+AQ430+AQ435+AQ440+AQ445+AQ450+AQ455+AQ460+AQ465+AQ470+AQ475+AQ480+AQ485+AQ490+AQ495</f>
        <v>0</v>
      </c>
      <c r="AR503" s="133">
        <f t="shared" si="608"/>
        <v>0</v>
      </c>
      <c r="AS503" s="133">
        <f t="shared" si="608"/>
        <v>0</v>
      </c>
      <c r="AT503" s="133">
        <f t="shared" si="608"/>
        <v>0</v>
      </c>
      <c r="AU503" s="133">
        <f>AU380+AU385+AU390+AU395+AU400+AU405+AU410+AU415+AU420+AU425+AU430+AU435+AU440+AU445+AU450+AU455+AU460+AU465+AU470+AU475+AU480+AU485+AU490+AU495</f>
        <v>0</v>
      </c>
      <c r="AV503" s="133"/>
      <c r="AW503" s="133">
        <f>AW380+AW385+AW390+AW395+AW400+AW405+AW410+AW415+AW420+AW425+AW430+AW435+AW440+AW445+AW450+AW455+AW460+AW465+AW470+AW475+AW480+AW485+AW490+AW495</f>
        <v>0</v>
      </c>
      <c r="AX503" s="133">
        <f>+AW503-'ROR-Model'!G503</f>
        <v>0</v>
      </c>
    </row>
    <row r="504" spans="1:50">
      <c r="A504" s="330"/>
      <c r="B504" s="35" t="s">
        <v>556</v>
      </c>
      <c r="C504" s="116"/>
      <c r="D504" s="106"/>
      <c r="E504" s="331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>
        <f>+AW504-'ROR-Model'!G504</f>
        <v>0</v>
      </c>
    </row>
    <row r="505" spans="1:50">
      <c r="A505" s="330"/>
      <c r="B505" s="35"/>
      <c r="C505" s="116" t="s">
        <v>553</v>
      </c>
      <c r="D505" s="106"/>
      <c r="E505" s="331"/>
      <c r="F505" s="133">
        <f>F486+F491</f>
        <v>0</v>
      </c>
      <c r="G505" s="133"/>
      <c r="H505" s="133">
        <f>H486+H491</f>
        <v>0</v>
      </c>
      <c r="I505" s="133">
        <f>I486+I491</f>
        <v>0</v>
      </c>
      <c r="J505" s="133">
        <f t="shared" ref="J505:Q505" si="609">J486+J491</f>
        <v>0</v>
      </c>
      <c r="K505" s="133">
        <f t="shared" si="609"/>
        <v>0</v>
      </c>
      <c r="L505" s="133">
        <f t="shared" si="609"/>
        <v>0</v>
      </c>
      <c r="M505" s="133">
        <f t="shared" si="609"/>
        <v>0</v>
      </c>
      <c r="N505" s="133">
        <f t="shared" si="609"/>
        <v>0</v>
      </c>
      <c r="O505" s="133">
        <f t="shared" si="609"/>
        <v>0</v>
      </c>
      <c r="P505" s="133">
        <f t="shared" si="609"/>
        <v>0</v>
      </c>
      <c r="Q505" s="133">
        <f t="shared" si="609"/>
        <v>0</v>
      </c>
      <c r="R505" s="133">
        <f t="shared" ref="R505" si="610">R486+R491</f>
        <v>0</v>
      </c>
      <c r="S505" s="133"/>
      <c r="T505" s="133">
        <f t="shared" ref="T505:AG505" si="611">T486+T491</f>
        <v>0</v>
      </c>
      <c r="U505" s="133">
        <f t="shared" si="611"/>
        <v>0</v>
      </c>
      <c r="V505" s="133">
        <f t="shared" si="611"/>
        <v>0</v>
      </c>
      <c r="W505" s="133">
        <f t="shared" si="611"/>
        <v>0</v>
      </c>
      <c r="X505" s="133">
        <f t="shared" si="611"/>
        <v>0</v>
      </c>
      <c r="Y505" s="133">
        <f t="shared" si="611"/>
        <v>0</v>
      </c>
      <c r="Z505" s="133">
        <f t="shared" si="611"/>
        <v>0</v>
      </c>
      <c r="AA505" s="133">
        <f t="shared" si="611"/>
        <v>0</v>
      </c>
      <c r="AB505" s="133">
        <f t="shared" si="611"/>
        <v>0</v>
      </c>
      <c r="AC505" s="133">
        <f t="shared" si="611"/>
        <v>0</v>
      </c>
      <c r="AD505" s="133">
        <f t="shared" si="611"/>
        <v>0</v>
      </c>
      <c r="AE505" s="133">
        <f t="shared" si="611"/>
        <v>0</v>
      </c>
      <c r="AF505" s="133">
        <f t="shared" si="611"/>
        <v>0</v>
      </c>
      <c r="AG505" s="133">
        <f t="shared" si="611"/>
        <v>0</v>
      </c>
      <c r="AH505" s="133">
        <f t="shared" ref="AH505:AK505" si="612">AH486+AH491</f>
        <v>0</v>
      </c>
      <c r="AI505" s="133">
        <f t="shared" si="612"/>
        <v>0</v>
      </c>
      <c r="AJ505" s="133">
        <f t="shared" si="612"/>
        <v>0</v>
      </c>
      <c r="AK505" s="133">
        <f t="shared" si="612"/>
        <v>0</v>
      </c>
      <c r="AL505" s="133">
        <f t="shared" ref="AL505:AP505" si="613">AL486+AL491</f>
        <v>0</v>
      </c>
      <c r="AM505" s="133">
        <f t="shared" si="613"/>
        <v>0</v>
      </c>
      <c r="AN505" s="133">
        <f t="shared" si="613"/>
        <v>0</v>
      </c>
      <c r="AO505" s="133">
        <f t="shared" si="613"/>
        <v>0</v>
      </c>
      <c r="AP505" s="133">
        <f t="shared" si="613"/>
        <v>0</v>
      </c>
      <c r="AQ505" s="133">
        <f t="shared" ref="AQ505:AT505" si="614">AQ486+AQ491</f>
        <v>0</v>
      </c>
      <c r="AR505" s="133">
        <f t="shared" si="614"/>
        <v>0</v>
      </c>
      <c r="AS505" s="133">
        <f t="shared" si="614"/>
        <v>0</v>
      </c>
      <c r="AT505" s="133">
        <f t="shared" si="614"/>
        <v>0</v>
      </c>
      <c r="AU505" s="133">
        <f>AU486+AU491</f>
        <v>0</v>
      </c>
      <c r="AV505" s="133"/>
      <c r="AW505" s="133">
        <f>AW486+AW491</f>
        <v>0</v>
      </c>
      <c r="AX505" s="133">
        <f>+AW505-'ROR-Model'!G505</f>
        <v>0</v>
      </c>
    </row>
    <row r="506" spans="1:50">
      <c r="A506" s="330"/>
      <c r="B506" s="35"/>
      <c r="C506" s="116" t="s">
        <v>554</v>
      </c>
      <c r="D506" s="106"/>
      <c r="E506" s="331"/>
      <c r="F506" s="133">
        <f>F381+F386+F391+F396+F401+F406+F411+F416+F421+F426+F431+F436+F441+F446+F451+F456+F461+F466+F471+F476+F481+F496</f>
        <v>0</v>
      </c>
      <c r="G506" s="133"/>
      <c r="H506" s="133">
        <f>H381+H386+H391+H396+H401+H406+H411+H416+H421+H426+H431+H436+H441+H446+H451+H456+H461+H466+H471+H476+H481+H496</f>
        <v>0</v>
      </c>
      <c r="I506" s="133">
        <f>I381+I386+I391+I396+I401+I406+I411+I416+I421+I426+I431+I436+I441+I446+I451+I456+I461+I466+I471+I476+I481+I496</f>
        <v>0</v>
      </c>
      <c r="J506" s="133">
        <f t="shared" ref="J506:Q506" si="615">J381+J386+J391+J396+J401+J406+J411+J416+J421+J426+J431+J436+J441+J446+J451+J456+J461+J466+J471+J476+J481+J496</f>
        <v>0</v>
      </c>
      <c r="K506" s="133">
        <f t="shared" si="615"/>
        <v>0</v>
      </c>
      <c r="L506" s="133">
        <f t="shared" si="615"/>
        <v>0</v>
      </c>
      <c r="M506" s="133">
        <f t="shared" si="615"/>
        <v>0</v>
      </c>
      <c r="N506" s="133">
        <f t="shared" si="615"/>
        <v>0</v>
      </c>
      <c r="O506" s="133">
        <f t="shared" si="615"/>
        <v>0</v>
      </c>
      <c r="P506" s="133">
        <f t="shared" si="615"/>
        <v>0</v>
      </c>
      <c r="Q506" s="133">
        <f t="shared" si="615"/>
        <v>0</v>
      </c>
      <c r="R506" s="133">
        <f t="shared" ref="R506" si="616">R381+R386+R391+R396+R401+R406+R411+R416+R421+R426+R431+R436+R441+R446+R451+R456+R461+R466+R471+R476+R481+R496</f>
        <v>0</v>
      </c>
      <c r="S506" s="133"/>
      <c r="T506" s="133">
        <f t="shared" ref="T506:AG506" si="617">T381+T386+T391+T396+T401+T406+T411+T416+T421+T426+T431+T436+T441+T446+T451+T456+T461+T466+T471+T476+T481+T496</f>
        <v>0</v>
      </c>
      <c r="U506" s="133">
        <f t="shared" si="617"/>
        <v>0</v>
      </c>
      <c r="V506" s="133">
        <f t="shared" si="617"/>
        <v>0</v>
      </c>
      <c r="W506" s="133">
        <f t="shared" si="617"/>
        <v>0</v>
      </c>
      <c r="X506" s="133">
        <f t="shared" si="617"/>
        <v>0</v>
      </c>
      <c r="Y506" s="133">
        <f t="shared" si="617"/>
        <v>0</v>
      </c>
      <c r="Z506" s="133">
        <f t="shared" si="617"/>
        <v>0</v>
      </c>
      <c r="AA506" s="133">
        <f t="shared" si="617"/>
        <v>0</v>
      </c>
      <c r="AB506" s="133">
        <f t="shared" si="617"/>
        <v>0</v>
      </c>
      <c r="AC506" s="133">
        <f t="shared" si="617"/>
        <v>0</v>
      </c>
      <c r="AD506" s="133">
        <f t="shared" si="617"/>
        <v>0</v>
      </c>
      <c r="AE506" s="133">
        <f t="shared" si="617"/>
        <v>0</v>
      </c>
      <c r="AF506" s="133">
        <f t="shared" si="617"/>
        <v>0</v>
      </c>
      <c r="AG506" s="133">
        <f t="shared" si="617"/>
        <v>0</v>
      </c>
      <c r="AH506" s="133">
        <f t="shared" ref="AH506:AK506" si="618">AH381+AH386+AH391+AH396+AH401+AH406+AH411+AH416+AH421+AH426+AH431+AH436+AH441+AH446+AH451+AH456+AH461+AH466+AH471+AH476+AH481+AH496</f>
        <v>0</v>
      </c>
      <c r="AI506" s="133">
        <f t="shared" si="618"/>
        <v>0</v>
      </c>
      <c r="AJ506" s="133">
        <f t="shared" si="618"/>
        <v>0</v>
      </c>
      <c r="AK506" s="133">
        <f t="shared" si="618"/>
        <v>0</v>
      </c>
      <c r="AL506" s="133">
        <f t="shared" ref="AL506:AP506" si="619">AL381+AL386+AL391+AL396+AL401+AL406+AL411+AL416+AL421+AL426+AL431+AL436+AL441+AL446+AL451+AL456+AL461+AL466+AL471+AL476+AL481+AL496</f>
        <v>0</v>
      </c>
      <c r="AM506" s="133">
        <f t="shared" si="619"/>
        <v>0</v>
      </c>
      <c r="AN506" s="133">
        <f t="shared" si="619"/>
        <v>0</v>
      </c>
      <c r="AO506" s="133">
        <f t="shared" si="619"/>
        <v>0</v>
      </c>
      <c r="AP506" s="133">
        <f t="shared" si="619"/>
        <v>0</v>
      </c>
      <c r="AQ506" s="133">
        <f t="shared" ref="AQ506:AT506" si="620">AQ381+AQ386+AQ391+AQ396+AQ401+AQ406+AQ411+AQ416+AQ421+AQ426+AQ431+AQ436+AQ441+AQ446+AQ451+AQ456+AQ461+AQ466+AQ471+AQ476+AQ481+AQ496</f>
        <v>0</v>
      </c>
      <c r="AR506" s="133">
        <f t="shared" si="620"/>
        <v>0</v>
      </c>
      <c r="AS506" s="133">
        <f t="shared" si="620"/>
        <v>0</v>
      </c>
      <c r="AT506" s="133">
        <f t="shared" si="620"/>
        <v>0</v>
      </c>
      <c r="AU506" s="133">
        <f>AU381+AU386+AU391+AU396+AU401+AU406+AU411+AU416+AU421+AU426+AU431+AU436+AU441+AU446+AU451+AU456+AU461+AU466+AU471+AU476+AU481+AU496</f>
        <v>0</v>
      </c>
      <c r="AV506" s="133"/>
      <c r="AW506" s="133">
        <f>AW381+AW386+AW391+AW396+AW401+AW406+AW411+AW416+AW421+AW426+AW431+AW436+AW441+AW446+AW451+AW456+AW461+AW466+AW471+AW476+AW481+AW496</f>
        <v>0</v>
      </c>
      <c r="AX506" s="133">
        <f>+AW506-'ROR-Model'!G506</f>
        <v>0</v>
      </c>
    </row>
    <row r="507" spans="1:50">
      <c r="A507" s="330"/>
      <c r="B507" s="35"/>
      <c r="C507" s="60" t="s">
        <v>557</v>
      </c>
      <c r="D507" s="106"/>
      <c r="E507" s="331"/>
      <c r="F507" s="133">
        <f>F381+F386+F391+F396+F401+F406+F411+F416+F421+F426+F431+F436+F441+F446+F451+F456+F461+F466+F471+F476+F481+F486+F491+F496</f>
        <v>0</v>
      </c>
      <c r="G507" s="133"/>
      <c r="H507" s="133">
        <f>H1*H381+H386+H391+H396+H401+H406+H411+H416+H421+H426+H431+H436+H441+H446+H451+H456+H461+H466+H471+H476+H481+H486+H491+H496</f>
        <v>0</v>
      </c>
      <c r="I507" s="133">
        <f>I381+I386+I391+I396+I401+I406+I411+I416+I421+I426+I431+I436+I441+I446+I451+I456+I461+I466+I471+I476+I481+I486+I491+I496</f>
        <v>0</v>
      </c>
      <c r="J507" s="133">
        <f t="shared" ref="J507:Q507" si="621">J381+J386+J391+J396+J401+J406+J411+J416+J421+J426+J431+J436+J441+J446+J451+J456+J461+J466+J471+J476+J481+J486+J491+J496</f>
        <v>0</v>
      </c>
      <c r="K507" s="133">
        <f t="shared" si="621"/>
        <v>0</v>
      </c>
      <c r="L507" s="133">
        <f t="shared" si="621"/>
        <v>0</v>
      </c>
      <c r="M507" s="133">
        <f t="shared" si="621"/>
        <v>0</v>
      </c>
      <c r="N507" s="133">
        <f t="shared" si="621"/>
        <v>0</v>
      </c>
      <c r="O507" s="133">
        <f t="shared" si="621"/>
        <v>0</v>
      </c>
      <c r="P507" s="133">
        <f t="shared" si="621"/>
        <v>0</v>
      </c>
      <c r="Q507" s="133">
        <f t="shared" si="621"/>
        <v>0</v>
      </c>
      <c r="R507" s="133">
        <f t="shared" ref="R507" si="622">R381+R386+R391+R396+R401+R406+R411+R416+R421+R426+R431+R436+R441+R446+R451+R456+R461+R466+R471+R476+R481+R486+R491+R496</f>
        <v>0</v>
      </c>
      <c r="S507" s="133"/>
      <c r="T507" s="133">
        <f t="shared" ref="T507:AG507" si="623">T381+T386+T391+T396+T401+T406+T411+T416+T421+T426+T431+T436+T441+T446+T451+T456+T461+T466+T471+T476+T481+T486+T491+T496</f>
        <v>0</v>
      </c>
      <c r="U507" s="133">
        <f t="shared" si="623"/>
        <v>0</v>
      </c>
      <c r="V507" s="133">
        <f t="shared" si="623"/>
        <v>0</v>
      </c>
      <c r="W507" s="133">
        <f t="shared" si="623"/>
        <v>0</v>
      </c>
      <c r="X507" s="133">
        <f t="shared" si="623"/>
        <v>0</v>
      </c>
      <c r="Y507" s="133">
        <f t="shared" si="623"/>
        <v>0</v>
      </c>
      <c r="Z507" s="133">
        <f t="shared" si="623"/>
        <v>0</v>
      </c>
      <c r="AA507" s="133">
        <f t="shared" si="623"/>
        <v>0</v>
      </c>
      <c r="AB507" s="133">
        <f t="shared" si="623"/>
        <v>0</v>
      </c>
      <c r="AC507" s="133">
        <f t="shared" si="623"/>
        <v>0</v>
      </c>
      <c r="AD507" s="133">
        <f t="shared" si="623"/>
        <v>0</v>
      </c>
      <c r="AE507" s="133">
        <f t="shared" si="623"/>
        <v>0</v>
      </c>
      <c r="AF507" s="133">
        <f t="shared" si="623"/>
        <v>0</v>
      </c>
      <c r="AG507" s="133">
        <f t="shared" si="623"/>
        <v>0</v>
      </c>
      <c r="AH507" s="133">
        <f t="shared" ref="AH507:AK507" si="624">AH381+AH386+AH391+AH396+AH401+AH406+AH411+AH416+AH421+AH426+AH431+AH436+AH441+AH446+AH451+AH456+AH461+AH466+AH471+AH476+AH481+AH486+AH491+AH496</f>
        <v>0</v>
      </c>
      <c r="AI507" s="133">
        <f t="shared" si="624"/>
        <v>0</v>
      </c>
      <c r="AJ507" s="133">
        <f t="shared" si="624"/>
        <v>0</v>
      </c>
      <c r="AK507" s="133">
        <f t="shared" si="624"/>
        <v>0</v>
      </c>
      <c r="AL507" s="133">
        <f t="shared" ref="AL507:AP507" si="625">AL381+AL386+AL391+AL396+AL401+AL406+AL411+AL416+AL421+AL426+AL431+AL436+AL441+AL446+AL451+AL456+AL461+AL466+AL471+AL476+AL481+AL486+AL491+AL496</f>
        <v>0</v>
      </c>
      <c r="AM507" s="133">
        <f t="shared" si="625"/>
        <v>0</v>
      </c>
      <c r="AN507" s="133">
        <f t="shared" si="625"/>
        <v>0</v>
      </c>
      <c r="AO507" s="133">
        <f t="shared" si="625"/>
        <v>0</v>
      </c>
      <c r="AP507" s="133">
        <f t="shared" si="625"/>
        <v>0</v>
      </c>
      <c r="AQ507" s="133">
        <f t="shared" ref="AQ507:AT507" si="626">AQ381+AQ386+AQ391+AQ396+AQ401+AQ406+AQ411+AQ416+AQ421+AQ426+AQ431+AQ436+AQ441+AQ446+AQ451+AQ456+AQ461+AQ466+AQ471+AQ476+AQ481+AQ486+AQ491+AQ496</f>
        <v>0</v>
      </c>
      <c r="AR507" s="133">
        <f t="shared" si="626"/>
        <v>0</v>
      </c>
      <c r="AS507" s="133">
        <f t="shared" si="626"/>
        <v>0</v>
      </c>
      <c r="AT507" s="133">
        <f t="shared" si="626"/>
        <v>0</v>
      </c>
      <c r="AU507" s="133">
        <f>AU381+AU386+AU391+AU396+AU401+AU406+AU411+AU416+AU421+AU426+AU431+AU436+AU441+AU446+AU451+AU456+AU461+AU466+AU471+AU476+AU481+AU486+AU491+AU496</f>
        <v>0</v>
      </c>
      <c r="AV507" s="133"/>
      <c r="AW507" s="133">
        <f>AW381+AW386+AW391+AW396+AW401+AW406+AW411+AW416+AW421+AW426+AW431+AW436+AW441+AW446+AW451+AW456+AW461+AW466+AW471+AW476+AW481+AW486+AW491+AW496</f>
        <v>0</v>
      </c>
      <c r="AX507" s="133">
        <f>+AW507-'ROR-Model'!G507</f>
        <v>0</v>
      </c>
    </row>
    <row r="508" spans="1:50">
      <c r="A508" s="330"/>
      <c r="B508" s="35"/>
      <c r="C508" s="116"/>
      <c r="D508" s="106"/>
      <c r="E508" s="331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>
        <f>+AW508-'ROR-Model'!G508</f>
        <v>0</v>
      </c>
    </row>
    <row r="509" spans="1:50">
      <c r="A509" s="330"/>
      <c r="B509" s="35" t="s">
        <v>558</v>
      </c>
      <c r="C509" s="116"/>
      <c r="D509" s="106"/>
      <c r="E509" s="331"/>
      <c r="F509" s="133">
        <f>F382+F387+F392+F397+F402+F407+F412+F417+F422+F427+F432+F437+F442+F447+F452+F457+F462+F467+F472+F477+F482+F487+F492+F497</f>
        <v>0</v>
      </c>
      <c r="G509" s="133"/>
      <c r="H509" s="133">
        <f>H1*H382+H387+H392+H397+H402+H407+H412+H417+H422+H427+H432+H437+H442+H447+H452+H457+H462+H467+H472+H477+H482+H487+H492+H497</f>
        <v>0</v>
      </c>
      <c r="I509" s="133">
        <f>I382+I387+I392+I397+I402+I407+I412+I417+I422+I427+I432+I437+I442+I447+I452+I457+I462+I467+I472+I477+I482+I487+I492+I497</f>
        <v>0</v>
      </c>
      <c r="J509" s="133">
        <f t="shared" ref="J509:Q509" si="627">J382+J387+J392+J397+J402+J407+J412+J417+J422+J427+J432+J437+J442+J447+J452+J457+J462+J467+J472+J477+J482+J487+J492+J497</f>
        <v>0</v>
      </c>
      <c r="K509" s="133">
        <f t="shared" si="627"/>
        <v>0</v>
      </c>
      <c r="L509" s="133">
        <f t="shared" si="627"/>
        <v>0</v>
      </c>
      <c r="M509" s="133">
        <f t="shared" si="627"/>
        <v>0</v>
      </c>
      <c r="N509" s="133">
        <f t="shared" si="627"/>
        <v>0</v>
      </c>
      <c r="O509" s="133">
        <f t="shared" si="627"/>
        <v>0</v>
      </c>
      <c r="P509" s="133">
        <f t="shared" si="627"/>
        <v>0</v>
      </c>
      <c r="Q509" s="133">
        <f t="shared" si="627"/>
        <v>0</v>
      </c>
      <c r="R509" s="133">
        <f t="shared" ref="R509" si="628">R382+R387+R392+R397+R402+R407+R412+R417+R422+R427+R432+R437+R442+R447+R452+R457+R462+R467+R472+R477+R482+R487+R492+R497</f>
        <v>0</v>
      </c>
      <c r="S509" s="133"/>
      <c r="T509" s="133">
        <f t="shared" ref="T509:AG509" si="629">T382+T387+T392+T397+T402+T407+T412+T417+T422+T427+T432+T437+T442+T447+T452+T457+T462+T467+T472+T477+T482+T487+T492+T497</f>
        <v>0</v>
      </c>
      <c r="U509" s="133">
        <f t="shared" si="629"/>
        <v>0</v>
      </c>
      <c r="V509" s="133">
        <f t="shared" si="629"/>
        <v>0</v>
      </c>
      <c r="W509" s="133">
        <f t="shared" si="629"/>
        <v>0</v>
      </c>
      <c r="X509" s="133">
        <f t="shared" si="629"/>
        <v>0</v>
      </c>
      <c r="Y509" s="133">
        <f t="shared" si="629"/>
        <v>0</v>
      </c>
      <c r="Z509" s="133">
        <f t="shared" si="629"/>
        <v>0</v>
      </c>
      <c r="AA509" s="133">
        <f t="shared" si="629"/>
        <v>0</v>
      </c>
      <c r="AB509" s="133">
        <f t="shared" si="629"/>
        <v>0</v>
      </c>
      <c r="AC509" s="133">
        <f t="shared" si="629"/>
        <v>0</v>
      </c>
      <c r="AD509" s="133">
        <f t="shared" si="629"/>
        <v>0</v>
      </c>
      <c r="AE509" s="133">
        <f t="shared" si="629"/>
        <v>0</v>
      </c>
      <c r="AF509" s="133">
        <f t="shared" si="629"/>
        <v>0</v>
      </c>
      <c r="AG509" s="133">
        <f t="shared" si="629"/>
        <v>0</v>
      </c>
      <c r="AH509" s="133">
        <f t="shared" ref="AH509:AK509" si="630">AH382+AH387+AH392+AH397+AH402+AH407+AH412+AH417+AH422+AH427+AH432+AH437+AH442+AH447+AH452+AH457+AH462+AH467+AH472+AH477+AH482+AH487+AH492+AH497</f>
        <v>0</v>
      </c>
      <c r="AI509" s="133">
        <f t="shared" si="630"/>
        <v>0</v>
      </c>
      <c r="AJ509" s="133">
        <f t="shared" si="630"/>
        <v>0</v>
      </c>
      <c r="AK509" s="133">
        <f t="shared" si="630"/>
        <v>0</v>
      </c>
      <c r="AL509" s="133">
        <f t="shared" ref="AL509:AP509" si="631">AL382+AL387+AL392+AL397+AL402+AL407+AL412+AL417+AL422+AL427+AL432+AL437+AL442+AL447+AL452+AL457+AL462+AL467+AL472+AL477+AL482+AL487+AL492+AL497</f>
        <v>0</v>
      </c>
      <c r="AM509" s="133">
        <f t="shared" si="631"/>
        <v>0</v>
      </c>
      <c r="AN509" s="133">
        <f t="shared" si="631"/>
        <v>0</v>
      </c>
      <c r="AO509" s="133">
        <f t="shared" si="631"/>
        <v>0</v>
      </c>
      <c r="AP509" s="133">
        <f t="shared" si="631"/>
        <v>0</v>
      </c>
      <c r="AQ509" s="133">
        <f t="shared" ref="AQ509:AT509" si="632">AQ382+AQ387+AQ392+AQ397+AQ402+AQ407+AQ412+AQ417+AQ422+AQ427+AQ432+AQ437+AQ442+AQ447+AQ452+AQ457+AQ462+AQ467+AQ472+AQ477+AQ482+AQ487+AQ492+AQ497</f>
        <v>0</v>
      </c>
      <c r="AR509" s="133">
        <f t="shared" si="632"/>
        <v>0</v>
      </c>
      <c r="AS509" s="133">
        <f t="shared" si="632"/>
        <v>0</v>
      </c>
      <c r="AT509" s="133">
        <f t="shared" si="632"/>
        <v>0</v>
      </c>
      <c r="AU509" s="133">
        <f>AU382+AU387+AU392+AU397+AU402+AU407+AU412+AU417+AU422+AU427+AU432+AU437+AU442+AU447+AU452+AU457+AU462+AU467+AU472+AU477+AU482+AU487+AU492+AU497</f>
        <v>0</v>
      </c>
      <c r="AV509" s="133"/>
      <c r="AW509" s="133">
        <f>AW382+AW387+AW392+AW397+AW402+AW407+AW412+AW417+AW422+AW427+AW432+AW437+AW442+AW447+AW452+AW457+AW462+AW467+AW472+AW477+AW482+AW487+AW492+AW497</f>
        <v>0</v>
      </c>
      <c r="AX509" s="133">
        <f>+AW509-'ROR-Model'!G509</f>
        <v>0</v>
      </c>
    </row>
    <row r="510" spans="1:50">
      <c r="A510" s="330"/>
      <c r="B510" s="35"/>
      <c r="C510" s="116"/>
      <c r="D510" s="106"/>
      <c r="E510" s="331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</row>
    <row r="511" spans="1:50">
      <c r="A511" s="330"/>
      <c r="B511" s="35"/>
      <c r="C511" s="116"/>
      <c r="D511" s="106"/>
      <c r="E511" s="331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</row>
    <row r="512" spans="1:50">
      <c r="A512" s="59" t="s">
        <v>341</v>
      </c>
      <c r="B512" s="35"/>
      <c r="C512" s="116"/>
      <c r="D512" s="106"/>
      <c r="E512" s="331"/>
      <c r="F512" s="133">
        <f>F368+F509</f>
        <v>0</v>
      </c>
      <c r="G512" s="133"/>
      <c r="H512" s="133">
        <f>H1*H368+H509</f>
        <v>-17298837.530282199</v>
      </c>
      <c r="I512" s="133">
        <f>I368+I509</f>
        <v>0</v>
      </c>
      <c r="J512" s="133">
        <f t="shared" ref="J512:Q512" si="633">J368+J509</f>
        <v>0</v>
      </c>
      <c r="K512" s="133">
        <f t="shared" si="633"/>
        <v>0</v>
      </c>
      <c r="L512" s="133">
        <f t="shared" si="633"/>
        <v>0</v>
      </c>
      <c r="M512" s="133">
        <f t="shared" si="633"/>
        <v>0</v>
      </c>
      <c r="N512" s="133">
        <f t="shared" si="633"/>
        <v>0</v>
      </c>
      <c r="O512" s="133">
        <f t="shared" si="633"/>
        <v>0</v>
      </c>
      <c r="P512" s="133">
        <f t="shared" si="633"/>
        <v>0</v>
      </c>
      <c r="Q512" s="133">
        <f t="shared" si="633"/>
        <v>0</v>
      </c>
      <c r="R512" s="133">
        <f t="shared" ref="R512" si="634">R368+R509</f>
        <v>0</v>
      </c>
      <c r="S512" s="133"/>
      <c r="T512" s="133">
        <f t="shared" ref="T512:AG512" si="635">T368+T509</f>
        <v>0</v>
      </c>
      <c r="U512" s="133">
        <f t="shared" si="635"/>
        <v>0</v>
      </c>
      <c r="V512" s="133">
        <f t="shared" si="635"/>
        <v>0</v>
      </c>
      <c r="W512" s="133">
        <f t="shared" si="635"/>
        <v>0</v>
      </c>
      <c r="X512" s="133">
        <f t="shared" si="635"/>
        <v>0</v>
      </c>
      <c r="Y512" s="133">
        <f t="shared" si="635"/>
        <v>0</v>
      </c>
      <c r="Z512" s="133">
        <f t="shared" si="635"/>
        <v>0</v>
      </c>
      <c r="AA512" s="133">
        <f t="shared" si="635"/>
        <v>0</v>
      </c>
      <c r="AB512" s="133">
        <f t="shared" si="635"/>
        <v>0</v>
      </c>
      <c r="AC512" s="133">
        <f t="shared" si="635"/>
        <v>0</v>
      </c>
      <c r="AD512" s="133">
        <f t="shared" si="635"/>
        <v>0</v>
      </c>
      <c r="AE512" s="133">
        <f t="shared" si="635"/>
        <v>0</v>
      </c>
      <c r="AF512" s="133">
        <f t="shared" si="635"/>
        <v>0</v>
      </c>
      <c r="AG512" s="133">
        <f t="shared" si="635"/>
        <v>0</v>
      </c>
      <c r="AH512" s="133">
        <f t="shared" ref="AH512:AK512" si="636">AH368+AH509</f>
        <v>0</v>
      </c>
      <c r="AI512" s="133">
        <f t="shared" si="636"/>
        <v>0</v>
      </c>
      <c r="AJ512" s="133">
        <f t="shared" si="636"/>
        <v>0</v>
      </c>
      <c r="AK512" s="133">
        <f t="shared" si="636"/>
        <v>0</v>
      </c>
      <c r="AL512" s="133">
        <f t="shared" ref="AL512:AP512" si="637">AL368+AL509</f>
        <v>0</v>
      </c>
      <c r="AM512" s="133">
        <f t="shared" si="637"/>
        <v>0</v>
      </c>
      <c r="AN512" s="133">
        <f t="shared" si="637"/>
        <v>0</v>
      </c>
      <c r="AO512" s="133">
        <f t="shared" si="637"/>
        <v>0</v>
      </c>
      <c r="AP512" s="133">
        <f t="shared" si="637"/>
        <v>0</v>
      </c>
      <c r="AQ512" s="133">
        <f t="shared" ref="AQ512:AT512" si="638">AQ368+AQ509</f>
        <v>0</v>
      </c>
      <c r="AR512" s="133">
        <f t="shared" si="638"/>
        <v>0</v>
      </c>
      <c r="AS512" s="133">
        <f t="shared" si="638"/>
        <v>0</v>
      </c>
      <c r="AT512" s="133">
        <f t="shared" si="638"/>
        <v>0</v>
      </c>
      <c r="AU512" s="133">
        <f>SUM(F512:AT512)</f>
        <v>-17298837.530282199</v>
      </c>
      <c r="AV512" s="133"/>
      <c r="AW512" s="133">
        <f>SUM(AU512:AU512)</f>
        <v>-17298837.530282199</v>
      </c>
      <c r="AX512" s="133">
        <f>+AW512-'ROR-Model'!G512</f>
        <v>0</v>
      </c>
    </row>
    <row r="513" spans="1:50">
      <c r="A513" s="330"/>
      <c r="B513" s="106"/>
      <c r="C513" s="106"/>
      <c r="D513" s="106"/>
      <c r="E513" s="331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16"/>
      <c r="AW513" s="133"/>
      <c r="AX513" s="133">
        <f>+AW513-'ROR-Model'!G513</f>
        <v>0</v>
      </c>
    </row>
    <row r="514" spans="1:50">
      <c r="A514" s="330"/>
      <c r="B514" s="106"/>
      <c r="C514" s="106"/>
      <c r="D514" s="106"/>
      <c r="E514" s="331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16"/>
      <c r="AW514" s="133"/>
      <c r="AX514" s="133">
        <f>+AW514-'ROR-Model'!G514</f>
        <v>0</v>
      </c>
    </row>
    <row r="515" spans="1:50">
      <c r="A515" s="1549" t="s">
        <v>342</v>
      </c>
      <c r="B515" s="1549"/>
      <c r="C515" s="1549"/>
      <c r="D515" s="1549"/>
      <c r="E515" s="155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16"/>
      <c r="AW515" s="133"/>
      <c r="AX515" s="133">
        <f>+AW515-'ROR-Model'!G515</f>
        <v>0</v>
      </c>
    </row>
    <row r="516" spans="1:50">
      <c r="A516" s="59" t="s">
        <v>343</v>
      </c>
      <c r="B516" s="106"/>
      <c r="C516" s="106"/>
      <c r="D516" s="106"/>
      <c r="E516" s="331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16"/>
      <c r="AW516" s="133"/>
      <c r="AX516" s="133">
        <f>+AW516-'ROR-Model'!G516</f>
        <v>0</v>
      </c>
    </row>
    <row r="517" spans="1:50">
      <c r="A517" s="330"/>
      <c r="B517" s="106"/>
      <c r="C517" s="106"/>
      <c r="D517" s="106"/>
      <c r="E517" s="331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16"/>
      <c r="AW517" s="133"/>
      <c r="AX517" s="133">
        <f>+AW517-'ROR-Model'!G517</f>
        <v>0</v>
      </c>
    </row>
    <row r="518" spans="1:50">
      <c r="A518" s="134"/>
      <c r="B518" s="106" t="s">
        <v>168</v>
      </c>
      <c r="C518" s="106"/>
      <c r="D518" s="106"/>
      <c r="E518" s="331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16"/>
      <c r="AW518" s="133"/>
      <c r="AX518" s="133">
        <f>+AW518-'ROR-Model'!G518</f>
        <v>0</v>
      </c>
    </row>
    <row r="519" spans="1:50">
      <c r="A519" s="134"/>
      <c r="B519" s="106"/>
      <c r="C519" s="106"/>
      <c r="D519" s="106"/>
      <c r="E519" s="331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16"/>
      <c r="AW519" s="133"/>
      <c r="AX519" s="133">
        <f>+AW519-'ROR-Model'!G519</f>
        <v>0</v>
      </c>
    </row>
    <row r="520" spans="1:50">
      <c r="A520" s="134">
        <v>758</v>
      </c>
      <c r="B520" s="106" t="s">
        <v>344</v>
      </c>
      <c r="C520" s="106"/>
      <c r="D520" s="106"/>
      <c r="E520" s="331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16"/>
      <c r="AW520" s="133"/>
      <c r="AX520" s="133">
        <f>+AW520-'ROR-Model'!G520</f>
        <v>0</v>
      </c>
    </row>
    <row r="521" spans="1:50">
      <c r="A521" s="134"/>
      <c r="B521" s="106"/>
      <c r="C521" s="106" t="s">
        <v>14</v>
      </c>
      <c r="D521" s="106"/>
      <c r="E521" s="331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33"/>
      <c r="R521" s="133"/>
      <c r="S521" s="133"/>
      <c r="T521" s="133">
        <f>'Optional Adjustment 2'!G521*$T$1</f>
        <v>0</v>
      </c>
      <c r="U521" s="133">
        <f>'Optional Adjustment 3'!G521*$U$1</f>
        <v>0</v>
      </c>
      <c r="V521" s="133">
        <f>'Optional Adjustment 4'!G521*$V$1</f>
        <v>0</v>
      </c>
      <c r="W521" s="133">
        <f>'Optional Adjustment 5'!G521*$W$1</f>
        <v>0</v>
      </c>
      <c r="X521" s="133">
        <f>'Optional Adjustment 6'!G521*$X$1</f>
        <v>0</v>
      </c>
      <c r="Y521" s="133">
        <f>'Optional Adjustment 7'!G521*$Y$1</f>
        <v>0</v>
      </c>
      <c r="Z521" s="133">
        <f>'Optional Adjustment 8'!G521*$Z$1</f>
        <v>0</v>
      </c>
      <c r="AA521" s="133">
        <f>'Optional Adjustment 9'!G521*$AA$1</f>
        <v>0</v>
      </c>
      <c r="AB521" s="133">
        <f>'Optional Adjustment 10'!G521*$AB$1</f>
        <v>0</v>
      </c>
      <c r="AC521" s="133">
        <f>'Optional Adjustment 11'!G521*$AC$1</f>
        <v>0</v>
      </c>
      <c r="AD521" s="133">
        <f>'Optional Adjustment 12'!G521*$AD$1</f>
        <v>0</v>
      </c>
      <c r="AE521" s="133">
        <f>'Optional Adjustment 13'!G521*$AE$1</f>
        <v>0</v>
      </c>
      <c r="AF521" s="133">
        <f>'Optional Adjustment 14'!G521*$AF$1</f>
        <v>0</v>
      </c>
      <c r="AG521" s="133">
        <f>'Optional Adjustment 15'!G521*$AG$1</f>
        <v>0</v>
      </c>
      <c r="AH521" s="133">
        <f>'Optional Adjustment 16'!G521*$AH$1</f>
        <v>0</v>
      </c>
      <c r="AI521" s="133">
        <f>'Optional Adjustment 17'!G521*$AI$1</f>
        <v>0</v>
      </c>
      <c r="AJ521" s="133">
        <f>'Optional Adjustment 18'!G521*$AJ$1</f>
        <v>0</v>
      </c>
      <c r="AK521" s="133">
        <f>'Optional Adjustment 19'!G521*$AK$1</f>
        <v>0</v>
      </c>
      <c r="AL521" s="133">
        <f>'Optional Adjustment 20'!G521*$AL$1</f>
        <v>0</v>
      </c>
      <c r="AM521" s="133">
        <f>'Optional Adjustment 21'!G521*$AM$1</f>
        <v>0</v>
      </c>
      <c r="AN521" s="133">
        <f>'Optional Adjustment 22'!G521*$AN$1</f>
        <v>0</v>
      </c>
      <c r="AO521" s="133">
        <f>'Optional Adjustment 23'!G521*$AO$1</f>
        <v>0</v>
      </c>
      <c r="AP521" s="133">
        <f>'Optional Adjustment 24'!G521*$AP$1</f>
        <v>0</v>
      </c>
      <c r="AQ521" s="133">
        <f>'Optional Adjustment 25'!G521*$AQ$1</f>
        <v>0</v>
      </c>
      <c r="AR521" s="133">
        <f>'Optional Adjustment 26'!G521*$AR$1</f>
        <v>0</v>
      </c>
      <c r="AS521" s="133">
        <f>'Optional Adjustment 27'!G521*$AS$1</f>
        <v>0</v>
      </c>
      <c r="AT521" s="133"/>
      <c r="AU521" s="133">
        <f>SUM(F521:AT521)</f>
        <v>0</v>
      </c>
      <c r="AV521" s="116"/>
      <c r="AW521" s="133">
        <f>SUM(AU521:AU521)</f>
        <v>0</v>
      </c>
      <c r="AX521" s="133">
        <f>+AW521-'ROR-Model'!G521</f>
        <v>0</v>
      </c>
    </row>
    <row r="522" spans="1:50">
      <c r="A522" s="134"/>
      <c r="B522" s="106"/>
      <c r="C522" s="106" t="s">
        <v>24</v>
      </c>
      <c r="D522" s="106"/>
      <c r="E522" s="331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33"/>
      <c r="R522" s="133"/>
      <c r="S522" s="133"/>
      <c r="T522" s="133">
        <f>'Optional Adjustment 2'!G522*$T$1</f>
        <v>0</v>
      </c>
      <c r="U522" s="133">
        <f>'Optional Adjustment 3'!G522*$U$1</f>
        <v>0</v>
      </c>
      <c r="V522" s="133">
        <f>'Optional Adjustment 4'!G522*$V$1</f>
        <v>0</v>
      </c>
      <c r="W522" s="133">
        <f>'Optional Adjustment 5'!G522*$W$1</f>
        <v>0</v>
      </c>
      <c r="X522" s="133">
        <f>'Optional Adjustment 6'!G522*$X$1</f>
        <v>0</v>
      </c>
      <c r="Y522" s="133">
        <f>'Optional Adjustment 7'!G522*$Y$1</f>
        <v>0</v>
      </c>
      <c r="Z522" s="133">
        <f>'Optional Adjustment 8'!G522*$Z$1</f>
        <v>0</v>
      </c>
      <c r="AA522" s="133">
        <f>'Optional Adjustment 9'!G522*$AA$1</f>
        <v>0</v>
      </c>
      <c r="AB522" s="133">
        <f>'Optional Adjustment 10'!G522*$AB$1</f>
        <v>0</v>
      </c>
      <c r="AC522" s="133">
        <f>'Optional Adjustment 11'!G522*$AC$1</f>
        <v>0</v>
      </c>
      <c r="AD522" s="133">
        <f>'Optional Adjustment 12'!G522*$AD$1</f>
        <v>0</v>
      </c>
      <c r="AE522" s="133">
        <f>'Optional Adjustment 13'!G522*$AE$1</f>
        <v>0</v>
      </c>
      <c r="AF522" s="133">
        <f>'Optional Adjustment 14'!G522*$AF$1</f>
        <v>0</v>
      </c>
      <c r="AG522" s="133">
        <f>'Optional Adjustment 15'!G522*$AG$1</f>
        <v>0</v>
      </c>
      <c r="AH522" s="133">
        <f>'Optional Adjustment 16'!G522*$AH$1</f>
        <v>0</v>
      </c>
      <c r="AI522" s="133">
        <f>'Optional Adjustment 17'!G522*$AI$1</f>
        <v>0</v>
      </c>
      <c r="AJ522" s="133">
        <f>'Optional Adjustment 18'!G522*$AJ$1</f>
        <v>0</v>
      </c>
      <c r="AK522" s="133">
        <f>'Optional Adjustment 19'!G522*$AK$1</f>
        <v>0</v>
      </c>
      <c r="AL522" s="133">
        <f>'Optional Adjustment 20'!G522*$AL$1</f>
        <v>0</v>
      </c>
      <c r="AM522" s="133">
        <f>'Optional Adjustment 21'!G522*$AM$1</f>
        <v>0</v>
      </c>
      <c r="AN522" s="133">
        <f>'Optional Adjustment 22'!G522*$AN$1</f>
        <v>0</v>
      </c>
      <c r="AO522" s="133">
        <f>'Optional Adjustment 23'!G522*$AO$1</f>
        <v>0</v>
      </c>
      <c r="AP522" s="133">
        <f>'Optional Adjustment 24'!G522*$AP$1</f>
        <v>0</v>
      </c>
      <c r="AQ522" s="133">
        <f>'Optional Adjustment 25'!G522*$AQ$1</f>
        <v>0</v>
      </c>
      <c r="AR522" s="133">
        <f>'Optional Adjustment 26'!G522*$AR$1</f>
        <v>0</v>
      </c>
      <c r="AS522" s="133">
        <f>'Optional Adjustment 27'!G522*$AS$1</f>
        <v>0</v>
      </c>
      <c r="AT522" s="133"/>
      <c r="AU522" s="133">
        <f>SUM(F522:AT522)</f>
        <v>0</v>
      </c>
      <c r="AV522" s="116"/>
      <c r="AW522" s="133">
        <f>SUM(AU522:AU522)</f>
        <v>0</v>
      </c>
      <c r="AX522" s="133">
        <f>+AW522-'ROR-Model'!G522</f>
        <v>0</v>
      </c>
    </row>
    <row r="523" spans="1:50">
      <c r="A523" s="134"/>
      <c r="B523" s="106"/>
      <c r="C523" s="106" t="s">
        <v>170</v>
      </c>
      <c r="D523" s="106"/>
      <c r="E523" s="331"/>
      <c r="F523" s="131">
        <f>SUM(F521:F522)</f>
        <v>0</v>
      </c>
      <c r="G523" s="131"/>
      <c r="H523" s="131">
        <f>H1*SUM(H521:H522)</f>
        <v>0</v>
      </c>
      <c r="I523" s="131">
        <f>SUM(I521:I522)</f>
        <v>0</v>
      </c>
      <c r="J523" s="131">
        <f t="shared" ref="J523:P523" si="639">SUM(J521:J522)</f>
        <v>0</v>
      </c>
      <c r="K523" s="131">
        <f t="shared" si="639"/>
        <v>0</v>
      </c>
      <c r="L523" s="131">
        <f t="shared" si="639"/>
        <v>0</v>
      </c>
      <c r="M523" s="131">
        <f t="shared" si="639"/>
        <v>0</v>
      </c>
      <c r="N523" s="131">
        <f t="shared" si="639"/>
        <v>0</v>
      </c>
      <c r="O523" s="131">
        <f t="shared" si="639"/>
        <v>0</v>
      </c>
      <c r="P523" s="131">
        <f t="shared" si="639"/>
        <v>0</v>
      </c>
      <c r="Q523" s="241">
        <f>SUM(Q521:Q522)</f>
        <v>0</v>
      </c>
      <c r="R523" s="241">
        <f>SUM(R521:R522)</f>
        <v>0</v>
      </c>
      <c r="S523" s="556"/>
      <c r="T523" s="556">
        <f t="shared" ref="T523:AG523" si="640">SUM(T521:T522)</f>
        <v>0</v>
      </c>
      <c r="U523" s="556">
        <f t="shared" si="640"/>
        <v>0</v>
      </c>
      <c r="V523" s="556">
        <f t="shared" si="640"/>
        <v>0</v>
      </c>
      <c r="W523" s="556">
        <f t="shared" si="640"/>
        <v>0</v>
      </c>
      <c r="X523" s="556">
        <f t="shared" si="640"/>
        <v>0</v>
      </c>
      <c r="Y523" s="556">
        <f t="shared" si="640"/>
        <v>0</v>
      </c>
      <c r="Z523" s="556">
        <f t="shared" si="640"/>
        <v>0</v>
      </c>
      <c r="AA523" s="556">
        <f t="shared" si="640"/>
        <v>0</v>
      </c>
      <c r="AB523" s="556">
        <f t="shared" si="640"/>
        <v>0</v>
      </c>
      <c r="AC523" s="556">
        <f t="shared" si="640"/>
        <v>0</v>
      </c>
      <c r="AD523" s="556">
        <f t="shared" si="640"/>
        <v>0</v>
      </c>
      <c r="AE523" s="556">
        <f t="shared" si="640"/>
        <v>0</v>
      </c>
      <c r="AF523" s="556">
        <f t="shared" si="640"/>
        <v>0</v>
      </c>
      <c r="AG523" s="556">
        <f t="shared" si="640"/>
        <v>0</v>
      </c>
      <c r="AH523" s="556">
        <f t="shared" ref="AH523:AK523" si="641">SUM(AH521:AH522)</f>
        <v>0</v>
      </c>
      <c r="AI523" s="556">
        <f t="shared" si="641"/>
        <v>0</v>
      </c>
      <c r="AJ523" s="556">
        <f t="shared" si="641"/>
        <v>0</v>
      </c>
      <c r="AK523" s="556">
        <f t="shared" si="641"/>
        <v>0</v>
      </c>
      <c r="AL523" s="556">
        <f t="shared" ref="AL523:AP523" si="642">SUM(AL521:AL522)</f>
        <v>0</v>
      </c>
      <c r="AM523" s="556">
        <f t="shared" si="642"/>
        <v>0</v>
      </c>
      <c r="AN523" s="556">
        <f t="shared" si="642"/>
        <v>0</v>
      </c>
      <c r="AO523" s="556">
        <f t="shared" si="642"/>
        <v>0</v>
      </c>
      <c r="AP523" s="556">
        <f t="shared" si="642"/>
        <v>0</v>
      </c>
      <c r="AQ523" s="556">
        <f t="shared" ref="AQ523:AS523" si="643">SUM(AQ521:AQ522)</f>
        <v>0</v>
      </c>
      <c r="AR523" s="556">
        <f t="shared" si="643"/>
        <v>0</v>
      </c>
      <c r="AS523" s="556">
        <f t="shared" si="643"/>
        <v>0</v>
      </c>
      <c r="AT523" s="556"/>
      <c r="AU523" s="241">
        <f>SUM(AU521:AU522)</f>
        <v>0</v>
      </c>
      <c r="AV523" s="131"/>
      <c r="AW523" s="241">
        <f>SUM(AW521:AW522)</f>
        <v>0</v>
      </c>
      <c r="AX523" s="241">
        <f>+AW523-'ROR-Model'!G523</f>
        <v>0</v>
      </c>
    </row>
    <row r="524" spans="1:50">
      <c r="A524" s="134"/>
      <c r="B524" s="106"/>
      <c r="C524" s="106"/>
      <c r="D524" s="106"/>
      <c r="E524" s="331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16"/>
      <c r="AW524" s="133"/>
      <c r="AX524" s="133">
        <f>+AW524-'ROR-Model'!G524</f>
        <v>0</v>
      </c>
    </row>
    <row r="525" spans="1:50">
      <c r="A525" s="134">
        <v>758.1</v>
      </c>
      <c r="B525" s="106" t="s">
        <v>345</v>
      </c>
      <c r="C525" s="106"/>
      <c r="D525" s="106"/>
      <c r="E525" s="331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16"/>
      <c r="AW525" s="133"/>
      <c r="AX525" s="133">
        <f>+AW525-'ROR-Model'!G525</f>
        <v>0</v>
      </c>
    </row>
    <row r="526" spans="1:50">
      <c r="A526" s="134"/>
      <c r="B526" s="106"/>
      <c r="C526" s="106" t="s">
        <v>14</v>
      </c>
      <c r="D526" s="106"/>
      <c r="E526" s="331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33"/>
      <c r="R526" s="133"/>
      <c r="S526" s="133"/>
      <c r="T526" s="133">
        <f>'Optional Adjustment 2'!G526*$T$1</f>
        <v>0</v>
      </c>
      <c r="U526" s="133">
        <f>'Optional Adjustment 3'!G526*$U$1</f>
        <v>0</v>
      </c>
      <c r="V526" s="133">
        <f>'Optional Adjustment 4'!G526*$V$1</f>
        <v>0</v>
      </c>
      <c r="W526" s="133">
        <f>'Optional Adjustment 5'!G526*$W$1</f>
        <v>0</v>
      </c>
      <c r="X526" s="133">
        <f>'Optional Adjustment 6'!G526*$X$1</f>
        <v>0</v>
      </c>
      <c r="Y526" s="133">
        <f>'Optional Adjustment 7'!G526*$Y$1</f>
        <v>0</v>
      </c>
      <c r="Z526" s="133">
        <f>'Optional Adjustment 8'!G526*$Z$1</f>
        <v>0</v>
      </c>
      <c r="AA526" s="133">
        <f>'Optional Adjustment 9'!G526*$AA$1</f>
        <v>0</v>
      </c>
      <c r="AB526" s="133">
        <f>'Optional Adjustment 10'!G526*$AB$1</f>
        <v>0</v>
      </c>
      <c r="AC526" s="133">
        <f>'Optional Adjustment 11'!G526*$AC$1</f>
        <v>0</v>
      </c>
      <c r="AD526" s="133">
        <f>'Optional Adjustment 12'!G526*$AD$1</f>
        <v>0</v>
      </c>
      <c r="AE526" s="133">
        <f>'Optional Adjustment 13'!G526*$AE$1</f>
        <v>0</v>
      </c>
      <c r="AF526" s="133">
        <f>'Optional Adjustment 14'!G526*$AF$1</f>
        <v>0</v>
      </c>
      <c r="AG526" s="133">
        <f>'Optional Adjustment 15'!G526*$AG$1</f>
        <v>0</v>
      </c>
      <c r="AH526" s="133">
        <f>'Optional Adjustment 16'!G526*$AH$1</f>
        <v>0</v>
      </c>
      <c r="AI526" s="133">
        <f>'Optional Adjustment 17'!G526*$AI$1</f>
        <v>0</v>
      </c>
      <c r="AJ526" s="133">
        <f>'Optional Adjustment 18'!G526*$AJ$1</f>
        <v>0</v>
      </c>
      <c r="AK526" s="133">
        <f>'Optional Adjustment 19'!G526*$AK$1</f>
        <v>0</v>
      </c>
      <c r="AL526" s="133">
        <f>'Optional Adjustment 20'!G526*$AL$1</f>
        <v>0</v>
      </c>
      <c r="AM526" s="133">
        <f>'Optional Adjustment 21'!G526*$AM$1</f>
        <v>0</v>
      </c>
      <c r="AN526" s="133">
        <f>'Optional Adjustment 22'!G526*$AN$1</f>
        <v>0</v>
      </c>
      <c r="AO526" s="133">
        <f>'Optional Adjustment 23'!G526*$AO$1</f>
        <v>0</v>
      </c>
      <c r="AP526" s="133">
        <f>'Optional Adjustment 24'!G526*$AP$1</f>
        <v>0</v>
      </c>
      <c r="AQ526" s="133">
        <f>'Optional Adjustment 25'!G526*$AQ$1</f>
        <v>0</v>
      </c>
      <c r="AR526" s="133">
        <f>'Optional Adjustment 26'!G526*$AR$1</f>
        <v>0</v>
      </c>
      <c r="AS526" s="133">
        <f>'Optional Adjustment 27'!G526*$AS$1</f>
        <v>0</v>
      </c>
      <c r="AT526" s="133"/>
      <c r="AU526" s="133">
        <f>SUM(F526:AT526)</f>
        <v>0</v>
      </c>
      <c r="AV526" s="116"/>
      <c r="AW526" s="133">
        <f>SUM(AU526:AU526)</f>
        <v>0</v>
      </c>
      <c r="AX526" s="133">
        <f>+AW526-'ROR-Model'!G526</f>
        <v>0</v>
      </c>
    </row>
    <row r="527" spans="1:50">
      <c r="A527" s="134"/>
      <c r="B527" s="106"/>
      <c r="C527" s="106" t="s">
        <v>24</v>
      </c>
      <c r="D527" s="106"/>
      <c r="E527" s="331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33"/>
      <c r="R527" s="133"/>
      <c r="S527" s="133"/>
      <c r="T527" s="133">
        <f>'Optional Adjustment 2'!G527*$T$1</f>
        <v>0</v>
      </c>
      <c r="U527" s="133">
        <f>'Optional Adjustment 3'!G527*$U$1</f>
        <v>0</v>
      </c>
      <c r="V527" s="133">
        <f>'Optional Adjustment 4'!G527*$V$1</f>
        <v>0</v>
      </c>
      <c r="W527" s="133">
        <f>'Optional Adjustment 5'!G527*$W$1</f>
        <v>0</v>
      </c>
      <c r="X527" s="133">
        <f>'Optional Adjustment 6'!G527*$X$1</f>
        <v>0</v>
      </c>
      <c r="Y527" s="133">
        <f>'Optional Adjustment 7'!G527*$Y$1</f>
        <v>0</v>
      </c>
      <c r="Z527" s="133">
        <f>'Optional Adjustment 8'!G527*$Z$1</f>
        <v>0</v>
      </c>
      <c r="AA527" s="133">
        <f>'Optional Adjustment 9'!G527*$AA$1</f>
        <v>0</v>
      </c>
      <c r="AB527" s="133">
        <f>'Optional Adjustment 10'!G527*$AB$1</f>
        <v>0</v>
      </c>
      <c r="AC527" s="133">
        <f>'Optional Adjustment 11'!G527*$AC$1</f>
        <v>0</v>
      </c>
      <c r="AD527" s="133">
        <f>'Optional Adjustment 12'!G527*$AD$1</f>
        <v>0</v>
      </c>
      <c r="AE527" s="133">
        <f>'Optional Adjustment 13'!G527*$AE$1</f>
        <v>0</v>
      </c>
      <c r="AF527" s="133">
        <f>'Optional Adjustment 14'!G527*$AF$1</f>
        <v>0</v>
      </c>
      <c r="AG527" s="133">
        <f>'Optional Adjustment 15'!G527*$AG$1</f>
        <v>0</v>
      </c>
      <c r="AH527" s="133">
        <f>'Optional Adjustment 16'!G527*$AH$1</f>
        <v>0</v>
      </c>
      <c r="AI527" s="133">
        <f>'Optional Adjustment 17'!G527*$AI$1</f>
        <v>0</v>
      </c>
      <c r="AJ527" s="133">
        <f>'Optional Adjustment 18'!G527*$AJ$1</f>
        <v>0</v>
      </c>
      <c r="AK527" s="133">
        <f>'Optional Adjustment 19'!G527*$AK$1</f>
        <v>0</v>
      </c>
      <c r="AL527" s="133">
        <f>'Optional Adjustment 20'!G527*$AL$1</f>
        <v>0</v>
      </c>
      <c r="AM527" s="133">
        <f>'Optional Adjustment 21'!G527*$AM$1</f>
        <v>0</v>
      </c>
      <c r="AN527" s="133">
        <f>'Optional Adjustment 22'!G527*$AN$1</f>
        <v>0</v>
      </c>
      <c r="AO527" s="133">
        <f>'Optional Adjustment 23'!G527*$AO$1</f>
        <v>0</v>
      </c>
      <c r="AP527" s="133">
        <f>'Optional Adjustment 24'!G527*$AP$1</f>
        <v>0</v>
      </c>
      <c r="AQ527" s="133">
        <f>'Optional Adjustment 25'!G527*$AQ$1</f>
        <v>0</v>
      </c>
      <c r="AR527" s="133">
        <f>'Optional Adjustment 26'!G527*$AR$1</f>
        <v>0</v>
      </c>
      <c r="AS527" s="133">
        <f>'Optional Adjustment 27'!G527*$AS$1</f>
        <v>0</v>
      </c>
      <c r="AT527" s="133"/>
      <c r="AU527" s="133">
        <f>SUM(F527:AT527)</f>
        <v>0</v>
      </c>
      <c r="AV527" s="116"/>
      <c r="AW527" s="133">
        <f>SUM(AU527:AU527)</f>
        <v>0</v>
      </c>
      <c r="AX527" s="133">
        <f>+AW527-'ROR-Model'!G527</f>
        <v>0</v>
      </c>
    </row>
    <row r="528" spans="1:50">
      <c r="A528" s="134"/>
      <c r="B528" s="106"/>
      <c r="C528" s="106" t="s">
        <v>170</v>
      </c>
      <c r="D528" s="106"/>
      <c r="E528" s="331"/>
      <c r="F528" s="131">
        <f>SUM(F526:F527)</f>
        <v>0</v>
      </c>
      <c r="G528" s="131"/>
      <c r="H528" s="131">
        <f>H1*SUM(H526:H527)</f>
        <v>0</v>
      </c>
      <c r="I528" s="131">
        <f>SUM(I526:I527)</f>
        <v>0</v>
      </c>
      <c r="J528" s="131">
        <f t="shared" ref="J528:P528" si="644">SUM(J526:J527)</f>
        <v>0</v>
      </c>
      <c r="K528" s="131">
        <f t="shared" si="644"/>
        <v>0</v>
      </c>
      <c r="L528" s="131">
        <f t="shared" si="644"/>
        <v>0</v>
      </c>
      <c r="M528" s="131">
        <f t="shared" si="644"/>
        <v>0</v>
      </c>
      <c r="N528" s="131">
        <f t="shared" si="644"/>
        <v>0</v>
      </c>
      <c r="O528" s="131">
        <f t="shared" si="644"/>
        <v>0</v>
      </c>
      <c r="P528" s="131">
        <f t="shared" si="644"/>
        <v>0</v>
      </c>
      <c r="Q528" s="241">
        <f>SUM(Q526:Q527)</f>
        <v>0</v>
      </c>
      <c r="R528" s="241">
        <f>SUM(R526:R527)</f>
        <v>0</v>
      </c>
      <c r="S528" s="556"/>
      <c r="T528" s="556">
        <f t="shared" ref="T528:AG528" si="645">SUM(T526:T527)</f>
        <v>0</v>
      </c>
      <c r="U528" s="556">
        <f t="shared" si="645"/>
        <v>0</v>
      </c>
      <c r="V528" s="556">
        <f t="shared" si="645"/>
        <v>0</v>
      </c>
      <c r="W528" s="556">
        <f t="shared" si="645"/>
        <v>0</v>
      </c>
      <c r="X528" s="556">
        <f t="shared" si="645"/>
        <v>0</v>
      </c>
      <c r="Y528" s="556">
        <f t="shared" si="645"/>
        <v>0</v>
      </c>
      <c r="Z528" s="556">
        <f t="shared" si="645"/>
        <v>0</v>
      </c>
      <c r="AA528" s="556">
        <f t="shared" si="645"/>
        <v>0</v>
      </c>
      <c r="AB528" s="556">
        <f t="shared" si="645"/>
        <v>0</v>
      </c>
      <c r="AC528" s="556">
        <f t="shared" si="645"/>
        <v>0</v>
      </c>
      <c r="AD528" s="556">
        <f t="shared" si="645"/>
        <v>0</v>
      </c>
      <c r="AE528" s="556">
        <f t="shared" si="645"/>
        <v>0</v>
      </c>
      <c r="AF528" s="556">
        <f t="shared" si="645"/>
        <v>0</v>
      </c>
      <c r="AG528" s="556">
        <f t="shared" si="645"/>
        <v>0</v>
      </c>
      <c r="AH528" s="556">
        <f t="shared" ref="AH528:AK528" si="646">SUM(AH526:AH527)</f>
        <v>0</v>
      </c>
      <c r="AI528" s="556">
        <f t="shared" si="646"/>
        <v>0</v>
      </c>
      <c r="AJ528" s="556">
        <f t="shared" si="646"/>
        <v>0</v>
      </c>
      <c r="AK528" s="556">
        <f t="shared" si="646"/>
        <v>0</v>
      </c>
      <c r="AL528" s="556">
        <f t="shared" ref="AL528:AP528" si="647">SUM(AL526:AL527)</f>
        <v>0</v>
      </c>
      <c r="AM528" s="556">
        <f t="shared" si="647"/>
        <v>0</v>
      </c>
      <c r="AN528" s="556">
        <f t="shared" si="647"/>
        <v>0</v>
      </c>
      <c r="AO528" s="556">
        <f t="shared" si="647"/>
        <v>0</v>
      </c>
      <c r="AP528" s="556">
        <f t="shared" si="647"/>
        <v>0</v>
      </c>
      <c r="AQ528" s="556">
        <f t="shared" ref="AQ528:AS528" si="648">SUM(AQ526:AQ527)</f>
        <v>0</v>
      </c>
      <c r="AR528" s="556">
        <f t="shared" si="648"/>
        <v>0</v>
      </c>
      <c r="AS528" s="556">
        <f t="shared" si="648"/>
        <v>0</v>
      </c>
      <c r="AT528" s="556"/>
      <c r="AU528" s="241">
        <f>SUM(AU526:AU527)</f>
        <v>0</v>
      </c>
      <c r="AV528" s="131"/>
      <c r="AW528" s="241">
        <f>SUM(AW526:AW527)</f>
        <v>0</v>
      </c>
      <c r="AX528" s="241">
        <f>+AW528-'ROR-Model'!G528</f>
        <v>0</v>
      </c>
    </row>
    <row r="529" spans="1:50">
      <c r="A529" s="134"/>
      <c r="B529" s="106"/>
      <c r="C529" s="106"/>
      <c r="D529" s="106"/>
      <c r="E529" s="331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16"/>
      <c r="AW529" s="133"/>
      <c r="AX529" s="133">
        <f>+AW529-'ROR-Model'!G529</f>
        <v>0</v>
      </c>
    </row>
    <row r="530" spans="1:50">
      <c r="A530" s="134">
        <v>759</v>
      </c>
      <c r="B530" s="106" t="s">
        <v>347</v>
      </c>
      <c r="C530" s="106"/>
      <c r="D530" s="106"/>
      <c r="E530" s="331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16"/>
      <c r="AW530" s="133"/>
      <c r="AX530" s="133">
        <f>+AW530-'ROR-Model'!G530</f>
        <v>0</v>
      </c>
    </row>
    <row r="531" spans="1:50">
      <c r="A531" s="134"/>
      <c r="B531" s="106"/>
      <c r="C531" s="106" t="s">
        <v>14</v>
      </c>
      <c r="D531" s="106"/>
      <c r="E531" s="331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33"/>
      <c r="R531" s="133"/>
      <c r="S531" s="133"/>
      <c r="T531" s="133">
        <f>'Optional Adjustment 2'!G531*$T$1</f>
        <v>0</v>
      </c>
      <c r="U531" s="133">
        <f>'Optional Adjustment 3'!G531*$U$1</f>
        <v>0</v>
      </c>
      <c r="V531" s="133">
        <f>'Optional Adjustment 4'!G531*$V$1</f>
        <v>0</v>
      </c>
      <c r="W531" s="133">
        <f>'Optional Adjustment 5'!G531*$W$1</f>
        <v>0</v>
      </c>
      <c r="X531" s="133">
        <f>'Optional Adjustment 6'!G531*$X$1</f>
        <v>0</v>
      </c>
      <c r="Y531" s="133">
        <f>'Optional Adjustment 7'!G531*$Y$1</f>
        <v>0</v>
      </c>
      <c r="Z531" s="133">
        <f>'Optional Adjustment 8'!G531*$Z$1</f>
        <v>0</v>
      </c>
      <c r="AA531" s="133">
        <f>'Optional Adjustment 9'!G531*$AA$1</f>
        <v>0</v>
      </c>
      <c r="AB531" s="133">
        <f>'Optional Adjustment 10'!G531*$AB$1</f>
        <v>0</v>
      </c>
      <c r="AC531" s="133">
        <f>'Optional Adjustment 11'!G531*$AC$1</f>
        <v>0</v>
      </c>
      <c r="AD531" s="133">
        <f>'Optional Adjustment 12'!G531*$AD$1</f>
        <v>0</v>
      </c>
      <c r="AE531" s="133">
        <f>'Optional Adjustment 13'!G531*$AE$1</f>
        <v>0</v>
      </c>
      <c r="AF531" s="133">
        <f>'Optional Adjustment 14'!G531*$AF$1</f>
        <v>0</v>
      </c>
      <c r="AG531" s="133">
        <f>'Optional Adjustment 15'!G531*$AG$1</f>
        <v>0</v>
      </c>
      <c r="AH531" s="133">
        <f>'Optional Adjustment 16'!G531*$AH$1</f>
        <v>0</v>
      </c>
      <c r="AI531" s="133">
        <f>'Optional Adjustment 17'!G531*$AI$1</f>
        <v>0</v>
      </c>
      <c r="AJ531" s="133">
        <f>'Optional Adjustment 18'!G531*$AJ$1</f>
        <v>0</v>
      </c>
      <c r="AK531" s="133">
        <f>'Optional Adjustment 19'!G531*$AK$1</f>
        <v>0</v>
      </c>
      <c r="AL531" s="133">
        <f>'Optional Adjustment 20'!G531*$AL$1</f>
        <v>0</v>
      </c>
      <c r="AM531" s="133">
        <f>'Optional Adjustment 21'!G531*$AM$1</f>
        <v>0</v>
      </c>
      <c r="AN531" s="133">
        <f>'Optional Adjustment 22'!G531*$AN$1</f>
        <v>0</v>
      </c>
      <c r="AO531" s="133">
        <f>'Optional Adjustment 23'!G531*$AO$1</f>
        <v>0</v>
      </c>
      <c r="AP531" s="133">
        <f>'Optional Adjustment 24'!G531*$AP$1</f>
        <v>0</v>
      </c>
      <c r="AQ531" s="133">
        <f>'Optional Adjustment 25'!G531*$AQ$1</f>
        <v>0</v>
      </c>
      <c r="AR531" s="133">
        <f>'Optional Adjustment 26'!G531*$AR$1</f>
        <v>0</v>
      </c>
      <c r="AS531" s="133">
        <f>'Optional Adjustment 27'!G531*$AS$1</f>
        <v>0</v>
      </c>
      <c r="AT531" s="133"/>
      <c r="AU531" s="133">
        <f>SUM(F531:AT531)</f>
        <v>0</v>
      </c>
      <c r="AV531" s="116"/>
      <c r="AW531" s="133">
        <f>SUM(AU531:AU531)</f>
        <v>0</v>
      </c>
      <c r="AX531" s="133">
        <f>+AW531-'ROR-Model'!G531</f>
        <v>0</v>
      </c>
    </row>
    <row r="532" spans="1:50">
      <c r="A532" s="134"/>
      <c r="B532" s="106"/>
      <c r="C532" s="106" t="s">
        <v>24</v>
      </c>
      <c r="D532" s="106"/>
      <c r="E532" s="331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33"/>
      <c r="R532" s="133"/>
      <c r="S532" s="133"/>
      <c r="T532" s="133">
        <f>'Optional Adjustment 2'!G532*$T$1</f>
        <v>0</v>
      </c>
      <c r="U532" s="133">
        <f>'Optional Adjustment 3'!G532*$U$1</f>
        <v>0</v>
      </c>
      <c r="V532" s="133">
        <f>'Optional Adjustment 4'!G532*$V$1</f>
        <v>0</v>
      </c>
      <c r="W532" s="133">
        <f>'Optional Adjustment 5'!G532*$W$1</f>
        <v>0</v>
      </c>
      <c r="X532" s="133">
        <f>'Optional Adjustment 6'!G532*$X$1</f>
        <v>0</v>
      </c>
      <c r="Y532" s="133">
        <f>'Optional Adjustment 7'!G532*$Y$1</f>
        <v>0</v>
      </c>
      <c r="Z532" s="133">
        <f>'Optional Adjustment 8'!G532*$Z$1</f>
        <v>0</v>
      </c>
      <c r="AA532" s="133">
        <f>'Optional Adjustment 9'!G532*$AA$1</f>
        <v>0</v>
      </c>
      <c r="AB532" s="133">
        <f>'Optional Adjustment 10'!G532*$AB$1</f>
        <v>0</v>
      </c>
      <c r="AC532" s="133">
        <f>'Optional Adjustment 11'!G532*$AC$1</f>
        <v>0</v>
      </c>
      <c r="AD532" s="133">
        <f>'Optional Adjustment 12'!G532*$AD$1</f>
        <v>0</v>
      </c>
      <c r="AE532" s="133">
        <f>'Optional Adjustment 13'!G532*$AE$1</f>
        <v>0</v>
      </c>
      <c r="AF532" s="133">
        <f>'Optional Adjustment 14'!G532*$AF$1</f>
        <v>0</v>
      </c>
      <c r="AG532" s="133">
        <f>'Optional Adjustment 15'!G532*$AG$1</f>
        <v>0</v>
      </c>
      <c r="AH532" s="133">
        <f>'Optional Adjustment 16'!G532*$AH$1</f>
        <v>0</v>
      </c>
      <c r="AI532" s="133">
        <f>'Optional Adjustment 17'!G532*$AI$1</f>
        <v>0</v>
      </c>
      <c r="AJ532" s="133">
        <f>'Optional Adjustment 18'!G532*$AJ$1</f>
        <v>0</v>
      </c>
      <c r="AK532" s="133">
        <f>'Optional Adjustment 19'!G532*$AK$1</f>
        <v>0</v>
      </c>
      <c r="AL532" s="133">
        <f>'Optional Adjustment 20'!G532*$AL$1</f>
        <v>0</v>
      </c>
      <c r="AM532" s="133">
        <f>'Optional Adjustment 21'!G532*$AM$1</f>
        <v>0</v>
      </c>
      <c r="AN532" s="133">
        <f>'Optional Adjustment 22'!G532*$AN$1</f>
        <v>0</v>
      </c>
      <c r="AO532" s="133">
        <f>'Optional Adjustment 23'!G532*$AO$1</f>
        <v>0</v>
      </c>
      <c r="AP532" s="133">
        <f>'Optional Adjustment 24'!G532*$AP$1</f>
        <v>0</v>
      </c>
      <c r="AQ532" s="133">
        <f>'Optional Adjustment 25'!G532*$AQ$1</f>
        <v>0</v>
      </c>
      <c r="AR532" s="133">
        <f>'Optional Adjustment 26'!G532*$AR$1</f>
        <v>0</v>
      </c>
      <c r="AS532" s="133">
        <f>'Optional Adjustment 27'!G532*$AS$1</f>
        <v>0</v>
      </c>
      <c r="AT532" s="133"/>
      <c r="AU532" s="133">
        <f>SUM(F532:AT532)</f>
        <v>0</v>
      </c>
      <c r="AV532" s="116"/>
      <c r="AW532" s="133">
        <f>SUM(AU532:AU532)</f>
        <v>0</v>
      </c>
      <c r="AX532" s="133">
        <f>+AW532-'ROR-Model'!G532</f>
        <v>0</v>
      </c>
    </row>
    <row r="533" spans="1:50">
      <c r="A533" s="134"/>
      <c r="B533" s="106"/>
      <c r="C533" s="106" t="s">
        <v>170</v>
      </c>
      <c r="D533" s="106"/>
      <c r="E533" s="331"/>
      <c r="F533" s="131">
        <f>SUM(F531:F532)</f>
        <v>0</v>
      </c>
      <c r="G533" s="131"/>
      <c r="H533" s="131">
        <f>H1*SUM(H531:H532)</f>
        <v>0</v>
      </c>
      <c r="I533" s="131">
        <f>SUM(I531:I532)</f>
        <v>0</v>
      </c>
      <c r="J533" s="131">
        <f t="shared" ref="J533:P533" si="649">SUM(J531:J532)</f>
        <v>0</v>
      </c>
      <c r="K533" s="131">
        <f t="shared" si="649"/>
        <v>0</v>
      </c>
      <c r="L533" s="131">
        <f t="shared" si="649"/>
        <v>0</v>
      </c>
      <c r="M533" s="131">
        <f t="shared" si="649"/>
        <v>0</v>
      </c>
      <c r="N533" s="131">
        <f t="shared" si="649"/>
        <v>0</v>
      </c>
      <c r="O533" s="131">
        <f t="shared" si="649"/>
        <v>0</v>
      </c>
      <c r="P533" s="131">
        <f t="shared" si="649"/>
        <v>0</v>
      </c>
      <c r="Q533" s="241">
        <f>SUM(Q531:Q532)</f>
        <v>0</v>
      </c>
      <c r="R533" s="241">
        <f>SUM(R531:R532)</f>
        <v>0</v>
      </c>
      <c r="S533" s="556"/>
      <c r="T533" s="556">
        <f t="shared" ref="T533:AG533" si="650">SUM(T531:T532)</f>
        <v>0</v>
      </c>
      <c r="U533" s="556">
        <f t="shared" si="650"/>
        <v>0</v>
      </c>
      <c r="V533" s="556">
        <f t="shared" si="650"/>
        <v>0</v>
      </c>
      <c r="W533" s="556">
        <f t="shared" si="650"/>
        <v>0</v>
      </c>
      <c r="X533" s="556">
        <f t="shared" si="650"/>
        <v>0</v>
      </c>
      <c r="Y533" s="556">
        <f t="shared" si="650"/>
        <v>0</v>
      </c>
      <c r="Z533" s="556">
        <f t="shared" si="650"/>
        <v>0</v>
      </c>
      <c r="AA533" s="556">
        <f t="shared" si="650"/>
        <v>0</v>
      </c>
      <c r="AB533" s="556">
        <f t="shared" si="650"/>
        <v>0</v>
      </c>
      <c r="AC533" s="556">
        <f t="shared" si="650"/>
        <v>0</v>
      </c>
      <c r="AD533" s="556">
        <f t="shared" si="650"/>
        <v>0</v>
      </c>
      <c r="AE533" s="556">
        <f t="shared" si="650"/>
        <v>0</v>
      </c>
      <c r="AF533" s="556">
        <f t="shared" si="650"/>
        <v>0</v>
      </c>
      <c r="AG533" s="556">
        <f t="shared" si="650"/>
        <v>0</v>
      </c>
      <c r="AH533" s="556">
        <f t="shared" ref="AH533:AK533" si="651">SUM(AH531:AH532)</f>
        <v>0</v>
      </c>
      <c r="AI533" s="556">
        <f t="shared" si="651"/>
        <v>0</v>
      </c>
      <c r="AJ533" s="556">
        <f t="shared" si="651"/>
        <v>0</v>
      </c>
      <c r="AK533" s="556">
        <f t="shared" si="651"/>
        <v>0</v>
      </c>
      <c r="AL533" s="556">
        <f t="shared" ref="AL533:AP533" si="652">SUM(AL531:AL532)</f>
        <v>0</v>
      </c>
      <c r="AM533" s="556">
        <f t="shared" si="652"/>
        <v>0</v>
      </c>
      <c r="AN533" s="556">
        <f t="shared" si="652"/>
        <v>0</v>
      </c>
      <c r="AO533" s="556">
        <f t="shared" si="652"/>
        <v>0</v>
      </c>
      <c r="AP533" s="556">
        <f t="shared" si="652"/>
        <v>0</v>
      </c>
      <c r="AQ533" s="556">
        <f t="shared" ref="AQ533:AS533" si="653">SUM(AQ531:AQ532)</f>
        <v>0</v>
      </c>
      <c r="AR533" s="556">
        <f t="shared" si="653"/>
        <v>0</v>
      </c>
      <c r="AS533" s="556">
        <f t="shared" si="653"/>
        <v>0</v>
      </c>
      <c r="AT533" s="556"/>
      <c r="AU533" s="241">
        <f>SUM(AU531:AU532)</f>
        <v>0</v>
      </c>
      <c r="AV533" s="131"/>
      <c r="AW533" s="241">
        <f>SUM(AW531:AW532)</f>
        <v>0</v>
      </c>
      <c r="AX533" s="241">
        <f>+AW533-'ROR-Model'!G533</f>
        <v>0</v>
      </c>
    </row>
    <row r="534" spans="1:50">
      <c r="A534" s="134"/>
      <c r="B534" s="106"/>
      <c r="C534" s="106"/>
      <c r="D534" s="106"/>
      <c r="E534" s="331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16"/>
      <c r="AW534" s="133"/>
      <c r="AX534" s="133">
        <f>+AW534-'ROR-Model'!G534</f>
        <v>0</v>
      </c>
    </row>
    <row r="535" spans="1:50">
      <c r="A535" s="134">
        <v>759</v>
      </c>
      <c r="B535" s="106" t="s">
        <v>348</v>
      </c>
      <c r="C535" s="106"/>
      <c r="D535" s="106"/>
      <c r="E535" s="331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16"/>
      <c r="AW535" s="133"/>
      <c r="AX535" s="133">
        <f>+AW535-'ROR-Model'!G535</f>
        <v>0</v>
      </c>
    </row>
    <row r="536" spans="1:50">
      <c r="A536" s="134"/>
      <c r="B536" s="106"/>
      <c r="C536" s="106" t="s">
        <v>14</v>
      </c>
      <c r="D536" s="106"/>
      <c r="E536" s="331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33"/>
      <c r="R536" s="133"/>
      <c r="S536" s="133"/>
      <c r="T536" s="133">
        <f>'Optional Adjustment 2'!G536*$T$1</f>
        <v>0</v>
      </c>
      <c r="U536" s="133">
        <f>'Optional Adjustment 3'!G536*$U$1</f>
        <v>0</v>
      </c>
      <c r="V536" s="133">
        <f>'Optional Adjustment 4'!G536*$V$1</f>
        <v>0</v>
      </c>
      <c r="W536" s="133">
        <f>'Optional Adjustment 5'!G536*$W$1</f>
        <v>0</v>
      </c>
      <c r="X536" s="133">
        <f>'Optional Adjustment 6'!G536*$X$1</f>
        <v>0</v>
      </c>
      <c r="Y536" s="133">
        <f>'Optional Adjustment 7'!G536*$Y$1</f>
        <v>0</v>
      </c>
      <c r="Z536" s="133">
        <f>'Optional Adjustment 8'!G536*$Z$1</f>
        <v>0</v>
      </c>
      <c r="AA536" s="133">
        <f>'Optional Adjustment 9'!G536*$AA$1</f>
        <v>0</v>
      </c>
      <c r="AB536" s="133">
        <f>'Optional Adjustment 10'!G536*$AB$1</f>
        <v>0</v>
      </c>
      <c r="AC536" s="133">
        <f>'Optional Adjustment 11'!G536*$AC$1</f>
        <v>0</v>
      </c>
      <c r="AD536" s="133">
        <f>'Optional Adjustment 12'!G536*$AD$1</f>
        <v>0</v>
      </c>
      <c r="AE536" s="133">
        <f>'Optional Adjustment 13'!G536*$AE$1</f>
        <v>0</v>
      </c>
      <c r="AF536" s="133">
        <f>'Optional Adjustment 14'!G536*$AF$1</f>
        <v>0</v>
      </c>
      <c r="AG536" s="133">
        <f>'Optional Adjustment 15'!G536*$AG$1</f>
        <v>0</v>
      </c>
      <c r="AH536" s="133">
        <f>'Optional Adjustment 16'!G536*$AH$1</f>
        <v>0</v>
      </c>
      <c r="AI536" s="133">
        <f>'Optional Adjustment 17'!G536*$AI$1</f>
        <v>0</v>
      </c>
      <c r="AJ536" s="133">
        <f>'Optional Adjustment 18'!G536*$AJ$1</f>
        <v>0</v>
      </c>
      <c r="AK536" s="133">
        <f>'Optional Adjustment 19'!G536*$AK$1</f>
        <v>0</v>
      </c>
      <c r="AL536" s="133">
        <f>'Optional Adjustment 20'!G536*$AL$1</f>
        <v>0</v>
      </c>
      <c r="AM536" s="133">
        <f>'Optional Adjustment 21'!G536*$AM$1</f>
        <v>0</v>
      </c>
      <c r="AN536" s="133">
        <f>'Optional Adjustment 22'!G536*$AN$1</f>
        <v>0</v>
      </c>
      <c r="AO536" s="133">
        <f>'Optional Adjustment 23'!G536*$AO$1</f>
        <v>0</v>
      </c>
      <c r="AP536" s="133">
        <f>'Optional Adjustment 24'!G536*$AP$1</f>
        <v>0</v>
      </c>
      <c r="AQ536" s="133">
        <f>'Optional Adjustment 25'!G536*$AQ$1</f>
        <v>0</v>
      </c>
      <c r="AR536" s="133">
        <f>'Optional Adjustment 26'!G536*$AR$1</f>
        <v>0</v>
      </c>
      <c r="AS536" s="133">
        <f>'Optional Adjustment 27'!G536*$AS$1</f>
        <v>0</v>
      </c>
      <c r="AT536" s="133"/>
      <c r="AU536" s="133">
        <f>SUM(F536:AT536)</f>
        <v>0</v>
      </c>
      <c r="AV536" s="116"/>
      <c r="AW536" s="133">
        <f>SUM(AU536:AU536)</f>
        <v>0</v>
      </c>
      <c r="AX536" s="133">
        <f>+AW536-'ROR-Model'!G536</f>
        <v>0</v>
      </c>
    </row>
    <row r="537" spans="1:50">
      <c r="A537" s="134"/>
      <c r="B537" s="106"/>
      <c r="C537" s="106" t="s">
        <v>24</v>
      </c>
      <c r="D537" s="106"/>
      <c r="E537" s="331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33"/>
      <c r="R537" s="133"/>
      <c r="S537" s="133"/>
      <c r="T537" s="133">
        <f>'Optional Adjustment 2'!G537*$T$1</f>
        <v>0</v>
      </c>
      <c r="U537" s="133">
        <f>'Optional Adjustment 3'!G537*$U$1</f>
        <v>0</v>
      </c>
      <c r="V537" s="133">
        <f>'Optional Adjustment 4'!G537*$V$1</f>
        <v>0</v>
      </c>
      <c r="W537" s="133">
        <f>'Optional Adjustment 5'!G537*$W$1</f>
        <v>0</v>
      </c>
      <c r="X537" s="133">
        <f>'Optional Adjustment 6'!G537*$X$1</f>
        <v>0</v>
      </c>
      <c r="Y537" s="133">
        <f>'Optional Adjustment 7'!G537*$Y$1</f>
        <v>0</v>
      </c>
      <c r="Z537" s="133">
        <f>'Optional Adjustment 8'!G537*$Z$1</f>
        <v>0</v>
      </c>
      <c r="AA537" s="133">
        <f>'Optional Adjustment 9'!G537*$AA$1</f>
        <v>0</v>
      </c>
      <c r="AB537" s="133">
        <f>'Optional Adjustment 10'!G537*$AB$1</f>
        <v>0</v>
      </c>
      <c r="AC537" s="133">
        <f>'Optional Adjustment 11'!G537*$AC$1</f>
        <v>0</v>
      </c>
      <c r="AD537" s="133">
        <f>'Optional Adjustment 12'!G537*$AD$1</f>
        <v>0</v>
      </c>
      <c r="AE537" s="133">
        <f>'Optional Adjustment 13'!G537*$AE$1</f>
        <v>0</v>
      </c>
      <c r="AF537" s="133">
        <f>'Optional Adjustment 14'!G537*$AF$1</f>
        <v>0</v>
      </c>
      <c r="AG537" s="133">
        <f>'Optional Adjustment 15'!G537*$AG$1</f>
        <v>0</v>
      </c>
      <c r="AH537" s="133">
        <f>'Optional Adjustment 16'!G537*$AH$1</f>
        <v>0</v>
      </c>
      <c r="AI537" s="133">
        <f>'Optional Adjustment 17'!G537*$AI$1</f>
        <v>0</v>
      </c>
      <c r="AJ537" s="133">
        <f>'Optional Adjustment 18'!G537*$AJ$1</f>
        <v>0</v>
      </c>
      <c r="AK537" s="133">
        <f>'Optional Adjustment 19'!G537*$AK$1</f>
        <v>0</v>
      </c>
      <c r="AL537" s="133">
        <f>'Optional Adjustment 20'!G537*$AL$1</f>
        <v>0</v>
      </c>
      <c r="AM537" s="133">
        <f>'Optional Adjustment 21'!G537*$AM$1</f>
        <v>0</v>
      </c>
      <c r="AN537" s="133">
        <f>'Optional Adjustment 22'!G537*$AN$1</f>
        <v>0</v>
      </c>
      <c r="AO537" s="133">
        <f>'Optional Adjustment 23'!G537*$AO$1</f>
        <v>0</v>
      </c>
      <c r="AP537" s="133">
        <f>'Optional Adjustment 24'!G537*$AP$1</f>
        <v>0</v>
      </c>
      <c r="AQ537" s="133">
        <f>'Optional Adjustment 25'!G537*$AQ$1</f>
        <v>0</v>
      </c>
      <c r="AR537" s="133">
        <f>'Optional Adjustment 26'!G537*$AR$1</f>
        <v>0</v>
      </c>
      <c r="AS537" s="133">
        <f>'Optional Adjustment 27'!G537*$AS$1</f>
        <v>0</v>
      </c>
      <c r="AT537" s="133"/>
      <c r="AU537" s="133">
        <f>SUM(F537:AT537)</f>
        <v>0</v>
      </c>
      <c r="AV537" s="116"/>
      <c r="AW537" s="133">
        <f>SUM(AU537:AU537)</f>
        <v>0</v>
      </c>
      <c r="AX537" s="133">
        <f>+AW537-'ROR-Model'!G537</f>
        <v>0</v>
      </c>
    </row>
    <row r="538" spans="1:50">
      <c r="A538" s="134"/>
      <c r="B538" s="106"/>
      <c r="C538" s="106" t="s">
        <v>170</v>
      </c>
      <c r="D538" s="106"/>
      <c r="E538" s="331"/>
      <c r="F538" s="131">
        <f>SUM(F536:F537)</f>
        <v>0</v>
      </c>
      <c r="G538" s="131"/>
      <c r="H538" s="131">
        <f>H1*SUM(H536:H537)</f>
        <v>0</v>
      </c>
      <c r="I538" s="131">
        <f>SUM(I536:I537)</f>
        <v>0</v>
      </c>
      <c r="J538" s="131">
        <f t="shared" ref="J538:P538" si="654">SUM(J536:J537)</f>
        <v>0</v>
      </c>
      <c r="K538" s="131">
        <f t="shared" si="654"/>
        <v>0</v>
      </c>
      <c r="L538" s="131">
        <f t="shared" si="654"/>
        <v>0</v>
      </c>
      <c r="M538" s="131">
        <f t="shared" si="654"/>
        <v>0</v>
      </c>
      <c r="N538" s="131">
        <f t="shared" si="654"/>
        <v>0</v>
      </c>
      <c r="O538" s="131">
        <f t="shared" si="654"/>
        <v>0</v>
      </c>
      <c r="P538" s="131">
        <f t="shared" si="654"/>
        <v>0</v>
      </c>
      <c r="Q538" s="241">
        <f>SUM(Q536:Q537)</f>
        <v>0</v>
      </c>
      <c r="R538" s="241">
        <f>SUM(R536:R537)</f>
        <v>0</v>
      </c>
      <c r="S538" s="556"/>
      <c r="T538" s="556">
        <f t="shared" ref="T538:AG538" si="655">SUM(T536:T537)</f>
        <v>0</v>
      </c>
      <c r="U538" s="556">
        <f t="shared" si="655"/>
        <v>0</v>
      </c>
      <c r="V538" s="556">
        <f t="shared" si="655"/>
        <v>0</v>
      </c>
      <c r="W538" s="556">
        <f t="shared" si="655"/>
        <v>0</v>
      </c>
      <c r="X538" s="556">
        <f t="shared" si="655"/>
        <v>0</v>
      </c>
      <c r="Y538" s="556">
        <f t="shared" si="655"/>
        <v>0</v>
      </c>
      <c r="Z538" s="556">
        <f t="shared" si="655"/>
        <v>0</v>
      </c>
      <c r="AA538" s="556">
        <f t="shared" si="655"/>
        <v>0</v>
      </c>
      <c r="AB538" s="556">
        <f t="shared" si="655"/>
        <v>0</v>
      </c>
      <c r="AC538" s="556">
        <f t="shared" si="655"/>
        <v>0</v>
      </c>
      <c r="AD538" s="556">
        <f t="shared" si="655"/>
        <v>0</v>
      </c>
      <c r="AE538" s="556">
        <f t="shared" si="655"/>
        <v>0</v>
      </c>
      <c r="AF538" s="556">
        <f t="shared" si="655"/>
        <v>0</v>
      </c>
      <c r="AG538" s="556">
        <f t="shared" si="655"/>
        <v>0</v>
      </c>
      <c r="AH538" s="556">
        <f t="shared" ref="AH538:AK538" si="656">SUM(AH536:AH537)</f>
        <v>0</v>
      </c>
      <c r="AI538" s="556">
        <f t="shared" si="656"/>
        <v>0</v>
      </c>
      <c r="AJ538" s="556">
        <f t="shared" si="656"/>
        <v>0</v>
      </c>
      <c r="AK538" s="556">
        <f t="shared" si="656"/>
        <v>0</v>
      </c>
      <c r="AL538" s="556">
        <f t="shared" ref="AL538:AP538" si="657">SUM(AL536:AL537)</f>
        <v>0</v>
      </c>
      <c r="AM538" s="556">
        <f t="shared" si="657"/>
        <v>0</v>
      </c>
      <c r="AN538" s="556">
        <f t="shared" si="657"/>
        <v>0</v>
      </c>
      <c r="AO538" s="556">
        <f t="shared" si="657"/>
        <v>0</v>
      </c>
      <c r="AP538" s="556">
        <f t="shared" si="657"/>
        <v>0</v>
      </c>
      <c r="AQ538" s="556">
        <f t="shared" ref="AQ538:AS538" si="658">SUM(AQ536:AQ537)</f>
        <v>0</v>
      </c>
      <c r="AR538" s="556">
        <f t="shared" si="658"/>
        <v>0</v>
      </c>
      <c r="AS538" s="556">
        <f t="shared" si="658"/>
        <v>0</v>
      </c>
      <c r="AT538" s="556"/>
      <c r="AU538" s="241">
        <f>SUM(AU536:AU537)</f>
        <v>0</v>
      </c>
      <c r="AV538" s="131"/>
      <c r="AW538" s="241">
        <f>SUM(AW536:AW537)</f>
        <v>0</v>
      </c>
      <c r="AX538" s="241">
        <f>+AW538-'ROR-Model'!G538</f>
        <v>0</v>
      </c>
    </row>
    <row r="539" spans="1:50">
      <c r="A539" s="134"/>
      <c r="B539" s="106"/>
      <c r="C539" s="106"/>
      <c r="D539" s="106"/>
      <c r="E539" s="331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16"/>
      <c r="AW539" s="133"/>
      <c r="AX539" s="133">
        <f>+AW539-'ROR-Model'!G539</f>
        <v>0</v>
      </c>
    </row>
    <row r="540" spans="1:50">
      <c r="A540" s="134">
        <v>800</v>
      </c>
      <c r="B540" s="106" t="s">
        <v>349</v>
      </c>
      <c r="C540" s="106"/>
      <c r="D540" s="106"/>
      <c r="E540" s="331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16"/>
      <c r="AW540" s="133"/>
      <c r="AX540" s="133">
        <f>+AW540-'ROR-Model'!G540</f>
        <v>0</v>
      </c>
    </row>
    <row r="541" spans="1:50">
      <c r="A541" s="134"/>
      <c r="B541" s="106"/>
      <c r="C541" s="106" t="s">
        <v>14</v>
      </c>
      <c r="D541" s="106"/>
      <c r="E541" s="331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33"/>
      <c r="R541" s="133"/>
      <c r="S541" s="133"/>
      <c r="T541" s="133">
        <f>'Optional Adjustment 2'!G541*$T$1</f>
        <v>0</v>
      </c>
      <c r="U541" s="133">
        <f>'Optional Adjustment 3'!G541*$U$1</f>
        <v>0</v>
      </c>
      <c r="V541" s="133">
        <f>'Optional Adjustment 4'!G541*$V$1</f>
        <v>0</v>
      </c>
      <c r="W541" s="133">
        <f>'Optional Adjustment 5'!G541*$W$1</f>
        <v>0</v>
      </c>
      <c r="X541" s="133">
        <f>'Optional Adjustment 6'!G541*$X$1</f>
        <v>0</v>
      </c>
      <c r="Y541" s="133">
        <f>'Optional Adjustment 7'!G541*$Y$1</f>
        <v>0</v>
      </c>
      <c r="Z541" s="133">
        <f>'Optional Adjustment 8'!G541*$Z$1</f>
        <v>0</v>
      </c>
      <c r="AA541" s="133">
        <f>'Optional Adjustment 9'!G541*$AA$1</f>
        <v>0</v>
      </c>
      <c r="AB541" s="133">
        <f>'Optional Adjustment 10'!G541*$AB$1</f>
        <v>0</v>
      </c>
      <c r="AC541" s="133">
        <f>'Optional Adjustment 11'!G541*$AC$1</f>
        <v>0</v>
      </c>
      <c r="AD541" s="133">
        <f>'Optional Adjustment 12'!G541*$AD$1</f>
        <v>0</v>
      </c>
      <c r="AE541" s="133">
        <f>'Optional Adjustment 13'!G541*$AE$1</f>
        <v>0</v>
      </c>
      <c r="AF541" s="133">
        <f>'Optional Adjustment 14'!G541*$AF$1</f>
        <v>0</v>
      </c>
      <c r="AG541" s="133">
        <f>'Optional Adjustment 15'!G541*$AG$1</f>
        <v>0</v>
      </c>
      <c r="AH541" s="133">
        <f>'Optional Adjustment 16'!G541*$AH$1</f>
        <v>0</v>
      </c>
      <c r="AI541" s="133">
        <f>'Optional Adjustment 17'!G541*$AI$1</f>
        <v>0</v>
      </c>
      <c r="AJ541" s="133">
        <f>'Optional Adjustment 18'!G541*$AJ$1</f>
        <v>0</v>
      </c>
      <c r="AK541" s="133">
        <f>'Optional Adjustment 19'!G541*$AK$1</f>
        <v>0</v>
      </c>
      <c r="AL541" s="133">
        <f>'Optional Adjustment 20'!G541*$AL$1</f>
        <v>0</v>
      </c>
      <c r="AM541" s="133">
        <f>'Optional Adjustment 21'!G541*$AM$1</f>
        <v>0</v>
      </c>
      <c r="AN541" s="133">
        <f>'Optional Adjustment 22'!G541*$AN$1</f>
        <v>0</v>
      </c>
      <c r="AO541" s="133">
        <f>'Optional Adjustment 23'!G541*$AO$1</f>
        <v>0</v>
      </c>
      <c r="AP541" s="133">
        <f>'Optional Adjustment 24'!G541*$AP$1</f>
        <v>0</v>
      </c>
      <c r="AQ541" s="133">
        <f>'Optional Adjustment 25'!G541*$AQ$1</f>
        <v>0</v>
      </c>
      <c r="AR541" s="133">
        <f>'Optional Adjustment 26'!G541*$AR$1</f>
        <v>0</v>
      </c>
      <c r="AS541" s="133">
        <f>'Optional Adjustment 27'!G541*$AS$1</f>
        <v>0</v>
      </c>
      <c r="AT541" s="133"/>
      <c r="AU541" s="133">
        <f>SUM(F541:AT541)</f>
        <v>0</v>
      </c>
      <c r="AV541" s="116"/>
      <c r="AW541" s="133">
        <f>SUM(AU541:AU541)</f>
        <v>0</v>
      </c>
      <c r="AX541" s="133">
        <f>+AW541-'ROR-Model'!G541</f>
        <v>0</v>
      </c>
    </row>
    <row r="542" spans="1:50">
      <c r="A542" s="134"/>
      <c r="B542" s="106"/>
      <c r="C542" s="106" t="s">
        <v>24</v>
      </c>
      <c r="D542" s="106"/>
      <c r="E542" s="331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33"/>
      <c r="R542" s="133"/>
      <c r="S542" s="133"/>
      <c r="T542" s="133">
        <f>'Optional Adjustment 2'!G542*$T$1</f>
        <v>0</v>
      </c>
      <c r="U542" s="133">
        <f>'Optional Adjustment 3'!G542*$U$1</f>
        <v>0</v>
      </c>
      <c r="V542" s="133">
        <f>'Optional Adjustment 4'!G542*$V$1</f>
        <v>0</v>
      </c>
      <c r="W542" s="133">
        <f>'Optional Adjustment 5'!G542*$W$1</f>
        <v>0</v>
      </c>
      <c r="X542" s="133">
        <f>'Optional Adjustment 6'!G542*$X$1</f>
        <v>0</v>
      </c>
      <c r="Y542" s="133">
        <f>'Optional Adjustment 7'!G542*$Y$1</f>
        <v>0</v>
      </c>
      <c r="Z542" s="133">
        <f>'Optional Adjustment 8'!G542*$Z$1</f>
        <v>0</v>
      </c>
      <c r="AA542" s="133">
        <f>'Optional Adjustment 9'!G542*$AA$1</f>
        <v>0</v>
      </c>
      <c r="AB542" s="133">
        <f>'Optional Adjustment 10'!G542*$AB$1</f>
        <v>0</v>
      </c>
      <c r="AC542" s="133">
        <f>'Optional Adjustment 11'!G542*$AC$1</f>
        <v>0</v>
      </c>
      <c r="AD542" s="133">
        <f>'Optional Adjustment 12'!G542*$AD$1</f>
        <v>0</v>
      </c>
      <c r="AE542" s="133">
        <f>'Optional Adjustment 13'!G542*$AE$1</f>
        <v>0</v>
      </c>
      <c r="AF542" s="133">
        <f>'Optional Adjustment 14'!G542*$AF$1</f>
        <v>0</v>
      </c>
      <c r="AG542" s="133">
        <f>'Optional Adjustment 15'!G542*$AG$1</f>
        <v>0</v>
      </c>
      <c r="AH542" s="133">
        <f>'Optional Adjustment 16'!G542*$AH$1</f>
        <v>0</v>
      </c>
      <c r="AI542" s="133">
        <f>'Optional Adjustment 17'!G542*$AI$1</f>
        <v>0</v>
      </c>
      <c r="AJ542" s="133">
        <f>'Optional Adjustment 18'!G542*$AJ$1</f>
        <v>0</v>
      </c>
      <c r="AK542" s="133">
        <f>'Optional Adjustment 19'!G542*$AK$1</f>
        <v>0</v>
      </c>
      <c r="AL542" s="133">
        <f>'Optional Adjustment 20'!G542*$AL$1</f>
        <v>0</v>
      </c>
      <c r="AM542" s="133">
        <f>'Optional Adjustment 21'!G542*$AM$1</f>
        <v>0</v>
      </c>
      <c r="AN542" s="133">
        <f>'Optional Adjustment 22'!G542*$AN$1</f>
        <v>0</v>
      </c>
      <c r="AO542" s="133">
        <f>'Optional Adjustment 23'!G542*$AO$1</f>
        <v>0</v>
      </c>
      <c r="AP542" s="133">
        <f>'Optional Adjustment 24'!G542*$AP$1</f>
        <v>0</v>
      </c>
      <c r="AQ542" s="133">
        <f>'Optional Adjustment 25'!G542*$AQ$1</f>
        <v>0</v>
      </c>
      <c r="AR542" s="133">
        <f>'Optional Adjustment 26'!G542*$AR$1</f>
        <v>0</v>
      </c>
      <c r="AS542" s="133">
        <f>'Optional Adjustment 27'!G542*$AS$1</f>
        <v>0</v>
      </c>
      <c r="AT542" s="133"/>
      <c r="AU542" s="133">
        <f>SUM(F542:AT542)</f>
        <v>0</v>
      </c>
      <c r="AV542" s="116"/>
      <c r="AW542" s="133">
        <f>SUM(AU542:AU542)</f>
        <v>0</v>
      </c>
      <c r="AX542" s="133">
        <f>+AW542-'ROR-Model'!G542</f>
        <v>0</v>
      </c>
    </row>
    <row r="543" spans="1:50">
      <c r="A543" s="134"/>
      <c r="B543" s="106"/>
      <c r="C543" s="106" t="s">
        <v>170</v>
      </c>
      <c r="D543" s="106"/>
      <c r="E543" s="331"/>
      <c r="F543" s="131">
        <f>SUM(F541:F542)</f>
        <v>0</v>
      </c>
      <c r="G543" s="131"/>
      <c r="H543" s="131">
        <f>H1*SUM(H541:H542)</f>
        <v>0</v>
      </c>
      <c r="I543" s="131">
        <f>SUM(I541:I542)</f>
        <v>0</v>
      </c>
      <c r="J543" s="131">
        <f t="shared" ref="J543:P543" si="659">SUM(J541:J542)</f>
        <v>0</v>
      </c>
      <c r="K543" s="131">
        <f t="shared" si="659"/>
        <v>0</v>
      </c>
      <c r="L543" s="131">
        <f t="shared" si="659"/>
        <v>0</v>
      </c>
      <c r="M543" s="131">
        <f t="shared" si="659"/>
        <v>0</v>
      </c>
      <c r="N543" s="131">
        <f t="shared" si="659"/>
        <v>0</v>
      </c>
      <c r="O543" s="131">
        <f t="shared" si="659"/>
        <v>0</v>
      </c>
      <c r="P543" s="131">
        <f t="shared" si="659"/>
        <v>0</v>
      </c>
      <c r="Q543" s="241">
        <f>SUM(Q541:Q542)</f>
        <v>0</v>
      </c>
      <c r="R543" s="241">
        <f>SUM(R541:R542)</f>
        <v>0</v>
      </c>
      <c r="S543" s="556"/>
      <c r="T543" s="556">
        <f t="shared" ref="T543:AG543" si="660">SUM(T541:T542)</f>
        <v>0</v>
      </c>
      <c r="U543" s="556">
        <f t="shared" si="660"/>
        <v>0</v>
      </c>
      <c r="V543" s="556">
        <f t="shared" si="660"/>
        <v>0</v>
      </c>
      <c r="W543" s="556">
        <f t="shared" si="660"/>
        <v>0</v>
      </c>
      <c r="X543" s="556">
        <f t="shared" si="660"/>
        <v>0</v>
      </c>
      <c r="Y543" s="556">
        <f t="shared" si="660"/>
        <v>0</v>
      </c>
      <c r="Z543" s="556">
        <f t="shared" si="660"/>
        <v>0</v>
      </c>
      <c r="AA543" s="556">
        <f t="shared" si="660"/>
        <v>0</v>
      </c>
      <c r="AB543" s="556">
        <f t="shared" si="660"/>
        <v>0</v>
      </c>
      <c r="AC543" s="556">
        <f t="shared" si="660"/>
        <v>0</v>
      </c>
      <c r="AD543" s="556">
        <f t="shared" si="660"/>
        <v>0</v>
      </c>
      <c r="AE543" s="556">
        <f t="shared" si="660"/>
        <v>0</v>
      </c>
      <c r="AF543" s="556">
        <f t="shared" si="660"/>
        <v>0</v>
      </c>
      <c r="AG543" s="556">
        <f t="shared" si="660"/>
        <v>0</v>
      </c>
      <c r="AH543" s="556">
        <f t="shared" ref="AH543:AK543" si="661">SUM(AH541:AH542)</f>
        <v>0</v>
      </c>
      <c r="AI543" s="556">
        <f t="shared" si="661"/>
        <v>0</v>
      </c>
      <c r="AJ543" s="556">
        <f t="shared" si="661"/>
        <v>0</v>
      </c>
      <c r="AK543" s="556">
        <f t="shared" si="661"/>
        <v>0</v>
      </c>
      <c r="AL543" s="556">
        <f t="shared" ref="AL543:AP543" si="662">SUM(AL541:AL542)</f>
        <v>0</v>
      </c>
      <c r="AM543" s="556">
        <f t="shared" si="662"/>
        <v>0</v>
      </c>
      <c r="AN543" s="556">
        <f t="shared" si="662"/>
        <v>0</v>
      </c>
      <c r="AO543" s="556">
        <f t="shared" si="662"/>
        <v>0</v>
      </c>
      <c r="AP543" s="556">
        <f t="shared" si="662"/>
        <v>0</v>
      </c>
      <c r="AQ543" s="556">
        <f t="shared" ref="AQ543:AS543" si="663">SUM(AQ541:AQ542)</f>
        <v>0</v>
      </c>
      <c r="AR543" s="556">
        <f t="shared" si="663"/>
        <v>0</v>
      </c>
      <c r="AS543" s="556">
        <f t="shared" si="663"/>
        <v>0</v>
      </c>
      <c r="AT543" s="556"/>
      <c r="AU543" s="241">
        <f>SUM(AU541:AU542)</f>
        <v>0</v>
      </c>
      <c r="AV543" s="131"/>
      <c r="AW543" s="241">
        <f>SUM(AW541:AW542)</f>
        <v>0</v>
      </c>
      <c r="AX543" s="241">
        <f>+AW543-'ROR-Model'!G543</f>
        <v>0</v>
      </c>
    </row>
    <row r="544" spans="1:50">
      <c r="A544" s="134"/>
      <c r="B544" s="106"/>
      <c r="C544" s="106"/>
      <c r="D544" s="106"/>
      <c r="E544" s="331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16"/>
      <c r="AW544" s="133"/>
      <c r="AX544" s="133">
        <f>+AW544-'ROR-Model'!G544</f>
        <v>0</v>
      </c>
    </row>
    <row r="545" spans="1:50">
      <c r="A545" s="134">
        <v>801</v>
      </c>
      <c r="B545" s="106" t="s">
        <v>350</v>
      </c>
      <c r="C545" s="106"/>
      <c r="D545" s="106"/>
      <c r="E545" s="331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16"/>
      <c r="AW545" s="133"/>
      <c r="AX545" s="133">
        <f>+AW545-'ROR-Model'!G545</f>
        <v>0</v>
      </c>
    </row>
    <row r="546" spans="1:50">
      <c r="A546" s="134"/>
      <c r="B546" s="106"/>
      <c r="C546" s="106" t="s">
        <v>14</v>
      </c>
      <c r="D546" s="106"/>
      <c r="E546" s="331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33"/>
      <c r="R546" s="133"/>
      <c r="S546" s="133"/>
      <c r="T546" s="133">
        <f>'Optional Adjustment 2'!G546*$T$1</f>
        <v>0</v>
      </c>
      <c r="U546" s="133">
        <f>'Optional Adjustment 3'!G546*$U$1</f>
        <v>0</v>
      </c>
      <c r="V546" s="133">
        <f>'Optional Adjustment 4'!G546*$V$1</f>
        <v>0</v>
      </c>
      <c r="W546" s="133">
        <f>'Optional Adjustment 5'!G546*$W$1</f>
        <v>0</v>
      </c>
      <c r="X546" s="133">
        <f>'Optional Adjustment 6'!G546*$X$1</f>
        <v>0</v>
      </c>
      <c r="Y546" s="133">
        <f>'Optional Adjustment 7'!G546*$Y$1</f>
        <v>0</v>
      </c>
      <c r="Z546" s="133">
        <f>'Optional Adjustment 8'!G546*$Z$1</f>
        <v>0</v>
      </c>
      <c r="AA546" s="133">
        <f>'Optional Adjustment 9'!G546*$AA$1</f>
        <v>0</v>
      </c>
      <c r="AB546" s="133">
        <f>'Optional Adjustment 10'!G546*$AB$1</f>
        <v>0</v>
      </c>
      <c r="AC546" s="133">
        <f>'Optional Adjustment 11'!G546*$AC$1</f>
        <v>0</v>
      </c>
      <c r="AD546" s="133">
        <f>'Optional Adjustment 12'!G546*$AD$1</f>
        <v>0</v>
      </c>
      <c r="AE546" s="133">
        <f>'Optional Adjustment 13'!G546*$AE$1</f>
        <v>0</v>
      </c>
      <c r="AF546" s="133">
        <f>'Optional Adjustment 14'!G546*$AF$1</f>
        <v>0</v>
      </c>
      <c r="AG546" s="133">
        <f>'Optional Adjustment 15'!G546*$AG$1</f>
        <v>0</v>
      </c>
      <c r="AH546" s="133">
        <f>'Optional Adjustment 16'!G546*$AH$1</f>
        <v>0</v>
      </c>
      <c r="AI546" s="133">
        <f>'Optional Adjustment 17'!G546*$AI$1</f>
        <v>0</v>
      </c>
      <c r="AJ546" s="133">
        <f>'Optional Adjustment 18'!G546*$AJ$1</f>
        <v>0</v>
      </c>
      <c r="AK546" s="133">
        <f>'Optional Adjustment 19'!G546*$AK$1</f>
        <v>0</v>
      </c>
      <c r="AL546" s="133">
        <f>'Optional Adjustment 20'!G546*$AL$1</f>
        <v>0</v>
      </c>
      <c r="AM546" s="133">
        <f>'Optional Adjustment 21'!G546*$AM$1</f>
        <v>0</v>
      </c>
      <c r="AN546" s="133">
        <f>'Optional Adjustment 22'!G546*$AN$1</f>
        <v>0</v>
      </c>
      <c r="AO546" s="133">
        <f>'Optional Adjustment 23'!G546*$AO$1</f>
        <v>0</v>
      </c>
      <c r="AP546" s="133">
        <f>'Optional Adjustment 24'!G546*$AP$1</f>
        <v>0</v>
      </c>
      <c r="AQ546" s="133">
        <f>'Optional Adjustment 25'!G546*$AQ$1</f>
        <v>0</v>
      </c>
      <c r="AR546" s="133">
        <f>'Optional Adjustment 26'!G546*$AR$1</f>
        <v>0</v>
      </c>
      <c r="AS546" s="133">
        <f>'Optional Adjustment 27'!G546*$AS$1</f>
        <v>0</v>
      </c>
      <c r="AT546" s="133"/>
      <c r="AU546" s="133">
        <f>SUM(F546:AT546)</f>
        <v>0</v>
      </c>
      <c r="AV546" s="116"/>
      <c r="AW546" s="133">
        <f>SUM(AU546:AU546)</f>
        <v>0</v>
      </c>
      <c r="AX546" s="133">
        <f>+AW546-'ROR-Model'!G546</f>
        <v>0</v>
      </c>
    </row>
    <row r="547" spans="1:50">
      <c r="A547" s="134"/>
      <c r="B547" s="106"/>
      <c r="C547" s="106" t="s">
        <v>24</v>
      </c>
      <c r="D547" s="106"/>
      <c r="E547" s="331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33"/>
      <c r="R547" s="133"/>
      <c r="S547" s="133"/>
      <c r="T547" s="133">
        <f>'Optional Adjustment 2'!G547*$T$1</f>
        <v>0</v>
      </c>
      <c r="U547" s="133">
        <f>'Optional Adjustment 3'!G547*$U$1</f>
        <v>0</v>
      </c>
      <c r="V547" s="133">
        <f>'Optional Adjustment 4'!G547*$V$1</f>
        <v>0</v>
      </c>
      <c r="W547" s="133">
        <f>'Optional Adjustment 5'!G547*$W$1</f>
        <v>0</v>
      </c>
      <c r="X547" s="133">
        <f>'Optional Adjustment 6'!G547*$X$1</f>
        <v>0</v>
      </c>
      <c r="Y547" s="133">
        <f>'Optional Adjustment 7'!G547*$Y$1</f>
        <v>0</v>
      </c>
      <c r="Z547" s="133">
        <f>'Optional Adjustment 8'!G547*$Z$1</f>
        <v>0</v>
      </c>
      <c r="AA547" s="133">
        <f>'Optional Adjustment 9'!G547*$AA$1</f>
        <v>0</v>
      </c>
      <c r="AB547" s="133">
        <f>'Optional Adjustment 10'!G547*$AB$1</f>
        <v>0</v>
      </c>
      <c r="AC547" s="133">
        <f>'Optional Adjustment 11'!G547*$AC$1</f>
        <v>0</v>
      </c>
      <c r="AD547" s="133">
        <f>'Optional Adjustment 12'!G547*$AD$1</f>
        <v>0</v>
      </c>
      <c r="AE547" s="133">
        <f>'Optional Adjustment 13'!G547*$AE$1</f>
        <v>0</v>
      </c>
      <c r="AF547" s="133">
        <f>'Optional Adjustment 14'!G547*$AF$1</f>
        <v>0</v>
      </c>
      <c r="AG547" s="133">
        <f>'Optional Adjustment 15'!G547*$AG$1</f>
        <v>0</v>
      </c>
      <c r="AH547" s="133">
        <f>'Optional Adjustment 16'!G547*$AH$1</f>
        <v>0</v>
      </c>
      <c r="AI547" s="133">
        <f>'Optional Adjustment 17'!G547*$AI$1</f>
        <v>0</v>
      </c>
      <c r="AJ547" s="133">
        <f>'Optional Adjustment 18'!G547*$AJ$1</f>
        <v>0</v>
      </c>
      <c r="AK547" s="133">
        <f>'Optional Adjustment 19'!G547*$AK$1</f>
        <v>0</v>
      </c>
      <c r="AL547" s="133">
        <f>'Optional Adjustment 20'!G547*$AL$1</f>
        <v>0</v>
      </c>
      <c r="AM547" s="133">
        <f>'Optional Adjustment 21'!G547*$AM$1</f>
        <v>0</v>
      </c>
      <c r="AN547" s="133">
        <f>'Optional Adjustment 22'!G547*$AN$1</f>
        <v>0</v>
      </c>
      <c r="AO547" s="133">
        <f>'Optional Adjustment 23'!G547*$AO$1</f>
        <v>0</v>
      </c>
      <c r="AP547" s="133">
        <f>'Optional Adjustment 24'!G547*$AP$1</f>
        <v>0</v>
      </c>
      <c r="AQ547" s="133">
        <f>'Optional Adjustment 25'!G547*$AQ$1</f>
        <v>0</v>
      </c>
      <c r="AR547" s="133">
        <f>'Optional Adjustment 26'!G547*$AR$1</f>
        <v>0</v>
      </c>
      <c r="AS547" s="133">
        <f>'Optional Adjustment 27'!G547*$AS$1</f>
        <v>0</v>
      </c>
      <c r="AT547" s="133"/>
      <c r="AU547" s="133">
        <f>SUM(F547:AT547)</f>
        <v>0</v>
      </c>
      <c r="AV547" s="116"/>
      <c r="AW547" s="133">
        <f>SUM(AU547:AU547)</f>
        <v>0</v>
      </c>
      <c r="AX547" s="133">
        <f>+AW547-'ROR-Model'!G547</f>
        <v>0</v>
      </c>
    </row>
    <row r="548" spans="1:50">
      <c r="A548" s="134"/>
      <c r="B548" s="106"/>
      <c r="C548" s="106" t="s">
        <v>170</v>
      </c>
      <c r="D548" s="106"/>
      <c r="E548" s="331"/>
      <c r="F548" s="131">
        <f>SUM(F546:F547)</f>
        <v>0</v>
      </c>
      <c r="G548" s="131"/>
      <c r="H548" s="131">
        <f>H1*SUM(H546:H547)</f>
        <v>0</v>
      </c>
      <c r="I548" s="131">
        <f>SUM(I546:I547)</f>
        <v>0</v>
      </c>
      <c r="J548" s="131">
        <f t="shared" ref="J548:P548" si="664">SUM(J546:J547)</f>
        <v>0</v>
      </c>
      <c r="K548" s="131">
        <f t="shared" si="664"/>
        <v>0</v>
      </c>
      <c r="L548" s="131">
        <f t="shared" si="664"/>
        <v>0</v>
      </c>
      <c r="M548" s="131">
        <f t="shared" si="664"/>
        <v>0</v>
      </c>
      <c r="N548" s="131">
        <f t="shared" si="664"/>
        <v>0</v>
      </c>
      <c r="O548" s="131">
        <f t="shared" si="664"/>
        <v>0</v>
      </c>
      <c r="P548" s="131">
        <f t="shared" si="664"/>
        <v>0</v>
      </c>
      <c r="Q548" s="241">
        <f>SUM(Q546:Q547)</f>
        <v>0</v>
      </c>
      <c r="R548" s="241">
        <f>SUM(R546:R547)</f>
        <v>0</v>
      </c>
      <c r="S548" s="556"/>
      <c r="T548" s="556">
        <f t="shared" ref="T548:AG548" si="665">SUM(T546:T547)</f>
        <v>0</v>
      </c>
      <c r="U548" s="556">
        <f t="shared" si="665"/>
        <v>0</v>
      </c>
      <c r="V548" s="556">
        <f t="shared" si="665"/>
        <v>0</v>
      </c>
      <c r="W548" s="556">
        <f t="shared" si="665"/>
        <v>0</v>
      </c>
      <c r="X548" s="556">
        <f t="shared" si="665"/>
        <v>0</v>
      </c>
      <c r="Y548" s="556">
        <f t="shared" si="665"/>
        <v>0</v>
      </c>
      <c r="Z548" s="556">
        <f t="shared" si="665"/>
        <v>0</v>
      </c>
      <c r="AA548" s="556">
        <f t="shared" si="665"/>
        <v>0</v>
      </c>
      <c r="AB548" s="556">
        <f t="shared" si="665"/>
        <v>0</v>
      </c>
      <c r="AC548" s="556">
        <f t="shared" si="665"/>
        <v>0</v>
      </c>
      <c r="AD548" s="556">
        <f t="shared" si="665"/>
        <v>0</v>
      </c>
      <c r="AE548" s="556">
        <f t="shared" si="665"/>
        <v>0</v>
      </c>
      <c r="AF548" s="556">
        <f t="shared" si="665"/>
        <v>0</v>
      </c>
      <c r="AG548" s="556">
        <f t="shared" si="665"/>
        <v>0</v>
      </c>
      <c r="AH548" s="556">
        <f t="shared" ref="AH548:AK548" si="666">SUM(AH546:AH547)</f>
        <v>0</v>
      </c>
      <c r="AI548" s="556">
        <f t="shared" si="666"/>
        <v>0</v>
      </c>
      <c r="AJ548" s="556">
        <f t="shared" si="666"/>
        <v>0</v>
      </c>
      <c r="AK548" s="556">
        <f t="shared" si="666"/>
        <v>0</v>
      </c>
      <c r="AL548" s="556">
        <f t="shared" ref="AL548:AP548" si="667">SUM(AL546:AL547)</f>
        <v>0</v>
      </c>
      <c r="AM548" s="556">
        <f t="shared" si="667"/>
        <v>0</v>
      </c>
      <c r="AN548" s="556">
        <f t="shared" si="667"/>
        <v>0</v>
      </c>
      <c r="AO548" s="556">
        <f t="shared" si="667"/>
        <v>0</v>
      </c>
      <c r="AP548" s="556">
        <f t="shared" si="667"/>
        <v>0</v>
      </c>
      <c r="AQ548" s="556">
        <f t="shared" ref="AQ548:AS548" si="668">SUM(AQ546:AQ547)</f>
        <v>0</v>
      </c>
      <c r="AR548" s="556">
        <f t="shared" si="668"/>
        <v>0</v>
      </c>
      <c r="AS548" s="556">
        <f t="shared" si="668"/>
        <v>0</v>
      </c>
      <c r="AT548" s="556"/>
      <c r="AU548" s="241">
        <f>SUM(AU546:AU547)</f>
        <v>0</v>
      </c>
      <c r="AV548" s="131"/>
      <c r="AW548" s="241">
        <f>SUM(AW546:AW547)</f>
        <v>0</v>
      </c>
      <c r="AX548" s="241">
        <f>+AW548-'ROR-Model'!G548</f>
        <v>0</v>
      </c>
    </row>
    <row r="549" spans="1:50">
      <c r="A549" s="134"/>
      <c r="B549" s="106"/>
      <c r="C549" s="106"/>
      <c r="D549" s="106"/>
      <c r="E549" s="331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16"/>
      <c r="AW549" s="133"/>
      <c r="AX549" s="133">
        <f>+AW549-'ROR-Model'!G549</f>
        <v>0</v>
      </c>
    </row>
    <row r="550" spans="1:50">
      <c r="A550" s="134">
        <v>802</v>
      </c>
      <c r="B550" s="106" t="s">
        <v>351</v>
      </c>
      <c r="C550" s="106"/>
      <c r="D550" s="106"/>
      <c r="E550" s="331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16"/>
      <c r="AW550" s="133"/>
      <c r="AX550" s="133">
        <f>+AW550-'ROR-Model'!G550</f>
        <v>0</v>
      </c>
    </row>
    <row r="551" spans="1:50">
      <c r="A551" s="134"/>
      <c r="B551" s="106"/>
      <c r="C551" s="106" t="s">
        <v>14</v>
      </c>
      <c r="D551" s="106"/>
      <c r="E551" s="331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33"/>
      <c r="R551" s="133"/>
      <c r="S551" s="133"/>
      <c r="T551" s="133">
        <f>'Optional Adjustment 2'!G551*$T$1</f>
        <v>0</v>
      </c>
      <c r="U551" s="133">
        <f>'Optional Adjustment 3'!G551*$U$1</f>
        <v>0</v>
      </c>
      <c r="V551" s="133">
        <f>'Optional Adjustment 4'!G551*$V$1</f>
        <v>0</v>
      </c>
      <c r="W551" s="133">
        <f>'Optional Adjustment 5'!G551*$W$1</f>
        <v>0</v>
      </c>
      <c r="X551" s="133">
        <f>'Optional Adjustment 6'!G551*$X$1</f>
        <v>0</v>
      </c>
      <c r="Y551" s="133">
        <f>'Optional Adjustment 7'!G551*$Y$1</f>
        <v>0</v>
      </c>
      <c r="Z551" s="133">
        <f>'Optional Adjustment 8'!G551*$Z$1</f>
        <v>0</v>
      </c>
      <c r="AA551" s="133">
        <f>'Optional Adjustment 9'!G551*$AA$1</f>
        <v>0</v>
      </c>
      <c r="AB551" s="133">
        <f>'Optional Adjustment 10'!G551*$AB$1</f>
        <v>0</v>
      </c>
      <c r="AC551" s="133">
        <f>'Optional Adjustment 11'!G551*$AC$1</f>
        <v>0</v>
      </c>
      <c r="AD551" s="133">
        <f>'Optional Adjustment 12'!G551*$AD$1</f>
        <v>0</v>
      </c>
      <c r="AE551" s="133">
        <f>'Optional Adjustment 13'!G551*$AE$1</f>
        <v>0</v>
      </c>
      <c r="AF551" s="133">
        <f>'Optional Adjustment 14'!G551*$AF$1</f>
        <v>0</v>
      </c>
      <c r="AG551" s="133">
        <f>'Optional Adjustment 15'!G551*$AG$1</f>
        <v>0</v>
      </c>
      <c r="AH551" s="133">
        <f>'Optional Adjustment 16'!G551*$AH$1</f>
        <v>0</v>
      </c>
      <c r="AI551" s="133">
        <f>'Optional Adjustment 17'!G551*$AI$1</f>
        <v>0</v>
      </c>
      <c r="AJ551" s="133">
        <f>'Optional Adjustment 18'!G551*$AJ$1</f>
        <v>0</v>
      </c>
      <c r="AK551" s="133">
        <f>'Optional Adjustment 19'!G551*$AK$1</f>
        <v>0</v>
      </c>
      <c r="AL551" s="133">
        <f>'Optional Adjustment 20'!G551*$AL$1</f>
        <v>0</v>
      </c>
      <c r="AM551" s="133">
        <f>'Optional Adjustment 21'!G551*$AM$1</f>
        <v>0</v>
      </c>
      <c r="AN551" s="133">
        <f>'Optional Adjustment 22'!G551*$AN$1</f>
        <v>0</v>
      </c>
      <c r="AO551" s="133">
        <f>'Optional Adjustment 23'!G551*$AO$1</f>
        <v>0</v>
      </c>
      <c r="AP551" s="133">
        <f>'Optional Adjustment 24'!G551*$AP$1</f>
        <v>0</v>
      </c>
      <c r="AQ551" s="133">
        <f>'Optional Adjustment 25'!G551*$AQ$1</f>
        <v>0</v>
      </c>
      <c r="AR551" s="133">
        <f>'Optional Adjustment 26'!G551*$AR$1</f>
        <v>0</v>
      </c>
      <c r="AS551" s="133">
        <f>'Optional Adjustment 27'!G551*$AS$1</f>
        <v>0</v>
      </c>
      <c r="AT551" s="133"/>
      <c r="AU551" s="133">
        <f>SUM(F551:AT551)</f>
        <v>0</v>
      </c>
      <c r="AV551" s="116"/>
      <c r="AW551" s="133">
        <f>SUM(AU551:AU551)</f>
        <v>0</v>
      </c>
      <c r="AX551" s="133">
        <f>+AW551-'ROR-Model'!G551</f>
        <v>0</v>
      </c>
    </row>
    <row r="552" spans="1:50">
      <c r="A552" s="134"/>
      <c r="B552" s="106"/>
      <c r="C552" s="106" t="s">
        <v>24</v>
      </c>
      <c r="D552" s="106"/>
      <c r="E552" s="331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33"/>
      <c r="R552" s="133"/>
      <c r="S552" s="133"/>
      <c r="T552" s="133">
        <f>'Optional Adjustment 2'!G552*$T$1</f>
        <v>0</v>
      </c>
      <c r="U552" s="133">
        <f>'Optional Adjustment 3'!G552*$U$1</f>
        <v>0</v>
      </c>
      <c r="V552" s="133">
        <f>'Optional Adjustment 4'!G552*$V$1</f>
        <v>0</v>
      </c>
      <c r="W552" s="133">
        <f>'Optional Adjustment 5'!G552*$W$1</f>
        <v>0</v>
      </c>
      <c r="X552" s="133">
        <f>'Optional Adjustment 6'!G552*$X$1</f>
        <v>0</v>
      </c>
      <c r="Y552" s="133">
        <f>'Optional Adjustment 7'!G552*$Y$1</f>
        <v>0</v>
      </c>
      <c r="Z552" s="133">
        <f>'Optional Adjustment 8'!G552*$Z$1</f>
        <v>0</v>
      </c>
      <c r="AA552" s="133">
        <f>'Optional Adjustment 9'!G552*$AA$1</f>
        <v>0</v>
      </c>
      <c r="AB552" s="133">
        <f>'Optional Adjustment 10'!G552*$AB$1</f>
        <v>0</v>
      </c>
      <c r="AC552" s="133">
        <f>'Optional Adjustment 11'!G552*$AC$1</f>
        <v>0</v>
      </c>
      <c r="AD552" s="133">
        <f>'Optional Adjustment 12'!G552*$AD$1</f>
        <v>0</v>
      </c>
      <c r="AE552" s="133">
        <f>'Optional Adjustment 13'!G552*$AE$1</f>
        <v>0</v>
      </c>
      <c r="AF552" s="133">
        <f>'Optional Adjustment 14'!G552*$AF$1</f>
        <v>0</v>
      </c>
      <c r="AG552" s="133">
        <f>'Optional Adjustment 15'!G552*$AG$1</f>
        <v>0</v>
      </c>
      <c r="AH552" s="133">
        <f>'Optional Adjustment 16'!G552*$AH$1</f>
        <v>0</v>
      </c>
      <c r="AI552" s="133">
        <f>'Optional Adjustment 17'!G552*$AI$1</f>
        <v>0</v>
      </c>
      <c r="AJ552" s="133">
        <f>'Optional Adjustment 18'!G552*$AJ$1</f>
        <v>0</v>
      </c>
      <c r="AK552" s="133">
        <f>'Optional Adjustment 19'!G552*$AK$1</f>
        <v>0</v>
      </c>
      <c r="AL552" s="133">
        <f>'Optional Adjustment 20'!G552*$AL$1</f>
        <v>0</v>
      </c>
      <c r="AM552" s="133">
        <f>'Optional Adjustment 21'!G552*$AM$1</f>
        <v>0</v>
      </c>
      <c r="AN552" s="133">
        <f>'Optional Adjustment 22'!G552*$AN$1</f>
        <v>0</v>
      </c>
      <c r="AO552" s="133">
        <f>'Optional Adjustment 23'!G552*$AO$1</f>
        <v>0</v>
      </c>
      <c r="AP552" s="133">
        <f>'Optional Adjustment 24'!G552*$AP$1</f>
        <v>0</v>
      </c>
      <c r="AQ552" s="133">
        <f>'Optional Adjustment 25'!G552*$AQ$1</f>
        <v>0</v>
      </c>
      <c r="AR552" s="133">
        <f>'Optional Adjustment 26'!G552*$AR$1</f>
        <v>0</v>
      </c>
      <c r="AS552" s="133">
        <f>'Optional Adjustment 27'!G552*$AS$1</f>
        <v>0</v>
      </c>
      <c r="AT552" s="133"/>
      <c r="AU552" s="133">
        <f>SUM(F552:AT552)</f>
        <v>0</v>
      </c>
      <c r="AV552" s="116"/>
      <c r="AW552" s="133">
        <f>SUM(AU552:AU552)</f>
        <v>0</v>
      </c>
      <c r="AX552" s="133">
        <f>+AW552-'ROR-Model'!G552</f>
        <v>0</v>
      </c>
    </row>
    <row r="553" spans="1:50">
      <c r="A553" s="134"/>
      <c r="B553" s="106"/>
      <c r="C553" s="106" t="s">
        <v>170</v>
      </c>
      <c r="D553" s="106"/>
      <c r="E553" s="331"/>
      <c r="F553" s="131">
        <f>SUM(F551:F552)</f>
        <v>0</v>
      </c>
      <c r="G553" s="131"/>
      <c r="H553" s="131">
        <f>H1*SUM(H551:H552)</f>
        <v>0</v>
      </c>
      <c r="I553" s="131">
        <f>SUM(I551:I552)</f>
        <v>0</v>
      </c>
      <c r="J553" s="131">
        <f t="shared" ref="J553:P553" si="669">SUM(J551:J552)</f>
        <v>0</v>
      </c>
      <c r="K553" s="131">
        <f t="shared" si="669"/>
        <v>0</v>
      </c>
      <c r="L553" s="131">
        <f t="shared" si="669"/>
        <v>0</v>
      </c>
      <c r="M553" s="131">
        <f t="shared" si="669"/>
        <v>0</v>
      </c>
      <c r="N553" s="131">
        <f t="shared" si="669"/>
        <v>0</v>
      </c>
      <c r="O553" s="131">
        <f t="shared" si="669"/>
        <v>0</v>
      </c>
      <c r="P553" s="131">
        <f t="shared" si="669"/>
        <v>0</v>
      </c>
      <c r="Q553" s="241">
        <f>SUM(Q551:Q552)</f>
        <v>0</v>
      </c>
      <c r="R553" s="241">
        <f>SUM(R551:R552)</f>
        <v>0</v>
      </c>
      <c r="S553" s="556"/>
      <c r="T553" s="556">
        <f t="shared" ref="T553:AG553" si="670">SUM(T551:T552)</f>
        <v>0</v>
      </c>
      <c r="U553" s="556">
        <f t="shared" si="670"/>
        <v>0</v>
      </c>
      <c r="V553" s="556">
        <f t="shared" si="670"/>
        <v>0</v>
      </c>
      <c r="W553" s="556">
        <f t="shared" si="670"/>
        <v>0</v>
      </c>
      <c r="X553" s="556">
        <f t="shared" si="670"/>
        <v>0</v>
      </c>
      <c r="Y553" s="556">
        <f t="shared" si="670"/>
        <v>0</v>
      </c>
      <c r="Z553" s="556">
        <f t="shared" si="670"/>
        <v>0</v>
      </c>
      <c r="AA553" s="556">
        <f t="shared" si="670"/>
        <v>0</v>
      </c>
      <c r="AB553" s="556">
        <f t="shared" si="670"/>
        <v>0</v>
      </c>
      <c r="AC553" s="556">
        <f t="shared" si="670"/>
        <v>0</v>
      </c>
      <c r="AD553" s="556">
        <f t="shared" si="670"/>
        <v>0</v>
      </c>
      <c r="AE553" s="556">
        <f t="shared" si="670"/>
        <v>0</v>
      </c>
      <c r="AF553" s="556">
        <f t="shared" si="670"/>
        <v>0</v>
      </c>
      <c r="AG553" s="556">
        <f t="shared" si="670"/>
        <v>0</v>
      </c>
      <c r="AH553" s="556">
        <f t="shared" ref="AH553:AK553" si="671">SUM(AH551:AH552)</f>
        <v>0</v>
      </c>
      <c r="AI553" s="556">
        <f t="shared" si="671"/>
        <v>0</v>
      </c>
      <c r="AJ553" s="556">
        <f t="shared" si="671"/>
        <v>0</v>
      </c>
      <c r="AK553" s="556">
        <f t="shared" si="671"/>
        <v>0</v>
      </c>
      <c r="AL553" s="556">
        <f t="shared" ref="AL553:AP553" si="672">SUM(AL551:AL552)</f>
        <v>0</v>
      </c>
      <c r="AM553" s="556">
        <f t="shared" si="672"/>
        <v>0</v>
      </c>
      <c r="AN553" s="556">
        <f t="shared" si="672"/>
        <v>0</v>
      </c>
      <c r="AO553" s="556">
        <f t="shared" si="672"/>
        <v>0</v>
      </c>
      <c r="AP553" s="556">
        <f t="shared" si="672"/>
        <v>0</v>
      </c>
      <c r="AQ553" s="556">
        <f t="shared" ref="AQ553:AS553" si="673">SUM(AQ551:AQ552)</f>
        <v>0</v>
      </c>
      <c r="AR553" s="556">
        <f t="shared" si="673"/>
        <v>0</v>
      </c>
      <c r="AS553" s="556">
        <f t="shared" si="673"/>
        <v>0</v>
      </c>
      <c r="AT553" s="556"/>
      <c r="AU553" s="241">
        <f>SUM(AU551:AU552)</f>
        <v>0</v>
      </c>
      <c r="AV553" s="131"/>
      <c r="AW553" s="241">
        <f>SUM(AW551:AW552)</f>
        <v>0</v>
      </c>
      <c r="AX553" s="241">
        <f>+AW553-'ROR-Model'!G553</f>
        <v>0</v>
      </c>
    </row>
    <row r="554" spans="1:50">
      <c r="A554" s="134"/>
      <c r="B554" s="106"/>
      <c r="C554" s="106"/>
      <c r="D554" s="106"/>
      <c r="E554" s="331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16"/>
      <c r="AW554" s="133"/>
      <c r="AX554" s="133">
        <f>+AW554-'ROR-Model'!G554</f>
        <v>0</v>
      </c>
    </row>
    <row r="555" spans="1:50">
      <c r="A555" s="134">
        <v>803</v>
      </c>
      <c r="B555" s="106" t="s">
        <v>352</v>
      </c>
      <c r="C555" s="106"/>
      <c r="D555" s="106"/>
      <c r="E555" s="331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16"/>
      <c r="AW555" s="133"/>
      <c r="AX555" s="133">
        <f>+AW555-'ROR-Model'!G555</f>
        <v>0</v>
      </c>
    </row>
    <row r="556" spans="1:50">
      <c r="A556" s="134"/>
      <c r="B556" s="106"/>
      <c r="C556" s="106" t="s">
        <v>14</v>
      </c>
      <c r="D556" s="106"/>
      <c r="E556" s="331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33"/>
      <c r="R556" s="133"/>
      <c r="S556" s="133"/>
      <c r="T556" s="133">
        <f>'Optional Adjustment 2'!G556*$T$1</f>
        <v>0</v>
      </c>
      <c r="U556" s="133">
        <f>'Optional Adjustment 3'!G556*$U$1</f>
        <v>0</v>
      </c>
      <c r="V556" s="133">
        <f>'Optional Adjustment 4'!G556*$V$1</f>
        <v>0</v>
      </c>
      <c r="W556" s="133">
        <f>'Optional Adjustment 5'!G556*$W$1</f>
        <v>0</v>
      </c>
      <c r="X556" s="133">
        <f>'Optional Adjustment 6'!G556*$X$1</f>
        <v>0</v>
      </c>
      <c r="Y556" s="133">
        <f>'Optional Adjustment 7'!G556*$Y$1</f>
        <v>0</v>
      </c>
      <c r="Z556" s="133">
        <f>'Optional Adjustment 8'!G556*$Z$1</f>
        <v>0</v>
      </c>
      <c r="AA556" s="133">
        <f>'Optional Adjustment 9'!G556*$AA$1</f>
        <v>0</v>
      </c>
      <c r="AB556" s="133">
        <f>'Optional Adjustment 10'!G556*$AB$1</f>
        <v>0</v>
      </c>
      <c r="AC556" s="133">
        <f>'Optional Adjustment 11'!G556*$AC$1</f>
        <v>0</v>
      </c>
      <c r="AD556" s="133">
        <f>'Optional Adjustment 12'!G556*$AD$1</f>
        <v>0</v>
      </c>
      <c r="AE556" s="133">
        <f>'Optional Adjustment 13'!G556*$AE$1</f>
        <v>0</v>
      </c>
      <c r="AF556" s="133">
        <f>'Optional Adjustment 14'!G556*$AF$1</f>
        <v>0</v>
      </c>
      <c r="AG556" s="133">
        <f>'Optional Adjustment 15'!G556*$AG$1</f>
        <v>0</v>
      </c>
      <c r="AH556" s="133">
        <f>'Optional Adjustment 16'!G556*$AH$1</f>
        <v>0</v>
      </c>
      <c r="AI556" s="133">
        <f>'Optional Adjustment 17'!G556*$AI$1</f>
        <v>0</v>
      </c>
      <c r="AJ556" s="133">
        <f>'Optional Adjustment 18'!G556*$AJ$1</f>
        <v>0</v>
      </c>
      <c r="AK556" s="133">
        <f>'Optional Adjustment 19'!G556*$AK$1</f>
        <v>0</v>
      </c>
      <c r="AL556" s="133">
        <f>'Optional Adjustment 20'!G556*$AL$1</f>
        <v>0</v>
      </c>
      <c r="AM556" s="133">
        <f>'Optional Adjustment 21'!G556*$AM$1</f>
        <v>0</v>
      </c>
      <c r="AN556" s="133">
        <f>'Optional Adjustment 22'!G556*$AN$1</f>
        <v>0</v>
      </c>
      <c r="AO556" s="133">
        <f>'Optional Adjustment 23'!G556*$AO$1</f>
        <v>0</v>
      </c>
      <c r="AP556" s="133">
        <f>'Optional Adjustment 24'!G556*$AP$1</f>
        <v>0</v>
      </c>
      <c r="AQ556" s="133">
        <f>'Optional Adjustment 25'!G556*$AQ$1</f>
        <v>0</v>
      </c>
      <c r="AR556" s="133">
        <f>'Optional Adjustment 26'!G556*$AR$1</f>
        <v>0</v>
      </c>
      <c r="AS556" s="133">
        <f>'Optional Adjustment 27'!G556*$AS$1</f>
        <v>0</v>
      </c>
      <c r="AT556" s="133"/>
      <c r="AU556" s="133">
        <f>SUM(F556:AT556)</f>
        <v>0</v>
      </c>
      <c r="AV556" s="116"/>
      <c r="AW556" s="133">
        <f>SUM(AU556:AU556)</f>
        <v>0</v>
      </c>
      <c r="AX556" s="133">
        <f>+AW556-'ROR-Model'!G556</f>
        <v>0</v>
      </c>
    </row>
    <row r="557" spans="1:50">
      <c r="A557" s="134"/>
      <c r="B557" s="106"/>
      <c r="C557" s="106" t="s">
        <v>24</v>
      </c>
      <c r="D557" s="106"/>
      <c r="E557" s="331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33"/>
      <c r="R557" s="133"/>
      <c r="S557" s="133"/>
      <c r="T557" s="133">
        <f>'Optional Adjustment 2'!G557*$T$1</f>
        <v>0</v>
      </c>
      <c r="U557" s="133">
        <f>'Optional Adjustment 3'!G557*$U$1</f>
        <v>0</v>
      </c>
      <c r="V557" s="133">
        <f>'Optional Adjustment 4'!G557*$V$1</f>
        <v>0</v>
      </c>
      <c r="W557" s="133">
        <f>'Optional Adjustment 5'!G557*$W$1</f>
        <v>0</v>
      </c>
      <c r="X557" s="133">
        <f>'Optional Adjustment 6'!G557*$X$1</f>
        <v>0</v>
      </c>
      <c r="Y557" s="133">
        <f>'Optional Adjustment 7'!G557*$Y$1</f>
        <v>0</v>
      </c>
      <c r="Z557" s="133">
        <f>'Optional Adjustment 8'!G557*$Z$1</f>
        <v>0</v>
      </c>
      <c r="AA557" s="133">
        <f>'Optional Adjustment 9'!G557*$AA$1</f>
        <v>0</v>
      </c>
      <c r="AB557" s="133">
        <f>'Optional Adjustment 10'!G557*$AB$1</f>
        <v>0</v>
      </c>
      <c r="AC557" s="133">
        <f>'Optional Adjustment 11'!G557*$AC$1</f>
        <v>0</v>
      </c>
      <c r="AD557" s="133">
        <f>'Optional Adjustment 12'!G557*$AD$1</f>
        <v>0</v>
      </c>
      <c r="AE557" s="133">
        <f>'Optional Adjustment 13'!G557*$AE$1</f>
        <v>0</v>
      </c>
      <c r="AF557" s="133">
        <f>'Optional Adjustment 14'!G557*$AF$1</f>
        <v>0</v>
      </c>
      <c r="AG557" s="133">
        <f>'Optional Adjustment 15'!G557*$AG$1</f>
        <v>0</v>
      </c>
      <c r="AH557" s="133">
        <f>'Optional Adjustment 16'!G557*$AH$1</f>
        <v>0</v>
      </c>
      <c r="AI557" s="133">
        <f>'Optional Adjustment 17'!G557*$AI$1</f>
        <v>0</v>
      </c>
      <c r="AJ557" s="133">
        <f>'Optional Adjustment 18'!G557*$AJ$1</f>
        <v>0</v>
      </c>
      <c r="AK557" s="133">
        <f>'Optional Adjustment 19'!G557*$AK$1</f>
        <v>0</v>
      </c>
      <c r="AL557" s="133">
        <f>'Optional Adjustment 20'!G557*$AL$1</f>
        <v>0</v>
      </c>
      <c r="AM557" s="133">
        <f>'Optional Adjustment 21'!G557*$AM$1</f>
        <v>0</v>
      </c>
      <c r="AN557" s="133">
        <f>'Optional Adjustment 22'!G557*$AN$1</f>
        <v>0</v>
      </c>
      <c r="AO557" s="133">
        <f>'Optional Adjustment 23'!G557*$AO$1</f>
        <v>0</v>
      </c>
      <c r="AP557" s="133">
        <f>'Optional Adjustment 24'!G557*$AP$1</f>
        <v>0</v>
      </c>
      <c r="AQ557" s="133">
        <f>'Optional Adjustment 25'!G557*$AQ$1</f>
        <v>0</v>
      </c>
      <c r="AR557" s="133">
        <f>'Optional Adjustment 26'!G557*$AR$1</f>
        <v>0</v>
      </c>
      <c r="AS557" s="133">
        <f>'Optional Adjustment 27'!G557*$AS$1</f>
        <v>0</v>
      </c>
      <c r="AT557" s="133"/>
      <c r="AU557" s="133">
        <f>SUM(F557:AT557)</f>
        <v>0</v>
      </c>
      <c r="AV557" s="116"/>
      <c r="AW557" s="133">
        <f>SUM(AU557:AU557)</f>
        <v>0</v>
      </c>
      <c r="AX557" s="133">
        <f>+AW557-'ROR-Model'!G557</f>
        <v>0</v>
      </c>
    </row>
    <row r="558" spans="1:50">
      <c r="A558" s="134"/>
      <c r="B558" s="106"/>
      <c r="C558" s="106" t="s">
        <v>170</v>
      </c>
      <c r="D558" s="106"/>
      <c r="E558" s="331"/>
      <c r="F558" s="131">
        <f>SUM(F556:F557)</f>
        <v>0</v>
      </c>
      <c r="G558" s="131"/>
      <c r="H558" s="131">
        <f>H1*SUM(H556:H557)</f>
        <v>0</v>
      </c>
      <c r="I558" s="131">
        <f>SUM(I556:I557)</f>
        <v>0</v>
      </c>
      <c r="J558" s="131">
        <f t="shared" ref="J558:P558" si="674">SUM(J556:J557)</f>
        <v>0</v>
      </c>
      <c r="K558" s="131">
        <f t="shared" si="674"/>
        <v>0</v>
      </c>
      <c r="L558" s="131">
        <f t="shared" si="674"/>
        <v>0</v>
      </c>
      <c r="M558" s="131">
        <f t="shared" si="674"/>
        <v>0</v>
      </c>
      <c r="N558" s="131">
        <f t="shared" si="674"/>
        <v>0</v>
      </c>
      <c r="O558" s="131">
        <f t="shared" si="674"/>
        <v>0</v>
      </c>
      <c r="P558" s="131">
        <f t="shared" si="674"/>
        <v>0</v>
      </c>
      <c r="Q558" s="241">
        <f>SUM(Q556:Q557)</f>
        <v>0</v>
      </c>
      <c r="R558" s="241">
        <f>SUM(R556:R557)</f>
        <v>0</v>
      </c>
      <c r="S558" s="556"/>
      <c r="T558" s="556">
        <f t="shared" ref="T558:AG558" si="675">SUM(T556:T557)</f>
        <v>0</v>
      </c>
      <c r="U558" s="556">
        <f t="shared" si="675"/>
        <v>0</v>
      </c>
      <c r="V558" s="556">
        <f t="shared" si="675"/>
        <v>0</v>
      </c>
      <c r="W558" s="556">
        <f t="shared" si="675"/>
        <v>0</v>
      </c>
      <c r="X558" s="556">
        <f t="shared" si="675"/>
        <v>0</v>
      </c>
      <c r="Y558" s="556">
        <f t="shared" si="675"/>
        <v>0</v>
      </c>
      <c r="Z558" s="556">
        <f t="shared" si="675"/>
        <v>0</v>
      </c>
      <c r="AA558" s="556">
        <f t="shared" si="675"/>
        <v>0</v>
      </c>
      <c r="AB558" s="556">
        <f t="shared" si="675"/>
        <v>0</v>
      </c>
      <c r="AC558" s="556">
        <f t="shared" si="675"/>
        <v>0</v>
      </c>
      <c r="AD558" s="556">
        <f t="shared" si="675"/>
        <v>0</v>
      </c>
      <c r="AE558" s="556">
        <f t="shared" si="675"/>
        <v>0</v>
      </c>
      <c r="AF558" s="556">
        <f t="shared" si="675"/>
        <v>0</v>
      </c>
      <c r="AG558" s="556">
        <f t="shared" si="675"/>
        <v>0</v>
      </c>
      <c r="AH558" s="556">
        <f t="shared" ref="AH558:AK558" si="676">SUM(AH556:AH557)</f>
        <v>0</v>
      </c>
      <c r="AI558" s="556">
        <f t="shared" si="676"/>
        <v>0</v>
      </c>
      <c r="AJ558" s="556">
        <f t="shared" si="676"/>
        <v>0</v>
      </c>
      <c r="AK558" s="556">
        <f t="shared" si="676"/>
        <v>0</v>
      </c>
      <c r="AL558" s="556">
        <f t="shared" ref="AL558:AP558" si="677">SUM(AL556:AL557)</f>
        <v>0</v>
      </c>
      <c r="AM558" s="556">
        <f t="shared" si="677"/>
        <v>0</v>
      </c>
      <c r="AN558" s="556">
        <f t="shared" si="677"/>
        <v>0</v>
      </c>
      <c r="AO558" s="556">
        <f t="shared" si="677"/>
        <v>0</v>
      </c>
      <c r="AP558" s="556">
        <f t="shared" si="677"/>
        <v>0</v>
      </c>
      <c r="AQ558" s="556">
        <f t="shared" ref="AQ558:AS558" si="678">SUM(AQ556:AQ557)</f>
        <v>0</v>
      </c>
      <c r="AR558" s="556">
        <f t="shared" si="678"/>
        <v>0</v>
      </c>
      <c r="AS558" s="556">
        <f t="shared" si="678"/>
        <v>0</v>
      </c>
      <c r="AT558" s="556"/>
      <c r="AU558" s="241">
        <f>SUM(AU556:AU557)</f>
        <v>0</v>
      </c>
      <c r="AV558" s="131"/>
      <c r="AW558" s="241">
        <f>SUM(AW556:AW557)</f>
        <v>0</v>
      </c>
      <c r="AX558" s="241">
        <f>+AW558-'ROR-Model'!G558</f>
        <v>0</v>
      </c>
    </row>
    <row r="559" spans="1:50">
      <c r="A559" s="134"/>
      <c r="B559" s="106"/>
      <c r="C559" s="106"/>
      <c r="D559" s="106"/>
      <c r="E559" s="331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16"/>
      <c r="AW559" s="133"/>
      <c r="AX559" s="133">
        <f>+AW559-'ROR-Model'!G559</f>
        <v>0</v>
      </c>
    </row>
    <row r="560" spans="1:50">
      <c r="A560" s="134">
        <v>804</v>
      </c>
      <c r="B560" s="106" t="s">
        <v>354</v>
      </c>
      <c r="C560" s="106"/>
      <c r="D560" s="106"/>
      <c r="E560" s="331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16"/>
      <c r="AW560" s="133"/>
      <c r="AX560" s="133">
        <f>+AW560-'ROR-Model'!G560</f>
        <v>0</v>
      </c>
    </row>
    <row r="561" spans="1:50">
      <c r="A561" s="134"/>
      <c r="B561" s="106"/>
      <c r="C561" s="106" t="s">
        <v>14</v>
      </c>
      <c r="D561" s="106"/>
      <c r="E561" s="331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33"/>
      <c r="R561" s="133"/>
      <c r="S561" s="133"/>
      <c r="T561" s="133">
        <f>'Optional Adjustment 2'!G561*$T$1</f>
        <v>0</v>
      </c>
      <c r="U561" s="133">
        <f>'Optional Adjustment 3'!G561*$U$1</f>
        <v>0</v>
      </c>
      <c r="V561" s="133">
        <f>'Optional Adjustment 4'!G561*$V$1</f>
        <v>0</v>
      </c>
      <c r="W561" s="133">
        <f>'Optional Adjustment 5'!G561*$W$1</f>
        <v>0</v>
      </c>
      <c r="X561" s="133">
        <f>'Optional Adjustment 6'!G561*$X$1</f>
        <v>0</v>
      </c>
      <c r="Y561" s="133">
        <f>'Optional Adjustment 7'!G561*$Y$1</f>
        <v>0</v>
      </c>
      <c r="Z561" s="133">
        <f>'Optional Adjustment 8'!G561*$Z$1</f>
        <v>0</v>
      </c>
      <c r="AA561" s="133">
        <f>'Optional Adjustment 9'!G561*$AA$1</f>
        <v>0</v>
      </c>
      <c r="AB561" s="133">
        <f>'Optional Adjustment 10'!G561*$AB$1</f>
        <v>0</v>
      </c>
      <c r="AC561" s="133">
        <f>'Optional Adjustment 11'!G561*$AC$1</f>
        <v>0</v>
      </c>
      <c r="AD561" s="133">
        <f>'Optional Adjustment 12'!G561*$AD$1</f>
        <v>0</v>
      </c>
      <c r="AE561" s="133">
        <f>'Optional Adjustment 13'!G561*$AE$1</f>
        <v>0</v>
      </c>
      <c r="AF561" s="133">
        <f>'Optional Adjustment 14'!G561*$AF$1</f>
        <v>0</v>
      </c>
      <c r="AG561" s="133">
        <f>'Optional Adjustment 15'!G561*$AG$1</f>
        <v>0</v>
      </c>
      <c r="AH561" s="133">
        <f>'Optional Adjustment 16'!G561*$AH$1</f>
        <v>0</v>
      </c>
      <c r="AI561" s="133">
        <f>'Optional Adjustment 17'!G561*$AI$1</f>
        <v>0</v>
      </c>
      <c r="AJ561" s="133">
        <f>'Optional Adjustment 18'!G561*$AJ$1</f>
        <v>0</v>
      </c>
      <c r="AK561" s="133">
        <f>'Optional Adjustment 19'!G561*$AK$1</f>
        <v>0</v>
      </c>
      <c r="AL561" s="133">
        <f>'Optional Adjustment 20'!G561*$AL$1</f>
        <v>0</v>
      </c>
      <c r="AM561" s="133">
        <f>'Optional Adjustment 21'!G561*$AM$1</f>
        <v>0</v>
      </c>
      <c r="AN561" s="133">
        <f>'Optional Adjustment 22'!G561*$AN$1</f>
        <v>0</v>
      </c>
      <c r="AO561" s="133">
        <f>'Optional Adjustment 23'!G561*$AO$1</f>
        <v>0</v>
      </c>
      <c r="AP561" s="133">
        <f>'Optional Adjustment 24'!G561*$AP$1</f>
        <v>0</v>
      </c>
      <c r="AQ561" s="133">
        <f>'Optional Adjustment 25'!G561*$AQ$1</f>
        <v>0</v>
      </c>
      <c r="AR561" s="133">
        <f>'Optional Adjustment 26'!G561*$AR$1</f>
        <v>0</v>
      </c>
      <c r="AS561" s="133">
        <f>'Optional Adjustment 27'!G561*$AS$1</f>
        <v>0</v>
      </c>
      <c r="AT561" s="133"/>
      <c r="AU561" s="133">
        <f>SUM(F561:AT561)</f>
        <v>0</v>
      </c>
      <c r="AV561" s="116"/>
      <c r="AW561" s="133">
        <f>SUM(AU561:AU561)</f>
        <v>0</v>
      </c>
      <c r="AX561" s="133">
        <f>+AW561-'ROR-Model'!G561</f>
        <v>0</v>
      </c>
    </row>
    <row r="562" spans="1:50">
      <c r="A562" s="134"/>
      <c r="B562" s="106"/>
      <c r="C562" s="106" t="s">
        <v>24</v>
      </c>
      <c r="D562" s="106"/>
      <c r="E562" s="331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33"/>
      <c r="R562" s="133"/>
      <c r="S562" s="133"/>
      <c r="T562" s="133">
        <f>'Optional Adjustment 2'!G562*$T$1</f>
        <v>0</v>
      </c>
      <c r="U562" s="133">
        <f>'Optional Adjustment 3'!G562*$U$1</f>
        <v>0</v>
      </c>
      <c r="V562" s="133">
        <f>'Optional Adjustment 4'!G562*$V$1</f>
        <v>0</v>
      </c>
      <c r="W562" s="133">
        <f>'Optional Adjustment 5'!G562*$W$1</f>
        <v>0</v>
      </c>
      <c r="X562" s="133">
        <f>'Optional Adjustment 6'!G562*$X$1</f>
        <v>0</v>
      </c>
      <c r="Y562" s="133">
        <f>'Optional Adjustment 7'!G562*$Y$1</f>
        <v>0</v>
      </c>
      <c r="Z562" s="133">
        <f>'Optional Adjustment 8'!G562*$Z$1</f>
        <v>0</v>
      </c>
      <c r="AA562" s="133">
        <f>'Optional Adjustment 9'!G562*$AA$1</f>
        <v>0</v>
      </c>
      <c r="AB562" s="133">
        <f>'Optional Adjustment 10'!G562*$AB$1</f>
        <v>0</v>
      </c>
      <c r="AC562" s="133">
        <f>'Optional Adjustment 11'!G562*$AC$1</f>
        <v>0</v>
      </c>
      <c r="AD562" s="133">
        <f>'Optional Adjustment 12'!G562*$AD$1</f>
        <v>0</v>
      </c>
      <c r="AE562" s="133">
        <f>'Optional Adjustment 13'!G562*$AE$1</f>
        <v>0</v>
      </c>
      <c r="AF562" s="133">
        <f>'Optional Adjustment 14'!G562*$AF$1</f>
        <v>0</v>
      </c>
      <c r="AG562" s="133">
        <f>'Optional Adjustment 15'!G562*$AG$1</f>
        <v>0</v>
      </c>
      <c r="AH562" s="133">
        <f>'Optional Adjustment 16'!G562*$AH$1</f>
        <v>0</v>
      </c>
      <c r="AI562" s="133">
        <f>'Optional Adjustment 17'!G562*$AI$1</f>
        <v>0</v>
      </c>
      <c r="AJ562" s="133">
        <f>'Optional Adjustment 18'!G562*$AJ$1</f>
        <v>0</v>
      </c>
      <c r="AK562" s="133">
        <f>'Optional Adjustment 19'!G562*$AK$1</f>
        <v>0</v>
      </c>
      <c r="AL562" s="133">
        <f>'Optional Adjustment 20'!G562*$AL$1</f>
        <v>0</v>
      </c>
      <c r="AM562" s="133">
        <f>'Optional Adjustment 21'!G562*$AM$1</f>
        <v>0</v>
      </c>
      <c r="AN562" s="133">
        <f>'Optional Adjustment 22'!G562*$AN$1</f>
        <v>0</v>
      </c>
      <c r="AO562" s="133">
        <f>'Optional Adjustment 23'!G562*$AO$1</f>
        <v>0</v>
      </c>
      <c r="AP562" s="133">
        <f>'Optional Adjustment 24'!G562*$AP$1</f>
        <v>0</v>
      </c>
      <c r="AQ562" s="133">
        <f>'Optional Adjustment 25'!G562*$AQ$1</f>
        <v>0</v>
      </c>
      <c r="AR562" s="133">
        <f>'Optional Adjustment 26'!G562*$AR$1</f>
        <v>0</v>
      </c>
      <c r="AS562" s="133">
        <f>'Optional Adjustment 27'!G562*$AS$1</f>
        <v>0</v>
      </c>
      <c r="AT562" s="133"/>
      <c r="AU562" s="133">
        <f>SUM(F562:AT562)</f>
        <v>0</v>
      </c>
      <c r="AV562" s="116"/>
      <c r="AW562" s="133">
        <f>SUM(AU562:AU562)</f>
        <v>0</v>
      </c>
      <c r="AX562" s="133">
        <f>+AW562-'ROR-Model'!G562</f>
        <v>0</v>
      </c>
    </row>
    <row r="563" spans="1:50">
      <c r="A563" s="134"/>
      <c r="B563" s="106"/>
      <c r="C563" s="106" t="s">
        <v>170</v>
      </c>
      <c r="D563" s="106"/>
      <c r="E563" s="331"/>
      <c r="F563" s="131">
        <f>SUM(F561:F562)</f>
        <v>0</v>
      </c>
      <c r="G563" s="131"/>
      <c r="H563" s="131">
        <f>H1*SUM(H561:H562)</f>
        <v>0</v>
      </c>
      <c r="I563" s="131">
        <f>SUM(I561:I562)</f>
        <v>0</v>
      </c>
      <c r="J563" s="131">
        <f t="shared" ref="J563:P563" si="679">SUM(J561:J562)</f>
        <v>0</v>
      </c>
      <c r="K563" s="131">
        <f t="shared" si="679"/>
        <v>0</v>
      </c>
      <c r="L563" s="131">
        <f t="shared" si="679"/>
        <v>0</v>
      </c>
      <c r="M563" s="131">
        <f t="shared" si="679"/>
        <v>0</v>
      </c>
      <c r="N563" s="131">
        <f t="shared" si="679"/>
        <v>0</v>
      </c>
      <c r="O563" s="131">
        <f t="shared" si="679"/>
        <v>0</v>
      </c>
      <c r="P563" s="131">
        <f t="shared" si="679"/>
        <v>0</v>
      </c>
      <c r="Q563" s="241">
        <f>SUM(Q561:Q562)</f>
        <v>0</v>
      </c>
      <c r="R563" s="241">
        <f>SUM(R561:R562)</f>
        <v>0</v>
      </c>
      <c r="S563" s="556"/>
      <c r="T563" s="556">
        <f t="shared" ref="T563:AG563" si="680">SUM(T561:T562)</f>
        <v>0</v>
      </c>
      <c r="U563" s="556">
        <f t="shared" si="680"/>
        <v>0</v>
      </c>
      <c r="V563" s="556">
        <f t="shared" si="680"/>
        <v>0</v>
      </c>
      <c r="W563" s="556">
        <f t="shared" si="680"/>
        <v>0</v>
      </c>
      <c r="X563" s="556">
        <f t="shared" si="680"/>
        <v>0</v>
      </c>
      <c r="Y563" s="556">
        <f t="shared" si="680"/>
        <v>0</v>
      </c>
      <c r="Z563" s="556">
        <f t="shared" si="680"/>
        <v>0</v>
      </c>
      <c r="AA563" s="556">
        <f t="shared" si="680"/>
        <v>0</v>
      </c>
      <c r="AB563" s="556">
        <f t="shared" si="680"/>
        <v>0</v>
      </c>
      <c r="AC563" s="556">
        <f t="shared" si="680"/>
        <v>0</v>
      </c>
      <c r="AD563" s="556">
        <f t="shared" si="680"/>
        <v>0</v>
      </c>
      <c r="AE563" s="556">
        <f t="shared" si="680"/>
        <v>0</v>
      </c>
      <c r="AF563" s="556">
        <f t="shared" si="680"/>
        <v>0</v>
      </c>
      <c r="AG563" s="556">
        <f t="shared" si="680"/>
        <v>0</v>
      </c>
      <c r="AH563" s="556">
        <f t="shared" ref="AH563:AK563" si="681">SUM(AH561:AH562)</f>
        <v>0</v>
      </c>
      <c r="AI563" s="556">
        <f t="shared" si="681"/>
        <v>0</v>
      </c>
      <c r="AJ563" s="556">
        <f t="shared" si="681"/>
        <v>0</v>
      </c>
      <c r="AK563" s="556">
        <f t="shared" si="681"/>
        <v>0</v>
      </c>
      <c r="AL563" s="556">
        <f t="shared" ref="AL563:AP563" si="682">SUM(AL561:AL562)</f>
        <v>0</v>
      </c>
      <c r="AM563" s="556">
        <f t="shared" si="682"/>
        <v>0</v>
      </c>
      <c r="AN563" s="556">
        <f t="shared" si="682"/>
        <v>0</v>
      </c>
      <c r="AO563" s="556">
        <f t="shared" si="682"/>
        <v>0</v>
      </c>
      <c r="AP563" s="556">
        <f t="shared" si="682"/>
        <v>0</v>
      </c>
      <c r="AQ563" s="556">
        <f t="shared" ref="AQ563:AS563" si="683">SUM(AQ561:AQ562)</f>
        <v>0</v>
      </c>
      <c r="AR563" s="556">
        <f t="shared" si="683"/>
        <v>0</v>
      </c>
      <c r="AS563" s="556">
        <f t="shared" si="683"/>
        <v>0</v>
      </c>
      <c r="AT563" s="556"/>
      <c r="AU563" s="241">
        <f>SUM(AU561:AU562)</f>
        <v>0</v>
      </c>
      <c r="AV563" s="131"/>
      <c r="AW563" s="241">
        <f>SUM(AW561:AW562)</f>
        <v>0</v>
      </c>
      <c r="AX563" s="241">
        <f>+AW563-'ROR-Model'!G563</f>
        <v>0</v>
      </c>
    </row>
    <row r="564" spans="1:50">
      <c r="A564" s="134"/>
      <c r="B564" s="106"/>
      <c r="C564" s="106"/>
      <c r="D564" s="106"/>
      <c r="E564" s="331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16"/>
      <c r="AW564" s="133"/>
      <c r="AX564" s="133">
        <f>+AW564-'ROR-Model'!G564</f>
        <v>0</v>
      </c>
    </row>
    <row r="565" spans="1:50">
      <c r="A565" s="134">
        <v>804.1</v>
      </c>
      <c r="B565" s="106" t="s">
        <v>355</v>
      </c>
      <c r="C565" s="106"/>
      <c r="D565" s="106"/>
      <c r="E565" s="331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16"/>
      <c r="AW565" s="133"/>
      <c r="AX565" s="133">
        <f>+AW565-'ROR-Model'!G565</f>
        <v>0</v>
      </c>
    </row>
    <row r="566" spans="1:50">
      <c r="A566" s="134"/>
      <c r="B566" s="106"/>
      <c r="C566" s="106" t="s">
        <v>14</v>
      </c>
      <c r="D566" s="106"/>
      <c r="E566" s="331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33"/>
      <c r="R566" s="133"/>
      <c r="S566" s="133"/>
      <c r="T566" s="133">
        <f>'Optional Adjustment 2'!G566*$T$1</f>
        <v>0</v>
      </c>
      <c r="U566" s="133">
        <f>'Optional Adjustment 3'!G566*$U$1</f>
        <v>0</v>
      </c>
      <c r="V566" s="133">
        <f>'Optional Adjustment 4'!G566*$V$1</f>
        <v>0</v>
      </c>
      <c r="W566" s="133">
        <f>'Optional Adjustment 5'!G566*$W$1</f>
        <v>0</v>
      </c>
      <c r="X566" s="133">
        <f>'Optional Adjustment 6'!G566*$X$1</f>
        <v>0</v>
      </c>
      <c r="Y566" s="133">
        <f>'Optional Adjustment 7'!G566*$Y$1</f>
        <v>0</v>
      </c>
      <c r="Z566" s="133">
        <f>'Optional Adjustment 8'!G566*$Z$1</f>
        <v>0</v>
      </c>
      <c r="AA566" s="133">
        <f>'Optional Adjustment 9'!G566*$AA$1</f>
        <v>0</v>
      </c>
      <c r="AB566" s="133">
        <f>'Optional Adjustment 10'!G566*$AB$1</f>
        <v>0</v>
      </c>
      <c r="AC566" s="133">
        <f>'Optional Adjustment 11'!G566*$AC$1</f>
        <v>0</v>
      </c>
      <c r="AD566" s="133">
        <f>'Optional Adjustment 12'!G566*$AD$1</f>
        <v>0</v>
      </c>
      <c r="AE566" s="133">
        <f>'Optional Adjustment 13'!G566*$AE$1</f>
        <v>0</v>
      </c>
      <c r="AF566" s="133">
        <f>'Optional Adjustment 14'!G566*$AF$1</f>
        <v>0</v>
      </c>
      <c r="AG566" s="133">
        <f>'Optional Adjustment 15'!G566*$AG$1</f>
        <v>0</v>
      </c>
      <c r="AH566" s="133">
        <f>'Optional Adjustment 16'!G566*$AH$1</f>
        <v>0</v>
      </c>
      <c r="AI566" s="133">
        <f>'Optional Adjustment 17'!G566*$AI$1</f>
        <v>0</v>
      </c>
      <c r="AJ566" s="133">
        <f>'Optional Adjustment 18'!G566*$AJ$1</f>
        <v>0</v>
      </c>
      <c r="AK566" s="133">
        <f>'Optional Adjustment 19'!G566*$AK$1</f>
        <v>0</v>
      </c>
      <c r="AL566" s="133">
        <f>'Optional Adjustment 20'!G566*$AL$1</f>
        <v>0</v>
      </c>
      <c r="AM566" s="133">
        <f>'Optional Adjustment 21'!G566*$AM$1</f>
        <v>0</v>
      </c>
      <c r="AN566" s="133">
        <f>'Optional Adjustment 22'!G566*$AN$1</f>
        <v>0</v>
      </c>
      <c r="AO566" s="133">
        <f>'Optional Adjustment 23'!G566*$AO$1</f>
        <v>0</v>
      </c>
      <c r="AP566" s="133">
        <f>'Optional Adjustment 24'!G566*$AP$1</f>
        <v>0</v>
      </c>
      <c r="AQ566" s="133">
        <f>'Optional Adjustment 25'!G566*$AQ$1</f>
        <v>0</v>
      </c>
      <c r="AR566" s="133">
        <f>'Optional Adjustment 26'!G566*$AR$1</f>
        <v>0</v>
      </c>
      <c r="AS566" s="133">
        <f>'Optional Adjustment 27'!G566*$AS$1</f>
        <v>0</v>
      </c>
      <c r="AT566" s="133"/>
      <c r="AU566" s="133">
        <f>SUM(F566:AT566)</f>
        <v>0</v>
      </c>
      <c r="AV566" s="116"/>
      <c r="AW566" s="133">
        <f>SUM(AU566:AU566)</f>
        <v>0</v>
      </c>
      <c r="AX566" s="133">
        <f>+AW566-'ROR-Model'!G566</f>
        <v>0</v>
      </c>
    </row>
    <row r="567" spans="1:50">
      <c r="A567" s="134"/>
      <c r="B567" s="106"/>
      <c r="C567" s="106" t="s">
        <v>24</v>
      </c>
      <c r="D567" s="106"/>
      <c r="E567" s="331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33"/>
      <c r="R567" s="133"/>
      <c r="S567" s="133"/>
      <c r="T567" s="133">
        <f>'Optional Adjustment 2'!G567*$T$1</f>
        <v>0</v>
      </c>
      <c r="U567" s="133">
        <f>'Optional Adjustment 3'!G567*$U$1</f>
        <v>0</v>
      </c>
      <c r="V567" s="133">
        <f>'Optional Adjustment 4'!G567*$V$1</f>
        <v>0</v>
      </c>
      <c r="W567" s="133">
        <f>'Optional Adjustment 5'!G567*$W$1</f>
        <v>0</v>
      </c>
      <c r="X567" s="133">
        <f>'Optional Adjustment 6'!G567*$X$1</f>
        <v>0</v>
      </c>
      <c r="Y567" s="133">
        <f>'Optional Adjustment 7'!G567*$Y$1</f>
        <v>0</v>
      </c>
      <c r="Z567" s="133">
        <f>'Optional Adjustment 8'!G567*$Z$1</f>
        <v>0</v>
      </c>
      <c r="AA567" s="133">
        <f>'Optional Adjustment 9'!G567*$AA$1</f>
        <v>0</v>
      </c>
      <c r="AB567" s="133">
        <f>'Optional Adjustment 10'!G567*$AB$1</f>
        <v>0</v>
      </c>
      <c r="AC567" s="133">
        <f>'Optional Adjustment 11'!G567*$AC$1</f>
        <v>0</v>
      </c>
      <c r="AD567" s="133">
        <f>'Optional Adjustment 12'!G567*$AD$1</f>
        <v>0</v>
      </c>
      <c r="AE567" s="133">
        <f>'Optional Adjustment 13'!G567*$AE$1</f>
        <v>0</v>
      </c>
      <c r="AF567" s="133">
        <f>'Optional Adjustment 14'!G567*$AF$1</f>
        <v>0</v>
      </c>
      <c r="AG567" s="133">
        <f>'Optional Adjustment 15'!G567*$AG$1</f>
        <v>0</v>
      </c>
      <c r="AH567" s="133">
        <f>'Optional Adjustment 16'!G567*$AH$1</f>
        <v>0</v>
      </c>
      <c r="AI567" s="133">
        <f>'Optional Adjustment 17'!G567*$AI$1</f>
        <v>0</v>
      </c>
      <c r="AJ567" s="133">
        <f>'Optional Adjustment 18'!G567*$AJ$1</f>
        <v>0</v>
      </c>
      <c r="AK567" s="133">
        <f>'Optional Adjustment 19'!G567*$AK$1</f>
        <v>0</v>
      </c>
      <c r="AL567" s="133">
        <f>'Optional Adjustment 20'!G567*$AL$1</f>
        <v>0</v>
      </c>
      <c r="AM567" s="133">
        <f>'Optional Adjustment 21'!G567*$AM$1</f>
        <v>0</v>
      </c>
      <c r="AN567" s="133">
        <f>'Optional Adjustment 22'!G567*$AN$1</f>
        <v>0</v>
      </c>
      <c r="AO567" s="133">
        <f>'Optional Adjustment 23'!G567*$AO$1</f>
        <v>0</v>
      </c>
      <c r="AP567" s="133">
        <f>'Optional Adjustment 24'!G567*$AP$1</f>
        <v>0</v>
      </c>
      <c r="AQ567" s="133">
        <f>'Optional Adjustment 25'!G567*$AQ$1</f>
        <v>0</v>
      </c>
      <c r="AR567" s="133">
        <f>'Optional Adjustment 26'!G567*$AR$1</f>
        <v>0</v>
      </c>
      <c r="AS567" s="133">
        <f>'Optional Adjustment 27'!G567*$AS$1</f>
        <v>0</v>
      </c>
      <c r="AT567" s="133"/>
      <c r="AU567" s="133">
        <f>SUM(F567:AT567)</f>
        <v>0</v>
      </c>
      <c r="AV567" s="116"/>
      <c r="AW567" s="133">
        <f>SUM(AU567:AU567)</f>
        <v>0</v>
      </c>
      <c r="AX567" s="133">
        <f>+AW567-'ROR-Model'!G567</f>
        <v>0</v>
      </c>
    </row>
    <row r="568" spans="1:50">
      <c r="A568" s="134"/>
      <c r="B568" s="106"/>
      <c r="C568" s="106" t="s">
        <v>170</v>
      </c>
      <c r="D568" s="106"/>
      <c r="E568" s="331"/>
      <c r="F568" s="131">
        <f>SUM(F566:F567)</f>
        <v>0</v>
      </c>
      <c r="G568" s="131"/>
      <c r="H568" s="131">
        <f>H1*SUM(H566:H567)</f>
        <v>0</v>
      </c>
      <c r="I568" s="131">
        <f>SUM(I566:I567)</f>
        <v>0</v>
      </c>
      <c r="J568" s="131">
        <f t="shared" ref="J568:P568" si="684">SUM(J566:J567)</f>
        <v>0</v>
      </c>
      <c r="K568" s="131">
        <f t="shared" si="684"/>
        <v>0</v>
      </c>
      <c r="L568" s="131">
        <f t="shared" si="684"/>
        <v>0</v>
      </c>
      <c r="M568" s="131">
        <f t="shared" si="684"/>
        <v>0</v>
      </c>
      <c r="N568" s="131">
        <f t="shared" si="684"/>
        <v>0</v>
      </c>
      <c r="O568" s="131">
        <f t="shared" si="684"/>
        <v>0</v>
      </c>
      <c r="P568" s="131">
        <f t="shared" si="684"/>
        <v>0</v>
      </c>
      <c r="Q568" s="241">
        <f>SUM(Q566:Q567)</f>
        <v>0</v>
      </c>
      <c r="R568" s="241">
        <f>SUM(R566:R567)</f>
        <v>0</v>
      </c>
      <c r="S568" s="556"/>
      <c r="T568" s="556">
        <f t="shared" ref="T568:AG568" si="685">SUM(T566:T567)</f>
        <v>0</v>
      </c>
      <c r="U568" s="556">
        <f t="shared" si="685"/>
        <v>0</v>
      </c>
      <c r="V568" s="556">
        <f t="shared" si="685"/>
        <v>0</v>
      </c>
      <c r="W568" s="556">
        <f t="shared" si="685"/>
        <v>0</v>
      </c>
      <c r="X568" s="556">
        <f t="shared" si="685"/>
        <v>0</v>
      </c>
      <c r="Y568" s="556">
        <f t="shared" si="685"/>
        <v>0</v>
      </c>
      <c r="Z568" s="556">
        <f t="shared" si="685"/>
        <v>0</v>
      </c>
      <c r="AA568" s="556">
        <f t="shared" si="685"/>
        <v>0</v>
      </c>
      <c r="AB568" s="556">
        <f t="shared" si="685"/>
        <v>0</v>
      </c>
      <c r="AC568" s="556">
        <f t="shared" si="685"/>
        <v>0</v>
      </c>
      <c r="AD568" s="556">
        <f t="shared" si="685"/>
        <v>0</v>
      </c>
      <c r="AE568" s="556">
        <f t="shared" si="685"/>
        <v>0</v>
      </c>
      <c r="AF568" s="556">
        <f t="shared" si="685"/>
        <v>0</v>
      </c>
      <c r="AG568" s="556">
        <f t="shared" si="685"/>
        <v>0</v>
      </c>
      <c r="AH568" s="556">
        <f t="shared" ref="AH568:AK568" si="686">SUM(AH566:AH567)</f>
        <v>0</v>
      </c>
      <c r="AI568" s="556">
        <f t="shared" si="686"/>
        <v>0</v>
      </c>
      <c r="AJ568" s="556">
        <f t="shared" si="686"/>
        <v>0</v>
      </c>
      <c r="AK568" s="556">
        <f t="shared" si="686"/>
        <v>0</v>
      </c>
      <c r="AL568" s="556">
        <f t="shared" ref="AL568:AP568" si="687">SUM(AL566:AL567)</f>
        <v>0</v>
      </c>
      <c r="AM568" s="556">
        <f t="shared" si="687"/>
        <v>0</v>
      </c>
      <c r="AN568" s="556">
        <f t="shared" si="687"/>
        <v>0</v>
      </c>
      <c r="AO568" s="556">
        <f t="shared" si="687"/>
        <v>0</v>
      </c>
      <c r="AP568" s="556">
        <f t="shared" si="687"/>
        <v>0</v>
      </c>
      <c r="AQ568" s="556">
        <f t="shared" ref="AQ568:AS568" si="688">SUM(AQ566:AQ567)</f>
        <v>0</v>
      </c>
      <c r="AR568" s="556">
        <f t="shared" si="688"/>
        <v>0</v>
      </c>
      <c r="AS568" s="556">
        <f t="shared" si="688"/>
        <v>0</v>
      </c>
      <c r="AT568" s="556"/>
      <c r="AU568" s="241">
        <f>SUM(AU566:AU567)</f>
        <v>0</v>
      </c>
      <c r="AV568" s="131"/>
      <c r="AW568" s="241">
        <f>SUM(AW566:AW567)</f>
        <v>0</v>
      </c>
      <c r="AX568" s="241">
        <f>+AW568-'ROR-Model'!G568</f>
        <v>0</v>
      </c>
    </row>
    <row r="569" spans="1:50">
      <c r="A569" s="134"/>
      <c r="B569" s="106"/>
      <c r="C569" s="106"/>
      <c r="D569" s="106"/>
      <c r="E569" s="331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16"/>
      <c r="AW569" s="133"/>
      <c r="AX569" s="133">
        <f>+AW569-'ROR-Model'!G569</f>
        <v>0</v>
      </c>
    </row>
    <row r="570" spans="1:50">
      <c r="A570" s="134">
        <v>805</v>
      </c>
      <c r="B570" s="106" t="s">
        <v>357</v>
      </c>
      <c r="C570" s="106"/>
      <c r="D570" s="106"/>
      <c r="E570" s="331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16"/>
      <c r="AW570" s="133"/>
      <c r="AX570" s="133">
        <f>+AW570-'ROR-Model'!G570</f>
        <v>0</v>
      </c>
    </row>
    <row r="571" spans="1:50">
      <c r="A571" s="134"/>
      <c r="B571" s="106"/>
      <c r="C571" s="106" t="s">
        <v>14</v>
      </c>
      <c r="D571" s="106"/>
      <c r="E571" s="331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33"/>
      <c r="R571" s="133"/>
      <c r="S571" s="133"/>
      <c r="T571" s="133">
        <f>'Optional Adjustment 2'!G571*$T$1</f>
        <v>0</v>
      </c>
      <c r="U571" s="133">
        <f>'Optional Adjustment 3'!G571*$U$1</f>
        <v>0</v>
      </c>
      <c r="V571" s="133">
        <f>'Optional Adjustment 4'!G571*$V$1</f>
        <v>0</v>
      </c>
      <c r="W571" s="133">
        <f>'Optional Adjustment 5'!G571*$W$1</f>
        <v>0</v>
      </c>
      <c r="X571" s="133">
        <f>'Optional Adjustment 6'!G571*$X$1</f>
        <v>0</v>
      </c>
      <c r="Y571" s="133">
        <f>'Optional Adjustment 7'!G571*$Y$1</f>
        <v>0</v>
      </c>
      <c r="Z571" s="133">
        <f>'Optional Adjustment 8'!G571*$Z$1</f>
        <v>0</v>
      </c>
      <c r="AA571" s="133">
        <f>'Optional Adjustment 9'!G571*$AA$1</f>
        <v>0</v>
      </c>
      <c r="AB571" s="133">
        <f>'Optional Adjustment 10'!G571*$AB$1</f>
        <v>0</v>
      </c>
      <c r="AC571" s="133">
        <f>'Optional Adjustment 11'!G571*$AC$1</f>
        <v>0</v>
      </c>
      <c r="AD571" s="133">
        <f>'Optional Adjustment 12'!G571*$AD$1</f>
        <v>0</v>
      </c>
      <c r="AE571" s="133">
        <f>'Optional Adjustment 13'!G571*$AE$1</f>
        <v>0</v>
      </c>
      <c r="AF571" s="133">
        <f>'Optional Adjustment 14'!G571*$AF$1</f>
        <v>0</v>
      </c>
      <c r="AG571" s="133">
        <f>'Optional Adjustment 15'!G571*$AG$1</f>
        <v>0</v>
      </c>
      <c r="AH571" s="133">
        <f>'Optional Adjustment 16'!G571*$AH$1</f>
        <v>0</v>
      </c>
      <c r="AI571" s="133">
        <f>'Optional Adjustment 17'!G571*$AI$1</f>
        <v>0</v>
      </c>
      <c r="AJ571" s="133">
        <f>'Optional Adjustment 18'!G571*$AJ$1</f>
        <v>0</v>
      </c>
      <c r="AK571" s="133">
        <f>'Optional Adjustment 19'!G571*$AK$1</f>
        <v>0</v>
      </c>
      <c r="AL571" s="133">
        <f>'Optional Adjustment 20'!G571*$AL$1</f>
        <v>0</v>
      </c>
      <c r="AM571" s="133">
        <f>'Optional Adjustment 21'!G571*$AM$1</f>
        <v>0</v>
      </c>
      <c r="AN571" s="133">
        <f>'Optional Adjustment 22'!G571*$AN$1</f>
        <v>0</v>
      </c>
      <c r="AO571" s="133">
        <f>'Optional Adjustment 23'!G571*$AO$1</f>
        <v>0</v>
      </c>
      <c r="AP571" s="133">
        <f>'Optional Adjustment 24'!G571*$AP$1</f>
        <v>0</v>
      </c>
      <c r="AQ571" s="133">
        <f>'Optional Adjustment 25'!G571*$AQ$1</f>
        <v>0</v>
      </c>
      <c r="AR571" s="133">
        <f>'Optional Adjustment 26'!G571*$AR$1</f>
        <v>0</v>
      </c>
      <c r="AS571" s="133">
        <f>'Optional Adjustment 27'!G571*$AS$1</f>
        <v>0</v>
      </c>
      <c r="AT571" s="133"/>
      <c r="AU571" s="133">
        <f>SUM(F571:AT571)</f>
        <v>0</v>
      </c>
      <c r="AV571" s="116"/>
      <c r="AW571" s="133">
        <f>SUM(AU571:AU571)</f>
        <v>0</v>
      </c>
      <c r="AX571" s="133">
        <f>+AW571-'ROR-Model'!G571</f>
        <v>0</v>
      </c>
    </row>
    <row r="572" spans="1:50">
      <c r="A572" s="134"/>
      <c r="B572" s="106"/>
      <c r="C572" s="106" t="s">
        <v>24</v>
      </c>
      <c r="D572" s="106"/>
      <c r="E572" s="331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33"/>
      <c r="R572" s="133"/>
      <c r="S572" s="133"/>
      <c r="T572" s="133">
        <f>'Optional Adjustment 2'!G572*$T$1</f>
        <v>0</v>
      </c>
      <c r="U572" s="133">
        <f>'Optional Adjustment 3'!G572*$U$1</f>
        <v>0</v>
      </c>
      <c r="V572" s="133">
        <f>'Optional Adjustment 4'!G572*$V$1</f>
        <v>0</v>
      </c>
      <c r="W572" s="133">
        <f>'Optional Adjustment 5'!G572*$W$1</f>
        <v>0</v>
      </c>
      <c r="X572" s="133">
        <f>'Optional Adjustment 6'!G572*$X$1</f>
        <v>0</v>
      </c>
      <c r="Y572" s="133">
        <f>'Optional Adjustment 7'!G572*$Y$1</f>
        <v>0</v>
      </c>
      <c r="Z572" s="133">
        <f>'Optional Adjustment 8'!G572*$Z$1</f>
        <v>0</v>
      </c>
      <c r="AA572" s="133">
        <f>'Optional Adjustment 9'!G572*$AA$1</f>
        <v>0</v>
      </c>
      <c r="AB572" s="133">
        <f>'Optional Adjustment 10'!G572*$AB$1</f>
        <v>0</v>
      </c>
      <c r="AC572" s="133">
        <f>'Optional Adjustment 11'!G572*$AC$1</f>
        <v>0</v>
      </c>
      <c r="AD572" s="133">
        <f>'Optional Adjustment 12'!G572*$AD$1</f>
        <v>0</v>
      </c>
      <c r="AE572" s="133">
        <f>'Optional Adjustment 13'!G572*$AE$1</f>
        <v>0</v>
      </c>
      <c r="AF572" s="133">
        <f>'Optional Adjustment 14'!G572*$AF$1</f>
        <v>0</v>
      </c>
      <c r="AG572" s="133">
        <f>'Optional Adjustment 15'!G572*$AG$1</f>
        <v>0</v>
      </c>
      <c r="AH572" s="133">
        <f>'Optional Adjustment 16'!G572*$AH$1</f>
        <v>0</v>
      </c>
      <c r="AI572" s="133">
        <f>'Optional Adjustment 17'!G572*$AI$1</f>
        <v>0</v>
      </c>
      <c r="AJ572" s="133">
        <f>'Optional Adjustment 18'!G572*$AJ$1</f>
        <v>0</v>
      </c>
      <c r="AK572" s="133">
        <f>'Optional Adjustment 19'!G572*$AK$1</f>
        <v>0</v>
      </c>
      <c r="AL572" s="133">
        <f>'Optional Adjustment 20'!G572*$AL$1</f>
        <v>0</v>
      </c>
      <c r="AM572" s="133">
        <f>'Optional Adjustment 21'!G572*$AM$1</f>
        <v>0</v>
      </c>
      <c r="AN572" s="133">
        <f>'Optional Adjustment 22'!G572*$AN$1</f>
        <v>0</v>
      </c>
      <c r="AO572" s="133">
        <f>'Optional Adjustment 23'!G572*$AO$1</f>
        <v>0</v>
      </c>
      <c r="AP572" s="133">
        <f>'Optional Adjustment 24'!G572*$AP$1</f>
        <v>0</v>
      </c>
      <c r="AQ572" s="133">
        <f>'Optional Adjustment 25'!G572*$AQ$1</f>
        <v>0</v>
      </c>
      <c r="AR572" s="133">
        <f>'Optional Adjustment 26'!G572*$AR$1</f>
        <v>0</v>
      </c>
      <c r="AS572" s="133">
        <f>'Optional Adjustment 27'!G572*$AS$1</f>
        <v>0</v>
      </c>
      <c r="AT572" s="133"/>
      <c r="AU572" s="133">
        <f>SUM(F572:AT572)</f>
        <v>0</v>
      </c>
      <c r="AV572" s="116"/>
      <c r="AW572" s="133">
        <f>SUM(AU572:AU572)</f>
        <v>0</v>
      </c>
      <c r="AX572" s="133">
        <f>+AW572-'ROR-Model'!G572</f>
        <v>0</v>
      </c>
    </row>
    <row r="573" spans="1:50">
      <c r="A573" s="134"/>
      <c r="B573" s="106"/>
      <c r="C573" s="106" t="s">
        <v>170</v>
      </c>
      <c r="D573" s="106"/>
      <c r="E573" s="331"/>
      <c r="F573" s="131">
        <f>SUM(F571:F572)</f>
        <v>0</v>
      </c>
      <c r="G573" s="131"/>
      <c r="H573" s="131">
        <f>H1*SUM(H571:H572)</f>
        <v>0</v>
      </c>
      <c r="I573" s="131">
        <f>SUM(I571:I572)</f>
        <v>0</v>
      </c>
      <c r="J573" s="131">
        <f t="shared" ref="J573:P573" si="689">SUM(J571:J572)</f>
        <v>0</v>
      </c>
      <c r="K573" s="131">
        <f t="shared" si="689"/>
        <v>0</v>
      </c>
      <c r="L573" s="131">
        <f t="shared" si="689"/>
        <v>0</v>
      </c>
      <c r="M573" s="131">
        <f t="shared" si="689"/>
        <v>0</v>
      </c>
      <c r="N573" s="131">
        <f t="shared" si="689"/>
        <v>0</v>
      </c>
      <c r="O573" s="131">
        <f t="shared" si="689"/>
        <v>0</v>
      </c>
      <c r="P573" s="131">
        <f t="shared" si="689"/>
        <v>0</v>
      </c>
      <c r="Q573" s="241">
        <f>SUM(Q571:Q572)</f>
        <v>0</v>
      </c>
      <c r="R573" s="241">
        <f>SUM(R571:R572)</f>
        <v>0</v>
      </c>
      <c r="S573" s="556"/>
      <c r="T573" s="556">
        <f t="shared" ref="T573:AG573" si="690">SUM(T571:T572)</f>
        <v>0</v>
      </c>
      <c r="U573" s="556">
        <f t="shared" si="690"/>
        <v>0</v>
      </c>
      <c r="V573" s="556">
        <f t="shared" si="690"/>
        <v>0</v>
      </c>
      <c r="W573" s="556">
        <f t="shared" si="690"/>
        <v>0</v>
      </c>
      <c r="X573" s="556">
        <f t="shared" si="690"/>
        <v>0</v>
      </c>
      <c r="Y573" s="556">
        <f t="shared" si="690"/>
        <v>0</v>
      </c>
      <c r="Z573" s="556">
        <f t="shared" si="690"/>
        <v>0</v>
      </c>
      <c r="AA573" s="556">
        <f t="shared" si="690"/>
        <v>0</v>
      </c>
      <c r="AB573" s="556">
        <f t="shared" si="690"/>
        <v>0</v>
      </c>
      <c r="AC573" s="556">
        <f t="shared" si="690"/>
        <v>0</v>
      </c>
      <c r="AD573" s="556">
        <f t="shared" si="690"/>
        <v>0</v>
      </c>
      <c r="AE573" s="556">
        <f t="shared" si="690"/>
        <v>0</v>
      </c>
      <c r="AF573" s="556">
        <f t="shared" si="690"/>
        <v>0</v>
      </c>
      <c r="AG573" s="556">
        <f t="shared" si="690"/>
        <v>0</v>
      </c>
      <c r="AH573" s="556">
        <f t="shared" ref="AH573:AK573" si="691">SUM(AH571:AH572)</f>
        <v>0</v>
      </c>
      <c r="AI573" s="556">
        <f t="shared" si="691"/>
        <v>0</v>
      </c>
      <c r="AJ573" s="556">
        <f t="shared" si="691"/>
        <v>0</v>
      </c>
      <c r="AK573" s="556">
        <f t="shared" si="691"/>
        <v>0</v>
      </c>
      <c r="AL573" s="556">
        <f t="shared" ref="AL573:AP573" si="692">SUM(AL571:AL572)</f>
        <v>0</v>
      </c>
      <c r="AM573" s="556">
        <f t="shared" si="692"/>
        <v>0</v>
      </c>
      <c r="AN573" s="556">
        <f t="shared" si="692"/>
        <v>0</v>
      </c>
      <c r="AO573" s="556">
        <f t="shared" si="692"/>
        <v>0</v>
      </c>
      <c r="AP573" s="556">
        <f t="shared" si="692"/>
        <v>0</v>
      </c>
      <c r="AQ573" s="556">
        <f t="shared" ref="AQ573:AS573" si="693">SUM(AQ571:AQ572)</f>
        <v>0</v>
      </c>
      <c r="AR573" s="556">
        <f t="shared" si="693"/>
        <v>0</v>
      </c>
      <c r="AS573" s="556">
        <f t="shared" si="693"/>
        <v>0</v>
      </c>
      <c r="AT573" s="556"/>
      <c r="AU573" s="241">
        <f>SUM(AU571:AU572)</f>
        <v>0</v>
      </c>
      <c r="AV573" s="131"/>
      <c r="AW573" s="241">
        <f>SUM(AW571:AW572)</f>
        <v>0</v>
      </c>
      <c r="AX573" s="241">
        <f>+AW573-'ROR-Model'!G573</f>
        <v>0</v>
      </c>
    </row>
    <row r="574" spans="1:50">
      <c r="A574" s="134"/>
      <c r="B574" s="106"/>
      <c r="C574" s="106"/>
      <c r="D574" s="106"/>
      <c r="E574" s="331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16"/>
      <c r="AW574" s="133"/>
      <c r="AX574" s="133">
        <f>+AW574-'ROR-Model'!G574</f>
        <v>0</v>
      </c>
    </row>
    <row r="575" spans="1:50">
      <c r="A575" s="134">
        <v>805.1</v>
      </c>
      <c r="B575" s="106" t="s">
        <v>358</v>
      </c>
      <c r="C575" s="106"/>
      <c r="D575" s="106"/>
      <c r="E575" s="331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16"/>
      <c r="AW575" s="133"/>
      <c r="AX575" s="133">
        <f>+AW575-'ROR-Model'!G575</f>
        <v>0</v>
      </c>
    </row>
    <row r="576" spans="1:50">
      <c r="A576" s="134"/>
      <c r="B576" s="106"/>
      <c r="C576" s="106" t="s">
        <v>14</v>
      </c>
      <c r="D576" s="106"/>
      <c r="E576" s="331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33"/>
      <c r="R576" s="133"/>
      <c r="S576" s="133"/>
      <c r="T576" s="133">
        <f>'Optional Adjustment 2'!G576*$T$1</f>
        <v>0</v>
      </c>
      <c r="U576" s="133">
        <f>'Optional Adjustment 3'!G576*$U$1</f>
        <v>0</v>
      </c>
      <c r="V576" s="133">
        <f>'Optional Adjustment 4'!G576*$V$1</f>
        <v>0</v>
      </c>
      <c r="W576" s="133">
        <f>'Optional Adjustment 5'!G576*$W$1</f>
        <v>0</v>
      </c>
      <c r="X576" s="133">
        <f>'Optional Adjustment 6'!G576*$X$1</f>
        <v>0</v>
      </c>
      <c r="Y576" s="133">
        <f>'Optional Adjustment 7'!G576*$Y$1</f>
        <v>0</v>
      </c>
      <c r="Z576" s="133">
        <f>'Optional Adjustment 8'!G576*$Z$1</f>
        <v>0</v>
      </c>
      <c r="AA576" s="133">
        <f>'Optional Adjustment 9'!G576*$AA$1</f>
        <v>0</v>
      </c>
      <c r="AB576" s="133">
        <f>'Optional Adjustment 10'!G576*$AB$1</f>
        <v>0</v>
      </c>
      <c r="AC576" s="133">
        <f>'Optional Adjustment 11'!G576*$AC$1</f>
        <v>0</v>
      </c>
      <c r="AD576" s="133">
        <f>'Optional Adjustment 12'!G576*$AD$1</f>
        <v>0</v>
      </c>
      <c r="AE576" s="133">
        <f>'Optional Adjustment 13'!G576*$AE$1</f>
        <v>0</v>
      </c>
      <c r="AF576" s="133">
        <f>'Optional Adjustment 14'!G576*$AF$1</f>
        <v>0</v>
      </c>
      <c r="AG576" s="133">
        <f>'Optional Adjustment 15'!G576*$AG$1</f>
        <v>0</v>
      </c>
      <c r="AH576" s="133">
        <f>'Optional Adjustment 16'!G576*$AH$1</f>
        <v>0</v>
      </c>
      <c r="AI576" s="133">
        <f>'Optional Adjustment 17'!G576*$AI$1</f>
        <v>0</v>
      </c>
      <c r="AJ576" s="133">
        <f>'Optional Adjustment 18'!G576*$AJ$1</f>
        <v>0</v>
      </c>
      <c r="AK576" s="133">
        <f>'Optional Adjustment 19'!G576*$AK$1</f>
        <v>0</v>
      </c>
      <c r="AL576" s="133">
        <f>'Optional Adjustment 20'!G576*$AL$1</f>
        <v>0</v>
      </c>
      <c r="AM576" s="133">
        <f>'Optional Adjustment 21'!G576*$AM$1</f>
        <v>0</v>
      </c>
      <c r="AN576" s="133">
        <f>'Optional Adjustment 22'!G576*$AN$1</f>
        <v>0</v>
      </c>
      <c r="AO576" s="133">
        <f>'Optional Adjustment 23'!G576*$AO$1</f>
        <v>0</v>
      </c>
      <c r="AP576" s="133">
        <f>'Optional Adjustment 24'!G576*$AP$1</f>
        <v>0</v>
      </c>
      <c r="AQ576" s="133">
        <f>'Optional Adjustment 25'!G576*$AQ$1</f>
        <v>0</v>
      </c>
      <c r="AR576" s="133">
        <f>'Optional Adjustment 26'!G576*$AR$1</f>
        <v>0</v>
      </c>
      <c r="AS576" s="133">
        <f>'Optional Adjustment 27'!G576*$AS$1</f>
        <v>0</v>
      </c>
      <c r="AT576" s="133"/>
      <c r="AU576" s="133">
        <f>SUM(F576:AT576)</f>
        <v>0</v>
      </c>
      <c r="AV576" s="116"/>
      <c r="AW576" s="133">
        <f>SUM(AU576:AU576)</f>
        <v>0</v>
      </c>
      <c r="AX576" s="133">
        <f>+AW576-'ROR-Model'!G576</f>
        <v>0</v>
      </c>
    </row>
    <row r="577" spans="1:50">
      <c r="A577" s="134"/>
      <c r="B577" s="106"/>
      <c r="C577" s="106" t="s">
        <v>24</v>
      </c>
      <c r="D577" s="106"/>
      <c r="E577" s="331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33"/>
      <c r="R577" s="133"/>
      <c r="S577" s="133"/>
      <c r="T577" s="133">
        <f>'Optional Adjustment 2'!G577*$T$1</f>
        <v>0</v>
      </c>
      <c r="U577" s="133">
        <f>'Optional Adjustment 3'!G577*$U$1</f>
        <v>0</v>
      </c>
      <c r="V577" s="133">
        <f>'Optional Adjustment 4'!G577*$V$1</f>
        <v>0</v>
      </c>
      <c r="W577" s="133">
        <f>'Optional Adjustment 5'!G577*$W$1</f>
        <v>0</v>
      </c>
      <c r="X577" s="133">
        <f>'Optional Adjustment 6'!G577*$X$1</f>
        <v>0</v>
      </c>
      <c r="Y577" s="133">
        <f>'Optional Adjustment 7'!G577*$Y$1</f>
        <v>0</v>
      </c>
      <c r="Z577" s="133">
        <f>'Optional Adjustment 8'!G577*$Z$1</f>
        <v>0</v>
      </c>
      <c r="AA577" s="133">
        <f>'Optional Adjustment 9'!G577*$AA$1</f>
        <v>0</v>
      </c>
      <c r="AB577" s="133">
        <f>'Optional Adjustment 10'!G577*$AB$1</f>
        <v>0</v>
      </c>
      <c r="AC577" s="133">
        <f>'Optional Adjustment 11'!G577*$AC$1</f>
        <v>0</v>
      </c>
      <c r="AD577" s="133">
        <f>'Optional Adjustment 12'!G577*$AD$1</f>
        <v>0</v>
      </c>
      <c r="AE577" s="133">
        <f>'Optional Adjustment 13'!G577*$AE$1</f>
        <v>0</v>
      </c>
      <c r="AF577" s="133">
        <f>'Optional Adjustment 14'!G577*$AF$1</f>
        <v>0</v>
      </c>
      <c r="AG577" s="133">
        <f>'Optional Adjustment 15'!G577*$AG$1</f>
        <v>0</v>
      </c>
      <c r="AH577" s="133">
        <f>'Optional Adjustment 16'!G577*$AH$1</f>
        <v>0</v>
      </c>
      <c r="AI577" s="133">
        <f>'Optional Adjustment 17'!G577*$AI$1</f>
        <v>0</v>
      </c>
      <c r="AJ577" s="133">
        <f>'Optional Adjustment 18'!G577*$AJ$1</f>
        <v>0</v>
      </c>
      <c r="AK577" s="133">
        <f>'Optional Adjustment 19'!G577*$AK$1</f>
        <v>0</v>
      </c>
      <c r="AL577" s="133">
        <f>'Optional Adjustment 20'!G577*$AL$1</f>
        <v>0</v>
      </c>
      <c r="AM577" s="133">
        <f>'Optional Adjustment 21'!G577*$AM$1</f>
        <v>0</v>
      </c>
      <c r="AN577" s="133">
        <f>'Optional Adjustment 22'!G577*$AN$1</f>
        <v>0</v>
      </c>
      <c r="AO577" s="133">
        <f>'Optional Adjustment 23'!G577*$AO$1</f>
        <v>0</v>
      </c>
      <c r="AP577" s="133">
        <f>'Optional Adjustment 24'!G577*$AP$1</f>
        <v>0</v>
      </c>
      <c r="AQ577" s="133">
        <f>'Optional Adjustment 25'!G577*$AQ$1</f>
        <v>0</v>
      </c>
      <c r="AR577" s="133">
        <f>'Optional Adjustment 26'!G577*$AR$1</f>
        <v>0</v>
      </c>
      <c r="AS577" s="133">
        <f>'Optional Adjustment 27'!G577*$AS$1</f>
        <v>0</v>
      </c>
      <c r="AT577" s="133"/>
      <c r="AU577" s="133">
        <f>SUM(F577:AT577)</f>
        <v>0</v>
      </c>
      <c r="AV577" s="116"/>
      <c r="AW577" s="133">
        <f>SUM(AU577:AU577)</f>
        <v>0</v>
      </c>
      <c r="AX577" s="133">
        <f>+AW577-'ROR-Model'!G577</f>
        <v>0</v>
      </c>
    </row>
    <row r="578" spans="1:50">
      <c r="A578" s="134"/>
      <c r="B578" s="106"/>
      <c r="C578" s="106" t="s">
        <v>170</v>
      </c>
      <c r="D578" s="106"/>
      <c r="E578" s="331"/>
      <c r="F578" s="131">
        <f>SUM(F576:F577)</f>
        <v>0</v>
      </c>
      <c r="G578" s="131"/>
      <c r="H578" s="131">
        <f>H1*SUM(H576:H577)</f>
        <v>0</v>
      </c>
      <c r="I578" s="131">
        <f>SUM(I576:I577)</f>
        <v>0</v>
      </c>
      <c r="J578" s="131">
        <f t="shared" ref="J578:P578" si="694">SUM(J576:J577)</f>
        <v>0</v>
      </c>
      <c r="K578" s="131">
        <f t="shared" si="694"/>
        <v>0</v>
      </c>
      <c r="L578" s="131">
        <f t="shared" si="694"/>
        <v>0</v>
      </c>
      <c r="M578" s="131">
        <f t="shared" si="694"/>
        <v>0</v>
      </c>
      <c r="N578" s="131">
        <f t="shared" si="694"/>
        <v>0</v>
      </c>
      <c r="O578" s="131">
        <f t="shared" si="694"/>
        <v>0</v>
      </c>
      <c r="P578" s="131">
        <f t="shared" si="694"/>
        <v>0</v>
      </c>
      <c r="Q578" s="241">
        <f>SUM(Q576:Q577)</f>
        <v>0</v>
      </c>
      <c r="R578" s="241">
        <f>SUM(R576:R577)</f>
        <v>0</v>
      </c>
      <c r="S578" s="556"/>
      <c r="T578" s="556">
        <f t="shared" ref="T578:AG578" si="695">SUM(T576:T577)</f>
        <v>0</v>
      </c>
      <c r="U578" s="556">
        <f t="shared" si="695"/>
        <v>0</v>
      </c>
      <c r="V578" s="556">
        <f t="shared" si="695"/>
        <v>0</v>
      </c>
      <c r="W578" s="556">
        <f t="shared" si="695"/>
        <v>0</v>
      </c>
      <c r="X578" s="556">
        <f t="shared" si="695"/>
        <v>0</v>
      </c>
      <c r="Y578" s="556">
        <f t="shared" si="695"/>
        <v>0</v>
      </c>
      <c r="Z578" s="556">
        <f t="shared" si="695"/>
        <v>0</v>
      </c>
      <c r="AA578" s="556">
        <f t="shared" si="695"/>
        <v>0</v>
      </c>
      <c r="AB578" s="556">
        <f t="shared" si="695"/>
        <v>0</v>
      </c>
      <c r="AC578" s="556">
        <f t="shared" si="695"/>
        <v>0</v>
      </c>
      <c r="AD578" s="556">
        <f t="shared" si="695"/>
        <v>0</v>
      </c>
      <c r="AE578" s="556">
        <f t="shared" si="695"/>
        <v>0</v>
      </c>
      <c r="AF578" s="556">
        <f t="shared" si="695"/>
        <v>0</v>
      </c>
      <c r="AG578" s="556">
        <f t="shared" si="695"/>
        <v>0</v>
      </c>
      <c r="AH578" s="556">
        <f t="shared" ref="AH578:AK578" si="696">SUM(AH576:AH577)</f>
        <v>0</v>
      </c>
      <c r="AI578" s="556">
        <f t="shared" si="696"/>
        <v>0</v>
      </c>
      <c r="AJ578" s="556">
        <f t="shared" si="696"/>
        <v>0</v>
      </c>
      <c r="AK578" s="556">
        <f t="shared" si="696"/>
        <v>0</v>
      </c>
      <c r="AL578" s="556">
        <f t="shared" ref="AL578:AP578" si="697">SUM(AL576:AL577)</f>
        <v>0</v>
      </c>
      <c r="AM578" s="556">
        <f t="shared" si="697"/>
        <v>0</v>
      </c>
      <c r="AN578" s="556">
        <f t="shared" si="697"/>
        <v>0</v>
      </c>
      <c r="AO578" s="556">
        <f t="shared" si="697"/>
        <v>0</v>
      </c>
      <c r="AP578" s="556">
        <f t="shared" si="697"/>
        <v>0</v>
      </c>
      <c r="AQ578" s="556">
        <f t="shared" ref="AQ578:AS578" si="698">SUM(AQ576:AQ577)</f>
        <v>0</v>
      </c>
      <c r="AR578" s="556">
        <f t="shared" si="698"/>
        <v>0</v>
      </c>
      <c r="AS578" s="556">
        <f t="shared" si="698"/>
        <v>0</v>
      </c>
      <c r="AT578" s="556"/>
      <c r="AU578" s="241">
        <f>SUM(AU576:AU577)</f>
        <v>0</v>
      </c>
      <c r="AV578" s="131"/>
      <c r="AW578" s="241">
        <f>SUM(AW576:AW577)</f>
        <v>0</v>
      </c>
      <c r="AX578" s="241">
        <f>+AW578-'ROR-Model'!G578</f>
        <v>0</v>
      </c>
    </row>
    <row r="579" spans="1:50">
      <c r="A579" s="134"/>
      <c r="B579" s="106"/>
      <c r="C579" s="106"/>
      <c r="D579" s="106"/>
      <c r="E579" s="331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16"/>
      <c r="AW579" s="133"/>
      <c r="AX579" s="133">
        <f>+AW579-'ROR-Model'!G579</f>
        <v>0</v>
      </c>
    </row>
    <row r="580" spans="1:50">
      <c r="A580" s="134">
        <v>806</v>
      </c>
      <c r="B580" s="106" t="s">
        <v>359</v>
      </c>
      <c r="C580" s="106"/>
      <c r="D580" s="106"/>
      <c r="E580" s="331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16"/>
      <c r="AW580" s="133"/>
      <c r="AX580" s="133">
        <f>+AW580-'ROR-Model'!G580</f>
        <v>0</v>
      </c>
    </row>
    <row r="581" spans="1:50">
      <c r="A581" s="134"/>
      <c r="B581" s="106"/>
      <c r="C581" s="106" t="s">
        <v>14</v>
      </c>
      <c r="D581" s="106"/>
      <c r="E581" s="331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33"/>
      <c r="R581" s="133"/>
      <c r="S581" s="133"/>
      <c r="T581" s="133">
        <f>'Optional Adjustment 2'!G581*$T$1</f>
        <v>0</v>
      </c>
      <c r="U581" s="133">
        <f>'Optional Adjustment 3'!G581*$U$1</f>
        <v>0</v>
      </c>
      <c r="V581" s="133">
        <f>'Optional Adjustment 4'!G581*$V$1</f>
        <v>0</v>
      </c>
      <c r="W581" s="133">
        <f>'Optional Adjustment 5'!G581*$W$1</f>
        <v>0</v>
      </c>
      <c r="X581" s="133">
        <f>'Optional Adjustment 6'!G581*$X$1</f>
        <v>0</v>
      </c>
      <c r="Y581" s="133">
        <f>'Optional Adjustment 7'!G581*$Y$1</f>
        <v>0</v>
      </c>
      <c r="Z581" s="133">
        <f>'Optional Adjustment 8'!G581*$Z$1</f>
        <v>0</v>
      </c>
      <c r="AA581" s="133">
        <f>'Optional Adjustment 9'!G581*$AA$1</f>
        <v>0</v>
      </c>
      <c r="AB581" s="133">
        <f>'Optional Adjustment 10'!G581*$AB$1</f>
        <v>0</v>
      </c>
      <c r="AC581" s="133">
        <f>'Optional Adjustment 11'!G581*$AC$1</f>
        <v>0</v>
      </c>
      <c r="AD581" s="133">
        <f>'Optional Adjustment 12'!G581*$AD$1</f>
        <v>0</v>
      </c>
      <c r="AE581" s="133">
        <f>'Optional Adjustment 13'!G581*$AE$1</f>
        <v>0</v>
      </c>
      <c r="AF581" s="133">
        <f>'Optional Adjustment 14'!G581*$AF$1</f>
        <v>0</v>
      </c>
      <c r="AG581" s="133">
        <f>'Optional Adjustment 15'!G581*$AG$1</f>
        <v>0</v>
      </c>
      <c r="AH581" s="133">
        <f>'Optional Adjustment 16'!G581*$AH$1</f>
        <v>0</v>
      </c>
      <c r="AI581" s="133">
        <f>'Optional Adjustment 17'!G581*$AI$1</f>
        <v>0</v>
      </c>
      <c r="AJ581" s="133">
        <f>'Optional Adjustment 18'!G581*$AJ$1</f>
        <v>0</v>
      </c>
      <c r="AK581" s="133">
        <f>'Optional Adjustment 19'!G581*$AK$1</f>
        <v>0</v>
      </c>
      <c r="AL581" s="133">
        <f>'Optional Adjustment 20'!G581*$AL$1</f>
        <v>0</v>
      </c>
      <c r="AM581" s="133">
        <f>'Optional Adjustment 21'!G581*$AM$1</f>
        <v>0</v>
      </c>
      <c r="AN581" s="133">
        <f>'Optional Adjustment 22'!G581*$AN$1</f>
        <v>0</v>
      </c>
      <c r="AO581" s="133">
        <f>'Optional Adjustment 23'!G581*$AO$1</f>
        <v>0</v>
      </c>
      <c r="AP581" s="133">
        <f>'Optional Adjustment 24'!G581*$AP$1</f>
        <v>0</v>
      </c>
      <c r="AQ581" s="133">
        <f>'Optional Adjustment 25'!G581*$AQ$1</f>
        <v>0</v>
      </c>
      <c r="AR581" s="133">
        <f>'Optional Adjustment 26'!G581*$AR$1</f>
        <v>0</v>
      </c>
      <c r="AS581" s="133">
        <f>'Optional Adjustment 27'!G581*$AS$1</f>
        <v>0</v>
      </c>
      <c r="AT581" s="133"/>
      <c r="AU581" s="133">
        <f>SUM(F581:AT581)</f>
        <v>0</v>
      </c>
      <c r="AV581" s="116"/>
      <c r="AW581" s="133">
        <f>SUM(AU581:AU581)</f>
        <v>0</v>
      </c>
      <c r="AX581" s="133">
        <f>+AW581-'ROR-Model'!G581</f>
        <v>0</v>
      </c>
    </row>
    <row r="582" spans="1:50">
      <c r="A582" s="134"/>
      <c r="B582" s="106"/>
      <c r="C582" s="106" t="s">
        <v>24</v>
      </c>
      <c r="D582" s="106"/>
      <c r="E582" s="331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33"/>
      <c r="R582" s="133"/>
      <c r="S582" s="133"/>
      <c r="T582" s="133">
        <f>'Optional Adjustment 2'!G582*$T$1</f>
        <v>0</v>
      </c>
      <c r="U582" s="133">
        <f>'Optional Adjustment 3'!G582*$U$1</f>
        <v>0</v>
      </c>
      <c r="V582" s="133">
        <f>'Optional Adjustment 4'!G582*$V$1</f>
        <v>0</v>
      </c>
      <c r="W582" s="133">
        <f>'Optional Adjustment 5'!G582*$W$1</f>
        <v>0</v>
      </c>
      <c r="X582" s="133">
        <f>'Optional Adjustment 6'!G582*$X$1</f>
        <v>0</v>
      </c>
      <c r="Y582" s="133">
        <f>'Optional Adjustment 7'!G582*$Y$1</f>
        <v>0</v>
      </c>
      <c r="Z582" s="133">
        <f>'Optional Adjustment 8'!G582*$Z$1</f>
        <v>0</v>
      </c>
      <c r="AA582" s="133">
        <f>'Optional Adjustment 9'!G582*$AA$1</f>
        <v>0</v>
      </c>
      <c r="AB582" s="133">
        <f>'Optional Adjustment 10'!G582*$AB$1</f>
        <v>0</v>
      </c>
      <c r="AC582" s="133">
        <f>'Optional Adjustment 11'!G582*$AC$1</f>
        <v>0</v>
      </c>
      <c r="AD582" s="133">
        <f>'Optional Adjustment 12'!G582*$AD$1</f>
        <v>0</v>
      </c>
      <c r="AE582" s="133">
        <f>'Optional Adjustment 13'!G582*$AE$1</f>
        <v>0</v>
      </c>
      <c r="AF582" s="133">
        <f>'Optional Adjustment 14'!G582*$AF$1</f>
        <v>0</v>
      </c>
      <c r="AG582" s="133">
        <f>'Optional Adjustment 15'!G582*$AG$1</f>
        <v>0</v>
      </c>
      <c r="AH582" s="133">
        <f>'Optional Adjustment 16'!G582*$AH$1</f>
        <v>0</v>
      </c>
      <c r="AI582" s="133">
        <f>'Optional Adjustment 17'!G582*$AI$1</f>
        <v>0</v>
      </c>
      <c r="AJ582" s="133">
        <f>'Optional Adjustment 18'!G582*$AJ$1</f>
        <v>0</v>
      </c>
      <c r="AK582" s="133">
        <f>'Optional Adjustment 19'!G582*$AK$1</f>
        <v>0</v>
      </c>
      <c r="AL582" s="133">
        <f>'Optional Adjustment 20'!G582*$AL$1</f>
        <v>0</v>
      </c>
      <c r="AM582" s="133">
        <f>'Optional Adjustment 21'!G582*$AM$1</f>
        <v>0</v>
      </c>
      <c r="AN582" s="133">
        <f>'Optional Adjustment 22'!G582*$AN$1</f>
        <v>0</v>
      </c>
      <c r="AO582" s="133">
        <f>'Optional Adjustment 23'!G582*$AO$1</f>
        <v>0</v>
      </c>
      <c r="AP582" s="133">
        <f>'Optional Adjustment 24'!G582*$AP$1</f>
        <v>0</v>
      </c>
      <c r="AQ582" s="133">
        <f>'Optional Adjustment 25'!G582*$AQ$1</f>
        <v>0</v>
      </c>
      <c r="AR582" s="133">
        <f>'Optional Adjustment 26'!G582*$AR$1</f>
        <v>0</v>
      </c>
      <c r="AS582" s="133">
        <f>'Optional Adjustment 27'!G582*$AS$1</f>
        <v>0</v>
      </c>
      <c r="AT582" s="133"/>
      <c r="AU582" s="133">
        <f>SUM(F582:AT582)</f>
        <v>0</v>
      </c>
      <c r="AV582" s="116"/>
      <c r="AW582" s="133">
        <f>SUM(AU582:AU582)</f>
        <v>0</v>
      </c>
      <c r="AX582" s="133">
        <f>+AW582-'ROR-Model'!G582</f>
        <v>0</v>
      </c>
    </row>
    <row r="583" spans="1:50">
      <c r="A583" s="134"/>
      <c r="B583" s="106"/>
      <c r="C583" s="106" t="s">
        <v>170</v>
      </c>
      <c r="D583" s="106"/>
      <c r="E583" s="331"/>
      <c r="F583" s="131">
        <f>SUM(F581:F582)</f>
        <v>0</v>
      </c>
      <c r="G583" s="131"/>
      <c r="H583" s="131">
        <f>H1*SUM(H581:H582)</f>
        <v>0</v>
      </c>
      <c r="I583" s="131">
        <f>SUM(I581:I582)</f>
        <v>0</v>
      </c>
      <c r="J583" s="131">
        <f t="shared" ref="J583:P583" si="699">SUM(J581:J582)</f>
        <v>0</v>
      </c>
      <c r="K583" s="131">
        <f t="shared" si="699"/>
        <v>0</v>
      </c>
      <c r="L583" s="131">
        <f t="shared" si="699"/>
        <v>0</v>
      </c>
      <c r="M583" s="131">
        <f t="shared" si="699"/>
        <v>0</v>
      </c>
      <c r="N583" s="131">
        <f t="shared" si="699"/>
        <v>0</v>
      </c>
      <c r="O583" s="131">
        <f t="shared" si="699"/>
        <v>0</v>
      </c>
      <c r="P583" s="131">
        <f t="shared" si="699"/>
        <v>0</v>
      </c>
      <c r="Q583" s="241">
        <f>SUM(Q581:Q582)</f>
        <v>0</v>
      </c>
      <c r="R583" s="241">
        <f>SUM(R581:R582)</f>
        <v>0</v>
      </c>
      <c r="S583" s="556"/>
      <c r="T583" s="556">
        <f t="shared" ref="T583:AG583" si="700">SUM(T581:T582)</f>
        <v>0</v>
      </c>
      <c r="U583" s="556">
        <f t="shared" si="700"/>
        <v>0</v>
      </c>
      <c r="V583" s="556">
        <f t="shared" si="700"/>
        <v>0</v>
      </c>
      <c r="W583" s="556">
        <f t="shared" si="700"/>
        <v>0</v>
      </c>
      <c r="X583" s="556">
        <f t="shared" si="700"/>
        <v>0</v>
      </c>
      <c r="Y583" s="556">
        <f t="shared" si="700"/>
        <v>0</v>
      </c>
      <c r="Z583" s="556">
        <f t="shared" si="700"/>
        <v>0</v>
      </c>
      <c r="AA583" s="556">
        <f t="shared" si="700"/>
        <v>0</v>
      </c>
      <c r="AB583" s="556">
        <f t="shared" si="700"/>
        <v>0</v>
      </c>
      <c r="AC583" s="556">
        <f t="shared" si="700"/>
        <v>0</v>
      </c>
      <c r="AD583" s="556">
        <f t="shared" si="700"/>
        <v>0</v>
      </c>
      <c r="AE583" s="556">
        <f t="shared" si="700"/>
        <v>0</v>
      </c>
      <c r="AF583" s="556">
        <f t="shared" si="700"/>
        <v>0</v>
      </c>
      <c r="AG583" s="556">
        <f t="shared" si="700"/>
        <v>0</v>
      </c>
      <c r="AH583" s="556">
        <f t="shared" ref="AH583:AK583" si="701">SUM(AH581:AH582)</f>
        <v>0</v>
      </c>
      <c r="AI583" s="556">
        <f t="shared" si="701"/>
        <v>0</v>
      </c>
      <c r="AJ583" s="556">
        <f t="shared" si="701"/>
        <v>0</v>
      </c>
      <c r="AK583" s="556">
        <f t="shared" si="701"/>
        <v>0</v>
      </c>
      <c r="AL583" s="556">
        <f t="shared" ref="AL583:AP583" si="702">SUM(AL581:AL582)</f>
        <v>0</v>
      </c>
      <c r="AM583" s="556">
        <f t="shared" si="702"/>
        <v>0</v>
      </c>
      <c r="AN583" s="556">
        <f t="shared" si="702"/>
        <v>0</v>
      </c>
      <c r="AO583" s="556">
        <f t="shared" si="702"/>
        <v>0</v>
      </c>
      <c r="AP583" s="556">
        <f t="shared" si="702"/>
        <v>0</v>
      </c>
      <c r="AQ583" s="556">
        <f t="shared" ref="AQ583:AS583" si="703">SUM(AQ581:AQ582)</f>
        <v>0</v>
      </c>
      <c r="AR583" s="556">
        <f t="shared" si="703"/>
        <v>0</v>
      </c>
      <c r="AS583" s="556">
        <f t="shared" si="703"/>
        <v>0</v>
      </c>
      <c r="AT583" s="556"/>
      <c r="AU583" s="241">
        <f>SUM(AU581:AU582)</f>
        <v>0</v>
      </c>
      <c r="AV583" s="131"/>
      <c r="AW583" s="241">
        <f>SUM(AW581:AW582)</f>
        <v>0</v>
      </c>
      <c r="AX583" s="241">
        <f>+AW583-'ROR-Model'!G583</f>
        <v>0</v>
      </c>
    </row>
    <row r="584" spans="1:50">
      <c r="A584" s="134"/>
      <c r="B584" s="106"/>
      <c r="C584" s="106"/>
      <c r="D584" s="106"/>
      <c r="E584" s="331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16"/>
      <c r="AW584" s="133"/>
      <c r="AX584" s="133">
        <f>+AW584-'ROR-Model'!G584</f>
        <v>0</v>
      </c>
    </row>
    <row r="585" spans="1:50">
      <c r="A585" s="134">
        <v>808.1</v>
      </c>
      <c r="B585" s="106" t="s">
        <v>360</v>
      </c>
      <c r="C585" s="106"/>
      <c r="D585" s="106"/>
      <c r="E585" s="331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16"/>
      <c r="AW585" s="133"/>
      <c r="AX585" s="133">
        <f>+AW585-'ROR-Model'!G585</f>
        <v>0</v>
      </c>
    </row>
    <row r="586" spans="1:50">
      <c r="A586" s="134"/>
      <c r="B586" s="106"/>
      <c r="C586" s="106" t="s">
        <v>14</v>
      </c>
      <c r="D586" s="106"/>
      <c r="E586" s="331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33"/>
      <c r="R586" s="133"/>
      <c r="S586" s="133"/>
      <c r="T586" s="133">
        <f>'Optional Adjustment 2'!G586*$T$1</f>
        <v>0</v>
      </c>
      <c r="U586" s="133">
        <f>'Optional Adjustment 3'!G586*$U$1</f>
        <v>0</v>
      </c>
      <c r="V586" s="133">
        <f>'Optional Adjustment 4'!G586*$V$1</f>
        <v>0</v>
      </c>
      <c r="W586" s="133">
        <f>'Optional Adjustment 5'!G586*$W$1</f>
        <v>0</v>
      </c>
      <c r="X586" s="133">
        <f>'Optional Adjustment 6'!G586*$X$1</f>
        <v>0</v>
      </c>
      <c r="Y586" s="133">
        <f>'Optional Adjustment 7'!G586*$Y$1</f>
        <v>0</v>
      </c>
      <c r="Z586" s="133">
        <f>'Optional Adjustment 8'!G586*$Z$1</f>
        <v>0</v>
      </c>
      <c r="AA586" s="133">
        <f>'Optional Adjustment 9'!G586*$AA$1</f>
        <v>0</v>
      </c>
      <c r="AB586" s="133">
        <f>'Optional Adjustment 10'!G586*$AB$1</f>
        <v>0</v>
      </c>
      <c r="AC586" s="133">
        <f>'Optional Adjustment 11'!G586*$AC$1</f>
        <v>0</v>
      </c>
      <c r="AD586" s="133">
        <f>'Optional Adjustment 12'!G586*$AD$1</f>
        <v>0</v>
      </c>
      <c r="AE586" s="133">
        <f>'Optional Adjustment 13'!G586*$AE$1</f>
        <v>0</v>
      </c>
      <c r="AF586" s="133">
        <f>'Optional Adjustment 14'!G586*$AF$1</f>
        <v>0</v>
      </c>
      <c r="AG586" s="133">
        <f>'Optional Adjustment 15'!G586*$AG$1</f>
        <v>0</v>
      </c>
      <c r="AH586" s="133">
        <f>'Optional Adjustment 16'!G586*$AH$1</f>
        <v>0</v>
      </c>
      <c r="AI586" s="133">
        <f>'Optional Adjustment 17'!G586*$AI$1</f>
        <v>0</v>
      </c>
      <c r="AJ586" s="133">
        <f>'Optional Adjustment 18'!G586*$AJ$1</f>
        <v>0</v>
      </c>
      <c r="AK586" s="133">
        <f>'Optional Adjustment 19'!G586*$AK$1</f>
        <v>0</v>
      </c>
      <c r="AL586" s="133">
        <f>'Optional Adjustment 20'!G586*$AL$1</f>
        <v>0</v>
      </c>
      <c r="AM586" s="133">
        <f>'Optional Adjustment 21'!G586*$AM$1</f>
        <v>0</v>
      </c>
      <c r="AN586" s="133">
        <f>'Optional Adjustment 22'!G586*$AN$1</f>
        <v>0</v>
      </c>
      <c r="AO586" s="133">
        <f>'Optional Adjustment 23'!G586*$AO$1</f>
        <v>0</v>
      </c>
      <c r="AP586" s="133">
        <f>'Optional Adjustment 24'!G586*$AP$1</f>
        <v>0</v>
      </c>
      <c r="AQ586" s="133">
        <f>'Optional Adjustment 25'!G586*$AQ$1</f>
        <v>0</v>
      </c>
      <c r="AR586" s="133">
        <f>'Optional Adjustment 26'!G586*$AR$1</f>
        <v>0</v>
      </c>
      <c r="AS586" s="133">
        <f>'Optional Adjustment 27'!G586*$AS$1</f>
        <v>0</v>
      </c>
      <c r="AT586" s="133"/>
      <c r="AU586" s="133">
        <f>SUM(F586:AT586)</f>
        <v>0</v>
      </c>
      <c r="AV586" s="116"/>
      <c r="AW586" s="133">
        <f>SUM(AU586:AU586)</f>
        <v>0</v>
      </c>
      <c r="AX586" s="133">
        <f>+AW586-'ROR-Model'!G586</f>
        <v>0</v>
      </c>
    </row>
    <row r="587" spans="1:50">
      <c r="A587" s="134"/>
      <c r="B587" s="106"/>
      <c r="C587" s="106" t="s">
        <v>24</v>
      </c>
      <c r="D587" s="106"/>
      <c r="E587" s="331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33"/>
      <c r="R587" s="133"/>
      <c r="S587" s="133"/>
      <c r="T587" s="133">
        <f>'Optional Adjustment 2'!G587*$T$1</f>
        <v>0</v>
      </c>
      <c r="U587" s="133">
        <f>'Optional Adjustment 3'!G587*$U$1</f>
        <v>0</v>
      </c>
      <c r="V587" s="133">
        <f>'Optional Adjustment 4'!G587*$V$1</f>
        <v>0</v>
      </c>
      <c r="W587" s="133">
        <f>'Optional Adjustment 5'!G587*$W$1</f>
        <v>0</v>
      </c>
      <c r="X587" s="133">
        <f>'Optional Adjustment 6'!G587*$X$1</f>
        <v>0</v>
      </c>
      <c r="Y587" s="133">
        <f>'Optional Adjustment 7'!G587*$Y$1</f>
        <v>0</v>
      </c>
      <c r="Z587" s="133">
        <f>'Optional Adjustment 8'!G587*$Z$1</f>
        <v>0</v>
      </c>
      <c r="AA587" s="133">
        <f>'Optional Adjustment 9'!G587*$AA$1</f>
        <v>0</v>
      </c>
      <c r="AB587" s="133">
        <f>'Optional Adjustment 10'!G587*$AB$1</f>
        <v>0</v>
      </c>
      <c r="AC587" s="133">
        <f>'Optional Adjustment 11'!G587*$AC$1</f>
        <v>0</v>
      </c>
      <c r="AD587" s="133">
        <f>'Optional Adjustment 12'!G587*$AD$1</f>
        <v>0</v>
      </c>
      <c r="AE587" s="133">
        <f>'Optional Adjustment 13'!G587*$AE$1</f>
        <v>0</v>
      </c>
      <c r="AF587" s="133">
        <f>'Optional Adjustment 14'!G587*$AF$1</f>
        <v>0</v>
      </c>
      <c r="AG587" s="133">
        <f>'Optional Adjustment 15'!G587*$AG$1</f>
        <v>0</v>
      </c>
      <c r="AH587" s="133">
        <f>'Optional Adjustment 16'!G587*$AH$1</f>
        <v>0</v>
      </c>
      <c r="AI587" s="133">
        <f>'Optional Adjustment 17'!G587*$AI$1</f>
        <v>0</v>
      </c>
      <c r="AJ587" s="133">
        <f>'Optional Adjustment 18'!G587*$AJ$1</f>
        <v>0</v>
      </c>
      <c r="AK587" s="133">
        <f>'Optional Adjustment 19'!G587*$AK$1</f>
        <v>0</v>
      </c>
      <c r="AL587" s="133">
        <f>'Optional Adjustment 20'!G587*$AL$1</f>
        <v>0</v>
      </c>
      <c r="AM587" s="133">
        <f>'Optional Adjustment 21'!G587*$AM$1</f>
        <v>0</v>
      </c>
      <c r="AN587" s="133">
        <f>'Optional Adjustment 22'!G587*$AN$1</f>
        <v>0</v>
      </c>
      <c r="AO587" s="133">
        <f>'Optional Adjustment 23'!G587*$AO$1</f>
        <v>0</v>
      </c>
      <c r="AP587" s="133">
        <f>'Optional Adjustment 24'!G587*$AP$1</f>
        <v>0</v>
      </c>
      <c r="AQ587" s="133">
        <f>'Optional Adjustment 25'!G587*$AQ$1</f>
        <v>0</v>
      </c>
      <c r="AR587" s="133">
        <f>'Optional Adjustment 26'!G587*$AR$1</f>
        <v>0</v>
      </c>
      <c r="AS587" s="133">
        <f>'Optional Adjustment 27'!G587*$AS$1</f>
        <v>0</v>
      </c>
      <c r="AT587" s="133"/>
      <c r="AU587" s="133">
        <f>SUM(F587:AT587)</f>
        <v>0</v>
      </c>
      <c r="AV587" s="116"/>
      <c r="AW587" s="133">
        <f>SUM(AU587:AU587)</f>
        <v>0</v>
      </c>
      <c r="AX587" s="133">
        <f>+AW587-'ROR-Model'!G587</f>
        <v>0</v>
      </c>
    </row>
    <row r="588" spans="1:50">
      <c r="A588" s="134"/>
      <c r="B588" s="106"/>
      <c r="C588" s="106" t="s">
        <v>170</v>
      </c>
      <c r="D588" s="106"/>
      <c r="E588" s="331"/>
      <c r="F588" s="131">
        <f>SUM(F586:F587)</f>
        <v>0</v>
      </c>
      <c r="G588" s="131"/>
      <c r="H588" s="131">
        <f>H1*SUM(H586:H587)</f>
        <v>0</v>
      </c>
      <c r="I588" s="131">
        <f>SUM(I586:I587)</f>
        <v>0</v>
      </c>
      <c r="J588" s="131">
        <f t="shared" ref="J588:P588" si="704">SUM(J586:J587)</f>
        <v>0</v>
      </c>
      <c r="K588" s="131">
        <f t="shared" si="704"/>
        <v>0</v>
      </c>
      <c r="L588" s="131">
        <f t="shared" si="704"/>
        <v>0</v>
      </c>
      <c r="M588" s="131">
        <f t="shared" si="704"/>
        <v>0</v>
      </c>
      <c r="N588" s="131">
        <f t="shared" si="704"/>
        <v>0</v>
      </c>
      <c r="O588" s="131">
        <f t="shared" si="704"/>
        <v>0</v>
      </c>
      <c r="P588" s="131">
        <f t="shared" si="704"/>
        <v>0</v>
      </c>
      <c r="Q588" s="241">
        <f>SUM(Q586:Q587)</f>
        <v>0</v>
      </c>
      <c r="R588" s="241">
        <f>SUM(R586:R587)</f>
        <v>0</v>
      </c>
      <c r="S588" s="556"/>
      <c r="T588" s="556">
        <f t="shared" ref="T588:AG588" si="705">SUM(T586:T587)</f>
        <v>0</v>
      </c>
      <c r="U588" s="556">
        <f t="shared" si="705"/>
        <v>0</v>
      </c>
      <c r="V588" s="556">
        <f t="shared" si="705"/>
        <v>0</v>
      </c>
      <c r="W588" s="556">
        <f t="shared" si="705"/>
        <v>0</v>
      </c>
      <c r="X588" s="556">
        <f t="shared" si="705"/>
        <v>0</v>
      </c>
      <c r="Y588" s="556">
        <f t="shared" si="705"/>
        <v>0</v>
      </c>
      <c r="Z588" s="556">
        <f t="shared" si="705"/>
        <v>0</v>
      </c>
      <c r="AA588" s="556">
        <f t="shared" si="705"/>
        <v>0</v>
      </c>
      <c r="AB588" s="556">
        <f t="shared" si="705"/>
        <v>0</v>
      </c>
      <c r="AC588" s="556">
        <f t="shared" si="705"/>
        <v>0</v>
      </c>
      <c r="AD588" s="556">
        <f t="shared" si="705"/>
        <v>0</v>
      </c>
      <c r="AE588" s="556">
        <f t="shared" si="705"/>
        <v>0</v>
      </c>
      <c r="AF588" s="556">
        <f t="shared" si="705"/>
        <v>0</v>
      </c>
      <c r="AG588" s="556">
        <f t="shared" si="705"/>
        <v>0</v>
      </c>
      <c r="AH588" s="556">
        <f t="shared" ref="AH588:AK588" si="706">SUM(AH586:AH587)</f>
        <v>0</v>
      </c>
      <c r="AI588" s="556">
        <f t="shared" si="706"/>
        <v>0</v>
      </c>
      <c r="AJ588" s="556">
        <f t="shared" si="706"/>
        <v>0</v>
      </c>
      <c r="AK588" s="556">
        <f t="shared" si="706"/>
        <v>0</v>
      </c>
      <c r="AL588" s="556">
        <f t="shared" ref="AL588:AP588" si="707">SUM(AL586:AL587)</f>
        <v>0</v>
      </c>
      <c r="AM588" s="556">
        <f t="shared" si="707"/>
        <v>0</v>
      </c>
      <c r="AN588" s="556">
        <f t="shared" si="707"/>
        <v>0</v>
      </c>
      <c r="AO588" s="556">
        <f t="shared" si="707"/>
        <v>0</v>
      </c>
      <c r="AP588" s="556">
        <f t="shared" si="707"/>
        <v>0</v>
      </c>
      <c r="AQ588" s="556">
        <f t="shared" ref="AQ588:AS588" si="708">SUM(AQ586:AQ587)</f>
        <v>0</v>
      </c>
      <c r="AR588" s="556">
        <f t="shared" si="708"/>
        <v>0</v>
      </c>
      <c r="AS588" s="556">
        <f t="shared" si="708"/>
        <v>0</v>
      </c>
      <c r="AT588" s="556"/>
      <c r="AU588" s="241">
        <f>SUM(AU586:AU587)</f>
        <v>0</v>
      </c>
      <c r="AV588" s="131"/>
      <c r="AW588" s="241">
        <f>SUM(AW586:AW587)</f>
        <v>0</v>
      </c>
      <c r="AX588" s="241">
        <f>+AW588-'ROR-Model'!G588</f>
        <v>0</v>
      </c>
    </row>
    <row r="589" spans="1:50">
      <c r="A589" s="134"/>
      <c r="B589" s="106"/>
      <c r="C589" s="106"/>
      <c r="D589" s="106"/>
      <c r="E589" s="331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16"/>
      <c r="AW589" s="133"/>
      <c r="AX589" s="133">
        <f>+AW589-'ROR-Model'!G589</f>
        <v>0</v>
      </c>
    </row>
    <row r="590" spans="1:50">
      <c r="A590" s="134">
        <v>808.2</v>
      </c>
      <c r="B590" s="106" t="s">
        <v>361</v>
      </c>
      <c r="C590" s="106"/>
      <c r="D590" s="106"/>
      <c r="E590" s="331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16"/>
      <c r="AW590" s="133"/>
      <c r="AX590" s="133">
        <f>+AW590-'ROR-Model'!G590</f>
        <v>0</v>
      </c>
    </row>
    <row r="591" spans="1:50">
      <c r="A591" s="134"/>
      <c r="B591" s="106"/>
      <c r="C591" s="106" t="s">
        <v>14</v>
      </c>
      <c r="D591" s="106"/>
      <c r="E591" s="331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33"/>
      <c r="R591" s="133"/>
      <c r="S591" s="133"/>
      <c r="T591" s="133">
        <f>'Optional Adjustment 2'!G591*$T$1</f>
        <v>0</v>
      </c>
      <c r="U591" s="133">
        <f>'Optional Adjustment 3'!G591*$U$1</f>
        <v>0</v>
      </c>
      <c r="V591" s="133">
        <f>'Optional Adjustment 4'!G591*$V$1</f>
        <v>0</v>
      </c>
      <c r="W591" s="133">
        <f>'Optional Adjustment 5'!G591*$W$1</f>
        <v>0</v>
      </c>
      <c r="X591" s="133">
        <f>'Optional Adjustment 6'!G591*$X$1</f>
        <v>0</v>
      </c>
      <c r="Y591" s="133">
        <f>'Optional Adjustment 7'!G591*$Y$1</f>
        <v>0</v>
      </c>
      <c r="Z591" s="133">
        <f>'Optional Adjustment 8'!G591*$Z$1</f>
        <v>0</v>
      </c>
      <c r="AA591" s="133">
        <f>'Optional Adjustment 9'!G591*$AA$1</f>
        <v>0</v>
      </c>
      <c r="AB591" s="133">
        <f>'Optional Adjustment 10'!G591*$AB$1</f>
        <v>0</v>
      </c>
      <c r="AC591" s="133">
        <f>'Optional Adjustment 11'!G591*$AC$1</f>
        <v>0</v>
      </c>
      <c r="AD591" s="133">
        <f>'Optional Adjustment 12'!G591*$AD$1</f>
        <v>0</v>
      </c>
      <c r="AE591" s="133">
        <f>'Optional Adjustment 13'!G591*$AE$1</f>
        <v>0</v>
      </c>
      <c r="AF591" s="133">
        <f>'Optional Adjustment 14'!G591*$AF$1</f>
        <v>0</v>
      </c>
      <c r="AG591" s="133">
        <f>'Optional Adjustment 15'!G591*$AG$1</f>
        <v>0</v>
      </c>
      <c r="AH591" s="133">
        <f>'Optional Adjustment 16'!G591*$AH$1</f>
        <v>0</v>
      </c>
      <c r="AI591" s="133">
        <f>'Optional Adjustment 17'!G591*$AI$1</f>
        <v>0</v>
      </c>
      <c r="AJ591" s="133">
        <f>'Optional Adjustment 18'!G591*$AJ$1</f>
        <v>0</v>
      </c>
      <c r="AK591" s="133">
        <f>'Optional Adjustment 19'!G591*$AK$1</f>
        <v>0</v>
      </c>
      <c r="AL591" s="133">
        <f>'Optional Adjustment 20'!G591*$AL$1</f>
        <v>0</v>
      </c>
      <c r="AM591" s="133">
        <f>'Optional Adjustment 21'!G591*$AM$1</f>
        <v>0</v>
      </c>
      <c r="AN591" s="133">
        <f>'Optional Adjustment 22'!G591*$AN$1</f>
        <v>0</v>
      </c>
      <c r="AO591" s="133">
        <f>'Optional Adjustment 23'!G591*$AO$1</f>
        <v>0</v>
      </c>
      <c r="AP591" s="133">
        <f>'Optional Adjustment 24'!G591*$AP$1</f>
        <v>0</v>
      </c>
      <c r="AQ591" s="133">
        <f>'Optional Adjustment 25'!G591*$AQ$1</f>
        <v>0</v>
      </c>
      <c r="AR591" s="133">
        <f>'Optional Adjustment 26'!G591*$AR$1</f>
        <v>0</v>
      </c>
      <c r="AS591" s="133">
        <f>'Optional Adjustment 27'!G591*$AS$1</f>
        <v>0</v>
      </c>
      <c r="AT591" s="133"/>
      <c r="AU591" s="133">
        <f>SUM(F591:AT591)</f>
        <v>0</v>
      </c>
      <c r="AV591" s="116"/>
      <c r="AW591" s="133">
        <f>SUM(AU591:AU591)</f>
        <v>0</v>
      </c>
      <c r="AX591" s="133">
        <f>+AW591-'ROR-Model'!G591</f>
        <v>0</v>
      </c>
    </row>
    <row r="592" spans="1:50">
      <c r="A592" s="134"/>
      <c r="B592" s="106"/>
      <c r="C592" s="106" t="s">
        <v>24</v>
      </c>
      <c r="D592" s="106"/>
      <c r="E592" s="331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33"/>
      <c r="R592" s="133"/>
      <c r="S592" s="133"/>
      <c r="T592" s="133">
        <f>'Optional Adjustment 2'!G592*$T$1</f>
        <v>0</v>
      </c>
      <c r="U592" s="133">
        <f>'Optional Adjustment 3'!G592*$U$1</f>
        <v>0</v>
      </c>
      <c r="V592" s="133">
        <f>'Optional Adjustment 4'!G592*$V$1</f>
        <v>0</v>
      </c>
      <c r="W592" s="133">
        <f>'Optional Adjustment 5'!G592*$W$1</f>
        <v>0</v>
      </c>
      <c r="X592" s="133">
        <f>'Optional Adjustment 6'!G592*$X$1</f>
        <v>0</v>
      </c>
      <c r="Y592" s="133">
        <f>'Optional Adjustment 7'!G592*$Y$1</f>
        <v>0</v>
      </c>
      <c r="Z592" s="133">
        <f>'Optional Adjustment 8'!G592*$Z$1</f>
        <v>0</v>
      </c>
      <c r="AA592" s="133">
        <f>'Optional Adjustment 9'!G592*$AA$1</f>
        <v>0</v>
      </c>
      <c r="AB592" s="133">
        <f>'Optional Adjustment 10'!G592*$AB$1</f>
        <v>0</v>
      </c>
      <c r="AC592" s="133">
        <f>'Optional Adjustment 11'!G592*$AC$1</f>
        <v>0</v>
      </c>
      <c r="AD592" s="133">
        <f>'Optional Adjustment 12'!G592*$AD$1</f>
        <v>0</v>
      </c>
      <c r="AE592" s="133">
        <f>'Optional Adjustment 13'!G592*$AE$1</f>
        <v>0</v>
      </c>
      <c r="AF592" s="133">
        <f>'Optional Adjustment 14'!G592*$AF$1</f>
        <v>0</v>
      </c>
      <c r="AG592" s="133">
        <f>'Optional Adjustment 15'!G592*$AG$1</f>
        <v>0</v>
      </c>
      <c r="AH592" s="133">
        <f>'Optional Adjustment 16'!G592*$AH$1</f>
        <v>0</v>
      </c>
      <c r="AI592" s="133">
        <f>'Optional Adjustment 17'!G592*$AI$1</f>
        <v>0</v>
      </c>
      <c r="AJ592" s="133">
        <f>'Optional Adjustment 18'!G592*$AJ$1</f>
        <v>0</v>
      </c>
      <c r="AK592" s="133">
        <f>'Optional Adjustment 19'!G592*$AK$1</f>
        <v>0</v>
      </c>
      <c r="AL592" s="133">
        <f>'Optional Adjustment 20'!G592*$AL$1</f>
        <v>0</v>
      </c>
      <c r="AM592" s="133">
        <f>'Optional Adjustment 21'!G592*$AM$1</f>
        <v>0</v>
      </c>
      <c r="AN592" s="133">
        <f>'Optional Adjustment 22'!G592*$AN$1</f>
        <v>0</v>
      </c>
      <c r="AO592" s="133">
        <f>'Optional Adjustment 23'!G592*$AO$1</f>
        <v>0</v>
      </c>
      <c r="AP592" s="133">
        <f>'Optional Adjustment 24'!G592*$AP$1</f>
        <v>0</v>
      </c>
      <c r="AQ592" s="133">
        <f>'Optional Adjustment 25'!G592*$AQ$1</f>
        <v>0</v>
      </c>
      <c r="AR592" s="133">
        <f>'Optional Adjustment 26'!G592*$AR$1</f>
        <v>0</v>
      </c>
      <c r="AS592" s="133">
        <f>'Optional Adjustment 27'!G592*$AS$1</f>
        <v>0</v>
      </c>
      <c r="AT592" s="133"/>
      <c r="AU592" s="133">
        <f>SUM(F592:AT592)</f>
        <v>0</v>
      </c>
      <c r="AV592" s="116"/>
      <c r="AW592" s="133">
        <f>SUM(AU592:AU592)</f>
        <v>0</v>
      </c>
      <c r="AX592" s="133">
        <f>+AW592-'ROR-Model'!G592</f>
        <v>0</v>
      </c>
    </row>
    <row r="593" spans="1:50">
      <c r="A593" s="134"/>
      <c r="B593" s="106"/>
      <c r="C593" s="106" t="s">
        <v>170</v>
      </c>
      <c r="D593" s="106"/>
      <c r="E593" s="331"/>
      <c r="F593" s="131">
        <f>SUM(F591:F592)</f>
        <v>0</v>
      </c>
      <c r="G593" s="131"/>
      <c r="H593" s="131">
        <f>H1*SUM(H591:H592)</f>
        <v>0</v>
      </c>
      <c r="I593" s="131">
        <f>SUM(I591:I592)</f>
        <v>0</v>
      </c>
      <c r="J593" s="131">
        <f t="shared" ref="J593:P593" si="709">SUM(J591:J592)</f>
        <v>0</v>
      </c>
      <c r="K593" s="131">
        <f t="shared" si="709"/>
        <v>0</v>
      </c>
      <c r="L593" s="131">
        <f t="shared" si="709"/>
        <v>0</v>
      </c>
      <c r="M593" s="131">
        <f t="shared" si="709"/>
        <v>0</v>
      </c>
      <c r="N593" s="131">
        <f t="shared" si="709"/>
        <v>0</v>
      </c>
      <c r="O593" s="131">
        <f t="shared" si="709"/>
        <v>0</v>
      </c>
      <c r="P593" s="131">
        <f t="shared" si="709"/>
        <v>0</v>
      </c>
      <c r="Q593" s="241">
        <f>SUM(Q591:Q592)</f>
        <v>0</v>
      </c>
      <c r="R593" s="241">
        <f>SUM(R591:R592)</f>
        <v>0</v>
      </c>
      <c r="S593" s="556"/>
      <c r="T593" s="556">
        <f t="shared" ref="T593:AG593" si="710">SUM(T591:T592)</f>
        <v>0</v>
      </c>
      <c r="U593" s="556">
        <f t="shared" si="710"/>
        <v>0</v>
      </c>
      <c r="V593" s="556">
        <f t="shared" si="710"/>
        <v>0</v>
      </c>
      <c r="W593" s="556">
        <f t="shared" si="710"/>
        <v>0</v>
      </c>
      <c r="X593" s="556">
        <f t="shared" si="710"/>
        <v>0</v>
      </c>
      <c r="Y593" s="556">
        <f t="shared" si="710"/>
        <v>0</v>
      </c>
      <c r="Z593" s="556">
        <f t="shared" si="710"/>
        <v>0</v>
      </c>
      <c r="AA593" s="556">
        <f t="shared" si="710"/>
        <v>0</v>
      </c>
      <c r="AB593" s="556">
        <f t="shared" si="710"/>
        <v>0</v>
      </c>
      <c r="AC593" s="556">
        <f t="shared" si="710"/>
        <v>0</v>
      </c>
      <c r="AD593" s="556">
        <f t="shared" si="710"/>
        <v>0</v>
      </c>
      <c r="AE593" s="556">
        <f t="shared" si="710"/>
        <v>0</v>
      </c>
      <c r="AF593" s="556">
        <f t="shared" si="710"/>
        <v>0</v>
      </c>
      <c r="AG593" s="556">
        <f t="shared" si="710"/>
        <v>0</v>
      </c>
      <c r="AH593" s="556">
        <f t="shared" ref="AH593:AK593" si="711">SUM(AH591:AH592)</f>
        <v>0</v>
      </c>
      <c r="AI593" s="556">
        <f t="shared" si="711"/>
        <v>0</v>
      </c>
      <c r="AJ593" s="556">
        <f t="shared" si="711"/>
        <v>0</v>
      </c>
      <c r="AK593" s="556">
        <f t="shared" si="711"/>
        <v>0</v>
      </c>
      <c r="AL593" s="556">
        <f t="shared" ref="AL593:AP593" si="712">SUM(AL591:AL592)</f>
        <v>0</v>
      </c>
      <c r="AM593" s="556">
        <f t="shared" si="712"/>
        <v>0</v>
      </c>
      <c r="AN593" s="556">
        <f t="shared" si="712"/>
        <v>0</v>
      </c>
      <c r="AO593" s="556">
        <f t="shared" si="712"/>
        <v>0</v>
      </c>
      <c r="AP593" s="556">
        <f t="shared" si="712"/>
        <v>0</v>
      </c>
      <c r="AQ593" s="556">
        <f t="shared" ref="AQ593:AS593" si="713">SUM(AQ591:AQ592)</f>
        <v>0</v>
      </c>
      <c r="AR593" s="556">
        <f t="shared" si="713"/>
        <v>0</v>
      </c>
      <c r="AS593" s="556">
        <f t="shared" si="713"/>
        <v>0</v>
      </c>
      <c r="AT593" s="556"/>
      <c r="AU593" s="241">
        <f>SUM(AU591:AU592)</f>
        <v>0</v>
      </c>
      <c r="AV593" s="131"/>
      <c r="AW593" s="241">
        <f>SUM(AW591:AW592)</f>
        <v>0</v>
      </c>
      <c r="AX593" s="241">
        <f>+AW593-'ROR-Model'!G593</f>
        <v>0</v>
      </c>
    </row>
    <row r="594" spans="1:50">
      <c r="A594" s="134"/>
      <c r="B594" s="106"/>
      <c r="C594" s="106"/>
      <c r="D594" s="106"/>
      <c r="E594" s="331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16"/>
      <c r="AW594" s="133"/>
      <c r="AX594" s="133">
        <f>+AW594-'ROR-Model'!G594</f>
        <v>0</v>
      </c>
    </row>
    <row r="595" spans="1:50">
      <c r="A595" s="134">
        <v>808.3</v>
      </c>
      <c r="B595" s="106" t="s">
        <v>359</v>
      </c>
      <c r="C595" s="106"/>
      <c r="D595" s="106"/>
      <c r="E595" s="331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16"/>
      <c r="AW595" s="133"/>
      <c r="AX595" s="133">
        <f>+AW595-'ROR-Model'!G595</f>
        <v>0</v>
      </c>
    </row>
    <row r="596" spans="1:50">
      <c r="A596" s="134"/>
      <c r="B596" s="106"/>
      <c r="C596" s="106" t="s">
        <v>14</v>
      </c>
      <c r="D596" s="106"/>
      <c r="E596" s="331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33"/>
      <c r="R596" s="133"/>
      <c r="S596" s="133"/>
      <c r="T596" s="133">
        <f>'Optional Adjustment 2'!G596*$T$1</f>
        <v>0</v>
      </c>
      <c r="U596" s="133">
        <f>'Optional Adjustment 3'!G596*$U$1</f>
        <v>0</v>
      </c>
      <c r="V596" s="133">
        <f>'Optional Adjustment 4'!G596*$V$1</f>
        <v>0</v>
      </c>
      <c r="W596" s="133">
        <f>'Optional Adjustment 5'!G596*$W$1</f>
        <v>0</v>
      </c>
      <c r="X596" s="133">
        <f>'Optional Adjustment 6'!G596*$X$1</f>
        <v>0</v>
      </c>
      <c r="Y596" s="133">
        <f>'Optional Adjustment 7'!G596*$Y$1</f>
        <v>0</v>
      </c>
      <c r="Z596" s="133">
        <f>'Optional Adjustment 8'!G596*$Z$1</f>
        <v>0</v>
      </c>
      <c r="AA596" s="133">
        <f>'Optional Adjustment 9'!G596*$AA$1</f>
        <v>0</v>
      </c>
      <c r="AB596" s="133">
        <f>'Optional Adjustment 10'!G596*$AB$1</f>
        <v>0</v>
      </c>
      <c r="AC596" s="133">
        <f>'Optional Adjustment 11'!G596*$AC$1</f>
        <v>0</v>
      </c>
      <c r="AD596" s="133">
        <f>'Optional Adjustment 12'!G596*$AD$1</f>
        <v>0</v>
      </c>
      <c r="AE596" s="133">
        <f>'Optional Adjustment 13'!G596*$AE$1</f>
        <v>0</v>
      </c>
      <c r="AF596" s="133">
        <f>'Optional Adjustment 14'!G596*$AF$1</f>
        <v>0</v>
      </c>
      <c r="AG596" s="133">
        <f>'Optional Adjustment 15'!G596*$AG$1</f>
        <v>0</v>
      </c>
      <c r="AH596" s="133">
        <f>'Optional Adjustment 16'!G596*$AH$1</f>
        <v>0</v>
      </c>
      <c r="AI596" s="133">
        <f>'Optional Adjustment 17'!G596*$AI$1</f>
        <v>0</v>
      </c>
      <c r="AJ596" s="133">
        <f>'Optional Adjustment 18'!G596*$AJ$1</f>
        <v>0</v>
      </c>
      <c r="AK596" s="133">
        <f>'Optional Adjustment 19'!G596*$AK$1</f>
        <v>0</v>
      </c>
      <c r="AL596" s="133">
        <f>'Optional Adjustment 20'!G596*$AL$1</f>
        <v>0</v>
      </c>
      <c r="AM596" s="133">
        <f>'Optional Adjustment 21'!G596*$AM$1</f>
        <v>0</v>
      </c>
      <c r="AN596" s="133">
        <f>'Optional Adjustment 22'!G596*$AN$1</f>
        <v>0</v>
      </c>
      <c r="AO596" s="133">
        <f>'Optional Adjustment 23'!G596*$AO$1</f>
        <v>0</v>
      </c>
      <c r="AP596" s="133">
        <f>'Optional Adjustment 24'!G596*$AP$1</f>
        <v>0</v>
      </c>
      <c r="AQ596" s="133">
        <f>'Optional Adjustment 25'!G596*$AQ$1</f>
        <v>0</v>
      </c>
      <c r="AR596" s="133">
        <f>'Optional Adjustment 26'!G596*$AR$1</f>
        <v>0</v>
      </c>
      <c r="AS596" s="133">
        <f>'Optional Adjustment 27'!G596*$AS$1</f>
        <v>0</v>
      </c>
      <c r="AT596" s="133"/>
      <c r="AU596" s="133">
        <f>SUM(F596:AT596)</f>
        <v>0</v>
      </c>
      <c r="AV596" s="116"/>
      <c r="AW596" s="133">
        <f>SUM(AU596:AU596)</f>
        <v>0</v>
      </c>
      <c r="AX596" s="133">
        <f>+AW596-'ROR-Model'!G596</f>
        <v>0</v>
      </c>
    </row>
    <row r="597" spans="1:50">
      <c r="A597" s="134"/>
      <c r="B597" s="106"/>
      <c r="C597" s="106" t="s">
        <v>24</v>
      </c>
      <c r="D597" s="106"/>
      <c r="E597" s="331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33"/>
      <c r="R597" s="133"/>
      <c r="S597" s="133"/>
      <c r="T597" s="133">
        <f>'Optional Adjustment 2'!G597*$T$1</f>
        <v>0</v>
      </c>
      <c r="U597" s="133">
        <f>'Optional Adjustment 3'!G597*$U$1</f>
        <v>0</v>
      </c>
      <c r="V597" s="133">
        <f>'Optional Adjustment 4'!G597*$V$1</f>
        <v>0</v>
      </c>
      <c r="W597" s="133">
        <f>'Optional Adjustment 5'!G597*$W$1</f>
        <v>0</v>
      </c>
      <c r="X597" s="133">
        <f>'Optional Adjustment 6'!G597*$X$1</f>
        <v>0</v>
      </c>
      <c r="Y597" s="133">
        <f>'Optional Adjustment 7'!G597*$Y$1</f>
        <v>0</v>
      </c>
      <c r="Z597" s="133">
        <f>'Optional Adjustment 8'!G597*$Z$1</f>
        <v>0</v>
      </c>
      <c r="AA597" s="133">
        <f>'Optional Adjustment 9'!G597*$AA$1</f>
        <v>0</v>
      </c>
      <c r="AB597" s="133">
        <f>'Optional Adjustment 10'!G597*$AB$1</f>
        <v>0</v>
      </c>
      <c r="AC597" s="133">
        <f>'Optional Adjustment 11'!G597*$AC$1</f>
        <v>0</v>
      </c>
      <c r="AD597" s="133">
        <f>'Optional Adjustment 12'!G597*$AD$1</f>
        <v>0</v>
      </c>
      <c r="AE597" s="133">
        <f>'Optional Adjustment 13'!G597*$AE$1</f>
        <v>0</v>
      </c>
      <c r="AF597" s="133">
        <f>'Optional Adjustment 14'!G597*$AF$1</f>
        <v>0</v>
      </c>
      <c r="AG597" s="133">
        <f>'Optional Adjustment 15'!G597*$AG$1</f>
        <v>0</v>
      </c>
      <c r="AH597" s="133">
        <f>'Optional Adjustment 16'!G597*$AH$1</f>
        <v>0</v>
      </c>
      <c r="AI597" s="133">
        <f>'Optional Adjustment 17'!G597*$AI$1</f>
        <v>0</v>
      </c>
      <c r="AJ597" s="133">
        <f>'Optional Adjustment 18'!G597*$AJ$1</f>
        <v>0</v>
      </c>
      <c r="AK597" s="133">
        <f>'Optional Adjustment 19'!G597*$AK$1</f>
        <v>0</v>
      </c>
      <c r="AL597" s="133">
        <f>'Optional Adjustment 20'!G597*$AL$1</f>
        <v>0</v>
      </c>
      <c r="AM597" s="133">
        <f>'Optional Adjustment 21'!G597*$AM$1</f>
        <v>0</v>
      </c>
      <c r="AN597" s="133">
        <f>'Optional Adjustment 22'!G597*$AN$1</f>
        <v>0</v>
      </c>
      <c r="AO597" s="133">
        <f>'Optional Adjustment 23'!G597*$AO$1</f>
        <v>0</v>
      </c>
      <c r="AP597" s="133">
        <f>'Optional Adjustment 24'!G597*$AP$1</f>
        <v>0</v>
      </c>
      <c r="AQ597" s="133">
        <f>'Optional Adjustment 25'!G597*$AQ$1</f>
        <v>0</v>
      </c>
      <c r="AR597" s="133">
        <f>'Optional Adjustment 26'!G597*$AR$1</f>
        <v>0</v>
      </c>
      <c r="AS597" s="133">
        <f>'Optional Adjustment 27'!G597*$AS$1</f>
        <v>0</v>
      </c>
      <c r="AT597" s="133"/>
      <c r="AU597" s="133">
        <f>SUM(F597:AT597)</f>
        <v>0</v>
      </c>
      <c r="AV597" s="116"/>
      <c r="AW597" s="133">
        <f>SUM(AU597:AU597)</f>
        <v>0</v>
      </c>
      <c r="AX597" s="133">
        <f>+AW597-'ROR-Model'!G597</f>
        <v>0</v>
      </c>
    </row>
    <row r="598" spans="1:50">
      <c r="A598" s="134"/>
      <c r="B598" s="106"/>
      <c r="C598" s="106" t="s">
        <v>170</v>
      </c>
      <c r="D598" s="106"/>
      <c r="E598" s="331"/>
      <c r="F598" s="131">
        <f>SUM(F596:F597)</f>
        <v>0</v>
      </c>
      <c r="G598" s="131"/>
      <c r="H598" s="131">
        <f>H1*SUM(H596:H597)</f>
        <v>0</v>
      </c>
      <c r="I598" s="131">
        <f>SUM(I596:I597)</f>
        <v>0</v>
      </c>
      <c r="J598" s="131">
        <f t="shared" ref="J598:P598" si="714">SUM(J596:J597)</f>
        <v>0</v>
      </c>
      <c r="K598" s="131">
        <f t="shared" si="714"/>
        <v>0</v>
      </c>
      <c r="L598" s="131">
        <f t="shared" si="714"/>
        <v>0</v>
      </c>
      <c r="M598" s="131">
        <f t="shared" si="714"/>
        <v>0</v>
      </c>
      <c r="N598" s="131">
        <f t="shared" si="714"/>
        <v>0</v>
      </c>
      <c r="O598" s="131">
        <f t="shared" si="714"/>
        <v>0</v>
      </c>
      <c r="P598" s="131">
        <f t="shared" si="714"/>
        <v>0</v>
      </c>
      <c r="Q598" s="241">
        <f>SUM(Q596:Q597)</f>
        <v>0</v>
      </c>
      <c r="R598" s="241">
        <f>SUM(R596:R597)</f>
        <v>0</v>
      </c>
      <c r="S598" s="556"/>
      <c r="T598" s="556">
        <f t="shared" ref="T598:AG598" si="715">SUM(T596:T597)</f>
        <v>0</v>
      </c>
      <c r="U598" s="556">
        <f t="shared" si="715"/>
        <v>0</v>
      </c>
      <c r="V598" s="556">
        <f t="shared" si="715"/>
        <v>0</v>
      </c>
      <c r="W598" s="556">
        <f t="shared" si="715"/>
        <v>0</v>
      </c>
      <c r="X598" s="556">
        <f t="shared" si="715"/>
        <v>0</v>
      </c>
      <c r="Y598" s="556">
        <f t="shared" si="715"/>
        <v>0</v>
      </c>
      <c r="Z598" s="556">
        <f t="shared" si="715"/>
        <v>0</v>
      </c>
      <c r="AA598" s="556">
        <f t="shared" si="715"/>
        <v>0</v>
      </c>
      <c r="AB598" s="556">
        <f t="shared" si="715"/>
        <v>0</v>
      </c>
      <c r="AC598" s="556">
        <f t="shared" si="715"/>
        <v>0</v>
      </c>
      <c r="AD598" s="556">
        <f t="shared" si="715"/>
        <v>0</v>
      </c>
      <c r="AE598" s="556">
        <f t="shared" si="715"/>
        <v>0</v>
      </c>
      <c r="AF598" s="556">
        <f t="shared" si="715"/>
        <v>0</v>
      </c>
      <c r="AG598" s="556">
        <f t="shared" si="715"/>
        <v>0</v>
      </c>
      <c r="AH598" s="556">
        <f t="shared" ref="AH598:AK598" si="716">SUM(AH596:AH597)</f>
        <v>0</v>
      </c>
      <c r="AI598" s="556">
        <f t="shared" si="716"/>
        <v>0</v>
      </c>
      <c r="AJ598" s="556">
        <f t="shared" si="716"/>
        <v>0</v>
      </c>
      <c r="AK598" s="556">
        <f t="shared" si="716"/>
        <v>0</v>
      </c>
      <c r="AL598" s="556">
        <f t="shared" ref="AL598:AP598" si="717">SUM(AL596:AL597)</f>
        <v>0</v>
      </c>
      <c r="AM598" s="556">
        <f t="shared" si="717"/>
        <v>0</v>
      </c>
      <c r="AN598" s="556">
        <f t="shared" si="717"/>
        <v>0</v>
      </c>
      <c r="AO598" s="556">
        <f t="shared" si="717"/>
        <v>0</v>
      </c>
      <c r="AP598" s="556">
        <f t="shared" si="717"/>
        <v>0</v>
      </c>
      <c r="AQ598" s="556">
        <f t="shared" ref="AQ598:AS598" si="718">SUM(AQ596:AQ597)</f>
        <v>0</v>
      </c>
      <c r="AR598" s="556">
        <f t="shared" si="718"/>
        <v>0</v>
      </c>
      <c r="AS598" s="556">
        <f t="shared" si="718"/>
        <v>0</v>
      </c>
      <c r="AT598" s="556"/>
      <c r="AU598" s="241">
        <f>SUM(AU596:AU597)</f>
        <v>0</v>
      </c>
      <c r="AV598" s="131"/>
      <c r="AW598" s="241">
        <f>SUM(AW596:AW597)</f>
        <v>0</v>
      </c>
      <c r="AX598" s="241">
        <f>+AW598-'ROR-Model'!G598</f>
        <v>0</v>
      </c>
    </row>
    <row r="599" spans="1:50">
      <c r="A599" s="134"/>
      <c r="B599" s="106"/>
      <c r="C599" s="106"/>
      <c r="D599" s="106"/>
      <c r="E599" s="331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16"/>
      <c r="AW599" s="133"/>
      <c r="AX599" s="133">
        <f>+AW599-'ROR-Model'!G599</f>
        <v>0</v>
      </c>
    </row>
    <row r="600" spans="1:50">
      <c r="A600" s="134">
        <v>813</v>
      </c>
      <c r="B600" s="106" t="s">
        <v>362</v>
      </c>
      <c r="C600" s="106"/>
      <c r="D600" s="106"/>
      <c r="E600" s="331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16"/>
      <c r="AW600" s="133"/>
      <c r="AX600" s="133">
        <f>+AW600-'ROR-Model'!G600</f>
        <v>0</v>
      </c>
    </row>
    <row r="601" spans="1:50">
      <c r="A601" s="134"/>
      <c r="B601" s="106"/>
      <c r="C601" s="106" t="s">
        <v>14</v>
      </c>
      <c r="D601" s="106"/>
      <c r="E601" s="331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33"/>
      <c r="R601" s="133"/>
      <c r="S601" s="133"/>
      <c r="T601" s="133">
        <f>'Optional Adjustment 2'!G601*$T$1</f>
        <v>0</v>
      </c>
      <c r="U601" s="133">
        <f>'Optional Adjustment 3'!G601*$U$1</f>
        <v>0</v>
      </c>
      <c r="V601" s="133">
        <f>'Optional Adjustment 4'!G601*$V$1</f>
        <v>0</v>
      </c>
      <c r="W601" s="133">
        <f>'Optional Adjustment 5'!G601*$W$1</f>
        <v>0</v>
      </c>
      <c r="X601" s="133">
        <f>'Optional Adjustment 6'!G601*$X$1</f>
        <v>0</v>
      </c>
      <c r="Y601" s="133">
        <f>'Optional Adjustment 7'!G601*$Y$1</f>
        <v>0</v>
      </c>
      <c r="Z601" s="133">
        <f>'Optional Adjustment 8'!G601*$Z$1</f>
        <v>0</v>
      </c>
      <c r="AA601" s="133">
        <f>'Optional Adjustment 9'!G601*$AA$1</f>
        <v>0</v>
      </c>
      <c r="AB601" s="133">
        <f>'Optional Adjustment 10'!G601*$AB$1</f>
        <v>0</v>
      </c>
      <c r="AC601" s="133">
        <f>'Optional Adjustment 11'!G601*$AC$1</f>
        <v>0</v>
      </c>
      <c r="AD601" s="133">
        <f>'Optional Adjustment 12'!G601*$AD$1</f>
        <v>0</v>
      </c>
      <c r="AE601" s="133">
        <f>'Optional Adjustment 13'!G601*$AE$1</f>
        <v>0</v>
      </c>
      <c r="AF601" s="133">
        <f>'Optional Adjustment 14'!G601*$AF$1</f>
        <v>0</v>
      </c>
      <c r="AG601" s="133">
        <f>'Optional Adjustment 15'!G601*$AG$1</f>
        <v>0</v>
      </c>
      <c r="AH601" s="133">
        <f>'Optional Adjustment 16'!G601*$AH$1</f>
        <v>0</v>
      </c>
      <c r="AI601" s="133">
        <f>'Optional Adjustment 17'!G601*$AI$1</f>
        <v>0</v>
      </c>
      <c r="AJ601" s="133">
        <f>'Optional Adjustment 18'!G601*$AJ$1</f>
        <v>0</v>
      </c>
      <c r="AK601" s="133">
        <f>'Optional Adjustment 19'!G601*$AK$1</f>
        <v>0</v>
      </c>
      <c r="AL601" s="133">
        <f>'Optional Adjustment 20'!G601*$AL$1</f>
        <v>0</v>
      </c>
      <c r="AM601" s="133">
        <f>'Optional Adjustment 21'!G601*$AM$1</f>
        <v>0</v>
      </c>
      <c r="AN601" s="133">
        <f>'Optional Adjustment 22'!G601*$AN$1</f>
        <v>0</v>
      </c>
      <c r="AO601" s="133">
        <f>'Optional Adjustment 23'!G601*$AO$1</f>
        <v>0</v>
      </c>
      <c r="AP601" s="133">
        <f>'Optional Adjustment 24'!G601*$AP$1</f>
        <v>0</v>
      </c>
      <c r="AQ601" s="133">
        <f>'Optional Adjustment 25'!G601*$AQ$1</f>
        <v>0</v>
      </c>
      <c r="AR601" s="133">
        <f>'Optional Adjustment 26'!G601*$AR$1</f>
        <v>0</v>
      </c>
      <c r="AS601" s="133">
        <f>'Optional Adjustment 27'!G601*$AS$1</f>
        <v>0</v>
      </c>
      <c r="AT601" s="133"/>
      <c r="AU601" s="133">
        <f>SUM(F601:AT601)</f>
        <v>0</v>
      </c>
      <c r="AV601" s="116"/>
      <c r="AW601" s="133">
        <f>SUM(AU601:AU601)</f>
        <v>0</v>
      </c>
      <c r="AX601" s="133">
        <f>+AW601-'ROR-Model'!G601</f>
        <v>0</v>
      </c>
    </row>
    <row r="602" spans="1:50">
      <c r="A602" s="134"/>
      <c r="B602" s="106"/>
      <c r="C602" s="106" t="s">
        <v>24</v>
      </c>
      <c r="D602" s="106"/>
      <c r="E602" s="331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33"/>
      <c r="R602" s="133"/>
      <c r="S602" s="133"/>
      <c r="T602" s="133">
        <f>'Optional Adjustment 2'!G602*$T$1</f>
        <v>0</v>
      </c>
      <c r="U602" s="133">
        <f>'Optional Adjustment 3'!G602*$U$1</f>
        <v>0</v>
      </c>
      <c r="V602" s="133">
        <f>'Optional Adjustment 4'!G602*$V$1</f>
        <v>0</v>
      </c>
      <c r="W602" s="133">
        <f>'Optional Adjustment 5'!G602*$W$1</f>
        <v>0</v>
      </c>
      <c r="X602" s="133">
        <f>'Optional Adjustment 6'!G602*$X$1</f>
        <v>0</v>
      </c>
      <c r="Y602" s="133">
        <f>'Optional Adjustment 7'!G602*$Y$1</f>
        <v>0</v>
      </c>
      <c r="Z602" s="133">
        <f>'Optional Adjustment 8'!G602*$Z$1</f>
        <v>0</v>
      </c>
      <c r="AA602" s="133">
        <f>'Optional Adjustment 9'!G602*$AA$1</f>
        <v>0</v>
      </c>
      <c r="AB602" s="133">
        <f>'Optional Adjustment 10'!G602*$AB$1</f>
        <v>0</v>
      </c>
      <c r="AC602" s="133">
        <f>'Optional Adjustment 11'!G602*$AC$1</f>
        <v>0</v>
      </c>
      <c r="AD602" s="133">
        <f>'Optional Adjustment 12'!G602*$AD$1</f>
        <v>0</v>
      </c>
      <c r="AE602" s="133">
        <f>'Optional Adjustment 13'!G602*$AE$1</f>
        <v>0</v>
      </c>
      <c r="AF602" s="133">
        <f>'Optional Adjustment 14'!G602*$AF$1</f>
        <v>0</v>
      </c>
      <c r="AG602" s="133">
        <f>'Optional Adjustment 15'!G602*$AG$1</f>
        <v>0</v>
      </c>
      <c r="AH602" s="133">
        <f>'Optional Adjustment 16'!G602*$AH$1</f>
        <v>0</v>
      </c>
      <c r="AI602" s="133">
        <f>'Optional Adjustment 17'!G602*$AI$1</f>
        <v>0</v>
      </c>
      <c r="AJ602" s="133">
        <f>'Optional Adjustment 18'!G602*$AJ$1</f>
        <v>0</v>
      </c>
      <c r="AK602" s="133">
        <f>'Optional Adjustment 19'!G602*$AK$1</f>
        <v>0</v>
      </c>
      <c r="AL602" s="133">
        <f>'Optional Adjustment 20'!G602*$AL$1</f>
        <v>0</v>
      </c>
      <c r="AM602" s="133">
        <f>'Optional Adjustment 21'!G602*$AM$1</f>
        <v>0</v>
      </c>
      <c r="AN602" s="133">
        <f>'Optional Adjustment 22'!G602*$AN$1</f>
        <v>0</v>
      </c>
      <c r="AO602" s="133">
        <f>'Optional Adjustment 23'!G602*$AO$1</f>
        <v>0</v>
      </c>
      <c r="AP602" s="133">
        <f>'Optional Adjustment 24'!G602*$AP$1</f>
        <v>0</v>
      </c>
      <c r="AQ602" s="133">
        <f>'Optional Adjustment 25'!G602*$AQ$1</f>
        <v>0</v>
      </c>
      <c r="AR602" s="133">
        <f>'Optional Adjustment 26'!G602*$AR$1</f>
        <v>0</v>
      </c>
      <c r="AS602" s="133">
        <f>'Optional Adjustment 27'!G602*$AS$1</f>
        <v>0</v>
      </c>
      <c r="AT602" s="133"/>
      <c r="AU602" s="133">
        <f>SUM(F602:AT602)</f>
        <v>0</v>
      </c>
      <c r="AV602" s="116"/>
      <c r="AW602" s="133">
        <f>SUM(AU602:AU602)</f>
        <v>0</v>
      </c>
      <c r="AX602" s="133">
        <f>+AW602-'ROR-Model'!G602</f>
        <v>0</v>
      </c>
    </row>
    <row r="603" spans="1:50">
      <c r="A603" s="134"/>
      <c r="B603" s="106"/>
      <c r="C603" s="106" t="s">
        <v>170</v>
      </c>
      <c r="D603" s="106"/>
      <c r="E603" s="331"/>
      <c r="F603" s="131">
        <f>SUM(F601:F602)</f>
        <v>0</v>
      </c>
      <c r="G603" s="131"/>
      <c r="H603" s="131">
        <f>H1*SUM(H601:H602)</f>
        <v>0</v>
      </c>
      <c r="I603" s="131">
        <f>SUM(I601:I602)</f>
        <v>0</v>
      </c>
      <c r="J603" s="131">
        <f t="shared" ref="J603:P603" si="719">SUM(J601:J602)</f>
        <v>0</v>
      </c>
      <c r="K603" s="131">
        <f t="shared" si="719"/>
        <v>0</v>
      </c>
      <c r="L603" s="131">
        <f t="shared" si="719"/>
        <v>0</v>
      </c>
      <c r="M603" s="131">
        <f t="shared" si="719"/>
        <v>0</v>
      </c>
      <c r="N603" s="131">
        <f t="shared" si="719"/>
        <v>0</v>
      </c>
      <c r="O603" s="131">
        <f t="shared" si="719"/>
        <v>0</v>
      </c>
      <c r="P603" s="131">
        <f t="shared" si="719"/>
        <v>0</v>
      </c>
      <c r="Q603" s="241">
        <f>SUM(Q601:Q602)</f>
        <v>0</v>
      </c>
      <c r="R603" s="241">
        <f>SUM(R601:R602)</f>
        <v>0</v>
      </c>
      <c r="S603" s="556"/>
      <c r="T603" s="556">
        <f t="shared" ref="T603:AG603" si="720">SUM(T601:T602)</f>
        <v>0</v>
      </c>
      <c r="U603" s="556">
        <f t="shared" si="720"/>
        <v>0</v>
      </c>
      <c r="V603" s="556">
        <f t="shared" si="720"/>
        <v>0</v>
      </c>
      <c r="W603" s="556">
        <f t="shared" si="720"/>
        <v>0</v>
      </c>
      <c r="X603" s="556">
        <f t="shared" si="720"/>
        <v>0</v>
      </c>
      <c r="Y603" s="556">
        <f t="shared" si="720"/>
        <v>0</v>
      </c>
      <c r="Z603" s="556">
        <f t="shared" si="720"/>
        <v>0</v>
      </c>
      <c r="AA603" s="556">
        <f t="shared" si="720"/>
        <v>0</v>
      </c>
      <c r="AB603" s="556">
        <f t="shared" si="720"/>
        <v>0</v>
      </c>
      <c r="AC603" s="556">
        <f t="shared" si="720"/>
        <v>0</v>
      </c>
      <c r="AD603" s="556">
        <f t="shared" si="720"/>
        <v>0</v>
      </c>
      <c r="AE603" s="556">
        <f t="shared" si="720"/>
        <v>0</v>
      </c>
      <c r="AF603" s="556">
        <f t="shared" si="720"/>
        <v>0</v>
      </c>
      <c r="AG603" s="556">
        <f t="shared" si="720"/>
        <v>0</v>
      </c>
      <c r="AH603" s="556">
        <f t="shared" ref="AH603:AK603" si="721">SUM(AH601:AH602)</f>
        <v>0</v>
      </c>
      <c r="AI603" s="556">
        <f t="shared" si="721"/>
        <v>0</v>
      </c>
      <c r="AJ603" s="556">
        <f t="shared" si="721"/>
        <v>0</v>
      </c>
      <c r="AK603" s="556">
        <f t="shared" si="721"/>
        <v>0</v>
      </c>
      <c r="AL603" s="556">
        <f t="shared" ref="AL603:AP603" si="722">SUM(AL601:AL602)</f>
        <v>0</v>
      </c>
      <c r="AM603" s="556">
        <f t="shared" si="722"/>
        <v>0</v>
      </c>
      <c r="AN603" s="556">
        <f t="shared" si="722"/>
        <v>0</v>
      </c>
      <c r="AO603" s="556">
        <f t="shared" si="722"/>
        <v>0</v>
      </c>
      <c r="AP603" s="556">
        <f t="shared" si="722"/>
        <v>0</v>
      </c>
      <c r="AQ603" s="556">
        <f t="shared" ref="AQ603:AS603" si="723">SUM(AQ601:AQ602)</f>
        <v>0</v>
      </c>
      <c r="AR603" s="556">
        <f t="shared" si="723"/>
        <v>0</v>
      </c>
      <c r="AS603" s="556">
        <f t="shared" si="723"/>
        <v>0</v>
      </c>
      <c r="AT603" s="556"/>
      <c r="AU603" s="241">
        <f>SUM(AU601:AU602)</f>
        <v>0</v>
      </c>
      <c r="AV603" s="131"/>
      <c r="AW603" s="241">
        <f>SUM(AW601:AW602)</f>
        <v>0</v>
      </c>
      <c r="AX603" s="241">
        <f>+AW603-'ROR-Model'!G603</f>
        <v>0</v>
      </c>
    </row>
    <row r="604" spans="1:50">
      <c r="A604" s="134"/>
      <c r="B604" s="106"/>
      <c r="C604" s="106"/>
      <c r="D604" s="106"/>
      <c r="E604" s="331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16"/>
      <c r="AW604" s="133"/>
      <c r="AX604" s="133">
        <f>+AW604-'ROR-Model'!G604</f>
        <v>0</v>
      </c>
    </row>
    <row r="605" spans="1:50">
      <c r="A605" s="134">
        <v>813</v>
      </c>
      <c r="B605" s="106" t="s">
        <v>363</v>
      </c>
      <c r="C605" s="106"/>
      <c r="D605" s="106"/>
      <c r="E605" s="331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16"/>
      <c r="AW605" s="133"/>
      <c r="AX605" s="133">
        <f>+AW605-'ROR-Model'!G605</f>
        <v>0</v>
      </c>
    </row>
    <row r="606" spans="1:50">
      <c r="A606" s="134"/>
      <c r="B606" s="106"/>
      <c r="C606" s="106" t="s">
        <v>14</v>
      </c>
      <c r="D606" s="106"/>
      <c r="E606" s="331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33"/>
      <c r="R606" s="133"/>
      <c r="S606" s="133"/>
      <c r="T606" s="133">
        <f>'Optional Adjustment 2'!G606*$T$1</f>
        <v>0</v>
      </c>
      <c r="U606" s="133">
        <f>'Optional Adjustment 3'!G606*$U$1</f>
        <v>0</v>
      </c>
      <c r="V606" s="133">
        <f>'Optional Adjustment 4'!G606*$V$1</f>
        <v>0</v>
      </c>
      <c r="W606" s="133">
        <f>'Optional Adjustment 5'!G606*$W$1</f>
        <v>0</v>
      </c>
      <c r="X606" s="133">
        <f>'Optional Adjustment 6'!G606*$X$1</f>
        <v>0</v>
      </c>
      <c r="Y606" s="133">
        <f>'Optional Adjustment 7'!G606*$Y$1</f>
        <v>0</v>
      </c>
      <c r="Z606" s="133">
        <f>'Optional Adjustment 8'!G606*$Z$1</f>
        <v>0</v>
      </c>
      <c r="AA606" s="133">
        <f>'Optional Adjustment 9'!G606*$AA$1</f>
        <v>0</v>
      </c>
      <c r="AB606" s="133">
        <f>'Optional Adjustment 10'!G606*$AB$1</f>
        <v>0</v>
      </c>
      <c r="AC606" s="133">
        <f>'Optional Adjustment 11'!G606*$AC$1</f>
        <v>0</v>
      </c>
      <c r="AD606" s="133">
        <f>'Optional Adjustment 12'!G606*$AD$1</f>
        <v>0</v>
      </c>
      <c r="AE606" s="133">
        <f>'Optional Adjustment 13'!G606*$AE$1</f>
        <v>0</v>
      </c>
      <c r="AF606" s="133">
        <f>'Optional Adjustment 14'!G606*$AF$1</f>
        <v>0</v>
      </c>
      <c r="AG606" s="133">
        <f>'Optional Adjustment 15'!G606*$AG$1</f>
        <v>0</v>
      </c>
      <c r="AH606" s="133">
        <f>'Optional Adjustment 16'!G606*$AH$1</f>
        <v>0</v>
      </c>
      <c r="AI606" s="133">
        <f>'Optional Adjustment 17'!G606*$AI$1</f>
        <v>0</v>
      </c>
      <c r="AJ606" s="133">
        <f>'Optional Adjustment 18'!G606*$AJ$1</f>
        <v>0</v>
      </c>
      <c r="AK606" s="133">
        <f>'Optional Adjustment 19'!G606*$AK$1</f>
        <v>0</v>
      </c>
      <c r="AL606" s="133">
        <f>'Optional Adjustment 20'!G606*$AL$1</f>
        <v>0</v>
      </c>
      <c r="AM606" s="133">
        <f>'Optional Adjustment 21'!G606*$AM$1</f>
        <v>0</v>
      </c>
      <c r="AN606" s="133">
        <f>'Optional Adjustment 22'!G606*$AN$1</f>
        <v>0</v>
      </c>
      <c r="AO606" s="133">
        <f>'Optional Adjustment 23'!G606*$AO$1</f>
        <v>0</v>
      </c>
      <c r="AP606" s="133">
        <f>'Optional Adjustment 24'!G606*$AP$1</f>
        <v>0</v>
      </c>
      <c r="AQ606" s="133">
        <f>'Optional Adjustment 25'!G606*$AQ$1</f>
        <v>0</v>
      </c>
      <c r="AR606" s="133">
        <f>'Optional Adjustment 26'!G606*$AR$1</f>
        <v>0</v>
      </c>
      <c r="AS606" s="133">
        <f>'Optional Adjustment 27'!G606*$AS$1</f>
        <v>0</v>
      </c>
      <c r="AT606" s="133"/>
      <c r="AU606" s="133">
        <f>SUM(F606:AT606)</f>
        <v>0</v>
      </c>
      <c r="AV606" s="116"/>
      <c r="AW606" s="133">
        <f>SUM(AU606:AU606)</f>
        <v>0</v>
      </c>
      <c r="AX606" s="133">
        <f>+AW606-'ROR-Model'!G606</f>
        <v>0</v>
      </c>
    </row>
    <row r="607" spans="1:50">
      <c r="A607" s="134"/>
      <c r="B607" s="106"/>
      <c r="C607" s="106" t="s">
        <v>24</v>
      </c>
      <c r="D607" s="106"/>
      <c r="E607" s="331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33"/>
      <c r="R607" s="133"/>
      <c r="S607" s="133"/>
      <c r="T607" s="133">
        <f>'Optional Adjustment 2'!G607*$T$1</f>
        <v>0</v>
      </c>
      <c r="U607" s="133">
        <f>'Optional Adjustment 3'!G607*$U$1</f>
        <v>0</v>
      </c>
      <c r="V607" s="133">
        <f>'Optional Adjustment 4'!G607*$V$1</f>
        <v>0</v>
      </c>
      <c r="W607" s="133">
        <f>'Optional Adjustment 5'!G607*$W$1</f>
        <v>0</v>
      </c>
      <c r="X607" s="133">
        <f>'Optional Adjustment 6'!G607*$X$1</f>
        <v>0</v>
      </c>
      <c r="Y607" s="133">
        <f>'Optional Adjustment 7'!G607*$Y$1</f>
        <v>0</v>
      </c>
      <c r="Z607" s="133">
        <f>'Optional Adjustment 8'!G607*$Z$1</f>
        <v>0</v>
      </c>
      <c r="AA607" s="133">
        <f>'Optional Adjustment 9'!G607*$AA$1</f>
        <v>0</v>
      </c>
      <c r="AB607" s="133">
        <f>'Optional Adjustment 10'!G607*$AB$1</f>
        <v>0</v>
      </c>
      <c r="AC607" s="133">
        <f>'Optional Adjustment 11'!G607*$AC$1</f>
        <v>0</v>
      </c>
      <c r="AD607" s="133">
        <f>'Optional Adjustment 12'!G607*$AD$1</f>
        <v>0</v>
      </c>
      <c r="AE607" s="133">
        <f>'Optional Adjustment 13'!G607*$AE$1</f>
        <v>0</v>
      </c>
      <c r="AF607" s="133">
        <f>'Optional Adjustment 14'!G607*$AF$1</f>
        <v>0</v>
      </c>
      <c r="AG607" s="133">
        <f>'Optional Adjustment 15'!G607*$AG$1</f>
        <v>0</v>
      </c>
      <c r="AH607" s="133">
        <f>'Optional Adjustment 16'!G607*$AH$1</f>
        <v>0</v>
      </c>
      <c r="AI607" s="133">
        <f>'Optional Adjustment 17'!G607*$AI$1</f>
        <v>0</v>
      </c>
      <c r="AJ607" s="133">
        <f>'Optional Adjustment 18'!G607*$AJ$1</f>
        <v>0</v>
      </c>
      <c r="AK607" s="133">
        <f>'Optional Adjustment 19'!G607*$AK$1</f>
        <v>0</v>
      </c>
      <c r="AL607" s="133">
        <f>'Optional Adjustment 20'!G607*$AL$1</f>
        <v>0</v>
      </c>
      <c r="AM607" s="133">
        <f>'Optional Adjustment 21'!G607*$AM$1</f>
        <v>0</v>
      </c>
      <c r="AN607" s="133">
        <f>'Optional Adjustment 22'!G607*$AN$1</f>
        <v>0</v>
      </c>
      <c r="AO607" s="133">
        <f>'Optional Adjustment 23'!G607*$AO$1</f>
        <v>0</v>
      </c>
      <c r="AP607" s="133">
        <f>'Optional Adjustment 24'!G607*$AP$1</f>
        <v>0</v>
      </c>
      <c r="AQ607" s="133">
        <f>'Optional Adjustment 25'!G607*$AQ$1</f>
        <v>0</v>
      </c>
      <c r="AR607" s="133">
        <f>'Optional Adjustment 26'!G607*$AR$1</f>
        <v>0</v>
      </c>
      <c r="AS607" s="133">
        <f>'Optional Adjustment 27'!G607*$AS$1</f>
        <v>0</v>
      </c>
      <c r="AT607" s="133"/>
      <c r="AU607" s="133">
        <f>SUM(F607:AT607)</f>
        <v>0</v>
      </c>
      <c r="AV607" s="116"/>
      <c r="AW607" s="133">
        <f>SUM(AU607:AU607)</f>
        <v>0</v>
      </c>
      <c r="AX607" s="133">
        <f>+AW607-'ROR-Model'!G607</f>
        <v>0</v>
      </c>
    </row>
    <row r="608" spans="1:50">
      <c r="A608" s="134"/>
      <c r="B608" s="106"/>
      <c r="C608" s="106" t="s">
        <v>170</v>
      </c>
      <c r="D608" s="106"/>
      <c r="E608" s="331"/>
      <c r="F608" s="131">
        <f>SUM(F606:F607)</f>
        <v>0</v>
      </c>
      <c r="G608" s="131"/>
      <c r="H608" s="131">
        <f>H1*SUM(H606:H607)</f>
        <v>0</v>
      </c>
      <c r="I608" s="131">
        <f>SUM(I606:I607)</f>
        <v>0</v>
      </c>
      <c r="J608" s="131">
        <f t="shared" ref="J608:P608" si="724">SUM(J606:J607)</f>
        <v>0</v>
      </c>
      <c r="K608" s="131">
        <f t="shared" si="724"/>
        <v>0</v>
      </c>
      <c r="L608" s="131">
        <f t="shared" si="724"/>
        <v>0</v>
      </c>
      <c r="M608" s="131">
        <f t="shared" si="724"/>
        <v>0</v>
      </c>
      <c r="N608" s="131">
        <f t="shared" si="724"/>
        <v>0</v>
      </c>
      <c r="O608" s="131">
        <f t="shared" si="724"/>
        <v>0</v>
      </c>
      <c r="P608" s="131">
        <f t="shared" si="724"/>
        <v>0</v>
      </c>
      <c r="Q608" s="241">
        <f>SUM(Q606:Q607)</f>
        <v>0</v>
      </c>
      <c r="R608" s="241">
        <f>SUM(R606:R607)</f>
        <v>0</v>
      </c>
      <c r="S608" s="556"/>
      <c r="T608" s="556">
        <f t="shared" ref="T608:AG608" si="725">SUM(T606:T607)</f>
        <v>0</v>
      </c>
      <c r="U608" s="556">
        <f t="shared" si="725"/>
        <v>0</v>
      </c>
      <c r="V608" s="556">
        <f t="shared" si="725"/>
        <v>0</v>
      </c>
      <c r="W608" s="556">
        <f t="shared" si="725"/>
        <v>0</v>
      </c>
      <c r="X608" s="556">
        <f t="shared" si="725"/>
        <v>0</v>
      </c>
      <c r="Y608" s="556">
        <f t="shared" si="725"/>
        <v>0</v>
      </c>
      <c r="Z608" s="556">
        <f t="shared" si="725"/>
        <v>0</v>
      </c>
      <c r="AA608" s="556">
        <f t="shared" si="725"/>
        <v>0</v>
      </c>
      <c r="AB608" s="556">
        <f t="shared" si="725"/>
        <v>0</v>
      </c>
      <c r="AC608" s="556">
        <f t="shared" si="725"/>
        <v>0</v>
      </c>
      <c r="AD608" s="556">
        <f t="shared" si="725"/>
        <v>0</v>
      </c>
      <c r="AE608" s="556">
        <f t="shared" si="725"/>
        <v>0</v>
      </c>
      <c r="AF608" s="556">
        <f t="shared" si="725"/>
        <v>0</v>
      </c>
      <c r="AG608" s="556">
        <f t="shared" si="725"/>
        <v>0</v>
      </c>
      <c r="AH608" s="556">
        <f t="shared" ref="AH608:AK608" si="726">SUM(AH606:AH607)</f>
        <v>0</v>
      </c>
      <c r="AI608" s="556">
        <f t="shared" si="726"/>
        <v>0</v>
      </c>
      <c r="AJ608" s="556">
        <f t="shared" si="726"/>
        <v>0</v>
      </c>
      <c r="AK608" s="556">
        <f t="shared" si="726"/>
        <v>0</v>
      </c>
      <c r="AL608" s="556">
        <f t="shared" ref="AL608:AP608" si="727">SUM(AL606:AL607)</f>
        <v>0</v>
      </c>
      <c r="AM608" s="556">
        <f t="shared" si="727"/>
        <v>0</v>
      </c>
      <c r="AN608" s="556">
        <f t="shared" si="727"/>
        <v>0</v>
      </c>
      <c r="AO608" s="556">
        <f t="shared" si="727"/>
        <v>0</v>
      </c>
      <c r="AP608" s="556">
        <f t="shared" si="727"/>
        <v>0</v>
      </c>
      <c r="AQ608" s="556">
        <f t="shared" ref="AQ608:AS608" si="728">SUM(AQ606:AQ607)</f>
        <v>0</v>
      </c>
      <c r="AR608" s="556">
        <f t="shared" si="728"/>
        <v>0</v>
      </c>
      <c r="AS608" s="556">
        <f t="shared" si="728"/>
        <v>0</v>
      </c>
      <c r="AT608" s="556"/>
      <c r="AU608" s="241">
        <f>SUM(AU606:AU607)</f>
        <v>0</v>
      </c>
      <c r="AV608" s="131"/>
      <c r="AW608" s="241">
        <f>SUM(AW606:AW607)</f>
        <v>0</v>
      </c>
      <c r="AX608" s="241">
        <f>+AW608-'ROR-Model'!G608</f>
        <v>0</v>
      </c>
    </row>
    <row r="609" spans="1:50">
      <c r="A609" s="134"/>
      <c r="B609" s="106"/>
      <c r="C609" s="106"/>
      <c r="D609" s="106"/>
      <c r="E609" s="331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16"/>
      <c r="AW609" s="133"/>
      <c r="AX609" s="133">
        <f>+AW609-'ROR-Model'!G609</f>
        <v>0</v>
      </c>
    </row>
    <row r="610" spans="1:50">
      <c r="A610" s="134" t="s">
        <v>695</v>
      </c>
      <c r="B610" s="106" t="s">
        <v>364</v>
      </c>
      <c r="C610" s="106"/>
      <c r="D610" s="106"/>
      <c r="E610" s="331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16"/>
      <c r="AW610" s="133"/>
      <c r="AX610" s="133">
        <f>+AW610-'ROR-Model'!G610</f>
        <v>0</v>
      </c>
    </row>
    <row r="611" spans="1:50">
      <c r="A611" s="134"/>
      <c r="B611" s="106"/>
      <c r="C611" s="106" t="s">
        <v>14</v>
      </c>
      <c r="D611" s="106"/>
      <c r="E611" s="331"/>
      <c r="F611" s="116"/>
      <c r="G611" s="116"/>
      <c r="H611" s="116"/>
      <c r="I611" s="116"/>
      <c r="J611" s="116"/>
      <c r="K611" s="116"/>
      <c r="L611" s="116"/>
      <c r="M611" s="116"/>
      <c r="N611" s="116"/>
      <c r="O611" s="239"/>
      <c r="P611" s="116"/>
      <c r="Q611" s="133"/>
      <c r="R611" s="133"/>
      <c r="S611" s="133"/>
      <c r="T611" s="133">
        <f>'Optional Adjustment 2'!G611*$T$1</f>
        <v>0</v>
      </c>
      <c r="U611" s="133">
        <f>'Optional Adjustment 3'!G611*$U$1</f>
        <v>0</v>
      </c>
      <c r="V611" s="133">
        <f>'Optional Adjustment 4'!G611*$V$1</f>
        <v>0</v>
      </c>
      <c r="W611" s="133">
        <f>'Optional Adjustment 5'!G611*$W$1</f>
        <v>0</v>
      </c>
      <c r="X611" s="133">
        <f>'Optional Adjustment 6'!G611*$X$1</f>
        <v>0</v>
      </c>
      <c r="Y611" s="133">
        <f>'Optional Adjustment 7'!G611*$Y$1</f>
        <v>0</v>
      </c>
      <c r="Z611" s="133">
        <f>'Optional Adjustment 8'!G611*$Z$1</f>
        <v>0</v>
      </c>
      <c r="AA611" s="133">
        <f>'Optional Adjustment 9'!G611*$AA$1</f>
        <v>0</v>
      </c>
      <c r="AB611" s="133">
        <f>'Optional Adjustment 10'!G611*$AB$1</f>
        <v>0</v>
      </c>
      <c r="AC611" s="133">
        <f>'Optional Adjustment 11'!G611*$AC$1</f>
        <v>0</v>
      </c>
      <c r="AD611" s="133">
        <f>'Optional Adjustment 12'!G611*$AD$1</f>
        <v>0</v>
      </c>
      <c r="AE611" s="133">
        <f>'Optional Adjustment 13'!G611*$AE$1</f>
        <v>0</v>
      </c>
      <c r="AF611" s="133">
        <f>'Optional Adjustment 14'!G611*$AF$1</f>
        <v>0</v>
      </c>
      <c r="AG611" s="133">
        <f>'Optional Adjustment 15'!G611*$AG$1</f>
        <v>0</v>
      </c>
      <c r="AH611" s="133">
        <f>'Optional Adjustment 16'!G611*$AH$1</f>
        <v>0</v>
      </c>
      <c r="AI611" s="133">
        <f>'Optional Adjustment 17'!G611*$AI$1</f>
        <v>0</v>
      </c>
      <c r="AJ611" s="133">
        <f>'Optional Adjustment 18'!G611*$AJ$1</f>
        <v>0</v>
      </c>
      <c r="AK611" s="133">
        <f>'Optional Adjustment 19'!G611*$AK$1</f>
        <v>0</v>
      </c>
      <c r="AL611" s="133">
        <f>'Optional Adjustment 20'!G611*$AL$1</f>
        <v>0</v>
      </c>
      <c r="AM611" s="133">
        <f>'Optional Adjustment 21'!G611*$AM$1</f>
        <v>0</v>
      </c>
      <c r="AN611" s="133">
        <f>'Optional Adjustment 22'!G611*$AN$1</f>
        <v>0</v>
      </c>
      <c r="AO611" s="133">
        <f>'Optional Adjustment 23'!G611*$AO$1</f>
        <v>0</v>
      </c>
      <c r="AP611" s="133">
        <f>'Optional Adjustment 24'!G611*$AP$1</f>
        <v>0</v>
      </c>
      <c r="AQ611" s="133">
        <f>'Optional Adjustment 25'!G611*$AQ$1</f>
        <v>0</v>
      </c>
      <c r="AR611" s="133">
        <f>'Optional Adjustment 26'!G611*$AR$1</f>
        <v>0</v>
      </c>
      <c r="AS611" s="133">
        <f>'Optional Adjustment 27'!G611*$AS$1</f>
        <v>0</v>
      </c>
      <c r="AT611" s="133"/>
      <c r="AU611" s="133">
        <f>SUM(F611:AT611)</f>
        <v>0</v>
      </c>
      <c r="AV611" s="116"/>
      <c r="AW611" s="133">
        <f>SUM(AU611:AU611)</f>
        <v>0</v>
      </c>
      <c r="AX611" s="133">
        <f>+AW611-'ROR-Model'!G611</f>
        <v>0</v>
      </c>
    </row>
    <row r="612" spans="1:50">
      <c r="A612" s="134"/>
      <c r="B612" s="106"/>
      <c r="C612" s="106" t="s">
        <v>24</v>
      </c>
      <c r="D612" s="106"/>
      <c r="E612" s="331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33"/>
      <c r="R612" s="133"/>
      <c r="S612" s="133"/>
      <c r="T612" s="133">
        <f>'Optional Adjustment 2'!G612*$T$1</f>
        <v>0</v>
      </c>
      <c r="U612" s="133">
        <f>'Optional Adjustment 3'!G612*$U$1</f>
        <v>0</v>
      </c>
      <c r="V612" s="133">
        <f>'Optional Adjustment 4'!G612*$V$1</f>
        <v>0</v>
      </c>
      <c r="W612" s="133">
        <f>'Optional Adjustment 5'!G612*$W$1</f>
        <v>0</v>
      </c>
      <c r="X612" s="133">
        <f>'Optional Adjustment 6'!G612*$X$1</f>
        <v>0</v>
      </c>
      <c r="Y612" s="133">
        <f>'Optional Adjustment 7'!G612*$Y$1</f>
        <v>0</v>
      </c>
      <c r="Z612" s="133">
        <f>'Optional Adjustment 8'!G612*$Z$1</f>
        <v>0</v>
      </c>
      <c r="AA612" s="133">
        <f>'Optional Adjustment 9'!G612*$AA$1</f>
        <v>0</v>
      </c>
      <c r="AB612" s="133">
        <f>'Optional Adjustment 10'!G612*$AB$1</f>
        <v>0</v>
      </c>
      <c r="AC612" s="133">
        <f>'Optional Adjustment 11'!G612*$AC$1</f>
        <v>0</v>
      </c>
      <c r="AD612" s="133">
        <f>'Optional Adjustment 12'!G612*$AD$1</f>
        <v>0</v>
      </c>
      <c r="AE612" s="133">
        <f>'Optional Adjustment 13'!G612*$AE$1</f>
        <v>0</v>
      </c>
      <c r="AF612" s="133">
        <f>'Optional Adjustment 14'!G612*$AF$1</f>
        <v>0</v>
      </c>
      <c r="AG612" s="133">
        <f>'Optional Adjustment 15'!G612*$AG$1</f>
        <v>0</v>
      </c>
      <c r="AH612" s="133">
        <f>'Optional Adjustment 16'!G612*$AH$1</f>
        <v>0</v>
      </c>
      <c r="AI612" s="133">
        <f>'Optional Adjustment 17'!G612*$AI$1</f>
        <v>0</v>
      </c>
      <c r="AJ612" s="133">
        <f>'Optional Adjustment 18'!G612*$AJ$1</f>
        <v>0</v>
      </c>
      <c r="AK612" s="133">
        <f>'Optional Adjustment 19'!G612*$AK$1</f>
        <v>0</v>
      </c>
      <c r="AL612" s="133">
        <f>'Optional Adjustment 20'!G612*$AL$1</f>
        <v>0</v>
      </c>
      <c r="AM612" s="133">
        <f>'Optional Adjustment 21'!G612*$AM$1</f>
        <v>0</v>
      </c>
      <c r="AN612" s="133">
        <f>'Optional Adjustment 22'!G612*$AN$1</f>
        <v>0</v>
      </c>
      <c r="AO612" s="133">
        <f>'Optional Adjustment 23'!G612*$AO$1</f>
        <v>0</v>
      </c>
      <c r="AP612" s="133">
        <f>'Optional Adjustment 24'!G612*$AP$1</f>
        <v>0</v>
      </c>
      <c r="AQ612" s="133">
        <f>'Optional Adjustment 25'!G612*$AQ$1</f>
        <v>0</v>
      </c>
      <c r="AR612" s="133">
        <f>'Optional Adjustment 26'!G612*$AR$1</f>
        <v>0</v>
      </c>
      <c r="AS612" s="133">
        <f>'Optional Adjustment 27'!G612*$AS$1</f>
        <v>0</v>
      </c>
      <c r="AT612" s="133"/>
      <c r="AU612" s="133">
        <f>SUM(F612:AT612)</f>
        <v>0</v>
      </c>
      <c r="AV612" s="116"/>
      <c r="AW612" s="133">
        <f>SUM(AU612:AU612)</f>
        <v>0</v>
      </c>
      <c r="AX612" s="133">
        <f>+AW612-'ROR-Model'!G612</f>
        <v>0</v>
      </c>
    </row>
    <row r="613" spans="1:50">
      <c r="A613" s="134"/>
      <c r="B613" s="106"/>
      <c r="C613" s="106" t="s">
        <v>170</v>
      </c>
      <c r="D613" s="106"/>
      <c r="E613" s="331"/>
      <c r="F613" s="131">
        <f>SUM(F611:F612)</f>
        <v>0</v>
      </c>
      <c r="G613" s="131"/>
      <c r="H613" s="131">
        <f>H1*SUM(H611:H612)</f>
        <v>0</v>
      </c>
      <c r="I613" s="131">
        <f>SUM(I611:I612)</f>
        <v>0</v>
      </c>
      <c r="J613" s="131">
        <f t="shared" ref="J613:P613" si="729">SUM(J611:J612)</f>
        <v>0</v>
      </c>
      <c r="K613" s="131">
        <f t="shared" si="729"/>
        <v>0</v>
      </c>
      <c r="L613" s="131">
        <f t="shared" si="729"/>
        <v>0</v>
      </c>
      <c r="M613" s="131">
        <f t="shared" si="729"/>
        <v>0</v>
      </c>
      <c r="N613" s="131">
        <f t="shared" si="729"/>
        <v>0</v>
      </c>
      <c r="O613" s="131">
        <f t="shared" si="729"/>
        <v>0</v>
      </c>
      <c r="P613" s="131">
        <f t="shared" si="729"/>
        <v>0</v>
      </c>
      <c r="Q613" s="241">
        <f>SUM(Q611:Q612)</f>
        <v>0</v>
      </c>
      <c r="R613" s="241">
        <f>SUM(R611:R612)</f>
        <v>0</v>
      </c>
      <c r="S613" s="556"/>
      <c r="T613" s="556">
        <f t="shared" ref="T613:AG613" si="730">SUM(T611:T612)</f>
        <v>0</v>
      </c>
      <c r="U613" s="556">
        <f t="shared" si="730"/>
        <v>0</v>
      </c>
      <c r="V613" s="556">
        <f t="shared" si="730"/>
        <v>0</v>
      </c>
      <c r="W613" s="556">
        <f t="shared" si="730"/>
        <v>0</v>
      </c>
      <c r="X613" s="556">
        <f t="shared" si="730"/>
        <v>0</v>
      </c>
      <c r="Y613" s="556">
        <f t="shared" si="730"/>
        <v>0</v>
      </c>
      <c r="Z613" s="556">
        <f t="shared" si="730"/>
        <v>0</v>
      </c>
      <c r="AA613" s="556">
        <f t="shared" si="730"/>
        <v>0</v>
      </c>
      <c r="AB613" s="556">
        <f t="shared" si="730"/>
        <v>0</v>
      </c>
      <c r="AC613" s="556">
        <f t="shared" si="730"/>
        <v>0</v>
      </c>
      <c r="AD613" s="556">
        <f t="shared" si="730"/>
        <v>0</v>
      </c>
      <c r="AE613" s="556">
        <f t="shared" si="730"/>
        <v>0</v>
      </c>
      <c r="AF613" s="556">
        <f t="shared" si="730"/>
        <v>0</v>
      </c>
      <c r="AG613" s="556">
        <f t="shared" si="730"/>
        <v>0</v>
      </c>
      <c r="AH613" s="556">
        <f t="shared" ref="AH613:AK613" si="731">SUM(AH611:AH612)</f>
        <v>0</v>
      </c>
      <c r="AI613" s="556">
        <f t="shared" si="731"/>
        <v>0</v>
      </c>
      <c r="AJ613" s="556">
        <f t="shared" si="731"/>
        <v>0</v>
      </c>
      <c r="AK613" s="556">
        <f t="shared" si="731"/>
        <v>0</v>
      </c>
      <c r="AL613" s="556">
        <f t="shared" ref="AL613:AP613" si="732">SUM(AL611:AL612)</f>
        <v>0</v>
      </c>
      <c r="AM613" s="556">
        <f t="shared" si="732"/>
        <v>0</v>
      </c>
      <c r="AN613" s="556">
        <f t="shared" si="732"/>
        <v>0</v>
      </c>
      <c r="AO613" s="556">
        <f t="shared" si="732"/>
        <v>0</v>
      </c>
      <c r="AP613" s="556">
        <f t="shared" si="732"/>
        <v>0</v>
      </c>
      <c r="AQ613" s="556">
        <f t="shared" ref="AQ613:AS613" si="733">SUM(AQ611:AQ612)</f>
        <v>0</v>
      </c>
      <c r="AR613" s="556">
        <f t="shared" si="733"/>
        <v>0</v>
      </c>
      <c r="AS613" s="556">
        <f t="shared" si="733"/>
        <v>0</v>
      </c>
      <c r="AT613" s="556"/>
      <c r="AU613" s="241">
        <f>SUM(AU611:AU612)</f>
        <v>0</v>
      </c>
      <c r="AV613" s="131"/>
      <c r="AW613" s="241">
        <f>SUM(AW611:AW612)</f>
        <v>0</v>
      </c>
      <c r="AX613" s="241">
        <f>+AW613-'ROR-Model'!G613</f>
        <v>0</v>
      </c>
    </row>
    <row r="614" spans="1:50">
      <c r="A614" s="134"/>
      <c r="B614" s="106"/>
      <c r="C614" s="106"/>
      <c r="D614" s="106"/>
      <c r="E614" s="331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16"/>
      <c r="AW614" s="133"/>
      <c r="AX614" s="133">
        <f>+AW614-'ROR-Model'!G614</f>
        <v>0</v>
      </c>
    </row>
    <row r="615" spans="1:50">
      <c r="A615" s="134">
        <v>858</v>
      </c>
      <c r="B615" s="106" t="s">
        <v>365</v>
      </c>
      <c r="C615" s="106"/>
      <c r="D615" s="106"/>
      <c r="E615" s="331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16"/>
      <c r="AW615" s="133"/>
      <c r="AX615" s="133">
        <f>+AW615-'ROR-Model'!G615</f>
        <v>0</v>
      </c>
    </row>
    <row r="616" spans="1:50">
      <c r="A616" s="134"/>
      <c r="B616" s="106"/>
      <c r="C616" s="106" t="s">
        <v>14</v>
      </c>
      <c r="D616" s="106"/>
      <c r="E616" s="331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33"/>
      <c r="R616" s="133"/>
      <c r="S616" s="133"/>
      <c r="T616" s="133">
        <f>'Optional Adjustment 2'!G616*$T$1</f>
        <v>0</v>
      </c>
      <c r="U616" s="133">
        <f>'Optional Adjustment 3'!G616*$U$1</f>
        <v>0</v>
      </c>
      <c r="V616" s="133">
        <f>'Optional Adjustment 4'!G616*$V$1</f>
        <v>0</v>
      </c>
      <c r="W616" s="133">
        <f>'Optional Adjustment 5'!G616*$W$1</f>
        <v>0</v>
      </c>
      <c r="X616" s="133">
        <f>'Optional Adjustment 6'!G616*$X$1</f>
        <v>0</v>
      </c>
      <c r="Y616" s="133">
        <f>'Optional Adjustment 7'!G616*$Y$1</f>
        <v>0</v>
      </c>
      <c r="Z616" s="133">
        <f>'Optional Adjustment 8'!G616*$Z$1</f>
        <v>0</v>
      </c>
      <c r="AA616" s="133">
        <f>'Optional Adjustment 9'!G616*$AA$1</f>
        <v>0</v>
      </c>
      <c r="AB616" s="133">
        <f>'Optional Adjustment 10'!G616*$AB$1</f>
        <v>0</v>
      </c>
      <c r="AC616" s="133">
        <f>'Optional Adjustment 11'!G616*$AC$1</f>
        <v>0</v>
      </c>
      <c r="AD616" s="133">
        <f>'Optional Adjustment 12'!G616*$AD$1</f>
        <v>0</v>
      </c>
      <c r="AE616" s="133">
        <f>'Optional Adjustment 13'!G616*$AE$1</f>
        <v>0</v>
      </c>
      <c r="AF616" s="133">
        <f>'Optional Adjustment 14'!G616*$AF$1</f>
        <v>0</v>
      </c>
      <c r="AG616" s="133">
        <f>'Optional Adjustment 15'!G616*$AG$1</f>
        <v>0</v>
      </c>
      <c r="AH616" s="133">
        <f>'Optional Adjustment 16'!G616*$AH$1</f>
        <v>0</v>
      </c>
      <c r="AI616" s="133">
        <f>'Optional Adjustment 17'!G616*$AI$1</f>
        <v>0</v>
      </c>
      <c r="AJ616" s="133">
        <f>'Optional Adjustment 18'!G616*$AJ$1</f>
        <v>0</v>
      </c>
      <c r="AK616" s="133">
        <f>'Optional Adjustment 19'!G616*$AK$1</f>
        <v>0</v>
      </c>
      <c r="AL616" s="133">
        <f>'Optional Adjustment 20'!G616*$AL$1</f>
        <v>0</v>
      </c>
      <c r="AM616" s="133">
        <f>'Optional Adjustment 21'!G616*$AM$1</f>
        <v>0</v>
      </c>
      <c r="AN616" s="133">
        <f>'Optional Adjustment 22'!G616*$AN$1</f>
        <v>0</v>
      </c>
      <c r="AO616" s="133">
        <f>'Optional Adjustment 23'!G616*$AO$1</f>
        <v>0</v>
      </c>
      <c r="AP616" s="133">
        <f>'Optional Adjustment 24'!G616*$AP$1</f>
        <v>0</v>
      </c>
      <c r="AQ616" s="133">
        <f>'Optional Adjustment 25'!G616*$AQ$1</f>
        <v>0</v>
      </c>
      <c r="AR616" s="133">
        <f>'Optional Adjustment 26'!G616*$AR$1</f>
        <v>0</v>
      </c>
      <c r="AS616" s="133">
        <f>'Optional Adjustment 27'!G616*$AS$1</f>
        <v>0</v>
      </c>
      <c r="AT616" s="133"/>
      <c r="AU616" s="133">
        <f>SUM(F616:AT616)</f>
        <v>0</v>
      </c>
      <c r="AV616" s="116"/>
      <c r="AW616" s="133">
        <f>SUM(AU616:AU616)</f>
        <v>0</v>
      </c>
      <c r="AX616" s="133">
        <f>+AW616-'ROR-Model'!G616</f>
        <v>0</v>
      </c>
    </row>
    <row r="617" spans="1:50">
      <c r="A617" s="134"/>
      <c r="B617" s="106"/>
      <c r="C617" s="106" t="s">
        <v>24</v>
      </c>
      <c r="D617" s="106"/>
      <c r="E617" s="331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33"/>
      <c r="R617" s="133"/>
      <c r="S617" s="133"/>
      <c r="T617" s="133">
        <f>'Optional Adjustment 2'!G617*$T$1</f>
        <v>0</v>
      </c>
      <c r="U617" s="133">
        <f>'Optional Adjustment 3'!G617*$U$1</f>
        <v>0</v>
      </c>
      <c r="V617" s="133">
        <f>'Optional Adjustment 4'!G617*$V$1</f>
        <v>0</v>
      </c>
      <c r="W617" s="133">
        <f>'Optional Adjustment 5'!G617*$W$1</f>
        <v>0</v>
      </c>
      <c r="X617" s="133">
        <f>'Optional Adjustment 6'!G617*$X$1</f>
        <v>0</v>
      </c>
      <c r="Y617" s="133">
        <f>'Optional Adjustment 7'!G617*$Y$1</f>
        <v>0</v>
      </c>
      <c r="Z617" s="133">
        <f>'Optional Adjustment 8'!G617*$Z$1</f>
        <v>0</v>
      </c>
      <c r="AA617" s="133">
        <f>'Optional Adjustment 9'!G617*$AA$1</f>
        <v>0</v>
      </c>
      <c r="AB617" s="133">
        <f>'Optional Adjustment 10'!G617*$AB$1</f>
        <v>0</v>
      </c>
      <c r="AC617" s="133">
        <f>'Optional Adjustment 11'!G617*$AC$1</f>
        <v>0</v>
      </c>
      <c r="AD617" s="133">
        <f>'Optional Adjustment 12'!G617*$AD$1</f>
        <v>0</v>
      </c>
      <c r="AE617" s="133">
        <f>'Optional Adjustment 13'!G617*$AE$1</f>
        <v>0</v>
      </c>
      <c r="AF617" s="133">
        <f>'Optional Adjustment 14'!G617*$AF$1</f>
        <v>0</v>
      </c>
      <c r="AG617" s="133">
        <f>'Optional Adjustment 15'!G617*$AG$1</f>
        <v>0</v>
      </c>
      <c r="AH617" s="133">
        <f>'Optional Adjustment 16'!G617*$AH$1</f>
        <v>0</v>
      </c>
      <c r="AI617" s="133">
        <f>'Optional Adjustment 17'!G617*$AI$1</f>
        <v>0</v>
      </c>
      <c r="AJ617" s="133">
        <f>'Optional Adjustment 18'!G617*$AJ$1</f>
        <v>0</v>
      </c>
      <c r="AK617" s="133">
        <f>'Optional Adjustment 19'!G617*$AK$1</f>
        <v>0</v>
      </c>
      <c r="AL617" s="133">
        <f>'Optional Adjustment 20'!G617*$AL$1</f>
        <v>0</v>
      </c>
      <c r="AM617" s="133">
        <f>'Optional Adjustment 21'!G617*$AM$1</f>
        <v>0</v>
      </c>
      <c r="AN617" s="133">
        <f>'Optional Adjustment 22'!G617*$AN$1</f>
        <v>0</v>
      </c>
      <c r="AO617" s="133">
        <f>'Optional Adjustment 23'!G617*$AO$1</f>
        <v>0</v>
      </c>
      <c r="AP617" s="133">
        <f>'Optional Adjustment 24'!G617*$AP$1</f>
        <v>0</v>
      </c>
      <c r="AQ617" s="133">
        <f>'Optional Adjustment 25'!G617*$AQ$1</f>
        <v>0</v>
      </c>
      <c r="AR617" s="133">
        <f>'Optional Adjustment 26'!G617*$AR$1</f>
        <v>0</v>
      </c>
      <c r="AS617" s="133">
        <f>'Optional Adjustment 27'!G617*$AS$1</f>
        <v>0</v>
      </c>
      <c r="AT617" s="133"/>
      <c r="AU617" s="133">
        <f>SUM(F617:AT617)</f>
        <v>0</v>
      </c>
      <c r="AV617" s="116"/>
      <c r="AW617" s="133">
        <f>SUM(AU617:AU617)</f>
        <v>0</v>
      </c>
      <c r="AX617" s="133">
        <f>+AW617-'ROR-Model'!G617</f>
        <v>0</v>
      </c>
    </row>
    <row r="618" spans="1:50">
      <c r="A618" s="134"/>
      <c r="B618" s="106"/>
      <c r="C618" s="106" t="s">
        <v>170</v>
      </c>
      <c r="D618" s="106"/>
      <c r="E618" s="331"/>
      <c r="F618" s="131">
        <f t="shared" ref="F618:P618" si="734">SUM(F616:F617)</f>
        <v>0</v>
      </c>
      <c r="G618" s="131"/>
      <c r="H618" s="131">
        <f t="shared" si="734"/>
        <v>0</v>
      </c>
      <c r="I618" s="131">
        <f>SUM(I616:I617)</f>
        <v>0</v>
      </c>
      <c r="J618" s="131">
        <f t="shared" si="734"/>
        <v>0</v>
      </c>
      <c r="K618" s="131">
        <f t="shared" ref="K618" si="735">SUM(K616:K617)</f>
        <v>0</v>
      </c>
      <c r="L618" s="131">
        <f t="shared" si="734"/>
        <v>0</v>
      </c>
      <c r="M618" s="131">
        <f t="shared" si="734"/>
        <v>0</v>
      </c>
      <c r="N618" s="131">
        <f t="shared" si="734"/>
        <v>0</v>
      </c>
      <c r="O618" s="131">
        <f t="shared" si="734"/>
        <v>0</v>
      </c>
      <c r="P618" s="131">
        <f t="shared" si="734"/>
        <v>0</v>
      </c>
      <c r="Q618" s="241">
        <f>SUM(Q616:Q617)</f>
        <v>0</v>
      </c>
      <c r="R618" s="241">
        <f>SUM(R616:R617)</f>
        <v>0</v>
      </c>
      <c r="S618" s="556"/>
      <c r="T618" s="556">
        <f t="shared" ref="T618" si="736">SUM(T616:T617)</f>
        <v>0</v>
      </c>
      <c r="U618" s="556">
        <f t="shared" ref="U618:W618" si="737">SUM(U616:U617)</f>
        <v>0</v>
      </c>
      <c r="V618" s="556">
        <f t="shared" ref="V618" si="738">SUM(V616:V617)</f>
        <v>0</v>
      </c>
      <c r="W618" s="556">
        <f t="shared" si="737"/>
        <v>0</v>
      </c>
      <c r="X618" s="556">
        <f t="shared" ref="X618:AG618" si="739">SUM(X616:X617)</f>
        <v>0</v>
      </c>
      <c r="Y618" s="556">
        <f t="shared" si="739"/>
        <v>0</v>
      </c>
      <c r="Z618" s="556">
        <f t="shared" si="739"/>
        <v>0</v>
      </c>
      <c r="AA618" s="556">
        <f t="shared" si="739"/>
        <v>0</v>
      </c>
      <c r="AB618" s="556">
        <f t="shared" si="739"/>
        <v>0</v>
      </c>
      <c r="AC618" s="556">
        <f t="shared" si="739"/>
        <v>0</v>
      </c>
      <c r="AD618" s="556">
        <f t="shared" si="739"/>
        <v>0</v>
      </c>
      <c r="AE618" s="556">
        <f t="shared" si="739"/>
        <v>0</v>
      </c>
      <c r="AF618" s="556">
        <f t="shared" si="739"/>
        <v>0</v>
      </c>
      <c r="AG618" s="556">
        <f t="shared" si="739"/>
        <v>0</v>
      </c>
      <c r="AH618" s="556">
        <f t="shared" ref="AH618:AK618" si="740">SUM(AH616:AH617)</f>
        <v>0</v>
      </c>
      <c r="AI618" s="556">
        <f t="shared" si="740"/>
        <v>0</v>
      </c>
      <c r="AJ618" s="556">
        <f t="shared" si="740"/>
        <v>0</v>
      </c>
      <c r="AK618" s="556">
        <f t="shared" si="740"/>
        <v>0</v>
      </c>
      <c r="AL618" s="556">
        <f t="shared" ref="AL618:AP618" si="741">SUM(AL616:AL617)</f>
        <v>0</v>
      </c>
      <c r="AM618" s="556">
        <f t="shared" si="741"/>
        <v>0</v>
      </c>
      <c r="AN618" s="556">
        <f t="shared" si="741"/>
        <v>0</v>
      </c>
      <c r="AO618" s="556">
        <f t="shared" si="741"/>
        <v>0</v>
      </c>
      <c r="AP618" s="556">
        <f t="shared" si="741"/>
        <v>0</v>
      </c>
      <c r="AQ618" s="556">
        <f t="shared" ref="AQ618:AS618" si="742">SUM(AQ616:AQ617)</f>
        <v>0</v>
      </c>
      <c r="AR618" s="556">
        <f t="shared" si="742"/>
        <v>0</v>
      </c>
      <c r="AS618" s="556">
        <f t="shared" si="742"/>
        <v>0</v>
      </c>
      <c r="AT618" s="556"/>
      <c r="AU618" s="241">
        <f>SUM(AU616:AU617)</f>
        <v>0</v>
      </c>
      <c r="AV618" s="131"/>
      <c r="AW618" s="241">
        <f>SUM(AW616:AW617)</f>
        <v>0</v>
      </c>
      <c r="AX618" s="241">
        <f>+AW618-'ROR-Model'!G618</f>
        <v>0</v>
      </c>
    </row>
    <row r="619" spans="1:50">
      <c r="A619" s="134"/>
      <c r="B619" s="106"/>
      <c r="C619" s="106"/>
      <c r="D619" s="106"/>
      <c r="E619" s="331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16"/>
      <c r="AW619" s="133"/>
      <c r="AX619" s="133">
        <f>+AW619-'ROR-Model'!G619</f>
        <v>0</v>
      </c>
    </row>
    <row r="620" spans="1:50">
      <c r="A620" s="134">
        <v>858</v>
      </c>
      <c r="B620" s="106" t="s">
        <v>366</v>
      </c>
      <c r="C620" s="106"/>
      <c r="D620" s="106"/>
      <c r="E620" s="331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16"/>
      <c r="AW620" s="133"/>
      <c r="AX620" s="133">
        <f>+AW620-'ROR-Model'!G620</f>
        <v>0</v>
      </c>
    </row>
    <row r="621" spans="1:50">
      <c r="A621" s="330"/>
      <c r="B621" s="106"/>
      <c r="C621" s="106" t="s">
        <v>14</v>
      </c>
      <c r="D621" s="106"/>
      <c r="E621" s="331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33"/>
      <c r="R621" s="133"/>
      <c r="S621" s="133"/>
      <c r="T621" s="133">
        <f>'Optional Adjustment 2'!G621*$T$1</f>
        <v>0</v>
      </c>
      <c r="U621" s="133">
        <f>'Optional Adjustment 3'!G621*$U$1</f>
        <v>0</v>
      </c>
      <c r="V621" s="133">
        <f>'Optional Adjustment 4'!G621*$V$1</f>
        <v>0</v>
      </c>
      <c r="W621" s="133">
        <f>'Optional Adjustment 5'!G621*$W$1</f>
        <v>0</v>
      </c>
      <c r="X621" s="133">
        <f>'Optional Adjustment 6'!G621*$X$1</f>
        <v>0</v>
      </c>
      <c r="Y621" s="133">
        <f>'Optional Adjustment 7'!G621*$Y$1</f>
        <v>0</v>
      </c>
      <c r="Z621" s="133">
        <f>'Optional Adjustment 8'!G621*$Z$1</f>
        <v>0</v>
      </c>
      <c r="AA621" s="133">
        <f>'Optional Adjustment 9'!G621*$AA$1</f>
        <v>0</v>
      </c>
      <c r="AB621" s="133">
        <f>'Optional Adjustment 10'!G621*$AB$1</f>
        <v>0</v>
      </c>
      <c r="AC621" s="133">
        <f>'Optional Adjustment 11'!G621*$AC$1</f>
        <v>0</v>
      </c>
      <c r="AD621" s="133">
        <f>'Optional Adjustment 12'!G621*$AD$1</f>
        <v>0</v>
      </c>
      <c r="AE621" s="133">
        <f>'Optional Adjustment 13'!G621*$AE$1</f>
        <v>0</v>
      </c>
      <c r="AF621" s="133">
        <f>'Optional Adjustment 14'!G621*$AF$1</f>
        <v>0</v>
      </c>
      <c r="AG621" s="133">
        <f>'Optional Adjustment 15'!G621*$AG$1</f>
        <v>0</v>
      </c>
      <c r="AH621" s="133">
        <f>'Optional Adjustment 16'!G621*$AH$1</f>
        <v>0</v>
      </c>
      <c r="AI621" s="133">
        <f>'Optional Adjustment 17'!G621*$AI$1</f>
        <v>0</v>
      </c>
      <c r="AJ621" s="133">
        <f>'Optional Adjustment 18'!G621*$AJ$1</f>
        <v>0</v>
      </c>
      <c r="AK621" s="133">
        <f>'Optional Adjustment 19'!G621*$AK$1</f>
        <v>0</v>
      </c>
      <c r="AL621" s="133">
        <f>'Optional Adjustment 20'!G621*$AL$1</f>
        <v>0</v>
      </c>
      <c r="AM621" s="133">
        <f>'Optional Adjustment 21'!G621*$AM$1</f>
        <v>0</v>
      </c>
      <c r="AN621" s="133">
        <f>'Optional Adjustment 22'!G621*$AN$1</f>
        <v>0</v>
      </c>
      <c r="AO621" s="133">
        <f>'Optional Adjustment 23'!G621*$AO$1</f>
        <v>0</v>
      </c>
      <c r="AP621" s="133">
        <f>'Optional Adjustment 24'!G621*$AP$1</f>
        <v>0</v>
      </c>
      <c r="AQ621" s="133">
        <f>'Optional Adjustment 25'!G621*$AQ$1</f>
        <v>0</v>
      </c>
      <c r="AR621" s="133">
        <f>'Optional Adjustment 26'!G621*$AR$1</f>
        <v>0</v>
      </c>
      <c r="AS621" s="133">
        <f>'Optional Adjustment 27'!G621*$AS$1</f>
        <v>0</v>
      </c>
      <c r="AT621" s="133"/>
      <c r="AU621" s="133">
        <f>SUM(F621:AT621)</f>
        <v>0</v>
      </c>
      <c r="AV621" s="116"/>
      <c r="AW621" s="133">
        <f>SUM(AU621:AU621)</f>
        <v>0</v>
      </c>
      <c r="AX621" s="133">
        <f>+AW621-'ROR-Model'!G621</f>
        <v>0</v>
      </c>
    </row>
    <row r="622" spans="1:50">
      <c r="A622" s="330"/>
      <c r="B622" s="106"/>
      <c r="C622" s="106" t="s">
        <v>24</v>
      </c>
      <c r="D622" s="106"/>
      <c r="E622" s="331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33"/>
      <c r="R622" s="133"/>
      <c r="S622" s="133"/>
      <c r="T622" s="133">
        <f>'Optional Adjustment 2'!G622*$T$1</f>
        <v>0</v>
      </c>
      <c r="U622" s="133">
        <f>'Optional Adjustment 3'!G622*$U$1</f>
        <v>0</v>
      </c>
      <c r="V622" s="133">
        <f>'Optional Adjustment 4'!G622*$V$1</f>
        <v>0</v>
      </c>
      <c r="W622" s="133">
        <f>'Optional Adjustment 5'!G622*$W$1</f>
        <v>0</v>
      </c>
      <c r="X622" s="133">
        <f>'Optional Adjustment 6'!G622*$X$1</f>
        <v>0</v>
      </c>
      <c r="Y622" s="133">
        <f>'Optional Adjustment 7'!G622*$Y$1</f>
        <v>0</v>
      </c>
      <c r="Z622" s="133">
        <f>'Optional Adjustment 8'!G622*$Z$1</f>
        <v>0</v>
      </c>
      <c r="AA622" s="133">
        <f>'Optional Adjustment 9'!G622*$AA$1</f>
        <v>0</v>
      </c>
      <c r="AB622" s="133">
        <f>'Optional Adjustment 10'!G622*$AB$1</f>
        <v>0</v>
      </c>
      <c r="AC622" s="133">
        <f>'Optional Adjustment 11'!G622*$AC$1</f>
        <v>0</v>
      </c>
      <c r="AD622" s="133">
        <f>'Optional Adjustment 12'!G622*$AD$1</f>
        <v>0</v>
      </c>
      <c r="AE622" s="133">
        <f>'Optional Adjustment 13'!G622*$AE$1</f>
        <v>0</v>
      </c>
      <c r="AF622" s="133">
        <f>'Optional Adjustment 14'!G622*$AF$1</f>
        <v>0</v>
      </c>
      <c r="AG622" s="133">
        <f>'Optional Adjustment 15'!G622*$AG$1</f>
        <v>0</v>
      </c>
      <c r="AH622" s="133">
        <f>'Optional Adjustment 16'!G622*$AH$1</f>
        <v>0</v>
      </c>
      <c r="AI622" s="133">
        <f>'Optional Adjustment 17'!G622*$AI$1</f>
        <v>0</v>
      </c>
      <c r="AJ622" s="133">
        <f>'Optional Adjustment 18'!G622*$AJ$1</f>
        <v>0</v>
      </c>
      <c r="AK622" s="133">
        <f>'Optional Adjustment 19'!G622*$AK$1</f>
        <v>0</v>
      </c>
      <c r="AL622" s="133">
        <f>'Optional Adjustment 20'!G622*$AL$1</f>
        <v>0</v>
      </c>
      <c r="AM622" s="133">
        <f>'Optional Adjustment 21'!G622*$AM$1</f>
        <v>0</v>
      </c>
      <c r="AN622" s="133">
        <f>'Optional Adjustment 22'!G622*$AN$1</f>
        <v>0</v>
      </c>
      <c r="AO622" s="133">
        <f>'Optional Adjustment 23'!G622*$AO$1</f>
        <v>0</v>
      </c>
      <c r="AP622" s="133">
        <f>'Optional Adjustment 24'!G622*$AP$1</f>
        <v>0</v>
      </c>
      <c r="AQ622" s="133">
        <f>'Optional Adjustment 25'!G622*$AQ$1</f>
        <v>0</v>
      </c>
      <c r="AR622" s="133">
        <f>'Optional Adjustment 26'!G622*$AR$1</f>
        <v>0</v>
      </c>
      <c r="AS622" s="133">
        <f>'Optional Adjustment 27'!G622*$AS$1</f>
        <v>0</v>
      </c>
      <c r="AT622" s="133"/>
      <c r="AU622" s="133">
        <f>SUM(F622:AT622)</f>
        <v>0</v>
      </c>
      <c r="AV622" s="116"/>
      <c r="AW622" s="133">
        <f>SUM(AU622:AU622)</f>
        <v>0</v>
      </c>
      <c r="AX622" s="133">
        <f>+AW622-'ROR-Model'!G622</f>
        <v>0</v>
      </c>
    </row>
    <row r="623" spans="1:50">
      <c r="A623" s="330"/>
      <c r="B623" s="106"/>
      <c r="C623" s="106" t="s">
        <v>170</v>
      </c>
      <c r="D623" s="106"/>
      <c r="E623" s="331"/>
      <c r="F623" s="131">
        <f t="shared" ref="F623:P623" si="743">SUM(F621:F622)</f>
        <v>0</v>
      </c>
      <c r="G623" s="131"/>
      <c r="H623" s="131">
        <f t="shared" si="743"/>
        <v>0</v>
      </c>
      <c r="I623" s="131">
        <f>SUM(I621:I622)</f>
        <v>0</v>
      </c>
      <c r="J623" s="131">
        <f t="shared" si="743"/>
        <v>0</v>
      </c>
      <c r="K623" s="131">
        <f t="shared" ref="K623" si="744">SUM(K621:K622)</f>
        <v>0</v>
      </c>
      <c r="L623" s="131">
        <f t="shared" si="743"/>
        <v>0</v>
      </c>
      <c r="M623" s="131">
        <f t="shared" si="743"/>
        <v>0</v>
      </c>
      <c r="N623" s="131">
        <f t="shared" si="743"/>
        <v>0</v>
      </c>
      <c r="O623" s="131">
        <f t="shared" si="743"/>
        <v>0</v>
      </c>
      <c r="P623" s="131">
        <f t="shared" si="743"/>
        <v>0</v>
      </c>
      <c r="Q623" s="241">
        <f>SUM(Q621:Q622)</f>
        <v>0</v>
      </c>
      <c r="R623" s="241">
        <f>SUM(R621:R622)</f>
        <v>0</v>
      </c>
      <c r="S623" s="556"/>
      <c r="T623" s="556">
        <f t="shared" ref="T623" si="745">SUM(T621:T622)</f>
        <v>0</v>
      </c>
      <c r="U623" s="556">
        <f t="shared" ref="U623:W623" si="746">SUM(U621:U622)</f>
        <v>0</v>
      </c>
      <c r="V623" s="556">
        <f t="shared" ref="V623" si="747">SUM(V621:V622)</f>
        <v>0</v>
      </c>
      <c r="W623" s="556">
        <f t="shared" si="746"/>
        <v>0</v>
      </c>
      <c r="X623" s="556">
        <f t="shared" ref="X623:AG623" si="748">SUM(X621:X622)</f>
        <v>0</v>
      </c>
      <c r="Y623" s="556">
        <f t="shared" si="748"/>
        <v>0</v>
      </c>
      <c r="Z623" s="556">
        <f t="shared" si="748"/>
        <v>0</v>
      </c>
      <c r="AA623" s="556">
        <f t="shared" si="748"/>
        <v>0</v>
      </c>
      <c r="AB623" s="556">
        <f t="shared" si="748"/>
        <v>0</v>
      </c>
      <c r="AC623" s="556">
        <f t="shared" si="748"/>
        <v>0</v>
      </c>
      <c r="AD623" s="556">
        <f t="shared" si="748"/>
        <v>0</v>
      </c>
      <c r="AE623" s="556">
        <f t="shared" si="748"/>
        <v>0</v>
      </c>
      <c r="AF623" s="556">
        <f t="shared" si="748"/>
        <v>0</v>
      </c>
      <c r="AG623" s="556">
        <f t="shared" si="748"/>
        <v>0</v>
      </c>
      <c r="AH623" s="556">
        <f t="shared" ref="AH623:AK623" si="749">SUM(AH621:AH622)</f>
        <v>0</v>
      </c>
      <c r="AI623" s="556">
        <f t="shared" si="749"/>
        <v>0</v>
      </c>
      <c r="AJ623" s="556">
        <f t="shared" si="749"/>
        <v>0</v>
      </c>
      <c r="AK623" s="556">
        <f t="shared" si="749"/>
        <v>0</v>
      </c>
      <c r="AL623" s="556">
        <f t="shared" ref="AL623:AP623" si="750">SUM(AL621:AL622)</f>
        <v>0</v>
      </c>
      <c r="AM623" s="556">
        <f t="shared" si="750"/>
        <v>0</v>
      </c>
      <c r="AN623" s="556">
        <f t="shared" si="750"/>
        <v>0</v>
      </c>
      <c r="AO623" s="556">
        <f t="shared" si="750"/>
        <v>0</v>
      </c>
      <c r="AP623" s="556">
        <f t="shared" si="750"/>
        <v>0</v>
      </c>
      <c r="AQ623" s="556">
        <f t="shared" ref="AQ623:AS623" si="751">SUM(AQ621:AQ622)</f>
        <v>0</v>
      </c>
      <c r="AR623" s="556">
        <f t="shared" si="751"/>
        <v>0</v>
      </c>
      <c r="AS623" s="556">
        <f t="shared" si="751"/>
        <v>0</v>
      </c>
      <c r="AT623" s="556"/>
      <c r="AU623" s="241">
        <f>SUM(AU621:AU622)</f>
        <v>0</v>
      </c>
      <c r="AV623" s="131"/>
      <c r="AW623" s="241">
        <f>SUM(AW621:AW622)</f>
        <v>0</v>
      </c>
      <c r="AX623" s="241">
        <f>+AW623-'ROR-Model'!G623</f>
        <v>0</v>
      </c>
    </row>
    <row r="624" spans="1:50">
      <c r="A624" s="330"/>
      <c r="B624" s="106"/>
      <c r="C624" s="106"/>
      <c r="D624" s="106"/>
      <c r="E624" s="331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16"/>
      <c r="AW624" s="133"/>
      <c r="AX624" s="133">
        <f>+AW624-'ROR-Model'!G624</f>
        <v>0</v>
      </c>
    </row>
    <row r="625" spans="1:50">
      <c r="A625" s="330"/>
      <c r="B625" s="119" t="s">
        <v>289</v>
      </c>
      <c r="C625" s="102"/>
      <c r="D625" s="102"/>
      <c r="E625" s="102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16"/>
      <c r="AW625" s="133"/>
      <c r="AX625" s="133">
        <f>+AW625-'ROR-Model'!G625</f>
        <v>0</v>
      </c>
    </row>
    <row r="626" spans="1:50">
      <c r="A626" s="330"/>
      <c r="B626" s="102"/>
      <c r="C626" s="102" t="s">
        <v>287</v>
      </c>
      <c r="D626" s="102"/>
      <c r="E626" s="118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33"/>
      <c r="R626" s="133"/>
      <c r="S626" s="133"/>
      <c r="T626" s="133">
        <f>'Optional Adjustment 2'!G626*$T$1</f>
        <v>0</v>
      </c>
      <c r="U626" s="133">
        <f>'Optional Adjustment 3'!G626*$U$1</f>
        <v>0</v>
      </c>
      <c r="V626" s="133">
        <f>'Optional Adjustment 4'!G626*$V$1</f>
        <v>0</v>
      </c>
      <c r="W626" s="133">
        <f>'Optional Adjustment 5'!G626*$W$1</f>
        <v>0</v>
      </c>
      <c r="X626" s="133">
        <f>'Optional Adjustment 6'!G626*$X$1</f>
        <v>0</v>
      </c>
      <c r="Y626" s="133">
        <f>'Optional Adjustment 7'!G626*$Y$1</f>
        <v>0</v>
      </c>
      <c r="Z626" s="133">
        <f>'Optional Adjustment 8'!G626*$Z$1</f>
        <v>0</v>
      </c>
      <c r="AA626" s="133">
        <f>'Optional Adjustment 9'!G626*$AA$1</f>
        <v>0</v>
      </c>
      <c r="AB626" s="133">
        <f>'Optional Adjustment 10'!G626*$AB$1</f>
        <v>0</v>
      </c>
      <c r="AC626" s="133">
        <f>'Optional Adjustment 11'!G626*$AC$1</f>
        <v>0</v>
      </c>
      <c r="AD626" s="133">
        <f>'Optional Adjustment 12'!G626*$AD$1</f>
        <v>0</v>
      </c>
      <c r="AE626" s="133">
        <f>'Optional Adjustment 13'!G626*$AE$1</f>
        <v>0</v>
      </c>
      <c r="AF626" s="133">
        <f>'Optional Adjustment 14'!G626*$AF$1</f>
        <v>0</v>
      </c>
      <c r="AG626" s="133">
        <f>'Optional Adjustment 15'!G626*$AG$1</f>
        <v>0</v>
      </c>
      <c r="AH626" s="133">
        <f>'Optional Adjustment 16'!G626*$AH$1</f>
        <v>0</v>
      </c>
      <c r="AI626" s="133">
        <f>'Optional Adjustment 17'!G626*$AI$1</f>
        <v>0</v>
      </c>
      <c r="AJ626" s="133">
        <f>'Optional Adjustment 18'!G626*$AJ$1</f>
        <v>0</v>
      </c>
      <c r="AK626" s="133">
        <f>'Optional Adjustment 19'!G626*$AK$1</f>
        <v>0</v>
      </c>
      <c r="AL626" s="133">
        <f>'Optional Adjustment 20'!G626*$AL$1</f>
        <v>0</v>
      </c>
      <c r="AM626" s="133">
        <f>'Optional Adjustment 21'!G626*$AM$1</f>
        <v>0</v>
      </c>
      <c r="AN626" s="133">
        <f>'Optional Adjustment 22'!G626*$AN$1</f>
        <v>0</v>
      </c>
      <c r="AO626" s="133">
        <f>'Optional Adjustment 23'!G626*$AO$1</f>
        <v>0</v>
      </c>
      <c r="AP626" s="133">
        <f>'Optional Adjustment 24'!G626*$AP$1</f>
        <v>0</v>
      </c>
      <c r="AQ626" s="133">
        <f>'Optional Adjustment 25'!G626*$AQ$1</f>
        <v>0</v>
      </c>
      <c r="AR626" s="133">
        <f>'Optional Adjustment 26'!G626*$AR$1</f>
        <v>0</v>
      </c>
      <c r="AS626" s="133">
        <f>'Optional Adjustment 27'!G626*$AS$1</f>
        <v>0</v>
      </c>
      <c r="AT626" s="133"/>
      <c r="AU626" s="133">
        <f>SUM(F626:AT626)</f>
        <v>0</v>
      </c>
      <c r="AV626" s="116"/>
      <c r="AW626" s="133">
        <f>SUM(AU626:AU626)</f>
        <v>0</v>
      </c>
      <c r="AX626" s="133">
        <f>+AW626-'ROR-Model'!G626</f>
        <v>0</v>
      </c>
    </row>
    <row r="627" spans="1:50">
      <c r="A627" s="330"/>
      <c r="B627" s="102"/>
      <c r="C627" s="102" t="s">
        <v>288</v>
      </c>
      <c r="D627" s="102"/>
      <c r="E627" s="118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33"/>
      <c r="R627" s="133"/>
      <c r="S627" s="133"/>
      <c r="T627" s="133">
        <f>'Optional Adjustment 2'!G627*$T$1</f>
        <v>0</v>
      </c>
      <c r="U627" s="133">
        <f>'Optional Adjustment 3'!G627*$U$1</f>
        <v>0</v>
      </c>
      <c r="V627" s="133">
        <f>'Optional Adjustment 4'!G627*$V$1</f>
        <v>0</v>
      </c>
      <c r="W627" s="133">
        <f>'Optional Adjustment 5'!G627*$W$1</f>
        <v>0</v>
      </c>
      <c r="X627" s="133">
        <f>'Optional Adjustment 6'!G627*$X$1</f>
        <v>0</v>
      </c>
      <c r="Y627" s="133">
        <f>'Optional Adjustment 7'!G627*$Y$1</f>
        <v>0</v>
      </c>
      <c r="Z627" s="133">
        <f>'Optional Adjustment 8'!G627*$Z$1</f>
        <v>0</v>
      </c>
      <c r="AA627" s="133">
        <f>'Optional Adjustment 9'!G627*$AA$1</f>
        <v>0</v>
      </c>
      <c r="AB627" s="133">
        <f>'Optional Adjustment 10'!G627*$AB$1</f>
        <v>0</v>
      </c>
      <c r="AC627" s="133">
        <f>'Optional Adjustment 11'!G627*$AC$1</f>
        <v>0</v>
      </c>
      <c r="AD627" s="133">
        <f>'Optional Adjustment 12'!G627*$AD$1</f>
        <v>0</v>
      </c>
      <c r="AE627" s="133">
        <f>'Optional Adjustment 13'!G627*$AE$1</f>
        <v>0</v>
      </c>
      <c r="AF627" s="133">
        <f>'Optional Adjustment 14'!G627*$AF$1</f>
        <v>0</v>
      </c>
      <c r="AG627" s="133">
        <f>'Optional Adjustment 15'!G627*$AG$1</f>
        <v>0</v>
      </c>
      <c r="AH627" s="133">
        <f>'Optional Adjustment 16'!G627*$AH$1</f>
        <v>0</v>
      </c>
      <c r="AI627" s="133">
        <f>'Optional Adjustment 17'!G627*$AI$1</f>
        <v>0</v>
      </c>
      <c r="AJ627" s="133">
        <f>'Optional Adjustment 18'!G627*$AJ$1</f>
        <v>0</v>
      </c>
      <c r="AK627" s="133">
        <f>'Optional Adjustment 19'!G627*$AK$1</f>
        <v>0</v>
      </c>
      <c r="AL627" s="133">
        <f>'Optional Adjustment 20'!G627*$AL$1</f>
        <v>0</v>
      </c>
      <c r="AM627" s="133">
        <f>'Optional Adjustment 21'!G627*$AM$1</f>
        <v>0</v>
      </c>
      <c r="AN627" s="133">
        <f>'Optional Adjustment 22'!G627*$AN$1</f>
        <v>0</v>
      </c>
      <c r="AO627" s="133">
        <f>'Optional Adjustment 23'!G627*$AO$1</f>
        <v>0</v>
      </c>
      <c r="AP627" s="133">
        <f>'Optional Adjustment 24'!G627*$AP$1</f>
        <v>0</v>
      </c>
      <c r="AQ627" s="133">
        <f>'Optional Adjustment 25'!G627*$AQ$1</f>
        <v>0</v>
      </c>
      <c r="AR627" s="133">
        <f>'Optional Adjustment 26'!G627*$AR$1</f>
        <v>0</v>
      </c>
      <c r="AS627" s="133">
        <f>'Optional Adjustment 27'!G627*$AS$1</f>
        <v>0</v>
      </c>
      <c r="AT627" s="133"/>
      <c r="AU627" s="133">
        <f>SUM(F627:AT627)</f>
        <v>0</v>
      </c>
      <c r="AV627" s="116"/>
      <c r="AW627" s="133">
        <f>SUM(AU627:AU627)</f>
        <v>0</v>
      </c>
      <c r="AX627" s="133">
        <f>+AW627-'ROR-Model'!G627</f>
        <v>0</v>
      </c>
    </row>
    <row r="628" spans="1:50">
      <c r="A628" s="330"/>
      <c r="B628" s="102"/>
      <c r="C628" s="102" t="s">
        <v>170</v>
      </c>
      <c r="D628" s="102"/>
      <c r="E628" s="102"/>
      <c r="F628" s="131">
        <f t="shared" ref="F628:P628" si="752">SUM(F626:F627)</f>
        <v>0</v>
      </c>
      <c r="G628" s="131"/>
      <c r="H628" s="131">
        <f t="shared" si="752"/>
        <v>0</v>
      </c>
      <c r="I628" s="131">
        <f>SUM(I626:I627)</f>
        <v>0</v>
      </c>
      <c r="J628" s="131">
        <f t="shared" si="752"/>
        <v>0</v>
      </c>
      <c r="K628" s="131">
        <f t="shared" ref="K628" si="753">SUM(K626:K627)</f>
        <v>0</v>
      </c>
      <c r="L628" s="131">
        <f t="shared" si="752"/>
        <v>0</v>
      </c>
      <c r="M628" s="131">
        <f t="shared" si="752"/>
        <v>0</v>
      </c>
      <c r="N628" s="131">
        <f t="shared" si="752"/>
        <v>0</v>
      </c>
      <c r="O628" s="131">
        <f t="shared" si="752"/>
        <v>0</v>
      </c>
      <c r="P628" s="131">
        <f t="shared" si="752"/>
        <v>0</v>
      </c>
      <c r="Q628" s="241">
        <f>SUM(Q626:Q627)</f>
        <v>0</v>
      </c>
      <c r="R628" s="241">
        <f>SUM(R626:R627)</f>
        <v>0</v>
      </c>
      <c r="S628" s="556"/>
      <c r="T628" s="556">
        <f t="shared" ref="T628" si="754">SUM(T626:T627)</f>
        <v>0</v>
      </c>
      <c r="U628" s="556">
        <f t="shared" ref="U628:W628" si="755">SUM(U626:U627)</f>
        <v>0</v>
      </c>
      <c r="V628" s="556">
        <f t="shared" ref="V628" si="756">SUM(V626:V627)</f>
        <v>0</v>
      </c>
      <c r="W628" s="556">
        <f t="shared" si="755"/>
        <v>0</v>
      </c>
      <c r="X628" s="556">
        <f t="shared" ref="X628:AG628" si="757">SUM(X626:X627)</f>
        <v>0</v>
      </c>
      <c r="Y628" s="556">
        <f t="shared" si="757"/>
        <v>0</v>
      </c>
      <c r="Z628" s="556">
        <f t="shared" si="757"/>
        <v>0</v>
      </c>
      <c r="AA628" s="556">
        <f t="shared" si="757"/>
        <v>0</v>
      </c>
      <c r="AB628" s="556">
        <f t="shared" si="757"/>
        <v>0</v>
      </c>
      <c r="AC628" s="556">
        <f t="shared" si="757"/>
        <v>0</v>
      </c>
      <c r="AD628" s="556">
        <f t="shared" si="757"/>
        <v>0</v>
      </c>
      <c r="AE628" s="556">
        <f t="shared" si="757"/>
        <v>0</v>
      </c>
      <c r="AF628" s="556">
        <f t="shared" si="757"/>
        <v>0</v>
      </c>
      <c r="AG628" s="556">
        <f t="shared" si="757"/>
        <v>0</v>
      </c>
      <c r="AH628" s="556">
        <f t="shared" ref="AH628:AK628" si="758">SUM(AH626:AH627)</f>
        <v>0</v>
      </c>
      <c r="AI628" s="556">
        <f t="shared" si="758"/>
        <v>0</v>
      </c>
      <c r="AJ628" s="556">
        <f t="shared" si="758"/>
        <v>0</v>
      </c>
      <c r="AK628" s="556">
        <f t="shared" si="758"/>
        <v>0</v>
      </c>
      <c r="AL628" s="556">
        <f t="shared" ref="AL628:AP628" si="759">SUM(AL626:AL627)</f>
        <v>0</v>
      </c>
      <c r="AM628" s="556">
        <f t="shared" si="759"/>
        <v>0</v>
      </c>
      <c r="AN628" s="556">
        <f t="shared" si="759"/>
        <v>0</v>
      </c>
      <c r="AO628" s="556">
        <f t="shared" si="759"/>
        <v>0</v>
      </c>
      <c r="AP628" s="556">
        <f t="shared" si="759"/>
        <v>0</v>
      </c>
      <c r="AQ628" s="556">
        <f t="shared" ref="AQ628:AS628" si="760">SUM(AQ626:AQ627)</f>
        <v>0</v>
      </c>
      <c r="AR628" s="556">
        <f t="shared" si="760"/>
        <v>0</v>
      </c>
      <c r="AS628" s="556">
        <f t="shared" si="760"/>
        <v>0</v>
      </c>
      <c r="AT628" s="556"/>
      <c r="AU628" s="241">
        <f>SUM(AU626:AU627)</f>
        <v>0</v>
      </c>
      <c r="AV628" s="131"/>
      <c r="AW628" s="241">
        <f>SUM(AW626:AW627)</f>
        <v>0</v>
      </c>
      <c r="AX628" s="241">
        <f>+AW628-'ROR-Model'!G628</f>
        <v>0</v>
      </c>
    </row>
    <row r="629" spans="1:50" ht="13.5" thickBot="1">
      <c r="A629" s="330"/>
      <c r="B629" s="106"/>
      <c r="C629" s="106"/>
      <c r="D629" s="106"/>
      <c r="E629" s="331"/>
      <c r="F629" s="235"/>
      <c r="G629" s="235"/>
      <c r="H629" s="235"/>
      <c r="I629" s="235"/>
      <c r="J629" s="235"/>
      <c r="K629" s="235"/>
      <c r="L629" s="235"/>
      <c r="M629" s="235"/>
      <c r="N629" s="235"/>
      <c r="O629" s="235"/>
      <c r="P629" s="235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  <c r="AA629" s="242"/>
      <c r="AB629" s="242"/>
      <c r="AC629" s="242"/>
      <c r="AD629" s="242"/>
      <c r="AE629" s="242"/>
      <c r="AF629" s="242"/>
      <c r="AG629" s="242"/>
      <c r="AH629" s="242"/>
      <c r="AI629" s="242"/>
      <c r="AJ629" s="242"/>
      <c r="AK629" s="242"/>
      <c r="AL629" s="242"/>
      <c r="AM629" s="242"/>
      <c r="AN629" s="242"/>
      <c r="AO629" s="242"/>
      <c r="AP629" s="242"/>
      <c r="AQ629" s="242"/>
      <c r="AR629" s="242"/>
      <c r="AS629" s="242"/>
      <c r="AT629" s="242"/>
      <c r="AU629" s="242"/>
      <c r="AV629" s="235"/>
      <c r="AW629" s="242"/>
      <c r="AX629" s="242">
        <f>+AW629-'ROR-Model'!G629</f>
        <v>0</v>
      </c>
    </row>
    <row r="630" spans="1:50" ht="13.5" thickTop="1">
      <c r="A630" s="59" t="s">
        <v>561</v>
      </c>
      <c r="B630" s="106"/>
      <c r="C630" s="106"/>
      <c r="D630" s="106"/>
      <c r="E630" s="331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16"/>
      <c r="AW630" s="133"/>
      <c r="AX630" s="133">
        <f>+AW630-'ROR-Model'!G630</f>
        <v>0</v>
      </c>
    </row>
    <row r="631" spans="1:50">
      <c r="A631" s="330"/>
      <c r="B631" s="106" t="s">
        <v>696</v>
      </c>
      <c r="C631" s="106"/>
      <c r="D631" s="106"/>
      <c r="E631" s="331"/>
      <c r="F631" s="116">
        <f>F536+F611+F628</f>
        <v>0</v>
      </c>
      <c r="G631" s="116"/>
      <c r="H631" s="116">
        <f t="shared" ref="H631:Q631" si="761">H536+H611+H628</f>
        <v>0</v>
      </c>
      <c r="I631" s="116">
        <f>I536+I611+I628</f>
        <v>0</v>
      </c>
      <c r="J631" s="116">
        <f t="shared" si="761"/>
        <v>0</v>
      </c>
      <c r="K631" s="116">
        <f t="shared" si="761"/>
        <v>0</v>
      </c>
      <c r="L631" s="116">
        <f t="shared" si="761"/>
        <v>0</v>
      </c>
      <c r="M631" s="116">
        <f t="shared" si="761"/>
        <v>0</v>
      </c>
      <c r="N631" s="116">
        <f t="shared" si="761"/>
        <v>0</v>
      </c>
      <c r="O631" s="116">
        <f t="shared" si="761"/>
        <v>0</v>
      </c>
      <c r="P631" s="116">
        <f t="shared" si="761"/>
        <v>0</v>
      </c>
      <c r="Q631" s="133">
        <f t="shared" si="761"/>
        <v>0</v>
      </c>
      <c r="R631" s="133">
        <f t="shared" ref="R631" si="762">R536+R611+R628</f>
        <v>0</v>
      </c>
      <c r="S631" s="133"/>
      <c r="T631" s="133">
        <f t="shared" ref="T631:W631" si="763">T536+T611+T628</f>
        <v>0</v>
      </c>
      <c r="U631" s="133">
        <f t="shared" si="763"/>
        <v>0</v>
      </c>
      <c r="V631" s="133">
        <f t="shared" si="763"/>
        <v>0</v>
      </c>
      <c r="W631" s="133">
        <f t="shared" si="763"/>
        <v>0</v>
      </c>
      <c r="X631" s="133">
        <f t="shared" ref="X631:AG631" si="764">X536+X611+X628</f>
        <v>0</v>
      </c>
      <c r="Y631" s="133">
        <f t="shared" si="764"/>
        <v>0</v>
      </c>
      <c r="Z631" s="133">
        <f t="shared" si="764"/>
        <v>0</v>
      </c>
      <c r="AA631" s="133">
        <f t="shared" si="764"/>
        <v>0</v>
      </c>
      <c r="AB631" s="133">
        <f t="shared" si="764"/>
        <v>0</v>
      </c>
      <c r="AC631" s="133">
        <f t="shared" si="764"/>
        <v>0</v>
      </c>
      <c r="AD631" s="133">
        <f t="shared" si="764"/>
        <v>0</v>
      </c>
      <c r="AE631" s="133">
        <f t="shared" si="764"/>
        <v>0</v>
      </c>
      <c r="AF631" s="133">
        <f t="shared" si="764"/>
        <v>0</v>
      </c>
      <c r="AG631" s="133">
        <f t="shared" si="764"/>
        <v>0</v>
      </c>
      <c r="AH631" s="133">
        <f t="shared" ref="AH631:AK631" si="765">AH536+AH611+AH628</f>
        <v>0</v>
      </c>
      <c r="AI631" s="133">
        <f t="shared" si="765"/>
        <v>0</v>
      </c>
      <c r="AJ631" s="133">
        <f t="shared" si="765"/>
        <v>0</v>
      </c>
      <c r="AK631" s="133">
        <f t="shared" si="765"/>
        <v>0</v>
      </c>
      <c r="AL631" s="133">
        <f t="shared" ref="AL631:AP631" si="766">AL536+AL611+AL628</f>
        <v>0</v>
      </c>
      <c r="AM631" s="133">
        <f t="shared" si="766"/>
        <v>0</v>
      </c>
      <c r="AN631" s="133">
        <f t="shared" si="766"/>
        <v>0</v>
      </c>
      <c r="AO631" s="133">
        <f t="shared" si="766"/>
        <v>0</v>
      </c>
      <c r="AP631" s="133">
        <f t="shared" si="766"/>
        <v>0</v>
      </c>
      <c r="AQ631" s="133">
        <f t="shared" ref="AQ631:AT631" si="767">AQ536+AQ611+AQ628</f>
        <v>0</v>
      </c>
      <c r="AR631" s="133">
        <f t="shared" si="767"/>
        <v>0</v>
      </c>
      <c r="AS631" s="133">
        <f t="shared" si="767"/>
        <v>0</v>
      </c>
      <c r="AT631" s="133">
        <f t="shared" si="767"/>
        <v>0</v>
      </c>
      <c r="AU631" s="133">
        <f>AU536+AU611+AU628</f>
        <v>0</v>
      </c>
      <c r="AV631" s="116"/>
      <c r="AW631" s="133">
        <f>AW536+AW611+AW628</f>
        <v>0</v>
      </c>
      <c r="AX631" s="133">
        <f>+AW631-'ROR-Model'!G631</f>
        <v>0</v>
      </c>
    </row>
    <row r="632" spans="1:50">
      <c r="A632" s="330"/>
      <c r="B632" s="106" t="s">
        <v>697</v>
      </c>
      <c r="C632" s="106"/>
      <c r="D632" s="106"/>
      <c r="E632" s="331"/>
      <c r="F632" s="116">
        <f t="shared" ref="F632:Q632" si="768">F521+F526+F531+F541+F546+F551+F556+F561+F566+F571+F576+F581+F586+F591+F596+F601+F606+F616+F621</f>
        <v>0</v>
      </c>
      <c r="G632" s="116"/>
      <c r="H632" s="116">
        <f t="shared" si="768"/>
        <v>0</v>
      </c>
      <c r="I632" s="116">
        <f>I521+I526+I531+I541+I546+I551+I556+I561+I566+I571+I576+I581+I586+I591+I596+I601+I606+I616+I621</f>
        <v>0</v>
      </c>
      <c r="J632" s="116">
        <f t="shared" si="768"/>
        <v>0</v>
      </c>
      <c r="K632" s="116">
        <f t="shared" si="768"/>
        <v>0</v>
      </c>
      <c r="L632" s="116">
        <f t="shared" si="768"/>
        <v>0</v>
      </c>
      <c r="M632" s="116">
        <f t="shared" si="768"/>
        <v>0</v>
      </c>
      <c r="N632" s="116">
        <f t="shared" si="768"/>
        <v>0</v>
      </c>
      <c r="O632" s="116">
        <f t="shared" si="768"/>
        <v>0</v>
      </c>
      <c r="P632" s="116">
        <f t="shared" si="768"/>
        <v>0</v>
      </c>
      <c r="Q632" s="133">
        <f t="shared" si="768"/>
        <v>0</v>
      </c>
      <c r="R632" s="133">
        <f t="shared" ref="R632" si="769">R521+R526+R531+R541+R546+R551+R556+R561+R566+R571+R576+R581+R586+R591+R596+R601+R606+R616+R621</f>
        <v>0</v>
      </c>
      <c r="S632" s="133"/>
      <c r="T632" s="133">
        <f t="shared" ref="T632" si="770">T521+T526+T531+T541+T546+T551+T556+T561+T566+T571+T576+T581+T586+T591+T596+T601+T606+T616+T621</f>
        <v>0</v>
      </c>
      <c r="U632" s="133">
        <f t="shared" ref="U632:W632" si="771">U521+U526+U531+U541+U546+U551+U556+U561+U566+U571+U576+U581+U586+U591+U596+U601+U606+U616+U621</f>
        <v>0</v>
      </c>
      <c r="V632" s="133">
        <f t="shared" ref="V632" si="772">V521+V526+V531+V541+V546+V551+V556+V561+V566+V571+V576+V581+V586+V591+V596+V601+V606+V616+V621</f>
        <v>0</v>
      </c>
      <c r="W632" s="133">
        <f t="shared" si="771"/>
        <v>0</v>
      </c>
      <c r="X632" s="133">
        <f t="shared" ref="X632:AG632" si="773">X521+X526+X531+X541+X546+X551+X556+X561+X566+X571+X576+X581+X586+X591+X596+X601+X606+X616+X621</f>
        <v>0</v>
      </c>
      <c r="Y632" s="133">
        <f t="shared" si="773"/>
        <v>0</v>
      </c>
      <c r="Z632" s="133">
        <f t="shared" si="773"/>
        <v>0</v>
      </c>
      <c r="AA632" s="133">
        <f t="shared" si="773"/>
        <v>0</v>
      </c>
      <c r="AB632" s="133">
        <f t="shared" si="773"/>
        <v>0</v>
      </c>
      <c r="AC632" s="133">
        <f t="shared" si="773"/>
        <v>0</v>
      </c>
      <c r="AD632" s="133">
        <f t="shared" si="773"/>
        <v>0</v>
      </c>
      <c r="AE632" s="133">
        <f t="shared" si="773"/>
        <v>0</v>
      </c>
      <c r="AF632" s="133">
        <f t="shared" si="773"/>
        <v>0</v>
      </c>
      <c r="AG632" s="133">
        <f t="shared" si="773"/>
        <v>0</v>
      </c>
      <c r="AH632" s="133">
        <f t="shared" ref="AH632:AK632" si="774">AH521+AH526+AH531+AH541+AH546+AH551+AH556+AH561+AH566+AH571+AH576+AH581+AH586+AH591+AH596+AH601+AH606+AH616+AH621</f>
        <v>0</v>
      </c>
      <c r="AI632" s="133">
        <f t="shared" si="774"/>
        <v>0</v>
      </c>
      <c r="AJ632" s="133">
        <f t="shared" si="774"/>
        <v>0</v>
      </c>
      <c r="AK632" s="133">
        <f t="shared" si="774"/>
        <v>0</v>
      </c>
      <c r="AL632" s="133">
        <f t="shared" ref="AL632:AP632" si="775">AL521+AL526+AL531+AL541+AL546+AL551+AL556+AL561+AL566+AL571+AL576+AL581+AL586+AL591+AL596+AL601+AL606+AL616+AL621</f>
        <v>0</v>
      </c>
      <c r="AM632" s="133">
        <f t="shared" si="775"/>
        <v>0</v>
      </c>
      <c r="AN632" s="133">
        <f t="shared" si="775"/>
        <v>0</v>
      </c>
      <c r="AO632" s="133">
        <f t="shared" si="775"/>
        <v>0</v>
      </c>
      <c r="AP632" s="133">
        <f t="shared" si="775"/>
        <v>0</v>
      </c>
      <c r="AQ632" s="133">
        <f t="shared" ref="AQ632:AT632" si="776">AQ521+AQ526+AQ531+AQ541+AQ546+AQ551+AQ556+AQ561+AQ566+AQ571+AQ576+AQ581+AQ586+AQ591+AQ596+AQ601+AQ606+AQ616+AQ621</f>
        <v>0</v>
      </c>
      <c r="AR632" s="133">
        <f t="shared" si="776"/>
        <v>0</v>
      </c>
      <c r="AS632" s="133">
        <f t="shared" si="776"/>
        <v>0</v>
      </c>
      <c r="AT632" s="133">
        <f t="shared" si="776"/>
        <v>0</v>
      </c>
      <c r="AU632" s="133">
        <f>AU521+AU526+AU531+AU541+AU546+AU551+AU556+AU561+AU566+AU571+AU576+AU581+AU586+AU591+AU596+AU601+AU606+AU616+AU621</f>
        <v>0</v>
      </c>
      <c r="AV632" s="116"/>
      <c r="AW632" s="133">
        <f>AW521+AW526+AW531+AW541+AW546+AW551+AW556+AW561+AW566+AW571+AW576+AW581+AW586+AW591+AW596+AW601+AW606+AW616+AW621</f>
        <v>0</v>
      </c>
      <c r="AX632" s="133">
        <f>+AW632-'ROR-Model'!G632</f>
        <v>0</v>
      </c>
    </row>
    <row r="633" spans="1:50">
      <c r="A633" s="330"/>
      <c r="B633" s="106" t="s">
        <v>700</v>
      </c>
      <c r="C633" s="106"/>
      <c r="D633" s="106"/>
      <c r="E633" s="331"/>
      <c r="F633" s="116">
        <f t="shared" ref="F633:Q633" si="777">F537+F612</f>
        <v>0</v>
      </c>
      <c r="G633" s="116"/>
      <c r="H633" s="116">
        <f t="shared" si="777"/>
        <v>0</v>
      </c>
      <c r="I633" s="116">
        <f>I537+I612</f>
        <v>0</v>
      </c>
      <c r="J633" s="116">
        <f t="shared" si="777"/>
        <v>0</v>
      </c>
      <c r="K633" s="116">
        <f t="shared" si="777"/>
        <v>0</v>
      </c>
      <c r="L633" s="116">
        <f t="shared" si="777"/>
        <v>0</v>
      </c>
      <c r="M633" s="116">
        <f t="shared" si="777"/>
        <v>0</v>
      </c>
      <c r="N633" s="116">
        <f t="shared" si="777"/>
        <v>0</v>
      </c>
      <c r="O633" s="116">
        <f t="shared" si="777"/>
        <v>0</v>
      </c>
      <c r="P633" s="116">
        <f t="shared" si="777"/>
        <v>0</v>
      </c>
      <c r="Q633" s="133">
        <f t="shared" si="777"/>
        <v>0</v>
      </c>
      <c r="R633" s="133">
        <f t="shared" ref="R633" si="778">R537+R612</f>
        <v>0</v>
      </c>
      <c r="S633" s="133"/>
      <c r="T633" s="133">
        <f t="shared" ref="T633" si="779">T537+T612</f>
        <v>0</v>
      </c>
      <c r="U633" s="133">
        <f t="shared" ref="U633:W633" si="780">U537+U612</f>
        <v>0</v>
      </c>
      <c r="V633" s="133">
        <f t="shared" ref="V633" si="781">V537+V612</f>
        <v>0</v>
      </c>
      <c r="W633" s="133">
        <f t="shared" si="780"/>
        <v>0</v>
      </c>
      <c r="X633" s="133">
        <f t="shared" ref="X633:AG633" si="782">X537+X612</f>
        <v>0</v>
      </c>
      <c r="Y633" s="133">
        <f t="shared" si="782"/>
        <v>0</v>
      </c>
      <c r="Z633" s="133">
        <f t="shared" si="782"/>
        <v>0</v>
      </c>
      <c r="AA633" s="133">
        <f t="shared" si="782"/>
        <v>0</v>
      </c>
      <c r="AB633" s="133">
        <f t="shared" si="782"/>
        <v>0</v>
      </c>
      <c r="AC633" s="133">
        <f t="shared" si="782"/>
        <v>0</v>
      </c>
      <c r="AD633" s="133">
        <f t="shared" si="782"/>
        <v>0</v>
      </c>
      <c r="AE633" s="133">
        <f t="shared" si="782"/>
        <v>0</v>
      </c>
      <c r="AF633" s="133">
        <f t="shared" si="782"/>
        <v>0</v>
      </c>
      <c r="AG633" s="133">
        <f t="shared" si="782"/>
        <v>0</v>
      </c>
      <c r="AH633" s="133">
        <f t="shared" ref="AH633:AK633" si="783">AH537+AH612</f>
        <v>0</v>
      </c>
      <c r="AI633" s="133">
        <f t="shared" si="783"/>
        <v>0</v>
      </c>
      <c r="AJ633" s="133">
        <f t="shared" si="783"/>
        <v>0</v>
      </c>
      <c r="AK633" s="133">
        <f t="shared" si="783"/>
        <v>0</v>
      </c>
      <c r="AL633" s="133">
        <f t="shared" ref="AL633:AP633" si="784">AL537+AL612</f>
        <v>0</v>
      </c>
      <c r="AM633" s="133">
        <f t="shared" si="784"/>
        <v>0</v>
      </c>
      <c r="AN633" s="133">
        <f t="shared" si="784"/>
        <v>0</v>
      </c>
      <c r="AO633" s="133">
        <f t="shared" si="784"/>
        <v>0</v>
      </c>
      <c r="AP633" s="133">
        <f t="shared" si="784"/>
        <v>0</v>
      </c>
      <c r="AQ633" s="133">
        <f t="shared" ref="AQ633:AT633" si="785">AQ537+AQ612</f>
        <v>0</v>
      </c>
      <c r="AR633" s="133">
        <f t="shared" si="785"/>
        <v>0</v>
      </c>
      <c r="AS633" s="133">
        <f t="shared" si="785"/>
        <v>0</v>
      </c>
      <c r="AT633" s="133">
        <f t="shared" si="785"/>
        <v>0</v>
      </c>
      <c r="AU633" s="133">
        <f>AU537+AU612</f>
        <v>0</v>
      </c>
      <c r="AV633" s="116"/>
      <c r="AW633" s="133">
        <f>AW537+AW612</f>
        <v>0</v>
      </c>
      <c r="AX633" s="133">
        <f>+AW633-'ROR-Model'!G633</f>
        <v>0</v>
      </c>
    </row>
    <row r="634" spans="1:50">
      <c r="A634" s="330"/>
      <c r="B634" s="106" t="s">
        <v>701</v>
      </c>
      <c r="C634" s="106"/>
      <c r="D634" s="106"/>
      <c r="E634" s="331"/>
      <c r="F634" s="116">
        <f t="shared" ref="F634:Q634" si="786">F522+F527+F532+F542+F547+F552+F557+F562+F567+F572+F577+F582+F587+F592+F597+F602+F607+F617+F622</f>
        <v>0</v>
      </c>
      <c r="G634" s="116"/>
      <c r="H634" s="116">
        <f t="shared" si="786"/>
        <v>0</v>
      </c>
      <c r="I634" s="116">
        <f>I522+I527+I532+I542+I547+I552+I557+I562+I567+I572+I577+I582+I587+I592+I597+I602+I607+I617+I622</f>
        <v>0</v>
      </c>
      <c r="J634" s="116">
        <f t="shared" si="786"/>
        <v>0</v>
      </c>
      <c r="K634" s="116">
        <f t="shared" si="786"/>
        <v>0</v>
      </c>
      <c r="L634" s="116">
        <f t="shared" si="786"/>
        <v>0</v>
      </c>
      <c r="M634" s="116">
        <f t="shared" si="786"/>
        <v>0</v>
      </c>
      <c r="N634" s="116">
        <f t="shared" si="786"/>
        <v>0</v>
      </c>
      <c r="O634" s="116">
        <f t="shared" si="786"/>
        <v>0</v>
      </c>
      <c r="P634" s="116">
        <f t="shared" si="786"/>
        <v>0</v>
      </c>
      <c r="Q634" s="133">
        <f t="shared" si="786"/>
        <v>0</v>
      </c>
      <c r="R634" s="133">
        <f t="shared" ref="R634" si="787">R522+R527+R532+R542+R547+R552+R557+R562+R567+R572+R577+R582+R587+R592+R597+R602+R607+R617+R622</f>
        <v>0</v>
      </c>
      <c r="S634" s="133"/>
      <c r="T634" s="133">
        <f t="shared" ref="T634" si="788">T522+T527+T532+T542+T547+T552+T557+T562+T567+T572+T577+T582+T587+T592+T597+T602+T607+T617+T622</f>
        <v>0</v>
      </c>
      <c r="U634" s="133">
        <f t="shared" ref="U634:W634" si="789">U522+U527+U532+U542+U547+U552+U557+U562+U567+U572+U577+U582+U587+U592+U597+U602+U607+U617+U622</f>
        <v>0</v>
      </c>
      <c r="V634" s="133">
        <f t="shared" ref="V634" si="790">V522+V527+V532+V542+V547+V552+V557+V562+V567+V572+V577+V582+V587+V592+V597+V602+V607+V617+V622</f>
        <v>0</v>
      </c>
      <c r="W634" s="133">
        <f t="shared" si="789"/>
        <v>0</v>
      </c>
      <c r="X634" s="133">
        <f t="shared" ref="X634:AG634" si="791">X522+X527+X532+X542+X547+X552+X557+X562+X567+X572+X577+X582+X587+X592+X597+X602+X607+X617+X622</f>
        <v>0</v>
      </c>
      <c r="Y634" s="133">
        <f t="shared" si="791"/>
        <v>0</v>
      </c>
      <c r="Z634" s="133">
        <f t="shared" si="791"/>
        <v>0</v>
      </c>
      <c r="AA634" s="133">
        <f t="shared" si="791"/>
        <v>0</v>
      </c>
      <c r="AB634" s="133">
        <f t="shared" si="791"/>
        <v>0</v>
      </c>
      <c r="AC634" s="133">
        <f t="shared" si="791"/>
        <v>0</v>
      </c>
      <c r="AD634" s="133">
        <f t="shared" si="791"/>
        <v>0</v>
      </c>
      <c r="AE634" s="133">
        <f t="shared" si="791"/>
        <v>0</v>
      </c>
      <c r="AF634" s="133">
        <f t="shared" si="791"/>
        <v>0</v>
      </c>
      <c r="AG634" s="133">
        <f t="shared" si="791"/>
        <v>0</v>
      </c>
      <c r="AH634" s="133">
        <f t="shared" ref="AH634:AK634" si="792">AH522+AH527+AH532+AH542+AH547+AH552+AH557+AH562+AH567+AH572+AH577+AH582+AH587+AH592+AH597+AH602+AH607+AH617+AH622</f>
        <v>0</v>
      </c>
      <c r="AI634" s="133">
        <f t="shared" si="792"/>
        <v>0</v>
      </c>
      <c r="AJ634" s="133">
        <f t="shared" si="792"/>
        <v>0</v>
      </c>
      <c r="AK634" s="133">
        <f t="shared" si="792"/>
        <v>0</v>
      </c>
      <c r="AL634" s="133">
        <f t="shared" ref="AL634:AP634" si="793">AL522+AL527+AL532+AL542+AL547+AL552+AL557+AL562+AL567+AL572+AL577+AL582+AL587+AL592+AL597+AL602+AL607+AL617+AL622</f>
        <v>0</v>
      </c>
      <c r="AM634" s="133">
        <f t="shared" si="793"/>
        <v>0</v>
      </c>
      <c r="AN634" s="133">
        <f t="shared" si="793"/>
        <v>0</v>
      </c>
      <c r="AO634" s="133">
        <f t="shared" si="793"/>
        <v>0</v>
      </c>
      <c r="AP634" s="133">
        <f t="shared" si="793"/>
        <v>0</v>
      </c>
      <c r="AQ634" s="133">
        <f t="shared" ref="AQ634:AT634" si="794">AQ522+AQ527+AQ532+AQ542+AQ547+AQ552+AQ557+AQ562+AQ567+AQ572+AQ577+AQ582+AQ587+AQ592+AQ597+AQ602+AQ607+AQ617+AQ622</f>
        <v>0</v>
      </c>
      <c r="AR634" s="133">
        <f t="shared" si="794"/>
        <v>0</v>
      </c>
      <c r="AS634" s="133">
        <f t="shared" si="794"/>
        <v>0</v>
      </c>
      <c r="AT634" s="133">
        <f t="shared" si="794"/>
        <v>0</v>
      </c>
      <c r="AU634" s="133">
        <f>AU522+AU527+AU532+AU542+AU547+AU552+AU557+AU562+AU567+AU572+AU577+AU582+AU587+AU592+AU597+AU602+AU607+AU617+AU622</f>
        <v>0</v>
      </c>
      <c r="AV634" s="116"/>
      <c r="AW634" s="133">
        <f>AW522+AW527+AW532+AW542+AW547+AW552+AW557+AW562+AW567+AW572+AW577+AW582+AW587+AW592+AW597+AW602+AW607+AW617+AW622</f>
        <v>0</v>
      </c>
      <c r="AX634" s="133">
        <f>+AW634-'ROR-Model'!G634</f>
        <v>0</v>
      </c>
    </row>
    <row r="635" spans="1:50">
      <c r="A635" s="330"/>
      <c r="B635" s="106" t="s">
        <v>698</v>
      </c>
      <c r="C635" s="106"/>
      <c r="D635" s="106"/>
      <c r="E635" s="331"/>
      <c r="F635" s="116">
        <f t="shared" ref="F635:Q635" si="795">+(F201+F202+F230+F231+F501)-F632</f>
        <v>0</v>
      </c>
      <c r="G635" s="116"/>
      <c r="H635" s="116">
        <f t="shared" si="795"/>
        <v>-10052907.153168358</v>
      </c>
      <c r="I635" s="116">
        <f t="shared" si="795"/>
        <v>0</v>
      </c>
      <c r="J635" s="116">
        <f t="shared" si="795"/>
        <v>0</v>
      </c>
      <c r="K635" s="116">
        <f t="shared" si="795"/>
        <v>0</v>
      </c>
      <c r="L635" s="116">
        <f t="shared" si="795"/>
        <v>0</v>
      </c>
      <c r="M635" s="116">
        <f t="shared" si="795"/>
        <v>0</v>
      </c>
      <c r="N635" s="116">
        <f t="shared" si="795"/>
        <v>0</v>
      </c>
      <c r="O635" s="116">
        <f t="shared" si="795"/>
        <v>0</v>
      </c>
      <c r="P635" s="116">
        <f t="shared" si="795"/>
        <v>0</v>
      </c>
      <c r="Q635" s="116">
        <f t="shared" si="795"/>
        <v>0</v>
      </c>
      <c r="R635" s="116">
        <f t="shared" ref="R635" si="796">+(R201+R202+R230+R231+R501)-R632</f>
        <v>0</v>
      </c>
      <c r="S635" s="116"/>
      <c r="T635" s="116">
        <f t="shared" ref="T635" si="797">+(T201+T202+T230+T231+T501)-T632</f>
        <v>0</v>
      </c>
      <c r="U635" s="116">
        <f t="shared" ref="U635:W635" si="798">+(U201+U202+U230+U231+U501)-U632</f>
        <v>0</v>
      </c>
      <c r="V635" s="116">
        <f t="shared" ref="V635" si="799">+(V201+V202+V230+V231+V501)-V632</f>
        <v>0</v>
      </c>
      <c r="W635" s="116">
        <f t="shared" si="798"/>
        <v>0</v>
      </c>
      <c r="X635" s="116">
        <f t="shared" ref="X635:AG635" si="800">+(X201+X202+X230+X231+X501)-X632</f>
        <v>0</v>
      </c>
      <c r="Y635" s="116">
        <f t="shared" si="800"/>
        <v>0</v>
      </c>
      <c r="Z635" s="116">
        <f t="shared" si="800"/>
        <v>0</v>
      </c>
      <c r="AA635" s="116">
        <f t="shared" si="800"/>
        <v>0</v>
      </c>
      <c r="AB635" s="116">
        <f t="shared" si="800"/>
        <v>0</v>
      </c>
      <c r="AC635" s="116">
        <f t="shared" si="800"/>
        <v>0</v>
      </c>
      <c r="AD635" s="116">
        <f t="shared" si="800"/>
        <v>0</v>
      </c>
      <c r="AE635" s="116">
        <f t="shared" si="800"/>
        <v>0</v>
      </c>
      <c r="AF635" s="116">
        <f t="shared" si="800"/>
        <v>0</v>
      </c>
      <c r="AG635" s="116">
        <f t="shared" si="800"/>
        <v>0</v>
      </c>
      <c r="AH635" s="116">
        <f t="shared" ref="AH635:AK635" si="801">+(AH201+AH202+AH230+AH231+AH501)-AH632</f>
        <v>0</v>
      </c>
      <c r="AI635" s="116">
        <f t="shared" si="801"/>
        <v>0</v>
      </c>
      <c r="AJ635" s="116">
        <f t="shared" si="801"/>
        <v>0</v>
      </c>
      <c r="AK635" s="116">
        <f t="shared" si="801"/>
        <v>0</v>
      </c>
      <c r="AL635" s="116">
        <f t="shared" ref="AL635:AP635" si="802">+(AL201+AL202+AL230+AL231+AL501)-AL632</f>
        <v>0</v>
      </c>
      <c r="AM635" s="116">
        <f t="shared" si="802"/>
        <v>0</v>
      </c>
      <c r="AN635" s="116">
        <f t="shared" si="802"/>
        <v>0</v>
      </c>
      <c r="AO635" s="116">
        <f t="shared" si="802"/>
        <v>0</v>
      </c>
      <c r="AP635" s="116">
        <f t="shared" si="802"/>
        <v>0</v>
      </c>
      <c r="AQ635" s="116">
        <f t="shared" ref="AQ635:AT635" si="803">+(AQ201+AQ202+AQ230+AQ231+AQ501)-AQ632</f>
        <v>0</v>
      </c>
      <c r="AR635" s="116">
        <f t="shared" si="803"/>
        <v>0</v>
      </c>
      <c r="AS635" s="116">
        <f t="shared" si="803"/>
        <v>0</v>
      </c>
      <c r="AT635" s="116">
        <f t="shared" si="803"/>
        <v>0</v>
      </c>
      <c r="AU635" s="116">
        <f>+(AU201+AU202+AU230+AU231+AU501)-AU632</f>
        <v>-10052907.153168358</v>
      </c>
      <c r="AV635" s="116"/>
      <c r="AW635" s="116">
        <f>+(AW201+AW202+AW230+AW231+AW501)-AW632</f>
        <v>-10052907.153168358</v>
      </c>
      <c r="AX635" s="116">
        <f>+AW635-'ROR-Model'!G636</f>
        <v>0</v>
      </c>
    </row>
    <row r="636" spans="1:50">
      <c r="A636" s="330"/>
      <c r="B636" s="106" t="s">
        <v>699</v>
      </c>
      <c r="C636" s="106"/>
      <c r="D636" s="106"/>
      <c r="E636" s="331"/>
      <c r="F636" s="116">
        <f t="shared" ref="F636:Q636" si="804">+(F324+F326+F354+F505)-F634</f>
        <v>0</v>
      </c>
      <c r="G636" s="116"/>
      <c r="H636" s="116">
        <f>+(H324+H326+H354+H505)-H634</f>
        <v>-1280249.7503094005</v>
      </c>
      <c r="I636" s="116">
        <f>+(I324+I326+I354+I505)-I634</f>
        <v>0</v>
      </c>
      <c r="J636" s="116">
        <f t="shared" si="804"/>
        <v>0</v>
      </c>
      <c r="K636" s="116">
        <f t="shared" si="804"/>
        <v>0</v>
      </c>
      <c r="L636" s="116">
        <f t="shared" si="804"/>
        <v>0</v>
      </c>
      <c r="M636" s="116">
        <f t="shared" si="804"/>
        <v>0</v>
      </c>
      <c r="N636" s="116">
        <f t="shared" si="804"/>
        <v>0</v>
      </c>
      <c r="O636" s="116">
        <f t="shared" si="804"/>
        <v>0</v>
      </c>
      <c r="P636" s="116">
        <f t="shared" si="804"/>
        <v>0</v>
      </c>
      <c r="Q636" s="133">
        <f t="shared" si="804"/>
        <v>0</v>
      </c>
      <c r="R636" s="133">
        <f t="shared" ref="R636" si="805">+(R324+R326+R354+R505)-R634</f>
        <v>0</v>
      </c>
      <c r="S636" s="133"/>
      <c r="T636" s="133">
        <f t="shared" ref="T636" si="806">+(T324+T326+T354+T505)-T634</f>
        <v>0</v>
      </c>
      <c r="U636" s="133">
        <f t="shared" ref="U636:W636" si="807">+(U324+U326+U354+U505)-U634</f>
        <v>0</v>
      </c>
      <c r="V636" s="133">
        <f t="shared" ref="V636" si="808">+(V324+V326+V354+V505)-V634</f>
        <v>0</v>
      </c>
      <c r="W636" s="133">
        <f t="shared" si="807"/>
        <v>0</v>
      </c>
      <c r="X636" s="133">
        <f t="shared" ref="X636:AG636" si="809">+(X324+X326+X354+X505)-X634</f>
        <v>0</v>
      </c>
      <c r="Y636" s="133">
        <f t="shared" si="809"/>
        <v>0</v>
      </c>
      <c r="Z636" s="133">
        <f t="shared" si="809"/>
        <v>0</v>
      </c>
      <c r="AA636" s="133">
        <f t="shared" si="809"/>
        <v>0</v>
      </c>
      <c r="AB636" s="133">
        <f t="shared" si="809"/>
        <v>0</v>
      </c>
      <c r="AC636" s="133">
        <f t="shared" si="809"/>
        <v>0</v>
      </c>
      <c r="AD636" s="133">
        <f t="shared" si="809"/>
        <v>0</v>
      </c>
      <c r="AE636" s="133">
        <f t="shared" si="809"/>
        <v>0</v>
      </c>
      <c r="AF636" s="133">
        <f t="shared" si="809"/>
        <v>0</v>
      </c>
      <c r="AG636" s="133">
        <f t="shared" si="809"/>
        <v>0</v>
      </c>
      <c r="AH636" s="133">
        <f t="shared" ref="AH636:AK636" si="810">+(AH324+AH326+AH354+AH505)-AH634</f>
        <v>0</v>
      </c>
      <c r="AI636" s="133">
        <f t="shared" si="810"/>
        <v>0</v>
      </c>
      <c r="AJ636" s="133">
        <f t="shared" si="810"/>
        <v>0</v>
      </c>
      <c r="AK636" s="133">
        <f t="shared" si="810"/>
        <v>0</v>
      </c>
      <c r="AL636" s="133">
        <f t="shared" ref="AL636:AP636" si="811">+(AL324+AL326+AL354+AL505)-AL634</f>
        <v>0</v>
      </c>
      <c r="AM636" s="133">
        <f t="shared" si="811"/>
        <v>0</v>
      </c>
      <c r="AN636" s="133">
        <f t="shared" si="811"/>
        <v>0</v>
      </c>
      <c r="AO636" s="133">
        <f t="shared" si="811"/>
        <v>0</v>
      </c>
      <c r="AP636" s="133">
        <f t="shared" si="811"/>
        <v>0</v>
      </c>
      <c r="AQ636" s="133">
        <f t="shared" ref="AQ636:AT636" si="812">+(AQ324+AQ326+AQ354+AQ505)-AQ634</f>
        <v>0</v>
      </c>
      <c r="AR636" s="133">
        <f t="shared" si="812"/>
        <v>0</v>
      </c>
      <c r="AS636" s="133">
        <f t="shared" si="812"/>
        <v>0</v>
      </c>
      <c r="AT636" s="133">
        <f t="shared" si="812"/>
        <v>0</v>
      </c>
      <c r="AU636" s="133">
        <f>+(AU324+AU326+AU354+AU505)-AU634-AU633</f>
        <v>-1280249.7503094005</v>
      </c>
      <c r="AV636" s="116"/>
      <c r="AW636" s="133">
        <f>+(AW324+AW326+AW354+AW505)-AW634-AW633</f>
        <v>-1280249.7503094005</v>
      </c>
      <c r="AX636" s="133">
        <f>+AW636-'ROR-Model'!G637</f>
        <v>0</v>
      </c>
    </row>
    <row r="637" spans="1:50" ht="13.5" thickBot="1">
      <c r="A637" s="330"/>
      <c r="B637" s="106"/>
      <c r="C637" s="106"/>
      <c r="D637" s="106"/>
      <c r="E637" s="331"/>
      <c r="F637" s="235"/>
      <c r="G637" s="235"/>
      <c r="H637" s="235"/>
      <c r="I637" s="235"/>
      <c r="J637" s="235"/>
      <c r="K637" s="235"/>
      <c r="L637" s="235"/>
      <c r="M637" s="235"/>
      <c r="N637" s="235"/>
      <c r="O637" s="235"/>
      <c r="P637" s="235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  <c r="AA637" s="242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2"/>
      <c r="AN637" s="242"/>
      <c r="AO637" s="242"/>
      <c r="AP637" s="242"/>
      <c r="AQ637" s="242"/>
      <c r="AR637" s="242"/>
      <c r="AS637" s="242"/>
      <c r="AT637" s="242"/>
      <c r="AU637" s="242"/>
      <c r="AV637" s="235"/>
      <c r="AW637" s="242"/>
      <c r="AX637" s="242">
        <f>+AW637-'ROR-Model'!G638</f>
        <v>0</v>
      </c>
    </row>
    <row r="638" spans="1:50" ht="13.5" thickTop="1">
      <c r="A638" s="330"/>
      <c r="B638" s="106"/>
      <c r="C638" s="106"/>
      <c r="D638" s="106"/>
      <c r="E638" s="331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16"/>
      <c r="AW638" s="133"/>
      <c r="AX638" s="133">
        <f>+AW638-'ROR-Model'!G639</f>
        <v>0</v>
      </c>
    </row>
    <row r="639" spans="1:50">
      <c r="A639" s="330"/>
      <c r="B639" s="61" t="s">
        <v>561</v>
      </c>
      <c r="C639" s="106"/>
      <c r="D639" s="106"/>
      <c r="E639" s="331"/>
      <c r="F639" s="116">
        <f>F523+F528+F533+F538+F543+F548+F553+F558+F563+F568+F573+F578+F583+F588+F593+F598+F603+F608+F613+F618+F623+F635+F636</f>
        <v>0</v>
      </c>
      <c r="G639" s="116"/>
      <c r="H639" s="116">
        <f>H1*H523+H528+H533+H538+H543+H548+H553+H558+H563+H568+H573+H578+H583+H588+H593+H598+H603+H608+H613+H618+H623+H635+H636</f>
        <v>-11333156.903477758</v>
      </c>
      <c r="I639" s="116">
        <f>I523+I528+I533+I538+I543+I548+I553+I558+I563+I568+I573+I578+I583+I588+I593+I598+I603+I608+I613+I618+I623+I635+I636</f>
        <v>0</v>
      </c>
      <c r="J639" s="116">
        <f t="shared" ref="J639:Q639" si="813">J523+J528+J533+J538+J543+J548+J553+J558+J563+J568+J573+J578+J583+J588+J593+J598+J603+J608+J613+J618+J623+J635+J636</f>
        <v>0</v>
      </c>
      <c r="K639" s="116">
        <f t="shared" si="813"/>
        <v>0</v>
      </c>
      <c r="L639" s="116">
        <f t="shared" si="813"/>
        <v>0</v>
      </c>
      <c r="M639" s="116">
        <f t="shared" si="813"/>
        <v>0</v>
      </c>
      <c r="N639" s="116">
        <f t="shared" si="813"/>
        <v>0</v>
      </c>
      <c r="O639" s="116">
        <f t="shared" si="813"/>
        <v>0</v>
      </c>
      <c r="P639" s="116">
        <f t="shared" si="813"/>
        <v>0</v>
      </c>
      <c r="Q639" s="133">
        <f t="shared" si="813"/>
        <v>0</v>
      </c>
      <c r="R639" s="133">
        <f t="shared" ref="R639" si="814">R523+R528+R533+R538+R543+R548+R553+R558+R563+R568+R573+R578+R583+R588+R593+R598+R603+R608+R613+R618+R623+R635+R636</f>
        <v>0</v>
      </c>
      <c r="S639" s="133"/>
      <c r="T639" s="133">
        <f t="shared" ref="T639:AG639" si="815">T523+T528+T533+T538+T543+T548+T553+T558+T563+T568+T573+T578+T583+T588+T593+T598+T603+T608+T613+T618+T623+T635+T636</f>
        <v>0</v>
      </c>
      <c r="U639" s="133">
        <f t="shared" si="815"/>
        <v>0</v>
      </c>
      <c r="V639" s="133">
        <f t="shared" si="815"/>
        <v>0</v>
      </c>
      <c r="W639" s="133">
        <f t="shared" si="815"/>
        <v>0</v>
      </c>
      <c r="X639" s="133">
        <f t="shared" si="815"/>
        <v>0</v>
      </c>
      <c r="Y639" s="133">
        <f t="shared" si="815"/>
        <v>0</v>
      </c>
      <c r="Z639" s="133">
        <f t="shared" si="815"/>
        <v>0</v>
      </c>
      <c r="AA639" s="133">
        <f t="shared" si="815"/>
        <v>0</v>
      </c>
      <c r="AB639" s="133">
        <f t="shared" si="815"/>
        <v>0</v>
      </c>
      <c r="AC639" s="133">
        <f t="shared" si="815"/>
        <v>0</v>
      </c>
      <c r="AD639" s="133">
        <f t="shared" si="815"/>
        <v>0</v>
      </c>
      <c r="AE639" s="133">
        <f t="shared" si="815"/>
        <v>0</v>
      </c>
      <c r="AF639" s="133">
        <f t="shared" si="815"/>
        <v>0</v>
      </c>
      <c r="AG639" s="133">
        <f t="shared" si="815"/>
        <v>0</v>
      </c>
      <c r="AH639" s="133">
        <f t="shared" ref="AH639:AK639" si="816">AH523+AH528+AH533+AH538+AH543+AH548+AH553+AH558+AH563+AH568+AH573+AH578+AH583+AH588+AH593+AH598+AH603+AH608+AH613+AH618+AH623+AH635+AH636</f>
        <v>0</v>
      </c>
      <c r="AI639" s="133">
        <f t="shared" si="816"/>
        <v>0</v>
      </c>
      <c r="AJ639" s="133">
        <f t="shared" si="816"/>
        <v>0</v>
      </c>
      <c r="AK639" s="133">
        <f t="shared" si="816"/>
        <v>0</v>
      </c>
      <c r="AL639" s="133">
        <f t="shared" ref="AL639:AP639" si="817">AL523+AL528+AL533+AL538+AL543+AL548+AL553+AL558+AL563+AL568+AL573+AL578+AL583+AL588+AL593+AL598+AL603+AL608+AL613+AL618+AL623+AL635+AL636</f>
        <v>0</v>
      </c>
      <c r="AM639" s="133">
        <f t="shared" si="817"/>
        <v>0</v>
      </c>
      <c r="AN639" s="133">
        <f t="shared" si="817"/>
        <v>0</v>
      </c>
      <c r="AO639" s="133">
        <f t="shared" si="817"/>
        <v>0</v>
      </c>
      <c r="AP639" s="133">
        <f t="shared" si="817"/>
        <v>0</v>
      </c>
      <c r="AQ639" s="133">
        <f t="shared" ref="AQ639:AT639" si="818">AQ523+AQ528+AQ533+AQ538+AQ543+AQ548+AQ553+AQ558+AQ563+AQ568+AQ573+AQ578+AQ583+AQ588+AQ593+AQ598+AQ603+AQ608+AQ613+AQ618+AQ623+AQ635+AQ636</f>
        <v>0</v>
      </c>
      <c r="AR639" s="133">
        <f t="shared" si="818"/>
        <v>0</v>
      </c>
      <c r="AS639" s="133">
        <f t="shared" si="818"/>
        <v>0</v>
      </c>
      <c r="AT639" s="133">
        <f t="shared" si="818"/>
        <v>0</v>
      </c>
      <c r="AU639" s="133">
        <f>AU523+AU528+AU533+AU538+AU543+AU548+AU553+AU558+AU563+AU568+AU573+AU578+AU583+AU588+AU593+AU598+AU603+AU608+AU613+AU618+AU623+AU635+AU636</f>
        <v>-11333156.903477758</v>
      </c>
      <c r="AV639" s="116"/>
      <c r="AW639" s="133">
        <f>AW523+AW528+AW533+AW538+AW543+AW548+AW553+AW558+AW563+AW568+AW573+AW578+AW583+AW588+AW593+AW598+AW603+AW608+AW613+AW618+AW623+AW635+AW636</f>
        <v>-11333156.903477758</v>
      </c>
      <c r="AX639" s="133">
        <f>+AW639-'ROR-Model'!G640</f>
        <v>0</v>
      </c>
    </row>
    <row r="640" spans="1:50">
      <c r="A640" s="330"/>
      <c r="B640" s="106"/>
      <c r="C640" s="106"/>
      <c r="D640" s="106"/>
      <c r="E640" s="331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16"/>
      <c r="AW640" s="133"/>
      <c r="AX640" s="133">
        <f>+AW640-'ROR-Model'!G641</f>
        <v>0</v>
      </c>
    </row>
    <row r="641" spans="1:50">
      <c r="A641" s="330"/>
      <c r="B641" s="106"/>
      <c r="C641" s="106"/>
      <c r="D641" s="106"/>
      <c r="E641" s="331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16"/>
      <c r="AW641" s="133"/>
      <c r="AX641" s="133">
        <f>+AW641-'ROR-Model'!G641</f>
        <v>0</v>
      </c>
    </row>
    <row r="642" spans="1:50">
      <c r="A642" s="59" t="s">
        <v>367</v>
      </c>
      <c r="B642" s="106"/>
      <c r="C642" s="106"/>
      <c r="D642" s="106"/>
      <c r="E642" s="331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16"/>
      <c r="AW642" s="133"/>
      <c r="AX642" s="133">
        <f>+AW642-'ROR-Model'!G642</f>
        <v>0</v>
      </c>
    </row>
    <row r="643" spans="1:50">
      <c r="A643" s="330"/>
      <c r="B643" s="106"/>
      <c r="C643" s="106"/>
      <c r="D643" s="106"/>
      <c r="E643" s="331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16"/>
      <c r="AW643" s="133"/>
      <c r="AX643" s="133">
        <f>+AW643-'ROR-Model'!G643</f>
        <v>0</v>
      </c>
    </row>
    <row r="644" spans="1:50">
      <c r="A644" s="59" t="s">
        <v>368</v>
      </c>
      <c r="B644" s="106"/>
      <c r="C644" s="106"/>
      <c r="D644" s="106"/>
      <c r="E644" s="331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16"/>
      <c r="AW644" s="133"/>
      <c r="AX644" s="133">
        <f>+AW644-'ROR-Model'!G644</f>
        <v>0</v>
      </c>
    </row>
    <row r="645" spans="1:50">
      <c r="A645" s="330"/>
      <c r="B645" s="106"/>
      <c r="C645" s="106"/>
      <c r="D645" s="106"/>
      <c r="E645" s="331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16"/>
      <c r="AW645" s="133"/>
      <c r="AX645" s="133">
        <f>+AW645-'ROR-Model'!G645</f>
        <v>0</v>
      </c>
    </row>
    <row r="646" spans="1:50">
      <c r="A646" s="134">
        <v>810</v>
      </c>
      <c r="B646" s="106" t="s">
        <v>369</v>
      </c>
      <c r="C646" s="106"/>
      <c r="D646" s="106"/>
      <c r="E646" s="331"/>
      <c r="F646" s="116"/>
      <c r="G646" s="116">
        <f>$G$1*EXPENSES!L138</f>
        <v>-589.50239399999919</v>
      </c>
      <c r="H646" s="116"/>
      <c r="I646" s="116"/>
      <c r="J646" s="116"/>
      <c r="K646" s="116"/>
      <c r="L646" s="116"/>
      <c r="M646" s="116"/>
      <c r="N646" s="116"/>
      <c r="O646" s="116"/>
      <c r="P646" s="116"/>
      <c r="Q646" s="133"/>
      <c r="R646" s="133"/>
      <c r="S646" s="133"/>
      <c r="T646" s="133">
        <f>'Optional Adjustment 2'!G646*$T$1</f>
        <v>0</v>
      </c>
      <c r="U646" s="133">
        <f>'Optional Adjustment 3'!G646*$U$1</f>
        <v>0</v>
      </c>
      <c r="V646" s="133">
        <f>'Optional Adjustment 4'!G646*$V$1</f>
        <v>0</v>
      </c>
      <c r="W646" s="133">
        <f>'Optional Adjustment 5'!G646*$W$1</f>
        <v>0</v>
      </c>
      <c r="X646" s="133">
        <f>'Optional Adjustment 6'!G646*$X$1</f>
        <v>0</v>
      </c>
      <c r="Y646" s="133">
        <f>'Optional Adjustment 7'!G646*$Y$1</f>
        <v>0</v>
      </c>
      <c r="Z646" s="133">
        <f>'Optional Adjustment 8'!G646*$Z$1</f>
        <v>0</v>
      </c>
      <c r="AA646" s="133">
        <f>'Optional Adjustment 9'!G646*$AA$1</f>
        <v>0</v>
      </c>
      <c r="AB646" s="133">
        <f>'Optional Adjustment 10'!G646*$AB$1</f>
        <v>0</v>
      </c>
      <c r="AC646" s="133">
        <f>'Optional Adjustment 11'!G646*$AC$1</f>
        <v>0</v>
      </c>
      <c r="AD646" s="133">
        <f>'Optional Adjustment 12'!G646*$AD$1</f>
        <v>0</v>
      </c>
      <c r="AE646" s="133">
        <f>'Optional Adjustment 13'!G646*$AE$1</f>
        <v>0</v>
      </c>
      <c r="AF646" s="133">
        <f>'Optional Adjustment 14'!G646*$AF$1</f>
        <v>0</v>
      </c>
      <c r="AG646" s="133">
        <f>'Optional Adjustment 15'!G646*$AG$1</f>
        <v>0</v>
      </c>
      <c r="AH646" s="133">
        <f>'Optional Adjustment 16'!G646*$AH$1</f>
        <v>0</v>
      </c>
      <c r="AI646" s="133">
        <f>'Optional Adjustment 17'!G646*$AI$1</f>
        <v>0</v>
      </c>
      <c r="AJ646" s="133">
        <f>'Optional Adjustment 18'!G646*$AJ$1</f>
        <v>0</v>
      </c>
      <c r="AK646" s="133">
        <f>'Optional Adjustment 19'!G646*$AK$1</f>
        <v>0</v>
      </c>
      <c r="AL646" s="133">
        <f>'Optional Adjustment 20'!G646*$AL$1</f>
        <v>0</v>
      </c>
      <c r="AM646" s="133">
        <f>'Optional Adjustment 21'!G646*$AM$1</f>
        <v>0</v>
      </c>
      <c r="AN646" s="133">
        <f>'Optional Adjustment 22'!G646*$AN$1</f>
        <v>0</v>
      </c>
      <c r="AO646" s="133">
        <f>'Optional Adjustment 23'!G646*$AO$1</f>
        <v>0</v>
      </c>
      <c r="AP646" s="133">
        <f>'Optional Adjustment 24'!G646*$AP$1</f>
        <v>0</v>
      </c>
      <c r="AQ646" s="133">
        <f>'Optional Adjustment 25'!G646*$AQ$1</f>
        <v>0</v>
      </c>
      <c r="AR646" s="133">
        <f>'Optional Adjustment 26'!G646*$AR$1</f>
        <v>0</v>
      </c>
      <c r="AS646" s="133">
        <f>'Optional Adjustment 27'!G646*$AS$1</f>
        <v>0</v>
      </c>
      <c r="AT646" s="133"/>
      <c r="AU646" s="133">
        <f>SUM(F646:AT646)</f>
        <v>-589.50239399999919</v>
      </c>
      <c r="AV646" s="116"/>
      <c r="AW646" s="133">
        <f>SUM(AU646:AU646)</f>
        <v>-589.50239399999919</v>
      </c>
      <c r="AX646" s="133">
        <f>+AW646-'ROR-Model'!G647</f>
        <v>0</v>
      </c>
    </row>
    <row r="647" spans="1:50">
      <c r="A647" s="134">
        <v>812</v>
      </c>
      <c r="B647" s="106" t="s">
        <v>372</v>
      </c>
      <c r="C647" s="106"/>
      <c r="D647" s="106"/>
      <c r="E647" s="331"/>
      <c r="F647" s="116"/>
      <c r="G647" s="116">
        <f>$G$1*EXPENSES!L139</f>
        <v>-36990.0815567401</v>
      </c>
      <c r="H647" s="116"/>
      <c r="I647" s="116"/>
      <c r="J647" s="116"/>
      <c r="K647" s="116"/>
      <c r="L647" s="116"/>
      <c r="M647" s="116"/>
      <c r="N647" s="116"/>
      <c r="O647" s="116"/>
      <c r="P647" s="116"/>
      <c r="Q647" s="133"/>
      <c r="R647" s="133"/>
      <c r="S647" s="133"/>
      <c r="T647" s="133">
        <f>'Optional Adjustment 2'!G647*$T$1</f>
        <v>0</v>
      </c>
      <c r="U647" s="133">
        <f>'Optional Adjustment 3'!G647*$U$1</f>
        <v>0</v>
      </c>
      <c r="V647" s="133">
        <f>'Optional Adjustment 4'!G647*$V$1</f>
        <v>0</v>
      </c>
      <c r="W647" s="133">
        <f>'Optional Adjustment 5'!G647*$W$1</f>
        <v>0</v>
      </c>
      <c r="X647" s="133">
        <f>'Optional Adjustment 6'!G647*$X$1</f>
        <v>0</v>
      </c>
      <c r="Y647" s="133">
        <f>'Optional Adjustment 7'!G647*$Y$1</f>
        <v>0</v>
      </c>
      <c r="Z647" s="133">
        <f>'Optional Adjustment 8'!G647*$Z$1</f>
        <v>0</v>
      </c>
      <c r="AA647" s="133">
        <f>'Optional Adjustment 9'!G647*$AA$1</f>
        <v>0</v>
      </c>
      <c r="AB647" s="133">
        <f>'Optional Adjustment 10'!G647*$AB$1</f>
        <v>0</v>
      </c>
      <c r="AC647" s="133">
        <f>'Optional Adjustment 11'!G647*$AC$1</f>
        <v>0</v>
      </c>
      <c r="AD647" s="133">
        <f>'Optional Adjustment 12'!G647*$AD$1</f>
        <v>0</v>
      </c>
      <c r="AE647" s="133">
        <f>'Optional Adjustment 13'!G647*$AE$1</f>
        <v>0</v>
      </c>
      <c r="AF647" s="133">
        <f>'Optional Adjustment 14'!G647*$AF$1</f>
        <v>0</v>
      </c>
      <c r="AG647" s="133">
        <f>'Optional Adjustment 15'!G647*$AG$1</f>
        <v>0</v>
      </c>
      <c r="AH647" s="133">
        <f>'Optional Adjustment 16'!G647*$AH$1</f>
        <v>0</v>
      </c>
      <c r="AI647" s="133">
        <f>'Optional Adjustment 17'!G647*$AI$1</f>
        <v>0</v>
      </c>
      <c r="AJ647" s="133">
        <f>'Optional Adjustment 18'!G647*$AJ$1</f>
        <v>0</v>
      </c>
      <c r="AK647" s="133">
        <f>'Optional Adjustment 19'!G647*$AK$1</f>
        <v>0</v>
      </c>
      <c r="AL647" s="133">
        <f>'Optional Adjustment 20'!G647*$AL$1</f>
        <v>0</v>
      </c>
      <c r="AM647" s="133">
        <f>'Optional Adjustment 21'!G647*$AM$1</f>
        <v>0</v>
      </c>
      <c r="AN647" s="133">
        <f>'Optional Adjustment 22'!G647*$AN$1</f>
        <v>0</v>
      </c>
      <c r="AO647" s="133">
        <f>'Optional Adjustment 23'!G647*$AO$1</f>
        <v>0</v>
      </c>
      <c r="AP647" s="133">
        <f>'Optional Adjustment 24'!G647*$AP$1</f>
        <v>0</v>
      </c>
      <c r="AQ647" s="133">
        <f>'Optional Adjustment 25'!G647*$AQ$1</f>
        <v>0</v>
      </c>
      <c r="AR647" s="133">
        <f>'Optional Adjustment 26'!G647*$AR$1</f>
        <v>0</v>
      </c>
      <c r="AS647" s="133">
        <f>'Optional Adjustment 27'!G647*$AS$1</f>
        <v>0</v>
      </c>
      <c r="AT647" s="133"/>
      <c r="AU647" s="133">
        <f>SUM(F647:AT647)</f>
        <v>-36990.0815567401</v>
      </c>
      <c r="AV647" s="116"/>
      <c r="AW647" s="133">
        <f>SUM(AU647:AU647)</f>
        <v>-36990.0815567401</v>
      </c>
      <c r="AX647" s="133">
        <f>+AW647-'ROR-Model'!G648</f>
        <v>0</v>
      </c>
    </row>
    <row r="648" spans="1:50" ht="13.5" thickBot="1">
      <c r="A648" s="330"/>
      <c r="B648" s="106"/>
      <c r="C648" s="106"/>
      <c r="D648" s="106"/>
      <c r="E648" s="331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62"/>
      <c r="R648" s="262"/>
      <c r="S648" s="558"/>
      <c r="T648" s="558"/>
      <c r="U648" s="558"/>
      <c r="V648" s="558"/>
      <c r="W648" s="558"/>
      <c r="X648" s="558"/>
      <c r="Y648" s="558"/>
      <c r="Z648" s="558"/>
      <c r="AA648" s="558"/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262"/>
      <c r="AV648" s="236"/>
      <c r="AW648" s="262"/>
      <c r="AX648" s="262">
        <f>+AW648-'ROR-Model'!G649</f>
        <v>0</v>
      </c>
    </row>
    <row r="649" spans="1:50">
      <c r="A649" s="330"/>
      <c r="B649" s="61" t="s">
        <v>373</v>
      </c>
      <c r="C649" s="106"/>
      <c r="D649" s="106"/>
      <c r="E649" s="331"/>
      <c r="F649" s="116">
        <f>SUM(F646:F647)</f>
        <v>0</v>
      </c>
      <c r="G649" s="116">
        <f>SUM(G646:G648)</f>
        <v>-37579.583950740096</v>
      </c>
      <c r="H649" s="116">
        <f>H1*SUM(H646:H647)</f>
        <v>0</v>
      </c>
      <c r="I649" s="116">
        <f>SUM(I646:I647)</f>
        <v>0</v>
      </c>
      <c r="J649" s="116">
        <f t="shared" ref="J649:Q649" si="819">SUM(J646:J647)</f>
        <v>0</v>
      </c>
      <c r="K649" s="116">
        <f t="shared" si="819"/>
        <v>0</v>
      </c>
      <c r="L649" s="116">
        <f t="shared" si="819"/>
        <v>0</v>
      </c>
      <c r="M649" s="116">
        <f t="shared" si="819"/>
        <v>0</v>
      </c>
      <c r="N649" s="116">
        <f t="shared" si="819"/>
        <v>0</v>
      </c>
      <c r="O649" s="116">
        <f t="shared" si="819"/>
        <v>0</v>
      </c>
      <c r="P649" s="116">
        <f t="shared" si="819"/>
        <v>0</v>
      </c>
      <c r="Q649" s="133">
        <f t="shared" si="819"/>
        <v>0</v>
      </c>
      <c r="R649" s="133">
        <f t="shared" ref="R649" si="820">SUM(R646:R647)</f>
        <v>0</v>
      </c>
      <c r="S649" s="133"/>
      <c r="T649" s="133">
        <f t="shared" ref="T649:AG649" si="821">SUM(T646:T647)</f>
        <v>0</v>
      </c>
      <c r="U649" s="133">
        <f t="shared" si="821"/>
        <v>0</v>
      </c>
      <c r="V649" s="133">
        <f t="shared" si="821"/>
        <v>0</v>
      </c>
      <c r="W649" s="133">
        <f t="shared" si="821"/>
        <v>0</v>
      </c>
      <c r="X649" s="133">
        <f t="shared" si="821"/>
        <v>0</v>
      </c>
      <c r="Y649" s="133">
        <f t="shared" si="821"/>
        <v>0</v>
      </c>
      <c r="Z649" s="133">
        <f t="shared" si="821"/>
        <v>0</v>
      </c>
      <c r="AA649" s="133">
        <f t="shared" si="821"/>
        <v>0</v>
      </c>
      <c r="AB649" s="133">
        <f t="shared" si="821"/>
        <v>0</v>
      </c>
      <c r="AC649" s="133">
        <f t="shared" si="821"/>
        <v>0</v>
      </c>
      <c r="AD649" s="133">
        <f t="shared" si="821"/>
        <v>0</v>
      </c>
      <c r="AE649" s="133">
        <f t="shared" si="821"/>
        <v>0</v>
      </c>
      <c r="AF649" s="133">
        <f t="shared" si="821"/>
        <v>0</v>
      </c>
      <c r="AG649" s="133">
        <f t="shared" si="821"/>
        <v>0</v>
      </c>
      <c r="AH649" s="133">
        <f t="shared" ref="AH649:AK649" si="822">SUM(AH646:AH647)</f>
        <v>0</v>
      </c>
      <c r="AI649" s="133">
        <f t="shared" si="822"/>
        <v>0</v>
      </c>
      <c r="AJ649" s="133">
        <f t="shared" si="822"/>
        <v>0</v>
      </c>
      <c r="AK649" s="133">
        <f t="shared" si="822"/>
        <v>0</v>
      </c>
      <c r="AL649" s="133">
        <f t="shared" ref="AL649:AP649" si="823">SUM(AL646:AL647)</f>
        <v>0</v>
      </c>
      <c r="AM649" s="133">
        <f t="shared" si="823"/>
        <v>0</v>
      </c>
      <c r="AN649" s="133">
        <f t="shared" si="823"/>
        <v>0</v>
      </c>
      <c r="AO649" s="133">
        <f t="shared" si="823"/>
        <v>0</v>
      </c>
      <c r="AP649" s="133">
        <f t="shared" si="823"/>
        <v>0</v>
      </c>
      <c r="AQ649" s="133">
        <f t="shared" ref="AQ649:AS649" si="824">SUM(AQ646:AQ647)</f>
        <v>0</v>
      </c>
      <c r="AR649" s="133">
        <f t="shared" si="824"/>
        <v>0</v>
      </c>
      <c r="AS649" s="133">
        <f t="shared" si="824"/>
        <v>0</v>
      </c>
      <c r="AT649" s="133"/>
      <c r="AU649" s="133">
        <f>SUM(AU646:AU647)</f>
        <v>-37579.583950740096</v>
      </c>
      <c r="AV649" s="116"/>
      <c r="AW649" s="133">
        <f>SUM(AW646:AW647)</f>
        <v>-37579.583950740096</v>
      </c>
      <c r="AX649" s="133">
        <f>+AW649-'ROR-Model'!G650</f>
        <v>0</v>
      </c>
    </row>
    <row r="650" spans="1:50">
      <c r="A650" s="330"/>
      <c r="B650" s="106"/>
      <c r="C650" s="106"/>
      <c r="D650" s="106"/>
      <c r="E650" s="331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16"/>
      <c r="AW650" s="133"/>
      <c r="AX650" s="133">
        <f>+AW650-'ROR-Model'!G651</f>
        <v>0</v>
      </c>
    </row>
    <row r="651" spans="1:50">
      <c r="A651" s="59" t="s">
        <v>374</v>
      </c>
      <c r="B651" s="106"/>
      <c r="C651" s="106"/>
      <c r="D651" s="106"/>
      <c r="E651" s="331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16"/>
      <c r="AW651" s="133"/>
      <c r="AX651" s="133">
        <f>+AW651-'ROR-Model'!G652</f>
        <v>0</v>
      </c>
    </row>
    <row r="652" spans="1:50">
      <c r="A652" s="330"/>
      <c r="B652" s="106" t="s">
        <v>838</v>
      </c>
      <c r="C652" s="106"/>
      <c r="D652" s="106"/>
      <c r="E652" s="331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16"/>
      <c r="AW652" s="133"/>
      <c r="AX652" s="133">
        <f>+AW652-'ROR-Model'!G653</f>
        <v>0</v>
      </c>
    </row>
    <row r="653" spans="1:50">
      <c r="A653" s="134">
        <v>870</v>
      </c>
      <c r="B653" s="106" t="s">
        <v>375</v>
      </c>
      <c r="C653" s="106"/>
      <c r="D653" s="106"/>
      <c r="E653" s="331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16"/>
      <c r="AW653" s="133"/>
      <c r="AX653" s="133">
        <f>+AW653-'ROR-Model'!G654</f>
        <v>0</v>
      </c>
    </row>
    <row r="654" spans="1:50">
      <c r="A654" s="134"/>
      <c r="B654" s="106"/>
      <c r="C654" s="106" t="s">
        <v>14</v>
      </c>
      <c r="D654" s="106"/>
      <c r="E654" s="331"/>
      <c r="F654" s="116"/>
      <c r="G654" s="116">
        <f>$G$1*EXPENSES!L146</f>
        <v>-248241.66211456433</v>
      </c>
      <c r="H654" s="116"/>
      <c r="I654" s="116"/>
      <c r="J654" s="116"/>
      <c r="K654" s="116"/>
      <c r="L654" s="116"/>
      <c r="M654" s="116"/>
      <c r="N654" s="116"/>
      <c r="O654" s="116"/>
      <c r="P654" s="116"/>
      <c r="Q654" s="133"/>
      <c r="R654" s="133"/>
      <c r="S654" s="133"/>
      <c r="T654" s="133">
        <f>'Optional Adjustment 2'!G654*$T$1</f>
        <v>0</v>
      </c>
      <c r="U654" s="133">
        <f>'Optional Adjustment 3'!G654*$U$1</f>
        <v>0</v>
      </c>
      <c r="V654" s="133">
        <f>'Optional Adjustment 4'!G654*$V$1</f>
        <v>0</v>
      </c>
      <c r="W654" s="133">
        <f>'Optional Adjustment 5'!G654*$W$1</f>
        <v>0</v>
      </c>
      <c r="X654" s="133">
        <f>'Optional Adjustment 6'!G654*$X$1</f>
        <v>0</v>
      </c>
      <c r="Y654" s="133">
        <f>'Optional Adjustment 7'!G654*$Y$1</f>
        <v>0</v>
      </c>
      <c r="Z654" s="133">
        <f>'Optional Adjustment 8'!G654*$Z$1</f>
        <v>0</v>
      </c>
      <c r="AA654" s="133">
        <f>'Optional Adjustment 9'!G654*$AA$1</f>
        <v>0</v>
      </c>
      <c r="AB654" s="133">
        <f>'Optional Adjustment 10'!G654*$AB$1</f>
        <v>0</v>
      </c>
      <c r="AC654" s="133">
        <f>'Optional Adjustment 11'!G654*$AC$1</f>
        <v>0</v>
      </c>
      <c r="AD654" s="133">
        <f>'Optional Adjustment 12'!G654*$AD$1</f>
        <v>0</v>
      </c>
      <c r="AE654" s="133">
        <f>'Optional Adjustment 13'!G654*$AE$1</f>
        <v>0</v>
      </c>
      <c r="AF654" s="133">
        <f>'Optional Adjustment 14'!G654*$AF$1</f>
        <v>0</v>
      </c>
      <c r="AG654" s="133">
        <f>'Optional Adjustment 15'!G654*$AG$1</f>
        <v>0</v>
      </c>
      <c r="AH654" s="133">
        <f>'Optional Adjustment 16'!G654*$AH$1</f>
        <v>0</v>
      </c>
      <c r="AI654" s="133">
        <f>'Optional Adjustment 17'!G654*$AI$1</f>
        <v>0</v>
      </c>
      <c r="AJ654" s="133">
        <f>'Optional Adjustment 18'!G654*$AJ$1</f>
        <v>0</v>
      </c>
      <c r="AK654" s="133">
        <f>'Optional Adjustment 19'!G654*$AK$1</f>
        <v>0</v>
      </c>
      <c r="AL654" s="133">
        <f>'Optional Adjustment 20'!G654*$AL$1</f>
        <v>0</v>
      </c>
      <c r="AM654" s="133">
        <f>'Optional Adjustment 21'!G654*$AM$1</f>
        <v>0</v>
      </c>
      <c r="AN654" s="133">
        <f>'Optional Adjustment 22'!G654*$AN$1</f>
        <v>0</v>
      </c>
      <c r="AO654" s="133">
        <f>'Optional Adjustment 23'!G654*$AO$1</f>
        <v>0</v>
      </c>
      <c r="AP654" s="133">
        <f>'Optional Adjustment 24'!G654*$AP$1</f>
        <v>0</v>
      </c>
      <c r="AQ654" s="133">
        <f>'Optional Adjustment 25'!G654*$AQ$1</f>
        <v>0</v>
      </c>
      <c r="AR654" s="133">
        <f>'Optional Adjustment 26'!G654*$AR$1</f>
        <v>0</v>
      </c>
      <c r="AS654" s="133">
        <f>'Optional Adjustment 27'!G654*$AS$1</f>
        <v>0</v>
      </c>
      <c r="AT654" s="133"/>
      <c r="AU654" s="133">
        <f>SUM(F654:AT654)</f>
        <v>-248241.66211456433</v>
      </c>
      <c r="AV654" s="116"/>
      <c r="AW654" s="133">
        <f>SUM(AU654:AU654)</f>
        <v>-248241.66211456433</v>
      </c>
      <c r="AX654" s="133">
        <f>+AW654-'ROR-Model'!G655</f>
        <v>0</v>
      </c>
    </row>
    <row r="655" spans="1:50">
      <c r="A655" s="134"/>
      <c r="B655" s="106"/>
      <c r="C655" s="106" t="s">
        <v>24</v>
      </c>
      <c r="D655" s="106"/>
      <c r="E655" s="331"/>
      <c r="F655" s="116"/>
      <c r="G655" s="116">
        <f>$G$1*EXPENSES!L147</f>
        <v>383.59928913740441</v>
      </c>
      <c r="H655" s="116"/>
      <c r="I655" s="116"/>
      <c r="J655" s="116"/>
      <c r="K655" s="116"/>
      <c r="L655" s="116"/>
      <c r="M655" s="116"/>
      <c r="N655" s="116"/>
      <c r="O655" s="116"/>
      <c r="P655" s="116"/>
      <c r="Q655" s="133"/>
      <c r="R655" s="133"/>
      <c r="S655" s="133"/>
      <c r="T655" s="133">
        <f>'Optional Adjustment 2'!G655*$T$1</f>
        <v>0</v>
      </c>
      <c r="U655" s="133">
        <f>'Optional Adjustment 3'!G655*$U$1</f>
        <v>0</v>
      </c>
      <c r="V655" s="133">
        <f>'Optional Adjustment 4'!G655*$V$1</f>
        <v>0</v>
      </c>
      <c r="W655" s="133">
        <f>'Optional Adjustment 5'!G655*$W$1</f>
        <v>0</v>
      </c>
      <c r="X655" s="133">
        <f>'Optional Adjustment 6'!G655*$X$1</f>
        <v>0</v>
      </c>
      <c r="Y655" s="133">
        <f>'Optional Adjustment 7'!G655*$Y$1</f>
        <v>0</v>
      </c>
      <c r="Z655" s="133">
        <f>'Optional Adjustment 8'!G655*$Z$1</f>
        <v>0</v>
      </c>
      <c r="AA655" s="133">
        <f>'Optional Adjustment 9'!G655*$AA$1</f>
        <v>0</v>
      </c>
      <c r="AB655" s="133">
        <f>'Optional Adjustment 10'!G655*$AB$1</f>
        <v>0</v>
      </c>
      <c r="AC655" s="133">
        <f>'Optional Adjustment 11'!G655*$AC$1</f>
        <v>0</v>
      </c>
      <c r="AD655" s="133">
        <f>'Optional Adjustment 12'!G655*$AD$1</f>
        <v>0</v>
      </c>
      <c r="AE655" s="133">
        <f>'Optional Adjustment 13'!G655*$AE$1</f>
        <v>0</v>
      </c>
      <c r="AF655" s="133">
        <f>'Optional Adjustment 14'!G655*$AF$1</f>
        <v>0</v>
      </c>
      <c r="AG655" s="133">
        <f>'Optional Adjustment 15'!G655*$AG$1</f>
        <v>0</v>
      </c>
      <c r="AH655" s="133">
        <f>'Optional Adjustment 16'!G655*$AH$1</f>
        <v>0</v>
      </c>
      <c r="AI655" s="133">
        <f>'Optional Adjustment 17'!G655*$AI$1</f>
        <v>0</v>
      </c>
      <c r="AJ655" s="133">
        <f>'Optional Adjustment 18'!G655*$AJ$1</f>
        <v>0</v>
      </c>
      <c r="AK655" s="133">
        <f>'Optional Adjustment 19'!G655*$AK$1</f>
        <v>0</v>
      </c>
      <c r="AL655" s="133">
        <f>'Optional Adjustment 20'!G655*$AL$1</f>
        <v>0</v>
      </c>
      <c r="AM655" s="133">
        <f>'Optional Adjustment 21'!G655*$AM$1</f>
        <v>0</v>
      </c>
      <c r="AN655" s="133">
        <f>'Optional Adjustment 22'!G655*$AN$1</f>
        <v>0</v>
      </c>
      <c r="AO655" s="133">
        <f>'Optional Adjustment 23'!G655*$AO$1</f>
        <v>0</v>
      </c>
      <c r="AP655" s="133">
        <f>'Optional Adjustment 24'!G655*$AP$1</f>
        <v>0</v>
      </c>
      <c r="AQ655" s="133">
        <f>'Optional Adjustment 25'!G655*$AQ$1</f>
        <v>0</v>
      </c>
      <c r="AR655" s="133">
        <f>'Optional Adjustment 26'!G655*$AR$1</f>
        <v>0</v>
      </c>
      <c r="AS655" s="133">
        <f>'Optional Adjustment 27'!G655*$AS$1</f>
        <v>0</v>
      </c>
      <c r="AT655" s="133"/>
      <c r="AU655" s="133">
        <f>SUM(F655:AT655)</f>
        <v>383.59928913740441</v>
      </c>
      <c r="AV655" s="116"/>
      <c r="AW655" s="133">
        <f>SUM(AU655:AU655)</f>
        <v>383.59928913740441</v>
      </c>
      <c r="AX655" s="133">
        <f>+AW655-'ROR-Model'!G656</f>
        <v>0</v>
      </c>
    </row>
    <row r="656" spans="1:50">
      <c r="A656" s="134"/>
      <c r="B656" s="106"/>
      <c r="C656" s="106" t="s">
        <v>170</v>
      </c>
      <c r="D656" s="106"/>
      <c r="E656" s="331"/>
      <c r="F656" s="131">
        <f>SUM(F654:F655)</f>
        <v>0</v>
      </c>
      <c r="G656" s="131">
        <f>SUM(G654:G655)</f>
        <v>-247858.06282542692</v>
      </c>
      <c r="H656" s="131">
        <f>H1*SUM(H654:H655)</f>
        <v>0</v>
      </c>
      <c r="I656" s="131">
        <f>SUM(I654:I655)</f>
        <v>0</v>
      </c>
      <c r="J656" s="131">
        <f t="shared" ref="J656:P656" si="825">SUM(J654:J655)</f>
        <v>0</v>
      </c>
      <c r="K656" s="131">
        <f t="shared" si="825"/>
        <v>0</v>
      </c>
      <c r="L656" s="131">
        <f t="shared" si="825"/>
        <v>0</v>
      </c>
      <c r="M656" s="131">
        <f t="shared" si="825"/>
        <v>0</v>
      </c>
      <c r="N656" s="131">
        <f t="shared" si="825"/>
        <v>0</v>
      </c>
      <c r="O656" s="131">
        <f t="shared" si="825"/>
        <v>0</v>
      </c>
      <c r="P656" s="131">
        <f t="shared" si="825"/>
        <v>0</v>
      </c>
      <c r="Q656" s="241">
        <f>SUM(Q654:Q655)</f>
        <v>0</v>
      </c>
      <c r="R656" s="241">
        <f>SUM(R654:R655)</f>
        <v>0</v>
      </c>
      <c r="S656" s="556"/>
      <c r="T656" s="556">
        <f t="shared" ref="T656:AG656" si="826">SUM(T654:T655)</f>
        <v>0</v>
      </c>
      <c r="U656" s="556">
        <f t="shared" si="826"/>
        <v>0</v>
      </c>
      <c r="V656" s="556">
        <f t="shared" si="826"/>
        <v>0</v>
      </c>
      <c r="W656" s="556">
        <f t="shared" si="826"/>
        <v>0</v>
      </c>
      <c r="X656" s="556">
        <f t="shared" si="826"/>
        <v>0</v>
      </c>
      <c r="Y656" s="556">
        <f t="shared" si="826"/>
        <v>0</v>
      </c>
      <c r="Z656" s="556">
        <f t="shared" si="826"/>
        <v>0</v>
      </c>
      <c r="AA656" s="556">
        <f t="shared" si="826"/>
        <v>0</v>
      </c>
      <c r="AB656" s="556">
        <f t="shared" si="826"/>
        <v>0</v>
      </c>
      <c r="AC656" s="556">
        <f t="shared" si="826"/>
        <v>0</v>
      </c>
      <c r="AD656" s="556">
        <f t="shared" si="826"/>
        <v>0</v>
      </c>
      <c r="AE656" s="556">
        <f t="shared" si="826"/>
        <v>0</v>
      </c>
      <c r="AF656" s="556">
        <f t="shared" si="826"/>
        <v>0</v>
      </c>
      <c r="AG656" s="556">
        <f t="shared" si="826"/>
        <v>0</v>
      </c>
      <c r="AH656" s="556">
        <f t="shared" ref="AH656:AK656" si="827">SUM(AH654:AH655)</f>
        <v>0</v>
      </c>
      <c r="AI656" s="556">
        <f t="shared" si="827"/>
        <v>0</v>
      </c>
      <c r="AJ656" s="556">
        <f t="shared" si="827"/>
        <v>0</v>
      </c>
      <c r="AK656" s="556">
        <f t="shared" si="827"/>
        <v>0</v>
      </c>
      <c r="AL656" s="556">
        <f t="shared" ref="AL656:AP656" si="828">SUM(AL654:AL655)</f>
        <v>0</v>
      </c>
      <c r="AM656" s="556">
        <f t="shared" si="828"/>
        <v>0</v>
      </c>
      <c r="AN656" s="556">
        <f t="shared" si="828"/>
        <v>0</v>
      </c>
      <c r="AO656" s="556">
        <f t="shared" si="828"/>
        <v>0</v>
      </c>
      <c r="AP656" s="556">
        <f t="shared" si="828"/>
        <v>0</v>
      </c>
      <c r="AQ656" s="556">
        <f t="shared" ref="AQ656:AS656" si="829">SUM(AQ654:AQ655)</f>
        <v>0</v>
      </c>
      <c r="AR656" s="556">
        <f t="shared" si="829"/>
        <v>0</v>
      </c>
      <c r="AS656" s="556">
        <f t="shared" si="829"/>
        <v>0</v>
      </c>
      <c r="AT656" s="556"/>
      <c r="AU656" s="241">
        <f>SUM(AU654:AU655)</f>
        <v>-247858.06282542692</v>
      </c>
      <c r="AV656" s="131"/>
      <c r="AW656" s="241">
        <f>SUM(AW654:AW655)</f>
        <v>-247858.06282542692</v>
      </c>
      <c r="AX656" s="241">
        <f>+AW656-'ROR-Model'!G657</f>
        <v>0</v>
      </c>
    </row>
    <row r="657" spans="1:50">
      <c r="A657" s="134"/>
      <c r="B657" s="106"/>
      <c r="C657" s="106"/>
      <c r="D657" s="106"/>
      <c r="E657" s="331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16"/>
      <c r="AW657" s="133"/>
      <c r="AX657" s="133">
        <f>+AW657-'ROR-Model'!G658</f>
        <v>0</v>
      </c>
    </row>
    <row r="658" spans="1:50">
      <c r="A658" s="134">
        <v>871</v>
      </c>
      <c r="B658" s="106" t="s">
        <v>376</v>
      </c>
      <c r="C658" s="106"/>
      <c r="D658" s="106"/>
      <c r="E658" s="331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16"/>
      <c r="AW658" s="133"/>
      <c r="AX658" s="133">
        <f>+AW658-'ROR-Model'!G659</f>
        <v>0</v>
      </c>
    </row>
    <row r="659" spans="1:50">
      <c r="A659" s="134"/>
      <c r="B659" s="106"/>
      <c r="C659" s="106" t="s">
        <v>14</v>
      </c>
      <c r="D659" s="106"/>
      <c r="E659" s="331"/>
      <c r="F659" s="116"/>
      <c r="G659" s="116">
        <f>$G$1*EXPENSES!L151</f>
        <v>-68675.011910663452</v>
      </c>
      <c r="H659" s="116"/>
      <c r="I659" s="116"/>
      <c r="J659" s="116"/>
      <c r="K659" s="116"/>
      <c r="L659" s="116"/>
      <c r="M659" s="116"/>
      <c r="N659" s="116"/>
      <c r="O659" s="116"/>
      <c r="P659" s="116"/>
      <c r="Q659" s="133"/>
      <c r="R659" s="133"/>
      <c r="S659" s="133"/>
      <c r="T659" s="133">
        <f>'Optional Adjustment 2'!G659*$T$1</f>
        <v>0</v>
      </c>
      <c r="U659" s="133">
        <f>'Optional Adjustment 3'!G659*$U$1</f>
        <v>0</v>
      </c>
      <c r="V659" s="133">
        <f>'Optional Adjustment 4'!G659*$V$1</f>
        <v>0</v>
      </c>
      <c r="W659" s="133">
        <f>'Optional Adjustment 5'!G659*$W$1</f>
        <v>0</v>
      </c>
      <c r="X659" s="133">
        <f>'Optional Adjustment 6'!G659*$X$1</f>
        <v>0</v>
      </c>
      <c r="Y659" s="133">
        <f>'Optional Adjustment 7'!G659*$Y$1</f>
        <v>0</v>
      </c>
      <c r="Z659" s="133">
        <f>'Optional Adjustment 8'!G659*$Z$1</f>
        <v>0</v>
      </c>
      <c r="AA659" s="133">
        <f>'Optional Adjustment 9'!G659*$AA$1</f>
        <v>0</v>
      </c>
      <c r="AB659" s="133">
        <f>'Optional Adjustment 10'!G659*$AB$1</f>
        <v>0</v>
      </c>
      <c r="AC659" s="133">
        <f>'Optional Adjustment 11'!G659*$AC$1</f>
        <v>0</v>
      </c>
      <c r="AD659" s="133">
        <f>'Optional Adjustment 12'!G659*$AD$1</f>
        <v>0</v>
      </c>
      <c r="AE659" s="133">
        <f>'Optional Adjustment 13'!G659*$AE$1</f>
        <v>0</v>
      </c>
      <c r="AF659" s="133">
        <f>'Optional Adjustment 14'!G659*$AF$1</f>
        <v>0</v>
      </c>
      <c r="AG659" s="133">
        <f>'Optional Adjustment 15'!G659*$AG$1</f>
        <v>0</v>
      </c>
      <c r="AH659" s="133">
        <f>'Optional Adjustment 16'!G659*$AH$1</f>
        <v>0</v>
      </c>
      <c r="AI659" s="133">
        <f>'Optional Adjustment 17'!G659*$AI$1</f>
        <v>0</v>
      </c>
      <c r="AJ659" s="133">
        <f>'Optional Adjustment 18'!G659*$AJ$1</f>
        <v>0</v>
      </c>
      <c r="AK659" s="133">
        <f>'Optional Adjustment 19'!G659*$AK$1</f>
        <v>0</v>
      </c>
      <c r="AL659" s="133">
        <f>'Optional Adjustment 20'!G659*$AL$1</f>
        <v>0</v>
      </c>
      <c r="AM659" s="133">
        <f>'Optional Adjustment 21'!G659*$AM$1</f>
        <v>0</v>
      </c>
      <c r="AN659" s="133">
        <f>'Optional Adjustment 22'!G659*$AN$1</f>
        <v>0</v>
      </c>
      <c r="AO659" s="133">
        <f>'Optional Adjustment 23'!G659*$AO$1</f>
        <v>0</v>
      </c>
      <c r="AP659" s="133">
        <f>'Optional Adjustment 24'!G659*$AP$1</f>
        <v>0</v>
      </c>
      <c r="AQ659" s="133">
        <f>'Optional Adjustment 25'!G659*$AQ$1</f>
        <v>0</v>
      </c>
      <c r="AR659" s="133">
        <f>'Optional Adjustment 26'!G659*$AR$1</f>
        <v>0</v>
      </c>
      <c r="AS659" s="133">
        <f>'Optional Adjustment 27'!G659*$AS$1</f>
        <v>0</v>
      </c>
      <c r="AT659" s="133"/>
      <c r="AU659" s="133">
        <f>SUM(F659:AT659)</f>
        <v>-68675.011910663452</v>
      </c>
      <c r="AV659" s="116"/>
      <c r="AW659" s="133">
        <f>SUM(AU659:AU659)</f>
        <v>-68675.011910663452</v>
      </c>
      <c r="AX659" s="133">
        <f>+AW659-'ROR-Model'!G660</f>
        <v>0</v>
      </c>
    </row>
    <row r="660" spans="1:50">
      <c r="A660" s="134"/>
      <c r="B660" s="106"/>
      <c r="C660" s="106" t="s">
        <v>24</v>
      </c>
      <c r="D660" s="106"/>
      <c r="E660" s="331"/>
      <c r="F660" s="116"/>
      <c r="G660" s="116">
        <f>$G$1*EXPENSES!L152</f>
        <v>961.77612019999651</v>
      </c>
      <c r="H660" s="116"/>
      <c r="I660" s="116"/>
      <c r="J660" s="116"/>
      <c r="K660" s="116"/>
      <c r="L660" s="116"/>
      <c r="M660" s="116"/>
      <c r="N660" s="116"/>
      <c r="O660" s="116"/>
      <c r="P660" s="116"/>
      <c r="Q660" s="133"/>
      <c r="R660" s="133"/>
      <c r="S660" s="133"/>
      <c r="T660" s="133">
        <f>'Optional Adjustment 2'!G660*$T$1</f>
        <v>0</v>
      </c>
      <c r="U660" s="133">
        <f>'Optional Adjustment 3'!G660*$U$1</f>
        <v>0</v>
      </c>
      <c r="V660" s="133">
        <f>'Optional Adjustment 4'!G660*$V$1</f>
        <v>0</v>
      </c>
      <c r="W660" s="133">
        <f>'Optional Adjustment 5'!G660*$W$1</f>
        <v>0</v>
      </c>
      <c r="X660" s="133">
        <f>'Optional Adjustment 6'!G660*$X$1</f>
        <v>0</v>
      </c>
      <c r="Y660" s="133">
        <f>'Optional Adjustment 7'!G660*$Y$1</f>
        <v>0</v>
      </c>
      <c r="Z660" s="133">
        <f>'Optional Adjustment 8'!G660*$Z$1</f>
        <v>0</v>
      </c>
      <c r="AA660" s="133">
        <f>'Optional Adjustment 9'!G660*$AA$1</f>
        <v>0</v>
      </c>
      <c r="AB660" s="133">
        <f>'Optional Adjustment 10'!G660*$AB$1</f>
        <v>0</v>
      </c>
      <c r="AC660" s="133">
        <f>'Optional Adjustment 11'!G660*$AC$1</f>
        <v>0</v>
      </c>
      <c r="AD660" s="133">
        <f>'Optional Adjustment 12'!G660*$AD$1</f>
        <v>0</v>
      </c>
      <c r="AE660" s="133">
        <f>'Optional Adjustment 13'!G660*$AE$1</f>
        <v>0</v>
      </c>
      <c r="AF660" s="133">
        <f>'Optional Adjustment 14'!G660*$AF$1</f>
        <v>0</v>
      </c>
      <c r="AG660" s="133">
        <f>'Optional Adjustment 15'!G660*$AG$1</f>
        <v>0</v>
      </c>
      <c r="AH660" s="133">
        <f>'Optional Adjustment 16'!G660*$AH$1</f>
        <v>0</v>
      </c>
      <c r="AI660" s="133">
        <f>'Optional Adjustment 17'!G660*$AI$1</f>
        <v>0</v>
      </c>
      <c r="AJ660" s="133">
        <f>'Optional Adjustment 18'!G660*$AJ$1</f>
        <v>0</v>
      </c>
      <c r="AK660" s="133">
        <f>'Optional Adjustment 19'!G660*$AK$1</f>
        <v>0</v>
      </c>
      <c r="AL660" s="133">
        <f>'Optional Adjustment 20'!G660*$AL$1</f>
        <v>0</v>
      </c>
      <c r="AM660" s="133">
        <f>'Optional Adjustment 21'!G660*$AM$1</f>
        <v>0</v>
      </c>
      <c r="AN660" s="133">
        <f>'Optional Adjustment 22'!G660*$AN$1</f>
        <v>0</v>
      </c>
      <c r="AO660" s="133">
        <f>'Optional Adjustment 23'!G660*$AO$1</f>
        <v>0</v>
      </c>
      <c r="AP660" s="133">
        <f>'Optional Adjustment 24'!G660*$AP$1</f>
        <v>0</v>
      </c>
      <c r="AQ660" s="133">
        <f>'Optional Adjustment 25'!G660*$AQ$1</f>
        <v>0</v>
      </c>
      <c r="AR660" s="133">
        <f>'Optional Adjustment 26'!G660*$AR$1</f>
        <v>0</v>
      </c>
      <c r="AS660" s="133">
        <f>'Optional Adjustment 27'!G660*$AS$1</f>
        <v>0</v>
      </c>
      <c r="AT660" s="133"/>
      <c r="AU660" s="133">
        <f>SUM(F660:AT660)</f>
        <v>961.77612019999651</v>
      </c>
      <c r="AV660" s="116"/>
      <c r="AW660" s="133">
        <f>SUM(AU660:AU660)</f>
        <v>961.77612019999651</v>
      </c>
      <c r="AX660" s="133">
        <f>+AW660-'ROR-Model'!G661</f>
        <v>0</v>
      </c>
    </row>
    <row r="661" spans="1:50">
      <c r="A661" s="134"/>
      <c r="B661" s="106"/>
      <c r="C661" s="106" t="s">
        <v>170</v>
      </c>
      <c r="D661" s="106"/>
      <c r="E661" s="331"/>
      <c r="F661" s="131">
        <f>SUM(F659:F660)</f>
        <v>0</v>
      </c>
      <c r="G661" s="131">
        <f>SUM(G659:G660)</f>
        <v>-67713.235790463455</v>
      </c>
      <c r="H661" s="131">
        <f>H1*SUM(H659:H660)</f>
        <v>0</v>
      </c>
      <c r="I661" s="131">
        <f>SUM(I659:I660)</f>
        <v>0</v>
      </c>
      <c r="J661" s="131">
        <f t="shared" ref="J661:P661" si="830">SUM(J659:J660)</f>
        <v>0</v>
      </c>
      <c r="K661" s="131">
        <f t="shared" si="830"/>
        <v>0</v>
      </c>
      <c r="L661" s="131">
        <f t="shared" si="830"/>
        <v>0</v>
      </c>
      <c r="M661" s="131">
        <f t="shared" si="830"/>
        <v>0</v>
      </c>
      <c r="N661" s="131">
        <f t="shared" si="830"/>
        <v>0</v>
      </c>
      <c r="O661" s="131">
        <f t="shared" si="830"/>
        <v>0</v>
      </c>
      <c r="P661" s="131">
        <f t="shared" si="830"/>
        <v>0</v>
      </c>
      <c r="Q661" s="241">
        <f>SUM(Q659:Q660)</f>
        <v>0</v>
      </c>
      <c r="R661" s="241">
        <f>SUM(R659:R660)</f>
        <v>0</v>
      </c>
      <c r="S661" s="556"/>
      <c r="T661" s="556">
        <f t="shared" ref="T661:AG661" si="831">SUM(T659:T660)</f>
        <v>0</v>
      </c>
      <c r="U661" s="556">
        <f t="shared" si="831"/>
        <v>0</v>
      </c>
      <c r="V661" s="556">
        <f t="shared" si="831"/>
        <v>0</v>
      </c>
      <c r="W661" s="556">
        <f t="shared" si="831"/>
        <v>0</v>
      </c>
      <c r="X661" s="556">
        <f t="shared" si="831"/>
        <v>0</v>
      </c>
      <c r="Y661" s="556">
        <f t="shared" si="831"/>
        <v>0</v>
      </c>
      <c r="Z661" s="556">
        <f t="shared" si="831"/>
        <v>0</v>
      </c>
      <c r="AA661" s="556">
        <f t="shared" si="831"/>
        <v>0</v>
      </c>
      <c r="AB661" s="556">
        <f t="shared" si="831"/>
        <v>0</v>
      </c>
      <c r="AC661" s="556">
        <f t="shared" si="831"/>
        <v>0</v>
      </c>
      <c r="AD661" s="556">
        <f t="shared" si="831"/>
        <v>0</v>
      </c>
      <c r="AE661" s="556">
        <f t="shared" si="831"/>
        <v>0</v>
      </c>
      <c r="AF661" s="556">
        <f t="shared" si="831"/>
        <v>0</v>
      </c>
      <c r="AG661" s="556">
        <f t="shared" si="831"/>
        <v>0</v>
      </c>
      <c r="AH661" s="556">
        <f t="shared" ref="AH661:AK661" si="832">SUM(AH659:AH660)</f>
        <v>0</v>
      </c>
      <c r="AI661" s="556">
        <f t="shared" si="832"/>
        <v>0</v>
      </c>
      <c r="AJ661" s="556">
        <f t="shared" si="832"/>
        <v>0</v>
      </c>
      <c r="AK661" s="556">
        <f t="shared" si="832"/>
        <v>0</v>
      </c>
      <c r="AL661" s="556">
        <f t="shared" ref="AL661:AP661" si="833">SUM(AL659:AL660)</f>
        <v>0</v>
      </c>
      <c r="AM661" s="556">
        <f t="shared" si="833"/>
        <v>0</v>
      </c>
      <c r="AN661" s="556">
        <f t="shared" si="833"/>
        <v>0</v>
      </c>
      <c r="AO661" s="556">
        <f t="shared" si="833"/>
        <v>0</v>
      </c>
      <c r="AP661" s="556">
        <f t="shared" si="833"/>
        <v>0</v>
      </c>
      <c r="AQ661" s="556">
        <f t="shared" ref="AQ661:AS661" si="834">SUM(AQ659:AQ660)</f>
        <v>0</v>
      </c>
      <c r="AR661" s="556">
        <f t="shared" si="834"/>
        <v>0</v>
      </c>
      <c r="AS661" s="556">
        <f t="shared" si="834"/>
        <v>0</v>
      </c>
      <c r="AT661" s="556"/>
      <c r="AU661" s="241">
        <f>SUM(AU659:AU660)</f>
        <v>-67713.235790463455</v>
      </c>
      <c r="AV661" s="131"/>
      <c r="AW661" s="241">
        <f>SUM(AW659:AW660)</f>
        <v>-67713.235790463455</v>
      </c>
      <c r="AX661" s="241">
        <f>+AW661-'ROR-Model'!G662</f>
        <v>0</v>
      </c>
    </row>
    <row r="662" spans="1:50">
      <c r="A662" s="134"/>
      <c r="B662" s="106"/>
      <c r="C662" s="106"/>
      <c r="D662" s="106"/>
      <c r="E662" s="331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16"/>
      <c r="AW662" s="133"/>
      <c r="AX662" s="133">
        <f>+AW662-'ROR-Model'!G663</f>
        <v>0</v>
      </c>
    </row>
    <row r="663" spans="1:50">
      <c r="A663" s="134">
        <v>872</v>
      </c>
      <c r="B663" s="106" t="s">
        <v>378</v>
      </c>
      <c r="C663" s="106"/>
      <c r="D663" s="106"/>
      <c r="E663" s="331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16"/>
      <c r="AW663" s="133"/>
      <c r="AX663" s="133">
        <f>+AW663-'ROR-Model'!G664</f>
        <v>0</v>
      </c>
    </row>
    <row r="664" spans="1:50">
      <c r="A664" s="134"/>
      <c r="B664" s="106"/>
      <c r="C664" s="106" t="s">
        <v>14</v>
      </c>
      <c r="D664" s="106"/>
      <c r="E664" s="331"/>
      <c r="F664" s="116"/>
      <c r="G664" s="116">
        <f>$G$1*EXPENSES!L156</f>
        <v>0</v>
      </c>
      <c r="H664" s="116"/>
      <c r="I664" s="116"/>
      <c r="J664" s="116"/>
      <c r="K664" s="116"/>
      <c r="L664" s="116"/>
      <c r="M664" s="116"/>
      <c r="N664" s="116"/>
      <c r="O664" s="116"/>
      <c r="P664" s="116"/>
      <c r="Q664" s="133"/>
      <c r="R664" s="133"/>
      <c r="S664" s="133"/>
      <c r="T664" s="133">
        <f>'Optional Adjustment 2'!G664*$T$1</f>
        <v>0</v>
      </c>
      <c r="U664" s="133">
        <f>'Optional Adjustment 3'!G664*$U$1</f>
        <v>0</v>
      </c>
      <c r="V664" s="133">
        <f>'Optional Adjustment 4'!G664*$V$1</f>
        <v>0</v>
      </c>
      <c r="W664" s="133">
        <f>'Optional Adjustment 5'!G664*$W$1</f>
        <v>0</v>
      </c>
      <c r="X664" s="133">
        <f>'Optional Adjustment 6'!G664*$X$1</f>
        <v>0</v>
      </c>
      <c r="Y664" s="133">
        <f>'Optional Adjustment 7'!G664*$Y$1</f>
        <v>0</v>
      </c>
      <c r="Z664" s="133">
        <f>'Optional Adjustment 8'!G664*$Z$1</f>
        <v>0</v>
      </c>
      <c r="AA664" s="133">
        <f>'Optional Adjustment 9'!G664*$AA$1</f>
        <v>0</v>
      </c>
      <c r="AB664" s="133">
        <f>'Optional Adjustment 10'!G664*$AB$1</f>
        <v>0</v>
      </c>
      <c r="AC664" s="133">
        <f>'Optional Adjustment 11'!G664*$AC$1</f>
        <v>0</v>
      </c>
      <c r="AD664" s="133">
        <f>'Optional Adjustment 12'!G664*$AD$1</f>
        <v>0</v>
      </c>
      <c r="AE664" s="133">
        <f>'Optional Adjustment 13'!G664*$AE$1</f>
        <v>0</v>
      </c>
      <c r="AF664" s="133">
        <f>'Optional Adjustment 14'!G664*$AF$1</f>
        <v>0</v>
      </c>
      <c r="AG664" s="133">
        <f>'Optional Adjustment 15'!G664*$AG$1</f>
        <v>0</v>
      </c>
      <c r="AH664" s="133">
        <f>'Optional Adjustment 16'!G664*$AH$1</f>
        <v>0</v>
      </c>
      <c r="AI664" s="133">
        <f>'Optional Adjustment 17'!G664*$AI$1</f>
        <v>0</v>
      </c>
      <c r="AJ664" s="133">
        <f>'Optional Adjustment 18'!G664*$AJ$1</f>
        <v>0</v>
      </c>
      <c r="AK664" s="133">
        <f>'Optional Adjustment 19'!G664*$AK$1</f>
        <v>0</v>
      </c>
      <c r="AL664" s="133">
        <f>'Optional Adjustment 20'!G664*$AL$1</f>
        <v>0</v>
      </c>
      <c r="AM664" s="133">
        <f>'Optional Adjustment 21'!G664*$AM$1</f>
        <v>0</v>
      </c>
      <c r="AN664" s="133">
        <f>'Optional Adjustment 22'!G664*$AN$1</f>
        <v>0</v>
      </c>
      <c r="AO664" s="133">
        <f>'Optional Adjustment 23'!G664*$AO$1</f>
        <v>0</v>
      </c>
      <c r="AP664" s="133">
        <f>'Optional Adjustment 24'!G664*$AP$1</f>
        <v>0</v>
      </c>
      <c r="AQ664" s="133">
        <f>'Optional Adjustment 25'!G664*$AQ$1</f>
        <v>0</v>
      </c>
      <c r="AR664" s="133">
        <f>'Optional Adjustment 26'!G664*$AR$1</f>
        <v>0</v>
      </c>
      <c r="AS664" s="133">
        <f>'Optional Adjustment 27'!G664*$AS$1</f>
        <v>0</v>
      </c>
      <c r="AT664" s="133"/>
      <c r="AU664" s="133">
        <f>SUM(F664:AT664)</f>
        <v>0</v>
      </c>
      <c r="AV664" s="116"/>
      <c r="AW664" s="133">
        <f>SUM(AU664:AU664)</f>
        <v>0</v>
      </c>
      <c r="AX664" s="133">
        <f>+AW664-'ROR-Model'!G665</f>
        <v>0</v>
      </c>
    </row>
    <row r="665" spans="1:50">
      <c r="A665" s="134"/>
      <c r="B665" s="106"/>
      <c r="C665" s="106" t="s">
        <v>24</v>
      </c>
      <c r="D665" s="106"/>
      <c r="E665" s="331"/>
      <c r="F665" s="116"/>
      <c r="G665" s="116">
        <f>$G$1*EXPENSES!L157</f>
        <v>0</v>
      </c>
      <c r="H665" s="116"/>
      <c r="I665" s="116"/>
      <c r="J665" s="116"/>
      <c r="K665" s="116"/>
      <c r="L665" s="116"/>
      <c r="M665" s="116"/>
      <c r="N665" s="116"/>
      <c r="O665" s="116"/>
      <c r="P665" s="116"/>
      <c r="Q665" s="133"/>
      <c r="R665" s="133"/>
      <c r="S665" s="133"/>
      <c r="T665" s="133">
        <f>'Optional Adjustment 2'!G665*$T$1</f>
        <v>0</v>
      </c>
      <c r="U665" s="133">
        <f>'Optional Adjustment 3'!G665*$U$1</f>
        <v>0</v>
      </c>
      <c r="V665" s="133">
        <f>'Optional Adjustment 4'!G665*$V$1</f>
        <v>0</v>
      </c>
      <c r="W665" s="133">
        <f>'Optional Adjustment 5'!G665*$W$1</f>
        <v>0</v>
      </c>
      <c r="X665" s="133">
        <f>'Optional Adjustment 6'!G665*$X$1</f>
        <v>0</v>
      </c>
      <c r="Y665" s="133">
        <f>'Optional Adjustment 7'!G665*$Y$1</f>
        <v>0</v>
      </c>
      <c r="Z665" s="133">
        <f>'Optional Adjustment 8'!G665*$Z$1</f>
        <v>0</v>
      </c>
      <c r="AA665" s="133">
        <f>'Optional Adjustment 9'!G665*$AA$1</f>
        <v>0</v>
      </c>
      <c r="AB665" s="133">
        <f>'Optional Adjustment 10'!G665*$AB$1</f>
        <v>0</v>
      </c>
      <c r="AC665" s="133">
        <f>'Optional Adjustment 11'!G665*$AC$1</f>
        <v>0</v>
      </c>
      <c r="AD665" s="133">
        <f>'Optional Adjustment 12'!G665*$AD$1</f>
        <v>0</v>
      </c>
      <c r="AE665" s="133">
        <f>'Optional Adjustment 13'!G665*$AE$1</f>
        <v>0</v>
      </c>
      <c r="AF665" s="133">
        <f>'Optional Adjustment 14'!G665*$AF$1</f>
        <v>0</v>
      </c>
      <c r="AG665" s="133">
        <f>'Optional Adjustment 15'!G665*$AG$1</f>
        <v>0</v>
      </c>
      <c r="AH665" s="133">
        <f>'Optional Adjustment 16'!G665*$AH$1</f>
        <v>0</v>
      </c>
      <c r="AI665" s="133">
        <f>'Optional Adjustment 17'!G665*$AI$1</f>
        <v>0</v>
      </c>
      <c r="AJ665" s="133">
        <f>'Optional Adjustment 18'!G665*$AJ$1</f>
        <v>0</v>
      </c>
      <c r="AK665" s="133">
        <f>'Optional Adjustment 19'!G665*$AK$1</f>
        <v>0</v>
      </c>
      <c r="AL665" s="133">
        <f>'Optional Adjustment 20'!G665*$AL$1</f>
        <v>0</v>
      </c>
      <c r="AM665" s="133">
        <f>'Optional Adjustment 21'!G665*$AM$1</f>
        <v>0</v>
      </c>
      <c r="AN665" s="133">
        <f>'Optional Adjustment 22'!G665*$AN$1</f>
        <v>0</v>
      </c>
      <c r="AO665" s="133">
        <f>'Optional Adjustment 23'!G665*$AO$1</f>
        <v>0</v>
      </c>
      <c r="AP665" s="133">
        <f>'Optional Adjustment 24'!G665*$AP$1</f>
        <v>0</v>
      </c>
      <c r="AQ665" s="133">
        <f>'Optional Adjustment 25'!G665*$AQ$1</f>
        <v>0</v>
      </c>
      <c r="AR665" s="133">
        <f>'Optional Adjustment 26'!G665*$AR$1</f>
        <v>0</v>
      </c>
      <c r="AS665" s="133">
        <f>'Optional Adjustment 27'!G665*$AS$1</f>
        <v>0</v>
      </c>
      <c r="AT665" s="133"/>
      <c r="AU665" s="133">
        <f>SUM(F665:AT665)</f>
        <v>0</v>
      </c>
      <c r="AV665" s="116"/>
      <c r="AW665" s="133">
        <f>SUM(AU665:AU665)</f>
        <v>0</v>
      </c>
      <c r="AX665" s="133">
        <f>+AW665-'ROR-Model'!G666</f>
        <v>0</v>
      </c>
    </row>
    <row r="666" spans="1:50">
      <c r="A666" s="134"/>
      <c r="B666" s="106"/>
      <c r="C666" s="106" t="s">
        <v>170</v>
      </c>
      <c r="D666" s="106"/>
      <c r="E666" s="331"/>
      <c r="F666" s="131">
        <f>SUM(F664:F665)</f>
        <v>0</v>
      </c>
      <c r="G666" s="131">
        <f>SUM(G664:G665)</f>
        <v>0</v>
      </c>
      <c r="H666" s="131">
        <f>H1*SUM(H664:H665)</f>
        <v>0</v>
      </c>
      <c r="I666" s="131">
        <f>SUM(I664:I665)</f>
        <v>0</v>
      </c>
      <c r="J666" s="131">
        <f t="shared" ref="J666:P666" si="835">SUM(J664:J665)</f>
        <v>0</v>
      </c>
      <c r="K666" s="131">
        <f t="shared" si="835"/>
        <v>0</v>
      </c>
      <c r="L666" s="131">
        <f t="shared" si="835"/>
        <v>0</v>
      </c>
      <c r="M666" s="131">
        <f t="shared" si="835"/>
        <v>0</v>
      </c>
      <c r="N666" s="131">
        <f t="shared" si="835"/>
        <v>0</v>
      </c>
      <c r="O666" s="131">
        <f t="shared" si="835"/>
        <v>0</v>
      </c>
      <c r="P666" s="131">
        <f t="shared" si="835"/>
        <v>0</v>
      </c>
      <c r="Q666" s="241">
        <f>SUM(Q664:Q665)</f>
        <v>0</v>
      </c>
      <c r="R666" s="241">
        <f>SUM(R664:R665)</f>
        <v>0</v>
      </c>
      <c r="S666" s="556"/>
      <c r="T666" s="556">
        <f t="shared" ref="T666:AG666" si="836">SUM(T664:T665)</f>
        <v>0</v>
      </c>
      <c r="U666" s="556">
        <f t="shared" si="836"/>
        <v>0</v>
      </c>
      <c r="V666" s="556">
        <f t="shared" si="836"/>
        <v>0</v>
      </c>
      <c r="W666" s="556">
        <f t="shared" si="836"/>
        <v>0</v>
      </c>
      <c r="X666" s="556">
        <f t="shared" si="836"/>
        <v>0</v>
      </c>
      <c r="Y666" s="556">
        <f t="shared" si="836"/>
        <v>0</v>
      </c>
      <c r="Z666" s="556">
        <f t="shared" si="836"/>
        <v>0</v>
      </c>
      <c r="AA666" s="556">
        <f t="shared" si="836"/>
        <v>0</v>
      </c>
      <c r="AB666" s="556">
        <f t="shared" si="836"/>
        <v>0</v>
      </c>
      <c r="AC666" s="556">
        <f t="shared" si="836"/>
        <v>0</v>
      </c>
      <c r="AD666" s="556">
        <f t="shared" si="836"/>
        <v>0</v>
      </c>
      <c r="AE666" s="556">
        <f t="shared" si="836"/>
        <v>0</v>
      </c>
      <c r="AF666" s="556">
        <f t="shared" si="836"/>
        <v>0</v>
      </c>
      <c r="AG666" s="556">
        <f t="shared" si="836"/>
        <v>0</v>
      </c>
      <c r="AH666" s="556">
        <f t="shared" ref="AH666:AK666" si="837">SUM(AH664:AH665)</f>
        <v>0</v>
      </c>
      <c r="AI666" s="556">
        <f t="shared" si="837"/>
        <v>0</v>
      </c>
      <c r="AJ666" s="556">
        <f t="shared" si="837"/>
        <v>0</v>
      </c>
      <c r="AK666" s="556">
        <f t="shared" si="837"/>
        <v>0</v>
      </c>
      <c r="AL666" s="556">
        <f t="shared" ref="AL666:AP666" si="838">SUM(AL664:AL665)</f>
        <v>0</v>
      </c>
      <c r="AM666" s="556">
        <f t="shared" si="838"/>
        <v>0</v>
      </c>
      <c r="AN666" s="556">
        <f t="shared" si="838"/>
        <v>0</v>
      </c>
      <c r="AO666" s="556">
        <f t="shared" si="838"/>
        <v>0</v>
      </c>
      <c r="AP666" s="556">
        <f t="shared" si="838"/>
        <v>0</v>
      </c>
      <c r="AQ666" s="556">
        <f t="shared" ref="AQ666:AS666" si="839">SUM(AQ664:AQ665)</f>
        <v>0</v>
      </c>
      <c r="AR666" s="556">
        <f t="shared" si="839"/>
        <v>0</v>
      </c>
      <c r="AS666" s="556">
        <f t="shared" si="839"/>
        <v>0</v>
      </c>
      <c r="AT666" s="556"/>
      <c r="AU666" s="241">
        <f>SUM(AU664:AU665)</f>
        <v>0</v>
      </c>
      <c r="AV666" s="131"/>
      <c r="AW666" s="241">
        <f>SUM(AW664:AW665)</f>
        <v>0</v>
      </c>
      <c r="AX666" s="241">
        <f>+AW666-'ROR-Model'!G667</f>
        <v>0</v>
      </c>
    </row>
    <row r="667" spans="1:50">
      <c r="A667" s="134"/>
      <c r="B667" s="106"/>
      <c r="C667" s="106"/>
      <c r="D667" s="106"/>
      <c r="E667" s="331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16"/>
      <c r="AW667" s="133"/>
      <c r="AX667" s="133">
        <f>+AW667-'ROR-Model'!G668</f>
        <v>0</v>
      </c>
    </row>
    <row r="668" spans="1:50">
      <c r="A668" s="134">
        <v>873</v>
      </c>
      <c r="B668" s="106" t="s">
        <v>379</v>
      </c>
      <c r="C668" s="106"/>
      <c r="D668" s="106"/>
      <c r="E668" s="331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16"/>
      <c r="AW668" s="133"/>
      <c r="AX668" s="133">
        <f>+AW668-'ROR-Model'!G669</f>
        <v>0</v>
      </c>
    </row>
    <row r="669" spans="1:50">
      <c r="A669" s="134"/>
      <c r="B669" s="106"/>
      <c r="C669" s="106" t="s">
        <v>14</v>
      </c>
      <c r="D669" s="106"/>
      <c r="E669" s="331"/>
      <c r="F669" s="116"/>
      <c r="G669" s="116">
        <f>$G$1*EXPENSES!L161</f>
        <v>589.50239399999919</v>
      </c>
      <c r="H669" s="116"/>
      <c r="I669" s="116"/>
      <c r="J669" s="116"/>
      <c r="K669" s="116"/>
      <c r="L669" s="116"/>
      <c r="M669" s="116"/>
      <c r="N669" s="116"/>
      <c r="O669" s="116"/>
      <c r="P669" s="116"/>
      <c r="Q669" s="133"/>
      <c r="R669" s="133"/>
      <c r="S669" s="133"/>
      <c r="T669" s="133">
        <f>'Optional Adjustment 2'!G669*$T$1</f>
        <v>0</v>
      </c>
      <c r="U669" s="133">
        <f>'Optional Adjustment 3'!G669*$U$1</f>
        <v>0</v>
      </c>
      <c r="V669" s="133">
        <f>'Optional Adjustment 4'!G669*$V$1</f>
        <v>0</v>
      </c>
      <c r="W669" s="133">
        <f>'Optional Adjustment 5'!G669*$W$1</f>
        <v>0</v>
      </c>
      <c r="X669" s="133">
        <f>'Optional Adjustment 6'!G669*$X$1</f>
        <v>0</v>
      </c>
      <c r="Y669" s="133">
        <f>'Optional Adjustment 7'!G669*$Y$1</f>
        <v>0</v>
      </c>
      <c r="Z669" s="133">
        <f>'Optional Adjustment 8'!G669*$Z$1</f>
        <v>0</v>
      </c>
      <c r="AA669" s="133">
        <f>'Optional Adjustment 9'!G669*$AA$1</f>
        <v>0</v>
      </c>
      <c r="AB669" s="133">
        <f>'Optional Adjustment 10'!G669*$AB$1</f>
        <v>0</v>
      </c>
      <c r="AC669" s="133">
        <f>'Optional Adjustment 11'!G669*$AC$1</f>
        <v>0</v>
      </c>
      <c r="AD669" s="133">
        <f>'Optional Adjustment 12'!G669*$AD$1</f>
        <v>0</v>
      </c>
      <c r="AE669" s="133">
        <f>'Optional Adjustment 13'!G669*$AE$1</f>
        <v>0</v>
      </c>
      <c r="AF669" s="133">
        <f>'Optional Adjustment 14'!G669*$AF$1</f>
        <v>0</v>
      </c>
      <c r="AG669" s="133">
        <f>'Optional Adjustment 15'!G669*$AG$1</f>
        <v>0</v>
      </c>
      <c r="AH669" s="133">
        <f>'Optional Adjustment 16'!G669*$AH$1</f>
        <v>0</v>
      </c>
      <c r="AI669" s="133">
        <f>'Optional Adjustment 17'!G669*$AI$1</f>
        <v>0</v>
      </c>
      <c r="AJ669" s="133">
        <f>'Optional Adjustment 18'!G669*$AJ$1</f>
        <v>0</v>
      </c>
      <c r="AK669" s="133">
        <f>'Optional Adjustment 19'!G669*$AK$1</f>
        <v>0</v>
      </c>
      <c r="AL669" s="133">
        <f>'Optional Adjustment 20'!G669*$AL$1</f>
        <v>0</v>
      </c>
      <c r="AM669" s="133">
        <f>'Optional Adjustment 21'!G669*$AM$1</f>
        <v>0</v>
      </c>
      <c r="AN669" s="133">
        <f>'Optional Adjustment 22'!G669*$AN$1</f>
        <v>0</v>
      </c>
      <c r="AO669" s="133">
        <f>'Optional Adjustment 23'!G669*$AO$1</f>
        <v>0</v>
      </c>
      <c r="AP669" s="133">
        <f>'Optional Adjustment 24'!G669*$AP$1</f>
        <v>0</v>
      </c>
      <c r="AQ669" s="133">
        <f>'Optional Adjustment 25'!G669*$AQ$1</f>
        <v>0</v>
      </c>
      <c r="AR669" s="133">
        <f>'Optional Adjustment 26'!G669*$AR$1</f>
        <v>0</v>
      </c>
      <c r="AS669" s="133">
        <f>'Optional Adjustment 27'!G669*$AS$1</f>
        <v>0</v>
      </c>
      <c r="AT669" s="133"/>
      <c r="AU669" s="133">
        <f>SUM(F669:AT669)</f>
        <v>589.50239399999919</v>
      </c>
      <c r="AV669" s="116"/>
      <c r="AW669" s="133">
        <f>SUM(AU669:AU669)</f>
        <v>589.50239399999919</v>
      </c>
      <c r="AX669" s="133">
        <f>+AW669-'ROR-Model'!G670</f>
        <v>0</v>
      </c>
    </row>
    <row r="670" spans="1:50">
      <c r="A670" s="134"/>
      <c r="B670" s="106"/>
      <c r="C670" s="106" t="s">
        <v>24</v>
      </c>
      <c r="D670" s="106"/>
      <c r="E670" s="331"/>
      <c r="F670" s="116"/>
      <c r="G670" s="116">
        <f>$G$1*EXPENSES!L162</f>
        <v>0</v>
      </c>
      <c r="H670" s="116"/>
      <c r="I670" s="116"/>
      <c r="J670" s="116"/>
      <c r="K670" s="116"/>
      <c r="L670" s="116"/>
      <c r="M670" s="116"/>
      <c r="N670" s="116"/>
      <c r="O670" s="116"/>
      <c r="P670" s="116"/>
      <c r="Q670" s="133"/>
      <c r="R670" s="133"/>
      <c r="S670" s="133"/>
      <c r="T670" s="133">
        <f>'Optional Adjustment 2'!G670*$T$1</f>
        <v>0</v>
      </c>
      <c r="U670" s="133">
        <f>'Optional Adjustment 3'!G670*$U$1</f>
        <v>0</v>
      </c>
      <c r="V670" s="133">
        <f>'Optional Adjustment 4'!G670*$V$1</f>
        <v>0</v>
      </c>
      <c r="W670" s="133">
        <f>'Optional Adjustment 5'!G670*$W$1</f>
        <v>0</v>
      </c>
      <c r="X670" s="133">
        <f>'Optional Adjustment 6'!G670*$X$1</f>
        <v>0</v>
      </c>
      <c r="Y670" s="133">
        <f>'Optional Adjustment 7'!G670*$Y$1</f>
        <v>0</v>
      </c>
      <c r="Z670" s="133">
        <f>'Optional Adjustment 8'!G670*$Z$1</f>
        <v>0</v>
      </c>
      <c r="AA670" s="133">
        <f>'Optional Adjustment 9'!G670*$AA$1</f>
        <v>0</v>
      </c>
      <c r="AB670" s="133">
        <f>'Optional Adjustment 10'!G670*$AB$1</f>
        <v>0</v>
      </c>
      <c r="AC670" s="133">
        <f>'Optional Adjustment 11'!G670*$AC$1</f>
        <v>0</v>
      </c>
      <c r="AD670" s="133">
        <f>'Optional Adjustment 12'!G670*$AD$1</f>
        <v>0</v>
      </c>
      <c r="AE670" s="133">
        <f>'Optional Adjustment 13'!G670*$AE$1</f>
        <v>0</v>
      </c>
      <c r="AF670" s="133">
        <f>'Optional Adjustment 14'!G670*$AF$1</f>
        <v>0</v>
      </c>
      <c r="AG670" s="133">
        <f>'Optional Adjustment 15'!G670*$AG$1</f>
        <v>0</v>
      </c>
      <c r="AH670" s="133">
        <f>'Optional Adjustment 16'!G670*$AH$1</f>
        <v>0</v>
      </c>
      <c r="AI670" s="133">
        <f>'Optional Adjustment 17'!G670*$AI$1</f>
        <v>0</v>
      </c>
      <c r="AJ670" s="133">
        <f>'Optional Adjustment 18'!G670*$AJ$1</f>
        <v>0</v>
      </c>
      <c r="AK670" s="133">
        <f>'Optional Adjustment 19'!G670*$AK$1</f>
        <v>0</v>
      </c>
      <c r="AL670" s="133">
        <f>'Optional Adjustment 20'!G670*$AL$1</f>
        <v>0</v>
      </c>
      <c r="AM670" s="133">
        <f>'Optional Adjustment 21'!G670*$AM$1</f>
        <v>0</v>
      </c>
      <c r="AN670" s="133">
        <f>'Optional Adjustment 22'!G670*$AN$1</f>
        <v>0</v>
      </c>
      <c r="AO670" s="133">
        <f>'Optional Adjustment 23'!G670*$AO$1</f>
        <v>0</v>
      </c>
      <c r="AP670" s="133">
        <f>'Optional Adjustment 24'!G670*$AP$1</f>
        <v>0</v>
      </c>
      <c r="AQ670" s="133">
        <f>'Optional Adjustment 25'!G670*$AQ$1</f>
        <v>0</v>
      </c>
      <c r="AR670" s="133">
        <f>'Optional Adjustment 26'!G670*$AR$1</f>
        <v>0</v>
      </c>
      <c r="AS670" s="133">
        <f>'Optional Adjustment 27'!G670*$AS$1</f>
        <v>0</v>
      </c>
      <c r="AT670" s="133"/>
      <c r="AU670" s="133">
        <f>SUM(F670:AT670)</f>
        <v>0</v>
      </c>
      <c r="AV670" s="116"/>
      <c r="AW670" s="133">
        <f>SUM(AU670:AU670)</f>
        <v>0</v>
      </c>
      <c r="AX670" s="133">
        <f>+AW670-'ROR-Model'!G671</f>
        <v>0</v>
      </c>
    </row>
    <row r="671" spans="1:50">
      <c r="A671" s="134"/>
      <c r="B671" s="106"/>
      <c r="C671" s="106" t="s">
        <v>170</v>
      </c>
      <c r="D671" s="106"/>
      <c r="E671" s="331"/>
      <c r="F671" s="131">
        <f>SUM(F669:F670)</f>
        <v>0</v>
      </c>
      <c r="G671" s="131">
        <f>SUM(G669:G670)</f>
        <v>589.50239399999919</v>
      </c>
      <c r="H671" s="131">
        <f>H1*SUM(H669:H670)</f>
        <v>0</v>
      </c>
      <c r="I671" s="131">
        <f>SUM(I669:I670)</f>
        <v>0</v>
      </c>
      <c r="J671" s="131">
        <f t="shared" ref="J671:P671" si="840">SUM(J669:J670)</f>
        <v>0</v>
      </c>
      <c r="K671" s="131">
        <f t="shared" si="840"/>
        <v>0</v>
      </c>
      <c r="L671" s="131">
        <f t="shared" si="840"/>
        <v>0</v>
      </c>
      <c r="M671" s="131">
        <f t="shared" si="840"/>
        <v>0</v>
      </c>
      <c r="N671" s="131">
        <f t="shared" si="840"/>
        <v>0</v>
      </c>
      <c r="O671" s="131">
        <f t="shared" si="840"/>
        <v>0</v>
      </c>
      <c r="P671" s="131">
        <f t="shared" si="840"/>
        <v>0</v>
      </c>
      <c r="Q671" s="241">
        <f>SUM(Q669:Q670)</f>
        <v>0</v>
      </c>
      <c r="R671" s="241">
        <f>SUM(R669:R670)</f>
        <v>0</v>
      </c>
      <c r="S671" s="556"/>
      <c r="T671" s="556">
        <f t="shared" ref="T671:AG671" si="841">SUM(T669:T670)</f>
        <v>0</v>
      </c>
      <c r="U671" s="556">
        <f t="shared" si="841"/>
        <v>0</v>
      </c>
      <c r="V671" s="556">
        <f t="shared" si="841"/>
        <v>0</v>
      </c>
      <c r="W671" s="556">
        <f t="shared" si="841"/>
        <v>0</v>
      </c>
      <c r="X671" s="556">
        <f t="shared" si="841"/>
        <v>0</v>
      </c>
      <c r="Y671" s="556">
        <f t="shared" si="841"/>
        <v>0</v>
      </c>
      <c r="Z671" s="556">
        <f t="shared" si="841"/>
        <v>0</v>
      </c>
      <c r="AA671" s="556">
        <f t="shared" si="841"/>
        <v>0</v>
      </c>
      <c r="AB671" s="556">
        <f t="shared" si="841"/>
        <v>0</v>
      </c>
      <c r="AC671" s="556">
        <f t="shared" si="841"/>
        <v>0</v>
      </c>
      <c r="AD671" s="556">
        <f t="shared" si="841"/>
        <v>0</v>
      </c>
      <c r="AE671" s="556">
        <f t="shared" si="841"/>
        <v>0</v>
      </c>
      <c r="AF671" s="556">
        <f t="shared" si="841"/>
        <v>0</v>
      </c>
      <c r="AG671" s="556">
        <f t="shared" si="841"/>
        <v>0</v>
      </c>
      <c r="AH671" s="556">
        <f t="shared" ref="AH671:AK671" si="842">SUM(AH669:AH670)</f>
        <v>0</v>
      </c>
      <c r="AI671" s="556">
        <f t="shared" si="842"/>
        <v>0</v>
      </c>
      <c r="AJ671" s="556">
        <f t="shared" si="842"/>
        <v>0</v>
      </c>
      <c r="AK671" s="556">
        <f t="shared" si="842"/>
        <v>0</v>
      </c>
      <c r="AL671" s="556">
        <f t="shared" ref="AL671:AP671" si="843">SUM(AL669:AL670)</f>
        <v>0</v>
      </c>
      <c r="AM671" s="556">
        <f t="shared" si="843"/>
        <v>0</v>
      </c>
      <c r="AN671" s="556">
        <f t="shared" si="843"/>
        <v>0</v>
      </c>
      <c r="AO671" s="556">
        <f t="shared" si="843"/>
        <v>0</v>
      </c>
      <c r="AP671" s="556">
        <f t="shared" si="843"/>
        <v>0</v>
      </c>
      <c r="AQ671" s="556">
        <f t="shared" ref="AQ671:AS671" si="844">SUM(AQ669:AQ670)</f>
        <v>0</v>
      </c>
      <c r="AR671" s="556">
        <f t="shared" si="844"/>
        <v>0</v>
      </c>
      <c r="AS671" s="556">
        <f t="shared" si="844"/>
        <v>0</v>
      </c>
      <c r="AT671" s="556"/>
      <c r="AU671" s="241">
        <f>SUM(AU669:AU670)</f>
        <v>589.50239399999919</v>
      </c>
      <c r="AV671" s="131"/>
      <c r="AW671" s="241">
        <f>SUM(AW669:AW670)</f>
        <v>589.50239399999919</v>
      </c>
      <c r="AX671" s="241">
        <f>+AW671-'ROR-Model'!G672</f>
        <v>0</v>
      </c>
    </row>
    <row r="672" spans="1:50">
      <c r="A672" s="134"/>
      <c r="B672" s="106"/>
      <c r="C672" s="106"/>
      <c r="D672" s="106"/>
      <c r="E672" s="331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16"/>
      <c r="AW672" s="133"/>
      <c r="AX672" s="133">
        <f>+AW672-'ROR-Model'!G673</f>
        <v>0</v>
      </c>
    </row>
    <row r="673" spans="1:50">
      <c r="A673" s="134">
        <v>874</v>
      </c>
      <c r="B673" s="106" t="s">
        <v>380</v>
      </c>
      <c r="C673" s="106"/>
      <c r="D673" s="106"/>
      <c r="E673" s="331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16"/>
      <c r="AW673" s="133"/>
      <c r="AX673" s="133">
        <f>+AW673-'ROR-Model'!G674</f>
        <v>0</v>
      </c>
    </row>
    <row r="674" spans="1:50">
      <c r="A674" s="134"/>
      <c r="B674" s="106"/>
      <c r="C674" s="106" t="s">
        <v>14</v>
      </c>
      <c r="D674" s="106"/>
      <c r="E674" s="331"/>
      <c r="F674" s="116"/>
      <c r="G674" s="116">
        <f>$G$1*EXPENSES!L166</f>
        <v>133992.37169618532</v>
      </c>
      <c r="H674" s="116"/>
      <c r="I674" s="116"/>
      <c r="J674" s="116"/>
      <c r="K674" s="116"/>
      <c r="L674" s="116"/>
      <c r="M674" s="116"/>
      <c r="N674" s="116"/>
      <c r="O674" s="116"/>
      <c r="P674" s="116"/>
      <c r="Q674" s="133"/>
      <c r="R674" s="133"/>
      <c r="S674" s="133"/>
      <c r="T674" s="133">
        <f>'Optional Adjustment 2'!G674*$T$1</f>
        <v>0</v>
      </c>
      <c r="U674" s="133">
        <f>'Optional Adjustment 3'!G674*$U$1</f>
        <v>0</v>
      </c>
      <c r="V674" s="133">
        <f>'Optional Adjustment 4'!G674*$V$1</f>
        <v>0</v>
      </c>
      <c r="W674" s="133">
        <f>'Optional Adjustment 5'!G674*$W$1</f>
        <v>0</v>
      </c>
      <c r="X674" s="133">
        <f>'Optional Adjustment 6'!G674*$X$1</f>
        <v>0</v>
      </c>
      <c r="Y674" s="133">
        <f>'Optional Adjustment 7'!G674*$Y$1</f>
        <v>0</v>
      </c>
      <c r="Z674" s="133">
        <f>'Optional Adjustment 8'!G674*$Z$1</f>
        <v>0</v>
      </c>
      <c r="AA674" s="133">
        <f>'Optional Adjustment 9'!G674*$AA$1</f>
        <v>0</v>
      </c>
      <c r="AB674" s="133">
        <f>'Optional Adjustment 10'!G674*$AB$1</f>
        <v>0</v>
      </c>
      <c r="AC674" s="133">
        <f>'Optional Adjustment 11'!G674*$AC$1</f>
        <v>0</v>
      </c>
      <c r="AD674" s="133">
        <f>'Optional Adjustment 12'!G674*$AD$1</f>
        <v>0</v>
      </c>
      <c r="AE674" s="133">
        <f>'Optional Adjustment 13'!G674*$AE$1</f>
        <v>0</v>
      </c>
      <c r="AF674" s="133">
        <f>'Optional Adjustment 14'!G674*$AF$1</f>
        <v>0</v>
      </c>
      <c r="AG674" s="133">
        <f>'Optional Adjustment 15'!G674*$AG$1</f>
        <v>0</v>
      </c>
      <c r="AH674" s="133">
        <f>'Optional Adjustment 16'!G674*$AH$1</f>
        <v>0</v>
      </c>
      <c r="AI674" s="133">
        <f>'Optional Adjustment 17'!G674*$AI$1</f>
        <v>0</v>
      </c>
      <c r="AJ674" s="133">
        <f>'Optional Adjustment 18'!G674*$AJ$1</f>
        <v>0</v>
      </c>
      <c r="AK674" s="133">
        <f>'Optional Adjustment 19'!G674*$AK$1</f>
        <v>0</v>
      </c>
      <c r="AL674" s="133">
        <f>'Optional Adjustment 20'!G674*$AL$1</f>
        <v>0</v>
      </c>
      <c r="AM674" s="133">
        <f>'Optional Adjustment 21'!G674*$AM$1</f>
        <v>0</v>
      </c>
      <c r="AN674" s="133">
        <f>'Optional Adjustment 22'!G674*$AN$1</f>
        <v>0</v>
      </c>
      <c r="AO674" s="133">
        <f>'Optional Adjustment 23'!G674*$AO$1</f>
        <v>0</v>
      </c>
      <c r="AP674" s="133">
        <f>'Optional Adjustment 24'!G674*$AP$1</f>
        <v>0</v>
      </c>
      <c r="AQ674" s="133">
        <f>'Optional Adjustment 25'!G674*$AQ$1</f>
        <v>0</v>
      </c>
      <c r="AR674" s="133">
        <f>'Optional Adjustment 26'!G674*$AR$1</f>
        <v>0</v>
      </c>
      <c r="AS674" s="133">
        <f>'Optional Adjustment 27'!G674*$AS$1</f>
        <v>0</v>
      </c>
      <c r="AT674" s="133"/>
      <c r="AU674" s="133">
        <f>SUM(F674:AT674)</f>
        <v>133992.37169618532</v>
      </c>
      <c r="AV674" s="116"/>
      <c r="AW674" s="133">
        <f>SUM(AU674:AU674)</f>
        <v>133992.37169618532</v>
      </c>
      <c r="AX674" s="133">
        <f>+AW674-'ROR-Model'!G675</f>
        <v>0</v>
      </c>
    </row>
    <row r="675" spans="1:50">
      <c r="A675" s="134"/>
      <c r="B675" s="106"/>
      <c r="C675" s="106" t="s">
        <v>24</v>
      </c>
      <c r="D675" s="106"/>
      <c r="E675" s="331"/>
      <c r="F675" s="116"/>
      <c r="G675" s="116">
        <f>$G$1*EXPENSES!L167</f>
        <v>8849.8354983116733</v>
      </c>
      <c r="H675" s="116"/>
      <c r="I675" s="116"/>
      <c r="J675" s="116"/>
      <c r="K675" s="116"/>
      <c r="L675" s="116"/>
      <c r="M675" s="116"/>
      <c r="N675" s="116"/>
      <c r="O675" s="116"/>
      <c r="P675" s="116"/>
      <c r="Q675" s="133"/>
      <c r="R675" s="133"/>
      <c r="S675" s="133"/>
      <c r="T675" s="133">
        <f>'Optional Adjustment 2'!G675*$T$1</f>
        <v>0</v>
      </c>
      <c r="U675" s="133">
        <f>'Optional Adjustment 3'!G675*$U$1</f>
        <v>0</v>
      </c>
      <c r="V675" s="133">
        <f>'Optional Adjustment 4'!G675*$V$1</f>
        <v>0</v>
      </c>
      <c r="W675" s="133">
        <f>'Optional Adjustment 5'!G675*$W$1</f>
        <v>0</v>
      </c>
      <c r="X675" s="133">
        <f>'Optional Adjustment 6'!G675*$X$1</f>
        <v>0</v>
      </c>
      <c r="Y675" s="133">
        <f>'Optional Adjustment 7'!G675*$Y$1</f>
        <v>0</v>
      </c>
      <c r="Z675" s="133">
        <f>'Optional Adjustment 8'!G675*$Z$1</f>
        <v>0</v>
      </c>
      <c r="AA675" s="133">
        <f>'Optional Adjustment 9'!G675*$AA$1</f>
        <v>0</v>
      </c>
      <c r="AB675" s="133">
        <f>'Optional Adjustment 10'!G675*$AB$1</f>
        <v>0</v>
      </c>
      <c r="AC675" s="133">
        <f>'Optional Adjustment 11'!G675*$AC$1</f>
        <v>0</v>
      </c>
      <c r="AD675" s="133">
        <f>'Optional Adjustment 12'!G675*$AD$1</f>
        <v>0</v>
      </c>
      <c r="AE675" s="133">
        <f>'Optional Adjustment 13'!G675*$AE$1</f>
        <v>0</v>
      </c>
      <c r="AF675" s="133">
        <f>'Optional Adjustment 14'!G675*$AF$1</f>
        <v>0</v>
      </c>
      <c r="AG675" s="133">
        <f>'Optional Adjustment 15'!G675*$AG$1</f>
        <v>0</v>
      </c>
      <c r="AH675" s="133">
        <f>'Optional Adjustment 16'!G675*$AH$1</f>
        <v>0</v>
      </c>
      <c r="AI675" s="133">
        <f>'Optional Adjustment 17'!G675*$AI$1</f>
        <v>0</v>
      </c>
      <c r="AJ675" s="133">
        <f>'Optional Adjustment 18'!G675*$AJ$1</f>
        <v>0</v>
      </c>
      <c r="AK675" s="133">
        <f>'Optional Adjustment 19'!G675*$AK$1</f>
        <v>0</v>
      </c>
      <c r="AL675" s="133">
        <f>'Optional Adjustment 20'!G675*$AL$1</f>
        <v>0</v>
      </c>
      <c r="AM675" s="133">
        <f>'Optional Adjustment 21'!G675*$AM$1</f>
        <v>0</v>
      </c>
      <c r="AN675" s="133">
        <f>'Optional Adjustment 22'!G675*$AN$1</f>
        <v>0</v>
      </c>
      <c r="AO675" s="133">
        <f>'Optional Adjustment 23'!G675*$AO$1</f>
        <v>0</v>
      </c>
      <c r="AP675" s="133">
        <f>'Optional Adjustment 24'!G675*$AP$1</f>
        <v>0</v>
      </c>
      <c r="AQ675" s="133">
        <f>'Optional Adjustment 25'!G675*$AQ$1</f>
        <v>0</v>
      </c>
      <c r="AR675" s="133">
        <f>'Optional Adjustment 26'!G675*$AR$1</f>
        <v>0</v>
      </c>
      <c r="AS675" s="133">
        <f>'Optional Adjustment 27'!G675*$AS$1</f>
        <v>0</v>
      </c>
      <c r="AT675" s="133"/>
      <c r="AU675" s="133">
        <f>SUM(F675:AT675)</f>
        <v>8849.8354983116733</v>
      </c>
      <c r="AV675" s="116"/>
      <c r="AW675" s="133">
        <f>SUM(AU675:AU675)</f>
        <v>8849.8354983116733</v>
      </c>
      <c r="AX675" s="133">
        <f>+AW675-'ROR-Model'!G676</f>
        <v>0</v>
      </c>
    </row>
    <row r="676" spans="1:50">
      <c r="A676" s="134"/>
      <c r="B676" s="106"/>
      <c r="C676" s="106" t="s">
        <v>170</v>
      </c>
      <c r="D676" s="106"/>
      <c r="E676" s="331"/>
      <c r="F676" s="131">
        <f>SUM(F674:F675)</f>
        <v>0</v>
      </c>
      <c r="G676" s="131">
        <f>SUM(G674:G675)</f>
        <v>142842.20719449699</v>
      </c>
      <c r="H676" s="131">
        <f>H1*SUM(H674:H675)</f>
        <v>0</v>
      </c>
      <c r="I676" s="131">
        <f>SUM(I674:I675)</f>
        <v>0</v>
      </c>
      <c r="J676" s="131">
        <f t="shared" ref="J676:P676" si="845">SUM(J674:J675)</f>
        <v>0</v>
      </c>
      <c r="K676" s="131">
        <f t="shared" si="845"/>
        <v>0</v>
      </c>
      <c r="L676" s="131">
        <f t="shared" si="845"/>
        <v>0</v>
      </c>
      <c r="M676" s="131">
        <f t="shared" si="845"/>
        <v>0</v>
      </c>
      <c r="N676" s="131">
        <f t="shared" si="845"/>
        <v>0</v>
      </c>
      <c r="O676" s="131">
        <f t="shared" si="845"/>
        <v>0</v>
      </c>
      <c r="P676" s="131">
        <f t="shared" si="845"/>
        <v>0</v>
      </c>
      <c r="Q676" s="241">
        <f>SUM(Q674:Q675)</f>
        <v>0</v>
      </c>
      <c r="R676" s="241">
        <f>SUM(R674:R675)</f>
        <v>0</v>
      </c>
      <c r="S676" s="556"/>
      <c r="T676" s="556">
        <f t="shared" ref="T676:AG676" si="846">SUM(T674:T675)</f>
        <v>0</v>
      </c>
      <c r="U676" s="556">
        <f t="shared" si="846"/>
        <v>0</v>
      </c>
      <c r="V676" s="556">
        <f t="shared" si="846"/>
        <v>0</v>
      </c>
      <c r="W676" s="556">
        <f t="shared" si="846"/>
        <v>0</v>
      </c>
      <c r="X676" s="556">
        <f t="shared" si="846"/>
        <v>0</v>
      </c>
      <c r="Y676" s="556">
        <f t="shared" si="846"/>
        <v>0</v>
      </c>
      <c r="Z676" s="556">
        <f t="shared" si="846"/>
        <v>0</v>
      </c>
      <c r="AA676" s="556">
        <f t="shared" si="846"/>
        <v>0</v>
      </c>
      <c r="AB676" s="556">
        <f t="shared" si="846"/>
        <v>0</v>
      </c>
      <c r="AC676" s="556">
        <f t="shared" si="846"/>
        <v>0</v>
      </c>
      <c r="AD676" s="556">
        <f t="shared" si="846"/>
        <v>0</v>
      </c>
      <c r="AE676" s="556">
        <f t="shared" si="846"/>
        <v>0</v>
      </c>
      <c r="AF676" s="556">
        <f t="shared" si="846"/>
        <v>0</v>
      </c>
      <c r="AG676" s="556">
        <f t="shared" si="846"/>
        <v>0</v>
      </c>
      <c r="AH676" s="556">
        <f t="shared" ref="AH676:AK676" si="847">SUM(AH674:AH675)</f>
        <v>0</v>
      </c>
      <c r="AI676" s="556">
        <f t="shared" si="847"/>
        <v>0</v>
      </c>
      <c r="AJ676" s="556">
        <f t="shared" si="847"/>
        <v>0</v>
      </c>
      <c r="AK676" s="556">
        <f t="shared" si="847"/>
        <v>0</v>
      </c>
      <c r="AL676" s="556">
        <f t="shared" ref="AL676:AP676" si="848">SUM(AL674:AL675)</f>
        <v>0</v>
      </c>
      <c r="AM676" s="556">
        <f t="shared" si="848"/>
        <v>0</v>
      </c>
      <c r="AN676" s="556">
        <f t="shared" si="848"/>
        <v>0</v>
      </c>
      <c r="AO676" s="556">
        <f t="shared" si="848"/>
        <v>0</v>
      </c>
      <c r="AP676" s="556">
        <f t="shared" si="848"/>
        <v>0</v>
      </c>
      <c r="AQ676" s="556">
        <f t="shared" ref="AQ676:AS676" si="849">SUM(AQ674:AQ675)</f>
        <v>0</v>
      </c>
      <c r="AR676" s="556">
        <f t="shared" si="849"/>
        <v>0</v>
      </c>
      <c r="AS676" s="556">
        <f t="shared" si="849"/>
        <v>0</v>
      </c>
      <c r="AT676" s="556"/>
      <c r="AU676" s="241">
        <f>SUM(AU674:AU675)</f>
        <v>142842.20719449699</v>
      </c>
      <c r="AV676" s="131"/>
      <c r="AW676" s="241">
        <f>SUM(AW674:AW675)</f>
        <v>142842.20719449699</v>
      </c>
      <c r="AX676" s="241">
        <f>+AW676-'ROR-Model'!G677</f>
        <v>0</v>
      </c>
    </row>
    <row r="677" spans="1:50">
      <c r="A677" s="134"/>
      <c r="B677" s="106"/>
      <c r="C677" s="106"/>
      <c r="D677" s="106"/>
      <c r="E677" s="331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16"/>
      <c r="AW677" s="133"/>
      <c r="AX677" s="133">
        <f>+AW677-'ROR-Model'!G678</f>
        <v>0</v>
      </c>
    </row>
    <row r="678" spans="1:50">
      <c r="A678" s="134">
        <v>875</v>
      </c>
      <c r="B678" s="106" t="s">
        <v>381</v>
      </c>
      <c r="C678" s="106"/>
      <c r="D678" s="106"/>
      <c r="E678" s="331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16"/>
      <c r="AW678" s="133"/>
      <c r="AX678" s="133">
        <f>+AW678-'ROR-Model'!G679</f>
        <v>0</v>
      </c>
    </row>
    <row r="679" spans="1:50">
      <c r="A679" s="134"/>
      <c r="B679" s="106"/>
      <c r="C679" s="106" t="s">
        <v>14</v>
      </c>
      <c r="D679" s="106"/>
      <c r="E679" s="331"/>
      <c r="F679" s="116"/>
      <c r="G679" s="116">
        <f>$G$1*EXPENSES!L171</f>
        <v>-30646.189446337987</v>
      </c>
      <c r="H679" s="116"/>
      <c r="I679" s="116"/>
      <c r="J679" s="116"/>
      <c r="K679" s="116"/>
      <c r="L679" s="116"/>
      <c r="M679" s="116"/>
      <c r="N679" s="116"/>
      <c r="O679" s="116"/>
      <c r="P679" s="116"/>
      <c r="Q679" s="133"/>
      <c r="R679" s="133"/>
      <c r="S679" s="133"/>
      <c r="T679" s="133">
        <f>'Optional Adjustment 2'!G679*$T$1</f>
        <v>0</v>
      </c>
      <c r="U679" s="133">
        <f>'Optional Adjustment 3'!G679*$U$1</f>
        <v>0</v>
      </c>
      <c r="V679" s="133">
        <f>'Optional Adjustment 4'!G679*$V$1</f>
        <v>0</v>
      </c>
      <c r="W679" s="133">
        <f>'Optional Adjustment 5'!G679*$W$1</f>
        <v>0</v>
      </c>
      <c r="X679" s="133">
        <f>'Optional Adjustment 6'!G679*$X$1</f>
        <v>0</v>
      </c>
      <c r="Y679" s="133">
        <f>'Optional Adjustment 7'!G679*$Y$1</f>
        <v>0</v>
      </c>
      <c r="Z679" s="133">
        <f>'Optional Adjustment 8'!G679*$Z$1</f>
        <v>0</v>
      </c>
      <c r="AA679" s="133">
        <f>'Optional Adjustment 9'!G679*$AA$1</f>
        <v>0</v>
      </c>
      <c r="AB679" s="133">
        <f>'Optional Adjustment 10'!G679*$AB$1</f>
        <v>0</v>
      </c>
      <c r="AC679" s="133">
        <f>'Optional Adjustment 11'!G679*$AC$1</f>
        <v>0</v>
      </c>
      <c r="AD679" s="133">
        <f>'Optional Adjustment 12'!G679*$AD$1</f>
        <v>0</v>
      </c>
      <c r="AE679" s="133">
        <f>'Optional Adjustment 13'!G679*$AE$1</f>
        <v>0</v>
      </c>
      <c r="AF679" s="133">
        <f>'Optional Adjustment 14'!G679*$AF$1</f>
        <v>0</v>
      </c>
      <c r="AG679" s="133">
        <f>'Optional Adjustment 15'!G679*$AG$1</f>
        <v>0</v>
      </c>
      <c r="AH679" s="133">
        <f>'Optional Adjustment 16'!G679*$AH$1</f>
        <v>0</v>
      </c>
      <c r="AI679" s="133">
        <f>'Optional Adjustment 17'!G679*$AI$1</f>
        <v>0</v>
      </c>
      <c r="AJ679" s="133">
        <f>'Optional Adjustment 18'!G679*$AJ$1</f>
        <v>0</v>
      </c>
      <c r="AK679" s="133">
        <f>'Optional Adjustment 19'!G679*$AK$1</f>
        <v>0</v>
      </c>
      <c r="AL679" s="133">
        <f>'Optional Adjustment 20'!G679*$AL$1</f>
        <v>0</v>
      </c>
      <c r="AM679" s="133">
        <f>'Optional Adjustment 21'!G679*$AM$1</f>
        <v>0</v>
      </c>
      <c r="AN679" s="133">
        <f>'Optional Adjustment 22'!G679*$AN$1</f>
        <v>0</v>
      </c>
      <c r="AO679" s="133">
        <f>'Optional Adjustment 23'!G679*$AO$1</f>
        <v>0</v>
      </c>
      <c r="AP679" s="133">
        <f>'Optional Adjustment 24'!G679*$AP$1</f>
        <v>0</v>
      </c>
      <c r="AQ679" s="133">
        <f>'Optional Adjustment 25'!G679*$AQ$1</f>
        <v>0</v>
      </c>
      <c r="AR679" s="133">
        <f>'Optional Adjustment 26'!G679*$AR$1</f>
        <v>0</v>
      </c>
      <c r="AS679" s="133">
        <f>'Optional Adjustment 27'!G679*$AS$1</f>
        <v>0</v>
      </c>
      <c r="AT679" s="133"/>
      <c r="AU679" s="133">
        <f>SUM(F679:AT679)</f>
        <v>-30646.189446337987</v>
      </c>
      <c r="AV679" s="116"/>
      <c r="AW679" s="133">
        <f>SUM(AU679:AU679)</f>
        <v>-30646.189446337987</v>
      </c>
      <c r="AX679" s="133">
        <f>+AW679-'ROR-Model'!G680</f>
        <v>0</v>
      </c>
    </row>
    <row r="680" spans="1:50">
      <c r="A680" s="134"/>
      <c r="B680" s="106"/>
      <c r="C680" s="106" t="s">
        <v>24</v>
      </c>
      <c r="D680" s="106"/>
      <c r="E680" s="331"/>
      <c r="F680" s="116"/>
      <c r="G680" s="116">
        <f>$G$1*EXPENSES!L172</f>
        <v>418.22390783406445</v>
      </c>
      <c r="H680" s="116"/>
      <c r="I680" s="116"/>
      <c r="J680" s="116"/>
      <c r="K680" s="116"/>
      <c r="L680" s="116"/>
      <c r="M680" s="116"/>
      <c r="N680" s="116"/>
      <c r="O680" s="116"/>
      <c r="P680" s="116"/>
      <c r="Q680" s="133"/>
      <c r="R680" s="133"/>
      <c r="S680" s="133"/>
      <c r="T680" s="133">
        <f>'Optional Adjustment 2'!G680*$T$1</f>
        <v>0</v>
      </c>
      <c r="U680" s="133">
        <f>'Optional Adjustment 3'!G680*$U$1</f>
        <v>0</v>
      </c>
      <c r="V680" s="133">
        <f>'Optional Adjustment 4'!G680*$V$1</f>
        <v>0</v>
      </c>
      <c r="W680" s="133">
        <f>'Optional Adjustment 5'!G680*$W$1</f>
        <v>0</v>
      </c>
      <c r="X680" s="133">
        <f>'Optional Adjustment 6'!G680*$X$1</f>
        <v>0</v>
      </c>
      <c r="Y680" s="133">
        <f>'Optional Adjustment 7'!G680*$Y$1</f>
        <v>0</v>
      </c>
      <c r="Z680" s="133">
        <f>'Optional Adjustment 8'!G680*$Z$1</f>
        <v>0</v>
      </c>
      <c r="AA680" s="133">
        <f>'Optional Adjustment 9'!G680*$AA$1</f>
        <v>0</v>
      </c>
      <c r="AB680" s="133">
        <f>'Optional Adjustment 10'!G680*$AB$1</f>
        <v>0</v>
      </c>
      <c r="AC680" s="133">
        <f>'Optional Adjustment 11'!G680*$AC$1</f>
        <v>0</v>
      </c>
      <c r="AD680" s="133">
        <f>'Optional Adjustment 12'!G680*$AD$1</f>
        <v>0</v>
      </c>
      <c r="AE680" s="133">
        <f>'Optional Adjustment 13'!G680*$AE$1</f>
        <v>0</v>
      </c>
      <c r="AF680" s="133">
        <f>'Optional Adjustment 14'!G680*$AF$1</f>
        <v>0</v>
      </c>
      <c r="AG680" s="133">
        <f>'Optional Adjustment 15'!G680*$AG$1</f>
        <v>0</v>
      </c>
      <c r="AH680" s="133">
        <f>'Optional Adjustment 16'!G680*$AH$1</f>
        <v>0</v>
      </c>
      <c r="AI680" s="133">
        <f>'Optional Adjustment 17'!G680*$AI$1</f>
        <v>0</v>
      </c>
      <c r="AJ680" s="133">
        <f>'Optional Adjustment 18'!G680*$AJ$1</f>
        <v>0</v>
      </c>
      <c r="AK680" s="133">
        <f>'Optional Adjustment 19'!G680*$AK$1</f>
        <v>0</v>
      </c>
      <c r="AL680" s="133">
        <f>'Optional Adjustment 20'!G680*$AL$1</f>
        <v>0</v>
      </c>
      <c r="AM680" s="133">
        <f>'Optional Adjustment 21'!G680*$AM$1</f>
        <v>0</v>
      </c>
      <c r="AN680" s="133">
        <f>'Optional Adjustment 22'!G680*$AN$1</f>
        <v>0</v>
      </c>
      <c r="AO680" s="133">
        <f>'Optional Adjustment 23'!G680*$AO$1</f>
        <v>0</v>
      </c>
      <c r="AP680" s="133">
        <f>'Optional Adjustment 24'!G680*$AP$1</f>
        <v>0</v>
      </c>
      <c r="AQ680" s="133">
        <f>'Optional Adjustment 25'!G680*$AQ$1</f>
        <v>0</v>
      </c>
      <c r="AR680" s="133">
        <f>'Optional Adjustment 26'!G680*$AR$1</f>
        <v>0</v>
      </c>
      <c r="AS680" s="133">
        <f>'Optional Adjustment 27'!G680*$AS$1</f>
        <v>0</v>
      </c>
      <c r="AT680" s="133"/>
      <c r="AU680" s="133">
        <f>SUM(F680:AT680)</f>
        <v>418.22390783406445</v>
      </c>
      <c r="AV680" s="116"/>
      <c r="AW680" s="133">
        <f>SUM(AU680:AU680)</f>
        <v>418.22390783406445</v>
      </c>
      <c r="AX680" s="133">
        <f>+AW680-'ROR-Model'!G681</f>
        <v>0</v>
      </c>
    </row>
    <row r="681" spans="1:50">
      <c r="A681" s="134"/>
      <c r="B681" s="106"/>
      <c r="C681" s="106" t="s">
        <v>170</v>
      </c>
      <c r="D681" s="106"/>
      <c r="E681" s="331"/>
      <c r="F681" s="131">
        <f>SUM(F679:F680)</f>
        <v>0</v>
      </c>
      <c r="G681" s="131">
        <f>SUM(G679:G680)</f>
        <v>-30227.965538503922</v>
      </c>
      <c r="H681" s="131">
        <f>H1*SUM(H679:H680)</f>
        <v>0</v>
      </c>
      <c r="I681" s="131">
        <f>SUM(I679:I680)</f>
        <v>0</v>
      </c>
      <c r="J681" s="131">
        <f t="shared" ref="J681:P681" si="850">SUM(J679:J680)</f>
        <v>0</v>
      </c>
      <c r="K681" s="131">
        <f t="shared" si="850"/>
        <v>0</v>
      </c>
      <c r="L681" s="131">
        <f t="shared" si="850"/>
        <v>0</v>
      </c>
      <c r="M681" s="131">
        <f t="shared" si="850"/>
        <v>0</v>
      </c>
      <c r="N681" s="131">
        <f t="shared" si="850"/>
        <v>0</v>
      </c>
      <c r="O681" s="131">
        <f t="shared" si="850"/>
        <v>0</v>
      </c>
      <c r="P681" s="131">
        <f t="shared" si="850"/>
        <v>0</v>
      </c>
      <c r="Q681" s="241">
        <f>SUM(Q679:Q680)</f>
        <v>0</v>
      </c>
      <c r="R681" s="241">
        <f>SUM(R679:R680)</f>
        <v>0</v>
      </c>
      <c r="S681" s="556"/>
      <c r="T681" s="556">
        <f t="shared" ref="T681:AG681" si="851">SUM(T679:T680)</f>
        <v>0</v>
      </c>
      <c r="U681" s="556">
        <f t="shared" si="851"/>
        <v>0</v>
      </c>
      <c r="V681" s="556">
        <f t="shared" si="851"/>
        <v>0</v>
      </c>
      <c r="W681" s="556">
        <f t="shared" si="851"/>
        <v>0</v>
      </c>
      <c r="X681" s="556">
        <f t="shared" si="851"/>
        <v>0</v>
      </c>
      <c r="Y681" s="556">
        <f t="shared" si="851"/>
        <v>0</v>
      </c>
      <c r="Z681" s="556">
        <f t="shared" si="851"/>
        <v>0</v>
      </c>
      <c r="AA681" s="556">
        <f t="shared" si="851"/>
        <v>0</v>
      </c>
      <c r="AB681" s="556">
        <f t="shared" si="851"/>
        <v>0</v>
      </c>
      <c r="AC681" s="556">
        <f t="shared" si="851"/>
        <v>0</v>
      </c>
      <c r="AD681" s="556">
        <f t="shared" si="851"/>
        <v>0</v>
      </c>
      <c r="AE681" s="556">
        <f t="shared" si="851"/>
        <v>0</v>
      </c>
      <c r="AF681" s="556">
        <f t="shared" si="851"/>
        <v>0</v>
      </c>
      <c r="AG681" s="556">
        <f t="shared" si="851"/>
        <v>0</v>
      </c>
      <c r="AH681" s="556">
        <f t="shared" ref="AH681:AK681" si="852">SUM(AH679:AH680)</f>
        <v>0</v>
      </c>
      <c r="AI681" s="556">
        <f t="shared" si="852"/>
        <v>0</v>
      </c>
      <c r="AJ681" s="556">
        <f t="shared" si="852"/>
        <v>0</v>
      </c>
      <c r="AK681" s="556">
        <f t="shared" si="852"/>
        <v>0</v>
      </c>
      <c r="AL681" s="556">
        <f t="shared" ref="AL681:AP681" si="853">SUM(AL679:AL680)</f>
        <v>0</v>
      </c>
      <c r="AM681" s="556">
        <f t="shared" si="853"/>
        <v>0</v>
      </c>
      <c r="AN681" s="556">
        <f t="shared" si="853"/>
        <v>0</v>
      </c>
      <c r="AO681" s="556">
        <f t="shared" si="853"/>
        <v>0</v>
      </c>
      <c r="AP681" s="556">
        <f t="shared" si="853"/>
        <v>0</v>
      </c>
      <c r="AQ681" s="556">
        <f t="shared" ref="AQ681:AS681" si="854">SUM(AQ679:AQ680)</f>
        <v>0</v>
      </c>
      <c r="AR681" s="556">
        <f t="shared" si="854"/>
        <v>0</v>
      </c>
      <c r="AS681" s="556">
        <f t="shared" si="854"/>
        <v>0</v>
      </c>
      <c r="AT681" s="556"/>
      <c r="AU681" s="241">
        <f>SUM(AU679:AU680)</f>
        <v>-30227.965538503922</v>
      </c>
      <c r="AV681" s="131"/>
      <c r="AW681" s="241">
        <f>SUM(AW679:AW680)</f>
        <v>-30227.965538503922</v>
      </c>
      <c r="AX681" s="241">
        <f>+AW681-'ROR-Model'!G682</f>
        <v>0</v>
      </c>
    </row>
    <row r="682" spans="1:50">
      <c r="A682" s="134"/>
      <c r="B682" s="106"/>
      <c r="C682" s="106"/>
      <c r="D682" s="106"/>
      <c r="E682" s="331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16"/>
      <c r="AW682" s="133"/>
      <c r="AX682" s="133">
        <f>+AW682-'ROR-Model'!G683</f>
        <v>0</v>
      </c>
    </row>
    <row r="683" spans="1:50">
      <c r="A683" s="134">
        <v>878</v>
      </c>
      <c r="B683" s="106" t="s">
        <v>382</v>
      </c>
      <c r="C683" s="106"/>
      <c r="D683" s="106"/>
      <c r="E683" s="331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16"/>
      <c r="AW683" s="133"/>
      <c r="AX683" s="133">
        <f>+AW683-'ROR-Model'!G684</f>
        <v>0</v>
      </c>
    </row>
    <row r="684" spans="1:50">
      <c r="A684" s="134"/>
      <c r="B684" s="106"/>
      <c r="C684" s="106" t="s">
        <v>14</v>
      </c>
      <c r="D684" s="106"/>
      <c r="E684" s="331"/>
      <c r="F684" s="116"/>
      <c r="G684" s="116">
        <f>$G$1*EXPENSES!L176</f>
        <v>-73519.496413615067</v>
      </c>
      <c r="H684" s="116"/>
      <c r="I684" s="116"/>
      <c r="J684" s="116"/>
      <c r="K684" s="116"/>
      <c r="L684" s="116"/>
      <c r="M684" s="116"/>
      <c r="N684" s="116"/>
      <c r="O684" s="116"/>
      <c r="P684" s="116"/>
      <c r="Q684" s="133"/>
      <c r="R684" s="133"/>
      <c r="S684" s="133"/>
      <c r="T684" s="133">
        <f>'Optional Adjustment 2'!G684*$T$1</f>
        <v>0</v>
      </c>
      <c r="U684" s="133">
        <f>'Optional Adjustment 3'!G684*$U$1</f>
        <v>0</v>
      </c>
      <c r="V684" s="133">
        <f>'Optional Adjustment 4'!G684*$V$1</f>
        <v>0</v>
      </c>
      <c r="W684" s="133">
        <f>'Optional Adjustment 5'!G684*$W$1</f>
        <v>0</v>
      </c>
      <c r="X684" s="133">
        <f>'Optional Adjustment 6'!G684*$X$1</f>
        <v>0</v>
      </c>
      <c r="Y684" s="133">
        <f>'Optional Adjustment 7'!G684*$Y$1</f>
        <v>0</v>
      </c>
      <c r="Z684" s="133">
        <f>'Optional Adjustment 8'!G684*$Z$1</f>
        <v>0</v>
      </c>
      <c r="AA684" s="133">
        <f>'Optional Adjustment 9'!G684*$AA$1</f>
        <v>0</v>
      </c>
      <c r="AB684" s="133">
        <f>'Optional Adjustment 10'!G684*$AB$1</f>
        <v>0</v>
      </c>
      <c r="AC684" s="133">
        <f>'Optional Adjustment 11'!G684*$AC$1</f>
        <v>0</v>
      </c>
      <c r="AD684" s="133">
        <f>'Optional Adjustment 12'!G684*$AD$1</f>
        <v>0</v>
      </c>
      <c r="AE684" s="133">
        <f>'Optional Adjustment 13'!G684*$AE$1</f>
        <v>0</v>
      </c>
      <c r="AF684" s="133">
        <f>'Optional Adjustment 14'!G684*$AF$1</f>
        <v>0</v>
      </c>
      <c r="AG684" s="133">
        <f>'Optional Adjustment 15'!G684*$AG$1</f>
        <v>0</v>
      </c>
      <c r="AH684" s="133">
        <f>'Optional Adjustment 16'!G684*$AH$1</f>
        <v>0</v>
      </c>
      <c r="AI684" s="133">
        <f>'Optional Adjustment 17'!G684*$AI$1</f>
        <v>0</v>
      </c>
      <c r="AJ684" s="133">
        <f>'Optional Adjustment 18'!G684*$AJ$1</f>
        <v>0</v>
      </c>
      <c r="AK684" s="133">
        <f>'Optional Adjustment 19'!G684*$AK$1</f>
        <v>0</v>
      </c>
      <c r="AL684" s="133">
        <f>'Optional Adjustment 20'!G684*$AL$1</f>
        <v>0</v>
      </c>
      <c r="AM684" s="133">
        <f>'Optional Adjustment 21'!G684*$AM$1</f>
        <v>0</v>
      </c>
      <c r="AN684" s="133">
        <f>'Optional Adjustment 22'!G684*$AN$1</f>
        <v>0</v>
      </c>
      <c r="AO684" s="133">
        <f>'Optional Adjustment 23'!G684*$AO$1</f>
        <v>0</v>
      </c>
      <c r="AP684" s="133">
        <f>'Optional Adjustment 24'!G684*$AP$1</f>
        <v>0</v>
      </c>
      <c r="AQ684" s="133">
        <f>'Optional Adjustment 25'!G684*$AQ$1</f>
        <v>0</v>
      </c>
      <c r="AR684" s="133">
        <f>'Optional Adjustment 26'!G684*$AR$1</f>
        <v>0</v>
      </c>
      <c r="AS684" s="133">
        <f>'Optional Adjustment 27'!G684*$AS$1</f>
        <v>0</v>
      </c>
      <c r="AT684" s="133"/>
      <c r="AU684" s="133">
        <f>SUM(F684:AT684)</f>
        <v>-73519.496413615067</v>
      </c>
      <c r="AV684" s="116"/>
      <c r="AW684" s="133">
        <f>SUM(AU684:AU684)</f>
        <v>-73519.496413615067</v>
      </c>
      <c r="AX684" s="133">
        <f>+AW684-'ROR-Model'!G685</f>
        <v>0</v>
      </c>
    </row>
    <row r="685" spans="1:50">
      <c r="A685" s="134"/>
      <c r="B685" s="106"/>
      <c r="C685" s="106" t="s">
        <v>24</v>
      </c>
      <c r="D685" s="106"/>
      <c r="E685" s="331"/>
      <c r="F685" s="116"/>
      <c r="G685" s="116">
        <f>$G$1*EXPENSES!L177</f>
        <v>-6184.8497864376113</v>
      </c>
      <c r="H685" s="116"/>
      <c r="I685" s="116"/>
      <c r="J685" s="116"/>
      <c r="K685" s="116"/>
      <c r="L685" s="116"/>
      <c r="M685" s="116"/>
      <c r="N685" s="116"/>
      <c r="O685" s="116"/>
      <c r="P685" s="116"/>
      <c r="Q685" s="133"/>
      <c r="R685" s="133"/>
      <c r="S685" s="133"/>
      <c r="T685" s="133">
        <f>'Optional Adjustment 2'!G685*$T$1</f>
        <v>0</v>
      </c>
      <c r="U685" s="133">
        <f>'Optional Adjustment 3'!G685*$U$1</f>
        <v>0</v>
      </c>
      <c r="V685" s="133">
        <f>'Optional Adjustment 4'!G685*$V$1</f>
        <v>0</v>
      </c>
      <c r="W685" s="133">
        <f>'Optional Adjustment 5'!G685*$W$1</f>
        <v>0</v>
      </c>
      <c r="X685" s="133">
        <f>'Optional Adjustment 6'!G685*$X$1</f>
        <v>0</v>
      </c>
      <c r="Y685" s="133">
        <f>'Optional Adjustment 7'!G685*$Y$1</f>
        <v>0</v>
      </c>
      <c r="Z685" s="133">
        <f>'Optional Adjustment 8'!G685*$Z$1</f>
        <v>0</v>
      </c>
      <c r="AA685" s="133">
        <f>'Optional Adjustment 9'!G685*$AA$1</f>
        <v>0</v>
      </c>
      <c r="AB685" s="133">
        <f>'Optional Adjustment 10'!G685*$AB$1</f>
        <v>0</v>
      </c>
      <c r="AC685" s="133">
        <f>'Optional Adjustment 11'!G685*$AC$1</f>
        <v>0</v>
      </c>
      <c r="AD685" s="133">
        <f>'Optional Adjustment 12'!G685*$AD$1</f>
        <v>0</v>
      </c>
      <c r="AE685" s="133">
        <f>'Optional Adjustment 13'!G685*$AE$1</f>
        <v>0</v>
      </c>
      <c r="AF685" s="133">
        <f>'Optional Adjustment 14'!G685*$AF$1</f>
        <v>0</v>
      </c>
      <c r="AG685" s="133">
        <f>'Optional Adjustment 15'!G685*$AG$1</f>
        <v>0</v>
      </c>
      <c r="AH685" s="133">
        <f>'Optional Adjustment 16'!G685*$AH$1</f>
        <v>0</v>
      </c>
      <c r="AI685" s="133">
        <f>'Optional Adjustment 17'!G685*$AI$1</f>
        <v>0</v>
      </c>
      <c r="AJ685" s="133">
        <f>'Optional Adjustment 18'!G685*$AJ$1</f>
        <v>0</v>
      </c>
      <c r="AK685" s="133">
        <f>'Optional Adjustment 19'!G685*$AK$1</f>
        <v>0</v>
      </c>
      <c r="AL685" s="133">
        <f>'Optional Adjustment 20'!G685*$AL$1</f>
        <v>0</v>
      </c>
      <c r="AM685" s="133">
        <f>'Optional Adjustment 21'!G685*$AM$1</f>
        <v>0</v>
      </c>
      <c r="AN685" s="133">
        <f>'Optional Adjustment 22'!G685*$AN$1</f>
        <v>0</v>
      </c>
      <c r="AO685" s="133">
        <f>'Optional Adjustment 23'!G685*$AO$1</f>
        <v>0</v>
      </c>
      <c r="AP685" s="133">
        <f>'Optional Adjustment 24'!G685*$AP$1</f>
        <v>0</v>
      </c>
      <c r="AQ685" s="133">
        <f>'Optional Adjustment 25'!G685*$AQ$1</f>
        <v>0</v>
      </c>
      <c r="AR685" s="133">
        <f>'Optional Adjustment 26'!G685*$AR$1</f>
        <v>0</v>
      </c>
      <c r="AS685" s="133">
        <f>'Optional Adjustment 27'!G685*$AS$1</f>
        <v>0</v>
      </c>
      <c r="AT685" s="133"/>
      <c r="AU685" s="133">
        <f>SUM(F685:AT685)</f>
        <v>-6184.8497864376113</v>
      </c>
      <c r="AV685" s="116"/>
      <c r="AW685" s="133">
        <f>SUM(AU685:AU685)</f>
        <v>-6184.8497864376113</v>
      </c>
      <c r="AX685" s="133">
        <f>+AW685-'ROR-Model'!G686</f>
        <v>0</v>
      </c>
    </row>
    <row r="686" spans="1:50">
      <c r="A686" s="134"/>
      <c r="B686" s="106"/>
      <c r="C686" s="106" t="s">
        <v>170</v>
      </c>
      <c r="D686" s="106"/>
      <c r="E686" s="331"/>
      <c r="F686" s="131">
        <f>SUM(F684:F685)</f>
        <v>0</v>
      </c>
      <c r="G686" s="131">
        <f>SUM(G684:G685)</f>
        <v>-79704.346200052678</v>
      </c>
      <c r="H686" s="131">
        <f>H1*SUM(H684:H685)</f>
        <v>0</v>
      </c>
      <c r="I686" s="131">
        <f>SUM(I684:I685)</f>
        <v>0</v>
      </c>
      <c r="J686" s="131">
        <f t="shared" ref="J686:P686" si="855">SUM(J684:J685)</f>
        <v>0</v>
      </c>
      <c r="K686" s="131">
        <f t="shared" si="855"/>
        <v>0</v>
      </c>
      <c r="L686" s="131">
        <f t="shared" si="855"/>
        <v>0</v>
      </c>
      <c r="M686" s="131">
        <f t="shared" si="855"/>
        <v>0</v>
      </c>
      <c r="N686" s="131">
        <f t="shared" si="855"/>
        <v>0</v>
      </c>
      <c r="O686" s="131">
        <f t="shared" si="855"/>
        <v>0</v>
      </c>
      <c r="P686" s="131">
        <f t="shared" si="855"/>
        <v>0</v>
      </c>
      <c r="Q686" s="241">
        <f>SUM(Q684:Q685)</f>
        <v>0</v>
      </c>
      <c r="R686" s="241">
        <f>SUM(R684:R685)</f>
        <v>0</v>
      </c>
      <c r="S686" s="556"/>
      <c r="T686" s="556">
        <f t="shared" ref="T686:AG686" si="856">SUM(T684:T685)</f>
        <v>0</v>
      </c>
      <c r="U686" s="556">
        <f t="shared" si="856"/>
        <v>0</v>
      </c>
      <c r="V686" s="556">
        <f t="shared" si="856"/>
        <v>0</v>
      </c>
      <c r="W686" s="556">
        <f t="shared" si="856"/>
        <v>0</v>
      </c>
      <c r="X686" s="556">
        <f t="shared" si="856"/>
        <v>0</v>
      </c>
      <c r="Y686" s="556">
        <f t="shared" si="856"/>
        <v>0</v>
      </c>
      <c r="Z686" s="556">
        <f t="shared" si="856"/>
        <v>0</v>
      </c>
      <c r="AA686" s="556">
        <f t="shared" si="856"/>
        <v>0</v>
      </c>
      <c r="AB686" s="556">
        <f t="shared" si="856"/>
        <v>0</v>
      </c>
      <c r="AC686" s="556">
        <f t="shared" si="856"/>
        <v>0</v>
      </c>
      <c r="AD686" s="556">
        <f t="shared" si="856"/>
        <v>0</v>
      </c>
      <c r="AE686" s="556">
        <f t="shared" si="856"/>
        <v>0</v>
      </c>
      <c r="AF686" s="556">
        <f t="shared" si="856"/>
        <v>0</v>
      </c>
      <c r="AG686" s="556">
        <f t="shared" si="856"/>
        <v>0</v>
      </c>
      <c r="AH686" s="556">
        <f t="shared" ref="AH686:AK686" si="857">SUM(AH684:AH685)</f>
        <v>0</v>
      </c>
      <c r="AI686" s="556">
        <f t="shared" si="857"/>
        <v>0</v>
      </c>
      <c r="AJ686" s="556">
        <f t="shared" si="857"/>
        <v>0</v>
      </c>
      <c r="AK686" s="556">
        <f t="shared" si="857"/>
        <v>0</v>
      </c>
      <c r="AL686" s="556">
        <f t="shared" ref="AL686:AP686" si="858">SUM(AL684:AL685)</f>
        <v>0</v>
      </c>
      <c r="AM686" s="556">
        <f t="shared" si="858"/>
        <v>0</v>
      </c>
      <c r="AN686" s="556">
        <f t="shared" si="858"/>
        <v>0</v>
      </c>
      <c r="AO686" s="556">
        <f t="shared" si="858"/>
        <v>0</v>
      </c>
      <c r="AP686" s="556">
        <f t="shared" si="858"/>
        <v>0</v>
      </c>
      <c r="AQ686" s="556">
        <f t="shared" ref="AQ686:AS686" si="859">SUM(AQ684:AQ685)</f>
        <v>0</v>
      </c>
      <c r="AR686" s="556">
        <f t="shared" si="859"/>
        <v>0</v>
      </c>
      <c r="AS686" s="556">
        <f t="shared" si="859"/>
        <v>0</v>
      </c>
      <c r="AT686" s="556"/>
      <c r="AU686" s="241">
        <f>SUM(AU684:AU685)</f>
        <v>-79704.346200052678</v>
      </c>
      <c r="AV686" s="131"/>
      <c r="AW686" s="241">
        <f>SUM(AW684:AW685)</f>
        <v>-79704.346200052678</v>
      </c>
      <c r="AX686" s="241">
        <f>+AW686-'ROR-Model'!G687</f>
        <v>0</v>
      </c>
    </row>
    <row r="687" spans="1:50">
      <c r="A687" s="134"/>
      <c r="B687" s="106"/>
      <c r="C687" s="106"/>
      <c r="D687" s="106"/>
      <c r="E687" s="331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16"/>
      <c r="AW687" s="133"/>
      <c r="AX687" s="133">
        <f>+AW687-'ROR-Model'!G688</f>
        <v>0</v>
      </c>
    </row>
    <row r="688" spans="1:50">
      <c r="A688" s="134">
        <v>879</v>
      </c>
      <c r="B688" s="106" t="s">
        <v>383</v>
      </c>
      <c r="C688" s="106"/>
      <c r="D688" s="106"/>
      <c r="E688" s="331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16"/>
      <c r="AW688" s="133"/>
      <c r="AX688" s="133">
        <f>+AW688-'ROR-Model'!G689</f>
        <v>0</v>
      </c>
    </row>
    <row r="689" spans="1:50">
      <c r="A689" s="134"/>
      <c r="B689" s="106"/>
      <c r="C689" s="106" t="s">
        <v>14</v>
      </c>
      <c r="D689" s="106"/>
      <c r="E689" s="331"/>
      <c r="F689" s="116"/>
      <c r="G689" s="116">
        <f>$G$1*EXPENSES!L181</f>
        <v>-86664.959067521617</v>
      </c>
      <c r="H689" s="116"/>
      <c r="I689" s="116"/>
      <c r="J689" s="116"/>
      <c r="K689" s="116"/>
      <c r="L689" s="116"/>
      <c r="M689" s="116"/>
      <c r="N689" s="116"/>
      <c r="O689" s="116"/>
      <c r="P689" s="116"/>
      <c r="Q689" s="133"/>
      <c r="R689" s="133"/>
      <c r="S689" s="133"/>
      <c r="T689" s="133">
        <f>'Optional Adjustment 2'!G689*$T$1</f>
        <v>0</v>
      </c>
      <c r="U689" s="133">
        <f>'Optional Adjustment 3'!G689*$U$1</f>
        <v>0</v>
      </c>
      <c r="V689" s="133">
        <f>'Optional Adjustment 4'!G689*$V$1</f>
        <v>0</v>
      </c>
      <c r="W689" s="133">
        <f>'Optional Adjustment 5'!G689*$W$1</f>
        <v>0</v>
      </c>
      <c r="X689" s="133">
        <f>'Optional Adjustment 6'!G689*$X$1</f>
        <v>0</v>
      </c>
      <c r="Y689" s="133">
        <f>'Optional Adjustment 7'!G689*$Y$1</f>
        <v>0</v>
      </c>
      <c r="Z689" s="133">
        <f>'Optional Adjustment 8'!G689*$Z$1</f>
        <v>0</v>
      </c>
      <c r="AA689" s="133">
        <f>'Optional Adjustment 9'!G689*$AA$1</f>
        <v>0</v>
      </c>
      <c r="AB689" s="133">
        <f>'Optional Adjustment 10'!G689*$AB$1</f>
        <v>0</v>
      </c>
      <c r="AC689" s="133">
        <f>'Optional Adjustment 11'!G689*$AC$1</f>
        <v>0</v>
      </c>
      <c r="AD689" s="133">
        <f>'Optional Adjustment 12'!G689*$AD$1</f>
        <v>0</v>
      </c>
      <c r="AE689" s="133">
        <f>'Optional Adjustment 13'!G689*$AE$1</f>
        <v>0</v>
      </c>
      <c r="AF689" s="133">
        <f>'Optional Adjustment 14'!G689*$AF$1</f>
        <v>0</v>
      </c>
      <c r="AG689" s="133">
        <f>'Optional Adjustment 15'!G689*$AG$1</f>
        <v>0</v>
      </c>
      <c r="AH689" s="133">
        <f>'Optional Adjustment 16'!G689*$AH$1</f>
        <v>0</v>
      </c>
      <c r="AI689" s="133">
        <f>'Optional Adjustment 17'!G689*$AI$1</f>
        <v>0</v>
      </c>
      <c r="AJ689" s="133">
        <f>'Optional Adjustment 18'!G689*$AJ$1</f>
        <v>0</v>
      </c>
      <c r="AK689" s="133">
        <f>'Optional Adjustment 19'!G689*$AK$1</f>
        <v>0</v>
      </c>
      <c r="AL689" s="133">
        <f>'Optional Adjustment 20'!G689*$AL$1</f>
        <v>0</v>
      </c>
      <c r="AM689" s="133">
        <f>'Optional Adjustment 21'!G689*$AM$1</f>
        <v>0</v>
      </c>
      <c r="AN689" s="133">
        <f>'Optional Adjustment 22'!G689*$AN$1</f>
        <v>0</v>
      </c>
      <c r="AO689" s="133">
        <f>'Optional Adjustment 23'!G689*$AO$1</f>
        <v>0</v>
      </c>
      <c r="AP689" s="133">
        <f>'Optional Adjustment 24'!G689*$AP$1</f>
        <v>0</v>
      </c>
      <c r="AQ689" s="133">
        <f>'Optional Adjustment 25'!G689*$AQ$1</f>
        <v>0</v>
      </c>
      <c r="AR689" s="133">
        <f>'Optional Adjustment 26'!G689*$AR$1</f>
        <v>0</v>
      </c>
      <c r="AS689" s="133">
        <f>'Optional Adjustment 27'!G689*$AS$1</f>
        <v>0</v>
      </c>
      <c r="AT689" s="133"/>
      <c r="AU689" s="133">
        <f>SUM(F689:AT689)</f>
        <v>-86664.959067521617</v>
      </c>
      <c r="AV689" s="116"/>
      <c r="AW689" s="133">
        <f>SUM(AU689:AU689)</f>
        <v>-86664.959067521617</v>
      </c>
      <c r="AX689" s="133">
        <f>+AW689-'ROR-Model'!G690</f>
        <v>0</v>
      </c>
    </row>
    <row r="690" spans="1:50">
      <c r="A690" s="134"/>
      <c r="B690" s="106"/>
      <c r="C690" s="106" t="s">
        <v>24</v>
      </c>
      <c r="D690" s="106"/>
      <c r="E690" s="331"/>
      <c r="F690" s="116"/>
      <c r="G690" s="116">
        <f>$G$1*EXPENSES!L182</f>
        <v>-2851.6980095797626</v>
      </c>
      <c r="H690" s="116"/>
      <c r="I690" s="116"/>
      <c r="J690" s="116"/>
      <c r="K690" s="116"/>
      <c r="L690" s="116"/>
      <c r="M690" s="116"/>
      <c r="N690" s="116"/>
      <c r="O690" s="116"/>
      <c r="P690" s="116"/>
      <c r="Q690" s="133"/>
      <c r="R690" s="133"/>
      <c r="S690" s="133"/>
      <c r="T690" s="133">
        <f>'Optional Adjustment 2'!G690*$T$1</f>
        <v>0</v>
      </c>
      <c r="U690" s="133">
        <f>'Optional Adjustment 3'!G690*$U$1</f>
        <v>0</v>
      </c>
      <c r="V690" s="133">
        <f>'Optional Adjustment 4'!G690*$V$1</f>
        <v>0</v>
      </c>
      <c r="W690" s="133">
        <f>'Optional Adjustment 5'!G690*$W$1</f>
        <v>0</v>
      </c>
      <c r="X690" s="133">
        <f>'Optional Adjustment 6'!G690*$X$1</f>
        <v>0</v>
      </c>
      <c r="Y690" s="133">
        <f>'Optional Adjustment 7'!G690*$Y$1</f>
        <v>0</v>
      </c>
      <c r="Z690" s="133">
        <f>'Optional Adjustment 8'!G690*$Z$1</f>
        <v>0</v>
      </c>
      <c r="AA690" s="133">
        <f>'Optional Adjustment 9'!G690*$AA$1</f>
        <v>0</v>
      </c>
      <c r="AB690" s="133">
        <f>'Optional Adjustment 10'!G690*$AB$1</f>
        <v>0</v>
      </c>
      <c r="AC690" s="133">
        <f>'Optional Adjustment 11'!G690*$AC$1</f>
        <v>0</v>
      </c>
      <c r="AD690" s="133">
        <f>'Optional Adjustment 12'!G690*$AD$1</f>
        <v>0</v>
      </c>
      <c r="AE690" s="133">
        <f>'Optional Adjustment 13'!G690*$AE$1</f>
        <v>0</v>
      </c>
      <c r="AF690" s="133">
        <f>'Optional Adjustment 14'!G690*$AF$1</f>
        <v>0</v>
      </c>
      <c r="AG690" s="133">
        <f>'Optional Adjustment 15'!G690*$AG$1</f>
        <v>0</v>
      </c>
      <c r="AH690" s="133">
        <f>'Optional Adjustment 16'!G690*$AH$1</f>
        <v>0</v>
      </c>
      <c r="AI690" s="133">
        <f>'Optional Adjustment 17'!G690*$AI$1</f>
        <v>0</v>
      </c>
      <c r="AJ690" s="133">
        <f>'Optional Adjustment 18'!G690*$AJ$1</f>
        <v>0</v>
      </c>
      <c r="AK690" s="133">
        <f>'Optional Adjustment 19'!G690*$AK$1</f>
        <v>0</v>
      </c>
      <c r="AL690" s="133">
        <f>'Optional Adjustment 20'!G690*$AL$1</f>
        <v>0</v>
      </c>
      <c r="AM690" s="133">
        <f>'Optional Adjustment 21'!G690*$AM$1</f>
        <v>0</v>
      </c>
      <c r="AN690" s="133">
        <f>'Optional Adjustment 22'!G690*$AN$1</f>
        <v>0</v>
      </c>
      <c r="AO690" s="133">
        <f>'Optional Adjustment 23'!G690*$AO$1</f>
        <v>0</v>
      </c>
      <c r="AP690" s="133">
        <f>'Optional Adjustment 24'!G690*$AP$1</f>
        <v>0</v>
      </c>
      <c r="AQ690" s="133">
        <f>'Optional Adjustment 25'!G690*$AQ$1</f>
        <v>0</v>
      </c>
      <c r="AR690" s="133">
        <f>'Optional Adjustment 26'!G690*$AR$1</f>
        <v>0</v>
      </c>
      <c r="AS690" s="133">
        <f>'Optional Adjustment 27'!G690*$AS$1</f>
        <v>0</v>
      </c>
      <c r="AT690" s="133"/>
      <c r="AU690" s="133">
        <f>SUM(F690:AT690)</f>
        <v>-2851.6980095797626</v>
      </c>
      <c r="AV690" s="116"/>
      <c r="AW690" s="133">
        <f>SUM(AU690:AU690)</f>
        <v>-2851.6980095797626</v>
      </c>
      <c r="AX690" s="133">
        <f>+AW690-'ROR-Model'!G691</f>
        <v>0</v>
      </c>
    </row>
    <row r="691" spans="1:50">
      <c r="A691" s="134"/>
      <c r="B691" s="106"/>
      <c r="C691" s="106" t="s">
        <v>170</v>
      </c>
      <c r="D691" s="106"/>
      <c r="E691" s="331"/>
      <c r="F691" s="131">
        <f>SUM(F689:F690)</f>
        <v>0</v>
      </c>
      <c r="G691" s="131">
        <f>SUM(G689:G690)</f>
        <v>-89516.657077101379</v>
      </c>
      <c r="H691" s="131">
        <f>H1*SUM(H689:H690)</f>
        <v>0</v>
      </c>
      <c r="I691" s="131">
        <f>SUM(I689:I690)</f>
        <v>0</v>
      </c>
      <c r="J691" s="131">
        <f t="shared" ref="J691:P691" si="860">SUM(J689:J690)</f>
        <v>0</v>
      </c>
      <c r="K691" s="131">
        <f t="shared" si="860"/>
        <v>0</v>
      </c>
      <c r="L691" s="131">
        <f t="shared" si="860"/>
        <v>0</v>
      </c>
      <c r="M691" s="131">
        <f t="shared" si="860"/>
        <v>0</v>
      </c>
      <c r="N691" s="131">
        <f t="shared" si="860"/>
        <v>0</v>
      </c>
      <c r="O691" s="131">
        <f t="shared" si="860"/>
        <v>0</v>
      </c>
      <c r="P691" s="131">
        <f t="shared" si="860"/>
        <v>0</v>
      </c>
      <c r="Q691" s="241">
        <f>SUM(Q689:Q690)</f>
        <v>0</v>
      </c>
      <c r="R691" s="241">
        <f>SUM(R689:R690)</f>
        <v>0</v>
      </c>
      <c r="S691" s="556"/>
      <c r="T691" s="556">
        <f t="shared" ref="T691:AG691" si="861">SUM(T689:T690)</f>
        <v>0</v>
      </c>
      <c r="U691" s="556">
        <f t="shared" si="861"/>
        <v>0</v>
      </c>
      <c r="V691" s="556">
        <f t="shared" si="861"/>
        <v>0</v>
      </c>
      <c r="W691" s="556">
        <f t="shared" si="861"/>
        <v>0</v>
      </c>
      <c r="X691" s="556">
        <f t="shared" si="861"/>
        <v>0</v>
      </c>
      <c r="Y691" s="556">
        <f t="shared" si="861"/>
        <v>0</v>
      </c>
      <c r="Z691" s="556">
        <f t="shared" si="861"/>
        <v>0</v>
      </c>
      <c r="AA691" s="556">
        <f t="shared" si="861"/>
        <v>0</v>
      </c>
      <c r="AB691" s="556">
        <f t="shared" si="861"/>
        <v>0</v>
      </c>
      <c r="AC691" s="556">
        <f t="shared" si="861"/>
        <v>0</v>
      </c>
      <c r="AD691" s="556">
        <f t="shared" si="861"/>
        <v>0</v>
      </c>
      <c r="AE691" s="556">
        <f t="shared" si="861"/>
        <v>0</v>
      </c>
      <c r="AF691" s="556">
        <f t="shared" si="861"/>
        <v>0</v>
      </c>
      <c r="AG691" s="556">
        <f t="shared" si="861"/>
        <v>0</v>
      </c>
      <c r="AH691" s="556">
        <f t="shared" ref="AH691:AK691" si="862">SUM(AH689:AH690)</f>
        <v>0</v>
      </c>
      <c r="AI691" s="556">
        <f t="shared" si="862"/>
        <v>0</v>
      </c>
      <c r="AJ691" s="556">
        <f t="shared" si="862"/>
        <v>0</v>
      </c>
      <c r="AK691" s="556">
        <f t="shared" si="862"/>
        <v>0</v>
      </c>
      <c r="AL691" s="556">
        <f t="shared" ref="AL691:AP691" si="863">SUM(AL689:AL690)</f>
        <v>0</v>
      </c>
      <c r="AM691" s="556">
        <f t="shared" si="863"/>
        <v>0</v>
      </c>
      <c r="AN691" s="556">
        <f t="shared" si="863"/>
        <v>0</v>
      </c>
      <c r="AO691" s="556">
        <f t="shared" si="863"/>
        <v>0</v>
      </c>
      <c r="AP691" s="556">
        <f t="shared" si="863"/>
        <v>0</v>
      </c>
      <c r="AQ691" s="556">
        <f t="shared" ref="AQ691:AS691" si="864">SUM(AQ689:AQ690)</f>
        <v>0</v>
      </c>
      <c r="AR691" s="556">
        <f t="shared" si="864"/>
        <v>0</v>
      </c>
      <c r="AS691" s="556">
        <f t="shared" si="864"/>
        <v>0</v>
      </c>
      <c r="AT691" s="556"/>
      <c r="AU691" s="241">
        <f>SUM(AU689:AU690)</f>
        <v>-89516.657077101379</v>
      </c>
      <c r="AV691" s="131"/>
      <c r="AW691" s="241">
        <f>SUM(AW689:AW690)</f>
        <v>-89516.657077101379</v>
      </c>
      <c r="AX691" s="241">
        <f>+AW691-'ROR-Model'!G692</f>
        <v>0</v>
      </c>
    </row>
    <row r="692" spans="1:50">
      <c r="A692" s="134"/>
      <c r="B692" s="106"/>
      <c r="C692" s="106"/>
      <c r="D692" s="106"/>
      <c r="E692" s="331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16"/>
      <c r="AW692" s="133"/>
      <c r="AX692" s="133">
        <f>+AW692-'ROR-Model'!G693</f>
        <v>0</v>
      </c>
    </row>
    <row r="693" spans="1:50">
      <c r="A693" s="134">
        <v>880</v>
      </c>
      <c r="B693" s="106" t="s">
        <v>384</v>
      </c>
      <c r="C693" s="106"/>
      <c r="D693" s="106"/>
      <c r="E693" s="331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16"/>
      <c r="AW693" s="133"/>
      <c r="AX693" s="133">
        <f>+AW693-'ROR-Model'!G694</f>
        <v>0</v>
      </c>
    </row>
    <row r="694" spans="1:50">
      <c r="A694" s="134"/>
      <c r="B694" s="106"/>
      <c r="C694" s="106" t="s">
        <v>14</v>
      </c>
      <c r="D694" s="106"/>
      <c r="E694" s="331"/>
      <c r="F694" s="116"/>
      <c r="G694" s="116">
        <f>$G$1*EXPENSES!L186</f>
        <v>-171665.41547992267</v>
      </c>
      <c r="H694" s="116"/>
      <c r="I694" s="116"/>
      <c r="J694" s="116"/>
      <c r="K694" s="116"/>
      <c r="L694" s="116"/>
      <c r="M694" s="116"/>
      <c r="N694" s="116"/>
      <c r="O694" s="116"/>
      <c r="P694" s="116"/>
      <c r="Q694" s="133"/>
      <c r="R694" s="133"/>
      <c r="S694" s="133"/>
      <c r="T694" s="133">
        <f>'Optional Adjustment 2'!G694*$T$1</f>
        <v>0</v>
      </c>
      <c r="U694" s="133">
        <f>'Optional Adjustment 3'!G694*$U$1</f>
        <v>0</v>
      </c>
      <c r="V694" s="133">
        <f>'Optional Adjustment 4'!G694*$V$1</f>
        <v>0</v>
      </c>
      <c r="W694" s="133">
        <f>'Optional Adjustment 5'!G694*$W$1</f>
        <v>0</v>
      </c>
      <c r="X694" s="133">
        <f>'Optional Adjustment 6'!G694*$X$1</f>
        <v>0</v>
      </c>
      <c r="Y694" s="133">
        <f>'Optional Adjustment 7'!G694*$Y$1</f>
        <v>0</v>
      </c>
      <c r="Z694" s="133">
        <f>'Optional Adjustment 8'!G694*$Z$1</f>
        <v>0</v>
      </c>
      <c r="AA694" s="133">
        <f>'Optional Adjustment 9'!G694*$AA$1</f>
        <v>0</v>
      </c>
      <c r="AB694" s="133">
        <f>'Optional Adjustment 10'!G694*$AB$1</f>
        <v>0</v>
      </c>
      <c r="AC694" s="133">
        <f>'Optional Adjustment 11'!G694*$AC$1</f>
        <v>0</v>
      </c>
      <c r="AD694" s="133">
        <f>'Optional Adjustment 12'!G694*$AD$1</f>
        <v>0</v>
      </c>
      <c r="AE694" s="133">
        <f>'Optional Adjustment 13'!G694*$AE$1</f>
        <v>0</v>
      </c>
      <c r="AF694" s="133">
        <f>'Optional Adjustment 14'!G694*$AF$1</f>
        <v>0</v>
      </c>
      <c r="AG694" s="133">
        <f>'Optional Adjustment 15'!G694*$AG$1</f>
        <v>0</v>
      </c>
      <c r="AH694" s="133">
        <f>'Optional Adjustment 16'!G694*$AH$1</f>
        <v>0</v>
      </c>
      <c r="AI694" s="133">
        <f>'Optional Adjustment 17'!G694*$AI$1</f>
        <v>0</v>
      </c>
      <c r="AJ694" s="133">
        <f>'Optional Adjustment 18'!G694*$AJ$1</f>
        <v>0</v>
      </c>
      <c r="AK694" s="133">
        <f>'Optional Adjustment 19'!G694*$AK$1</f>
        <v>0</v>
      </c>
      <c r="AL694" s="133">
        <f>'Optional Adjustment 20'!G694*$AL$1</f>
        <v>0</v>
      </c>
      <c r="AM694" s="133">
        <f>'Optional Adjustment 21'!G694*$AM$1</f>
        <v>0</v>
      </c>
      <c r="AN694" s="133">
        <f>'Optional Adjustment 22'!G694*$AN$1</f>
        <v>0</v>
      </c>
      <c r="AO694" s="133">
        <f>'Optional Adjustment 23'!G694*$AO$1</f>
        <v>0</v>
      </c>
      <c r="AP694" s="133">
        <f>'Optional Adjustment 24'!G694*$AP$1</f>
        <v>0</v>
      </c>
      <c r="AQ694" s="133">
        <f>'Optional Adjustment 25'!G694*$AQ$1</f>
        <v>0</v>
      </c>
      <c r="AR694" s="133">
        <f>'Optional Adjustment 26'!G694*$AR$1</f>
        <v>0</v>
      </c>
      <c r="AS694" s="133">
        <f>'Optional Adjustment 27'!G694*$AS$1</f>
        <v>0</v>
      </c>
      <c r="AT694" s="133"/>
      <c r="AU694" s="133">
        <f>SUM(F694:AT694)</f>
        <v>-171665.41547992267</v>
      </c>
      <c r="AV694" s="116"/>
      <c r="AW694" s="133">
        <f>SUM(AU694:AU694)</f>
        <v>-171665.41547992267</v>
      </c>
      <c r="AX694" s="133">
        <f>+AW694-'ROR-Model'!G695</f>
        <v>0</v>
      </c>
    </row>
    <row r="695" spans="1:50">
      <c r="A695" s="134"/>
      <c r="B695" s="106"/>
      <c r="C695" s="106" t="s">
        <v>24</v>
      </c>
      <c r="D695" s="106"/>
      <c r="E695" s="331"/>
      <c r="F695" s="116"/>
      <c r="G695" s="116">
        <f>$G$1*EXPENSES!L187</f>
        <v>-14026.391142270761</v>
      </c>
      <c r="H695" s="116"/>
      <c r="I695" s="116"/>
      <c r="J695" s="116"/>
      <c r="K695" s="116"/>
      <c r="L695" s="116"/>
      <c r="M695" s="116"/>
      <c r="N695" s="116"/>
      <c r="O695" s="116"/>
      <c r="P695" s="116"/>
      <c r="Q695" s="133"/>
      <c r="R695" s="133"/>
      <c r="S695" s="133"/>
      <c r="T695" s="133">
        <f>'Optional Adjustment 2'!G695*$T$1</f>
        <v>0</v>
      </c>
      <c r="U695" s="133">
        <f>'Optional Adjustment 3'!G695*$U$1</f>
        <v>0</v>
      </c>
      <c r="V695" s="133">
        <f>'Optional Adjustment 4'!G695*$V$1</f>
        <v>0</v>
      </c>
      <c r="W695" s="133">
        <f>'Optional Adjustment 5'!G695*$W$1</f>
        <v>0</v>
      </c>
      <c r="X695" s="133">
        <f>'Optional Adjustment 6'!G695*$X$1</f>
        <v>0</v>
      </c>
      <c r="Y695" s="133">
        <f>'Optional Adjustment 7'!G695*$Y$1</f>
        <v>0</v>
      </c>
      <c r="Z695" s="133">
        <f>'Optional Adjustment 8'!G695*$Z$1</f>
        <v>0</v>
      </c>
      <c r="AA695" s="133">
        <f>'Optional Adjustment 9'!G695*$AA$1</f>
        <v>0</v>
      </c>
      <c r="AB695" s="133">
        <f>'Optional Adjustment 10'!G695*$AB$1</f>
        <v>0</v>
      </c>
      <c r="AC695" s="133">
        <f>'Optional Adjustment 11'!G695*$AC$1</f>
        <v>0</v>
      </c>
      <c r="AD695" s="133">
        <f>'Optional Adjustment 12'!G695*$AD$1</f>
        <v>0</v>
      </c>
      <c r="AE695" s="133">
        <f>'Optional Adjustment 13'!G695*$AE$1</f>
        <v>0</v>
      </c>
      <c r="AF695" s="133">
        <f>'Optional Adjustment 14'!G695*$AF$1</f>
        <v>0</v>
      </c>
      <c r="AG695" s="133">
        <f>'Optional Adjustment 15'!G695*$AG$1</f>
        <v>0</v>
      </c>
      <c r="AH695" s="133">
        <f>'Optional Adjustment 16'!G695*$AH$1</f>
        <v>0</v>
      </c>
      <c r="AI695" s="133">
        <f>'Optional Adjustment 17'!G695*$AI$1</f>
        <v>0</v>
      </c>
      <c r="AJ695" s="133">
        <f>'Optional Adjustment 18'!G695*$AJ$1</f>
        <v>0</v>
      </c>
      <c r="AK695" s="133">
        <f>'Optional Adjustment 19'!G695*$AK$1</f>
        <v>0</v>
      </c>
      <c r="AL695" s="133">
        <f>'Optional Adjustment 20'!G695*$AL$1</f>
        <v>0</v>
      </c>
      <c r="AM695" s="133">
        <f>'Optional Adjustment 21'!G695*$AM$1</f>
        <v>0</v>
      </c>
      <c r="AN695" s="133">
        <f>'Optional Adjustment 22'!G695*$AN$1</f>
        <v>0</v>
      </c>
      <c r="AO695" s="133">
        <f>'Optional Adjustment 23'!G695*$AO$1</f>
        <v>0</v>
      </c>
      <c r="AP695" s="133">
        <f>'Optional Adjustment 24'!G695*$AP$1</f>
        <v>0</v>
      </c>
      <c r="AQ695" s="133">
        <f>'Optional Adjustment 25'!G695*$AQ$1</f>
        <v>0</v>
      </c>
      <c r="AR695" s="133">
        <f>'Optional Adjustment 26'!G695*$AR$1</f>
        <v>0</v>
      </c>
      <c r="AS695" s="133">
        <f>'Optional Adjustment 27'!G695*$AS$1</f>
        <v>0</v>
      </c>
      <c r="AT695" s="133"/>
      <c r="AU695" s="133">
        <f>SUM(F695:AT695)</f>
        <v>-14026.391142270761</v>
      </c>
      <c r="AV695" s="116"/>
      <c r="AW695" s="133">
        <f>SUM(AU695:AU695)</f>
        <v>-14026.391142270761</v>
      </c>
      <c r="AX695" s="133">
        <f>+AW695-'ROR-Model'!G696</f>
        <v>0</v>
      </c>
    </row>
    <row r="696" spans="1:50">
      <c r="A696" s="134"/>
      <c r="B696" s="106"/>
      <c r="C696" s="106" t="s">
        <v>170</v>
      </c>
      <c r="D696" s="106"/>
      <c r="E696" s="331"/>
      <c r="F696" s="131">
        <f>SUM(F694:F695)</f>
        <v>0</v>
      </c>
      <c r="G696" s="131">
        <f>SUM(G694:G695)</f>
        <v>-185691.80662219343</v>
      </c>
      <c r="H696" s="131">
        <f>H1*SUM(H694:H695)</f>
        <v>0</v>
      </c>
      <c r="I696" s="131">
        <f>SUM(I694:I695)</f>
        <v>0</v>
      </c>
      <c r="J696" s="131">
        <f t="shared" ref="J696:P696" si="865">SUM(J694:J695)</f>
        <v>0</v>
      </c>
      <c r="K696" s="131">
        <f t="shared" si="865"/>
        <v>0</v>
      </c>
      <c r="L696" s="131">
        <f t="shared" si="865"/>
        <v>0</v>
      </c>
      <c r="M696" s="131">
        <f t="shared" si="865"/>
        <v>0</v>
      </c>
      <c r="N696" s="131">
        <f t="shared" si="865"/>
        <v>0</v>
      </c>
      <c r="O696" s="131">
        <f t="shared" si="865"/>
        <v>0</v>
      </c>
      <c r="P696" s="131">
        <f t="shared" si="865"/>
        <v>0</v>
      </c>
      <c r="Q696" s="241">
        <f>SUM(Q694:Q695)</f>
        <v>0</v>
      </c>
      <c r="R696" s="241">
        <f>SUM(R694:R695)</f>
        <v>0</v>
      </c>
      <c r="S696" s="556"/>
      <c r="T696" s="556">
        <f t="shared" ref="T696:AG696" si="866">SUM(T694:T695)</f>
        <v>0</v>
      </c>
      <c r="U696" s="556">
        <f t="shared" si="866"/>
        <v>0</v>
      </c>
      <c r="V696" s="556">
        <f t="shared" si="866"/>
        <v>0</v>
      </c>
      <c r="W696" s="556">
        <f t="shared" si="866"/>
        <v>0</v>
      </c>
      <c r="X696" s="556">
        <f t="shared" si="866"/>
        <v>0</v>
      </c>
      <c r="Y696" s="556">
        <f t="shared" si="866"/>
        <v>0</v>
      </c>
      <c r="Z696" s="556">
        <f t="shared" si="866"/>
        <v>0</v>
      </c>
      <c r="AA696" s="556">
        <f t="shared" si="866"/>
        <v>0</v>
      </c>
      <c r="AB696" s="556">
        <f t="shared" si="866"/>
        <v>0</v>
      </c>
      <c r="AC696" s="556">
        <f t="shared" si="866"/>
        <v>0</v>
      </c>
      <c r="AD696" s="556">
        <f t="shared" si="866"/>
        <v>0</v>
      </c>
      <c r="AE696" s="556">
        <f t="shared" si="866"/>
        <v>0</v>
      </c>
      <c r="AF696" s="556">
        <f t="shared" si="866"/>
        <v>0</v>
      </c>
      <c r="AG696" s="556">
        <f t="shared" si="866"/>
        <v>0</v>
      </c>
      <c r="AH696" s="556">
        <f t="shared" ref="AH696:AK696" si="867">SUM(AH694:AH695)</f>
        <v>0</v>
      </c>
      <c r="AI696" s="556">
        <f t="shared" si="867"/>
        <v>0</v>
      </c>
      <c r="AJ696" s="556">
        <f t="shared" si="867"/>
        <v>0</v>
      </c>
      <c r="AK696" s="556">
        <f t="shared" si="867"/>
        <v>0</v>
      </c>
      <c r="AL696" s="556">
        <f t="shared" ref="AL696:AP696" si="868">SUM(AL694:AL695)</f>
        <v>0</v>
      </c>
      <c r="AM696" s="556">
        <f t="shared" si="868"/>
        <v>0</v>
      </c>
      <c r="AN696" s="556">
        <f t="shared" si="868"/>
        <v>0</v>
      </c>
      <c r="AO696" s="556">
        <f t="shared" si="868"/>
        <v>0</v>
      </c>
      <c r="AP696" s="556">
        <f t="shared" si="868"/>
        <v>0</v>
      </c>
      <c r="AQ696" s="556">
        <f t="shared" ref="AQ696:AS696" si="869">SUM(AQ694:AQ695)</f>
        <v>0</v>
      </c>
      <c r="AR696" s="556">
        <f t="shared" si="869"/>
        <v>0</v>
      </c>
      <c r="AS696" s="556">
        <f t="shared" si="869"/>
        <v>0</v>
      </c>
      <c r="AT696" s="556"/>
      <c r="AU696" s="241">
        <f>SUM(AU694:AU695)</f>
        <v>-185691.80662219343</v>
      </c>
      <c r="AV696" s="131"/>
      <c r="AW696" s="241">
        <f>SUM(AW694:AW695)</f>
        <v>-185691.80662219343</v>
      </c>
      <c r="AX696" s="241">
        <f>+AW696-'ROR-Model'!G697</f>
        <v>0</v>
      </c>
    </row>
    <row r="697" spans="1:50">
      <c r="A697" s="134"/>
      <c r="B697" s="106"/>
      <c r="C697" s="106"/>
      <c r="D697" s="106"/>
      <c r="E697" s="331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16"/>
      <c r="AW697" s="133"/>
      <c r="AX697" s="133">
        <f>+AW697-'ROR-Model'!G698</f>
        <v>0</v>
      </c>
    </row>
    <row r="698" spans="1:50">
      <c r="A698" s="134">
        <v>881</v>
      </c>
      <c r="B698" s="106" t="s">
        <v>385</v>
      </c>
      <c r="C698" s="106"/>
      <c r="D698" s="106"/>
      <c r="E698" s="331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16"/>
      <c r="AW698" s="133"/>
      <c r="AX698" s="133">
        <f>+AW698-'ROR-Model'!G699</f>
        <v>0</v>
      </c>
    </row>
    <row r="699" spans="1:50">
      <c r="A699" s="134"/>
      <c r="B699" s="106"/>
      <c r="C699" s="106" t="s">
        <v>14</v>
      </c>
      <c r="D699" s="106"/>
      <c r="E699" s="331"/>
      <c r="F699" s="116"/>
      <c r="G699" s="116">
        <f>$G$1*EXPENSES!L191</f>
        <v>1508.0530649999928</v>
      </c>
      <c r="H699" s="116"/>
      <c r="I699" s="116"/>
      <c r="J699" s="116"/>
      <c r="K699" s="116"/>
      <c r="L699" s="116"/>
      <c r="M699" s="116"/>
      <c r="N699" s="116"/>
      <c r="O699" s="116"/>
      <c r="P699" s="116"/>
      <c r="Q699" s="133"/>
      <c r="R699" s="133"/>
      <c r="S699" s="133"/>
      <c r="T699" s="133">
        <f>'Optional Adjustment 2'!G699*$T$1</f>
        <v>0</v>
      </c>
      <c r="U699" s="133">
        <f>'Optional Adjustment 3'!G699*$U$1</f>
        <v>0</v>
      </c>
      <c r="V699" s="133">
        <f>'Optional Adjustment 4'!G699*$V$1</f>
        <v>0</v>
      </c>
      <c r="W699" s="133">
        <f>'Optional Adjustment 5'!G699*$W$1</f>
        <v>0</v>
      </c>
      <c r="X699" s="133">
        <f>'Optional Adjustment 6'!G699*$X$1</f>
        <v>0</v>
      </c>
      <c r="Y699" s="133">
        <f>'Optional Adjustment 7'!G699*$Y$1</f>
        <v>0</v>
      </c>
      <c r="Z699" s="133">
        <f>'Optional Adjustment 8'!G699*$Z$1</f>
        <v>0</v>
      </c>
      <c r="AA699" s="133">
        <f>'Optional Adjustment 9'!G699*$AA$1</f>
        <v>0</v>
      </c>
      <c r="AB699" s="133">
        <f>'Optional Adjustment 10'!G699*$AB$1</f>
        <v>0</v>
      </c>
      <c r="AC699" s="133">
        <f>'Optional Adjustment 11'!G699*$AC$1</f>
        <v>0</v>
      </c>
      <c r="AD699" s="133">
        <f>'Optional Adjustment 12'!G699*$AD$1</f>
        <v>0</v>
      </c>
      <c r="AE699" s="133">
        <f>'Optional Adjustment 13'!G699*$AE$1</f>
        <v>0</v>
      </c>
      <c r="AF699" s="133">
        <f>'Optional Adjustment 14'!G699*$AF$1</f>
        <v>0</v>
      </c>
      <c r="AG699" s="133">
        <f>'Optional Adjustment 15'!G699*$AG$1</f>
        <v>0</v>
      </c>
      <c r="AH699" s="133">
        <f>'Optional Adjustment 16'!G699*$AH$1</f>
        <v>0</v>
      </c>
      <c r="AI699" s="133">
        <f>'Optional Adjustment 17'!G699*$AI$1</f>
        <v>0</v>
      </c>
      <c r="AJ699" s="133">
        <f>'Optional Adjustment 18'!G699*$AJ$1</f>
        <v>0</v>
      </c>
      <c r="AK699" s="133">
        <f>'Optional Adjustment 19'!G699*$AK$1</f>
        <v>0</v>
      </c>
      <c r="AL699" s="133">
        <f>'Optional Adjustment 20'!G699*$AL$1</f>
        <v>0</v>
      </c>
      <c r="AM699" s="133">
        <f>'Optional Adjustment 21'!G699*$AM$1</f>
        <v>0</v>
      </c>
      <c r="AN699" s="133">
        <f>'Optional Adjustment 22'!G699*$AN$1</f>
        <v>0</v>
      </c>
      <c r="AO699" s="133">
        <f>'Optional Adjustment 23'!G699*$AO$1</f>
        <v>0</v>
      </c>
      <c r="AP699" s="133">
        <f>'Optional Adjustment 24'!G699*$AP$1</f>
        <v>0</v>
      </c>
      <c r="AQ699" s="133">
        <f>'Optional Adjustment 25'!G699*$AQ$1</f>
        <v>0</v>
      </c>
      <c r="AR699" s="133">
        <f>'Optional Adjustment 26'!G699*$AR$1</f>
        <v>0</v>
      </c>
      <c r="AS699" s="133">
        <f>'Optional Adjustment 27'!G699*$AS$1</f>
        <v>0</v>
      </c>
      <c r="AT699" s="133"/>
      <c r="AU699" s="133">
        <f>SUM(F699:AT699)</f>
        <v>1508.0530649999928</v>
      </c>
      <c r="AV699" s="116"/>
      <c r="AW699" s="133">
        <f>SUM(AU699:AU699)</f>
        <v>1508.0530649999928</v>
      </c>
      <c r="AX699" s="133">
        <f>+AW699-'ROR-Model'!G700</f>
        <v>0</v>
      </c>
    </row>
    <row r="700" spans="1:50">
      <c r="A700" s="134"/>
      <c r="B700" s="106"/>
      <c r="C700" s="106" t="s">
        <v>24</v>
      </c>
      <c r="D700" s="106"/>
      <c r="E700" s="331"/>
      <c r="F700" s="116"/>
      <c r="G700" s="116">
        <f>$G$1*EXPENSES!L192</f>
        <v>49.553786999999829</v>
      </c>
      <c r="H700" s="116"/>
      <c r="I700" s="116"/>
      <c r="J700" s="116"/>
      <c r="K700" s="116"/>
      <c r="L700" s="116"/>
      <c r="M700" s="116"/>
      <c r="N700" s="116"/>
      <c r="O700" s="116"/>
      <c r="P700" s="116"/>
      <c r="Q700" s="133"/>
      <c r="R700" s="133"/>
      <c r="S700" s="133"/>
      <c r="T700" s="133">
        <f>'Optional Adjustment 2'!G700*$T$1</f>
        <v>0</v>
      </c>
      <c r="U700" s="133">
        <f>'Optional Adjustment 3'!G700*$U$1</f>
        <v>0</v>
      </c>
      <c r="V700" s="133">
        <f>'Optional Adjustment 4'!G700*$V$1</f>
        <v>0</v>
      </c>
      <c r="W700" s="133">
        <f>'Optional Adjustment 5'!G700*$W$1</f>
        <v>0</v>
      </c>
      <c r="X700" s="133">
        <f>'Optional Adjustment 6'!G700*$X$1</f>
        <v>0</v>
      </c>
      <c r="Y700" s="133">
        <f>'Optional Adjustment 7'!G700*$Y$1</f>
        <v>0</v>
      </c>
      <c r="Z700" s="133">
        <f>'Optional Adjustment 8'!G700*$Z$1</f>
        <v>0</v>
      </c>
      <c r="AA700" s="133">
        <f>'Optional Adjustment 9'!G700*$AA$1</f>
        <v>0</v>
      </c>
      <c r="AB700" s="133">
        <f>'Optional Adjustment 10'!G700*$AB$1</f>
        <v>0</v>
      </c>
      <c r="AC700" s="133">
        <f>'Optional Adjustment 11'!G700*$AC$1</f>
        <v>0</v>
      </c>
      <c r="AD700" s="133">
        <f>'Optional Adjustment 12'!G700*$AD$1</f>
        <v>0</v>
      </c>
      <c r="AE700" s="133">
        <f>'Optional Adjustment 13'!G700*$AE$1</f>
        <v>0</v>
      </c>
      <c r="AF700" s="133">
        <f>'Optional Adjustment 14'!G700*$AF$1</f>
        <v>0</v>
      </c>
      <c r="AG700" s="133">
        <f>'Optional Adjustment 15'!G700*$AG$1</f>
        <v>0</v>
      </c>
      <c r="AH700" s="133">
        <f>'Optional Adjustment 16'!G700*$AH$1</f>
        <v>0</v>
      </c>
      <c r="AI700" s="133">
        <f>'Optional Adjustment 17'!G700*$AI$1</f>
        <v>0</v>
      </c>
      <c r="AJ700" s="133">
        <f>'Optional Adjustment 18'!G700*$AJ$1</f>
        <v>0</v>
      </c>
      <c r="AK700" s="133">
        <f>'Optional Adjustment 19'!G700*$AK$1</f>
        <v>0</v>
      </c>
      <c r="AL700" s="133">
        <f>'Optional Adjustment 20'!G700*$AL$1</f>
        <v>0</v>
      </c>
      <c r="AM700" s="133">
        <f>'Optional Adjustment 21'!G700*$AM$1</f>
        <v>0</v>
      </c>
      <c r="AN700" s="133">
        <f>'Optional Adjustment 22'!G700*$AN$1</f>
        <v>0</v>
      </c>
      <c r="AO700" s="133">
        <f>'Optional Adjustment 23'!G700*$AO$1</f>
        <v>0</v>
      </c>
      <c r="AP700" s="133">
        <f>'Optional Adjustment 24'!G700*$AP$1</f>
        <v>0</v>
      </c>
      <c r="AQ700" s="133">
        <f>'Optional Adjustment 25'!G700*$AQ$1</f>
        <v>0</v>
      </c>
      <c r="AR700" s="133">
        <f>'Optional Adjustment 26'!G700*$AR$1</f>
        <v>0</v>
      </c>
      <c r="AS700" s="133">
        <f>'Optional Adjustment 27'!G700*$AS$1</f>
        <v>0</v>
      </c>
      <c r="AT700" s="133"/>
      <c r="AU700" s="133">
        <f>SUM(F700:AT700)</f>
        <v>49.553786999999829</v>
      </c>
      <c r="AV700" s="116"/>
      <c r="AW700" s="133">
        <f>SUM(AU700:AU700)</f>
        <v>49.553786999999829</v>
      </c>
      <c r="AX700" s="133">
        <f>+AW700-'ROR-Model'!G701</f>
        <v>0</v>
      </c>
    </row>
    <row r="701" spans="1:50">
      <c r="A701" s="134"/>
      <c r="B701" s="106"/>
      <c r="C701" s="106" t="s">
        <v>170</v>
      </c>
      <c r="D701" s="106"/>
      <c r="E701" s="331"/>
      <c r="F701" s="131">
        <f>SUM(F699:F700)</f>
        <v>0</v>
      </c>
      <c r="G701" s="131">
        <f>SUM(G699:G700)</f>
        <v>1557.6068519999926</v>
      </c>
      <c r="H701" s="131">
        <f>H1*SUM(H699:H700)</f>
        <v>0</v>
      </c>
      <c r="I701" s="131">
        <f>SUM(I699:I700)</f>
        <v>0</v>
      </c>
      <c r="J701" s="131">
        <f t="shared" ref="J701:P701" si="870">SUM(J699:J700)</f>
        <v>0</v>
      </c>
      <c r="K701" s="131">
        <f t="shared" si="870"/>
        <v>0</v>
      </c>
      <c r="L701" s="131">
        <f t="shared" si="870"/>
        <v>0</v>
      </c>
      <c r="M701" s="131">
        <f t="shared" si="870"/>
        <v>0</v>
      </c>
      <c r="N701" s="131">
        <f t="shared" si="870"/>
        <v>0</v>
      </c>
      <c r="O701" s="131">
        <f t="shared" si="870"/>
        <v>0</v>
      </c>
      <c r="P701" s="131">
        <f t="shared" si="870"/>
        <v>0</v>
      </c>
      <c r="Q701" s="241">
        <f>SUM(Q699:Q700)</f>
        <v>0</v>
      </c>
      <c r="R701" s="241">
        <f>SUM(R699:R700)</f>
        <v>0</v>
      </c>
      <c r="S701" s="556"/>
      <c r="T701" s="556">
        <f t="shared" ref="T701:AG701" si="871">SUM(T699:T700)</f>
        <v>0</v>
      </c>
      <c r="U701" s="556">
        <f t="shared" si="871"/>
        <v>0</v>
      </c>
      <c r="V701" s="556">
        <f t="shared" si="871"/>
        <v>0</v>
      </c>
      <c r="W701" s="556">
        <f t="shared" si="871"/>
        <v>0</v>
      </c>
      <c r="X701" s="556">
        <f t="shared" si="871"/>
        <v>0</v>
      </c>
      <c r="Y701" s="556">
        <f t="shared" si="871"/>
        <v>0</v>
      </c>
      <c r="Z701" s="556">
        <f t="shared" si="871"/>
        <v>0</v>
      </c>
      <c r="AA701" s="556">
        <f t="shared" si="871"/>
        <v>0</v>
      </c>
      <c r="AB701" s="556">
        <f t="shared" si="871"/>
        <v>0</v>
      </c>
      <c r="AC701" s="556">
        <f t="shared" si="871"/>
        <v>0</v>
      </c>
      <c r="AD701" s="556">
        <f t="shared" si="871"/>
        <v>0</v>
      </c>
      <c r="AE701" s="556">
        <f t="shared" si="871"/>
        <v>0</v>
      </c>
      <c r="AF701" s="556">
        <f t="shared" si="871"/>
        <v>0</v>
      </c>
      <c r="AG701" s="556">
        <f t="shared" si="871"/>
        <v>0</v>
      </c>
      <c r="AH701" s="556">
        <f t="shared" ref="AH701:AK701" si="872">SUM(AH699:AH700)</f>
        <v>0</v>
      </c>
      <c r="AI701" s="556">
        <f t="shared" si="872"/>
        <v>0</v>
      </c>
      <c r="AJ701" s="556">
        <f t="shared" si="872"/>
        <v>0</v>
      </c>
      <c r="AK701" s="556">
        <f t="shared" si="872"/>
        <v>0</v>
      </c>
      <c r="AL701" s="556">
        <f t="shared" ref="AL701:AP701" si="873">SUM(AL699:AL700)</f>
        <v>0</v>
      </c>
      <c r="AM701" s="556">
        <f t="shared" si="873"/>
        <v>0</v>
      </c>
      <c r="AN701" s="556">
        <f t="shared" si="873"/>
        <v>0</v>
      </c>
      <c r="AO701" s="556">
        <f t="shared" si="873"/>
        <v>0</v>
      </c>
      <c r="AP701" s="556">
        <f t="shared" si="873"/>
        <v>0</v>
      </c>
      <c r="AQ701" s="556">
        <f t="shared" ref="AQ701:AS701" si="874">SUM(AQ699:AQ700)</f>
        <v>0</v>
      </c>
      <c r="AR701" s="556">
        <f t="shared" si="874"/>
        <v>0</v>
      </c>
      <c r="AS701" s="556">
        <f t="shared" si="874"/>
        <v>0</v>
      </c>
      <c r="AT701" s="556"/>
      <c r="AU701" s="241">
        <f>SUM(AU699:AU700)</f>
        <v>1557.6068519999926</v>
      </c>
      <c r="AV701" s="131"/>
      <c r="AW701" s="241">
        <f>SUM(AW699:AW700)</f>
        <v>1557.6068519999926</v>
      </c>
      <c r="AX701" s="241">
        <f>+AW701-'ROR-Model'!G702</f>
        <v>0</v>
      </c>
    </row>
    <row r="702" spans="1:50">
      <c r="A702" s="134"/>
      <c r="B702" s="106"/>
      <c r="C702" s="106"/>
      <c r="D702" s="106"/>
      <c r="E702" s="331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16"/>
      <c r="AW702" s="133"/>
      <c r="AX702" s="133">
        <f>+AW702-'ROR-Model'!G703</f>
        <v>0</v>
      </c>
    </row>
    <row r="703" spans="1:50">
      <c r="A703" s="134">
        <v>885</v>
      </c>
      <c r="B703" s="106" t="s">
        <v>386</v>
      </c>
      <c r="C703" s="106"/>
      <c r="D703" s="106"/>
      <c r="E703" s="331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16"/>
      <c r="AW703" s="133"/>
      <c r="AX703" s="133">
        <f>+AW703-'ROR-Model'!G704</f>
        <v>0</v>
      </c>
    </row>
    <row r="704" spans="1:50">
      <c r="A704" s="134"/>
      <c r="B704" s="106"/>
      <c r="C704" s="106" t="s">
        <v>14</v>
      </c>
      <c r="D704" s="106"/>
      <c r="E704" s="331"/>
      <c r="F704" s="116"/>
      <c r="G704" s="116">
        <f>$G$1*EXPENSES!L196</f>
        <v>23006.584073129925</v>
      </c>
      <c r="H704" s="116"/>
      <c r="I704" s="116"/>
      <c r="J704" s="116"/>
      <c r="K704" s="116"/>
      <c r="L704" s="116"/>
      <c r="M704" s="116"/>
      <c r="N704" s="116"/>
      <c r="O704" s="116"/>
      <c r="P704" s="116"/>
      <c r="Q704" s="133"/>
      <c r="R704" s="133"/>
      <c r="S704" s="133"/>
      <c r="T704" s="133">
        <f>'Optional Adjustment 2'!G704*$T$1</f>
        <v>0</v>
      </c>
      <c r="U704" s="133">
        <f>'Optional Adjustment 3'!G704*$U$1</f>
        <v>0</v>
      </c>
      <c r="V704" s="133">
        <f>'Optional Adjustment 4'!G704*$V$1</f>
        <v>0</v>
      </c>
      <c r="W704" s="133">
        <f>'Optional Adjustment 5'!G704*$W$1</f>
        <v>0</v>
      </c>
      <c r="X704" s="133">
        <f>'Optional Adjustment 6'!G704*$X$1</f>
        <v>0</v>
      </c>
      <c r="Y704" s="133">
        <f>'Optional Adjustment 7'!G704*$Y$1</f>
        <v>0</v>
      </c>
      <c r="Z704" s="133">
        <f>'Optional Adjustment 8'!G704*$Z$1</f>
        <v>0</v>
      </c>
      <c r="AA704" s="133">
        <f>'Optional Adjustment 9'!G704*$AA$1</f>
        <v>0</v>
      </c>
      <c r="AB704" s="133">
        <f>'Optional Adjustment 10'!G704*$AB$1</f>
        <v>0</v>
      </c>
      <c r="AC704" s="133">
        <f>'Optional Adjustment 11'!G704*$AC$1</f>
        <v>0</v>
      </c>
      <c r="AD704" s="133">
        <f>'Optional Adjustment 12'!G704*$AD$1</f>
        <v>0</v>
      </c>
      <c r="AE704" s="133">
        <f>'Optional Adjustment 13'!G704*$AE$1</f>
        <v>0</v>
      </c>
      <c r="AF704" s="133">
        <f>'Optional Adjustment 14'!G704*$AF$1</f>
        <v>0</v>
      </c>
      <c r="AG704" s="133">
        <f>'Optional Adjustment 15'!G704*$AG$1</f>
        <v>0</v>
      </c>
      <c r="AH704" s="133">
        <f>'Optional Adjustment 16'!G704*$AH$1</f>
        <v>0</v>
      </c>
      <c r="AI704" s="133">
        <f>'Optional Adjustment 17'!G704*$AI$1</f>
        <v>0</v>
      </c>
      <c r="AJ704" s="133">
        <f>'Optional Adjustment 18'!G704*$AJ$1</f>
        <v>0</v>
      </c>
      <c r="AK704" s="133">
        <f>'Optional Adjustment 19'!G704*$AK$1</f>
        <v>0</v>
      </c>
      <c r="AL704" s="133">
        <f>'Optional Adjustment 20'!G704*$AL$1</f>
        <v>0</v>
      </c>
      <c r="AM704" s="133">
        <f>'Optional Adjustment 21'!G704*$AM$1</f>
        <v>0</v>
      </c>
      <c r="AN704" s="133">
        <f>'Optional Adjustment 22'!G704*$AN$1</f>
        <v>0</v>
      </c>
      <c r="AO704" s="133">
        <f>'Optional Adjustment 23'!G704*$AO$1</f>
        <v>0</v>
      </c>
      <c r="AP704" s="133">
        <f>'Optional Adjustment 24'!G704*$AP$1</f>
        <v>0</v>
      </c>
      <c r="AQ704" s="133">
        <f>'Optional Adjustment 25'!G704*$AQ$1</f>
        <v>0</v>
      </c>
      <c r="AR704" s="133">
        <f>'Optional Adjustment 26'!G704*$AR$1</f>
        <v>0</v>
      </c>
      <c r="AS704" s="133">
        <f>'Optional Adjustment 27'!G704*$AS$1</f>
        <v>0</v>
      </c>
      <c r="AT704" s="133"/>
      <c r="AU704" s="133">
        <f>SUM(F704:AT704)</f>
        <v>23006.584073129925</v>
      </c>
      <c r="AV704" s="116"/>
      <c r="AW704" s="133">
        <f>SUM(AU704:AU704)</f>
        <v>23006.584073129925</v>
      </c>
      <c r="AX704" s="133">
        <f>+AW704-'ROR-Model'!G705</f>
        <v>0</v>
      </c>
    </row>
    <row r="705" spans="1:50">
      <c r="A705" s="134"/>
      <c r="B705" s="106"/>
      <c r="C705" s="106" t="s">
        <v>24</v>
      </c>
      <c r="D705" s="106"/>
      <c r="E705" s="331"/>
      <c r="F705" s="116"/>
      <c r="G705" s="116">
        <f>$G$1*EXPENSES!L197</f>
        <v>693.71851667999726</v>
      </c>
      <c r="H705" s="116"/>
      <c r="I705" s="116"/>
      <c r="J705" s="116"/>
      <c r="K705" s="116"/>
      <c r="L705" s="116"/>
      <c r="M705" s="116"/>
      <c r="N705" s="116"/>
      <c r="O705" s="116"/>
      <c r="P705" s="116"/>
      <c r="Q705" s="133"/>
      <c r="R705" s="133"/>
      <c r="S705" s="133"/>
      <c r="T705" s="133">
        <f>'Optional Adjustment 2'!G705*$T$1</f>
        <v>0</v>
      </c>
      <c r="U705" s="133">
        <f>'Optional Adjustment 3'!G705*$U$1</f>
        <v>0</v>
      </c>
      <c r="V705" s="133">
        <f>'Optional Adjustment 4'!G705*$V$1</f>
        <v>0</v>
      </c>
      <c r="W705" s="133">
        <f>'Optional Adjustment 5'!G705*$W$1</f>
        <v>0</v>
      </c>
      <c r="X705" s="133">
        <f>'Optional Adjustment 6'!G705*$X$1</f>
        <v>0</v>
      </c>
      <c r="Y705" s="133">
        <f>'Optional Adjustment 7'!G705*$Y$1</f>
        <v>0</v>
      </c>
      <c r="Z705" s="133">
        <f>'Optional Adjustment 8'!G705*$Z$1</f>
        <v>0</v>
      </c>
      <c r="AA705" s="133">
        <f>'Optional Adjustment 9'!G705*$AA$1</f>
        <v>0</v>
      </c>
      <c r="AB705" s="133">
        <f>'Optional Adjustment 10'!G705*$AB$1</f>
        <v>0</v>
      </c>
      <c r="AC705" s="133">
        <f>'Optional Adjustment 11'!G705*$AC$1</f>
        <v>0</v>
      </c>
      <c r="AD705" s="133">
        <f>'Optional Adjustment 12'!G705*$AD$1</f>
        <v>0</v>
      </c>
      <c r="AE705" s="133">
        <f>'Optional Adjustment 13'!G705*$AE$1</f>
        <v>0</v>
      </c>
      <c r="AF705" s="133">
        <f>'Optional Adjustment 14'!G705*$AF$1</f>
        <v>0</v>
      </c>
      <c r="AG705" s="133">
        <f>'Optional Adjustment 15'!G705*$AG$1</f>
        <v>0</v>
      </c>
      <c r="AH705" s="133">
        <f>'Optional Adjustment 16'!G705*$AH$1</f>
        <v>0</v>
      </c>
      <c r="AI705" s="133">
        <f>'Optional Adjustment 17'!G705*$AI$1</f>
        <v>0</v>
      </c>
      <c r="AJ705" s="133">
        <f>'Optional Adjustment 18'!G705*$AJ$1</f>
        <v>0</v>
      </c>
      <c r="AK705" s="133">
        <f>'Optional Adjustment 19'!G705*$AK$1</f>
        <v>0</v>
      </c>
      <c r="AL705" s="133">
        <f>'Optional Adjustment 20'!G705*$AL$1</f>
        <v>0</v>
      </c>
      <c r="AM705" s="133">
        <f>'Optional Adjustment 21'!G705*$AM$1</f>
        <v>0</v>
      </c>
      <c r="AN705" s="133">
        <f>'Optional Adjustment 22'!G705*$AN$1</f>
        <v>0</v>
      </c>
      <c r="AO705" s="133">
        <f>'Optional Adjustment 23'!G705*$AO$1</f>
        <v>0</v>
      </c>
      <c r="AP705" s="133">
        <f>'Optional Adjustment 24'!G705*$AP$1</f>
        <v>0</v>
      </c>
      <c r="AQ705" s="133">
        <f>'Optional Adjustment 25'!G705*$AQ$1</f>
        <v>0</v>
      </c>
      <c r="AR705" s="133">
        <f>'Optional Adjustment 26'!G705*$AR$1</f>
        <v>0</v>
      </c>
      <c r="AS705" s="133">
        <f>'Optional Adjustment 27'!G705*$AS$1</f>
        <v>0</v>
      </c>
      <c r="AT705" s="133"/>
      <c r="AU705" s="133">
        <f>SUM(F705:AT705)</f>
        <v>693.71851667999726</v>
      </c>
      <c r="AV705" s="116"/>
      <c r="AW705" s="133">
        <f>SUM(AU705:AU705)</f>
        <v>693.71851667999726</v>
      </c>
      <c r="AX705" s="133">
        <f>+AW705-'ROR-Model'!G706</f>
        <v>0</v>
      </c>
    </row>
    <row r="706" spans="1:50">
      <c r="A706" s="134"/>
      <c r="B706" s="106"/>
      <c r="C706" s="106" t="s">
        <v>170</v>
      </c>
      <c r="D706" s="106"/>
      <c r="E706" s="331"/>
      <c r="F706" s="131">
        <f>SUM(F704:F705)</f>
        <v>0</v>
      </c>
      <c r="G706" s="131">
        <f>SUM(G704:G705)</f>
        <v>23700.302589809922</v>
      </c>
      <c r="H706" s="131">
        <f>H1*SUM(H704:H705)</f>
        <v>0</v>
      </c>
      <c r="I706" s="131">
        <f>SUM(I704:I705)</f>
        <v>0</v>
      </c>
      <c r="J706" s="131">
        <f t="shared" ref="J706:P706" si="875">SUM(J704:J705)</f>
        <v>0</v>
      </c>
      <c r="K706" s="131">
        <f t="shared" si="875"/>
        <v>0</v>
      </c>
      <c r="L706" s="131">
        <f t="shared" si="875"/>
        <v>0</v>
      </c>
      <c r="M706" s="131">
        <f t="shared" si="875"/>
        <v>0</v>
      </c>
      <c r="N706" s="131">
        <f t="shared" si="875"/>
        <v>0</v>
      </c>
      <c r="O706" s="131">
        <f t="shared" si="875"/>
        <v>0</v>
      </c>
      <c r="P706" s="131">
        <f t="shared" si="875"/>
        <v>0</v>
      </c>
      <c r="Q706" s="241">
        <f>SUM(Q704:Q705)</f>
        <v>0</v>
      </c>
      <c r="R706" s="241">
        <f>SUM(R704:R705)</f>
        <v>0</v>
      </c>
      <c r="S706" s="556"/>
      <c r="T706" s="556">
        <f t="shared" ref="T706:AG706" si="876">SUM(T704:T705)</f>
        <v>0</v>
      </c>
      <c r="U706" s="556">
        <f t="shared" si="876"/>
        <v>0</v>
      </c>
      <c r="V706" s="556">
        <f t="shared" si="876"/>
        <v>0</v>
      </c>
      <c r="W706" s="556">
        <f t="shared" si="876"/>
        <v>0</v>
      </c>
      <c r="X706" s="556">
        <f t="shared" si="876"/>
        <v>0</v>
      </c>
      <c r="Y706" s="556">
        <f t="shared" si="876"/>
        <v>0</v>
      </c>
      <c r="Z706" s="556">
        <f t="shared" si="876"/>
        <v>0</v>
      </c>
      <c r="AA706" s="556">
        <f t="shared" si="876"/>
        <v>0</v>
      </c>
      <c r="AB706" s="556">
        <f t="shared" si="876"/>
        <v>0</v>
      </c>
      <c r="AC706" s="556">
        <f t="shared" si="876"/>
        <v>0</v>
      </c>
      <c r="AD706" s="556">
        <f t="shared" si="876"/>
        <v>0</v>
      </c>
      <c r="AE706" s="556">
        <f t="shared" si="876"/>
        <v>0</v>
      </c>
      <c r="AF706" s="556">
        <f t="shared" si="876"/>
        <v>0</v>
      </c>
      <c r="AG706" s="556">
        <f t="shared" si="876"/>
        <v>0</v>
      </c>
      <c r="AH706" s="556">
        <f t="shared" ref="AH706:AK706" si="877">SUM(AH704:AH705)</f>
        <v>0</v>
      </c>
      <c r="AI706" s="556">
        <f t="shared" si="877"/>
        <v>0</v>
      </c>
      <c r="AJ706" s="556">
        <f t="shared" si="877"/>
        <v>0</v>
      </c>
      <c r="AK706" s="556">
        <f t="shared" si="877"/>
        <v>0</v>
      </c>
      <c r="AL706" s="556">
        <f t="shared" ref="AL706:AP706" si="878">SUM(AL704:AL705)</f>
        <v>0</v>
      </c>
      <c r="AM706" s="556">
        <f t="shared" si="878"/>
        <v>0</v>
      </c>
      <c r="AN706" s="556">
        <f t="shared" si="878"/>
        <v>0</v>
      </c>
      <c r="AO706" s="556">
        <f t="shared" si="878"/>
        <v>0</v>
      </c>
      <c r="AP706" s="556">
        <f t="shared" si="878"/>
        <v>0</v>
      </c>
      <c r="AQ706" s="556">
        <f t="shared" ref="AQ706:AS706" si="879">SUM(AQ704:AQ705)</f>
        <v>0</v>
      </c>
      <c r="AR706" s="556">
        <f t="shared" si="879"/>
        <v>0</v>
      </c>
      <c r="AS706" s="556">
        <f t="shared" si="879"/>
        <v>0</v>
      </c>
      <c r="AT706" s="556"/>
      <c r="AU706" s="241">
        <f>SUM(AU704:AU705)</f>
        <v>23700.302589809922</v>
      </c>
      <c r="AV706" s="131"/>
      <c r="AW706" s="241">
        <f>SUM(AW704:AW705)</f>
        <v>23700.302589809922</v>
      </c>
      <c r="AX706" s="241">
        <f>+AW706-'ROR-Model'!G707</f>
        <v>0</v>
      </c>
    </row>
    <row r="707" spans="1:50">
      <c r="A707" s="134"/>
      <c r="B707" s="106"/>
      <c r="C707" s="106"/>
      <c r="D707" s="106"/>
      <c r="E707" s="331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16"/>
      <c r="AW707" s="133"/>
      <c r="AX707" s="133">
        <f>+AW707-'ROR-Model'!G708</f>
        <v>0</v>
      </c>
    </row>
    <row r="708" spans="1:50">
      <c r="A708" s="134">
        <v>886</v>
      </c>
      <c r="B708" s="106" t="s">
        <v>387</v>
      </c>
      <c r="C708" s="106"/>
      <c r="D708" s="106"/>
      <c r="E708" s="331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16"/>
      <c r="AW708" s="133"/>
      <c r="AX708" s="133">
        <f>+AW708-'ROR-Model'!G709</f>
        <v>0</v>
      </c>
    </row>
    <row r="709" spans="1:50">
      <c r="A709" s="134"/>
      <c r="B709" s="106"/>
      <c r="C709" s="106" t="s">
        <v>14</v>
      </c>
      <c r="D709" s="106"/>
      <c r="E709" s="331"/>
      <c r="F709" s="116"/>
      <c r="G709" s="116">
        <f>$G$1*EXPENSES!L201</f>
        <v>6985.9187275000149</v>
      </c>
      <c r="H709" s="116"/>
      <c r="I709" s="116"/>
      <c r="J709" s="116"/>
      <c r="K709" s="116"/>
      <c r="L709" s="116"/>
      <c r="M709" s="116"/>
      <c r="N709" s="116"/>
      <c r="O709" s="116"/>
      <c r="P709" s="116"/>
      <c r="Q709" s="133"/>
      <c r="R709" s="133"/>
      <c r="S709" s="133"/>
      <c r="T709" s="133">
        <f>'Optional Adjustment 2'!G709*$T$1</f>
        <v>0</v>
      </c>
      <c r="U709" s="133">
        <f>'Optional Adjustment 3'!G709*$U$1</f>
        <v>0</v>
      </c>
      <c r="V709" s="133">
        <f>'Optional Adjustment 4'!G709*$V$1</f>
        <v>0</v>
      </c>
      <c r="W709" s="133">
        <f>'Optional Adjustment 5'!G709*$W$1</f>
        <v>0</v>
      </c>
      <c r="X709" s="133">
        <f>'Optional Adjustment 6'!G709*$X$1</f>
        <v>0</v>
      </c>
      <c r="Y709" s="133">
        <f>'Optional Adjustment 7'!G709*$Y$1</f>
        <v>0</v>
      </c>
      <c r="Z709" s="133">
        <f>'Optional Adjustment 8'!G709*$Z$1</f>
        <v>0</v>
      </c>
      <c r="AA709" s="133">
        <f>'Optional Adjustment 9'!G709*$AA$1</f>
        <v>0</v>
      </c>
      <c r="AB709" s="133">
        <f>'Optional Adjustment 10'!G709*$AB$1</f>
        <v>0</v>
      </c>
      <c r="AC709" s="133">
        <f>'Optional Adjustment 11'!G709*$AC$1</f>
        <v>0</v>
      </c>
      <c r="AD709" s="133">
        <f>'Optional Adjustment 12'!G709*$AD$1</f>
        <v>0</v>
      </c>
      <c r="AE709" s="133">
        <f>'Optional Adjustment 13'!G709*$AE$1</f>
        <v>0</v>
      </c>
      <c r="AF709" s="133">
        <f>'Optional Adjustment 14'!G709*$AF$1</f>
        <v>0</v>
      </c>
      <c r="AG709" s="133">
        <f>'Optional Adjustment 15'!G709*$AG$1</f>
        <v>0</v>
      </c>
      <c r="AH709" s="133">
        <f>'Optional Adjustment 16'!G709*$AH$1</f>
        <v>0</v>
      </c>
      <c r="AI709" s="133">
        <f>'Optional Adjustment 17'!G709*$AI$1</f>
        <v>0</v>
      </c>
      <c r="AJ709" s="133">
        <f>'Optional Adjustment 18'!G709*$AJ$1</f>
        <v>0</v>
      </c>
      <c r="AK709" s="133">
        <f>'Optional Adjustment 19'!G709*$AK$1</f>
        <v>0</v>
      </c>
      <c r="AL709" s="133">
        <f>'Optional Adjustment 20'!G709*$AL$1</f>
        <v>0</v>
      </c>
      <c r="AM709" s="133">
        <f>'Optional Adjustment 21'!G709*$AM$1</f>
        <v>0</v>
      </c>
      <c r="AN709" s="133">
        <f>'Optional Adjustment 22'!G709*$AN$1</f>
        <v>0</v>
      </c>
      <c r="AO709" s="133">
        <f>'Optional Adjustment 23'!G709*$AO$1</f>
        <v>0</v>
      </c>
      <c r="AP709" s="133">
        <f>'Optional Adjustment 24'!G709*$AP$1</f>
        <v>0</v>
      </c>
      <c r="AQ709" s="133">
        <f>'Optional Adjustment 25'!G709*$AQ$1</f>
        <v>0</v>
      </c>
      <c r="AR709" s="133">
        <f>'Optional Adjustment 26'!G709*$AR$1</f>
        <v>0</v>
      </c>
      <c r="AS709" s="133">
        <f>'Optional Adjustment 27'!G709*$AS$1</f>
        <v>0</v>
      </c>
      <c r="AT709" s="133"/>
      <c r="AU709" s="133">
        <f>SUM(F709:AT709)</f>
        <v>6985.9187275000149</v>
      </c>
      <c r="AV709" s="116"/>
      <c r="AW709" s="133">
        <f>SUM(AU709:AU709)</f>
        <v>6985.9187275000149</v>
      </c>
      <c r="AX709" s="133">
        <f>+AW709-'ROR-Model'!G710</f>
        <v>0</v>
      </c>
    </row>
    <row r="710" spans="1:50">
      <c r="A710" s="134"/>
      <c r="B710" s="106"/>
      <c r="C710" s="106" t="s">
        <v>24</v>
      </c>
      <c r="D710" s="106"/>
      <c r="E710" s="331"/>
      <c r="F710" s="116"/>
      <c r="G710" s="116">
        <f>$G$1*EXPENSES!L202</f>
        <v>-23.91250952000064</v>
      </c>
      <c r="H710" s="116"/>
      <c r="I710" s="116"/>
      <c r="J710" s="116"/>
      <c r="K710" s="116"/>
      <c r="L710" s="116"/>
      <c r="M710" s="116"/>
      <c r="N710" s="116"/>
      <c r="O710" s="116"/>
      <c r="P710" s="116"/>
      <c r="Q710" s="133"/>
      <c r="R710" s="133"/>
      <c r="S710" s="133"/>
      <c r="T710" s="133">
        <f>'Optional Adjustment 2'!G710*$T$1</f>
        <v>0</v>
      </c>
      <c r="U710" s="133">
        <f>'Optional Adjustment 3'!G710*$U$1</f>
        <v>0</v>
      </c>
      <c r="V710" s="133">
        <f>'Optional Adjustment 4'!G710*$V$1</f>
        <v>0</v>
      </c>
      <c r="W710" s="133">
        <f>'Optional Adjustment 5'!G710*$W$1</f>
        <v>0</v>
      </c>
      <c r="X710" s="133">
        <f>'Optional Adjustment 6'!G710*$X$1</f>
        <v>0</v>
      </c>
      <c r="Y710" s="133">
        <f>'Optional Adjustment 7'!G710*$Y$1</f>
        <v>0</v>
      </c>
      <c r="Z710" s="133">
        <f>'Optional Adjustment 8'!G710*$Z$1</f>
        <v>0</v>
      </c>
      <c r="AA710" s="133">
        <f>'Optional Adjustment 9'!G710*$AA$1</f>
        <v>0</v>
      </c>
      <c r="AB710" s="133">
        <f>'Optional Adjustment 10'!G710*$AB$1</f>
        <v>0</v>
      </c>
      <c r="AC710" s="133">
        <f>'Optional Adjustment 11'!G710*$AC$1</f>
        <v>0</v>
      </c>
      <c r="AD710" s="133">
        <f>'Optional Adjustment 12'!G710*$AD$1</f>
        <v>0</v>
      </c>
      <c r="AE710" s="133">
        <f>'Optional Adjustment 13'!G710*$AE$1</f>
        <v>0</v>
      </c>
      <c r="AF710" s="133">
        <f>'Optional Adjustment 14'!G710*$AF$1</f>
        <v>0</v>
      </c>
      <c r="AG710" s="133">
        <f>'Optional Adjustment 15'!G710*$AG$1</f>
        <v>0</v>
      </c>
      <c r="AH710" s="133">
        <f>'Optional Adjustment 16'!G710*$AH$1</f>
        <v>0</v>
      </c>
      <c r="AI710" s="133">
        <f>'Optional Adjustment 17'!G710*$AI$1</f>
        <v>0</v>
      </c>
      <c r="AJ710" s="133">
        <f>'Optional Adjustment 18'!G710*$AJ$1</f>
        <v>0</v>
      </c>
      <c r="AK710" s="133">
        <f>'Optional Adjustment 19'!G710*$AK$1</f>
        <v>0</v>
      </c>
      <c r="AL710" s="133">
        <f>'Optional Adjustment 20'!G710*$AL$1</f>
        <v>0</v>
      </c>
      <c r="AM710" s="133">
        <f>'Optional Adjustment 21'!G710*$AM$1</f>
        <v>0</v>
      </c>
      <c r="AN710" s="133">
        <f>'Optional Adjustment 22'!G710*$AN$1</f>
        <v>0</v>
      </c>
      <c r="AO710" s="133">
        <f>'Optional Adjustment 23'!G710*$AO$1</f>
        <v>0</v>
      </c>
      <c r="AP710" s="133">
        <f>'Optional Adjustment 24'!G710*$AP$1</f>
        <v>0</v>
      </c>
      <c r="AQ710" s="133">
        <f>'Optional Adjustment 25'!G710*$AQ$1</f>
        <v>0</v>
      </c>
      <c r="AR710" s="133">
        <f>'Optional Adjustment 26'!G710*$AR$1</f>
        <v>0</v>
      </c>
      <c r="AS710" s="133">
        <f>'Optional Adjustment 27'!G710*$AS$1</f>
        <v>0</v>
      </c>
      <c r="AT710" s="133"/>
      <c r="AU710" s="133">
        <f>SUM(F710:AT710)</f>
        <v>-23.91250952000064</v>
      </c>
      <c r="AV710" s="116"/>
      <c r="AW710" s="133">
        <f>SUM(AU710:AU710)</f>
        <v>-23.91250952000064</v>
      </c>
      <c r="AX710" s="133">
        <f>+AW710-'ROR-Model'!G711</f>
        <v>0</v>
      </c>
    </row>
    <row r="711" spans="1:50">
      <c r="A711" s="134"/>
      <c r="B711" s="106"/>
      <c r="C711" s="106" t="s">
        <v>170</v>
      </c>
      <c r="D711" s="106"/>
      <c r="E711" s="331"/>
      <c r="F711" s="131">
        <f>SUM(F709:F710)</f>
        <v>0</v>
      </c>
      <c r="G711" s="131">
        <f>SUM(G709:G710)</f>
        <v>6962.0062179800143</v>
      </c>
      <c r="H711" s="131">
        <f>H1*SUM(H709:H710)</f>
        <v>0</v>
      </c>
      <c r="I711" s="131">
        <f>SUM(I709:I710)</f>
        <v>0</v>
      </c>
      <c r="J711" s="131">
        <f t="shared" ref="J711:P711" si="880">SUM(J709:J710)</f>
        <v>0</v>
      </c>
      <c r="K711" s="131">
        <f t="shared" si="880"/>
        <v>0</v>
      </c>
      <c r="L711" s="131">
        <f t="shared" si="880"/>
        <v>0</v>
      </c>
      <c r="M711" s="131">
        <f t="shared" si="880"/>
        <v>0</v>
      </c>
      <c r="N711" s="131">
        <f t="shared" si="880"/>
        <v>0</v>
      </c>
      <c r="O711" s="131">
        <f t="shared" si="880"/>
        <v>0</v>
      </c>
      <c r="P711" s="131">
        <f t="shared" si="880"/>
        <v>0</v>
      </c>
      <c r="Q711" s="241">
        <f>SUM(Q709:Q710)</f>
        <v>0</v>
      </c>
      <c r="R711" s="241">
        <f>SUM(R709:R710)</f>
        <v>0</v>
      </c>
      <c r="S711" s="556"/>
      <c r="T711" s="556">
        <f t="shared" ref="T711:AG711" si="881">SUM(T709:T710)</f>
        <v>0</v>
      </c>
      <c r="U711" s="556">
        <f t="shared" si="881"/>
        <v>0</v>
      </c>
      <c r="V711" s="556">
        <f t="shared" si="881"/>
        <v>0</v>
      </c>
      <c r="W711" s="556">
        <f t="shared" si="881"/>
        <v>0</v>
      </c>
      <c r="X711" s="556">
        <f t="shared" si="881"/>
        <v>0</v>
      </c>
      <c r="Y711" s="556">
        <f t="shared" si="881"/>
        <v>0</v>
      </c>
      <c r="Z711" s="556">
        <f t="shared" si="881"/>
        <v>0</v>
      </c>
      <c r="AA711" s="556">
        <f t="shared" si="881"/>
        <v>0</v>
      </c>
      <c r="AB711" s="556">
        <f t="shared" si="881"/>
        <v>0</v>
      </c>
      <c r="AC711" s="556">
        <f t="shared" si="881"/>
        <v>0</v>
      </c>
      <c r="AD711" s="556">
        <f t="shared" si="881"/>
        <v>0</v>
      </c>
      <c r="AE711" s="556">
        <f t="shared" si="881"/>
        <v>0</v>
      </c>
      <c r="AF711" s="556">
        <f t="shared" si="881"/>
        <v>0</v>
      </c>
      <c r="AG711" s="556">
        <f t="shared" si="881"/>
        <v>0</v>
      </c>
      <c r="AH711" s="556">
        <f t="shared" ref="AH711:AK711" si="882">SUM(AH709:AH710)</f>
        <v>0</v>
      </c>
      <c r="AI711" s="556">
        <f t="shared" si="882"/>
        <v>0</v>
      </c>
      <c r="AJ711" s="556">
        <f t="shared" si="882"/>
        <v>0</v>
      </c>
      <c r="AK711" s="556">
        <f t="shared" si="882"/>
        <v>0</v>
      </c>
      <c r="AL711" s="556">
        <f t="shared" ref="AL711:AP711" si="883">SUM(AL709:AL710)</f>
        <v>0</v>
      </c>
      <c r="AM711" s="556">
        <f t="shared" si="883"/>
        <v>0</v>
      </c>
      <c r="AN711" s="556">
        <f t="shared" si="883"/>
        <v>0</v>
      </c>
      <c r="AO711" s="556">
        <f t="shared" si="883"/>
        <v>0</v>
      </c>
      <c r="AP711" s="556">
        <f t="shared" si="883"/>
        <v>0</v>
      </c>
      <c r="AQ711" s="556">
        <f t="shared" ref="AQ711:AS711" si="884">SUM(AQ709:AQ710)</f>
        <v>0</v>
      </c>
      <c r="AR711" s="556">
        <f t="shared" si="884"/>
        <v>0</v>
      </c>
      <c r="AS711" s="556">
        <f t="shared" si="884"/>
        <v>0</v>
      </c>
      <c r="AT711" s="556"/>
      <c r="AU711" s="241">
        <f>SUM(AU709:AU710)</f>
        <v>6962.0062179800143</v>
      </c>
      <c r="AV711" s="131"/>
      <c r="AW711" s="241">
        <f>SUM(AW709:AW710)</f>
        <v>6962.0062179800143</v>
      </c>
      <c r="AX711" s="241">
        <f>+AW711-'ROR-Model'!G712</f>
        <v>0</v>
      </c>
    </row>
    <row r="712" spans="1:50">
      <c r="A712" s="134"/>
      <c r="B712" s="106"/>
      <c r="C712" s="106"/>
      <c r="D712" s="106"/>
      <c r="E712" s="331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16"/>
      <c r="AW712" s="133"/>
      <c r="AX712" s="133">
        <f>+AW712-'ROR-Model'!G713</f>
        <v>0</v>
      </c>
    </row>
    <row r="713" spans="1:50">
      <c r="A713" s="134">
        <v>887</v>
      </c>
      <c r="B713" s="106" t="s">
        <v>388</v>
      </c>
      <c r="C713" s="106"/>
      <c r="D713" s="106"/>
      <c r="E713" s="331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16"/>
      <c r="AW713" s="133"/>
      <c r="AX713" s="133">
        <f>+AW713-'ROR-Model'!G714</f>
        <v>0</v>
      </c>
    </row>
    <row r="714" spans="1:50">
      <c r="A714" s="134"/>
      <c r="B714" s="106"/>
      <c r="C714" s="106" t="s">
        <v>14</v>
      </c>
      <c r="D714" s="106"/>
      <c r="E714" s="331"/>
      <c r="F714" s="116"/>
      <c r="G714" s="116">
        <f>$G$1*EXPENSES!L206</f>
        <v>352846.66751114652</v>
      </c>
      <c r="H714" s="116"/>
      <c r="I714" s="116"/>
      <c r="J714" s="116"/>
      <c r="K714" s="116"/>
      <c r="L714" s="116"/>
      <c r="M714" s="116"/>
      <c r="N714" s="116"/>
      <c r="O714" s="116"/>
      <c r="P714" s="116"/>
      <c r="Q714" s="133"/>
      <c r="R714" s="133"/>
      <c r="S714" s="133"/>
      <c r="T714" s="133">
        <f>'Optional Adjustment 2'!G714*$T$1</f>
        <v>0</v>
      </c>
      <c r="U714" s="133">
        <f>'Optional Adjustment 3'!G714*$U$1</f>
        <v>0</v>
      </c>
      <c r="V714" s="133">
        <f>'Optional Adjustment 4'!G714*$V$1</f>
        <v>0</v>
      </c>
      <c r="W714" s="133">
        <f>'Optional Adjustment 5'!G714*$W$1</f>
        <v>0</v>
      </c>
      <c r="X714" s="133">
        <f>'Optional Adjustment 6'!G714*$X$1</f>
        <v>0</v>
      </c>
      <c r="Y714" s="133">
        <f>'Optional Adjustment 7'!G714*$Y$1</f>
        <v>0</v>
      </c>
      <c r="Z714" s="133">
        <f>'Optional Adjustment 8'!G714*$Z$1</f>
        <v>0</v>
      </c>
      <c r="AA714" s="133">
        <f>'Optional Adjustment 9'!G714*$AA$1</f>
        <v>0</v>
      </c>
      <c r="AB714" s="133">
        <f>'Optional Adjustment 10'!G714*$AB$1</f>
        <v>0</v>
      </c>
      <c r="AC714" s="133">
        <f>'Optional Adjustment 11'!G714*$AC$1</f>
        <v>0</v>
      </c>
      <c r="AD714" s="133">
        <f>'Optional Adjustment 12'!G714*$AD$1</f>
        <v>0</v>
      </c>
      <c r="AE714" s="133">
        <f>'Optional Adjustment 13'!G714*$AE$1</f>
        <v>0</v>
      </c>
      <c r="AF714" s="133">
        <f>'Optional Adjustment 14'!G714*$AF$1</f>
        <v>0</v>
      </c>
      <c r="AG714" s="133">
        <f>'Optional Adjustment 15'!G714*$AG$1</f>
        <v>0</v>
      </c>
      <c r="AH714" s="133">
        <f>'Optional Adjustment 16'!G714*$AH$1</f>
        <v>0</v>
      </c>
      <c r="AI714" s="133">
        <f>'Optional Adjustment 17'!G714*$AI$1</f>
        <v>0</v>
      </c>
      <c r="AJ714" s="133">
        <f>'Optional Adjustment 18'!G714*$AJ$1</f>
        <v>0</v>
      </c>
      <c r="AK714" s="133">
        <f>'Optional Adjustment 19'!G714*$AK$1</f>
        <v>0</v>
      </c>
      <c r="AL714" s="133">
        <f>'Optional Adjustment 20'!G714*$AL$1</f>
        <v>0</v>
      </c>
      <c r="AM714" s="133">
        <f>'Optional Adjustment 21'!G714*$AM$1</f>
        <v>0</v>
      </c>
      <c r="AN714" s="133">
        <f>'Optional Adjustment 22'!G714*$AN$1</f>
        <v>0</v>
      </c>
      <c r="AO714" s="133">
        <f>'Optional Adjustment 23'!G714*$AO$1</f>
        <v>0</v>
      </c>
      <c r="AP714" s="133">
        <f>'Optional Adjustment 24'!G714*$AP$1</f>
        <v>0</v>
      </c>
      <c r="AQ714" s="133">
        <f>'Optional Adjustment 25'!G714*$AQ$1</f>
        <v>0</v>
      </c>
      <c r="AR714" s="133">
        <f>'Optional Adjustment 26'!G714*$AR$1</f>
        <v>0</v>
      </c>
      <c r="AS714" s="133">
        <f>'Optional Adjustment 27'!G714*$AS$1</f>
        <v>0</v>
      </c>
      <c r="AT714" s="133"/>
      <c r="AU714" s="133">
        <f>SUM(F714:AT714)</f>
        <v>352846.66751114652</v>
      </c>
      <c r="AV714" s="116"/>
      <c r="AW714" s="133">
        <f>SUM(AU714:AU714)</f>
        <v>352846.66751114652</v>
      </c>
      <c r="AX714" s="133">
        <f>+AW714-'ROR-Model'!G715</f>
        <v>0</v>
      </c>
    </row>
    <row r="715" spans="1:50">
      <c r="A715" s="134"/>
      <c r="B715" s="106"/>
      <c r="C715" s="106" t="s">
        <v>24</v>
      </c>
      <c r="D715" s="106"/>
      <c r="E715" s="331"/>
      <c r="F715" s="116"/>
      <c r="G715" s="116">
        <f>$G$1*EXPENSES!L207</f>
        <v>-2886.732533869028</v>
      </c>
      <c r="H715" s="116"/>
      <c r="I715" s="116"/>
      <c r="J715" s="116"/>
      <c r="K715" s="116"/>
      <c r="L715" s="116"/>
      <c r="M715" s="116"/>
      <c r="N715" s="116"/>
      <c r="O715" s="116"/>
      <c r="P715" s="116"/>
      <c r="Q715" s="133"/>
      <c r="R715" s="133"/>
      <c r="S715" s="133"/>
      <c r="T715" s="133">
        <f>'Optional Adjustment 2'!G715*$T$1</f>
        <v>0</v>
      </c>
      <c r="U715" s="133">
        <f>'Optional Adjustment 3'!G715*$U$1</f>
        <v>0</v>
      </c>
      <c r="V715" s="133">
        <f>'Optional Adjustment 4'!G715*$V$1</f>
        <v>0</v>
      </c>
      <c r="W715" s="133">
        <f>'Optional Adjustment 5'!G715*$W$1</f>
        <v>0</v>
      </c>
      <c r="X715" s="133">
        <f>'Optional Adjustment 6'!G715*$X$1</f>
        <v>0</v>
      </c>
      <c r="Y715" s="133">
        <f>'Optional Adjustment 7'!G715*$Y$1</f>
        <v>0</v>
      </c>
      <c r="Z715" s="133">
        <f>'Optional Adjustment 8'!G715*$Z$1</f>
        <v>0</v>
      </c>
      <c r="AA715" s="133">
        <f>'Optional Adjustment 9'!G715*$AA$1</f>
        <v>0</v>
      </c>
      <c r="AB715" s="133">
        <f>'Optional Adjustment 10'!G715*$AB$1</f>
        <v>0</v>
      </c>
      <c r="AC715" s="133">
        <f>'Optional Adjustment 11'!G715*$AC$1</f>
        <v>0</v>
      </c>
      <c r="AD715" s="133">
        <f>'Optional Adjustment 12'!G715*$AD$1</f>
        <v>0</v>
      </c>
      <c r="AE715" s="133">
        <f>'Optional Adjustment 13'!G715*$AE$1</f>
        <v>0</v>
      </c>
      <c r="AF715" s="133">
        <f>'Optional Adjustment 14'!G715*$AF$1</f>
        <v>0</v>
      </c>
      <c r="AG715" s="133">
        <f>'Optional Adjustment 15'!G715*$AG$1</f>
        <v>0</v>
      </c>
      <c r="AH715" s="133">
        <f>'Optional Adjustment 16'!G715*$AH$1</f>
        <v>0</v>
      </c>
      <c r="AI715" s="133">
        <f>'Optional Adjustment 17'!G715*$AI$1</f>
        <v>0</v>
      </c>
      <c r="AJ715" s="133">
        <f>'Optional Adjustment 18'!G715*$AJ$1</f>
        <v>0</v>
      </c>
      <c r="AK715" s="133">
        <f>'Optional Adjustment 19'!G715*$AK$1</f>
        <v>0</v>
      </c>
      <c r="AL715" s="133">
        <f>'Optional Adjustment 20'!G715*$AL$1</f>
        <v>0</v>
      </c>
      <c r="AM715" s="133">
        <f>'Optional Adjustment 21'!G715*$AM$1</f>
        <v>0</v>
      </c>
      <c r="AN715" s="133">
        <f>'Optional Adjustment 22'!G715*$AN$1</f>
        <v>0</v>
      </c>
      <c r="AO715" s="133">
        <f>'Optional Adjustment 23'!G715*$AO$1</f>
        <v>0</v>
      </c>
      <c r="AP715" s="133">
        <f>'Optional Adjustment 24'!G715*$AP$1</f>
        <v>0</v>
      </c>
      <c r="AQ715" s="133">
        <f>'Optional Adjustment 25'!G715*$AQ$1</f>
        <v>0</v>
      </c>
      <c r="AR715" s="133">
        <f>'Optional Adjustment 26'!G715*$AR$1</f>
        <v>0</v>
      </c>
      <c r="AS715" s="133">
        <f>'Optional Adjustment 27'!G715*$AS$1</f>
        <v>0</v>
      </c>
      <c r="AT715" s="133"/>
      <c r="AU715" s="133">
        <f>SUM(F715:AT715)</f>
        <v>-2886.732533869028</v>
      </c>
      <c r="AV715" s="116"/>
      <c r="AW715" s="133">
        <f>SUM(AU715:AU715)</f>
        <v>-2886.732533869028</v>
      </c>
      <c r="AX715" s="133">
        <f>+AW715-'ROR-Model'!G716</f>
        <v>0</v>
      </c>
    </row>
    <row r="716" spans="1:50">
      <c r="A716" s="134"/>
      <c r="B716" s="106"/>
      <c r="C716" s="106" t="s">
        <v>170</v>
      </c>
      <c r="D716" s="106"/>
      <c r="E716" s="331"/>
      <c r="F716" s="131">
        <f>SUM(F714:F715)</f>
        <v>0</v>
      </c>
      <c r="G716" s="131">
        <f>SUM(G714:G715)</f>
        <v>349959.93497727747</v>
      </c>
      <c r="H716" s="131">
        <f>H1*SUM(H714:H715)</f>
        <v>0</v>
      </c>
      <c r="I716" s="131">
        <f>SUM(I714:I715)</f>
        <v>0</v>
      </c>
      <c r="J716" s="131">
        <f t="shared" ref="J716:P716" si="885">SUM(J714:J715)</f>
        <v>0</v>
      </c>
      <c r="K716" s="131">
        <f t="shared" si="885"/>
        <v>0</v>
      </c>
      <c r="L716" s="131">
        <f t="shared" si="885"/>
        <v>0</v>
      </c>
      <c r="M716" s="131">
        <f t="shared" si="885"/>
        <v>0</v>
      </c>
      <c r="N716" s="131">
        <f t="shared" si="885"/>
        <v>0</v>
      </c>
      <c r="O716" s="131">
        <f t="shared" si="885"/>
        <v>0</v>
      </c>
      <c r="P716" s="131">
        <f t="shared" si="885"/>
        <v>0</v>
      </c>
      <c r="Q716" s="241">
        <f>SUM(Q714:Q715)</f>
        <v>0</v>
      </c>
      <c r="R716" s="241">
        <f>SUM(R714:R715)</f>
        <v>0</v>
      </c>
      <c r="S716" s="556"/>
      <c r="T716" s="556">
        <f t="shared" ref="T716:AG716" si="886">SUM(T714:T715)</f>
        <v>0</v>
      </c>
      <c r="U716" s="556">
        <f t="shared" si="886"/>
        <v>0</v>
      </c>
      <c r="V716" s="556">
        <f t="shared" si="886"/>
        <v>0</v>
      </c>
      <c r="W716" s="556">
        <f t="shared" si="886"/>
        <v>0</v>
      </c>
      <c r="X716" s="556">
        <f t="shared" si="886"/>
        <v>0</v>
      </c>
      <c r="Y716" s="556">
        <f t="shared" si="886"/>
        <v>0</v>
      </c>
      <c r="Z716" s="556">
        <f t="shared" si="886"/>
        <v>0</v>
      </c>
      <c r="AA716" s="556">
        <f t="shared" si="886"/>
        <v>0</v>
      </c>
      <c r="AB716" s="556">
        <f t="shared" si="886"/>
        <v>0</v>
      </c>
      <c r="AC716" s="556">
        <f t="shared" si="886"/>
        <v>0</v>
      </c>
      <c r="AD716" s="556">
        <f t="shared" si="886"/>
        <v>0</v>
      </c>
      <c r="AE716" s="556">
        <f t="shared" si="886"/>
        <v>0</v>
      </c>
      <c r="AF716" s="556">
        <f t="shared" si="886"/>
        <v>0</v>
      </c>
      <c r="AG716" s="556">
        <f t="shared" si="886"/>
        <v>0</v>
      </c>
      <c r="AH716" s="556">
        <f t="shared" ref="AH716:AK716" si="887">SUM(AH714:AH715)</f>
        <v>0</v>
      </c>
      <c r="AI716" s="556">
        <f t="shared" si="887"/>
        <v>0</v>
      </c>
      <c r="AJ716" s="556">
        <f t="shared" si="887"/>
        <v>0</v>
      </c>
      <c r="AK716" s="556">
        <f t="shared" si="887"/>
        <v>0</v>
      </c>
      <c r="AL716" s="556">
        <f t="shared" ref="AL716:AP716" si="888">SUM(AL714:AL715)</f>
        <v>0</v>
      </c>
      <c r="AM716" s="556">
        <f t="shared" si="888"/>
        <v>0</v>
      </c>
      <c r="AN716" s="556">
        <f t="shared" si="888"/>
        <v>0</v>
      </c>
      <c r="AO716" s="556">
        <f t="shared" si="888"/>
        <v>0</v>
      </c>
      <c r="AP716" s="556">
        <f t="shared" si="888"/>
        <v>0</v>
      </c>
      <c r="AQ716" s="556">
        <f t="shared" ref="AQ716:AS716" si="889">SUM(AQ714:AQ715)</f>
        <v>0</v>
      </c>
      <c r="AR716" s="556">
        <f t="shared" si="889"/>
        <v>0</v>
      </c>
      <c r="AS716" s="556">
        <f t="shared" si="889"/>
        <v>0</v>
      </c>
      <c r="AT716" s="556"/>
      <c r="AU716" s="241">
        <f>SUM(AU714:AU715)</f>
        <v>349959.93497727747</v>
      </c>
      <c r="AV716" s="131"/>
      <c r="AW716" s="241">
        <f>SUM(AW714:AW715)</f>
        <v>349959.93497727747</v>
      </c>
      <c r="AX716" s="241">
        <f>+AW716-'ROR-Model'!G717</f>
        <v>0</v>
      </c>
    </row>
    <row r="717" spans="1:50">
      <c r="A717" s="134"/>
      <c r="B717" s="106"/>
      <c r="C717" s="106"/>
      <c r="D717" s="106"/>
      <c r="E717" s="331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16"/>
      <c r="AW717" s="133"/>
      <c r="AX717" s="133">
        <f>+AW717-'ROR-Model'!G718</f>
        <v>0</v>
      </c>
    </row>
    <row r="718" spans="1:50">
      <c r="A718" s="134">
        <v>888</v>
      </c>
      <c r="B718" s="106" t="s">
        <v>389</v>
      </c>
      <c r="C718" s="106"/>
      <c r="D718" s="106"/>
      <c r="E718" s="331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16"/>
      <c r="AW718" s="133"/>
      <c r="AX718" s="133">
        <f>+AW718-'ROR-Model'!G719</f>
        <v>0</v>
      </c>
    </row>
    <row r="719" spans="1:50">
      <c r="A719" s="134"/>
      <c r="B719" s="106"/>
      <c r="C719" s="106" t="s">
        <v>14</v>
      </c>
      <c r="D719" s="106"/>
      <c r="E719" s="331"/>
      <c r="F719" s="116"/>
      <c r="G719" s="116">
        <f>$G$1*EXPENSES!L211</f>
        <v>54015.280864617787</v>
      </c>
      <c r="H719" s="116"/>
      <c r="I719" s="116"/>
      <c r="J719" s="116"/>
      <c r="K719" s="116"/>
      <c r="L719" s="116"/>
      <c r="M719" s="116"/>
      <c r="N719" s="116"/>
      <c r="O719" s="116"/>
      <c r="P719" s="116"/>
      <c r="Q719" s="133"/>
      <c r="R719" s="133"/>
      <c r="S719" s="133"/>
      <c r="T719" s="133">
        <f>'Optional Adjustment 2'!G719*$T$1</f>
        <v>0</v>
      </c>
      <c r="U719" s="133">
        <f>'Optional Adjustment 3'!G719*$U$1</f>
        <v>0</v>
      </c>
      <c r="V719" s="133">
        <f>'Optional Adjustment 4'!G719*$V$1</f>
        <v>0</v>
      </c>
      <c r="W719" s="133">
        <f>'Optional Adjustment 5'!G719*$W$1</f>
        <v>0</v>
      </c>
      <c r="X719" s="133">
        <f>'Optional Adjustment 6'!G719*$X$1</f>
        <v>0</v>
      </c>
      <c r="Y719" s="133">
        <f>'Optional Adjustment 7'!G719*$Y$1</f>
        <v>0</v>
      </c>
      <c r="Z719" s="133">
        <f>'Optional Adjustment 8'!G719*$Z$1</f>
        <v>0</v>
      </c>
      <c r="AA719" s="133">
        <f>'Optional Adjustment 9'!G719*$AA$1</f>
        <v>0</v>
      </c>
      <c r="AB719" s="133">
        <f>'Optional Adjustment 10'!G719*$AB$1</f>
        <v>0</v>
      </c>
      <c r="AC719" s="133">
        <f>'Optional Adjustment 11'!G719*$AC$1</f>
        <v>0</v>
      </c>
      <c r="AD719" s="133">
        <f>'Optional Adjustment 12'!G719*$AD$1</f>
        <v>0</v>
      </c>
      <c r="AE719" s="133">
        <f>'Optional Adjustment 13'!G719*$AE$1</f>
        <v>0</v>
      </c>
      <c r="AF719" s="133">
        <f>'Optional Adjustment 14'!G719*$AF$1</f>
        <v>0</v>
      </c>
      <c r="AG719" s="133">
        <f>'Optional Adjustment 15'!G719*$AG$1</f>
        <v>0</v>
      </c>
      <c r="AH719" s="133">
        <f>'Optional Adjustment 16'!G719*$AH$1</f>
        <v>0</v>
      </c>
      <c r="AI719" s="133">
        <f>'Optional Adjustment 17'!G719*$AI$1</f>
        <v>0</v>
      </c>
      <c r="AJ719" s="133">
        <f>'Optional Adjustment 18'!G719*$AJ$1</f>
        <v>0</v>
      </c>
      <c r="AK719" s="133">
        <f>'Optional Adjustment 19'!G719*$AK$1</f>
        <v>0</v>
      </c>
      <c r="AL719" s="133">
        <f>'Optional Adjustment 20'!G719*$AL$1</f>
        <v>0</v>
      </c>
      <c r="AM719" s="133">
        <f>'Optional Adjustment 21'!G719*$AM$1</f>
        <v>0</v>
      </c>
      <c r="AN719" s="133">
        <f>'Optional Adjustment 22'!G719*$AN$1</f>
        <v>0</v>
      </c>
      <c r="AO719" s="133">
        <f>'Optional Adjustment 23'!G719*$AO$1</f>
        <v>0</v>
      </c>
      <c r="AP719" s="133">
        <f>'Optional Adjustment 24'!G719*$AP$1</f>
        <v>0</v>
      </c>
      <c r="AQ719" s="133">
        <f>'Optional Adjustment 25'!G719*$AQ$1</f>
        <v>0</v>
      </c>
      <c r="AR719" s="133">
        <f>'Optional Adjustment 26'!G719*$AR$1</f>
        <v>0</v>
      </c>
      <c r="AS719" s="133">
        <f>'Optional Adjustment 27'!G719*$AS$1</f>
        <v>0</v>
      </c>
      <c r="AT719" s="133"/>
      <c r="AU719" s="133">
        <f>SUM(F719:AT719)</f>
        <v>54015.280864617787</v>
      </c>
      <c r="AV719" s="116"/>
      <c r="AW719" s="133">
        <f>SUM(AU719:AU719)</f>
        <v>54015.280864617787</v>
      </c>
      <c r="AX719" s="133">
        <f>+AW719-'ROR-Model'!G720</f>
        <v>0</v>
      </c>
    </row>
    <row r="720" spans="1:50">
      <c r="A720" s="134"/>
      <c r="B720" s="106"/>
      <c r="C720" s="106" t="s">
        <v>24</v>
      </c>
      <c r="D720" s="106"/>
      <c r="E720" s="331"/>
      <c r="F720" s="116"/>
      <c r="G720" s="116">
        <f>$G$1*EXPENSES!L212</f>
        <v>1420.4636332799855</v>
      </c>
      <c r="H720" s="116"/>
      <c r="I720" s="116"/>
      <c r="J720" s="116"/>
      <c r="K720" s="116"/>
      <c r="L720" s="116"/>
      <c r="M720" s="116"/>
      <c r="N720" s="116"/>
      <c r="O720" s="116"/>
      <c r="P720" s="116"/>
      <c r="Q720" s="133"/>
      <c r="R720" s="133"/>
      <c r="S720" s="133"/>
      <c r="T720" s="133">
        <f>'Optional Adjustment 2'!G720*$T$1</f>
        <v>0</v>
      </c>
      <c r="U720" s="133">
        <f>'Optional Adjustment 3'!G720*$U$1</f>
        <v>0</v>
      </c>
      <c r="V720" s="133">
        <f>'Optional Adjustment 4'!G720*$V$1</f>
        <v>0</v>
      </c>
      <c r="W720" s="133">
        <f>'Optional Adjustment 5'!G720*$W$1</f>
        <v>0</v>
      </c>
      <c r="X720" s="133">
        <f>'Optional Adjustment 6'!G720*$X$1</f>
        <v>0</v>
      </c>
      <c r="Y720" s="133">
        <f>'Optional Adjustment 7'!G720*$Y$1</f>
        <v>0</v>
      </c>
      <c r="Z720" s="133">
        <f>'Optional Adjustment 8'!G720*$Z$1</f>
        <v>0</v>
      </c>
      <c r="AA720" s="133">
        <f>'Optional Adjustment 9'!G720*$AA$1</f>
        <v>0</v>
      </c>
      <c r="AB720" s="133">
        <f>'Optional Adjustment 10'!G720*$AB$1</f>
        <v>0</v>
      </c>
      <c r="AC720" s="133">
        <f>'Optional Adjustment 11'!G720*$AC$1</f>
        <v>0</v>
      </c>
      <c r="AD720" s="133">
        <f>'Optional Adjustment 12'!G720*$AD$1</f>
        <v>0</v>
      </c>
      <c r="AE720" s="133">
        <f>'Optional Adjustment 13'!G720*$AE$1</f>
        <v>0</v>
      </c>
      <c r="AF720" s="133">
        <f>'Optional Adjustment 14'!G720*$AF$1</f>
        <v>0</v>
      </c>
      <c r="AG720" s="133">
        <f>'Optional Adjustment 15'!G720*$AG$1</f>
        <v>0</v>
      </c>
      <c r="AH720" s="133">
        <f>'Optional Adjustment 16'!G720*$AH$1</f>
        <v>0</v>
      </c>
      <c r="AI720" s="133">
        <f>'Optional Adjustment 17'!G720*$AI$1</f>
        <v>0</v>
      </c>
      <c r="AJ720" s="133">
        <f>'Optional Adjustment 18'!G720*$AJ$1</f>
        <v>0</v>
      </c>
      <c r="AK720" s="133">
        <f>'Optional Adjustment 19'!G720*$AK$1</f>
        <v>0</v>
      </c>
      <c r="AL720" s="133">
        <f>'Optional Adjustment 20'!G720*$AL$1</f>
        <v>0</v>
      </c>
      <c r="AM720" s="133">
        <f>'Optional Adjustment 21'!G720*$AM$1</f>
        <v>0</v>
      </c>
      <c r="AN720" s="133">
        <f>'Optional Adjustment 22'!G720*$AN$1</f>
        <v>0</v>
      </c>
      <c r="AO720" s="133">
        <f>'Optional Adjustment 23'!G720*$AO$1</f>
        <v>0</v>
      </c>
      <c r="AP720" s="133">
        <f>'Optional Adjustment 24'!G720*$AP$1</f>
        <v>0</v>
      </c>
      <c r="AQ720" s="133">
        <f>'Optional Adjustment 25'!G720*$AQ$1</f>
        <v>0</v>
      </c>
      <c r="AR720" s="133">
        <f>'Optional Adjustment 26'!G720*$AR$1</f>
        <v>0</v>
      </c>
      <c r="AS720" s="133">
        <f>'Optional Adjustment 27'!G720*$AS$1</f>
        <v>0</v>
      </c>
      <c r="AT720" s="133"/>
      <c r="AU720" s="133">
        <f>SUM(F720:AT720)</f>
        <v>1420.4636332799855</v>
      </c>
      <c r="AV720" s="116"/>
      <c r="AW720" s="133">
        <f>SUM(AU720:AU720)</f>
        <v>1420.4636332799855</v>
      </c>
      <c r="AX720" s="133">
        <f>+AW720-'ROR-Model'!G721</f>
        <v>0</v>
      </c>
    </row>
    <row r="721" spans="1:50">
      <c r="A721" s="134"/>
      <c r="B721" s="106"/>
      <c r="C721" s="106" t="s">
        <v>170</v>
      </c>
      <c r="D721" s="106"/>
      <c r="E721" s="331"/>
      <c r="F721" s="131">
        <f>SUM(F719:F720)</f>
        <v>0</v>
      </c>
      <c r="G721" s="131">
        <f>SUM(G719:G720)</f>
        <v>55435.744497897773</v>
      </c>
      <c r="H721" s="131">
        <f>H1*SUM(H719:H720)</f>
        <v>0</v>
      </c>
      <c r="I721" s="131">
        <f>SUM(I719:I720)</f>
        <v>0</v>
      </c>
      <c r="J721" s="131">
        <f t="shared" ref="J721:P721" si="890">SUM(J719:J720)</f>
        <v>0</v>
      </c>
      <c r="K721" s="131">
        <f t="shared" si="890"/>
        <v>0</v>
      </c>
      <c r="L721" s="131">
        <f t="shared" si="890"/>
        <v>0</v>
      </c>
      <c r="M721" s="131">
        <f t="shared" si="890"/>
        <v>0</v>
      </c>
      <c r="N721" s="131">
        <f t="shared" si="890"/>
        <v>0</v>
      </c>
      <c r="O721" s="131">
        <f t="shared" si="890"/>
        <v>0</v>
      </c>
      <c r="P721" s="131">
        <f t="shared" si="890"/>
        <v>0</v>
      </c>
      <c r="Q721" s="241">
        <f>SUM(Q719:Q720)</f>
        <v>0</v>
      </c>
      <c r="R721" s="241">
        <f>SUM(R719:R720)</f>
        <v>0</v>
      </c>
      <c r="S721" s="556"/>
      <c r="T721" s="556">
        <f t="shared" ref="T721:AG721" si="891">SUM(T719:T720)</f>
        <v>0</v>
      </c>
      <c r="U721" s="556">
        <f t="shared" si="891"/>
        <v>0</v>
      </c>
      <c r="V721" s="556">
        <f t="shared" si="891"/>
        <v>0</v>
      </c>
      <c r="W721" s="556">
        <f t="shared" si="891"/>
        <v>0</v>
      </c>
      <c r="X721" s="556">
        <f t="shared" si="891"/>
        <v>0</v>
      </c>
      <c r="Y721" s="556">
        <f t="shared" si="891"/>
        <v>0</v>
      </c>
      <c r="Z721" s="556">
        <f t="shared" si="891"/>
        <v>0</v>
      </c>
      <c r="AA721" s="556">
        <f t="shared" si="891"/>
        <v>0</v>
      </c>
      <c r="AB721" s="556">
        <f t="shared" si="891"/>
        <v>0</v>
      </c>
      <c r="AC721" s="556">
        <f t="shared" si="891"/>
        <v>0</v>
      </c>
      <c r="AD721" s="556">
        <f t="shared" si="891"/>
        <v>0</v>
      </c>
      <c r="AE721" s="556">
        <f t="shared" si="891"/>
        <v>0</v>
      </c>
      <c r="AF721" s="556">
        <f t="shared" si="891"/>
        <v>0</v>
      </c>
      <c r="AG721" s="556">
        <f t="shared" si="891"/>
        <v>0</v>
      </c>
      <c r="AH721" s="556">
        <f t="shared" ref="AH721:AK721" si="892">SUM(AH719:AH720)</f>
        <v>0</v>
      </c>
      <c r="AI721" s="556">
        <f t="shared" si="892"/>
        <v>0</v>
      </c>
      <c r="AJ721" s="556">
        <f t="shared" si="892"/>
        <v>0</v>
      </c>
      <c r="AK721" s="556">
        <f t="shared" si="892"/>
        <v>0</v>
      </c>
      <c r="AL721" s="556">
        <f t="shared" ref="AL721:AP721" si="893">SUM(AL719:AL720)</f>
        <v>0</v>
      </c>
      <c r="AM721" s="556">
        <f t="shared" si="893"/>
        <v>0</v>
      </c>
      <c r="AN721" s="556">
        <f t="shared" si="893"/>
        <v>0</v>
      </c>
      <c r="AO721" s="556">
        <f t="shared" si="893"/>
        <v>0</v>
      </c>
      <c r="AP721" s="556">
        <f t="shared" si="893"/>
        <v>0</v>
      </c>
      <c r="AQ721" s="556">
        <f t="shared" ref="AQ721:AS721" si="894">SUM(AQ719:AQ720)</f>
        <v>0</v>
      </c>
      <c r="AR721" s="556">
        <f t="shared" si="894"/>
        <v>0</v>
      </c>
      <c r="AS721" s="556">
        <f t="shared" si="894"/>
        <v>0</v>
      </c>
      <c r="AT721" s="556"/>
      <c r="AU721" s="241">
        <f>SUM(AU719:AU720)</f>
        <v>55435.744497897773</v>
      </c>
      <c r="AV721" s="131"/>
      <c r="AW721" s="241">
        <f>SUM(AW719:AW720)</f>
        <v>55435.744497897773</v>
      </c>
      <c r="AX721" s="241">
        <f>+AW721-'ROR-Model'!G722</f>
        <v>0</v>
      </c>
    </row>
    <row r="722" spans="1:50">
      <c r="A722" s="134"/>
      <c r="B722" s="106"/>
      <c r="C722" s="106"/>
      <c r="D722" s="106"/>
      <c r="E722" s="331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16"/>
      <c r="AW722" s="133"/>
      <c r="AX722" s="133">
        <f>+AW722-'ROR-Model'!G723</f>
        <v>0</v>
      </c>
    </row>
    <row r="723" spans="1:50">
      <c r="A723" s="134">
        <v>889</v>
      </c>
      <c r="B723" s="106" t="s">
        <v>391</v>
      </c>
      <c r="C723" s="106"/>
      <c r="D723" s="106"/>
      <c r="E723" s="331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16"/>
      <c r="AW723" s="133"/>
      <c r="AX723" s="133">
        <f>+AW723-'ROR-Model'!G724</f>
        <v>0</v>
      </c>
    </row>
    <row r="724" spans="1:50">
      <c r="A724" s="134"/>
      <c r="B724" s="106"/>
      <c r="C724" s="106" t="s">
        <v>14</v>
      </c>
      <c r="D724" s="106"/>
      <c r="E724" s="331"/>
      <c r="F724" s="116"/>
      <c r="G724" s="116">
        <f>$G$1*EXPENSES!L216</f>
        <v>3958.6874047691672</v>
      </c>
      <c r="H724" s="116"/>
      <c r="I724" s="116"/>
      <c r="J724" s="116"/>
      <c r="K724" s="116"/>
      <c r="L724" s="116"/>
      <c r="M724" s="116"/>
      <c r="N724" s="116"/>
      <c r="O724" s="116"/>
      <c r="P724" s="116"/>
      <c r="Q724" s="133"/>
      <c r="R724" s="133"/>
      <c r="S724" s="133"/>
      <c r="T724" s="133">
        <f>'Optional Adjustment 2'!G724*$T$1</f>
        <v>0</v>
      </c>
      <c r="U724" s="133">
        <f>'Optional Adjustment 3'!G724*$U$1</f>
        <v>0</v>
      </c>
      <c r="V724" s="133">
        <f>'Optional Adjustment 4'!G724*$V$1</f>
        <v>0</v>
      </c>
      <c r="W724" s="133">
        <f>'Optional Adjustment 5'!G724*$W$1</f>
        <v>0</v>
      </c>
      <c r="X724" s="133">
        <f>'Optional Adjustment 6'!G724*$X$1</f>
        <v>0</v>
      </c>
      <c r="Y724" s="133">
        <f>'Optional Adjustment 7'!G724*$Y$1</f>
        <v>0</v>
      </c>
      <c r="Z724" s="133">
        <f>'Optional Adjustment 8'!G724*$Z$1</f>
        <v>0</v>
      </c>
      <c r="AA724" s="133">
        <f>'Optional Adjustment 9'!G724*$AA$1</f>
        <v>0</v>
      </c>
      <c r="AB724" s="133">
        <f>'Optional Adjustment 10'!G724*$AB$1</f>
        <v>0</v>
      </c>
      <c r="AC724" s="133">
        <f>'Optional Adjustment 11'!G724*$AC$1</f>
        <v>0</v>
      </c>
      <c r="AD724" s="133">
        <f>'Optional Adjustment 12'!G724*$AD$1</f>
        <v>0</v>
      </c>
      <c r="AE724" s="133">
        <f>'Optional Adjustment 13'!G724*$AE$1</f>
        <v>0</v>
      </c>
      <c r="AF724" s="133">
        <f>'Optional Adjustment 14'!G724*$AF$1</f>
        <v>0</v>
      </c>
      <c r="AG724" s="133">
        <f>'Optional Adjustment 15'!G724*$AG$1</f>
        <v>0</v>
      </c>
      <c r="AH724" s="133">
        <f>'Optional Adjustment 16'!G724*$AH$1</f>
        <v>0</v>
      </c>
      <c r="AI724" s="133">
        <f>'Optional Adjustment 17'!G724*$AI$1</f>
        <v>0</v>
      </c>
      <c r="AJ724" s="133">
        <f>'Optional Adjustment 18'!G724*$AJ$1</f>
        <v>0</v>
      </c>
      <c r="AK724" s="133">
        <f>'Optional Adjustment 19'!G724*$AK$1</f>
        <v>0</v>
      </c>
      <c r="AL724" s="133">
        <f>'Optional Adjustment 20'!G724*$AL$1</f>
        <v>0</v>
      </c>
      <c r="AM724" s="133">
        <f>'Optional Adjustment 21'!G724*$AM$1</f>
        <v>0</v>
      </c>
      <c r="AN724" s="133">
        <f>'Optional Adjustment 22'!G724*$AN$1</f>
        <v>0</v>
      </c>
      <c r="AO724" s="133">
        <f>'Optional Adjustment 23'!G724*$AO$1</f>
        <v>0</v>
      </c>
      <c r="AP724" s="133">
        <f>'Optional Adjustment 24'!G724*$AP$1</f>
        <v>0</v>
      </c>
      <c r="AQ724" s="133">
        <f>'Optional Adjustment 25'!G724*$AQ$1</f>
        <v>0</v>
      </c>
      <c r="AR724" s="133">
        <f>'Optional Adjustment 26'!G724*$AR$1</f>
        <v>0</v>
      </c>
      <c r="AS724" s="133">
        <f>'Optional Adjustment 27'!G724*$AS$1</f>
        <v>0</v>
      </c>
      <c r="AT724" s="133"/>
      <c r="AU724" s="133">
        <f>SUM(F724:AT724)</f>
        <v>3958.6874047691672</v>
      </c>
      <c r="AV724" s="116"/>
      <c r="AW724" s="133">
        <f>SUM(AU724:AU724)</f>
        <v>3958.6874047691672</v>
      </c>
      <c r="AX724" s="133">
        <f>+AW724-'ROR-Model'!G725</f>
        <v>0</v>
      </c>
    </row>
    <row r="725" spans="1:50">
      <c r="A725" s="134"/>
      <c r="B725" s="106"/>
      <c r="C725" s="106" t="s">
        <v>24</v>
      </c>
      <c r="D725" s="106"/>
      <c r="E725" s="331"/>
      <c r="F725" s="116"/>
      <c r="G725" s="116">
        <f>$G$1*EXPENSES!L217</f>
        <v>-3047.5045642176847</v>
      </c>
      <c r="H725" s="116"/>
      <c r="I725" s="116"/>
      <c r="J725" s="116"/>
      <c r="K725" s="116"/>
      <c r="L725" s="116"/>
      <c r="M725" s="116"/>
      <c r="N725" s="116"/>
      <c r="O725" s="116"/>
      <c r="P725" s="116"/>
      <c r="Q725" s="133"/>
      <c r="R725" s="133"/>
      <c r="S725" s="133"/>
      <c r="T725" s="133">
        <f>'Optional Adjustment 2'!G725*$T$1</f>
        <v>0</v>
      </c>
      <c r="U725" s="133">
        <f>'Optional Adjustment 3'!G725*$U$1</f>
        <v>0</v>
      </c>
      <c r="V725" s="133">
        <f>'Optional Adjustment 4'!G725*$V$1</f>
        <v>0</v>
      </c>
      <c r="W725" s="133">
        <f>'Optional Adjustment 5'!G725*$W$1</f>
        <v>0</v>
      </c>
      <c r="X725" s="133">
        <f>'Optional Adjustment 6'!G725*$X$1</f>
        <v>0</v>
      </c>
      <c r="Y725" s="133">
        <f>'Optional Adjustment 7'!G725*$Y$1</f>
        <v>0</v>
      </c>
      <c r="Z725" s="133">
        <f>'Optional Adjustment 8'!G725*$Z$1</f>
        <v>0</v>
      </c>
      <c r="AA725" s="133">
        <f>'Optional Adjustment 9'!G725*$AA$1</f>
        <v>0</v>
      </c>
      <c r="AB725" s="133">
        <f>'Optional Adjustment 10'!G725*$AB$1</f>
        <v>0</v>
      </c>
      <c r="AC725" s="133">
        <f>'Optional Adjustment 11'!G725*$AC$1</f>
        <v>0</v>
      </c>
      <c r="AD725" s="133">
        <f>'Optional Adjustment 12'!G725*$AD$1</f>
        <v>0</v>
      </c>
      <c r="AE725" s="133">
        <f>'Optional Adjustment 13'!G725*$AE$1</f>
        <v>0</v>
      </c>
      <c r="AF725" s="133">
        <f>'Optional Adjustment 14'!G725*$AF$1</f>
        <v>0</v>
      </c>
      <c r="AG725" s="133">
        <f>'Optional Adjustment 15'!G725*$AG$1</f>
        <v>0</v>
      </c>
      <c r="AH725" s="133">
        <f>'Optional Adjustment 16'!G725*$AH$1</f>
        <v>0</v>
      </c>
      <c r="AI725" s="133">
        <f>'Optional Adjustment 17'!G725*$AI$1</f>
        <v>0</v>
      </c>
      <c r="AJ725" s="133">
        <f>'Optional Adjustment 18'!G725*$AJ$1</f>
        <v>0</v>
      </c>
      <c r="AK725" s="133">
        <f>'Optional Adjustment 19'!G725*$AK$1</f>
        <v>0</v>
      </c>
      <c r="AL725" s="133">
        <f>'Optional Adjustment 20'!G725*$AL$1</f>
        <v>0</v>
      </c>
      <c r="AM725" s="133">
        <f>'Optional Adjustment 21'!G725*$AM$1</f>
        <v>0</v>
      </c>
      <c r="AN725" s="133">
        <f>'Optional Adjustment 22'!G725*$AN$1</f>
        <v>0</v>
      </c>
      <c r="AO725" s="133">
        <f>'Optional Adjustment 23'!G725*$AO$1</f>
        <v>0</v>
      </c>
      <c r="AP725" s="133">
        <f>'Optional Adjustment 24'!G725*$AP$1</f>
        <v>0</v>
      </c>
      <c r="AQ725" s="133">
        <f>'Optional Adjustment 25'!G725*$AQ$1</f>
        <v>0</v>
      </c>
      <c r="AR725" s="133">
        <f>'Optional Adjustment 26'!G725*$AR$1</f>
        <v>0</v>
      </c>
      <c r="AS725" s="133">
        <f>'Optional Adjustment 27'!G725*$AS$1</f>
        <v>0</v>
      </c>
      <c r="AT725" s="133"/>
      <c r="AU725" s="133">
        <f>SUM(F725:AT725)</f>
        <v>-3047.5045642176847</v>
      </c>
      <c r="AV725" s="116"/>
      <c r="AW725" s="133">
        <f>SUM(AU725:AU725)</f>
        <v>-3047.5045642176847</v>
      </c>
      <c r="AX725" s="133">
        <f>+AW725-'ROR-Model'!G726</f>
        <v>0</v>
      </c>
    </row>
    <row r="726" spans="1:50">
      <c r="A726" s="134"/>
      <c r="B726" s="106"/>
      <c r="C726" s="106" t="s">
        <v>170</v>
      </c>
      <c r="D726" s="106"/>
      <c r="E726" s="331"/>
      <c r="F726" s="131">
        <f>SUM(F724:F725)</f>
        <v>0</v>
      </c>
      <c r="G726" s="131">
        <f>SUM(G724:G725)</f>
        <v>911.18284055148251</v>
      </c>
      <c r="H726" s="131">
        <f>H1*SUM(H724:H725)</f>
        <v>0</v>
      </c>
      <c r="I726" s="131">
        <f>SUM(I724:I725)</f>
        <v>0</v>
      </c>
      <c r="J726" s="131">
        <f t="shared" ref="J726:P726" si="895">SUM(J724:J725)</f>
        <v>0</v>
      </c>
      <c r="K726" s="131">
        <f t="shared" si="895"/>
        <v>0</v>
      </c>
      <c r="L726" s="131">
        <f t="shared" si="895"/>
        <v>0</v>
      </c>
      <c r="M726" s="131">
        <f t="shared" si="895"/>
        <v>0</v>
      </c>
      <c r="N726" s="131">
        <f t="shared" si="895"/>
        <v>0</v>
      </c>
      <c r="O726" s="131">
        <f t="shared" si="895"/>
        <v>0</v>
      </c>
      <c r="P726" s="131">
        <f t="shared" si="895"/>
        <v>0</v>
      </c>
      <c r="Q726" s="241">
        <f>SUM(Q724:Q725)</f>
        <v>0</v>
      </c>
      <c r="R726" s="241">
        <f>SUM(R724:R725)</f>
        <v>0</v>
      </c>
      <c r="S726" s="556"/>
      <c r="T726" s="556">
        <f t="shared" ref="T726:AG726" si="896">SUM(T724:T725)</f>
        <v>0</v>
      </c>
      <c r="U726" s="556">
        <f t="shared" si="896"/>
        <v>0</v>
      </c>
      <c r="V726" s="556">
        <f t="shared" si="896"/>
        <v>0</v>
      </c>
      <c r="W726" s="556">
        <f t="shared" si="896"/>
        <v>0</v>
      </c>
      <c r="X726" s="556">
        <f t="shared" si="896"/>
        <v>0</v>
      </c>
      <c r="Y726" s="556">
        <f t="shared" si="896"/>
        <v>0</v>
      </c>
      <c r="Z726" s="556">
        <f t="shared" si="896"/>
        <v>0</v>
      </c>
      <c r="AA726" s="556">
        <f t="shared" si="896"/>
        <v>0</v>
      </c>
      <c r="AB726" s="556">
        <f t="shared" si="896"/>
        <v>0</v>
      </c>
      <c r="AC726" s="556">
        <f t="shared" si="896"/>
        <v>0</v>
      </c>
      <c r="AD726" s="556">
        <f t="shared" si="896"/>
        <v>0</v>
      </c>
      <c r="AE726" s="556">
        <f t="shared" si="896"/>
        <v>0</v>
      </c>
      <c r="AF726" s="556">
        <f t="shared" si="896"/>
        <v>0</v>
      </c>
      <c r="AG726" s="556">
        <f t="shared" si="896"/>
        <v>0</v>
      </c>
      <c r="AH726" s="556">
        <f t="shared" ref="AH726:AK726" si="897">SUM(AH724:AH725)</f>
        <v>0</v>
      </c>
      <c r="AI726" s="556">
        <f t="shared" si="897"/>
        <v>0</v>
      </c>
      <c r="AJ726" s="556">
        <f t="shared" si="897"/>
        <v>0</v>
      </c>
      <c r="AK726" s="556">
        <f t="shared" si="897"/>
        <v>0</v>
      </c>
      <c r="AL726" s="556">
        <f t="shared" ref="AL726:AP726" si="898">SUM(AL724:AL725)</f>
        <v>0</v>
      </c>
      <c r="AM726" s="556">
        <f t="shared" si="898"/>
        <v>0</v>
      </c>
      <c r="AN726" s="556">
        <f t="shared" si="898"/>
        <v>0</v>
      </c>
      <c r="AO726" s="556">
        <f t="shared" si="898"/>
        <v>0</v>
      </c>
      <c r="AP726" s="556">
        <f t="shared" si="898"/>
        <v>0</v>
      </c>
      <c r="AQ726" s="556">
        <f t="shared" ref="AQ726:AS726" si="899">SUM(AQ724:AQ725)</f>
        <v>0</v>
      </c>
      <c r="AR726" s="556">
        <f t="shared" si="899"/>
        <v>0</v>
      </c>
      <c r="AS726" s="556">
        <f t="shared" si="899"/>
        <v>0</v>
      </c>
      <c r="AT726" s="556"/>
      <c r="AU726" s="241">
        <f>SUM(AU724:AU725)</f>
        <v>911.18284055148251</v>
      </c>
      <c r="AV726" s="131"/>
      <c r="AW726" s="241">
        <f>SUM(AW724:AW725)</f>
        <v>911.18284055148251</v>
      </c>
      <c r="AX726" s="241">
        <f>+AW726-'ROR-Model'!G727</f>
        <v>0</v>
      </c>
    </row>
    <row r="727" spans="1:50">
      <c r="A727" s="134"/>
      <c r="B727" s="106"/>
      <c r="C727" s="106"/>
      <c r="D727" s="106"/>
      <c r="E727" s="331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16"/>
      <c r="AW727" s="133"/>
      <c r="AX727" s="133">
        <f>+AW727-'ROR-Model'!G728</f>
        <v>0</v>
      </c>
    </row>
    <row r="728" spans="1:50">
      <c r="A728" s="134">
        <v>892</v>
      </c>
      <c r="B728" s="106" t="s">
        <v>392</v>
      </c>
      <c r="C728" s="106"/>
      <c r="D728" s="106"/>
      <c r="E728" s="331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16"/>
      <c r="AW728" s="133"/>
      <c r="AX728" s="133">
        <f>+AW728-'ROR-Model'!G729</f>
        <v>0</v>
      </c>
    </row>
    <row r="729" spans="1:50">
      <c r="A729" s="134"/>
      <c r="B729" s="106"/>
      <c r="C729" s="106" t="s">
        <v>14</v>
      </c>
      <c r="D729" s="106"/>
      <c r="E729" s="331"/>
      <c r="F729" s="116"/>
      <c r="G729" s="116">
        <f>$G$1*EXPENSES!L221</f>
        <v>-40697.375276978186</v>
      </c>
      <c r="H729" s="116"/>
      <c r="I729" s="116"/>
      <c r="J729" s="116"/>
      <c r="K729" s="116"/>
      <c r="L729" s="116"/>
      <c r="M729" s="116"/>
      <c r="N729" s="116"/>
      <c r="O729" s="116"/>
      <c r="P729" s="116"/>
      <c r="Q729" s="133"/>
      <c r="R729" s="133"/>
      <c r="S729" s="133"/>
      <c r="T729" s="133">
        <f>'Optional Adjustment 2'!G729*$T$1</f>
        <v>0</v>
      </c>
      <c r="U729" s="133">
        <f>'Optional Adjustment 3'!G729*$U$1</f>
        <v>0</v>
      </c>
      <c r="V729" s="133">
        <f>'Optional Adjustment 4'!G729*$V$1</f>
        <v>0</v>
      </c>
      <c r="W729" s="133">
        <f>'Optional Adjustment 5'!G729*$W$1</f>
        <v>0</v>
      </c>
      <c r="X729" s="133">
        <f>'Optional Adjustment 6'!G729*$X$1</f>
        <v>0</v>
      </c>
      <c r="Y729" s="133">
        <f>'Optional Adjustment 7'!G729*$Y$1</f>
        <v>0</v>
      </c>
      <c r="Z729" s="133">
        <f>'Optional Adjustment 8'!G729*$Z$1</f>
        <v>0</v>
      </c>
      <c r="AA729" s="133">
        <f>'Optional Adjustment 9'!G729*$AA$1</f>
        <v>0</v>
      </c>
      <c r="AB729" s="133">
        <f>'Optional Adjustment 10'!G729*$AB$1</f>
        <v>0</v>
      </c>
      <c r="AC729" s="133">
        <f>'Optional Adjustment 11'!G729*$AC$1</f>
        <v>0</v>
      </c>
      <c r="AD729" s="133">
        <f>'Optional Adjustment 12'!G729*$AD$1</f>
        <v>0</v>
      </c>
      <c r="AE729" s="133">
        <f>'Optional Adjustment 13'!G729*$AE$1</f>
        <v>0</v>
      </c>
      <c r="AF729" s="133">
        <f>'Optional Adjustment 14'!G729*$AF$1</f>
        <v>0</v>
      </c>
      <c r="AG729" s="133">
        <f>'Optional Adjustment 15'!G729*$AG$1</f>
        <v>0</v>
      </c>
      <c r="AH729" s="133">
        <f>'Optional Adjustment 16'!G729*$AH$1</f>
        <v>0</v>
      </c>
      <c r="AI729" s="133">
        <f>'Optional Adjustment 17'!G729*$AI$1</f>
        <v>0</v>
      </c>
      <c r="AJ729" s="133">
        <f>'Optional Adjustment 18'!G729*$AJ$1</f>
        <v>0</v>
      </c>
      <c r="AK729" s="133">
        <f>'Optional Adjustment 19'!G729*$AK$1</f>
        <v>0</v>
      </c>
      <c r="AL729" s="133">
        <f>'Optional Adjustment 20'!G729*$AL$1</f>
        <v>0</v>
      </c>
      <c r="AM729" s="133">
        <f>'Optional Adjustment 21'!G729*$AM$1</f>
        <v>0</v>
      </c>
      <c r="AN729" s="133">
        <f>'Optional Adjustment 22'!G729*$AN$1</f>
        <v>0</v>
      </c>
      <c r="AO729" s="133">
        <f>'Optional Adjustment 23'!G729*$AO$1</f>
        <v>0</v>
      </c>
      <c r="AP729" s="133">
        <f>'Optional Adjustment 24'!G729*$AP$1</f>
        <v>0</v>
      </c>
      <c r="AQ729" s="133">
        <f>'Optional Adjustment 25'!G729*$AQ$1</f>
        <v>0</v>
      </c>
      <c r="AR729" s="133">
        <f>'Optional Adjustment 26'!G729*$AR$1</f>
        <v>0</v>
      </c>
      <c r="AS729" s="133">
        <f>'Optional Adjustment 27'!G729*$AS$1</f>
        <v>0</v>
      </c>
      <c r="AT729" s="133"/>
      <c r="AU729" s="133">
        <f>SUM(F729:AT729)</f>
        <v>-40697.375276978186</v>
      </c>
      <c r="AV729" s="116"/>
      <c r="AW729" s="133">
        <f>SUM(AU729:AU729)</f>
        <v>-40697.375276978186</v>
      </c>
      <c r="AX729" s="133">
        <f>+AW729-'ROR-Model'!G730</f>
        <v>0</v>
      </c>
    </row>
    <row r="730" spans="1:50">
      <c r="A730" s="134"/>
      <c r="B730" s="106"/>
      <c r="C730" s="106" t="s">
        <v>24</v>
      </c>
      <c r="D730" s="106"/>
      <c r="E730" s="331"/>
      <c r="F730" s="116"/>
      <c r="G730" s="116">
        <f>$G$1*EXPENSES!L222</f>
        <v>-2328.3488120941329</v>
      </c>
      <c r="H730" s="116"/>
      <c r="I730" s="116"/>
      <c r="J730" s="116"/>
      <c r="K730" s="116"/>
      <c r="L730" s="116"/>
      <c r="M730" s="116"/>
      <c r="N730" s="116"/>
      <c r="O730" s="116"/>
      <c r="P730" s="116"/>
      <c r="Q730" s="133"/>
      <c r="R730" s="133"/>
      <c r="S730" s="133"/>
      <c r="T730" s="133">
        <f>'Optional Adjustment 2'!G730*$T$1</f>
        <v>0</v>
      </c>
      <c r="U730" s="133">
        <f>'Optional Adjustment 3'!G730*$U$1</f>
        <v>0</v>
      </c>
      <c r="V730" s="133">
        <f>'Optional Adjustment 4'!G730*$V$1</f>
        <v>0</v>
      </c>
      <c r="W730" s="133">
        <f>'Optional Adjustment 5'!G730*$W$1</f>
        <v>0</v>
      </c>
      <c r="X730" s="133">
        <f>'Optional Adjustment 6'!G730*$X$1</f>
        <v>0</v>
      </c>
      <c r="Y730" s="133">
        <f>'Optional Adjustment 7'!G730*$Y$1</f>
        <v>0</v>
      </c>
      <c r="Z730" s="133">
        <f>'Optional Adjustment 8'!G730*$Z$1</f>
        <v>0</v>
      </c>
      <c r="AA730" s="133">
        <f>'Optional Adjustment 9'!G730*$AA$1</f>
        <v>0</v>
      </c>
      <c r="AB730" s="133">
        <f>'Optional Adjustment 10'!G730*$AB$1</f>
        <v>0</v>
      </c>
      <c r="AC730" s="133">
        <f>'Optional Adjustment 11'!G730*$AC$1</f>
        <v>0</v>
      </c>
      <c r="AD730" s="133">
        <f>'Optional Adjustment 12'!G730*$AD$1</f>
        <v>0</v>
      </c>
      <c r="AE730" s="133">
        <f>'Optional Adjustment 13'!G730*$AE$1</f>
        <v>0</v>
      </c>
      <c r="AF730" s="133">
        <f>'Optional Adjustment 14'!G730*$AF$1</f>
        <v>0</v>
      </c>
      <c r="AG730" s="133">
        <f>'Optional Adjustment 15'!G730*$AG$1</f>
        <v>0</v>
      </c>
      <c r="AH730" s="133">
        <f>'Optional Adjustment 16'!G730*$AH$1</f>
        <v>0</v>
      </c>
      <c r="AI730" s="133">
        <f>'Optional Adjustment 17'!G730*$AI$1</f>
        <v>0</v>
      </c>
      <c r="AJ730" s="133">
        <f>'Optional Adjustment 18'!G730*$AJ$1</f>
        <v>0</v>
      </c>
      <c r="AK730" s="133">
        <f>'Optional Adjustment 19'!G730*$AK$1</f>
        <v>0</v>
      </c>
      <c r="AL730" s="133">
        <f>'Optional Adjustment 20'!G730*$AL$1</f>
        <v>0</v>
      </c>
      <c r="AM730" s="133">
        <f>'Optional Adjustment 21'!G730*$AM$1</f>
        <v>0</v>
      </c>
      <c r="AN730" s="133">
        <f>'Optional Adjustment 22'!G730*$AN$1</f>
        <v>0</v>
      </c>
      <c r="AO730" s="133">
        <f>'Optional Adjustment 23'!G730*$AO$1</f>
        <v>0</v>
      </c>
      <c r="AP730" s="133">
        <f>'Optional Adjustment 24'!G730*$AP$1</f>
        <v>0</v>
      </c>
      <c r="AQ730" s="133">
        <f>'Optional Adjustment 25'!G730*$AQ$1</f>
        <v>0</v>
      </c>
      <c r="AR730" s="133">
        <f>'Optional Adjustment 26'!G730*$AR$1</f>
        <v>0</v>
      </c>
      <c r="AS730" s="133">
        <f>'Optional Adjustment 27'!G730*$AS$1</f>
        <v>0</v>
      </c>
      <c r="AT730" s="133"/>
      <c r="AU730" s="133">
        <f>SUM(F730:AT730)</f>
        <v>-2328.3488120941329</v>
      </c>
      <c r="AV730" s="116"/>
      <c r="AW730" s="133">
        <f>SUM(AU730:AU730)</f>
        <v>-2328.3488120941329</v>
      </c>
      <c r="AX730" s="133">
        <f>+AW730-'ROR-Model'!G731</f>
        <v>0</v>
      </c>
    </row>
    <row r="731" spans="1:50">
      <c r="A731" s="134"/>
      <c r="B731" s="106"/>
      <c r="C731" s="106" t="s">
        <v>170</v>
      </c>
      <c r="D731" s="106"/>
      <c r="E731" s="331"/>
      <c r="F731" s="131">
        <f>SUM(F729:F730)</f>
        <v>0</v>
      </c>
      <c r="G731" s="131">
        <f>SUM(G729:G730)</f>
        <v>-43025.724089072319</v>
      </c>
      <c r="H731" s="131">
        <f>H1*SUM(H729:H730)</f>
        <v>0</v>
      </c>
      <c r="I731" s="131">
        <f>SUM(I729:I730)</f>
        <v>0</v>
      </c>
      <c r="J731" s="131">
        <f t="shared" ref="J731:P731" si="900">SUM(J729:J730)</f>
        <v>0</v>
      </c>
      <c r="K731" s="131">
        <f t="shared" si="900"/>
        <v>0</v>
      </c>
      <c r="L731" s="131">
        <f t="shared" si="900"/>
        <v>0</v>
      </c>
      <c r="M731" s="131">
        <f t="shared" si="900"/>
        <v>0</v>
      </c>
      <c r="N731" s="131">
        <f t="shared" si="900"/>
        <v>0</v>
      </c>
      <c r="O731" s="131">
        <f t="shared" si="900"/>
        <v>0</v>
      </c>
      <c r="P731" s="131">
        <f t="shared" si="900"/>
        <v>0</v>
      </c>
      <c r="Q731" s="241">
        <f>SUM(Q729:Q730)</f>
        <v>0</v>
      </c>
      <c r="R731" s="241">
        <f>SUM(R729:R730)</f>
        <v>0</v>
      </c>
      <c r="S731" s="556"/>
      <c r="T731" s="556">
        <f t="shared" ref="T731:AG731" si="901">SUM(T729:T730)</f>
        <v>0</v>
      </c>
      <c r="U731" s="556">
        <f t="shared" si="901"/>
        <v>0</v>
      </c>
      <c r="V731" s="556">
        <f t="shared" si="901"/>
        <v>0</v>
      </c>
      <c r="W731" s="556">
        <f t="shared" si="901"/>
        <v>0</v>
      </c>
      <c r="X731" s="556">
        <f t="shared" si="901"/>
        <v>0</v>
      </c>
      <c r="Y731" s="556">
        <f t="shared" si="901"/>
        <v>0</v>
      </c>
      <c r="Z731" s="556">
        <f t="shared" si="901"/>
        <v>0</v>
      </c>
      <c r="AA731" s="556">
        <f t="shared" si="901"/>
        <v>0</v>
      </c>
      <c r="AB731" s="556">
        <f t="shared" si="901"/>
        <v>0</v>
      </c>
      <c r="AC731" s="556">
        <f t="shared" si="901"/>
        <v>0</v>
      </c>
      <c r="AD731" s="556">
        <f t="shared" si="901"/>
        <v>0</v>
      </c>
      <c r="AE731" s="556">
        <f t="shared" si="901"/>
        <v>0</v>
      </c>
      <c r="AF731" s="556">
        <f t="shared" si="901"/>
        <v>0</v>
      </c>
      <c r="AG731" s="556">
        <f t="shared" si="901"/>
        <v>0</v>
      </c>
      <c r="AH731" s="556">
        <f t="shared" ref="AH731:AK731" si="902">SUM(AH729:AH730)</f>
        <v>0</v>
      </c>
      <c r="AI731" s="556">
        <f t="shared" si="902"/>
        <v>0</v>
      </c>
      <c r="AJ731" s="556">
        <f t="shared" si="902"/>
        <v>0</v>
      </c>
      <c r="AK731" s="556">
        <f t="shared" si="902"/>
        <v>0</v>
      </c>
      <c r="AL731" s="556">
        <f t="shared" ref="AL731:AP731" si="903">SUM(AL729:AL730)</f>
        <v>0</v>
      </c>
      <c r="AM731" s="556">
        <f t="shared" si="903"/>
        <v>0</v>
      </c>
      <c r="AN731" s="556">
        <f t="shared" si="903"/>
        <v>0</v>
      </c>
      <c r="AO731" s="556">
        <f t="shared" si="903"/>
        <v>0</v>
      </c>
      <c r="AP731" s="556">
        <f t="shared" si="903"/>
        <v>0</v>
      </c>
      <c r="AQ731" s="556">
        <f t="shared" ref="AQ731:AS731" si="904">SUM(AQ729:AQ730)</f>
        <v>0</v>
      </c>
      <c r="AR731" s="556">
        <f t="shared" si="904"/>
        <v>0</v>
      </c>
      <c r="AS731" s="556">
        <f t="shared" si="904"/>
        <v>0</v>
      </c>
      <c r="AT731" s="556"/>
      <c r="AU731" s="241">
        <f>SUM(AU729:AU730)</f>
        <v>-43025.724089072319</v>
      </c>
      <c r="AV731" s="131"/>
      <c r="AW731" s="241">
        <f>SUM(AW729:AW730)</f>
        <v>-43025.724089072319</v>
      </c>
      <c r="AX731" s="241">
        <f>+AW731-'ROR-Model'!G732</f>
        <v>0</v>
      </c>
    </row>
    <row r="732" spans="1:50">
      <c r="A732" s="134"/>
      <c r="B732" s="106"/>
      <c r="C732" s="106"/>
      <c r="D732" s="106"/>
      <c r="E732" s="331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16"/>
      <c r="AW732" s="133"/>
      <c r="AX732" s="133">
        <f>+AW732-'ROR-Model'!G733</f>
        <v>0</v>
      </c>
    </row>
    <row r="733" spans="1:50">
      <c r="A733" s="134">
        <v>893</v>
      </c>
      <c r="B733" s="106" t="s">
        <v>395</v>
      </c>
      <c r="C733" s="106"/>
      <c r="D733" s="106"/>
      <c r="E733" s="331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16"/>
      <c r="AW733" s="133"/>
      <c r="AX733" s="133">
        <f>+AW733-'ROR-Model'!G734</f>
        <v>0</v>
      </c>
    </row>
    <row r="734" spans="1:50">
      <c r="A734" s="134"/>
      <c r="B734" s="106"/>
      <c r="C734" s="106" t="s">
        <v>14</v>
      </c>
      <c r="D734" s="106"/>
      <c r="E734" s="331"/>
      <c r="F734" s="116"/>
      <c r="G734" s="116">
        <f>$G$1*EXPENSES!L226</f>
        <v>-16121.716024318594</v>
      </c>
      <c r="H734" s="116"/>
      <c r="I734" s="116"/>
      <c r="J734" s="116"/>
      <c r="K734" s="116"/>
      <c r="L734" s="116"/>
      <c r="M734" s="116"/>
      <c r="N734" s="116"/>
      <c r="O734" s="116"/>
      <c r="P734" s="116"/>
      <c r="Q734" s="133"/>
      <c r="R734" s="133"/>
      <c r="S734" s="133"/>
      <c r="T734" s="133">
        <f>'Optional Adjustment 2'!G734*$T$1</f>
        <v>0</v>
      </c>
      <c r="U734" s="133">
        <f>'Optional Adjustment 3'!G734*$U$1</f>
        <v>0</v>
      </c>
      <c r="V734" s="133">
        <f>'Optional Adjustment 4'!G734*$V$1</f>
        <v>0</v>
      </c>
      <c r="W734" s="133">
        <f>'Optional Adjustment 5'!G734*$W$1</f>
        <v>0</v>
      </c>
      <c r="X734" s="133">
        <f>'Optional Adjustment 6'!G734*$X$1</f>
        <v>0</v>
      </c>
      <c r="Y734" s="133">
        <f>'Optional Adjustment 7'!G734*$Y$1</f>
        <v>0</v>
      </c>
      <c r="Z734" s="133">
        <f>'Optional Adjustment 8'!G734*$Z$1</f>
        <v>0</v>
      </c>
      <c r="AA734" s="133">
        <f>'Optional Adjustment 9'!G734*$AA$1</f>
        <v>0</v>
      </c>
      <c r="AB734" s="133">
        <f>'Optional Adjustment 10'!G734*$AB$1</f>
        <v>0</v>
      </c>
      <c r="AC734" s="133">
        <f>'Optional Adjustment 11'!G734*$AC$1</f>
        <v>0</v>
      </c>
      <c r="AD734" s="133">
        <f>'Optional Adjustment 12'!G734*$AD$1</f>
        <v>0</v>
      </c>
      <c r="AE734" s="133">
        <f>'Optional Adjustment 13'!G734*$AE$1</f>
        <v>0</v>
      </c>
      <c r="AF734" s="133">
        <f>'Optional Adjustment 14'!G734*$AF$1</f>
        <v>0</v>
      </c>
      <c r="AG734" s="133">
        <f>'Optional Adjustment 15'!G734*$AG$1</f>
        <v>0</v>
      </c>
      <c r="AH734" s="133">
        <f>'Optional Adjustment 16'!G734*$AH$1</f>
        <v>0</v>
      </c>
      <c r="AI734" s="133">
        <f>'Optional Adjustment 17'!G734*$AI$1</f>
        <v>0</v>
      </c>
      <c r="AJ734" s="133">
        <f>'Optional Adjustment 18'!G734*$AJ$1</f>
        <v>0</v>
      </c>
      <c r="AK734" s="133">
        <f>'Optional Adjustment 19'!G734*$AK$1</f>
        <v>0</v>
      </c>
      <c r="AL734" s="133">
        <f>'Optional Adjustment 20'!G734*$AL$1</f>
        <v>0</v>
      </c>
      <c r="AM734" s="133">
        <f>'Optional Adjustment 21'!G734*$AM$1</f>
        <v>0</v>
      </c>
      <c r="AN734" s="133">
        <f>'Optional Adjustment 22'!G734*$AN$1</f>
        <v>0</v>
      </c>
      <c r="AO734" s="133">
        <f>'Optional Adjustment 23'!G734*$AO$1</f>
        <v>0</v>
      </c>
      <c r="AP734" s="133">
        <f>'Optional Adjustment 24'!G734*$AP$1</f>
        <v>0</v>
      </c>
      <c r="AQ734" s="133">
        <f>'Optional Adjustment 25'!G734*$AQ$1</f>
        <v>0</v>
      </c>
      <c r="AR734" s="133">
        <f>'Optional Adjustment 26'!G734*$AR$1</f>
        <v>0</v>
      </c>
      <c r="AS734" s="133">
        <f>'Optional Adjustment 27'!G734*$AS$1</f>
        <v>0</v>
      </c>
      <c r="AT734" s="133"/>
      <c r="AU734" s="133">
        <f>SUM(F734:AT734)</f>
        <v>-16121.716024318594</v>
      </c>
      <c r="AV734" s="116"/>
      <c r="AW734" s="133">
        <f>SUM(AU734:AU734)</f>
        <v>-16121.716024318594</v>
      </c>
      <c r="AX734" s="133">
        <f>+AW734-'ROR-Model'!G735</f>
        <v>0</v>
      </c>
    </row>
    <row r="735" spans="1:50">
      <c r="A735" s="134"/>
      <c r="B735" s="106"/>
      <c r="C735" s="106" t="s">
        <v>24</v>
      </c>
      <c r="D735" s="106"/>
      <c r="E735" s="331"/>
      <c r="F735" s="116"/>
      <c r="G735" s="116">
        <f>$G$1*EXPENSES!L227</f>
        <v>101.0081204399994</v>
      </c>
      <c r="H735" s="116"/>
      <c r="I735" s="116"/>
      <c r="J735" s="116"/>
      <c r="K735" s="116"/>
      <c r="L735" s="116"/>
      <c r="M735" s="116"/>
      <c r="N735" s="116"/>
      <c r="O735" s="116"/>
      <c r="P735" s="116"/>
      <c r="Q735" s="133"/>
      <c r="R735" s="133"/>
      <c r="S735" s="133"/>
      <c r="T735" s="133">
        <f>'Optional Adjustment 2'!G735*$T$1</f>
        <v>0</v>
      </c>
      <c r="U735" s="133">
        <f>'Optional Adjustment 3'!G735*$U$1</f>
        <v>0</v>
      </c>
      <c r="V735" s="133">
        <f>'Optional Adjustment 4'!G735*$V$1</f>
        <v>0</v>
      </c>
      <c r="W735" s="133">
        <f>'Optional Adjustment 5'!G735*$W$1</f>
        <v>0</v>
      </c>
      <c r="X735" s="133">
        <f>'Optional Adjustment 6'!G735*$X$1</f>
        <v>0</v>
      </c>
      <c r="Y735" s="133">
        <f>'Optional Adjustment 7'!G735*$Y$1</f>
        <v>0</v>
      </c>
      <c r="Z735" s="133">
        <f>'Optional Adjustment 8'!G735*$Z$1</f>
        <v>0</v>
      </c>
      <c r="AA735" s="133">
        <f>'Optional Adjustment 9'!G735*$AA$1</f>
        <v>0</v>
      </c>
      <c r="AB735" s="133">
        <f>'Optional Adjustment 10'!G735*$AB$1</f>
        <v>0</v>
      </c>
      <c r="AC735" s="133">
        <f>'Optional Adjustment 11'!G735*$AC$1</f>
        <v>0</v>
      </c>
      <c r="AD735" s="133">
        <f>'Optional Adjustment 12'!G735*$AD$1</f>
        <v>0</v>
      </c>
      <c r="AE735" s="133">
        <f>'Optional Adjustment 13'!G735*$AE$1</f>
        <v>0</v>
      </c>
      <c r="AF735" s="133">
        <f>'Optional Adjustment 14'!G735*$AF$1</f>
        <v>0</v>
      </c>
      <c r="AG735" s="133">
        <f>'Optional Adjustment 15'!G735*$AG$1</f>
        <v>0</v>
      </c>
      <c r="AH735" s="133">
        <f>'Optional Adjustment 16'!G735*$AH$1</f>
        <v>0</v>
      </c>
      <c r="AI735" s="133">
        <f>'Optional Adjustment 17'!G735*$AI$1</f>
        <v>0</v>
      </c>
      <c r="AJ735" s="133">
        <f>'Optional Adjustment 18'!G735*$AJ$1</f>
        <v>0</v>
      </c>
      <c r="AK735" s="133">
        <f>'Optional Adjustment 19'!G735*$AK$1</f>
        <v>0</v>
      </c>
      <c r="AL735" s="133">
        <f>'Optional Adjustment 20'!G735*$AL$1</f>
        <v>0</v>
      </c>
      <c r="AM735" s="133">
        <f>'Optional Adjustment 21'!G735*$AM$1</f>
        <v>0</v>
      </c>
      <c r="AN735" s="133">
        <f>'Optional Adjustment 22'!G735*$AN$1</f>
        <v>0</v>
      </c>
      <c r="AO735" s="133">
        <f>'Optional Adjustment 23'!G735*$AO$1</f>
        <v>0</v>
      </c>
      <c r="AP735" s="133">
        <f>'Optional Adjustment 24'!G735*$AP$1</f>
        <v>0</v>
      </c>
      <c r="AQ735" s="133">
        <f>'Optional Adjustment 25'!G735*$AQ$1</f>
        <v>0</v>
      </c>
      <c r="AR735" s="133">
        <f>'Optional Adjustment 26'!G735*$AR$1</f>
        <v>0</v>
      </c>
      <c r="AS735" s="133">
        <f>'Optional Adjustment 27'!G735*$AS$1</f>
        <v>0</v>
      </c>
      <c r="AT735" s="133"/>
      <c r="AU735" s="133">
        <f>SUM(F735:AT735)</f>
        <v>101.0081204399994</v>
      </c>
      <c r="AV735" s="116"/>
      <c r="AW735" s="133">
        <f>SUM(AU735:AU735)</f>
        <v>101.0081204399994</v>
      </c>
      <c r="AX735" s="133">
        <f>+AW735-'ROR-Model'!G736</f>
        <v>0</v>
      </c>
    </row>
    <row r="736" spans="1:50">
      <c r="A736" s="134"/>
      <c r="B736" s="106"/>
      <c r="C736" s="106" t="s">
        <v>170</v>
      </c>
      <c r="D736" s="106"/>
      <c r="E736" s="331"/>
      <c r="F736" s="131">
        <f>SUM(F734:F735)</f>
        <v>0</v>
      </c>
      <c r="G736" s="131">
        <f>SUM(G734:G735)</f>
        <v>-16020.707903878594</v>
      </c>
      <c r="H736" s="131">
        <f>H1*SUM(H734:H735)</f>
        <v>0</v>
      </c>
      <c r="I736" s="131">
        <f>SUM(I734:I735)</f>
        <v>0</v>
      </c>
      <c r="J736" s="131">
        <f t="shared" ref="J736:P736" si="905">SUM(J734:J735)</f>
        <v>0</v>
      </c>
      <c r="K736" s="131">
        <f t="shared" si="905"/>
        <v>0</v>
      </c>
      <c r="L736" s="131">
        <f t="shared" si="905"/>
        <v>0</v>
      </c>
      <c r="M736" s="131">
        <f t="shared" si="905"/>
        <v>0</v>
      </c>
      <c r="N736" s="131">
        <f t="shared" si="905"/>
        <v>0</v>
      </c>
      <c r="O736" s="131">
        <f t="shared" si="905"/>
        <v>0</v>
      </c>
      <c r="P736" s="131">
        <f t="shared" si="905"/>
        <v>0</v>
      </c>
      <c r="Q736" s="241">
        <f>SUM(Q734:Q735)</f>
        <v>0</v>
      </c>
      <c r="R736" s="241">
        <f>SUM(R734:R735)</f>
        <v>0</v>
      </c>
      <c r="S736" s="556"/>
      <c r="T736" s="556">
        <f t="shared" ref="T736:AG736" si="906">SUM(T734:T735)</f>
        <v>0</v>
      </c>
      <c r="U736" s="556">
        <f t="shared" si="906"/>
        <v>0</v>
      </c>
      <c r="V736" s="556">
        <f t="shared" si="906"/>
        <v>0</v>
      </c>
      <c r="W736" s="556">
        <f t="shared" si="906"/>
        <v>0</v>
      </c>
      <c r="X736" s="556">
        <f t="shared" si="906"/>
        <v>0</v>
      </c>
      <c r="Y736" s="556">
        <f t="shared" si="906"/>
        <v>0</v>
      </c>
      <c r="Z736" s="556">
        <f t="shared" si="906"/>
        <v>0</v>
      </c>
      <c r="AA736" s="556">
        <f t="shared" si="906"/>
        <v>0</v>
      </c>
      <c r="AB736" s="556">
        <f t="shared" si="906"/>
        <v>0</v>
      </c>
      <c r="AC736" s="556">
        <f t="shared" si="906"/>
        <v>0</v>
      </c>
      <c r="AD736" s="556">
        <f t="shared" si="906"/>
        <v>0</v>
      </c>
      <c r="AE736" s="556">
        <f t="shared" si="906"/>
        <v>0</v>
      </c>
      <c r="AF736" s="556">
        <f t="shared" si="906"/>
        <v>0</v>
      </c>
      <c r="AG736" s="556">
        <f t="shared" si="906"/>
        <v>0</v>
      </c>
      <c r="AH736" s="556">
        <f t="shared" ref="AH736:AK736" si="907">SUM(AH734:AH735)</f>
        <v>0</v>
      </c>
      <c r="AI736" s="556">
        <f t="shared" si="907"/>
        <v>0</v>
      </c>
      <c r="AJ736" s="556">
        <f t="shared" si="907"/>
        <v>0</v>
      </c>
      <c r="AK736" s="556">
        <f t="shared" si="907"/>
        <v>0</v>
      </c>
      <c r="AL736" s="556">
        <f t="shared" ref="AL736:AP736" si="908">SUM(AL734:AL735)</f>
        <v>0</v>
      </c>
      <c r="AM736" s="556">
        <f t="shared" si="908"/>
        <v>0</v>
      </c>
      <c r="AN736" s="556">
        <f t="shared" si="908"/>
        <v>0</v>
      </c>
      <c r="AO736" s="556">
        <f t="shared" si="908"/>
        <v>0</v>
      </c>
      <c r="AP736" s="556">
        <f t="shared" si="908"/>
        <v>0</v>
      </c>
      <c r="AQ736" s="556">
        <f t="shared" ref="AQ736:AS736" si="909">SUM(AQ734:AQ735)</f>
        <v>0</v>
      </c>
      <c r="AR736" s="556">
        <f t="shared" si="909"/>
        <v>0</v>
      </c>
      <c r="AS736" s="556">
        <f t="shared" si="909"/>
        <v>0</v>
      </c>
      <c r="AT736" s="556"/>
      <c r="AU736" s="241">
        <f>SUM(AU734:AU735)</f>
        <v>-16020.707903878594</v>
      </c>
      <c r="AV736" s="131"/>
      <c r="AW736" s="241">
        <f>SUM(AW734:AW735)</f>
        <v>-16020.707903878594</v>
      </c>
      <c r="AX736" s="241">
        <f>+AW736-'ROR-Model'!G737</f>
        <v>0</v>
      </c>
    </row>
    <row r="737" spans="1:50">
      <c r="A737" s="134"/>
      <c r="B737" s="106"/>
      <c r="C737" s="106"/>
      <c r="D737" s="106"/>
      <c r="E737" s="331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16"/>
      <c r="AW737" s="133"/>
      <c r="AX737" s="133">
        <f>+AW737-'ROR-Model'!G738</f>
        <v>0</v>
      </c>
    </row>
    <row r="738" spans="1:50">
      <c r="A738" s="134">
        <v>8941</v>
      </c>
      <c r="B738" s="106" t="s">
        <v>397</v>
      </c>
      <c r="C738" s="106"/>
      <c r="D738" s="106"/>
      <c r="E738" s="331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16"/>
      <c r="AW738" s="133"/>
      <c r="AX738" s="133">
        <f>+AW738-'ROR-Model'!G739</f>
        <v>0</v>
      </c>
    </row>
    <row r="739" spans="1:50">
      <c r="A739" s="134"/>
      <c r="B739" s="106"/>
      <c r="C739" s="106" t="s">
        <v>14</v>
      </c>
      <c r="D739" s="106"/>
      <c r="E739" s="331"/>
      <c r="F739" s="116"/>
      <c r="G739" s="116">
        <f>$G$1*EXPENSES!L231</f>
        <v>0</v>
      </c>
      <c r="H739" s="116"/>
      <c r="I739" s="116"/>
      <c r="J739" s="116"/>
      <c r="K739" s="116"/>
      <c r="L739" s="116"/>
      <c r="M739" s="116"/>
      <c r="N739" s="116"/>
      <c r="O739" s="116"/>
      <c r="P739" s="116"/>
      <c r="Q739" s="133"/>
      <c r="R739" s="133"/>
      <c r="S739" s="133"/>
      <c r="T739" s="133">
        <f>'Optional Adjustment 2'!G739*$T$1</f>
        <v>0</v>
      </c>
      <c r="U739" s="133">
        <f>'Optional Adjustment 3'!G739*$U$1</f>
        <v>0</v>
      </c>
      <c r="V739" s="133">
        <f>'Optional Adjustment 4'!G739*$V$1</f>
        <v>0</v>
      </c>
      <c r="W739" s="133">
        <f>'Optional Adjustment 5'!G739*$W$1</f>
        <v>0</v>
      </c>
      <c r="X739" s="133">
        <f>'Optional Adjustment 6'!G739*$X$1</f>
        <v>0</v>
      </c>
      <c r="Y739" s="133">
        <f>'Optional Adjustment 7'!G739*$Y$1</f>
        <v>0</v>
      </c>
      <c r="Z739" s="133">
        <f>'Optional Adjustment 8'!G739*$Z$1</f>
        <v>0</v>
      </c>
      <c r="AA739" s="133">
        <f>'Optional Adjustment 9'!G739*$AA$1</f>
        <v>0</v>
      </c>
      <c r="AB739" s="133">
        <f>'Optional Adjustment 10'!G739*$AB$1</f>
        <v>0</v>
      </c>
      <c r="AC739" s="133">
        <f>'Optional Adjustment 11'!G739*$AC$1</f>
        <v>0</v>
      </c>
      <c r="AD739" s="133">
        <f>'Optional Adjustment 12'!G739*$AD$1</f>
        <v>0</v>
      </c>
      <c r="AE739" s="133">
        <f>'Optional Adjustment 13'!G739*$AE$1</f>
        <v>0</v>
      </c>
      <c r="AF739" s="133">
        <f>'Optional Adjustment 14'!G739*$AF$1</f>
        <v>0</v>
      </c>
      <c r="AG739" s="133">
        <f>'Optional Adjustment 15'!G739*$AG$1</f>
        <v>0</v>
      </c>
      <c r="AH739" s="133">
        <f>'Optional Adjustment 16'!G739*$AH$1</f>
        <v>0</v>
      </c>
      <c r="AI739" s="133">
        <f>'Optional Adjustment 17'!G739*$AI$1</f>
        <v>0</v>
      </c>
      <c r="AJ739" s="133">
        <f>'Optional Adjustment 18'!G739*$AJ$1</f>
        <v>0</v>
      </c>
      <c r="AK739" s="133">
        <f>'Optional Adjustment 19'!G739*$AK$1</f>
        <v>0</v>
      </c>
      <c r="AL739" s="133">
        <f>'Optional Adjustment 20'!G739*$AL$1</f>
        <v>0</v>
      </c>
      <c r="AM739" s="133">
        <f>'Optional Adjustment 21'!G739*$AM$1</f>
        <v>0</v>
      </c>
      <c r="AN739" s="133">
        <f>'Optional Adjustment 22'!G739*$AN$1</f>
        <v>0</v>
      </c>
      <c r="AO739" s="133">
        <f>'Optional Adjustment 23'!G739*$AO$1</f>
        <v>0</v>
      </c>
      <c r="AP739" s="133">
        <f>'Optional Adjustment 24'!G739*$AP$1</f>
        <v>0</v>
      </c>
      <c r="AQ739" s="133">
        <f>'Optional Adjustment 25'!G739*$AQ$1</f>
        <v>0</v>
      </c>
      <c r="AR739" s="133">
        <f>'Optional Adjustment 26'!G739*$AR$1</f>
        <v>0</v>
      </c>
      <c r="AS739" s="133">
        <f>'Optional Adjustment 27'!G739*$AS$1</f>
        <v>0</v>
      </c>
      <c r="AT739" s="133"/>
      <c r="AU739" s="133">
        <f>SUM(F739:AT739)</f>
        <v>0</v>
      </c>
      <c r="AV739" s="116"/>
      <c r="AW739" s="133">
        <f>SUM(AU739:AU739)</f>
        <v>0</v>
      </c>
      <c r="AX739" s="133">
        <f>+AW739-'ROR-Model'!G740</f>
        <v>0</v>
      </c>
    </row>
    <row r="740" spans="1:50">
      <c r="A740" s="134"/>
      <c r="B740" s="106"/>
      <c r="C740" s="106" t="s">
        <v>24</v>
      </c>
      <c r="D740" s="106"/>
      <c r="E740" s="331"/>
      <c r="F740" s="116"/>
      <c r="G740" s="116">
        <f>$G$1*EXPENSES!L232</f>
        <v>0</v>
      </c>
      <c r="H740" s="116"/>
      <c r="I740" s="116"/>
      <c r="J740" s="116"/>
      <c r="K740" s="116"/>
      <c r="L740" s="116"/>
      <c r="M740" s="116"/>
      <c r="N740" s="116"/>
      <c r="O740" s="116"/>
      <c r="P740" s="116"/>
      <c r="Q740" s="133"/>
      <c r="R740" s="133"/>
      <c r="S740" s="133"/>
      <c r="T740" s="133">
        <f>'Optional Adjustment 2'!G740*$T$1</f>
        <v>0</v>
      </c>
      <c r="U740" s="133">
        <f>'Optional Adjustment 3'!G740*$U$1</f>
        <v>0</v>
      </c>
      <c r="V740" s="133">
        <f>'Optional Adjustment 4'!G740*$V$1</f>
        <v>0</v>
      </c>
      <c r="W740" s="133">
        <f>'Optional Adjustment 5'!G740*$W$1</f>
        <v>0</v>
      </c>
      <c r="X740" s="133">
        <f>'Optional Adjustment 6'!G740*$X$1</f>
        <v>0</v>
      </c>
      <c r="Y740" s="133">
        <f>'Optional Adjustment 7'!G740*$Y$1</f>
        <v>0</v>
      </c>
      <c r="Z740" s="133">
        <f>'Optional Adjustment 8'!G740*$Z$1</f>
        <v>0</v>
      </c>
      <c r="AA740" s="133">
        <f>'Optional Adjustment 9'!G740*$AA$1</f>
        <v>0</v>
      </c>
      <c r="AB740" s="133">
        <f>'Optional Adjustment 10'!G740*$AB$1</f>
        <v>0</v>
      </c>
      <c r="AC740" s="133">
        <f>'Optional Adjustment 11'!G740*$AC$1</f>
        <v>0</v>
      </c>
      <c r="AD740" s="133">
        <f>'Optional Adjustment 12'!G740*$AD$1</f>
        <v>0</v>
      </c>
      <c r="AE740" s="133">
        <f>'Optional Adjustment 13'!G740*$AE$1</f>
        <v>0</v>
      </c>
      <c r="AF740" s="133">
        <f>'Optional Adjustment 14'!G740*$AF$1</f>
        <v>0</v>
      </c>
      <c r="AG740" s="133">
        <f>'Optional Adjustment 15'!G740*$AG$1</f>
        <v>0</v>
      </c>
      <c r="AH740" s="133">
        <f>'Optional Adjustment 16'!G740*$AH$1</f>
        <v>0</v>
      </c>
      <c r="AI740" s="133">
        <f>'Optional Adjustment 17'!G740*$AI$1</f>
        <v>0</v>
      </c>
      <c r="AJ740" s="133">
        <f>'Optional Adjustment 18'!G740*$AJ$1</f>
        <v>0</v>
      </c>
      <c r="AK740" s="133">
        <f>'Optional Adjustment 19'!G740*$AK$1</f>
        <v>0</v>
      </c>
      <c r="AL740" s="133">
        <f>'Optional Adjustment 20'!G740*$AL$1</f>
        <v>0</v>
      </c>
      <c r="AM740" s="133">
        <f>'Optional Adjustment 21'!G740*$AM$1</f>
        <v>0</v>
      </c>
      <c r="AN740" s="133">
        <f>'Optional Adjustment 22'!G740*$AN$1</f>
        <v>0</v>
      </c>
      <c r="AO740" s="133">
        <f>'Optional Adjustment 23'!G740*$AO$1</f>
        <v>0</v>
      </c>
      <c r="AP740" s="133">
        <f>'Optional Adjustment 24'!G740*$AP$1</f>
        <v>0</v>
      </c>
      <c r="AQ740" s="133">
        <f>'Optional Adjustment 25'!G740*$AQ$1</f>
        <v>0</v>
      </c>
      <c r="AR740" s="133">
        <f>'Optional Adjustment 26'!G740*$AR$1</f>
        <v>0</v>
      </c>
      <c r="AS740" s="133">
        <f>'Optional Adjustment 27'!G740*$AS$1</f>
        <v>0</v>
      </c>
      <c r="AT740" s="133"/>
      <c r="AU740" s="133">
        <f>SUM(F740:AT740)</f>
        <v>0</v>
      </c>
      <c r="AV740" s="116"/>
      <c r="AW740" s="133">
        <f>SUM(AU740:AU740)</f>
        <v>0</v>
      </c>
      <c r="AX740" s="133">
        <f>+AW740-'ROR-Model'!G741</f>
        <v>0</v>
      </c>
    </row>
    <row r="741" spans="1:50">
      <c r="A741" s="134"/>
      <c r="B741" s="106"/>
      <c r="C741" s="106" t="s">
        <v>170</v>
      </c>
      <c r="D741" s="106"/>
      <c r="E741" s="331"/>
      <c r="F741" s="131">
        <f>SUM(F739:F740)</f>
        <v>0</v>
      </c>
      <c r="G741" s="131">
        <f>SUM(G739:G740)</f>
        <v>0</v>
      </c>
      <c r="H741" s="131">
        <f>H1*SUM(H739:H740)</f>
        <v>0</v>
      </c>
      <c r="I741" s="131">
        <f>SUM(I739:I740)</f>
        <v>0</v>
      </c>
      <c r="J741" s="131">
        <f t="shared" ref="J741:P741" si="910">SUM(J739:J740)</f>
        <v>0</v>
      </c>
      <c r="K741" s="131">
        <f t="shared" si="910"/>
        <v>0</v>
      </c>
      <c r="L741" s="131">
        <f t="shared" si="910"/>
        <v>0</v>
      </c>
      <c r="M741" s="131">
        <f t="shared" si="910"/>
        <v>0</v>
      </c>
      <c r="N741" s="131">
        <f t="shared" si="910"/>
        <v>0</v>
      </c>
      <c r="O741" s="131">
        <f t="shared" si="910"/>
        <v>0</v>
      </c>
      <c r="P741" s="131">
        <f t="shared" si="910"/>
        <v>0</v>
      </c>
      <c r="Q741" s="241">
        <f>SUM(Q739:Q740)</f>
        <v>0</v>
      </c>
      <c r="R741" s="241">
        <f>SUM(R739:R740)</f>
        <v>0</v>
      </c>
      <c r="S741" s="556"/>
      <c r="T741" s="556">
        <f t="shared" ref="T741:AG741" si="911">SUM(T739:T740)</f>
        <v>0</v>
      </c>
      <c r="U741" s="556">
        <f t="shared" si="911"/>
        <v>0</v>
      </c>
      <c r="V741" s="556">
        <f t="shared" si="911"/>
        <v>0</v>
      </c>
      <c r="W741" s="556">
        <f t="shared" si="911"/>
        <v>0</v>
      </c>
      <c r="X741" s="556">
        <f t="shared" si="911"/>
        <v>0</v>
      </c>
      <c r="Y741" s="556">
        <f t="shared" si="911"/>
        <v>0</v>
      </c>
      <c r="Z741" s="556">
        <f t="shared" si="911"/>
        <v>0</v>
      </c>
      <c r="AA741" s="556">
        <f t="shared" si="911"/>
        <v>0</v>
      </c>
      <c r="AB741" s="556">
        <f t="shared" si="911"/>
        <v>0</v>
      </c>
      <c r="AC741" s="556">
        <f t="shared" si="911"/>
        <v>0</v>
      </c>
      <c r="AD741" s="556">
        <f t="shared" si="911"/>
        <v>0</v>
      </c>
      <c r="AE741" s="556">
        <f t="shared" si="911"/>
        <v>0</v>
      </c>
      <c r="AF741" s="556">
        <f t="shared" si="911"/>
        <v>0</v>
      </c>
      <c r="AG741" s="556">
        <f t="shared" si="911"/>
        <v>0</v>
      </c>
      <c r="AH741" s="556">
        <f t="shared" ref="AH741:AK741" si="912">SUM(AH739:AH740)</f>
        <v>0</v>
      </c>
      <c r="AI741" s="556">
        <f t="shared" si="912"/>
        <v>0</v>
      </c>
      <c r="AJ741" s="556">
        <f t="shared" si="912"/>
        <v>0</v>
      </c>
      <c r="AK741" s="556">
        <f t="shared" si="912"/>
        <v>0</v>
      </c>
      <c r="AL741" s="556">
        <f t="shared" ref="AL741:AP741" si="913">SUM(AL739:AL740)</f>
        <v>0</v>
      </c>
      <c r="AM741" s="556">
        <f t="shared" si="913"/>
        <v>0</v>
      </c>
      <c r="AN741" s="556">
        <f t="shared" si="913"/>
        <v>0</v>
      </c>
      <c r="AO741" s="556">
        <f t="shared" si="913"/>
        <v>0</v>
      </c>
      <c r="AP741" s="556">
        <f t="shared" si="913"/>
        <v>0</v>
      </c>
      <c r="AQ741" s="556">
        <f t="shared" ref="AQ741:AS741" si="914">SUM(AQ739:AQ740)</f>
        <v>0</v>
      </c>
      <c r="AR741" s="556">
        <f t="shared" si="914"/>
        <v>0</v>
      </c>
      <c r="AS741" s="556">
        <f t="shared" si="914"/>
        <v>0</v>
      </c>
      <c r="AT741" s="556"/>
      <c r="AU741" s="241">
        <f>SUM(AU739:AU740)</f>
        <v>0</v>
      </c>
      <c r="AV741" s="131"/>
      <c r="AW741" s="241">
        <f>SUM(AW739:AW740)</f>
        <v>0</v>
      </c>
      <c r="AX741" s="241">
        <f>+AW741-'ROR-Model'!G742</f>
        <v>0</v>
      </c>
    </row>
    <row r="742" spans="1:50">
      <c r="A742" s="134"/>
      <c r="B742" s="106"/>
      <c r="C742" s="106"/>
      <c r="D742" s="106"/>
      <c r="E742" s="331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16"/>
      <c r="AW742" s="133"/>
      <c r="AX742" s="133">
        <f>+AW742-'ROR-Model'!G743</f>
        <v>0</v>
      </c>
    </row>
    <row r="743" spans="1:50">
      <c r="A743" s="134">
        <v>8942</v>
      </c>
      <c r="B743" s="106" t="s">
        <v>399</v>
      </c>
      <c r="C743" s="106"/>
      <c r="D743" s="106"/>
      <c r="E743" s="331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16"/>
      <c r="AW743" s="133"/>
      <c r="AX743" s="133">
        <f>+AW743-'ROR-Model'!G744</f>
        <v>0</v>
      </c>
    </row>
    <row r="744" spans="1:50">
      <c r="A744" s="330"/>
      <c r="B744" s="106"/>
      <c r="C744" s="106" t="s">
        <v>14</v>
      </c>
      <c r="D744" s="106"/>
      <c r="E744" s="331"/>
      <c r="F744" s="116"/>
      <c r="G744" s="116">
        <f>$G$1*EXPENSES!L236</f>
        <v>0</v>
      </c>
      <c r="H744" s="116"/>
      <c r="I744" s="116"/>
      <c r="J744" s="116"/>
      <c r="K744" s="116"/>
      <c r="L744" s="116"/>
      <c r="M744" s="116"/>
      <c r="N744" s="116"/>
      <c r="O744" s="116"/>
      <c r="P744" s="116"/>
      <c r="Q744" s="133"/>
      <c r="R744" s="133"/>
      <c r="S744" s="133"/>
      <c r="T744" s="133">
        <f>'Optional Adjustment 2'!G744*$T$1</f>
        <v>0</v>
      </c>
      <c r="U744" s="133">
        <f>'Optional Adjustment 3'!G744*$U$1</f>
        <v>0</v>
      </c>
      <c r="V744" s="133">
        <f>'Optional Adjustment 4'!G744*$V$1</f>
        <v>0</v>
      </c>
      <c r="W744" s="133">
        <f>'Optional Adjustment 5'!G744*$W$1</f>
        <v>0</v>
      </c>
      <c r="X744" s="133">
        <f>'Optional Adjustment 6'!G744*$X$1</f>
        <v>0</v>
      </c>
      <c r="Y744" s="133">
        <f>'Optional Adjustment 7'!G744*$Y$1</f>
        <v>0</v>
      </c>
      <c r="Z744" s="133">
        <f>'Optional Adjustment 8'!G744*$Z$1</f>
        <v>0</v>
      </c>
      <c r="AA744" s="133">
        <f>'Optional Adjustment 9'!G744*$AA$1</f>
        <v>0</v>
      </c>
      <c r="AB744" s="133">
        <f>'Optional Adjustment 10'!G744*$AB$1</f>
        <v>0</v>
      </c>
      <c r="AC744" s="133">
        <f>'Optional Adjustment 11'!G744*$AC$1</f>
        <v>0</v>
      </c>
      <c r="AD744" s="133">
        <f>'Optional Adjustment 12'!G744*$AD$1</f>
        <v>0</v>
      </c>
      <c r="AE744" s="133">
        <f>'Optional Adjustment 13'!G744*$AE$1</f>
        <v>0</v>
      </c>
      <c r="AF744" s="133">
        <f>'Optional Adjustment 14'!G744*$AF$1</f>
        <v>0</v>
      </c>
      <c r="AG744" s="133">
        <f>'Optional Adjustment 15'!G744*$AG$1</f>
        <v>0</v>
      </c>
      <c r="AH744" s="133">
        <f>'Optional Adjustment 16'!G744*$AH$1</f>
        <v>0</v>
      </c>
      <c r="AI744" s="133">
        <f>'Optional Adjustment 17'!G744*$AI$1</f>
        <v>0</v>
      </c>
      <c r="AJ744" s="133">
        <f>'Optional Adjustment 18'!G744*$AJ$1</f>
        <v>0</v>
      </c>
      <c r="AK744" s="133">
        <f>'Optional Adjustment 19'!G744*$AK$1</f>
        <v>0</v>
      </c>
      <c r="AL744" s="133">
        <f>'Optional Adjustment 20'!G744*$AL$1</f>
        <v>0</v>
      </c>
      <c r="AM744" s="133">
        <f>'Optional Adjustment 21'!G744*$AM$1</f>
        <v>0</v>
      </c>
      <c r="AN744" s="133">
        <f>'Optional Adjustment 22'!G744*$AN$1</f>
        <v>0</v>
      </c>
      <c r="AO744" s="133">
        <f>'Optional Adjustment 23'!G744*$AO$1</f>
        <v>0</v>
      </c>
      <c r="AP744" s="133">
        <f>'Optional Adjustment 24'!G744*$AP$1</f>
        <v>0</v>
      </c>
      <c r="AQ744" s="133">
        <f>'Optional Adjustment 25'!G744*$AQ$1</f>
        <v>0</v>
      </c>
      <c r="AR744" s="133">
        <f>'Optional Adjustment 26'!G744*$AR$1</f>
        <v>0</v>
      </c>
      <c r="AS744" s="133">
        <f>'Optional Adjustment 27'!G744*$AS$1</f>
        <v>0</v>
      </c>
      <c r="AT744" s="133"/>
      <c r="AU744" s="133">
        <f>SUM(F744:AT744)</f>
        <v>0</v>
      </c>
      <c r="AV744" s="116"/>
      <c r="AW744" s="133">
        <f>SUM(AU744:AU744)</f>
        <v>0</v>
      </c>
      <c r="AX744" s="133">
        <f>+AW744-'ROR-Model'!G745</f>
        <v>0</v>
      </c>
    </row>
    <row r="745" spans="1:50">
      <c r="A745" s="330"/>
      <c r="B745" s="106"/>
      <c r="C745" s="106" t="s">
        <v>24</v>
      </c>
      <c r="D745" s="106"/>
      <c r="E745" s="331"/>
      <c r="F745" s="116"/>
      <c r="G745" s="116">
        <f>$G$1*EXPENSES!L237</f>
        <v>0</v>
      </c>
      <c r="H745" s="116"/>
      <c r="I745" s="116"/>
      <c r="J745" s="116"/>
      <c r="K745" s="116"/>
      <c r="L745" s="116"/>
      <c r="M745" s="116"/>
      <c r="N745" s="116"/>
      <c r="O745" s="116"/>
      <c r="P745" s="116"/>
      <c r="Q745" s="133"/>
      <c r="R745" s="133"/>
      <c r="S745" s="133"/>
      <c r="T745" s="133">
        <f>'Optional Adjustment 2'!G745*$T$1</f>
        <v>0</v>
      </c>
      <c r="U745" s="133">
        <f>'Optional Adjustment 3'!G745*$U$1</f>
        <v>0</v>
      </c>
      <c r="V745" s="133">
        <f>'Optional Adjustment 4'!G745*$V$1</f>
        <v>0</v>
      </c>
      <c r="W745" s="133">
        <f>'Optional Adjustment 5'!G745*$W$1</f>
        <v>0</v>
      </c>
      <c r="X745" s="133">
        <f>'Optional Adjustment 6'!G745*$X$1</f>
        <v>0</v>
      </c>
      <c r="Y745" s="133">
        <f>'Optional Adjustment 7'!G745*$Y$1</f>
        <v>0</v>
      </c>
      <c r="Z745" s="133">
        <f>'Optional Adjustment 8'!G745*$Z$1</f>
        <v>0</v>
      </c>
      <c r="AA745" s="133">
        <f>'Optional Adjustment 9'!G745*$AA$1</f>
        <v>0</v>
      </c>
      <c r="AB745" s="133">
        <f>'Optional Adjustment 10'!G745*$AB$1</f>
        <v>0</v>
      </c>
      <c r="AC745" s="133">
        <f>'Optional Adjustment 11'!G745*$AC$1</f>
        <v>0</v>
      </c>
      <c r="AD745" s="133">
        <f>'Optional Adjustment 12'!G745*$AD$1</f>
        <v>0</v>
      </c>
      <c r="AE745" s="133">
        <f>'Optional Adjustment 13'!G745*$AE$1</f>
        <v>0</v>
      </c>
      <c r="AF745" s="133">
        <f>'Optional Adjustment 14'!G745*$AF$1</f>
        <v>0</v>
      </c>
      <c r="AG745" s="133">
        <f>'Optional Adjustment 15'!G745*$AG$1</f>
        <v>0</v>
      </c>
      <c r="AH745" s="133">
        <f>'Optional Adjustment 16'!G745*$AH$1</f>
        <v>0</v>
      </c>
      <c r="AI745" s="133">
        <f>'Optional Adjustment 17'!G745*$AI$1</f>
        <v>0</v>
      </c>
      <c r="AJ745" s="133">
        <f>'Optional Adjustment 18'!G745*$AJ$1</f>
        <v>0</v>
      </c>
      <c r="AK745" s="133">
        <f>'Optional Adjustment 19'!G745*$AK$1</f>
        <v>0</v>
      </c>
      <c r="AL745" s="133">
        <f>'Optional Adjustment 20'!G745*$AL$1</f>
        <v>0</v>
      </c>
      <c r="AM745" s="133">
        <f>'Optional Adjustment 21'!G745*$AM$1</f>
        <v>0</v>
      </c>
      <c r="AN745" s="133">
        <f>'Optional Adjustment 22'!G745*$AN$1</f>
        <v>0</v>
      </c>
      <c r="AO745" s="133">
        <f>'Optional Adjustment 23'!G745*$AO$1</f>
        <v>0</v>
      </c>
      <c r="AP745" s="133">
        <f>'Optional Adjustment 24'!G745*$AP$1</f>
        <v>0</v>
      </c>
      <c r="AQ745" s="133">
        <f>'Optional Adjustment 25'!G745*$AQ$1</f>
        <v>0</v>
      </c>
      <c r="AR745" s="133">
        <f>'Optional Adjustment 26'!G745*$AR$1</f>
        <v>0</v>
      </c>
      <c r="AS745" s="133">
        <f>'Optional Adjustment 27'!G745*$AS$1</f>
        <v>0</v>
      </c>
      <c r="AT745" s="133"/>
      <c r="AU745" s="133">
        <f>SUM(F745:AT745)</f>
        <v>0</v>
      </c>
      <c r="AV745" s="116"/>
      <c r="AW745" s="133">
        <f>SUM(AU745:AU745)</f>
        <v>0</v>
      </c>
      <c r="AX745" s="133">
        <f>+AW745-'ROR-Model'!G746</f>
        <v>0</v>
      </c>
    </row>
    <row r="746" spans="1:50">
      <c r="A746" s="330"/>
      <c r="B746" s="106"/>
      <c r="C746" s="106" t="s">
        <v>170</v>
      </c>
      <c r="D746" s="106"/>
      <c r="E746" s="331"/>
      <c r="F746" s="131">
        <f>SUM(F744:F745)</f>
        <v>0</v>
      </c>
      <c r="G746" s="131">
        <f>SUM(G744:G745)</f>
        <v>0</v>
      </c>
      <c r="H746" s="131">
        <f>H1*SUM(H744:H745)</f>
        <v>0</v>
      </c>
      <c r="I746" s="131">
        <f>SUM(I744:I745)</f>
        <v>0</v>
      </c>
      <c r="J746" s="131">
        <f t="shared" ref="J746:P746" si="915">SUM(J744:J745)</f>
        <v>0</v>
      </c>
      <c r="K746" s="131">
        <f t="shared" si="915"/>
        <v>0</v>
      </c>
      <c r="L746" s="131">
        <f t="shared" si="915"/>
        <v>0</v>
      </c>
      <c r="M746" s="131">
        <f t="shared" si="915"/>
        <v>0</v>
      </c>
      <c r="N746" s="131">
        <f t="shared" si="915"/>
        <v>0</v>
      </c>
      <c r="O746" s="131">
        <f t="shared" si="915"/>
        <v>0</v>
      </c>
      <c r="P746" s="131">
        <f t="shared" si="915"/>
        <v>0</v>
      </c>
      <c r="Q746" s="241">
        <f>SUM(Q744:Q745)</f>
        <v>0</v>
      </c>
      <c r="R746" s="241">
        <f>SUM(R744:R745)</f>
        <v>0</v>
      </c>
      <c r="S746" s="556"/>
      <c r="T746" s="556">
        <f t="shared" ref="T746:AG746" si="916">SUM(T744:T745)</f>
        <v>0</v>
      </c>
      <c r="U746" s="556">
        <f t="shared" si="916"/>
        <v>0</v>
      </c>
      <c r="V746" s="556">
        <f t="shared" si="916"/>
        <v>0</v>
      </c>
      <c r="W746" s="556">
        <f t="shared" si="916"/>
        <v>0</v>
      </c>
      <c r="X746" s="556">
        <f t="shared" si="916"/>
        <v>0</v>
      </c>
      <c r="Y746" s="556">
        <f t="shared" si="916"/>
        <v>0</v>
      </c>
      <c r="Z746" s="556">
        <f t="shared" si="916"/>
        <v>0</v>
      </c>
      <c r="AA746" s="556">
        <f t="shared" si="916"/>
        <v>0</v>
      </c>
      <c r="AB746" s="556">
        <f t="shared" si="916"/>
        <v>0</v>
      </c>
      <c r="AC746" s="556">
        <f t="shared" si="916"/>
        <v>0</v>
      </c>
      <c r="AD746" s="556">
        <f t="shared" si="916"/>
        <v>0</v>
      </c>
      <c r="AE746" s="556">
        <f t="shared" si="916"/>
        <v>0</v>
      </c>
      <c r="AF746" s="556">
        <f t="shared" si="916"/>
        <v>0</v>
      </c>
      <c r="AG746" s="556">
        <f t="shared" si="916"/>
        <v>0</v>
      </c>
      <c r="AH746" s="556">
        <f t="shared" ref="AH746:AK746" si="917">SUM(AH744:AH745)</f>
        <v>0</v>
      </c>
      <c r="AI746" s="556">
        <f t="shared" si="917"/>
        <v>0</v>
      </c>
      <c r="AJ746" s="556">
        <f t="shared" si="917"/>
        <v>0</v>
      </c>
      <c r="AK746" s="556">
        <f t="shared" si="917"/>
        <v>0</v>
      </c>
      <c r="AL746" s="556">
        <f t="shared" ref="AL746:AP746" si="918">SUM(AL744:AL745)</f>
        <v>0</v>
      </c>
      <c r="AM746" s="556">
        <f t="shared" si="918"/>
        <v>0</v>
      </c>
      <c r="AN746" s="556">
        <f t="shared" si="918"/>
        <v>0</v>
      </c>
      <c r="AO746" s="556">
        <f t="shared" si="918"/>
        <v>0</v>
      </c>
      <c r="AP746" s="556">
        <f t="shared" si="918"/>
        <v>0</v>
      </c>
      <c r="AQ746" s="556">
        <f t="shared" ref="AQ746:AS746" si="919">SUM(AQ744:AQ745)</f>
        <v>0</v>
      </c>
      <c r="AR746" s="556">
        <f t="shared" si="919"/>
        <v>0</v>
      </c>
      <c r="AS746" s="556">
        <f t="shared" si="919"/>
        <v>0</v>
      </c>
      <c r="AT746" s="556"/>
      <c r="AU746" s="241">
        <f>SUM(AU744:AU745)</f>
        <v>0</v>
      </c>
      <c r="AV746" s="131"/>
      <c r="AW746" s="241">
        <f>SUM(AW744:AW745)</f>
        <v>0</v>
      </c>
      <c r="AX746" s="241">
        <f>+AW746-'ROR-Model'!G747</f>
        <v>0</v>
      </c>
    </row>
    <row r="747" spans="1:50" ht="13.5" thickBot="1">
      <c r="A747" s="330"/>
      <c r="B747" s="106"/>
      <c r="C747" s="106"/>
      <c r="D747" s="106"/>
      <c r="E747" s="331"/>
      <c r="F747" s="235"/>
      <c r="G747" s="235"/>
      <c r="H747" s="235"/>
      <c r="I747" s="235"/>
      <c r="J747" s="235"/>
      <c r="K747" s="235"/>
      <c r="L747" s="235"/>
      <c r="M747" s="235"/>
      <c r="N747" s="235"/>
      <c r="O747" s="235"/>
      <c r="P747" s="235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  <c r="AA747" s="242"/>
      <c r="AB747" s="242"/>
      <c r="AC747" s="242"/>
      <c r="AD747" s="242"/>
      <c r="AE747" s="242"/>
      <c r="AF747" s="242"/>
      <c r="AG747" s="242"/>
      <c r="AH747" s="242"/>
      <c r="AI747" s="242"/>
      <c r="AJ747" s="242"/>
      <c r="AK747" s="242"/>
      <c r="AL747" s="242"/>
      <c r="AM747" s="242"/>
      <c r="AN747" s="242"/>
      <c r="AO747" s="242"/>
      <c r="AP747" s="242"/>
      <c r="AQ747" s="242"/>
      <c r="AR747" s="242"/>
      <c r="AS747" s="242"/>
      <c r="AT747" s="242"/>
      <c r="AU747" s="242"/>
      <c r="AV747" s="235"/>
      <c r="AW747" s="242"/>
      <c r="AX747" s="242">
        <f>+AW747-'ROR-Model'!G748</f>
        <v>0</v>
      </c>
    </row>
    <row r="748" spans="1:50" ht="13.5" thickTop="1">
      <c r="A748" s="59" t="s">
        <v>564</v>
      </c>
      <c r="B748" s="106"/>
      <c r="C748" s="106"/>
      <c r="D748" s="106"/>
      <c r="E748" s="331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16"/>
      <c r="AW748" s="133"/>
      <c r="AX748" s="133">
        <f>+AW748-'ROR-Model'!G749</f>
        <v>0</v>
      </c>
    </row>
    <row r="749" spans="1:50">
      <c r="A749" s="330"/>
      <c r="B749" s="106" t="s">
        <v>562</v>
      </c>
      <c r="C749" s="106"/>
      <c r="D749" s="106"/>
      <c r="E749" s="331"/>
      <c r="F749" s="116">
        <f t="shared" ref="F749:G750" si="920">F654+F659+F664+F669+F674+F679+F684+F689+F694+F699+F704+F709+F714+F719+F724+F729+F734+F739+F744</f>
        <v>0</v>
      </c>
      <c r="G749" s="116">
        <f t="shared" si="920"/>
        <v>-159328.7599975731</v>
      </c>
      <c r="H749" s="116">
        <f>H1*H654+H659+H664+H669+H674+H679+H684+H689+H694+H699+H704+H709+H714+H719+H724+H729+H734+H739+H744</f>
        <v>0</v>
      </c>
      <c r="I749" s="116">
        <f>I654+I659+I664+I669+I674+I679+I684+I689+I694+I699+I704+I709+I714+I719+I724+I729+I734+I739+I744</f>
        <v>0</v>
      </c>
      <c r="J749" s="116">
        <f t="shared" ref="J749:P750" si="921">J654+J659+J664+J669+J674+J679+J684+J689+J694+J699+J704+J709+J714+J719+J724+J729+J734+J739+J744</f>
        <v>0</v>
      </c>
      <c r="K749" s="116">
        <f t="shared" si="921"/>
        <v>0</v>
      </c>
      <c r="L749" s="116">
        <f t="shared" si="921"/>
        <v>0</v>
      </c>
      <c r="M749" s="116">
        <f t="shared" si="921"/>
        <v>0</v>
      </c>
      <c r="N749" s="116">
        <f t="shared" si="921"/>
        <v>0</v>
      </c>
      <c r="O749" s="116">
        <f t="shared" si="921"/>
        <v>0</v>
      </c>
      <c r="P749" s="116">
        <f t="shared" si="921"/>
        <v>0</v>
      </c>
      <c r="Q749" s="133">
        <f>Q654+Q659+Q664+Q669+Q674+Q679+Q684+Q689+Q694+Q699+Q704+Q709+Q714+Q719+Q724+Q729+Q734+Q739+Q744</f>
        <v>0</v>
      </c>
      <c r="R749" s="133">
        <f>R654+R659+R664+R669+R674+R679+R684+R689+R694+R699+R704+R709+R714+R719+R724+R729+R734+R739+R744</f>
        <v>0</v>
      </c>
      <c r="S749" s="133"/>
      <c r="T749" s="133">
        <f t="shared" ref="T749" si="922">T654+T659+T664+T669+T674+T679+T684+T689+T694+T699+T704+T709+T714+T719+T724+T729+T734+T739+T744</f>
        <v>0</v>
      </c>
      <c r="U749" s="133">
        <f t="shared" ref="U749:W749" si="923">U654+U659+U664+U669+U674+U679+U684+U689+U694+U699+U704+U709+U714+U719+U724+U729+U734+U739+U744</f>
        <v>0</v>
      </c>
      <c r="V749" s="133">
        <f t="shared" ref="V749" si="924">V654+V659+V664+V669+V674+V679+V684+V689+V694+V699+V704+V709+V714+V719+V724+V729+V734+V739+V744</f>
        <v>0</v>
      </c>
      <c r="W749" s="133">
        <f t="shared" si="923"/>
        <v>0</v>
      </c>
      <c r="X749" s="133">
        <f t="shared" ref="X749:AG749" si="925">X654+X659+X664+X669+X674+X679+X684+X689+X694+X699+X704+X709+X714+X719+X724+X729+X734+X739+X744</f>
        <v>0</v>
      </c>
      <c r="Y749" s="133">
        <f t="shared" si="925"/>
        <v>0</v>
      </c>
      <c r="Z749" s="133">
        <f t="shared" si="925"/>
        <v>0</v>
      </c>
      <c r="AA749" s="133">
        <f t="shared" si="925"/>
        <v>0</v>
      </c>
      <c r="AB749" s="133">
        <f t="shared" si="925"/>
        <v>0</v>
      </c>
      <c r="AC749" s="133">
        <f t="shared" si="925"/>
        <v>0</v>
      </c>
      <c r="AD749" s="133">
        <f t="shared" si="925"/>
        <v>0</v>
      </c>
      <c r="AE749" s="133">
        <f t="shared" si="925"/>
        <v>0</v>
      </c>
      <c r="AF749" s="133">
        <f t="shared" si="925"/>
        <v>0</v>
      </c>
      <c r="AG749" s="133">
        <f t="shared" si="925"/>
        <v>0</v>
      </c>
      <c r="AH749" s="133">
        <f t="shared" ref="AH749:AK749" si="926">AH654+AH659+AH664+AH669+AH674+AH679+AH684+AH689+AH694+AH699+AH704+AH709+AH714+AH719+AH724+AH729+AH734+AH739+AH744</f>
        <v>0</v>
      </c>
      <c r="AI749" s="133">
        <f t="shared" si="926"/>
        <v>0</v>
      </c>
      <c r="AJ749" s="133">
        <f t="shared" si="926"/>
        <v>0</v>
      </c>
      <c r="AK749" s="133">
        <f t="shared" si="926"/>
        <v>0</v>
      </c>
      <c r="AL749" s="133">
        <f t="shared" ref="AL749:AP749" si="927">AL654+AL659+AL664+AL669+AL674+AL679+AL684+AL689+AL694+AL699+AL704+AL709+AL714+AL719+AL724+AL729+AL734+AL739+AL744</f>
        <v>0</v>
      </c>
      <c r="AM749" s="133">
        <f t="shared" si="927"/>
        <v>0</v>
      </c>
      <c r="AN749" s="133">
        <f t="shared" si="927"/>
        <v>0</v>
      </c>
      <c r="AO749" s="133">
        <f t="shared" si="927"/>
        <v>0</v>
      </c>
      <c r="AP749" s="133">
        <f t="shared" si="927"/>
        <v>0</v>
      </c>
      <c r="AQ749" s="133">
        <f t="shared" ref="AQ749:AT749" si="928">AQ654+AQ659+AQ664+AQ669+AQ674+AQ679+AQ684+AQ689+AQ694+AQ699+AQ704+AQ709+AQ714+AQ719+AQ724+AQ729+AQ734+AQ739+AQ744</f>
        <v>0</v>
      </c>
      <c r="AR749" s="133">
        <f t="shared" si="928"/>
        <v>0</v>
      </c>
      <c r="AS749" s="133">
        <f t="shared" si="928"/>
        <v>0</v>
      </c>
      <c r="AT749" s="133">
        <f t="shared" si="928"/>
        <v>0</v>
      </c>
      <c r="AU749" s="133">
        <f>AU654+AU659+AU664+AU669+AU674+AU679+AU684+AU689+AU694+AU699+AU704+AU709+AU714+AU719+AU724+AU729+AU734+AU739+AU744</f>
        <v>-159328.7599975731</v>
      </c>
      <c r="AV749" s="116"/>
      <c r="AW749" s="133">
        <f>AW654+AW659+AW664+AW669+AW674+AW679+AW684+AW689+AW694+AW699+AW704+AW709+AW714+AW719+AW724+AW729+AW734+AW739+AW744</f>
        <v>-159328.7599975731</v>
      </c>
      <c r="AX749" s="133">
        <f>+AW749-'ROR-Model'!G750</f>
        <v>0</v>
      </c>
    </row>
    <row r="750" spans="1:50">
      <c r="A750" s="330"/>
      <c r="B750" s="106" t="s">
        <v>563</v>
      </c>
      <c r="C750" s="106"/>
      <c r="D750" s="106"/>
      <c r="E750" s="331"/>
      <c r="F750" s="116">
        <f t="shared" si="920"/>
        <v>0</v>
      </c>
      <c r="G750" s="116">
        <f t="shared" si="920"/>
        <v>-18471.258485105856</v>
      </c>
      <c r="H750" s="116">
        <f>H1*H655+H660+H665+H670+H675+H680+H685+H690+H695+H700+H705+H710+H715+H720+H725+H730+H735+H740+H745</f>
        <v>0</v>
      </c>
      <c r="I750" s="116">
        <f>I655+I660+I665+I670+I675+I680+I685+I690+I695+I700+I705+I710+I715+I720+I725+I730+I735+I740+I745</f>
        <v>0</v>
      </c>
      <c r="J750" s="116">
        <f t="shared" si="921"/>
        <v>0</v>
      </c>
      <c r="K750" s="116">
        <f t="shared" si="921"/>
        <v>0</v>
      </c>
      <c r="L750" s="116">
        <f t="shared" si="921"/>
        <v>0</v>
      </c>
      <c r="M750" s="116">
        <f t="shared" si="921"/>
        <v>0</v>
      </c>
      <c r="N750" s="116">
        <f t="shared" si="921"/>
        <v>0</v>
      </c>
      <c r="O750" s="116">
        <f t="shared" si="921"/>
        <v>0</v>
      </c>
      <c r="P750" s="116">
        <f>P655+P660+P665+P670+P675+P680+P685+P690+P695+P700+P705+P710+P715+P720+P725+P730+P735+P740+P745</f>
        <v>0</v>
      </c>
      <c r="Q750" s="133">
        <f>Q655+Q660+Q665+Q670+Q675+Q680+Q685+Q690+Q695+Q700+Q705+Q710+Q715+Q720+Q725+Q730+Q735+Q740+Q745</f>
        <v>0</v>
      </c>
      <c r="R750" s="133">
        <f>R655+R660+R665+R670+R675+R680+R685+R690+R695+R700+R705+R710+R715+R720+R725+R730+R735+R740+R745</f>
        <v>0</v>
      </c>
      <c r="S750" s="133"/>
      <c r="T750" s="133">
        <f t="shared" ref="T750" si="929">T655+T660+T665+T670+T675+T680+T685+T690+T695+T700+T705+T710+T715+T720+T725+T730+T735+T740+T745</f>
        <v>0</v>
      </c>
      <c r="U750" s="133">
        <f t="shared" ref="U750:W750" si="930">U655+U660+U665+U670+U675+U680+U685+U690+U695+U700+U705+U710+U715+U720+U725+U730+U735+U740+U745</f>
        <v>0</v>
      </c>
      <c r="V750" s="133">
        <f t="shared" ref="V750" si="931">V655+V660+V665+V670+V675+V680+V685+V690+V695+V700+V705+V710+V715+V720+V725+V730+V735+V740+V745</f>
        <v>0</v>
      </c>
      <c r="W750" s="133">
        <f t="shared" si="930"/>
        <v>0</v>
      </c>
      <c r="X750" s="133">
        <f t="shared" ref="X750:AG750" si="932">X655+X660+X665+X670+X675+X680+X685+X690+X695+X700+X705+X710+X715+X720+X725+X730+X735+X740+X745</f>
        <v>0</v>
      </c>
      <c r="Y750" s="133">
        <f t="shared" si="932"/>
        <v>0</v>
      </c>
      <c r="Z750" s="133">
        <f t="shared" si="932"/>
        <v>0</v>
      </c>
      <c r="AA750" s="133">
        <f t="shared" si="932"/>
        <v>0</v>
      </c>
      <c r="AB750" s="133">
        <f t="shared" si="932"/>
        <v>0</v>
      </c>
      <c r="AC750" s="133">
        <f t="shared" si="932"/>
        <v>0</v>
      </c>
      <c r="AD750" s="133">
        <f t="shared" si="932"/>
        <v>0</v>
      </c>
      <c r="AE750" s="133">
        <f t="shared" si="932"/>
        <v>0</v>
      </c>
      <c r="AF750" s="133">
        <f t="shared" si="932"/>
        <v>0</v>
      </c>
      <c r="AG750" s="133">
        <f t="shared" si="932"/>
        <v>0</v>
      </c>
      <c r="AH750" s="133">
        <f t="shared" ref="AH750:AK750" si="933">AH655+AH660+AH665+AH670+AH675+AH680+AH685+AH690+AH695+AH700+AH705+AH710+AH715+AH720+AH725+AH730+AH735+AH740+AH745</f>
        <v>0</v>
      </c>
      <c r="AI750" s="133">
        <f t="shared" si="933"/>
        <v>0</v>
      </c>
      <c r="AJ750" s="133">
        <f t="shared" si="933"/>
        <v>0</v>
      </c>
      <c r="AK750" s="133">
        <f t="shared" si="933"/>
        <v>0</v>
      </c>
      <c r="AL750" s="133">
        <f t="shared" ref="AL750:AP750" si="934">AL655+AL660+AL665+AL670+AL675+AL680+AL685+AL690+AL695+AL700+AL705+AL710+AL715+AL720+AL725+AL730+AL735+AL740+AL745</f>
        <v>0</v>
      </c>
      <c r="AM750" s="133">
        <f t="shared" si="934"/>
        <v>0</v>
      </c>
      <c r="AN750" s="133">
        <f t="shared" si="934"/>
        <v>0</v>
      </c>
      <c r="AO750" s="133">
        <f t="shared" si="934"/>
        <v>0</v>
      </c>
      <c r="AP750" s="133">
        <f t="shared" si="934"/>
        <v>0</v>
      </c>
      <c r="AQ750" s="133">
        <f t="shared" ref="AQ750:AT750" si="935">AQ655+AQ660+AQ665+AQ670+AQ675+AQ680+AQ685+AQ690+AQ695+AQ700+AQ705+AQ710+AQ715+AQ720+AQ725+AQ730+AQ735+AQ740+AQ745</f>
        <v>0</v>
      </c>
      <c r="AR750" s="133">
        <f t="shared" si="935"/>
        <v>0</v>
      </c>
      <c r="AS750" s="133">
        <f t="shared" si="935"/>
        <v>0</v>
      </c>
      <c r="AT750" s="133">
        <f t="shared" si="935"/>
        <v>0</v>
      </c>
      <c r="AU750" s="133">
        <f>AU655+AU660+AU665+AU670+AU675+AU680+AU685+AU690+AU695+AU700+AU705+AU710+AU715+AU720+AU725+AU730+AU735+AU740+AU745</f>
        <v>-18471.258485105856</v>
      </c>
      <c r="AV750" s="116"/>
      <c r="AW750" s="133">
        <f>AW655+AW660+AW665+AW670+AW675+AW680+AW685+AW690+AW695+AW700+AW705+AW710+AW715+AW720+AW725+AW730+AW735+AW740+AW745</f>
        <v>-18471.258485105856</v>
      </c>
      <c r="AX750" s="133">
        <f>+AW750-'ROR-Model'!G751</f>
        <v>0</v>
      </c>
    </row>
    <row r="751" spans="1:50" ht="13.5" thickBot="1">
      <c r="A751" s="330"/>
      <c r="B751" s="106"/>
      <c r="C751" s="106"/>
      <c r="D751" s="106"/>
      <c r="E751" s="331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62"/>
      <c r="R751" s="262"/>
      <c r="S751" s="558"/>
      <c r="T751" s="558"/>
      <c r="U751" s="558"/>
      <c r="V751" s="558"/>
      <c r="W751" s="558"/>
      <c r="X751" s="558"/>
      <c r="Y751" s="558"/>
      <c r="Z751" s="558"/>
      <c r="AA751" s="558"/>
      <c r="AB751" s="558"/>
      <c r="AC751" s="558"/>
      <c r="AD751" s="558"/>
      <c r="AE751" s="558"/>
      <c r="AF751" s="558"/>
      <c r="AG751" s="558"/>
      <c r="AH751" s="558"/>
      <c r="AI751" s="558"/>
      <c r="AJ751" s="558"/>
      <c r="AK751" s="558"/>
      <c r="AL751" s="558"/>
      <c r="AM751" s="558"/>
      <c r="AN751" s="558"/>
      <c r="AO751" s="558"/>
      <c r="AP751" s="558"/>
      <c r="AQ751" s="558"/>
      <c r="AR751" s="558"/>
      <c r="AS751" s="558"/>
      <c r="AT751" s="558"/>
      <c r="AU751" s="262"/>
      <c r="AV751" s="236"/>
      <c r="AW751" s="262"/>
      <c r="AX751" s="262">
        <f>+AW751-'ROR-Model'!G752</f>
        <v>0</v>
      </c>
    </row>
    <row r="752" spans="1:50">
      <c r="A752" s="330"/>
      <c r="B752" s="61" t="s">
        <v>564</v>
      </c>
      <c r="C752" s="106"/>
      <c r="D752" s="106"/>
      <c r="E752" s="331"/>
      <c r="F752" s="116">
        <f>F656+F661+F666+F671+F676+F681+F686+F691+F696+F701+F706+F711+F716+F721+F726+F731+F736+F741+F746</f>
        <v>0</v>
      </c>
      <c r="G752" s="116">
        <f>G656+G661+G666+G671+G676+G681+G686+G691+G696+G701+G706+G711+G716+G721+G726+G731+G736+G741+G746</f>
        <v>-177800.01848267906</v>
      </c>
      <c r="H752" s="116">
        <f>H1*H656+H661+H666+H671+H676+H681+H686+H691+H696+H701+H706+H711+H716+H721+H726+H731+H736+H741+H746</f>
        <v>0</v>
      </c>
      <c r="I752" s="116">
        <f>I656+I661+I666+I671+I676+I681+I686+I691+I696+I701+I706+I711+I716+I721+I726+I731+I736+I741+I746</f>
        <v>0</v>
      </c>
      <c r="J752" s="116">
        <f t="shared" ref="J752:Q752" si="936">J656+J661+J666+J671+J676+J681+J686+J691+J696+J701+J706+J711+J716+J721+J726+J731+J736+J741+J746</f>
        <v>0</v>
      </c>
      <c r="K752" s="116">
        <f t="shared" si="936"/>
        <v>0</v>
      </c>
      <c r="L752" s="116">
        <f t="shared" si="936"/>
        <v>0</v>
      </c>
      <c r="M752" s="116">
        <f t="shared" si="936"/>
        <v>0</v>
      </c>
      <c r="N752" s="116">
        <f t="shared" si="936"/>
        <v>0</v>
      </c>
      <c r="O752" s="116">
        <f t="shared" si="936"/>
        <v>0</v>
      </c>
      <c r="P752" s="116">
        <f t="shared" si="936"/>
        <v>0</v>
      </c>
      <c r="Q752" s="133">
        <f t="shared" si="936"/>
        <v>0</v>
      </c>
      <c r="R752" s="133">
        <f t="shared" ref="R752" si="937">R656+R661+R666+R671+R676+R681+R686+R691+R696+R701+R706+R711+R716+R721+R726+R731+R736+R741+R746</f>
        <v>0</v>
      </c>
      <c r="S752" s="133"/>
      <c r="T752" s="133">
        <f t="shared" ref="T752:AG752" si="938">T656+T661+T666+T671+T676+T681+T686+T691+T696+T701+T706+T711+T716+T721+T726+T731+T736+T741+T746</f>
        <v>0</v>
      </c>
      <c r="U752" s="133">
        <f t="shared" si="938"/>
        <v>0</v>
      </c>
      <c r="V752" s="133">
        <f t="shared" si="938"/>
        <v>0</v>
      </c>
      <c r="W752" s="133">
        <f t="shared" si="938"/>
        <v>0</v>
      </c>
      <c r="X752" s="133">
        <f t="shared" si="938"/>
        <v>0</v>
      </c>
      <c r="Y752" s="133">
        <f t="shared" si="938"/>
        <v>0</v>
      </c>
      <c r="Z752" s="133">
        <f t="shared" si="938"/>
        <v>0</v>
      </c>
      <c r="AA752" s="133">
        <f t="shared" si="938"/>
        <v>0</v>
      </c>
      <c r="AB752" s="133">
        <f t="shared" si="938"/>
        <v>0</v>
      </c>
      <c r="AC752" s="133">
        <f t="shared" si="938"/>
        <v>0</v>
      </c>
      <c r="AD752" s="133">
        <f t="shared" si="938"/>
        <v>0</v>
      </c>
      <c r="AE752" s="133">
        <f t="shared" si="938"/>
        <v>0</v>
      </c>
      <c r="AF752" s="133">
        <f t="shared" si="938"/>
        <v>0</v>
      </c>
      <c r="AG752" s="133">
        <f t="shared" si="938"/>
        <v>0</v>
      </c>
      <c r="AH752" s="133">
        <f t="shared" ref="AH752:AK752" si="939">AH656+AH661+AH666+AH671+AH676+AH681+AH686+AH691+AH696+AH701+AH706+AH711+AH716+AH721+AH726+AH731+AH736+AH741+AH746</f>
        <v>0</v>
      </c>
      <c r="AI752" s="133">
        <f t="shared" si="939"/>
        <v>0</v>
      </c>
      <c r="AJ752" s="133">
        <f t="shared" si="939"/>
        <v>0</v>
      </c>
      <c r="AK752" s="133">
        <f t="shared" si="939"/>
        <v>0</v>
      </c>
      <c r="AL752" s="133">
        <f t="shared" ref="AL752:AP752" si="940">AL656+AL661+AL666+AL671+AL676+AL681+AL686+AL691+AL696+AL701+AL706+AL711+AL716+AL721+AL726+AL731+AL736+AL741+AL746</f>
        <v>0</v>
      </c>
      <c r="AM752" s="133">
        <f t="shared" si="940"/>
        <v>0</v>
      </c>
      <c r="AN752" s="133">
        <f t="shared" si="940"/>
        <v>0</v>
      </c>
      <c r="AO752" s="133">
        <f t="shared" si="940"/>
        <v>0</v>
      </c>
      <c r="AP752" s="133">
        <f t="shared" si="940"/>
        <v>0</v>
      </c>
      <c r="AQ752" s="133">
        <f t="shared" ref="AQ752:AT752" si="941">AQ656+AQ661+AQ666+AQ671+AQ676+AQ681+AQ686+AQ691+AQ696+AQ701+AQ706+AQ711+AQ716+AQ721+AQ726+AQ731+AQ736+AQ741+AQ746</f>
        <v>0</v>
      </c>
      <c r="AR752" s="133">
        <f t="shared" si="941"/>
        <v>0</v>
      </c>
      <c r="AS752" s="133">
        <f t="shared" si="941"/>
        <v>0</v>
      </c>
      <c r="AT752" s="133">
        <f t="shared" si="941"/>
        <v>0</v>
      </c>
      <c r="AU752" s="133">
        <f>AU656+AU661+AU666+AU671+AU676+AU681+AU686+AU691+AU696+AU701+AU706+AU711+AU716+AU721+AU726+AU731+AU736+AU741+AU746</f>
        <v>-177800.01848267906</v>
      </c>
      <c r="AV752" s="116"/>
      <c r="AW752" s="133">
        <f>AW656+AW661+AW666+AW671+AW676+AW681+AW686+AW691+AW696+AW701+AW706+AW711+AW716+AW721+AW726+AW731+AW736+AW741+AW746</f>
        <v>-177800.01848267906</v>
      </c>
      <c r="AX752" s="133">
        <f>+AW752-'ROR-Model'!G753</f>
        <v>0</v>
      </c>
    </row>
    <row r="753" spans="1:50">
      <c r="A753" s="330"/>
      <c r="B753" s="106"/>
      <c r="C753" s="106"/>
      <c r="D753" s="106"/>
      <c r="E753" s="331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16"/>
      <c r="AW753" s="133"/>
      <c r="AX753" s="133">
        <f>+AW753-'ROR-Model'!G754</f>
        <v>0</v>
      </c>
    </row>
    <row r="754" spans="1:50">
      <c r="A754" s="59" t="s">
        <v>400</v>
      </c>
      <c r="B754" s="106"/>
      <c r="C754" s="106"/>
      <c r="D754" s="106"/>
      <c r="E754" s="331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16"/>
      <c r="AW754" s="133"/>
      <c r="AX754" s="133">
        <f>+AW754-'ROR-Model'!G755</f>
        <v>0</v>
      </c>
    </row>
    <row r="755" spans="1:50">
      <c r="A755" s="330"/>
      <c r="B755" s="106"/>
      <c r="C755" s="106"/>
      <c r="D755" s="106"/>
      <c r="E755" s="331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16"/>
      <c r="AW755" s="133"/>
      <c r="AX755" s="133">
        <f>+AW755-'ROR-Model'!G756</f>
        <v>0</v>
      </c>
    </row>
    <row r="756" spans="1:50">
      <c r="A756" s="134">
        <v>901</v>
      </c>
      <c r="B756" s="106" t="s">
        <v>402</v>
      </c>
      <c r="C756" s="106"/>
      <c r="D756" s="106"/>
      <c r="E756" s="331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16"/>
      <c r="AW756" s="133"/>
      <c r="AX756" s="133">
        <f>+AW756-'ROR-Model'!G757</f>
        <v>0</v>
      </c>
    </row>
    <row r="757" spans="1:50">
      <c r="A757" s="134"/>
      <c r="B757" s="106"/>
      <c r="C757" s="106" t="s">
        <v>14</v>
      </c>
      <c r="D757" s="106"/>
      <c r="E757" s="331"/>
      <c r="F757" s="116"/>
      <c r="G757" s="116">
        <f>$G$1*EXPENSES!L249</f>
        <v>-7345.5088800529484</v>
      </c>
      <c r="H757" s="116"/>
      <c r="I757" s="116"/>
      <c r="J757" s="116"/>
      <c r="K757" s="116"/>
      <c r="L757" s="116"/>
      <c r="M757" s="116"/>
      <c r="N757" s="116"/>
      <c r="O757" s="116"/>
      <c r="P757" s="116"/>
      <c r="Q757" s="133"/>
      <c r="R757" s="133"/>
      <c r="S757" s="133"/>
      <c r="T757" s="133">
        <f>'Optional Adjustment 2'!G757*$T$1</f>
        <v>0</v>
      </c>
      <c r="U757" s="133">
        <f>'Optional Adjustment 3'!G757*$U$1</f>
        <v>0</v>
      </c>
      <c r="V757" s="133">
        <f>'Optional Adjustment 4'!G757*$V$1</f>
        <v>0</v>
      </c>
      <c r="W757" s="133">
        <f>'Optional Adjustment 5'!G757*$W$1</f>
        <v>0</v>
      </c>
      <c r="X757" s="133">
        <f>'Optional Adjustment 6'!G757*$X$1</f>
        <v>0</v>
      </c>
      <c r="Y757" s="133">
        <f>'Optional Adjustment 7'!G757*$Y$1</f>
        <v>0</v>
      </c>
      <c r="Z757" s="133">
        <f>'Optional Adjustment 8'!G757*$Z$1</f>
        <v>0</v>
      </c>
      <c r="AA757" s="133">
        <f>'Optional Adjustment 9'!G757*$AA$1</f>
        <v>0</v>
      </c>
      <c r="AB757" s="133">
        <f>'Optional Adjustment 10'!G757*$AB$1</f>
        <v>0</v>
      </c>
      <c r="AC757" s="133">
        <f>'Optional Adjustment 11'!G757*$AC$1</f>
        <v>0</v>
      </c>
      <c r="AD757" s="133">
        <f>'Optional Adjustment 12'!G757*$AD$1</f>
        <v>0</v>
      </c>
      <c r="AE757" s="133">
        <f>'Optional Adjustment 13'!G757*$AE$1</f>
        <v>0</v>
      </c>
      <c r="AF757" s="133">
        <f>'Optional Adjustment 14'!G757*$AF$1</f>
        <v>0</v>
      </c>
      <c r="AG757" s="133">
        <f>'Optional Adjustment 15'!G757*$AG$1</f>
        <v>0</v>
      </c>
      <c r="AH757" s="133">
        <f>'Optional Adjustment 16'!G757*$AH$1</f>
        <v>0</v>
      </c>
      <c r="AI757" s="133">
        <f>'Optional Adjustment 17'!G757*$AI$1</f>
        <v>0</v>
      </c>
      <c r="AJ757" s="133">
        <f>'Optional Adjustment 18'!G757*$AJ$1</f>
        <v>0</v>
      </c>
      <c r="AK757" s="133">
        <f>'Optional Adjustment 19'!G757*$AK$1</f>
        <v>0</v>
      </c>
      <c r="AL757" s="133">
        <f>'Optional Adjustment 20'!G757*$AL$1</f>
        <v>0</v>
      </c>
      <c r="AM757" s="133">
        <f>'Optional Adjustment 21'!G757*$AM$1</f>
        <v>0</v>
      </c>
      <c r="AN757" s="133">
        <f>'Optional Adjustment 22'!G757*$AN$1</f>
        <v>0</v>
      </c>
      <c r="AO757" s="133">
        <f>'Optional Adjustment 23'!G757*$AO$1</f>
        <v>0</v>
      </c>
      <c r="AP757" s="133">
        <f>'Optional Adjustment 24'!G757*$AP$1</f>
        <v>0</v>
      </c>
      <c r="AQ757" s="133">
        <f>'Optional Adjustment 25'!G757*$AQ$1</f>
        <v>0</v>
      </c>
      <c r="AR757" s="133">
        <f>'Optional Adjustment 26'!G757*$AR$1</f>
        <v>0</v>
      </c>
      <c r="AS757" s="133">
        <f>'Optional Adjustment 27'!G757*$AS$1</f>
        <v>0</v>
      </c>
      <c r="AT757" s="133"/>
      <c r="AU757" s="133">
        <f>SUM(F757:AT757)</f>
        <v>-7345.5088800529484</v>
      </c>
      <c r="AV757" s="116"/>
      <c r="AW757" s="133">
        <f>SUM(AU757:AU757)</f>
        <v>-7345.5088800529484</v>
      </c>
      <c r="AX757" s="133">
        <f>+AW757-'ROR-Model'!G758</f>
        <v>0</v>
      </c>
    </row>
    <row r="758" spans="1:50">
      <c r="A758" s="134"/>
      <c r="B758" s="106"/>
      <c r="C758" s="106" t="s">
        <v>24</v>
      </c>
      <c r="D758" s="106"/>
      <c r="E758" s="331"/>
      <c r="F758" s="116"/>
      <c r="G758" s="116">
        <f>$G$1*EXPENSES!L250</f>
        <v>1041.9523379400016</v>
      </c>
      <c r="H758" s="116"/>
      <c r="I758" s="116"/>
      <c r="J758" s="116"/>
      <c r="K758" s="116"/>
      <c r="L758" s="116"/>
      <c r="M758" s="116"/>
      <c r="N758" s="116"/>
      <c r="O758" s="116"/>
      <c r="P758" s="116"/>
      <c r="Q758" s="133"/>
      <c r="R758" s="133"/>
      <c r="S758" s="133"/>
      <c r="T758" s="133">
        <f>'Optional Adjustment 2'!G758*$T$1</f>
        <v>0</v>
      </c>
      <c r="U758" s="133">
        <f>'Optional Adjustment 3'!G758*$U$1</f>
        <v>0</v>
      </c>
      <c r="V758" s="133">
        <f>'Optional Adjustment 4'!G758*$V$1</f>
        <v>0</v>
      </c>
      <c r="W758" s="133">
        <f>'Optional Adjustment 5'!G758*$W$1</f>
        <v>0</v>
      </c>
      <c r="X758" s="133">
        <f>'Optional Adjustment 6'!G758*$X$1</f>
        <v>0</v>
      </c>
      <c r="Y758" s="133">
        <f>'Optional Adjustment 7'!G758*$Y$1</f>
        <v>0</v>
      </c>
      <c r="Z758" s="133">
        <f>'Optional Adjustment 8'!G758*$Z$1</f>
        <v>0</v>
      </c>
      <c r="AA758" s="133">
        <f>'Optional Adjustment 9'!G758*$AA$1</f>
        <v>0</v>
      </c>
      <c r="AB758" s="133">
        <f>'Optional Adjustment 10'!G758*$AB$1</f>
        <v>0</v>
      </c>
      <c r="AC758" s="133">
        <f>'Optional Adjustment 11'!G758*$AC$1</f>
        <v>0</v>
      </c>
      <c r="AD758" s="133">
        <f>'Optional Adjustment 12'!G758*$AD$1</f>
        <v>0</v>
      </c>
      <c r="AE758" s="133">
        <f>'Optional Adjustment 13'!G758*$AE$1</f>
        <v>0</v>
      </c>
      <c r="AF758" s="133">
        <f>'Optional Adjustment 14'!G758*$AF$1</f>
        <v>0</v>
      </c>
      <c r="AG758" s="133">
        <f>'Optional Adjustment 15'!G758*$AG$1</f>
        <v>0</v>
      </c>
      <c r="AH758" s="133">
        <f>'Optional Adjustment 16'!G758*$AH$1</f>
        <v>0</v>
      </c>
      <c r="AI758" s="133">
        <f>'Optional Adjustment 17'!G758*$AI$1</f>
        <v>0</v>
      </c>
      <c r="AJ758" s="133">
        <f>'Optional Adjustment 18'!G758*$AJ$1</f>
        <v>0</v>
      </c>
      <c r="AK758" s="133">
        <f>'Optional Adjustment 19'!G758*$AK$1</f>
        <v>0</v>
      </c>
      <c r="AL758" s="133">
        <f>'Optional Adjustment 20'!G758*$AL$1</f>
        <v>0</v>
      </c>
      <c r="AM758" s="133">
        <f>'Optional Adjustment 21'!G758*$AM$1</f>
        <v>0</v>
      </c>
      <c r="AN758" s="133">
        <f>'Optional Adjustment 22'!G758*$AN$1</f>
        <v>0</v>
      </c>
      <c r="AO758" s="133">
        <f>'Optional Adjustment 23'!G758*$AO$1</f>
        <v>0</v>
      </c>
      <c r="AP758" s="133">
        <f>'Optional Adjustment 24'!G758*$AP$1</f>
        <v>0</v>
      </c>
      <c r="AQ758" s="133">
        <f>'Optional Adjustment 25'!G758*$AQ$1</f>
        <v>0</v>
      </c>
      <c r="AR758" s="133">
        <f>'Optional Adjustment 26'!G758*$AR$1</f>
        <v>0</v>
      </c>
      <c r="AS758" s="133">
        <f>'Optional Adjustment 27'!G758*$AS$1</f>
        <v>0</v>
      </c>
      <c r="AT758" s="133"/>
      <c r="AU758" s="133">
        <f>SUM(F758:AT758)</f>
        <v>1041.9523379400016</v>
      </c>
      <c r="AV758" s="116"/>
      <c r="AW758" s="133">
        <f>SUM(AU758:AU758)</f>
        <v>1041.9523379400016</v>
      </c>
      <c r="AX758" s="133">
        <f>+AW758-'ROR-Model'!G759</f>
        <v>0</v>
      </c>
    </row>
    <row r="759" spans="1:50">
      <c r="A759" s="134"/>
      <c r="B759" s="106"/>
      <c r="C759" s="106" t="s">
        <v>170</v>
      </c>
      <c r="D759" s="106"/>
      <c r="E759" s="331"/>
      <c r="F759" s="131">
        <f>SUM(F757:F758)</f>
        <v>0</v>
      </c>
      <c r="G759" s="131">
        <f>SUM(G757:G758)</f>
        <v>-6303.5565421129468</v>
      </c>
      <c r="H759" s="131">
        <f>H1*SUM(H757:H758)</f>
        <v>0</v>
      </c>
      <c r="I759" s="131">
        <f>SUM(I757:I758)</f>
        <v>0</v>
      </c>
      <c r="J759" s="131">
        <f t="shared" ref="J759:P759" si="942">SUM(J757:J758)</f>
        <v>0</v>
      </c>
      <c r="K759" s="131">
        <f t="shared" si="942"/>
        <v>0</v>
      </c>
      <c r="L759" s="131">
        <f t="shared" si="942"/>
        <v>0</v>
      </c>
      <c r="M759" s="131">
        <f t="shared" si="942"/>
        <v>0</v>
      </c>
      <c r="N759" s="131">
        <f t="shared" si="942"/>
        <v>0</v>
      </c>
      <c r="O759" s="131">
        <f t="shared" si="942"/>
        <v>0</v>
      </c>
      <c r="P759" s="131">
        <f t="shared" si="942"/>
        <v>0</v>
      </c>
      <c r="Q759" s="241">
        <f>SUM(Q757:Q758)</f>
        <v>0</v>
      </c>
      <c r="R759" s="241">
        <f>SUM(R757:R758)</f>
        <v>0</v>
      </c>
      <c r="S759" s="556"/>
      <c r="T759" s="556">
        <f t="shared" ref="T759:AG759" si="943">SUM(T757:T758)</f>
        <v>0</v>
      </c>
      <c r="U759" s="556">
        <f t="shared" si="943"/>
        <v>0</v>
      </c>
      <c r="V759" s="556">
        <f t="shared" si="943"/>
        <v>0</v>
      </c>
      <c r="W759" s="556">
        <f t="shared" si="943"/>
        <v>0</v>
      </c>
      <c r="X759" s="556">
        <f t="shared" si="943"/>
        <v>0</v>
      </c>
      <c r="Y759" s="556">
        <f t="shared" si="943"/>
        <v>0</v>
      </c>
      <c r="Z759" s="556">
        <f t="shared" si="943"/>
        <v>0</v>
      </c>
      <c r="AA759" s="556">
        <f t="shared" si="943"/>
        <v>0</v>
      </c>
      <c r="AB759" s="556">
        <f t="shared" si="943"/>
        <v>0</v>
      </c>
      <c r="AC759" s="556">
        <f t="shared" si="943"/>
        <v>0</v>
      </c>
      <c r="AD759" s="556">
        <f t="shared" si="943"/>
        <v>0</v>
      </c>
      <c r="AE759" s="556">
        <f t="shared" si="943"/>
        <v>0</v>
      </c>
      <c r="AF759" s="556">
        <f t="shared" si="943"/>
        <v>0</v>
      </c>
      <c r="AG759" s="556">
        <f t="shared" si="943"/>
        <v>0</v>
      </c>
      <c r="AH759" s="556">
        <f t="shared" ref="AH759:AK759" si="944">SUM(AH757:AH758)</f>
        <v>0</v>
      </c>
      <c r="AI759" s="556">
        <f t="shared" si="944"/>
        <v>0</v>
      </c>
      <c r="AJ759" s="556">
        <f t="shared" si="944"/>
        <v>0</v>
      </c>
      <c r="AK759" s="556">
        <f t="shared" si="944"/>
        <v>0</v>
      </c>
      <c r="AL759" s="556">
        <f t="shared" ref="AL759:AP759" si="945">SUM(AL757:AL758)</f>
        <v>0</v>
      </c>
      <c r="AM759" s="556">
        <f t="shared" si="945"/>
        <v>0</v>
      </c>
      <c r="AN759" s="556">
        <f t="shared" si="945"/>
        <v>0</v>
      </c>
      <c r="AO759" s="556">
        <f t="shared" si="945"/>
        <v>0</v>
      </c>
      <c r="AP759" s="556">
        <f t="shared" si="945"/>
        <v>0</v>
      </c>
      <c r="AQ759" s="556">
        <f t="shared" ref="AQ759:AS759" si="946">SUM(AQ757:AQ758)</f>
        <v>0</v>
      </c>
      <c r="AR759" s="556">
        <f t="shared" si="946"/>
        <v>0</v>
      </c>
      <c r="AS759" s="556">
        <f t="shared" si="946"/>
        <v>0</v>
      </c>
      <c r="AT759" s="556"/>
      <c r="AU759" s="241">
        <f>SUM(AU757:AU758)</f>
        <v>-6303.5565421129468</v>
      </c>
      <c r="AV759" s="131"/>
      <c r="AW759" s="241">
        <f>SUM(AW757:AW758)</f>
        <v>-6303.5565421129468</v>
      </c>
      <c r="AX759" s="241">
        <f>+AW759-'ROR-Model'!G760</f>
        <v>0</v>
      </c>
    </row>
    <row r="760" spans="1:50">
      <c r="A760" s="134"/>
      <c r="B760" s="106"/>
      <c r="C760" s="106"/>
      <c r="D760" s="106"/>
      <c r="E760" s="331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16"/>
      <c r="AW760" s="133"/>
      <c r="AX760" s="133">
        <f>+AW760-'ROR-Model'!G761</f>
        <v>0</v>
      </c>
    </row>
    <row r="761" spans="1:50">
      <c r="A761" s="134">
        <v>902</v>
      </c>
      <c r="B761" s="106" t="s">
        <v>403</v>
      </c>
      <c r="C761" s="106"/>
      <c r="D761" s="106"/>
      <c r="E761" s="331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16"/>
      <c r="AW761" s="133"/>
      <c r="AX761" s="133">
        <f>+AW761-'ROR-Model'!G762</f>
        <v>0</v>
      </c>
    </row>
    <row r="762" spans="1:50">
      <c r="A762" s="134"/>
      <c r="B762" s="106"/>
      <c r="C762" s="106" t="s">
        <v>14</v>
      </c>
      <c r="D762" s="106"/>
      <c r="E762" s="331"/>
      <c r="F762" s="116"/>
      <c r="G762" s="116">
        <f>$G$1*EXPENSES!L254</f>
        <v>-75678.182791742729</v>
      </c>
      <c r="H762" s="116"/>
      <c r="I762" s="116"/>
      <c r="J762" s="116"/>
      <c r="K762" s="116"/>
      <c r="L762" s="116"/>
      <c r="M762" s="116"/>
      <c r="N762" s="116"/>
      <c r="O762" s="116"/>
      <c r="P762" s="116"/>
      <c r="Q762" s="133"/>
      <c r="R762" s="133"/>
      <c r="S762" s="133"/>
      <c r="T762" s="133">
        <f>'Optional Adjustment 2'!G762*$T$1</f>
        <v>0</v>
      </c>
      <c r="U762" s="133">
        <f>'Optional Adjustment 3'!G762*$U$1</f>
        <v>0</v>
      </c>
      <c r="V762" s="133">
        <f>'Optional Adjustment 4'!G762*$V$1</f>
        <v>0</v>
      </c>
      <c r="W762" s="133">
        <f>'Optional Adjustment 5'!G762*$W$1</f>
        <v>0</v>
      </c>
      <c r="X762" s="133">
        <f>'Optional Adjustment 6'!G762*$X$1</f>
        <v>0</v>
      </c>
      <c r="Y762" s="133">
        <f>'Optional Adjustment 7'!G762*$Y$1</f>
        <v>0</v>
      </c>
      <c r="Z762" s="133">
        <f>'Optional Adjustment 8'!G762*$Z$1</f>
        <v>0</v>
      </c>
      <c r="AA762" s="133">
        <f>'Optional Adjustment 9'!G762*$AA$1</f>
        <v>0</v>
      </c>
      <c r="AB762" s="133">
        <f>'Optional Adjustment 10'!G762*$AB$1</f>
        <v>0</v>
      </c>
      <c r="AC762" s="133">
        <f>'Optional Adjustment 11'!G762*$AC$1</f>
        <v>0</v>
      </c>
      <c r="AD762" s="133">
        <f>'Optional Adjustment 12'!G762*$AD$1</f>
        <v>0</v>
      </c>
      <c r="AE762" s="133">
        <f>'Optional Adjustment 13'!G762*$AE$1</f>
        <v>0</v>
      </c>
      <c r="AF762" s="133">
        <f>'Optional Adjustment 14'!G762*$AF$1</f>
        <v>0</v>
      </c>
      <c r="AG762" s="133">
        <f>'Optional Adjustment 15'!G762*$AG$1</f>
        <v>0</v>
      </c>
      <c r="AH762" s="133">
        <f>'Optional Adjustment 16'!G762*$AH$1</f>
        <v>0</v>
      </c>
      <c r="AI762" s="133">
        <f>'Optional Adjustment 17'!G762*$AI$1</f>
        <v>0</v>
      </c>
      <c r="AJ762" s="133">
        <f>'Optional Adjustment 18'!G762*$AJ$1</f>
        <v>0</v>
      </c>
      <c r="AK762" s="133">
        <f>'Optional Adjustment 19'!G762*$AK$1</f>
        <v>0</v>
      </c>
      <c r="AL762" s="133">
        <f>'Optional Adjustment 20'!G762*$AL$1</f>
        <v>0</v>
      </c>
      <c r="AM762" s="133">
        <f>'Optional Adjustment 21'!G762*$AM$1</f>
        <v>0</v>
      </c>
      <c r="AN762" s="133">
        <f>'Optional Adjustment 22'!G762*$AN$1</f>
        <v>0</v>
      </c>
      <c r="AO762" s="133">
        <f>'Optional Adjustment 23'!G762*$AO$1</f>
        <v>0</v>
      </c>
      <c r="AP762" s="133">
        <f>'Optional Adjustment 24'!G762*$AP$1</f>
        <v>0</v>
      </c>
      <c r="AQ762" s="133">
        <f>'Optional Adjustment 25'!G762*$AQ$1</f>
        <v>0</v>
      </c>
      <c r="AR762" s="133">
        <f>'Optional Adjustment 26'!G762*$AR$1</f>
        <v>0</v>
      </c>
      <c r="AS762" s="133">
        <f>'Optional Adjustment 27'!G762*$AS$1</f>
        <v>0</v>
      </c>
      <c r="AT762" s="133"/>
      <c r="AU762" s="133">
        <f>SUM(F762:AT762)</f>
        <v>-75678.182791742729</v>
      </c>
      <c r="AV762" s="116"/>
      <c r="AW762" s="133">
        <f>SUM(AU762:AU762)</f>
        <v>-75678.182791742729</v>
      </c>
      <c r="AX762" s="133">
        <f>+AW762-'ROR-Model'!G763</f>
        <v>0</v>
      </c>
    </row>
    <row r="763" spans="1:50">
      <c r="A763" s="134"/>
      <c r="B763" s="106"/>
      <c r="C763" s="106" t="s">
        <v>24</v>
      </c>
      <c r="D763" s="106"/>
      <c r="E763" s="331"/>
      <c r="F763" s="116"/>
      <c r="G763" s="116">
        <f>$G$1*EXPENSES!L255</f>
        <v>1541.3225143162999</v>
      </c>
      <c r="H763" s="116"/>
      <c r="I763" s="116"/>
      <c r="J763" s="116"/>
      <c r="K763" s="116"/>
      <c r="L763" s="116"/>
      <c r="M763" s="116"/>
      <c r="N763" s="116"/>
      <c r="O763" s="116"/>
      <c r="P763" s="116"/>
      <c r="Q763" s="133"/>
      <c r="R763" s="133"/>
      <c r="S763" s="133"/>
      <c r="T763" s="133">
        <f>'Optional Adjustment 2'!G763*$T$1</f>
        <v>0</v>
      </c>
      <c r="U763" s="133">
        <f>'Optional Adjustment 3'!G763*$U$1</f>
        <v>0</v>
      </c>
      <c r="V763" s="133">
        <f>'Optional Adjustment 4'!G763*$V$1</f>
        <v>0</v>
      </c>
      <c r="W763" s="133">
        <f>'Optional Adjustment 5'!G763*$W$1</f>
        <v>0</v>
      </c>
      <c r="X763" s="133">
        <f>'Optional Adjustment 6'!G763*$X$1</f>
        <v>0</v>
      </c>
      <c r="Y763" s="133">
        <f>'Optional Adjustment 7'!G763*$Y$1</f>
        <v>0</v>
      </c>
      <c r="Z763" s="133">
        <f>'Optional Adjustment 8'!G763*$Z$1</f>
        <v>0</v>
      </c>
      <c r="AA763" s="133">
        <f>'Optional Adjustment 9'!G763*$AA$1</f>
        <v>0</v>
      </c>
      <c r="AB763" s="133">
        <f>'Optional Adjustment 10'!G763*$AB$1</f>
        <v>0</v>
      </c>
      <c r="AC763" s="133">
        <f>'Optional Adjustment 11'!G763*$AC$1</f>
        <v>0</v>
      </c>
      <c r="AD763" s="133">
        <f>'Optional Adjustment 12'!G763*$AD$1</f>
        <v>0</v>
      </c>
      <c r="AE763" s="133">
        <f>'Optional Adjustment 13'!G763*$AE$1</f>
        <v>0</v>
      </c>
      <c r="AF763" s="133">
        <f>'Optional Adjustment 14'!G763*$AF$1</f>
        <v>0</v>
      </c>
      <c r="AG763" s="133">
        <f>'Optional Adjustment 15'!G763*$AG$1</f>
        <v>0</v>
      </c>
      <c r="AH763" s="133">
        <f>'Optional Adjustment 16'!G763*$AH$1</f>
        <v>0</v>
      </c>
      <c r="AI763" s="133">
        <f>'Optional Adjustment 17'!G763*$AI$1</f>
        <v>0</v>
      </c>
      <c r="AJ763" s="133">
        <f>'Optional Adjustment 18'!G763*$AJ$1</f>
        <v>0</v>
      </c>
      <c r="AK763" s="133">
        <f>'Optional Adjustment 19'!G763*$AK$1</f>
        <v>0</v>
      </c>
      <c r="AL763" s="133">
        <f>'Optional Adjustment 20'!G763*$AL$1</f>
        <v>0</v>
      </c>
      <c r="AM763" s="133">
        <f>'Optional Adjustment 21'!G763*$AM$1</f>
        <v>0</v>
      </c>
      <c r="AN763" s="133">
        <f>'Optional Adjustment 22'!G763*$AN$1</f>
        <v>0</v>
      </c>
      <c r="AO763" s="133">
        <f>'Optional Adjustment 23'!G763*$AO$1</f>
        <v>0</v>
      </c>
      <c r="AP763" s="133">
        <f>'Optional Adjustment 24'!G763*$AP$1</f>
        <v>0</v>
      </c>
      <c r="AQ763" s="133">
        <f>'Optional Adjustment 25'!G763*$AQ$1</f>
        <v>0</v>
      </c>
      <c r="AR763" s="133">
        <f>'Optional Adjustment 26'!G763*$AR$1</f>
        <v>0</v>
      </c>
      <c r="AS763" s="133">
        <f>'Optional Adjustment 27'!G763*$AS$1</f>
        <v>0</v>
      </c>
      <c r="AT763" s="133"/>
      <c r="AU763" s="133">
        <f>SUM(F763:AT763)</f>
        <v>1541.3225143162999</v>
      </c>
      <c r="AV763" s="116"/>
      <c r="AW763" s="133">
        <f>SUM(AU763:AU763)</f>
        <v>1541.3225143162999</v>
      </c>
      <c r="AX763" s="133">
        <f>+AW763-'ROR-Model'!G764</f>
        <v>0</v>
      </c>
    </row>
    <row r="764" spans="1:50">
      <c r="A764" s="134"/>
      <c r="B764" s="106"/>
      <c r="C764" s="106" t="s">
        <v>170</v>
      </c>
      <c r="D764" s="106"/>
      <c r="E764" s="331"/>
      <c r="F764" s="131">
        <f>SUM(F762:F763)</f>
        <v>0</v>
      </c>
      <c r="G764" s="131">
        <f>SUM(G762:G763)</f>
        <v>-74136.860277426429</v>
      </c>
      <c r="H764" s="131">
        <f>H1*SUM(H762:H763)</f>
        <v>0</v>
      </c>
      <c r="I764" s="131">
        <f>SUM(I762:I763)</f>
        <v>0</v>
      </c>
      <c r="J764" s="131">
        <f t="shared" ref="J764:P764" si="947">SUM(J762:J763)</f>
        <v>0</v>
      </c>
      <c r="K764" s="131">
        <f t="shared" si="947"/>
        <v>0</v>
      </c>
      <c r="L764" s="131">
        <f t="shared" si="947"/>
        <v>0</v>
      </c>
      <c r="M764" s="131">
        <f t="shared" si="947"/>
        <v>0</v>
      </c>
      <c r="N764" s="131">
        <f t="shared" si="947"/>
        <v>0</v>
      </c>
      <c r="O764" s="131">
        <f t="shared" si="947"/>
        <v>0</v>
      </c>
      <c r="P764" s="131">
        <f t="shared" si="947"/>
        <v>0</v>
      </c>
      <c r="Q764" s="241">
        <f>SUM(Q762:Q763)</f>
        <v>0</v>
      </c>
      <c r="R764" s="241">
        <f>SUM(R762:R763)</f>
        <v>0</v>
      </c>
      <c r="S764" s="556"/>
      <c r="T764" s="556">
        <f t="shared" ref="T764:AG764" si="948">SUM(T762:T763)</f>
        <v>0</v>
      </c>
      <c r="U764" s="556">
        <f t="shared" si="948"/>
        <v>0</v>
      </c>
      <c r="V764" s="556">
        <f t="shared" si="948"/>
        <v>0</v>
      </c>
      <c r="W764" s="556">
        <f t="shared" si="948"/>
        <v>0</v>
      </c>
      <c r="X764" s="556">
        <f t="shared" si="948"/>
        <v>0</v>
      </c>
      <c r="Y764" s="556">
        <f t="shared" si="948"/>
        <v>0</v>
      </c>
      <c r="Z764" s="556">
        <f t="shared" si="948"/>
        <v>0</v>
      </c>
      <c r="AA764" s="556">
        <f t="shared" si="948"/>
        <v>0</v>
      </c>
      <c r="AB764" s="556">
        <f t="shared" si="948"/>
        <v>0</v>
      </c>
      <c r="AC764" s="556">
        <f t="shared" si="948"/>
        <v>0</v>
      </c>
      <c r="AD764" s="556">
        <f t="shared" si="948"/>
        <v>0</v>
      </c>
      <c r="AE764" s="556">
        <f t="shared" si="948"/>
        <v>0</v>
      </c>
      <c r="AF764" s="556">
        <f t="shared" si="948"/>
        <v>0</v>
      </c>
      <c r="AG764" s="556">
        <f t="shared" si="948"/>
        <v>0</v>
      </c>
      <c r="AH764" s="556">
        <f t="shared" ref="AH764:AK764" si="949">SUM(AH762:AH763)</f>
        <v>0</v>
      </c>
      <c r="AI764" s="556">
        <f t="shared" si="949"/>
        <v>0</v>
      </c>
      <c r="AJ764" s="556">
        <f t="shared" si="949"/>
        <v>0</v>
      </c>
      <c r="AK764" s="556">
        <f t="shared" si="949"/>
        <v>0</v>
      </c>
      <c r="AL764" s="556">
        <f t="shared" ref="AL764:AP764" si="950">SUM(AL762:AL763)</f>
        <v>0</v>
      </c>
      <c r="AM764" s="556">
        <f t="shared" si="950"/>
        <v>0</v>
      </c>
      <c r="AN764" s="556">
        <f t="shared" si="950"/>
        <v>0</v>
      </c>
      <c r="AO764" s="556">
        <f t="shared" si="950"/>
        <v>0</v>
      </c>
      <c r="AP764" s="556">
        <f t="shared" si="950"/>
        <v>0</v>
      </c>
      <c r="AQ764" s="556">
        <f t="shared" ref="AQ764:AS764" si="951">SUM(AQ762:AQ763)</f>
        <v>0</v>
      </c>
      <c r="AR764" s="556">
        <f t="shared" si="951"/>
        <v>0</v>
      </c>
      <c r="AS764" s="556">
        <f t="shared" si="951"/>
        <v>0</v>
      </c>
      <c r="AT764" s="556"/>
      <c r="AU764" s="241">
        <f>SUM(AU762:AU763)</f>
        <v>-74136.860277426429</v>
      </c>
      <c r="AV764" s="131"/>
      <c r="AW764" s="241">
        <f>SUM(AW762:AW763)</f>
        <v>-74136.860277426429</v>
      </c>
      <c r="AX764" s="241">
        <f>+AW764-'ROR-Model'!G765</f>
        <v>0</v>
      </c>
    </row>
    <row r="765" spans="1:50">
      <c r="A765" s="134"/>
      <c r="B765" s="106"/>
      <c r="C765" s="106"/>
      <c r="D765" s="106"/>
      <c r="E765" s="331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16"/>
      <c r="AW765" s="133"/>
      <c r="AX765" s="133">
        <f>+AW765-'ROR-Model'!G766</f>
        <v>0</v>
      </c>
    </row>
    <row r="766" spans="1:50">
      <c r="A766" s="134">
        <v>9031</v>
      </c>
      <c r="B766" s="106" t="s">
        <v>404</v>
      </c>
      <c r="C766" s="106"/>
      <c r="D766" s="106"/>
      <c r="E766" s="331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16"/>
      <c r="AW766" s="133"/>
      <c r="AX766" s="133">
        <f>+AW766-'ROR-Model'!G767</f>
        <v>0</v>
      </c>
    </row>
    <row r="767" spans="1:50">
      <c r="A767" s="134"/>
      <c r="B767" s="106"/>
      <c r="C767" s="106" t="s">
        <v>14</v>
      </c>
      <c r="D767" s="106"/>
      <c r="E767" s="331"/>
      <c r="F767" s="116"/>
      <c r="G767" s="116">
        <f>$G$1*EXPENSES!L259</f>
        <v>-224418.32013933547</v>
      </c>
      <c r="H767" s="116"/>
      <c r="I767" s="116"/>
      <c r="J767" s="116"/>
      <c r="K767" s="116"/>
      <c r="L767" s="116"/>
      <c r="M767" s="116"/>
      <c r="N767" s="116"/>
      <c r="O767" s="116"/>
      <c r="P767" s="116"/>
      <c r="Q767" s="133"/>
      <c r="R767" s="133"/>
      <c r="S767" s="133"/>
      <c r="T767" s="133">
        <f>'Optional Adjustment 2'!G767*$T$1</f>
        <v>0</v>
      </c>
      <c r="U767" s="133">
        <f>'Optional Adjustment 3'!G767*$U$1</f>
        <v>0</v>
      </c>
      <c r="V767" s="133">
        <f>'Optional Adjustment 4'!G767*$V$1</f>
        <v>0</v>
      </c>
      <c r="W767" s="133">
        <f>'Optional Adjustment 5'!G767*$W$1</f>
        <v>0</v>
      </c>
      <c r="X767" s="133">
        <f>'Optional Adjustment 6'!G767*$X$1</f>
        <v>0</v>
      </c>
      <c r="Y767" s="133">
        <f>'Optional Adjustment 7'!G767*$Y$1</f>
        <v>0</v>
      </c>
      <c r="Z767" s="133">
        <f>'Optional Adjustment 8'!G767*$Z$1</f>
        <v>0</v>
      </c>
      <c r="AA767" s="133">
        <f>'Optional Adjustment 9'!G767*$AA$1</f>
        <v>0</v>
      </c>
      <c r="AB767" s="133">
        <f>'Optional Adjustment 10'!G767*$AB$1</f>
        <v>0</v>
      </c>
      <c r="AC767" s="133">
        <f>'Optional Adjustment 11'!G767*$AC$1</f>
        <v>0</v>
      </c>
      <c r="AD767" s="133">
        <f>'Optional Adjustment 12'!G767*$AD$1</f>
        <v>0</v>
      </c>
      <c r="AE767" s="133">
        <f>'Optional Adjustment 13'!G767*$AE$1</f>
        <v>0</v>
      </c>
      <c r="AF767" s="133">
        <f>'Optional Adjustment 14'!G767*$AF$1</f>
        <v>0</v>
      </c>
      <c r="AG767" s="133">
        <f>'Optional Adjustment 15'!G767*$AG$1</f>
        <v>0</v>
      </c>
      <c r="AH767" s="133">
        <f>'Optional Adjustment 16'!G767*$AH$1</f>
        <v>0</v>
      </c>
      <c r="AI767" s="133">
        <f>'Optional Adjustment 17'!G767*$AI$1</f>
        <v>0</v>
      </c>
      <c r="AJ767" s="133">
        <f>'Optional Adjustment 18'!G767*$AJ$1</f>
        <v>0</v>
      </c>
      <c r="AK767" s="133">
        <f>'Optional Adjustment 19'!G767*$AK$1</f>
        <v>0</v>
      </c>
      <c r="AL767" s="133">
        <f>'Optional Adjustment 20'!G767*$AL$1</f>
        <v>0</v>
      </c>
      <c r="AM767" s="133">
        <f>'Optional Adjustment 21'!G767*$AM$1</f>
        <v>0</v>
      </c>
      <c r="AN767" s="133">
        <f>'Optional Adjustment 22'!G767*$AN$1</f>
        <v>0</v>
      </c>
      <c r="AO767" s="133">
        <f>'Optional Adjustment 23'!G767*$AO$1</f>
        <v>0</v>
      </c>
      <c r="AP767" s="133">
        <f>'Optional Adjustment 24'!G767*$AP$1</f>
        <v>0</v>
      </c>
      <c r="AQ767" s="133">
        <f>'Optional Adjustment 25'!G767*$AQ$1</f>
        <v>0</v>
      </c>
      <c r="AR767" s="133">
        <f>'Optional Adjustment 26'!G767*$AR$1</f>
        <v>0</v>
      </c>
      <c r="AS767" s="133">
        <f>'Optional Adjustment 27'!G767*$AS$1</f>
        <v>0</v>
      </c>
      <c r="AT767" s="133"/>
      <c r="AU767" s="133">
        <f>SUM(F767:AT767)</f>
        <v>-224418.32013933547</v>
      </c>
      <c r="AV767" s="116"/>
      <c r="AW767" s="133">
        <f>SUM(AU767:AU767)</f>
        <v>-224418.32013933547</v>
      </c>
      <c r="AX767" s="133">
        <f>+AW767-'ROR-Model'!G768</f>
        <v>0</v>
      </c>
    </row>
    <row r="768" spans="1:50">
      <c r="A768" s="134"/>
      <c r="B768" s="106"/>
      <c r="C768" s="106" t="s">
        <v>24</v>
      </c>
      <c r="D768" s="106"/>
      <c r="E768" s="331"/>
      <c r="F768" s="116"/>
      <c r="G768" s="116">
        <f>$G$1*EXPENSES!L260</f>
        <v>10194.979129489395</v>
      </c>
      <c r="H768" s="116"/>
      <c r="I768" s="116"/>
      <c r="J768" s="116"/>
      <c r="K768" s="116"/>
      <c r="L768" s="116"/>
      <c r="M768" s="116"/>
      <c r="N768" s="116"/>
      <c r="O768" s="116"/>
      <c r="P768" s="116"/>
      <c r="Q768" s="133"/>
      <c r="R768" s="133"/>
      <c r="S768" s="133"/>
      <c r="T768" s="133">
        <f>'Optional Adjustment 2'!G768*$T$1</f>
        <v>0</v>
      </c>
      <c r="U768" s="133">
        <f>'Optional Adjustment 3'!G768*$U$1</f>
        <v>0</v>
      </c>
      <c r="V768" s="133">
        <f>'Optional Adjustment 4'!G768*$V$1</f>
        <v>0</v>
      </c>
      <c r="W768" s="133">
        <f>'Optional Adjustment 5'!G768*$W$1</f>
        <v>0</v>
      </c>
      <c r="X768" s="133">
        <f>'Optional Adjustment 6'!G768*$X$1</f>
        <v>0</v>
      </c>
      <c r="Y768" s="133">
        <f>'Optional Adjustment 7'!G768*$Y$1</f>
        <v>0</v>
      </c>
      <c r="Z768" s="133">
        <f>'Optional Adjustment 8'!G768*$Z$1</f>
        <v>0</v>
      </c>
      <c r="AA768" s="133">
        <f>'Optional Adjustment 9'!G768*$AA$1</f>
        <v>0</v>
      </c>
      <c r="AB768" s="133">
        <f>'Optional Adjustment 10'!G768*$AB$1</f>
        <v>0</v>
      </c>
      <c r="AC768" s="133">
        <f>'Optional Adjustment 11'!G768*$AC$1</f>
        <v>0</v>
      </c>
      <c r="AD768" s="133">
        <f>'Optional Adjustment 12'!G768*$AD$1</f>
        <v>0</v>
      </c>
      <c r="AE768" s="133">
        <f>'Optional Adjustment 13'!G768*$AE$1</f>
        <v>0</v>
      </c>
      <c r="AF768" s="133">
        <f>'Optional Adjustment 14'!G768*$AF$1</f>
        <v>0</v>
      </c>
      <c r="AG768" s="133">
        <f>'Optional Adjustment 15'!G768*$AG$1</f>
        <v>0</v>
      </c>
      <c r="AH768" s="133">
        <f>'Optional Adjustment 16'!G768*$AH$1</f>
        <v>0</v>
      </c>
      <c r="AI768" s="133">
        <f>'Optional Adjustment 17'!G768*$AI$1</f>
        <v>0</v>
      </c>
      <c r="AJ768" s="133">
        <f>'Optional Adjustment 18'!G768*$AJ$1</f>
        <v>0</v>
      </c>
      <c r="AK768" s="133">
        <f>'Optional Adjustment 19'!G768*$AK$1</f>
        <v>0</v>
      </c>
      <c r="AL768" s="133">
        <f>'Optional Adjustment 20'!G768*$AL$1</f>
        <v>0</v>
      </c>
      <c r="AM768" s="133">
        <f>'Optional Adjustment 21'!G768*$AM$1</f>
        <v>0</v>
      </c>
      <c r="AN768" s="133">
        <f>'Optional Adjustment 22'!G768*$AN$1</f>
        <v>0</v>
      </c>
      <c r="AO768" s="133">
        <f>'Optional Adjustment 23'!G768*$AO$1</f>
        <v>0</v>
      </c>
      <c r="AP768" s="133">
        <f>'Optional Adjustment 24'!G768*$AP$1</f>
        <v>0</v>
      </c>
      <c r="AQ768" s="133">
        <f>'Optional Adjustment 25'!G768*$AQ$1</f>
        <v>0</v>
      </c>
      <c r="AR768" s="133">
        <f>'Optional Adjustment 26'!G768*$AR$1</f>
        <v>0</v>
      </c>
      <c r="AS768" s="133">
        <f>'Optional Adjustment 27'!G768*$AS$1</f>
        <v>0</v>
      </c>
      <c r="AT768" s="133"/>
      <c r="AU768" s="133">
        <f>SUM(F768:AT768)</f>
        <v>10194.979129489395</v>
      </c>
      <c r="AV768" s="116"/>
      <c r="AW768" s="133">
        <f>SUM(AU768:AU768)</f>
        <v>10194.979129489395</v>
      </c>
      <c r="AX768" s="133">
        <f>+AW768-'ROR-Model'!G769</f>
        <v>0</v>
      </c>
    </row>
    <row r="769" spans="1:50">
      <c r="A769" s="134"/>
      <c r="B769" s="106"/>
      <c r="C769" s="106" t="s">
        <v>170</v>
      </c>
      <c r="D769" s="106"/>
      <c r="E769" s="331"/>
      <c r="F769" s="131">
        <f>SUM(F767:F768)</f>
        <v>0</v>
      </c>
      <c r="G769" s="131">
        <f>SUM(G767:G768)</f>
        <v>-214223.34100984607</v>
      </c>
      <c r="H769" s="131">
        <f>H1*SUM(H767:H768)</f>
        <v>0</v>
      </c>
      <c r="I769" s="131">
        <f>SUM(I767:I768)</f>
        <v>0</v>
      </c>
      <c r="J769" s="131">
        <f t="shared" ref="J769:P769" si="952">SUM(J767:J768)</f>
        <v>0</v>
      </c>
      <c r="K769" s="131">
        <f t="shared" si="952"/>
        <v>0</v>
      </c>
      <c r="L769" s="131">
        <f t="shared" si="952"/>
        <v>0</v>
      </c>
      <c r="M769" s="131">
        <f t="shared" si="952"/>
        <v>0</v>
      </c>
      <c r="N769" s="131">
        <f t="shared" si="952"/>
        <v>0</v>
      </c>
      <c r="O769" s="131">
        <f t="shared" si="952"/>
        <v>0</v>
      </c>
      <c r="P769" s="131">
        <f t="shared" si="952"/>
        <v>0</v>
      </c>
      <c r="Q769" s="241">
        <f>SUM(Q767:Q768)</f>
        <v>0</v>
      </c>
      <c r="R769" s="241">
        <f>SUM(R767:R768)</f>
        <v>0</v>
      </c>
      <c r="S769" s="556"/>
      <c r="T769" s="556">
        <f t="shared" ref="T769:AG769" si="953">SUM(T767:T768)</f>
        <v>0</v>
      </c>
      <c r="U769" s="556">
        <f t="shared" si="953"/>
        <v>0</v>
      </c>
      <c r="V769" s="556">
        <f t="shared" si="953"/>
        <v>0</v>
      </c>
      <c r="W769" s="556">
        <f t="shared" si="953"/>
        <v>0</v>
      </c>
      <c r="X769" s="556">
        <f t="shared" si="953"/>
        <v>0</v>
      </c>
      <c r="Y769" s="556">
        <f t="shared" si="953"/>
        <v>0</v>
      </c>
      <c r="Z769" s="556">
        <f t="shared" si="953"/>
        <v>0</v>
      </c>
      <c r="AA769" s="556">
        <f t="shared" si="953"/>
        <v>0</v>
      </c>
      <c r="AB769" s="556">
        <f t="shared" si="953"/>
        <v>0</v>
      </c>
      <c r="AC769" s="556">
        <f t="shared" si="953"/>
        <v>0</v>
      </c>
      <c r="AD769" s="556">
        <f t="shared" si="953"/>
        <v>0</v>
      </c>
      <c r="AE769" s="556">
        <f t="shared" si="953"/>
        <v>0</v>
      </c>
      <c r="AF769" s="556">
        <f t="shared" si="953"/>
        <v>0</v>
      </c>
      <c r="AG769" s="556">
        <f t="shared" si="953"/>
        <v>0</v>
      </c>
      <c r="AH769" s="556">
        <f t="shared" ref="AH769:AK769" si="954">SUM(AH767:AH768)</f>
        <v>0</v>
      </c>
      <c r="AI769" s="556">
        <f t="shared" si="954"/>
        <v>0</v>
      </c>
      <c r="AJ769" s="556">
        <f t="shared" si="954"/>
        <v>0</v>
      </c>
      <c r="AK769" s="556">
        <f t="shared" si="954"/>
        <v>0</v>
      </c>
      <c r="AL769" s="556">
        <f t="shared" ref="AL769:AP769" si="955">SUM(AL767:AL768)</f>
        <v>0</v>
      </c>
      <c r="AM769" s="556">
        <f t="shared" si="955"/>
        <v>0</v>
      </c>
      <c r="AN769" s="556">
        <f t="shared" si="955"/>
        <v>0</v>
      </c>
      <c r="AO769" s="556">
        <f t="shared" si="955"/>
        <v>0</v>
      </c>
      <c r="AP769" s="556">
        <f t="shared" si="955"/>
        <v>0</v>
      </c>
      <c r="AQ769" s="556">
        <f t="shared" ref="AQ769:AS769" si="956">SUM(AQ767:AQ768)</f>
        <v>0</v>
      </c>
      <c r="AR769" s="556">
        <f t="shared" si="956"/>
        <v>0</v>
      </c>
      <c r="AS769" s="556">
        <f t="shared" si="956"/>
        <v>0</v>
      </c>
      <c r="AT769" s="556"/>
      <c r="AU769" s="241">
        <f>SUM(AU767:AU768)</f>
        <v>-214223.34100984607</v>
      </c>
      <c r="AV769" s="131"/>
      <c r="AW769" s="241">
        <f>SUM(AW767:AW768)</f>
        <v>-214223.34100984607</v>
      </c>
      <c r="AX769" s="241">
        <f>+AW769-'ROR-Model'!G770</f>
        <v>0</v>
      </c>
    </row>
    <row r="770" spans="1:50">
      <c r="A770" s="134"/>
      <c r="B770" s="106"/>
      <c r="C770" s="106"/>
      <c r="D770" s="106"/>
      <c r="E770" s="331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16"/>
      <c r="AW770" s="133"/>
      <c r="AX770" s="133">
        <f>+AW770-'ROR-Model'!G771</f>
        <v>0</v>
      </c>
    </row>
    <row r="771" spans="1:50">
      <c r="A771" s="134">
        <v>9032</v>
      </c>
      <c r="B771" s="106" t="s">
        <v>405</v>
      </c>
      <c r="C771" s="106"/>
      <c r="D771" s="106"/>
      <c r="E771" s="331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16"/>
      <c r="AW771" s="133"/>
      <c r="AX771" s="133">
        <f>+AW771-'ROR-Model'!G772</f>
        <v>0</v>
      </c>
    </row>
    <row r="772" spans="1:50">
      <c r="A772" s="134"/>
      <c r="B772" s="106"/>
      <c r="C772" s="106" t="s">
        <v>14</v>
      </c>
      <c r="D772" s="106"/>
      <c r="E772" s="331"/>
      <c r="F772" s="116"/>
      <c r="G772" s="116">
        <f>$G$1*EXPENSES!L264</f>
        <v>-32139.645040186442</v>
      </c>
      <c r="H772" s="116"/>
      <c r="I772" s="116"/>
      <c r="J772" s="116"/>
      <c r="K772" s="116"/>
      <c r="L772" s="116"/>
      <c r="M772" s="116"/>
      <c r="N772" s="116"/>
      <c r="O772" s="116"/>
      <c r="P772" s="116"/>
      <c r="Q772" s="133"/>
      <c r="R772" s="133"/>
      <c r="S772" s="133"/>
      <c r="T772" s="133">
        <f>'Optional Adjustment 2'!G772*$T$1</f>
        <v>0</v>
      </c>
      <c r="U772" s="133">
        <f>'Optional Adjustment 3'!G772*$U$1</f>
        <v>0</v>
      </c>
      <c r="V772" s="133">
        <f>'Optional Adjustment 4'!G772*$V$1</f>
        <v>0</v>
      </c>
      <c r="W772" s="133">
        <f>'Optional Adjustment 5'!G772*$W$1</f>
        <v>0</v>
      </c>
      <c r="X772" s="133">
        <f>'Optional Adjustment 6'!G772*$X$1</f>
        <v>0</v>
      </c>
      <c r="Y772" s="133">
        <f>'Optional Adjustment 7'!G772*$Y$1</f>
        <v>0</v>
      </c>
      <c r="Z772" s="133">
        <f>'Optional Adjustment 8'!G772*$Z$1</f>
        <v>0</v>
      </c>
      <c r="AA772" s="133">
        <f>'Optional Adjustment 9'!G772*$AA$1</f>
        <v>0</v>
      </c>
      <c r="AB772" s="133">
        <f>'Optional Adjustment 10'!G772*$AB$1</f>
        <v>0</v>
      </c>
      <c r="AC772" s="133">
        <f>'Optional Adjustment 11'!G772*$AC$1</f>
        <v>0</v>
      </c>
      <c r="AD772" s="133">
        <f>'Optional Adjustment 12'!G772*$AD$1</f>
        <v>0</v>
      </c>
      <c r="AE772" s="133">
        <f>'Optional Adjustment 13'!G772*$AE$1</f>
        <v>0</v>
      </c>
      <c r="AF772" s="133">
        <f>'Optional Adjustment 14'!G772*$AF$1</f>
        <v>0</v>
      </c>
      <c r="AG772" s="133">
        <f>'Optional Adjustment 15'!G772*$AG$1</f>
        <v>0</v>
      </c>
      <c r="AH772" s="133">
        <f>'Optional Adjustment 16'!G772*$AH$1</f>
        <v>0</v>
      </c>
      <c r="AI772" s="133">
        <f>'Optional Adjustment 17'!G772*$AI$1</f>
        <v>0</v>
      </c>
      <c r="AJ772" s="133">
        <f>'Optional Adjustment 18'!G772*$AJ$1</f>
        <v>0</v>
      </c>
      <c r="AK772" s="133">
        <f>'Optional Adjustment 19'!G772*$AK$1</f>
        <v>0</v>
      </c>
      <c r="AL772" s="133">
        <f>'Optional Adjustment 20'!G772*$AL$1</f>
        <v>0</v>
      </c>
      <c r="AM772" s="133">
        <f>'Optional Adjustment 21'!G772*$AM$1</f>
        <v>0</v>
      </c>
      <c r="AN772" s="133">
        <f>'Optional Adjustment 22'!G772*$AN$1</f>
        <v>0</v>
      </c>
      <c r="AO772" s="133">
        <f>'Optional Adjustment 23'!G772*$AO$1</f>
        <v>0</v>
      </c>
      <c r="AP772" s="133">
        <f>'Optional Adjustment 24'!G772*$AP$1</f>
        <v>0</v>
      </c>
      <c r="AQ772" s="133">
        <f>'Optional Adjustment 25'!G772*$AQ$1</f>
        <v>0</v>
      </c>
      <c r="AR772" s="133">
        <f>'Optional Adjustment 26'!G772*$AR$1</f>
        <v>0</v>
      </c>
      <c r="AS772" s="133">
        <f>'Optional Adjustment 27'!G772*$AS$1</f>
        <v>0</v>
      </c>
      <c r="AT772" s="133"/>
      <c r="AU772" s="133">
        <f>SUM(F772:AT772)</f>
        <v>-32139.645040186442</v>
      </c>
      <c r="AV772" s="116"/>
      <c r="AW772" s="133">
        <f>SUM(AU772:AU772)</f>
        <v>-32139.645040186442</v>
      </c>
      <c r="AX772" s="133">
        <f>+AW772-'ROR-Model'!G773</f>
        <v>0</v>
      </c>
    </row>
    <row r="773" spans="1:50">
      <c r="A773" s="134"/>
      <c r="B773" s="106"/>
      <c r="C773" s="106" t="s">
        <v>24</v>
      </c>
      <c r="D773" s="106"/>
      <c r="E773" s="331"/>
      <c r="F773" s="116"/>
      <c r="G773" s="116">
        <f>$G$1*EXPENSES!L265</f>
        <v>-313.40732912064414</v>
      </c>
      <c r="H773" s="116"/>
      <c r="I773" s="116"/>
      <c r="J773" s="116"/>
      <c r="K773" s="116"/>
      <c r="L773" s="116"/>
      <c r="M773" s="116"/>
      <c r="N773" s="116"/>
      <c r="O773" s="116"/>
      <c r="P773" s="116"/>
      <c r="Q773" s="133"/>
      <c r="R773" s="133"/>
      <c r="S773" s="133"/>
      <c r="T773" s="133">
        <f>'Optional Adjustment 2'!G773*$T$1</f>
        <v>0</v>
      </c>
      <c r="U773" s="133">
        <f>'Optional Adjustment 3'!G773*$U$1</f>
        <v>0</v>
      </c>
      <c r="V773" s="133">
        <f>'Optional Adjustment 4'!G773*$V$1</f>
        <v>0</v>
      </c>
      <c r="W773" s="133">
        <f>'Optional Adjustment 5'!G773*$W$1</f>
        <v>0</v>
      </c>
      <c r="X773" s="133">
        <f>'Optional Adjustment 6'!G773*$X$1</f>
        <v>0</v>
      </c>
      <c r="Y773" s="133">
        <f>'Optional Adjustment 7'!G773*$Y$1</f>
        <v>0</v>
      </c>
      <c r="Z773" s="133">
        <f>'Optional Adjustment 8'!G773*$Z$1</f>
        <v>0</v>
      </c>
      <c r="AA773" s="133">
        <f>'Optional Adjustment 9'!G773*$AA$1</f>
        <v>0</v>
      </c>
      <c r="AB773" s="133">
        <f>'Optional Adjustment 10'!G773*$AB$1</f>
        <v>0</v>
      </c>
      <c r="AC773" s="133">
        <f>'Optional Adjustment 11'!G773*$AC$1</f>
        <v>0</v>
      </c>
      <c r="AD773" s="133">
        <f>'Optional Adjustment 12'!G773*$AD$1</f>
        <v>0</v>
      </c>
      <c r="AE773" s="133">
        <f>'Optional Adjustment 13'!G773*$AE$1</f>
        <v>0</v>
      </c>
      <c r="AF773" s="133">
        <f>'Optional Adjustment 14'!G773*$AF$1</f>
        <v>0</v>
      </c>
      <c r="AG773" s="133">
        <f>'Optional Adjustment 15'!G773*$AG$1</f>
        <v>0</v>
      </c>
      <c r="AH773" s="133">
        <f>'Optional Adjustment 16'!G773*$AH$1</f>
        <v>0</v>
      </c>
      <c r="AI773" s="133">
        <f>'Optional Adjustment 17'!G773*$AI$1</f>
        <v>0</v>
      </c>
      <c r="AJ773" s="133">
        <f>'Optional Adjustment 18'!G773*$AJ$1</f>
        <v>0</v>
      </c>
      <c r="AK773" s="133">
        <f>'Optional Adjustment 19'!G773*$AK$1</f>
        <v>0</v>
      </c>
      <c r="AL773" s="133">
        <f>'Optional Adjustment 20'!G773*$AL$1</f>
        <v>0</v>
      </c>
      <c r="AM773" s="133">
        <f>'Optional Adjustment 21'!G773*$AM$1</f>
        <v>0</v>
      </c>
      <c r="AN773" s="133">
        <f>'Optional Adjustment 22'!G773*$AN$1</f>
        <v>0</v>
      </c>
      <c r="AO773" s="133">
        <f>'Optional Adjustment 23'!G773*$AO$1</f>
        <v>0</v>
      </c>
      <c r="AP773" s="133">
        <f>'Optional Adjustment 24'!G773*$AP$1</f>
        <v>0</v>
      </c>
      <c r="AQ773" s="133">
        <f>'Optional Adjustment 25'!G773*$AQ$1</f>
        <v>0</v>
      </c>
      <c r="AR773" s="133">
        <f>'Optional Adjustment 26'!G773*$AR$1</f>
        <v>0</v>
      </c>
      <c r="AS773" s="133">
        <f>'Optional Adjustment 27'!G773*$AS$1</f>
        <v>0</v>
      </c>
      <c r="AT773" s="133"/>
      <c r="AU773" s="133">
        <f>SUM(F773:AT773)</f>
        <v>-313.40732912064414</v>
      </c>
      <c r="AV773" s="116"/>
      <c r="AW773" s="133">
        <f>SUM(AU773:AU773)</f>
        <v>-313.40732912064414</v>
      </c>
      <c r="AX773" s="133">
        <f>+AW773-'ROR-Model'!G774</f>
        <v>0</v>
      </c>
    </row>
    <row r="774" spans="1:50">
      <c r="A774" s="134"/>
      <c r="B774" s="106"/>
      <c r="C774" s="106" t="s">
        <v>170</v>
      </c>
      <c r="D774" s="106"/>
      <c r="E774" s="331"/>
      <c r="F774" s="131">
        <f>SUM(F772:F773)</f>
        <v>0</v>
      </c>
      <c r="G774" s="131">
        <f>SUM(G772:G773)</f>
        <v>-32453.052369307086</v>
      </c>
      <c r="H774" s="131">
        <f>H1*SUM(H772:H773)</f>
        <v>0</v>
      </c>
      <c r="I774" s="131">
        <f>SUM(I772:I773)</f>
        <v>0</v>
      </c>
      <c r="J774" s="131">
        <f t="shared" ref="J774:P774" si="957">SUM(J772:J773)</f>
        <v>0</v>
      </c>
      <c r="K774" s="131">
        <f t="shared" si="957"/>
        <v>0</v>
      </c>
      <c r="L774" s="131">
        <f t="shared" si="957"/>
        <v>0</v>
      </c>
      <c r="M774" s="131">
        <f t="shared" si="957"/>
        <v>0</v>
      </c>
      <c r="N774" s="131">
        <f t="shared" si="957"/>
        <v>0</v>
      </c>
      <c r="O774" s="131">
        <f t="shared" si="957"/>
        <v>0</v>
      </c>
      <c r="P774" s="131">
        <f t="shared" si="957"/>
        <v>0</v>
      </c>
      <c r="Q774" s="241">
        <f>SUM(Q772:Q773)</f>
        <v>0</v>
      </c>
      <c r="R774" s="241">
        <f>SUM(R772:R773)</f>
        <v>0</v>
      </c>
      <c r="S774" s="556"/>
      <c r="T774" s="556">
        <f t="shared" ref="T774:AG774" si="958">SUM(T772:T773)</f>
        <v>0</v>
      </c>
      <c r="U774" s="556">
        <f t="shared" si="958"/>
        <v>0</v>
      </c>
      <c r="V774" s="556">
        <f t="shared" si="958"/>
        <v>0</v>
      </c>
      <c r="W774" s="556">
        <f t="shared" si="958"/>
        <v>0</v>
      </c>
      <c r="X774" s="556">
        <f t="shared" si="958"/>
        <v>0</v>
      </c>
      <c r="Y774" s="556">
        <f t="shared" si="958"/>
        <v>0</v>
      </c>
      <c r="Z774" s="556">
        <f t="shared" si="958"/>
        <v>0</v>
      </c>
      <c r="AA774" s="556">
        <f t="shared" si="958"/>
        <v>0</v>
      </c>
      <c r="AB774" s="556">
        <f t="shared" si="958"/>
        <v>0</v>
      </c>
      <c r="AC774" s="556">
        <f t="shared" si="958"/>
        <v>0</v>
      </c>
      <c r="AD774" s="556">
        <f t="shared" si="958"/>
        <v>0</v>
      </c>
      <c r="AE774" s="556">
        <f t="shared" si="958"/>
        <v>0</v>
      </c>
      <c r="AF774" s="556">
        <f t="shared" si="958"/>
        <v>0</v>
      </c>
      <c r="AG774" s="556">
        <f t="shared" si="958"/>
        <v>0</v>
      </c>
      <c r="AH774" s="556">
        <f t="shared" ref="AH774:AK774" si="959">SUM(AH772:AH773)</f>
        <v>0</v>
      </c>
      <c r="AI774" s="556">
        <f t="shared" si="959"/>
        <v>0</v>
      </c>
      <c r="AJ774" s="556">
        <f t="shared" si="959"/>
        <v>0</v>
      </c>
      <c r="AK774" s="556">
        <f t="shared" si="959"/>
        <v>0</v>
      </c>
      <c r="AL774" s="556">
        <f t="shared" ref="AL774:AP774" si="960">SUM(AL772:AL773)</f>
        <v>0</v>
      </c>
      <c r="AM774" s="556">
        <f t="shared" si="960"/>
        <v>0</v>
      </c>
      <c r="AN774" s="556">
        <f t="shared" si="960"/>
        <v>0</v>
      </c>
      <c r="AO774" s="556">
        <f t="shared" si="960"/>
        <v>0</v>
      </c>
      <c r="AP774" s="556">
        <f t="shared" si="960"/>
        <v>0</v>
      </c>
      <c r="AQ774" s="556">
        <f t="shared" ref="AQ774:AS774" si="961">SUM(AQ772:AQ773)</f>
        <v>0</v>
      </c>
      <c r="AR774" s="556">
        <f t="shared" si="961"/>
        <v>0</v>
      </c>
      <c r="AS774" s="556">
        <f t="shared" si="961"/>
        <v>0</v>
      </c>
      <c r="AT774" s="556"/>
      <c r="AU774" s="241">
        <f>SUM(AU772:AU773)</f>
        <v>-32453.052369307086</v>
      </c>
      <c r="AV774" s="131"/>
      <c r="AW774" s="241">
        <f>SUM(AW772:AW773)</f>
        <v>-32453.052369307086</v>
      </c>
      <c r="AX774" s="241">
        <f>+AW774-'ROR-Model'!G775</f>
        <v>0</v>
      </c>
    </row>
    <row r="775" spans="1:50">
      <c r="A775" s="134"/>
      <c r="B775" s="106"/>
      <c r="C775" s="106"/>
      <c r="D775" s="106"/>
      <c r="E775" s="331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16"/>
      <c r="AW775" s="133"/>
      <c r="AX775" s="133">
        <f>+AW775-'ROR-Model'!G776</f>
        <v>0</v>
      </c>
    </row>
    <row r="776" spans="1:50">
      <c r="A776" s="134">
        <v>9033</v>
      </c>
      <c r="B776" s="106" t="s">
        <v>406</v>
      </c>
      <c r="C776" s="106"/>
      <c r="D776" s="106"/>
      <c r="E776" s="331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16"/>
      <c r="AW776" s="133"/>
      <c r="AX776" s="133">
        <f>+AW776-'ROR-Model'!G777</f>
        <v>0</v>
      </c>
    </row>
    <row r="777" spans="1:50">
      <c r="A777" s="134"/>
      <c r="B777" s="106"/>
      <c r="C777" s="106" t="s">
        <v>14</v>
      </c>
      <c r="D777" s="106"/>
      <c r="E777" s="331"/>
      <c r="F777" s="116"/>
      <c r="G777" s="116">
        <f>$G$1*EXPENSES!L269</f>
        <v>10500.208765200048</v>
      </c>
      <c r="H777" s="116"/>
      <c r="I777" s="116"/>
      <c r="J777" s="116"/>
      <c r="K777" s="116"/>
      <c r="L777" s="116"/>
      <c r="M777" s="116"/>
      <c r="N777" s="116"/>
      <c r="O777" s="116"/>
      <c r="P777" s="116"/>
      <c r="Q777" s="133"/>
      <c r="R777" s="133"/>
      <c r="S777" s="133"/>
      <c r="T777" s="133">
        <f>'Optional Adjustment 2'!G777*$T$1</f>
        <v>0</v>
      </c>
      <c r="U777" s="133">
        <f>'Optional Adjustment 3'!G777*$U$1</f>
        <v>0</v>
      </c>
      <c r="V777" s="133">
        <f>'Optional Adjustment 4'!G777*$V$1</f>
        <v>0</v>
      </c>
      <c r="W777" s="133">
        <f>'Optional Adjustment 5'!G777*$W$1</f>
        <v>0</v>
      </c>
      <c r="X777" s="133">
        <f>'Optional Adjustment 6'!G777*$X$1</f>
        <v>0</v>
      </c>
      <c r="Y777" s="133">
        <f>'Optional Adjustment 7'!G777*$Y$1</f>
        <v>0</v>
      </c>
      <c r="Z777" s="133">
        <f>'Optional Adjustment 8'!G777*$Z$1</f>
        <v>0</v>
      </c>
      <c r="AA777" s="133">
        <f>'Optional Adjustment 9'!G777*$AA$1</f>
        <v>0</v>
      </c>
      <c r="AB777" s="133">
        <f>'Optional Adjustment 10'!G777*$AB$1</f>
        <v>0</v>
      </c>
      <c r="AC777" s="133">
        <f>'Optional Adjustment 11'!G777*$AC$1</f>
        <v>0</v>
      </c>
      <c r="AD777" s="133">
        <f>'Optional Adjustment 12'!G777*$AD$1</f>
        <v>0</v>
      </c>
      <c r="AE777" s="133">
        <f>'Optional Adjustment 13'!G777*$AE$1</f>
        <v>0</v>
      </c>
      <c r="AF777" s="133">
        <f>'Optional Adjustment 14'!G777*$AF$1</f>
        <v>0</v>
      </c>
      <c r="AG777" s="133">
        <f>'Optional Adjustment 15'!G777*$AG$1</f>
        <v>0</v>
      </c>
      <c r="AH777" s="133">
        <f>'Optional Adjustment 16'!G777*$AH$1</f>
        <v>0</v>
      </c>
      <c r="AI777" s="133">
        <f>'Optional Adjustment 17'!G777*$AI$1</f>
        <v>0</v>
      </c>
      <c r="AJ777" s="133">
        <f>'Optional Adjustment 18'!G777*$AJ$1</f>
        <v>0</v>
      </c>
      <c r="AK777" s="133">
        <f>'Optional Adjustment 19'!G777*$AK$1</f>
        <v>0</v>
      </c>
      <c r="AL777" s="133">
        <f>'Optional Adjustment 20'!G777*$AL$1</f>
        <v>0</v>
      </c>
      <c r="AM777" s="133">
        <f>'Optional Adjustment 21'!G777*$AM$1</f>
        <v>0</v>
      </c>
      <c r="AN777" s="133">
        <f>'Optional Adjustment 22'!G777*$AN$1</f>
        <v>0</v>
      </c>
      <c r="AO777" s="133">
        <f>'Optional Adjustment 23'!G777*$AO$1</f>
        <v>0</v>
      </c>
      <c r="AP777" s="133">
        <f>'Optional Adjustment 24'!G777*$AP$1</f>
        <v>0</v>
      </c>
      <c r="AQ777" s="133">
        <f>'Optional Adjustment 25'!G777*$AQ$1</f>
        <v>0</v>
      </c>
      <c r="AR777" s="133">
        <f>'Optional Adjustment 26'!G777*$AR$1</f>
        <v>0</v>
      </c>
      <c r="AS777" s="133">
        <f>'Optional Adjustment 27'!G777*$AS$1</f>
        <v>0</v>
      </c>
      <c r="AT777" s="133"/>
      <c r="AU777" s="133">
        <f>SUM(F777:AT777)</f>
        <v>10500.208765200048</v>
      </c>
      <c r="AV777" s="116"/>
      <c r="AW777" s="133">
        <f>SUM(AU777:AU777)</f>
        <v>10500.208765200048</v>
      </c>
      <c r="AX777" s="133">
        <f>+AW777-'ROR-Model'!G778</f>
        <v>0</v>
      </c>
    </row>
    <row r="778" spans="1:50">
      <c r="A778" s="134"/>
      <c r="B778" s="106"/>
      <c r="C778" s="106" t="s">
        <v>24</v>
      </c>
      <c r="D778" s="106"/>
      <c r="E778" s="331"/>
      <c r="F778" s="116"/>
      <c r="G778" s="116">
        <f>$G$1*EXPENSES!L270</f>
        <v>196.98281959999895</v>
      </c>
      <c r="H778" s="116"/>
      <c r="I778" s="116"/>
      <c r="J778" s="116"/>
      <c r="K778" s="116"/>
      <c r="L778" s="116"/>
      <c r="M778" s="116"/>
      <c r="N778" s="116"/>
      <c r="O778" s="116"/>
      <c r="P778" s="116"/>
      <c r="Q778" s="133"/>
      <c r="R778" s="133"/>
      <c r="S778" s="133"/>
      <c r="T778" s="133">
        <f>'Optional Adjustment 2'!G778*$T$1</f>
        <v>0</v>
      </c>
      <c r="U778" s="133">
        <f>'Optional Adjustment 3'!G778*$U$1</f>
        <v>0</v>
      </c>
      <c r="V778" s="133">
        <f>'Optional Adjustment 4'!G778*$V$1</f>
        <v>0</v>
      </c>
      <c r="W778" s="133">
        <f>'Optional Adjustment 5'!G778*$W$1</f>
        <v>0</v>
      </c>
      <c r="X778" s="133">
        <f>'Optional Adjustment 6'!G778*$X$1</f>
        <v>0</v>
      </c>
      <c r="Y778" s="133">
        <f>'Optional Adjustment 7'!G778*$Y$1</f>
        <v>0</v>
      </c>
      <c r="Z778" s="133">
        <f>'Optional Adjustment 8'!G778*$Z$1</f>
        <v>0</v>
      </c>
      <c r="AA778" s="133">
        <f>'Optional Adjustment 9'!G778*$AA$1</f>
        <v>0</v>
      </c>
      <c r="AB778" s="133">
        <f>'Optional Adjustment 10'!G778*$AB$1</f>
        <v>0</v>
      </c>
      <c r="AC778" s="133">
        <f>'Optional Adjustment 11'!G778*$AC$1</f>
        <v>0</v>
      </c>
      <c r="AD778" s="133">
        <f>'Optional Adjustment 12'!G778*$AD$1</f>
        <v>0</v>
      </c>
      <c r="AE778" s="133">
        <f>'Optional Adjustment 13'!G778*$AE$1</f>
        <v>0</v>
      </c>
      <c r="AF778" s="133">
        <f>'Optional Adjustment 14'!G778*$AF$1</f>
        <v>0</v>
      </c>
      <c r="AG778" s="133">
        <f>'Optional Adjustment 15'!G778*$AG$1</f>
        <v>0</v>
      </c>
      <c r="AH778" s="133">
        <f>'Optional Adjustment 16'!G778*$AH$1</f>
        <v>0</v>
      </c>
      <c r="AI778" s="133">
        <f>'Optional Adjustment 17'!G778*$AI$1</f>
        <v>0</v>
      </c>
      <c r="AJ778" s="133">
        <f>'Optional Adjustment 18'!G778*$AJ$1</f>
        <v>0</v>
      </c>
      <c r="AK778" s="133">
        <f>'Optional Adjustment 19'!G778*$AK$1</f>
        <v>0</v>
      </c>
      <c r="AL778" s="133">
        <f>'Optional Adjustment 20'!G778*$AL$1</f>
        <v>0</v>
      </c>
      <c r="AM778" s="133">
        <f>'Optional Adjustment 21'!G778*$AM$1</f>
        <v>0</v>
      </c>
      <c r="AN778" s="133">
        <f>'Optional Adjustment 22'!G778*$AN$1</f>
        <v>0</v>
      </c>
      <c r="AO778" s="133">
        <f>'Optional Adjustment 23'!G778*$AO$1</f>
        <v>0</v>
      </c>
      <c r="AP778" s="133">
        <f>'Optional Adjustment 24'!G778*$AP$1</f>
        <v>0</v>
      </c>
      <c r="AQ778" s="133">
        <f>'Optional Adjustment 25'!G778*$AQ$1</f>
        <v>0</v>
      </c>
      <c r="AR778" s="133">
        <f>'Optional Adjustment 26'!G778*$AR$1</f>
        <v>0</v>
      </c>
      <c r="AS778" s="133">
        <f>'Optional Adjustment 27'!G778*$AS$1</f>
        <v>0</v>
      </c>
      <c r="AT778" s="133"/>
      <c r="AU778" s="133">
        <f>SUM(F778:AT778)</f>
        <v>196.98281959999895</v>
      </c>
      <c r="AV778" s="116"/>
      <c r="AW778" s="133">
        <f>SUM(AU778:AU778)</f>
        <v>196.98281959999895</v>
      </c>
      <c r="AX778" s="133">
        <f>+AW778-'ROR-Model'!G779</f>
        <v>0</v>
      </c>
    </row>
    <row r="779" spans="1:50">
      <c r="A779" s="134"/>
      <c r="B779" s="106"/>
      <c r="C779" s="106" t="s">
        <v>170</v>
      </c>
      <c r="D779" s="106"/>
      <c r="E779" s="331"/>
      <c r="F779" s="131">
        <f>SUM(F777:F778)</f>
        <v>0</v>
      </c>
      <c r="G779" s="131">
        <f>SUM(G777:G778)</f>
        <v>10697.191584800046</v>
      </c>
      <c r="H779" s="131">
        <f>H1*SUM(H777:H778)</f>
        <v>0</v>
      </c>
      <c r="I779" s="131">
        <f>SUM(I777:I778)</f>
        <v>0</v>
      </c>
      <c r="J779" s="131">
        <f t="shared" ref="J779:P779" si="962">SUM(J777:J778)</f>
        <v>0</v>
      </c>
      <c r="K779" s="131">
        <f t="shared" si="962"/>
        <v>0</v>
      </c>
      <c r="L779" s="131">
        <f t="shared" si="962"/>
        <v>0</v>
      </c>
      <c r="M779" s="131">
        <f t="shared" si="962"/>
        <v>0</v>
      </c>
      <c r="N779" s="131">
        <f t="shared" si="962"/>
        <v>0</v>
      </c>
      <c r="O779" s="131">
        <f t="shared" si="962"/>
        <v>0</v>
      </c>
      <c r="P779" s="131">
        <f t="shared" si="962"/>
        <v>0</v>
      </c>
      <c r="Q779" s="241">
        <f>SUM(Q777:Q778)</f>
        <v>0</v>
      </c>
      <c r="R779" s="241">
        <f>SUM(R777:R778)</f>
        <v>0</v>
      </c>
      <c r="S779" s="556"/>
      <c r="T779" s="556">
        <f t="shared" ref="T779:AG779" si="963">SUM(T777:T778)</f>
        <v>0</v>
      </c>
      <c r="U779" s="556">
        <f t="shared" si="963"/>
        <v>0</v>
      </c>
      <c r="V779" s="556">
        <f t="shared" si="963"/>
        <v>0</v>
      </c>
      <c r="W779" s="556">
        <f t="shared" si="963"/>
        <v>0</v>
      </c>
      <c r="X779" s="556">
        <f t="shared" si="963"/>
        <v>0</v>
      </c>
      <c r="Y779" s="556">
        <f t="shared" si="963"/>
        <v>0</v>
      </c>
      <c r="Z779" s="556">
        <f t="shared" si="963"/>
        <v>0</v>
      </c>
      <c r="AA779" s="556">
        <f t="shared" si="963"/>
        <v>0</v>
      </c>
      <c r="AB779" s="556">
        <f t="shared" si="963"/>
        <v>0</v>
      </c>
      <c r="AC779" s="556">
        <f t="shared" si="963"/>
        <v>0</v>
      </c>
      <c r="AD779" s="556">
        <f t="shared" si="963"/>
        <v>0</v>
      </c>
      <c r="AE779" s="556">
        <f t="shared" si="963"/>
        <v>0</v>
      </c>
      <c r="AF779" s="556">
        <f t="shared" si="963"/>
        <v>0</v>
      </c>
      <c r="AG779" s="556">
        <f t="shared" si="963"/>
        <v>0</v>
      </c>
      <c r="AH779" s="556">
        <f t="shared" ref="AH779:AK779" si="964">SUM(AH777:AH778)</f>
        <v>0</v>
      </c>
      <c r="AI779" s="556">
        <f t="shared" si="964"/>
        <v>0</v>
      </c>
      <c r="AJ779" s="556">
        <f t="shared" si="964"/>
        <v>0</v>
      </c>
      <c r="AK779" s="556">
        <f t="shared" si="964"/>
        <v>0</v>
      </c>
      <c r="AL779" s="556">
        <f t="shared" ref="AL779:AP779" si="965">SUM(AL777:AL778)</f>
        <v>0</v>
      </c>
      <c r="AM779" s="556">
        <f t="shared" si="965"/>
        <v>0</v>
      </c>
      <c r="AN779" s="556">
        <f t="shared" si="965"/>
        <v>0</v>
      </c>
      <c r="AO779" s="556">
        <f t="shared" si="965"/>
        <v>0</v>
      </c>
      <c r="AP779" s="556">
        <f t="shared" si="965"/>
        <v>0</v>
      </c>
      <c r="AQ779" s="556">
        <f t="shared" ref="AQ779:AS779" si="966">SUM(AQ777:AQ778)</f>
        <v>0</v>
      </c>
      <c r="AR779" s="556">
        <f t="shared" si="966"/>
        <v>0</v>
      </c>
      <c r="AS779" s="556">
        <f t="shared" si="966"/>
        <v>0</v>
      </c>
      <c r="AT779" s="556"/>
      <c r="AU779" s="241">
        <f>SUM(AU777:AU778)</f>
        <v>10697.191584800046</v>
      </c>
      <c r="AV779" s="131"/>
      <c r="AW779" s="241">
        <f>SUM(AW777:AW778)</f>
        <v>10697.191584800046</v>
      </c>
      <c r="AX779" s="241">
        <f>+AW779-'ROR-Model'!G780</f>
        <v>0</v>
      </c>
    </row>
    <row r="780" spans="1:50">
      <c r="A780" s="134"/>
      <c r="B780" s="106"/>
      <c r="C780" s="106"/>
      <c r="D780" s="106"/>
      <c r="E780" s="331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16"/>
      <c r="AW780" s="133"/>
      <c r="AX780" s="133">
        <f>+AW780-'ROR-Model'!G781</f>
        <v>0</v>
      </c>
    </row>
    <row r="781" spans="1:50">
      <c r="A781" s="134" t="s">
        <v>0</v>
      </c>
      <c r="B781" s="106" t="s">
        <v>21</v>
      </c>
      <c r="C781" s="106"/>
      <c r="D781" s="106"/>
      <c r="E781" s="331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16"/>
      <c r="AW781" s="133"/>
      <c r="AX781" s="133">
        <f>+AW781-'ROR-Model'!G782</f>
        <v>0</v>
      </c>
    </row>
    <row r="782" spans="1:50">
      <c r="A782" s="134"/>
      <c r="B782" s="106"/>
      <c r="C782" s="106" t="s">
        <v>14</v>
      </c>
      <c r="D782" s="106"/>
      <c r="E782" s="116">
        <f>E1*((E200+E229)+(E$353*'ROR-Model'!$M$4))*'Control Panel'!$F$22*E$1</f>
        <v>0</v>
      </c>
      <c r="F782" s="116">
        <f>((F200+F229)+(F$353*'ROR-Model'!$M$4))*'Control Panel'!$F$22*F$1</f>
        <v>0</v>
      </c>
      <c r="G782" s="116">
        <f>$G$1*EXPENSES!L274</f>
        <v>0</v>
      </c>
      <c r="H782" s="116"/>
      <c r="I782" s="116">
        <f>((I200+I229)+(I$353*'ROR-Model'!$M$4))*'Control Panel'!$F$22*I$1</f>
        <v>0</v>
      </c>
      <c r="J782" s="116">
        <f>((J200+J229)+(J$353*'ROR-Model'!$M$4))*'Control Panel'!$F$22*J$1</f>
        <v>0</v>
      </c>
      <c r="K782" s="116"/>
      <c r="L782" s="116">
        <f>'Utah Bad Debt'!G12*$L$1</f>
        <v>92396.929226375534</v>
      </c>
      <c r="M782" s="116">
        <f>((M200+M229)+(M$353*'ROR-Model'!$M$4))*'Control Panel'!$F$22*M$1</f>
        <v>0</v>
      </c>
      <c r="N782" s="116">
        <f>((N200+N229)+(N$353*'ROR-Model'!$M$4))*'Control Panel'!$F$22*N$1</f>
        <v>0</v>
      </c>
      <c r="O782" s="116">
        <f>((O200+O229)+(O$353*'ROR-Model'!$M$4))*'Control Panel'!$F$22*O$1</f>
        <v>0</v>
      </c>
      <c r="P782" s="116">
        <f>((P200+P229)+(P$353*'ROR-Model'!$M$4))*'Control Panel'!$F$22*P$1</f>
        <v>0</v>
      </c>
      <c r="Q782" s="133">
        <f>((Q200+Q229)+(Q$353*'ROR-Model'!$M$4))*'Control Panel'!$F$22*Q$1</f>
        <v>0</v>
      </c>
      <c r="R782" s="133">
        <f>((R200+R229)+(R$353*'ROR-Model'!$M$4))*'Control Panel'!$F$22*R$1</f>
        <v>0</v>
      </c>
      <c r="S782" s="133"/>
      <c r="T782" s="133">
        <f>((T200+T229)+(T$353*'ROR-Model'!$M$4))*'Control Panel'!$F$22*T$1</f>
        <v>0</v>
      </c>
      <c r="U782" s="133">
        <f>((U200+U229)+(U$353*'ROR-Model'!$M$4))*'Control Panel'!$F$22*U$1</f>
        <v>0</v>
      </c>
      <c r="V782" s="133">
        <f>((V200+V229)+(V$353*'ROR-Model'!$M$4))*'Control Panel'!$F$22*V$1</f>
        <v>0</v>
      </c>
      <c r="W782" s="133">
        <f>((W200+W229)+(W$353*'ROR-Model'!$M$4))*'Control Panel'!$F$22*W$1</f>
        <v>0</v>
      </c>
      <c r="X782" s="133">
        <f>((X200+X229)+(X$353*'ROR-Model'!$M$4))*'Control Panel'!$F$22*X$1</f>
        <v>0</v>
      </c>
      <c r="Y782" s="133">
        <f>((Y200+Y229)+(Y$353*'ROR-Model'!$M$4))*'Control Panel'!$F$22*Y$1</f>
        <v>0</v>
      </c>
      <c r="Z782" s="133">
        <f>((Z200+Z229)+(Z$353*'ROR-Model'!$M$4))*'Control Panel'!$F$22*Z$1</f>
        <v>0</v>
      </c>
      <c r="AA782" s="133">
        <f>((AA200+AA229)+(AA$353*'ROR-Model'!$M$4))*'Control Panel'!$F$22*AA$1</f>
        <v>0</v>
      </c>
      <c r="AB782" s="133">
        <f>((AB200+AB229)+(AB$353*'ROR-Model'!$M$4))*'Control Panel'!$F$22*AB$1</f>
        <v>0</v>
      </c>
      <c r="AC782" s="133">
        <f>((AC200+AC229)+(AC$353*'ROR-Model'!$M$4))*'Control Panel'!$F$22*AC$1</f>
        <v>0</v>
      </c>
      <c r="AD782" s="133">
        <f>((AD200+AD229)+(AD$353*'ROR-Model'!$M$4))*'Control Panel'!$F$22*AD$1</f>
        <v>0</v>
      </c>
      <c r="AE782" s="133">
        <f>((AE200+AE229)+(AE$353*'ROR-Model'!$M$4))*'Control Panel'!$F$22*AE$1</f>
        <v>0</v>
      </c>
      <c r="AF782" s="133">
        <f>((AF200+AF229)+(AF$353*'ROR-Model'!$M$4))*'Control Panel'!$F$22*AF$1</f>
        <v>0</v>
      </c>
      <c r="AG782" s="133">
        <f>((AG200+AG229)+(AG$353*'ROR-Model'!$M$4))*'Control Panel'!$F$22*AG$1</f>
        <v>0</v>
      </c>
      <c r="AH782" s="133">
        <f>((AH200+AH229)+(AH$353*'ROR-Model'!$M$4))*'Control Panel'!$F$22*AH$1</f>
        <v>0</v>
      </c>
      <c r="AI782" s="133">
        <f>((AI200+AI229)+(AI$353*'ROR-Model'!$M$4))*'Control Panel'!$F$22*AI$1</f>
        <v>0</v>
      </c>
      <c r="AJ782" s="133">
        <f>((AJ200+AJ229)+(AJ$353*'ROR-Model'!$M$4))*'Control Panel'!$F$22*AJ$1</f>
        <v>0</v>
      </c>
      <c r="AK782" s="133">
        <f>((AK200+AK229)+(AK$353*'ROR-Model'!$M$4))*'Control Panel'!$F$22*AK$1</f>
        <v>0</v>
      </c>
      <c r="AL782" s="133">
        <f>((AL200+AL229)+(AL$353*'ROR-Model'!$M$4))*'Control Panel'!$F$22*AL$1</f>
        <v>0</v>
      </c>
      <c r="AM782" s="133">
        <f>((AM200+AM229)+(AM$353*'ROR-Model'!$M$4))*'Control Panel'!$F$22*AM$1</f>
        <v>0</v>
      </c>
      <c r="AN782" s="133">
        <f>((AN200+AN229)+(AN$353*'ROR-Model'!$M$4))*'Control Panel'!$F$22*AN$1</f>
        <v>0</v>
      </c>
      <c r="AO782" s="133">
        <f>((AO200+AO229)+(AO$353*'ROR-Model'!$M$4))*'Control Panel'!$F$22*AO$1</f>
        <v>0</v>
      </c>
      <c r="AP782" s="133">
        <f>((AP200+AP229)+(AP$353*'ROR-Model'!$M$4))*'Control Panel'!$F$22*AP$1</f>
        <v>0</v>
      </c>
      <c r="AQ782" s="133">
        <f>((AQ200+AQ229)+(AQ$353*'ROR-Model'!$M$4))*'Control Panel'!$F$22*AQ$1</f>
        <v>0</v>
      </c>
      <c r="AR782" s="133">
        <f>((AR200+AR229)+(AR$353*'ROR-Model'!$M$4))*'Control Panel'!$F$22*AR$1</f>
        <v>0</v>
      </c>
      <c r="AS782" s="133">
        <f>((AS200+AS229)+(AS$353*'ROR-Model'!$M$4))*'Control Panel'!$F$22*AS$1</f>
        <v>0</v>
      </c>
      <c r="AT782" s="133"/>
      <c r="AU782" s="133">
        <f>SUM(F782:AT782)</f>
        <v>92396.929226375534</v>
      </c>
      <c r="AV782" s="116"/>
      <c r="AW782" s="133">
        <f>SUM(AU782:AU782)</f>
        <v>92396.929226375534</v>
      </c>
      <c r="AX782" s="133">
        <f>+AW782-'ROR-Model'!G783</f>
        <v>0</v>
      </c>
    </row>
    <row r="783" spans="1:50">
      <c r="A783" s="134"/>
      <c r="B783" s="106"/>
      <c r="C783" s="106" t="s">
        <v>24</v>
      </c>
      <c r="D783" s="106"/>
      <c r="E783" s="116">
        <f>E1*((E323)+(E$353*'ROR-Model'!$N$4))*'Control Panel'!$F$22*E$1</f>
        <v>0</v>
      </c>
      <c r="F783" s="116">
        <f>((F323)+(F$353*'ROR-Model'!$N$4))*'Control Panel'!$F$22*F$1</f>
        <v>0</v>
      </c>
      <c r="G783" s="116">
        <f>$G$1*EXPENSES!L275</f>
        <v>0</v>
      </c>
      <c r="H783" s="116"/>
      <c r="I783" s="116">
        <f>((I323)+(I$353*'ROR-Model'!$N$4))*'Control Panel'!$F$22*I$1</f>
        <v>0</v>
      </c>
      <c r="J783" s="116">
        <f>((J323)+(J$353*'ROR-Model'!$N$4))*'Control Panel'!$F$22*J$1</f>
        <v>0</v>
      </c>
      <c r="K783" s="116"/>
      <c r="L783" s="116">
        <f>'Utah Bad Debt'!G13*L1</f>
        <v>-63801.19999999999</v>
      </c>
      <c r="M783" s="116">
        <f>((M323)+(M$353*'ROR-Model'!$N$4))*'Control Panel'!$F$22*M$1</f>
        <v>0</v>
      </c>
      <c r="N783" s="116">
        <f>((N323)+(N$353*'ROR-Model'!$N$4))*'Control Panel'!$F$22*N$1</f>
        <v>0</v>
      </c>
      <c r="O783" s="116">
        <f>((O323)+(O$353*'ROR-Model'!$N$4))*'Control Panel'!$F$22*O$1</f>
        <v>0</v>
      </c>
      <c r="P783" s="116">
        <f>((P323)+(P$353*'ROR-Model'!$N$4))*'Control Panel'!$F$22*P$1</f>
        <v>0</v>
      </c>
      <c r="Q783" s="133">
        <f>((Q323)+(Q$353*'ROR-Model'!$N$4))*'Control Panel'!$F$22*Q$1</f>
        <v>0</v>
      </c>
      <c r="R783" s="133">
        <f>((R323)+(R$353*'ROR-Model'!$N$4))*'Control Panel'!$F$22*R$1</f>
        <v>0</v>
      </c>
      <c r="S783" s="133"/>
      <c r="T783" s="133">
        <f>((T323)+(T$353*'ROR-Model'!$N$4))*'Control Panel'!$F$22*T$1</f>
        <v>0</v>
      </c>
      <c r="U783" s="133">
        <f>((U323)+(U$353*'ROR-Model'!$N$4))*'Control Panel'!$F$22*U$1</f>
        <v>0</v>
      </c>
      <c r="V783" s="133">
        <f>((V323)+(V$353*'ROR-Model'!$N$4))*'Control Panel'!$F$22*V$1</f>
        <v>0</v>
      </c>
      <c r="W783" s="133">
        <f>((W323)+(W$353*'ROR-Model'!$N$4))*'Control Panel'!$F$22*W$1</f>
        <v>0</v>
      </c>
      <c r="X783" s="133">
        <f>((X323)+(X$353*'ROR-Model'!$N$4))*'Control Panel'!$F$22*X$1</f>
        <v>0</v>
      </c>
      <c r="Y783" s="133">
        <f>((Y323)+(Y$353*'ROR-Model'!$N$4))*'Control Panel'!$F$22*Y$1</f>
        <v>0</v>
      </c>
      <c r="Z783" s="133">
        <f>((Z323)+(Z$353*'ROR-Model'!$N$4))*'Control Panel'!$F$22*Z$1</f>
        <v>0</v>
      </c>
      <c r="AA783" s="133">
        <f>((AA323)+(AA$353*'ROR-Model'!$N$4))*'Control Panel'!$F$22*AA$1</f>
        <v>0</v>
      </c>
      <c r="AB783" s="133">
        <f>((AB323)+(AB$353*'ROR-Model'!$N$4))*'Control Panel'!$F$22*AB$1</f>
        <v>0</v>
      </c>
      <c r="AC783" s="133">
        <f>((AC323)+(AC$353*'ROR-Model'!$N$4))*'Control Panel'!$F$22*AC$1</f>
        <v>0</v>
      </c>
      <c r="AD783" s="133">
        <f>((AD323)+(AD$353*'ROR-Model'!$N$4))*'Control Panel'!$F$22*AD$1</f>
        <v>0</v>
      </c>
      <c r="AE783" s="133">
        <f>((AE323)+(AE$353*'ROR-Model'!$N$4))*'Control Panel'!$F$22*AE$1</f>
        <v>0</v>
      </c>
      <c r="AF783" s="133">
        <f>((AF323)+(AF$353*'ROR-Model'!$N$4))*'Control Panel'!$F$22*AF$1</f>
        <v>0</v>
      </c>
      <c r="AG783" s="133">
        <f>((AG323)+(AG$353*'ROR-Model'!$N$4))*'Control Panel'!$F$22*AG$1</f>
        <v>0</v>
      </c>
      <c r="AH783" s="133">
        <f>((AH323)+(AH$353*'ROR-Model'!$N$4))*'Control Panel'!$F$22*AH$1</f>
        <v>0</v>
      </c>
      <c r="AI783" s="133">
        <f>((AI323)+(AI$353*'ROR-Model'!$N$4))*'Control Panel'!$F$22*AI$1</f>
        <v>0</v>
      </c>
      <c r="AJ783" s="133">
        <f>((AJ323)+(AJ$353*'ROR-Model'!$N$4))*'Control Panel'!$F$22*AJ$1</f>
        <v>0</v>
      </c>
      <c r="AK783" s="133">
        <f>((AK323)+(AK$353*'ROR-Model'!$N$4))*'Control Panel'!$F$22*AK$1</f>
        <v>0</v>
      </c>
      <c r="AL783" s="133">
        <f>((AL323)+(AL$353*'ROR-Model'!$N$4))*'Control Panel'!$F$22*AL$1</f>
        <v>0</v>
      </c>
      <c r="AM783" s="133">
        <f>((AM323)+(AM$353*'ROR-Model'!$N$4))*'Control Panel'!$F$22*AM$1</f>
        <v>0</v>
      </c>
      <c r="AN783" s="133">
        <f>((AN323)+(AN$353*'ROR-Model'!$N$4))*'Control Panel'!$F$22*AN$1</f>
        <v>0</v>
      </c>
      <c r="AO783" s="133">
        <f>((AO323)+(AO$353*'ROR-Model'!$N$4))*'Control Panel'!$F$22*AO$1</f>
        <v>0</v>
      </c>
      <c r="AP783" s="133">
        <f>((AP323)+(AP$353*'ROR-Model'!$N$4))*'Control Panel'!$F$22*AP$1</f>
        <v>0</v>
      </c>
      <c r="AQ783" s="133">
        <f>((AQ323)+(AQ$353*'ROR-Model'!$N$4))*'Control Panel'!$F$22*AQ$1</f>
        <v>0</v>
      </c>
      <c r="AR783" s="133">
        <f>((AR323)+(AR$353*'ROR-Model'!$N$4))*'Control Panel'!$F$22*AR$1</f>
        <v>0</v>
      </c>
      <c r="AS783" s="133">
        <f>((AS323)+(AS$353*'ROR-Model'!$N$4))*'Control Panel'!$F$22*AS$1</f>
        <v>0</v>
      </c>
      <c r="AT783" s="133"/>
      <c r="AU783" s="133">
        <f>SUM(F783:AT783)</f>
        <v>-63801.19999999999</v>
      </c>
      <c r="AV783" s="116"/>
      <c r="AW783" s="133">
        <f>SUM(AU783:AU783)</f>
        <v>-63801.19999999999</v>
      </c>
      <c r="AX783" s="133">
        <f>+AW783-'ROR-Model'!G784</f>
        <v>0</v>
      </c>
    </row>
    <row r="784" spans="1:50">
      <c r="A784" s="134"/>
      <c r="B784" s="106"/>
      <c r="C784" s="106" t="s">
        <v>170</v>
      </c>
      <c r="D784" s="106"/>
      <c r="E784" s="131">
        <f>E1*SUM(E782:E783)</f>
        <v>0</v>
      </c>
      <c r="F784" s="131">
        <f>SUM(F782:F783)</f>
        <v>0</v>
      </c>
      <c r="G784" s="131">
        <f>SUM(G782:G783)</f>
        <v>0</v>
      </c>
      <c r="H784" s="131">
        <f>H1*SUM(H782:H783)</f>
        <v>0</v>
      </c>
      <c r="I784" s="131">
        <f>SUM(I782:I783)</f>
        <v>0</v>
      </c>
      <c r="J784" s="131">
        <f t="shared" ref="J784:P784" si="967">SUM(J782:J783)</f>
        <v>0</v>
      </c>
      <c r="K784" s="131">
        <f t="shared" si="967"/>
        <v>0</v>
      </c>
      <c r="L784" s="131">
        <f t="shared" si="967"/>
        <v>28595.729226375544</v>
      </c>
      <c r="M784" s="131">
        <f t="shared" si="967"/>
        <v>0</v>
      </c>
      <c r="N784" s="131">
        <f t="shared" si="967"/>
        <v>0</v>
      </c>
      <c r="O784" s="131">
        <f t="shared" si="967"/>
        <v>0</v>
      </c>
      <c r="P784" s="131">
        <f t="shared" si="967"/>
        <v>0</v>
      </c>
      <c r="Q784" s="241">
        <f>SUM(Q782:Q783)</f>
        <v>0</v>
      </c>
      <c r="R784" s="241">
        <f>SUM(R782:R783)</f>
        <v>0</v>
      </c>
      <c r="S784" s="556"/>
      <c r="T784" s="556">
        <f t="shared" ref="T784:AG784" si="968">SUM(T782:T783)</f>
        <v>0</v>
      </c>
      <c r="U784" s="556">
        <f t="shared" si="968"/>
        <v>0</v>
      </c>
      <c r="V784" s="556">
        <f t="shared" si="968"/>
        <v>0</v>
      </c>
      <c r="W784" s="556">
        <f t="shared" si="968"/>
        <v>0</v>
      </c>
      <c r="X784" s="556">
        <f t="shared" si="968"/>
        <v>0</v>
      </c>
      <c r="Y784" s="556">
        <f t="shared" si="968"/>
        <v>0</v>
      </c>
      <c r="Z784" s="556">
        <f t="shared" si="968"/>
        <v>0</v>
      </c>
      <c r="AA784" s="556">
        <f t="shared" si="968"/>
        <v>0</v>
      </c>
      <c r="AB784" s="556">
        <f t="shared" si="968"/>
        <v>0</v>
      </c>
      <c r="AC784" s="556">
        <f t="shared" si="968"/>
        <v>0</v>
      </c>
      <c r="AD784" s="556">
        <f t="shared" si="968"/>
        <v>0</v>
      </c>
      <c r="AE784" s="556">
        <f t="shared" si="968"/>
        <v>0</v>
      </c>
      <c r="AF784" s="556">
        <f t="shared" si="968"/>
        <v>0</v>
      </c>
      <c r="AG784" s="556">
        <f t="shared" si="968"/>
        <v>0</v>
      </c>
      <c r="AH784" s="556">
        <f t="shared" ref="AH784:AK784" si="969">SUM(AH782:AH783)</f>
        <v>0</v>
      </c>
      <c r="AI784" s="556">
        <f t="shared" si="969"/>
        <v>0</v>
      </c>
      <c r="AJ784" s="556">
        <f t="shared" si="969"/>
        <v>0</v>
      </c>
      <c r="AK784" s="556">
        <f t="shared" si="969"/>
        <v>0</v>
      </c>
      <c r="AL784" s="556">
        <f t="shared" ref="AL784:AP784" si="970">SUM(AL782:AL783)</f>
        <v>0</v>
      </c>
      <c r="AM784" s="556">
        <f t="shared" si="970"/>
        <v>0</v>
      </c>
      <c r="AN784" s="556">
        <f t="shared" si="970"/>
        <v>0</v>
      </c>
      <c r="AO784" s="556">
        <f t="shared" si="970"/>
        <v>0</v>
      </c>
      <c r="AP784" s="556">
        <f t="shared" si="970"/>
        <v>0</v>
      </c>
      <c r="AQ784" s="556">
        <f t="shared" ref="AQ784:AS784" si="971">SUM(AQ782:AQ783)</f>
        <v>0</v>
      </c>
      <c r="AR784" s="556">
        <f t="shared" si="971"/>
        <v>0</v>
      </c>
      <c r="AS784" s="556">
        <f t="shared" si="971"/>
        <v>0</v>
      </c>
      <c r="AT784" s="556"/>
      <c r="AU784" s="241">
        <f>SUM(AU782:AU783)</f>
        <v>28595.729226375544</v>
      </c>
      <c r="AV784" s="131"/>
      <c r="AW784" s="241">
        <f>SUM(AW782:AW783)</f>
        <v>28595.729226375544</v>
      </c>
      <c r="AX784" s="241">
        <f>+AW784-'ROR-Model'!G785</f>
        <v>0</v>
      </c>
    </row>
    <row r="785" spans="1:50">
      <c r="A785" s="134"/>
      <c r="B785" s="106"/>
      <c r="C785" s="106"/>
      <c r="D785" s="10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16"/>
      <c r="AW785" s="133"/>
      <c r="AX785" s="133">
        <f>+AW785-'ROR-Model'!G786</f>
        <v>0</v>
      </c>
    </row>
    <row r="786" spans="1:50">
      <c r="A786" s="134" t="s">
        <v>1</v>
      </c>
      <c r="B786" s="106" t="s">
        <v>22</v>
      </c>
      <c r="C786" s="106"/>
      <c r="D786" s="106"/>
      <c r="E786" s="331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16"/>
      <c r="AW786" s="133"/>
      <c r="AX786" s="133">
        <f>+AW786-'ROR-Model'!G787</f>
        <v>0</v>
      </c>
    </row>
    <row r="787" spans="1:50">
      <c r="A787" s="134"/>
      <c r="B787" s="106"/>
      <c r="C787" s="106" t="s">
        <v>14</v>
      </c>
      <c r="D787" s="106"/>
      <c r="E787" s="116">
        <f>E6*((E205+E234)+(E$353*'ROR-Model'!$M$4))*'Control Panel'!$F$22*E$1</f>
        <v>0</v>
      </c>
      <c r="F787" s="116">
        <f>((F205+F234)+(F$353*'ROR-Model'!$M$4))*'Control Panel'!$F$22*F$1</f>
        <v>0</v>
      </c>
      <c r="G787" s="116">
        <f>$G$1*EXPENSES!L279</f>
        <v>0</v>
      </c>
      <c r="H787" s="116"/>
      <c r="I787" s="116">
        <f>((I205+I234)+(I$353*'ROR-Model'!$M$4))*'Control Panel'!$F$22*I$1</f>
        <v>0</v>
      </c>
      <c r="J787" s="116">
        <f>((J205+J234)+(J$353*'ROR-Model'!$M$4))*'Control Panel'!$F$22*J$1</f>
        <v>0</v>
      </c>
      <c r="K787" s="116"/>
      <c r="L787" s="116">
        <f>'Utah Bad Debt'!G24*$L$1</f>
        <v>-212317.07000000004</v>
      </c>
      <c r="M787" s="116">
        <f>((M205+M234)+(M$353*'ROR-Model'!$M$4))*'Control Panel'!$F$22*M$1</f>
        <v>0</v>
      </c>
      <c r="N787" s="116">
        <f>((N205+N234)+(N$353*'ROR-Model'!$M$4))*'Control Panel'!$F$22*N$1</f>
        <v>0</v>
      </c>
      <c r="O787" s="116">
        <f>((O205+O234)+(O$353*'ROR-Model'!$M$4))*'Control Panel'!$F$22*O$1</f>
        <v>0</v>
      </c>
      <c r="P787" s="116">
        <f>((P205+P234)+(P$353*'ROR-Model'!$M$4))*'Control Panel'!$F$22*P$1</f>
        <v>0</v>
      </c>
      <c r="Q787" s="133">
        <f>((Q205+Q234)+(Q$353*'ROR-Model'!$M$4))*'Control Panel'!$F$22*Q$1</f>
        <v>0</v>
      </c>
      <c r="R787" s="133">
        <f>((R205+R234)+(R$353*'ROR-Model'!$M$4))*'Control Panel'!$F$22*R$1</f>
        <v>0</v>
      </c>
      <c r="S787" s="133"/>
      <c r="T787" s="133">
        <f>((T205+T234)+(T$353*'ROR-Model'!$M$4))*'Control Panel'!$F$22*T$1</f>
        <v>0</v>
      </c>
      <c r="U787" s="133">
        <f>((U205+U234)+(U$353*'ROR-Model'!$M$4))*'Control Panel'!$F$22*U$1</f>
        <v>0</v>
      </c>
      <c r="V787" s="133">
        <f>((V205+V234)+(V$353*'ROR-Model'!$M$4))*'Control Panel'!$F$22*V$1</f>
        <v>0</v>
      </c>
      <c r="W787" s="133">
        <f>((W205+W234)+(W$353*'ROR-Model'!$M$4))*'Control Panel'!$F$22*W$1</f>
        <v>0</v>
      </c>
      <c r="X787" s="133">
        <f>((X205+X234)+(X$353*'ROR-Model'!$M$4))*'Control Panel'!$F$22*X$1</f>
        <v>0</v>
      </c>
      <c r="Y787" s="133">
        <f>((Y205+Y234)+(Y$353*'ROR-Model'!$M$4))*'Control Panel'!$F$22*Y$1</f>
        <v>0</v>
      </c>
      <c r="Z787" s="133">
        <f>((Z205+Z234)+(Z$353*'ROR-Model'!$M$4))*'Control Panel'!$F$22*Z$1</f>
        <v>0</v>
      </c>
      <c r="AA787" s="133">
        <f>((AA205+AA234)+(AA$353*'ROR-Model'!$M$4))*'Control Panel'!$F$22*AA$1</f>
        <v>0</v>
      </c>
      <c r="AB787" s="133">
        <f>((AB205+AB234)+(AB$353*'ROR-Model'!$M$4))*'Control Panel'!$F$22*AB$1</f>
        <v>0</v>
      </c>
      <c r="AC787" s="133">
        <f>((AC205+AC234)+(AC$353*'ROR-Model'!$M$4))*'Control Panel'!$F$22*AC$1</f>
        <v>0</v>
      </c>
      <c r="AD787" s="133">
        <f>((AD205+AD234)+(AD$353*'ROR-Model'!$M$4))*'Control Panel'!$F$22*AD$1</f>
        <v>0</v>
      </c>
      <c r="AE787" s="133">
        <f>((AE205+AE234)+(AE$353*'ROR-Model'!$M$4))*'Control Panel'!$F$22*AE$1</f>
        <v>0</v>
      </c>
      <c r="AF787" s="133">
        <f>((AF205+AF234)+(AF$353*'ROR-Model'!$M$4))*'Control Panel'!$F$22*AF$1</f>
        <v>0</v>
      </c>
      <c r="AG787" s="133">
        <f>((AG205+AG234)+(AG$353*'ROR-Model'!$M$4))*'Control Panel'!$F$22*AG$1</f>
        <v>0</v>
      </c>
      <c r="AH787" s="133">
        <f>((AH205+AH234)+(AH$353*'ROR-Model'!$M$4))*'Control Panel'!$F$22*AH$1</f>
        <v>0</v>
      </c>
      <c r="AI787" s="133">
        <f>((AI205+AI234)+(AI$353*'ROR-Model'!$M$4))*'Control Panel'!$F$22*AI$1</f>
        <v>0</v>
      </c>
      <c r="AJ787" s="133">
        <f>((AJ205+AJ234)+(AJ$353*'ROR-Model'!$M$4))*'Control Panel'!$F$22*AJ$1</f>
        <v>0</v>
      </c>
      <c r="AK787" s="133">
        <f>((AK205+AK234)+(AK$353*'ROR-Model'!$M$4))*'Control Panel'!$F$22*AK$1</f>
        <v>0</v>
      </c>
      <c r="AL787" s="133">
        <f>((AL205+AL234)+(AL$353*'ROR-Model'!$M$4))*'Control Panel'!$F$22*AL$1</f>
        <v>0</v>
      </c>
      <c r="AM787" s="133">
        <f>((AM205+AM234)+(AM$353*'ROR-Model'!$M$4))*'Control Panel'!$F$22*AM$1</f>
        <v>0</v>
      </c>
      <c r="AN787" s="133">
        <f>((AN205+AN234)+(AN$353*'ROR-Model'!$M$4))*'Control Panel'!$F$22*AN$1</f>
        <v>0</v>
      </c>
      <c r="AO787" s="133">
        <f>((AO205+AO234)+(AO$353*'ROR-Model'!$M$4))*'Control Panel'!$F$22*AO$1</f>
        <v>0</v>
      </c>
      <c r="AP787" s="133">
        <f>((AP205+AP234)+(AP$353*'ROR-Model'!$M$4))*'Control Panel'!$F$22*AP$1</f>
        <v>0</v>
      </c>
      <c r="AQ787" s="133">
        <f>((AQ205+AQ234)+(AQ$353*'ROR-Model'!$M$4))*'Control Panel'!$F$22*AQ$1</f>
        <v>0</v>
      </c>
      <c r="AR787" s="133">
        <f>((AR205+AR234)+(AR$353*'ROR-Model'!$M$4))*'Control Panel'!$F$22*AR$1</f>
        <v>0</v>
      </c>
      <c r="AS787" s="133">
        <f>((AS205+AS234)+(AS$353*'ROR-Model'!$M$4))*'Control Panel'!$F$22*AS$1</f>
        <v>0</v>
      </c>
      <c r="AT787" s="133"/>
      <c r="AU787" s="133">
        <f>SUM(F787:AT787)</f>
        <v>-212317.07000000004</v>
      </c>
      <c r="AV787" s="116"/>
      <c r="AW787" s="133">
        <f>SUM(AU787:AU787)</f>
        <v>-212317.07000000004</v>
      </c>
      <c r="AX787" s="133">
        <f>+AW787-'ROR-Model'!G788</f>
        <v>0</v>
      </c>
    </row>
    <row r="788" spans="1:50">
      <c r="A788" s="134"/>
      <c r="B788" s="106"/>
      <c r="C788" s="106" t="s">
        <v>24</v>
      </c>
      <c r="D788" s="106"/>
      <c r="E788" s="116">
        <f>E6*((E328)+(E$353*'ROR-Model'!$N$4))*'Control Panel'!$F$22*E$1</f>
        <v>0</v>
      </c>
      <c r="F788" s="116">
        <f>((F328)+(F$353*'ROR-Model'!$N$4))*'Control Panel'!$F$22*F$1</f>
        <v>0</v>
      </c>
      <c r="G788" s="116">
        <f>$G$1*EXPENSES!L280</f>
        <v>0</v>
      </c>
      <c r="H788" s="116"/>
      <c r="I788" s="116">
        <f>((I328)+(I$353*'ROR-Model'!$N$4))*'Control Panel'!$F$22*I$1</f>
        <v>0</v>
      </c>
      <c r="J788" s="116">
        <f>((J328)+(J$353*'ROR-Model'!$N$4))*'Control Panel'!$F$22*J$1</f>
        <v>0</v>
      </c>
      <c r="K788" s="116"/>
      <c r="L788" s="116">
        <f>'Utah Bad Debt'!G25*$L$1</f>
        <v>0</v>
      </c>
      <c r="M788" s="116">
        <f>((M328)+(M$353*'ROR-Model'!$N$4))*'Control Panel'!$F$22*M$1</f>
        <v>0</v>
      </c>
      <c r="N788" s="116">
        <f>((N328)+(N$353*'ROR-Model'!$N$4))*'Control Panel'!$F$22*N$1</f>
        <v>0</v>
      </c>
      <c r="O788" s="116">
        <f>((O328)+(O$353*'ROR-Model'!$N$4))*'Control Panel'!$F$22*O$1</f>
        <v>0</v>
      </c>
      <c r="P788" s="116">
        <f>((P328)+(P$353*'ROR-Model'!$N$4))*'Control Panel'!$F$22*P$1</f>
        <v>0</v>
      </c>
      <c r="Q788" s="133">
        <f>((Q328)+(Q$353*'ROR-Model'!$N$4))*'Control Panel'!$F$22*Q$1</f>
        <v>0</v>
      </c>
      <c r="R788" s="133">
        <f>((R328)+(R$353*'ROR-Model'!$N$4))*'Control Panel'!$F$22*R$1</f>
        <v>0</v>
      </c>
      <c r="S788" s="133"/>
      <c r="T788" s="133">
        <f>((T328)+(T$353*'ROR-Model'!$N$4))*'Control Panel'!$F$22*T$1</f>
        <v>0</v>
      </c>
      <c r="U788" s="133">
        <f>((U328)+(U$353*'ROR-Model'!$N$4))*'Control Panel'!$F$22*U$1</f>
        <v>0</v>
      </c>
      <c r="V788" s="133">
        <f>((V328)+(V$353*'ROR-Model'!$N$4))*'Control Panel'!$F$22*V$1</f>
        <v>0</v>
      </c>
      <c r="W788" s="133">
        <f>((W328)+(W$353*'ROR-Model'!$N$4))*'Control Panel'!$F$22*W$1</f>
        <v>0</v>
      </c>
      <c r="X788" s="133">
        <f>((X328)+(X$353*'ROR-Model'!$N$4))*'Control Panel'!$F$22*X$1</f>
        <v>0</v>
      </c>
      <c r="Y788" s="133">
        <f>((Y328)+(Y$353*'ROR-Model'!$N$4))*'Control Panel'!$F$22*Y$1</f>
        <v>0</v>
      </c>
      <c r="Z788" s="133">
        <f>((Z328)+(Z$353*'ROR-Model'!$N$4))*'Control Panel'!$F$22*Z$1</f>
        <v>0</v>
      </c>
      <c r="AA788" s="133">
        <f>((AA328)+(AA$353*'ROR-Model'!$N$4))*'Control Panel'!$F$22*AA$1</f>
        <v>0</v>
      </c>
      <c r="AB788" s="133">
        <f>((AB328)+(AB$353*'ROR-Model'!$N$4))*'Control Panel'!$F$22*AB$1</f>
        <v>0</v>
      </c>
      <c r="AC788" s="133">
        <f>((AC328)+(AC$353*'ROR-Model'!$N$4))*'Control Panel'!$F$22*AC$1</f>
        <v>0</v>
      </c>
      <c r="AD788" s="133">
        <f>((AD328)+(AD$353*'ROR-Model'!$N$4))*'Control Panel'!$F$22*AD$1</f>
        <v>0</v>
      </c>
      <c r="AE788" s="133">
        <f>((AE328)+(AE$353*'ROR-Model'!$N$4))*'Control Panel'!$F$22*AE$1</f>
        <v>0</v>
      </c>
      <c r="AF788" s="133">
        <f>((AF328)+(AF$353*'ROR-Model'!$N$4))*'Control Panel'!$F$22*AF$1</f>
        <v>0</v>
      </c>
      <c r="AG788" s="133">
        <f>((AG328)+(AG$353*'ROR-Model'!$N$4))*'Control Panel'!$F$22*AG$1</f>
        <v>0</v>
      </c>
      <c r="AH788" s="133">
        <f>((AH328)+(AH$353*'ROR-Model'!$N$4))*'Control Panel'!$F$22*AH$1</f>
        <v>0</v>
      </c>
      <c r="AI788" s="133">
        <f>((AI328)+(AI$353*'ROR-Model'!$N$4))*'Control Panel'!$F$22*AI$1</f>
        <v>0</v>
      </c>
      <c r="AJ788" s="133">
        <f>((AJ328)+(AJ$353*'ROR-Model'!$N$4))*'Control Panel'!$F$22*AJ$1</f>
        <v>0</v>
      </c>
      <c r="AK788" s="133">
        <f>((AK328)+(AK$353*'ROR-Model'!$N$4))*'Control Panel'!$F$22*AK$1</f>
        <v>0</v>
      </c>
      <c r="AL788" s="133">
        <f>((AL328)+(AL$353*'ROR-Model'!$N$4))*'Control Panel'!$F$22*AL$1</f>
        <v>0</v>
      </c>
      <c r="AM788" s="133">
        <f>((AM328)+(AM$353*'ROR-Model'!$N$4))*'Control Panel'!$F$22*AM$1</f>
        <v>0</v>
      </c>
      <c r="AN788" s="133">
        <f>((AN328)+(AN$353*'ROR-Model'!$N$4))*'Control Panel'!$F$22*AN$1</f>
        <v>0</v>
      </c>
      <c r="AO788" s="133">
        <f>((AO328)+(AO$353*'ROR-Model'!$N$4))*'Control Panel'!$F$22*AO$1</f>
        <v>0</v>
      </c>
      <c r="AP788" s="133">
        <f>((AP328)+(AP$353*'ROR-Model'!$N$4))*'Control Panel'!$F$22*AP$1</f>
        <v>0</v>
      </c>
      <c r="AQ788" s="133">
        <f>((AQ328)+(AQ$353*'ROR-Model'!$N$4))*'Control Panel'!$F$22*AQ$1</f>
        <v>0</v>
      </c>
      <c r="AR788" s="133">
        <f>((AR328)+(AR$353*'ROR-Model'!$N$4))*'Control Panel'!$F$22*AR$1</f>
        <v>0</v>
      </c>
      <c r="AS788" s="133">
        <f>((AS328)+(AS$353*'ROR-Model'!$N$4))*'Control Panel'!$F$22*AS$1</f>
        <v>0</v>
      </c>
      <c r="AT788" s="133"/>
      <c r="AU788" s="133">
        <f>SUM(F788:AT788)</f>
        <v>0</v>
      </c>
      <c r="AV788" s="116"/>
      <c r="AW788" s="133">
        <f>SUM(AU788:AU788)</f>
        <v>0</v>
      </c>
      <c r="AX788" s="133">
        <f>+AW788-'ROR-Model'!G789</f>
        <v>0</v>
      </c>
    </row>
    <row r="789" spans="1:50">
      <c r="A789" s="134"/>
      <c r="B789" s="106"/>
      <c r="C789" s="106" t="s">
        <v>170</v>
      </c>
      <c r="D789" s="106"/>
      <c r="E789" s="131">
        <f>E6*SUM(E787:E788)</f>
        <v>0</v>
      </c>
      <c r="F789" s="131">
        <f t="shared" ref="F789:I789" si="972">SUM(F787:F788)</f>
        <v>0</v>
      </c>
      <c r="G789" s="131">
        <f t="shared" si="972"/>
        <v>0</v>
      </c>
      <c r="H789" s="131">
        <f t="shared" si="972"/>
        <v>0</v>
      </c>
      <c r="I789" s="131">
        <f t="shared" si="972"/>
        <v>0</v>
      </c>
      <c r="J789" s="131">
        <f t="shared" ref="J789:Q789" si="973">SUM(J787:J788)</f>
        <v>0</v>
      </c>
      <c r="K789" s="131">
        <f t="shared" si="973"/>
        <v>0</v>
      </c>
      <c r="L789" s="131">
        <f t="shared" si="973"/>
        <v>-212317.07000000004</v>
      </c>
      <c r="M789" s="131">
        <f t="shared" si="973"/>
        <v>0</v>
      </c>
      <c r="N789" s="131">
        <f t="shared" si="973"/>
        <v>0</v>
      </c>
      <c r="O789" s="131">
        <f t="shared" si="973"/>
        <v>0</v>
      </c>
      <c r="P789" s="131">
        <f t="shared" si="973"/>
        <v>0</v>
      </c>
      <c r="Q789" s="241">
        <f t="shared" si="973"/>
        <v>0</v>
      </c>
      <c r="R789" s="241">
        <f t="shared" ref="R789" si="974">SUM(R787:R788)</f>
        <v>0</v>
      </c>
      <c r="S789" s="550"/>
      <c r="T789" s="550">
        <f t="shared" ref="T789" si="975">SUM(T787:T788)</f>
        <v>0</v>
      </c>
      <c r="U789" s="550">
        <f t="shared" ref="U789:W789" si="976">SUM(U787:U788)</f>
        <v>0</v>
      </c>
      <c r="V789" s="550">
        <f t="shared" ref="V789" si="977">SUM(V787:V788)</f>
        <v>0</v>
      </c>
      <c r="W789" s="550">
        <f t="shared" si="976"/>
        <v>0</v>
      </c>
      <c r="X789" s="550">
        <f t="shared" ref="X789:AG789" si="978">SUM(X787:X788)</f>
        <v>0</v>
      </c>
      <c r="Y789" s="550">
        <f t="shared" si="978"/>
        <v>0</v>
      </c>
      <c r="Z789" s="550">
        <f t="shared" si="978"/>
        <v>0</v>
      </c>
      <c r="AA789" s="550">
        <f t="shared" si="978"/>
        <v>0</v>
      </c>
      <c r="AB789" s="550">
        <f t="shared" si="978"/>
        <v>0</v>
      </c>
      <c r="AC789" s="550">
        <f t="shared" si="978"/>
        <v>0</v>
      </c>
      <c r="AD789" s="550">
        <f t="shared" si="978"/>
        <v>0</v>
      </c>
      <c r="AE789" s="550">
        <f t="shared" si="978"/>
        <v>0</v>
      </c>
      <c r="AF789" s="550">
        <f t="shared" si="978"/>
        <v>0</v>
      </c>
      <c r="AG789" s="550">
        <f t="shared" si="978"/>
        <v>0</v>
      </c>
      <c r="AH789" s="550">
        <f t="shared" ref="AH789:AK789" si="979">SUM(AH787:AH788)</f>
        <v>0</v>
      </c>
      <c r="AI789" s="550">
        <f t="shared" si="979"/>
        <v>0</v>
      </c>
      <c r="AJ789" s="550">
        <f t="shared" si="979"/>
        <v>0</v>
      </c>
      <c r="AK789" s="550">
        <f t="shared" si="979"/>
        <v>0</v>
      </c>
      <c r="AL789" s="550">
        <f t="shared" ref="AL789:AP789" si="980">SUM(AL787:AL788)</f>
        <v>0</v>
      </c>
      <c r="AM789" s="550">
        <f t="shared" si="980"/>
        <v>0</v>
      </c>
      <c r="AN789" s="550">
        <f t="shared" si="980"/>
        <v>0</v>
      </c>
      <c r="AO789" s="550">
        <f t="shared" si="980"/>
        <v>0</v>
      </c>
      <c r="AP789" s="550">
        <f t="shared" si="980"/>
        <v>0</v>
      </c>
      <c r="AQ789" s="550">
        <f t="shared" ref="AQ789:AS789" si="981">SUM(AQ787:AQ788)</f>
        <v>0</v>
      </c>
      <c r="AR789" s="550">
        <f t="shared" si="981"/>
        <v>0</v>
      </c>
      <c r="AS789" s="550">
        <f t="shared" si="981"/>
        <v>0</v>
      </c>
      <c r="AT789" s="550"/>
      <c r="AU789" s="241">
        <f>SUM(AU787:AU788)</f>
        <v>-212317.07000000004</v>
      </c>
      <c r="AV789" s="131"/>
      <c r="AW789" s="241">
        <f>SUM(AW787:AW788)</f>
        <v>-212317.07000000004</v>
      </c>
      <c r="AX789" s="241">
        <f>+AW789-'ROR-Model'!G790</f>
        <v>0</v>
      </c>
    </row>
    <row r="790" spans="1:50">
      <c r="A790" s="134"/>
      <c r="B790" s="106"/>
      <c r="C790" s="106"/>
      <c r="D790" s="10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16"/>
      <c r="AW790" s="133"/>
      <c r="AX790" s="133">
        <f>+AW790-'ROR-Model'!G791</f>
        <v>0</v>
      </c>
    </row>
    <row r="791" spans="1:50">
      <c r="A791" s="134" t="s">
        <v>2</v>
      </c>
      <c r="B791" s="106" t="s">
        <v>23</v>
      </c>
      <c r="C791" s="106"/>
      <c r="D791" s="106"/>
      <c r="E791" s="331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16"/>
      <c r="AW791" s="133"/>
      <c r="AX791" s="133">
        <f>+AW791-'ROR-Model'!G792</f>
        <v>0</v>
      </c>
    </row>
    <row r="792" spans="1:50">
      <c r="A792" s="134"/>
      <c r="B792" s="106"/>
      <c r="C792" s="106" t="s">
        <v>14</v>
      </c>
      <c r="D792" s="106"/>
      <c r="E792" s="116">
        <f>E11*((E210+E239)+(E$353*'ROR-Model'!$M$4))*'Control Panel'!$F$22*E$1</f>
        <v>0</v>
      </c>
      <c r="F792" s="116">
        <f>((F210+F239)+(F$353*'ROR-Model'!$M$4))*'Control Panel'!$F$22*F$1</f>
        <v>0</v>
      </c>
      <c r="G792" s="116">
        <f>$G$1*EXPENSES!L284</f>
        <v>0</v>
      </c>
      <c r="H792" s="116"/>
      <c r="I792" s="116">
        <f>((I210+I239)+(I$353*'ROR-Model'!$M$4))*'Control Panel'!$F$22*I$1</f>
        <v>0</v>
      </c>
      <c r="J792" s="116">
        <f>((J210+J239)+(J$353*'ROR-Model'!$M$4))*'Control Panel'!$F$22*J$1</f>
        <v>0</v>
      </c>
      <c r="K792" s="116"/>
      <c r="L792" s="116">
        <f>'Utah Bad Debt'!G29*$L$1</f>
        <v>-841817.97</v>
      </c>
      <c r="M792" s="116">
        <f>((M210+M239)+(M$353*'ROR-Model'!$M$4))*'Control Panel'!$F$22*M$1</f>
        <v>0</v>
      </c>
      <c r="N792" s="116">
        <f>((N210+N239)+(N$353*'ROR-Model'!$M$4))*'Control Panel'!$F$22*N$1</f>
        <v>0</v>
      </c>
      <c r="O792" s="116">
        <f>((O210+O239)+(O$353*'ROR-Model'!$M$4))*'Control Panel'!$F$22*O$1</f>
        <v>0</v>
      </c>
      <c r="P792" s="116">
        <f>((P210+P239)+(P$353*'ROR-Model'!$M$4))*'Control Panel'!$F$22*P$1</f>
        <v>0</v>
      </c>
      <c r="Q792" s="133">
        <f>((Q210+Q239)+(Q$353*'ROR-Model'!$M$4))*'Control Panel'!$F$22*Q$1</f>
        <v>0</v>
      </c>
      <c r="R792" s="133">
        <f>((R210+R239)+(R$353*'ROR-Model'!$M$4))*'Control Panel'!$F$22*R$1</f>
        <v>0</v>
      </c>
      <c r="S792" s="133"/>
      <c r="T792" s="133">
        <f>((T210+T239)+(T$353*'ROR-Model'!$M$4))*'Control Panel'!$F$22*T$1</f>
        <v>0</v>
      </c>
      <c r="U792" s="133">
        <f>((U210+U239)+(U$353*'ROR-Model'!$M$4))*'Control Panel'!$F$22*U$1</f>
        <v>0</v>
      </c>
      <c r="V792" s="133">
        <f>((V210+V239)+(V$353*'ROR-Model'!$M$4))*'Control Panel'!$F$22*V$1</f>
        <v>0</v>
      </c>
      <c r="W792" s="133">
        <f>((W210+W239)+(W$353*'ROR-Model'!$M$4))*'Control Panel'!$F$22*W$1</f>
        <v>0</v>
      </c>
      <c r="X792" s="133">
        <f>((X210+X239)+(X$353*'ROR-Model'!$M$4))*'Control Panel'!$F$22*X$1</f>
        <v>0</v>
      </c>
      <c r="Y792" s="133">
        <f>((Y210+Y239)+(Y$353*'ROR-Model'!$M$4))*'Control Panel'!$F$22*Y$1</f>
        <v>0</v>
      </c>
      <c r="Z792" s="133">
        <f>((Z210+Z239)+(Z$353*'ROR-Model'!$M$4))*'Control Panel'!$F$22*Z$1</f>
        <v>0</v>
      </c>
      <c r="AA792" s="133">
        <f>((AA210+AA239)+(AA$353*'ROR-Model'!$M$4))*'Control Panel'!$F$22*AA$1</f>
        <v>0</v>
      </c>
      <c r="AB792" s="133">
        <f>((AB210+AB239)+(AB$353*'ROR-Model'!$M$4))*'Control Panel'!$F$22*AB$1</f>
        <v>0</v>
      </c>
      <c r="AC792" s="133">
        <f>((AC210+AC239)+(AC$353*'ROR-Model'!$M$4))*'Control Panel'!$F$22*AC$1</f>
        <v>0</v>
      </c>
      <c r="AD792" s="133">
        <f>((AD210+AD239)+(AD$353*'ROR-Model'!$M$4))*'Control Panel'!$F$22*AD$1</f>
        <v>0</v>
      </c>
      <c r="AE792" s="133">
        <f>((AE210+AE239)+(AE$353*'ROR-Model'!$M$4))*'Control Panel'!$F$22*AE$1</f>
        <v>0</v>
      </c>
      <c r="AF792" s="133">
        <f>((AF210+AF239)+(AF$353*'ROR-Model'!$M$4))*'Control Panel'!$F$22*AF$1</f>
        <v>0</v>
      </c>
      <c r="AG792" s="133">
        <f>((AG210+AG239)+(AG$353*'ROR-Model'!$M$4))*'Control Panel'!$F$22*AG$1</f>
        <v>0</v>
      </c>
      <c r="AH792" s="133">
        <f>((AH210+AH239)+(AH$353*'ROR-Model'!$M$4))*'Control Panel'!$F$22*AH$1</f>
        <v>0</v>
      </c>
      <c r="AI792" s="133">
        <f>((AI210+AI239)+(AI$353*'ROR-Model'!$M$4))*'Control Panel'!$F$22*AI$1</f>
        <v>0</v>
      </c>
      <c r="AJ792" s="133">
        <f>((AJ210+AJ239)+(AJ$353*'ROR-Model'!$M$4))*'Control Panel'!$F$22*AJ$1</f>
        <v>0</v>
      </c>
      <c r="AK792" s="133">
        <f>((AK210+AK239)+(AK$353*'ROR-Model'!$M$4))*'Control Panel'!$F$22*AK$1</f>
        <v>0</v>
      </c>
      <c r="AL792" s="133">
        <f>((AL210+AL239)+(AL$353*'ROR-Model'!$M$4))*'Control Panel'!$F$22*AL$1</f>
        <v>0</v>
      </c>
      <c r="AM792" s="133">
        <f>((AM210+AM239)+(AM$353*'ROR-Model'!$M$4))*'Control Panel'!$F$22*AM$1</f>
        <v>0</v>
      </c>
      <c r="AN792" s="133">
        <f>((AN210+AN239)+(AN$353*'ROR-Model'!$M$4))*'Control Panel'!$F$22*AN$1</f>
        <v>0</v>
      </c>
      <c r="AO792" s="133">
        <f>((AO210+AO239)+(AO$353*'ROR-Model'!$M$4))*'Control Panel'!$F$22*AO$1</f>
        <v>0</v>
      </c>
      <c r="AP792" s="133">
        <f>((AP210+AP239)+(AP$353*'ROR-Model'!$M$4))*'Control Panel'!$F$22*AP$1</f>
        <v>0</v>
      </c>
      <c r="AQ792" s="133">
        <f>((AQ210+AQ239)+(AQ$353*'ROR-Model'!$M$4))*'Control Panel'!$F$22*AQ$1</f>
        <v>0</v>
      </c>
      <c r="AR792" s="133">
        <f>((AR210+AR239)+(AR$353*'ROR-Model'!$M$4))*'Control Panel'!$F$22*AR$1</f>
        <v>0</v>
      </c>
      <c r="AS792" s="133">
        <f>((AS210+AS239)+(AS$353*'ROR-Model'!$M$4))*'Control Panel'!$F$22*AS$1</f>
        <v>0</v>
      </c>
      <c r="AT792" s="133"/>
      <c r="AU792" s="133">
        <f>SUM(F792:AT792)</f>
        <v>-841817.97</v>
      </c>
      <c r="AV792" s="116"/>
      <c r="AW792" s="133">
        <f>SUM(AU792:AU792)</f>
        <v>-841817.97</v>
      </c>
      <c r="AX792" s="133">
        <f>+AW792-'ROR-Model'!G793</f>
        <v>0</v>
      </c>
    </row>
    <row r="793" spans="1:50">
      <c r="A793" s="134"/>
      <c r="B793" s="106"/>
      <c r="C793" s="106" t="s">
        <v>24</v>
      </c>
      <c r="D793" s="106"/>
      <c r="E793" s="116">
        <f>E11*((E333)+(E$353*'ROR-Model'!$N$4))*'Control Panel'!$F$22*E$1</f>
        <v>0</v>
      </c>
      <c r="F793" s="116">
        <f>((F333)+(F$353*'ROR-Model'!$N$4))*'Control Panel'!$F$22*F$1</f>
        <v>0</v>
      </c>
      <c r="G793" s="116">
        <f>$G$1*EXPENSES!L285</f>
        <v>0</v>
      </c>
      <c r="H793" s="116"/>
      <c r="I793" s="116">
        <f>((I333)+(I$353*'ROR-Model'!$N$4))*'Control Panel'!$F$22*I$1</f>
        <v>0</v>
      </c>
      <c r="J793" s="116">
        <f>((J333)+(J$353*'ROR-Model'!$N$4))*'Control Panel'!$F$22*J$1</f>
        <v>0</v>
      </c>
      <c r="K793" s="116"/>
      <c r="L793" s="116">
        <f>'Utah Bad Debt'!G30*$L$1</f>
        <v>0</v>
      </c>
      <c r="M793" s="116">
        <f>((M333)+(M$353*'ROR-Model'!$N$4))*'Control Panel'!$F$22*M$1</f>
        <v>0</v>
      </c>
      <c r="N793" s="116">
        <f>((N333)+(N$353*'ROR-Model'!$N$4))*'Control Panel'!$F$22*N$1</f>
        <v>0</v>
      </c>
      <c r="O793" s="116">
        <f>((O333)+(O$353*'ROR-Model'!$N$4))*'Control Panel'!$F$22*O$1</f>
        <v>0</v>
      </c>
      <c r="P793" s="116">
        <f>((P333)+(P$353*'ROR-Model'!$N$4))*'Control Panel'!$F$22*P$1</f>
        <v>0</v>
      </c>
      <c r="Q793" s="133">
        <f>((Q333)+(Q$353*'ROR-Model'!$N$4))*'Control Panel'!$F$22*Q$1</f>
        <v>0</v>
      </c>
      <c r="R793" s="133">
        <f>((R333)+(R$353*'ROR-Model'!$N$4))*'Control Panel'!$F$22*R$1</f>
        <v>0</v>
      </c>
      <c r="S793" s="133"/>
      <c r="T793" s="133">
        <f>((T333)+(T$353*'ROR-Model'!$N$4))*'Control Panel'!$F$22*T$1</f>
        <v>0</v>
      </c>
      <c r="U793" s="133">
        <f>((U333)+(U$353*'ROR-Model'!$N$4))*'Control Panel'!$F$22*U$1</f>
        <v>0</v>
      </c>
      <c r="V793" s="133">
        <f>((V333)+(V$353*'ROR-Model'!$N$4))*'Control Panel'!$F$22*V$1</f>
        <v>0</v>
      </c>
      <c r="W793" s="133">
        <f>((W333)+(W$353*'ROR-Model'!$N$4))*'Control Panel'!$F$22*W$1</f>
        <v>0</v>
      </c>
      <c r="X793" s="133">
        <f>((X333)+(X$353*'ROR-Model'!$N$4))*'Control Panel'!$F$22*X$1</f>
        <v>0</v>
      </c>
      <c r="Y793" s="133">
        <f>((Y333)+(Y$353*'ROR-Model'!$N$4))*'Control Panel'!$F$22*Y$1</f>
        <v>0</v>
      </c>
      <c r="Z793" s="133">
        <f>((Z333)+(Z$353*'ROR-Model'!$N$4))*'Control Panel'!$F$22*Z$1</f>
        <v>0</v>
      </c>
      <c r="AA793" s="133">
        <f>((AA333)+(AA$353*'ROR-Model'!$N$4))*'Control Panel'!$F$22*AA$1</f>
        <v>0</v>
      </c>
      <c r="AB793" s="133">
        <f>((AB333)+(AB$353*'ROR-Model'!$N$4))*'Control Panel'!$F$22*AB$1</f>
        <v>0</v>
      </c>
      <c r="AC793" s="133">
        <f>((AC333)+(AC$353*'ROR-Model'!$N$4))*'Control Panel'!$F$22*AC$1</f>
        <v>0</v>
      </c>
      <c r="AD793" s="133">
        <f>((AD333)+(AD$353*'ROR-Model'!$N$4))*'Control Panel'!$F$22*AD$1</f>
        <v>0</v>
      </c>
      <c r="AE793" s="133">
        <f>((AE333)+(AE$353*'ROR-Model'!$N$4))*'Control Panel'!$F$22*AE$1</f>
        <v>0</v>
      </c>
      <c r="AF793" s="133">
        <f>((AF333)+(AF$353*'ROR-Model'!$N$4))*'Control Panel'!$F$22*AF$1</f>
        <v>0</v>
      </c>
      <c r="AG793" s="133">
        <f>((AG333)+(AG$353*'ROR-Model'!$N$4))*'Control Panel'!$F$22*AG$1</f>
        <v>0</v>
      </c>
      <c r="AH793" s="133">
        <f>((AH333)+(AH$353*'ROR-Model'!$N$4))*'Control Panel'!$F$22*AH$1</f>
        <v>0</v>
      </c>
      <c r="AI793" s="133">
        <f>((AI333)+(AI$353*'ROR-Model'!$N$4))*'Control Panel'!$F$22*AI$1</f>
        <v>0</v>
      </c>
      <c r="AJ793" s="133">
        <f>((AJ333)+(AJ$353*'ROR-Model'!$N$4))*'Control Panel'!$F$22*AJ$1</f>
        <v>0</v>
      </c>
      <c r="AK793" s="133">
        <f>((AK333)+(AK$353*'ROR-Model'!$N$4))*'Control Panel'!$F$22*AK$1</f>
        <v>0</v>
      </c>
      <c r="AL793" s="133">
        <f>((AL333)+(AL$353*'ROR-Model'!$N$4))*'Control Panel'!$F$22*AL$1</f>
        <v>0</v>
      </c>
      <c r="AM793" s="133">
        <f>((AM333)+(AM$353*'ROR-Model'!$N$4))*'Control Panel'!$F$22*AM$1</f>
        <v>0</v>
      </c>
      <c r="AN793" s="133">
        <f>((AN333)+(AN$353*'ROR-Model'!$N$4))*'Control Panel'!$F$22*AN$1</f>
        <v>0</v>
      </c>
      <c r="AO793" s="133">
        <f>((AO333)+(AO$353*'ROR-Model'!$N$4))*'Control Panel'!$F$22*AO$1</f>
        <v>0</v>
      </c>
      <c r="AP793" s="133">
        <f>((AP333)+(AP$353*'ROR-Model'!$N$4))*'Control Panel'!$F$22*AP$1</f>
        <v>0</v>
      </c>
      <c r="AQ793" s="133">
        <f>((AQ333)+(AQ$353*'ROR-Model'!$N$4))*'Control Panel'!$F$22*AQ$1</f>
        <v>0</v>
      </c>
      <c r="AR793" s="133">
        <f>((AR333)+(AR$353*'ROR-Model'!$N$4))*'Control Panel'!$F$22*AR$1</f>
        <v>0</v>
      </c>
      <c r="AS793" s="133">
        <f>((AS333)+(AS$353*'ROR-Model'!$N$4))*'Control Panel'!$F$22*AS$1</f>
        <v>0</v>
      </c>
      <c r="AT793" s="133"/>
      <c r="AU793" s="133">
        <f>SUM(F793:AT793)</f>
        <v>0</v>
      </c>
      <c r="AV793" s="116"/>
      <c r="AW793" s="133">
        <f>SUM(AU793:AU793)</f>
        <v>0</v>
      </c>
      <c r="AX793" s="133">
        <f>+AW793-'ROR-Model'!G794</f>
        <v>0</v>
      </c>
    </row>
    <row r="794" spans="1:50">
      <c r="A794" s="134"/>
      <c r="B794" s="106"/>
      <c r="C794" s="106" t="s">
        <v>170</v>
      </c>
      <c r="D794" s="106"/>
      <c r="E794" s="131">
        <f>E11*SUM(E792:E793)</f>
        <v>0</v>
      </c>
      <c r="F794" s="131">
        <f>SUM(F792:F793)</f>
        <v>0</v>
      </c>
      <c r="G794" s="131">
        <f>SUM(G792:G793)</f>
        <v>0</v>
      </c>
      <c r="H794" s="131">
        <f>H11*SUM(H792:H793)</f>
        <v>0</v>
      </c>
      <c r="I794" s="131">
        <f>SUM(I792:I793)</f>
        <v>0</v>
      </c>
      <c r="J794" s="131">
        <f t="shared" ref="J794:Q794" si="982">SUM(J792:J793)</f>
        <v>0</v>
      </c>
      <c r="K794" s="131">
        <f t="shared" si="982"/>
        <v>0</v>
      </c>
      <c r="L794" s="131">
        <f t="shared" si="982"/>
        <v>-841817.97</v>
      </c>
      <c r="M794" s="131">
        <f t="shared" si="982"/>
        <v>0</v>
      </c>
      <c r="N794" s="131">
        <f t="shared" si="982"/>
        <v>0</v>
      </c>
      <c r="O794" s="131">
        <f t="shared" si="982"/>
        <v>0</v>
      </c>
      <c r="P794" s="131">
        <f t="shared" si="982"/>
        <v>0</v>
      </c>
      <c r="Q794" s="241">
        <f t="shared" si="982"/>
        <v>0</v>
      </c>
      <c r="R794" s="241">
        <f t="shared" ref="R794" si="983">SUM(R792:R793)</f>
        <v>0</v>
      </c>
      <c r="S794" s="556"/>
      <c r="T794" s="556">
        <f t="shared" ref="T794:AG794" si="984">SUM(T792:T793)</f>
        <v>0</v>
      </c>
      <c r="U794" s="556">
        <f t="shared" si="984"/>
        <v>0</v>
      </c>
      <c r="V794" s="556">
        <f t="shared" si="984"/>
        <v>0</v>
      </c>
      <c r="W794" s="556">
        <f t="shared" si="984"/>
        <v>0</v>
      </c>
      <c r="X794" s="556">
        <f t="shared" si="984"/>
        <v>0</v>
      </c>
      <c r="Y794" s="556">
        <f t="shared" si="984"/>
        <v>0</v>
      </c>
      <c r="Z794" s="556">
        <f t="shared" si="984"/>
        <v>0</v>
      </c>
      <c r="AA794" s="556">
        <f t="shared" si="984"/>
        <v>0</v>
      </c>
      <c r="AB794" s="556">
        <f t="shared" si="984"/>
        <v>0</v>
      </c>
      <c r="AC794" s="556">
        <f t="shared" si="984"/>
        <v>0</v>
      </c>
      <c r="AD794" s="556">
        <f t="shared" si="984"/>
        <v>0</v>
      </c>
      <c r="AE794" s="556">
        <f t="shared" si="984"/>
        <v>0</v>
      </c>
      <c r="AF794" s="556">
        <f t="shared" si="984"/>
        <v>0</v>
      </c>
      <c r="AG794" s="556">
        <f t="shared" si="984"/>
        <v>0</v>
      </c>
      <c r="AH794" s="556">
        <f t="shared" ref="AH794:AK794" si="985">SUM(AH792:AH793)</f>
        <v>0</v>
      </c>
      <c r="AI794" s="556">
        <f t="shared" si="985"/>
        <v>0</v>
      </c>
      <c r="AJ794" s="556">
        <f t="shared" si="985"/>
        <v>0</v>
      </c>
      <c r="AK794" s="556">
        <f t="shared" si="985"/>
        <v>0</v>
      </c>
      <c r="AL794" s="556">
        <f t="shared" ref="AL794:AP794" si="986">SUM(AL792:AL793)</f>
        <v>0</v>
      </c>
      <c r="AM794" s="556">
        <f t="shared" si="986"/>
        <v>0</v>
      </c>
      <c r="AN794" s="556">
        <f t="shared" si="986"/>
        <v>0</v>
      </c>
      <c r="AO794" s="556">
        <f t="shared" si="986"/>
        <v>0</v>
      </c>
      <c r="AP794" s="556">
        <f t="shared" si="986"/>
        <v>0</v>
      </c>
      <c r="AQ794" s="556">
        <f t="shared" ref="AQ794:AS794" si="987">SUM(AQ792:AQ793)</f>
        <v>0</v>
      </c>
      <c r="AR794" s="556">
        <f t="shared" si="987"/>
        <v>0</v>
      </c>
      <c r="AS794" s="556">
        <f t="shared" si="987"/>
        <v>0</v>
      </c>
      <c r="AT794" s="556"/>
      <c r="AU794" s="241">
        <f>SUM(AU792:AU793)</f>
        <v>-841817.97</v>
      </c>
      <c r="AV794" s="131"/>
      <c r="AW794" s="241">
        <f>SUM(AW792:AW793)</f>
        <v>-841817.97</v>
      </c>
      <c r="AX794" s="241">
        <f>+AW794-'ROR-Model'!G795</f>
        <v>0</v>
      </c>
    </row>
    <row r="795" spans="1:50">
      <c r="A795" s="134"/>
      <c r="B795" s="106"/>
      <c r="C795" s="106"/>
      <c r="D795" s="10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16"/>
      <c r="AW795" s="133"/>
      <c r="AX795" s="133">
        <f>+AW795-'ROR-Model'!G796</f>
        <v>0</v>
      </c>
    </row>
    <row r="796" spans="1:50">
      <c r="A796" s="134">
        <v>905</v>
      </c>
      <c r="B796" s="106" t="s">
        <v>408</v>
      </c>
      <c r="C796" s="106"/>
      <c r="D796" s="106"/>
      <c r="E796" s="331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16"/>
      <c r="AW796" s="133"/>
      <c r="AX796" s="133">
        <f>+AW796-'ROR-Model'!G797</f>
        <v>0</v>
      </c>
    </row>
    <row r="797" spans="1:50">
      <c r="A797" s="330"/>
      <c r="B797" s="106"/>
      <c r="C797" s="106" t="s">
        <v>14</v>
      </c>
      <c r="D797" s="106"/>
      <c r="E797" s="331"/>
      <c r="F797" s="116"/>
      <c r="G797" s="116">
        <f>$G$1*EXPENSES!L289</f>
        <v>0</v>
      </c>
      <c r="H797" s="116"/>
      <c r="I797" s="116"/>
      <c r="J797" s="116"/>
      <c r="K797" s="116"/>
      <c r="L797" s="116"/>
      <c r="M797" s="116"/>
      <c r="N797" s="116"/>
      <c r="O797" s="116"/>
      <c r="P797" s="116"/>
      <c r="Q797" s="133"/>
      <c r="R797" s="133"/>
      <c r="S797" s="133"/>
      <c r="T797" s="133">
        <f>'Optional Adjustment 2'!G797*$T$1</f>
        <v>0</v>
      </c>
      <c r="U797" s="133">
        <f>'Optional Adjustment 3'!G797*$U$1</f>
        <v>0</v>
      </c>
      <c r="V797" s="133">
        <f>'Optional Adjustment 4'!G797*$V$1</f>
        <v>0</v>
      </c>
      <c r="W797" s="133">
        <f>'Optional Adjustment 5'!G797*$W$1</f>
        <v>0</v>
      </c>
      <c r="X797" s="133">
        <f>'Optional Adjustment 6'!G797*$X$1</f>
        <v>0</v>
      </c>
      <c r="Y797" s="133">
        <f>'Optional Adjustment 7'!G797*$Y$1</f>
        <v>0</v>
      </c>
      <c r="Z797" s="133">
        <f>'Optional Adjustment 8'!G797*$Z$1</f>
        <v>0</v>
      </c>
      <c r="AA797" s="133">
        <f>'Optional Adjustment 9'!G797*$AA$1</f>
        <v>0</v>
      </c>
      <c r="AB797" s="133">
        <f>'Optional Adjustment 10'!G797*$AB$1</f>
        <v>0</v>
      </c>
      <c r="AC797" s="133">
        <f>'Optional Adjustment 11'!G797*$AC$1</f>
        <v>0</v>
      </c>
      <c r="AD797" s="133">
        <f>'Optional Adjustment 12'!G797*$AD$1</f>
        <v>0</v>
      </c>
      <c r="AE797" s="133">
        <f>'Optional Adjustment 13'!G797*$AE$1</f>
        <v>0</v>
      </c>
      <c r="AF797" s="133">
        <f>'Optional Adjustment 14'!G797*$AF$1</f>
        <v>0</v>
      </c>
      <c r="AG797" s="133">
        <f>'Optional Adjustment 15'!G797*$AG$1</f>
        <v>0</v>
      </c>
      <c r="AH797" s="133">
        <f>'Optional Adjustment 16'!G797*$AH$1</f>
        <v>0</v>
      </c>
      <c r="AI797" s="133">
        <f>'Optional Adjustment 17'!G797*$AI$1</f>
        <v>0</v>
      </c>
      <c r="AJ797" s="133">
        <f>'Optional Adjustment 18'!G797*$AJ$1</f>
        <v>0</v>
      </c>
      <c r="AK797" s="133">
        <f>'Optional Adjustment 19'!G797*$AK$1</f>
        <v>0</v>
      </c>
      <c r="AL797" s="133">
        <f>'Optional Adjustment 20'!G797*$AL$1</f>
        <v>0</v>
      </c>
      <c r="AM797" s="133">
        <f>'Optional Adjustment 21'!G797*$AM$1</f>
        <v>0</v>
      </c>
      <c r="AN797" s="133">
        <f>'Optional Adjustment 22'!G797*$AN$1</f>
        <v>0</v>
      </c>
      <c r="AO797" s="133">
        <f>'Optional Adjustment 23'!G797*$AO$1</f>
        <v>0</v>
      </c>
      <c r="AP797" s="133">
        <f>'Optional Adjustment 24'!G797*$AP$1</f>
        <v>0</v>
      </c>
      <c r="AQ797" s="133">
        <f>'Optional Adjustment 25'!G797*$AQ$1</f>
        <v>0</v>
      </c>
      <c r="AR797" s="133">
        <f>'Optional Adjustment 26'!G797*$AR$1</f>
        <v>0</v>
      </c>
      <c r="AS797" s="133">
        <f>'Optional Adjustment 27'!G797*$AS$1</f>
        <v>0</v>
      </c>
      <c r="AT797" s="133"/>
      <c r="AU797" s="133">
        <f>SUM(F797:AT797)</f>
        <v>0</v>
      </c>
      <c r="AV797" s="116"/>
      <c r="AW797" s="133">
        <f>SUM(AU797:AU797)</f>
        <v>0</v>
      </c>
      <c r="AX797" s="133">
        <f>+AW797-'ROR-Model'!G798</f>
        <v>0</v>
      </c>
    </row>
    <row r="798" spans="1:50">
      <c r="A798" s="330"/>
      <c r="B798" s="106"/>
      <c r="C798" s="106" t="s">
        <v>24</v>
      </c>
      <c r="D798" s="106"/>
      <c r="E798" s="331"/>
      <c r="F798" s="116"/>
      <c r="G798" s="116">
        <f>$G$1*EXPENSES!L290</f>
        <v>0</v>
      </c>
      <c r="H798" s="116"/>
      <c r="I798" s="116"/>
      <c r="J798" s="116"/>
      <c r="K798" s="116"/>
      <c r="L798" s="116"/>
      <c r="M798" s="116"/>
      <c r="N798" s="116"/>
      <c r="O798" s="116"/>
      <c r="P798" s="116"/>
      <c r="Q798" s="133"/>
      <c r="R798" s="133"/>
      <c r="S798" s="133"/>
      <c r="T798" s="133">
        <f>'Optional Adjustment 2'!G798*$T$1</f>
        <v>0</v>
      </c>
      <c r="U798" s="133">
        <f>'Optional Adjustment 3'!G798*$U$1</f>
        <v>0</v>
      </c>
      <c r="V798" s="133">
        <f>'Optional Adjustment 4'!G798*$V$1</f>
        <v>0</v>
      </c>
      <c r="W798" s="133">
        <f>'Optional Adjustment 5'!G798*$W$1</f>
        <v>0</v>
      </c>
      <c r="X798" s="133">
        <f>'Optional Adjustment 6'!G798*$X$1</f>
        <v>0</v>
      </c>
      <c r="Y798" s="133">
        <f>'Optional Adjustment 7'!G798*$Y$1</f>
        <v>0</v>
      </c>
      <c r="Z798" s="133">
        <f>'Optional Adjustment 8'!G798*$Z$1</f>
        <v>0</v>
      </c>
      <c r="AA798" s="133">
        <f>'Optional Adjustment 9'!G798*$AA$1</f>
        <v>0</v>
      </c>
      <c r="AB798" s="133">
        <f>'Optional Adjustment 10'!G798*$AB$1</f>
        <v>0</v>
      </c>
      <c r="AC798" s="133">
        <f>'Optional Adjustment 11'!G798*$AC$1</f>
        <v>0</v>
      </c>
      <c r="AD798" s="133">
        <f>'Optional Adjustment 12'!G798*$AD$1</f>
        <v>0</v>
      </c>
      <c r="AE798" s="133">
        <f>'Optional Adjustment 13'!G798*$AE$1</f>
        <v>0</v>
      </c>
      <c r="AF798" s="133">
        <f>'Optional Adjustment 14'!G798*$AF$1</f>
        <v>0</v>
      </c>
      <c r="AG798" s="133">
        <f>'Optional Adjustment 15'!G798*$AG$1</f>
        <v>0</v>
      </c>
      <c r="AH798" s="133">
        <f>'Optional Adjustment 16'!G798*$AH$1</f>
        <v>0</v>
      </c>
      <c r="AI798" s="133">
        <f>'Optional Adjustment 17'!G798*$AI$1</f>
        <v>0</v>
      </c>
      <c r="AJ798" s="133">
        <f>'Optional Adjustment 18'!G798*$AJ$1</f>
        <v>0</v>
      </c>
      <c r="AK798" s="133">
        <f>'Optional Adjustment 19'!G798*$AK$1</f>
        <v>0</v>
      </c>
      <c r="AL798" s="133">
        <f>'Optional Adjustment 20'!G798*$AL$1</f>
        <v>0</v>
      </c>
      <c r="AM798" s="133">
        <f>'Optional Adjustment 21'!G798*$AM$1</f>
        <v>0</v>
      </c>
      <c r="AN798" s="133">
        <f>'Optional Adjustment 22'!G798*$AN$1</f>
        <v>0</v>
      </c>
      <c r="AO798" s="133">
        <f>'Optional Adjustment 23'!G798*$AO$1</f>
        <v>0</v>
      </c>
      <c r="AP798" s="133">
        <f>'Optional Adjustment 24'!G798*$AP$1</f>
        <v>0</v>
      </c>
      <c r="AQ798" s="133">
        <f>'Optional Adjustment 25'!G798*$AQ$1</f>
        <v>0</v>
      </c>
      <c r="AR798" s="133">
        <f>'Optional Adjustment 26'!G798*$AR$1</f>
        <v>0</v>
      </c>
      <c r="AS798" s="133">
        <f>'Optional Adjustment 27'!G798*$AS$1</f>
        <v>0</v>
      </c>
      <c r="AT798" s="133"/>
      <c r="AU798" s="133">
        <f>SUM(F798:AT798)</f>
        <v>0</v>
      </c>
      <c r="AV798" s="116"/>
      <c r="AW798" s="133">
        <f>SUM(AU798:AU798)</f>
        <v>0</v>
      </c>
      <c r="AX798" s="133">
        <f>+AW798-'ROR-Model'!G799</f>
        <v>0</v>
      </c>
    </row>
    <row r="799" spans="1:50">
      <c r="A799" s="330"/>
      <c r="B799" s="106"/>
      <c r="C799" s="106" t="s">
        <v>170</v>
      </c>
      <c r="D799" s="106"/>
      <c r="E799" s="331"/>
      <c r="F799" s="131">
        <f>SUM(F797:F798)</f>
        <v>0</v>
      </c>
      <c r="G799" s="131">
        <f>SUM(G797:G798)</f>
        <v>0</v>
      </c>
      <c r="H799" s="131">
        <f>H1*SUM(H797:H798)</f>
        <v>0</v>
      </c>
      <c r="I799" s="131">
        <f>SUM(I797:I798)</f>
        <v>0</v>
      </c>
      <c r="J799" s="131">
        <f t="shared" ref="J799:P799" si="988">SUM(J797:J798)</f>
        <v>0</v>
      </c>
      <c r="K799" s="131">
        <f t="shared" si="988"/>
        <v>0</v>
      </c>
      <c r="L799" s="131">
        <f t="shared" si="988"/>
        <v>0</v>
      </c>
      <c r="M799" s="131">
        <f t="shared" si="988"/>
        <v>0</v>
      </c>
      <c r="N799" s="131">
        <f t="shared" si="988"/>
        <v>0</v>
      </c>
      <c r="O799" s="131">
        <f t="shared" si="988"/>
        <v>0</v>
      </c>
      <c r="P799" s="131">
        <f t="shared" si="988"/>
        <v>0</v>
      </c>
      <c r="Q799" s="241">
        <f>SUM(Q797:Q798)</f>
        <v>0</v>
      </c>
      <c r="R799" s="241">
        <f>SUM(R797:R798)</f>
        <v>0</v>
      </c>
      <c r="S799" s="556">
        <f t="shared" ref="S799:AG799" si="989">SUM(S797:S798)</f>
        <v>0</v>
      </c>
      <c r="T799" s="556">
        <f t="shared" si="989"/>
        <v>0</v>
      </c>
      <c r="U799" s="556">
        <f t="shared" si="989"/>
        <v>0</v>
      </c>
      <c r="V799" s="556">
        <f t="shared" si="989"/>
        <v>0</v>
      </c>
      <c r="W799" s="556">
        <f t="shared" si="989"/>
        <v>0</v>
      </c>
      <c r="X799" s="556">
        <f t="shared" si="989"/>
        <v>0</v>
      </c>
      <c r="Y799" s="556">
        <f t="shared" si="989"/>
        <v>0</v>
      </c>
      <c r="Z799" s="556">
        <f t="shared" si="989"/>
        <v>0</v>
      </c>
      <c r="AA799" s="556">
        <f t="shared" si="989"/>
        <v>0</v>
      </c>
      <c r="AB799" s="556">
        <f t="shared" si="989"/>
        <v>0</v>
      </c>
      <c r="AC799" s="556">
        <f t="shared" si="989"/>
        <v>0</v>
      </c>
      <c r="AD799" s="556">
        <f t="shared" si="989"/>
        <v>0</v>
      </c>
      <c r="AE799" s="556">
        <f t="shared" si="989"/>
        <v>0</v>
      </c>
      <c r="AF799" s="556">
        <f t="shared" si="989"/>
        <v>0</v>
      </c>
      <c r="AG799" s="556">
        <f t="shared" si="989"/>
        <v>0</v>
      </c>
      <c r="AH799" s="556">
        <f t="shared" ref="AH799:AK799" si="990">SUM(AH797:AH798)</f>
        <v>0</v>
      </c>
      <c r="AI799" s="556">
        <f t="shared" si="990"/>
        <v>0</v>
      </c>
      <c r="AJ799" s="556">
        <f t="shared" si="990"/>
        <v>0</v>
      </c>
      <c r="AK799" s="556">
        <f t="shared" si="990"/>
        <v>0</v>
      </c>
      <c r="AL799" s="556">
        <f t="shared" ref="AL799:AP799" si="991">SUM(AL797:AL798)</f>
        <v>0</v>
      </c>
      <c r="AM799" s="556">
        <f t="shared" si="991"/>
        <v>0</v>
      </c>
      <c r="AN799" s="556">
        <f t="shared" si="991"/>
        <v>0</v>
      </c>
      <c r="AO799" s="556">
        <f t="shared" si="991"/>
        <v>0</v>
      </c>
      <c r="AP799" s="556">
        <f t="shared" si="991"/>
        <v>0</v>
      </c>
      <c r="AQ799" s="556">
        <f t="shared" ref="AQ799:AS799" si="992">SUM(AQ797:AQ798)</f>
        <v>0</v>
      </c>
      <c r="AR799" s="556">
        <f t="shared" si="992"/>
        <v>0</v>
      </c>
      <c r="AS799" s="556">
        <f t="shared" si="992"/>
        <v>0</v>
      </c>
      <c r="AT799" s="556"/>
      <c r="AU799" s="241">
        <f>SUM(AU797:AU798)</f>
        <v>0</v>
      </c>
      <c r="AV799" s="131"/>
      <c r="AW799" s="241">
        <f>SUM(AW797:AW798)</f>
        <v>0</v>
      </c>
      <c r="AX799" s="241">
        <f>+AW799-'ROR-Model'!G800</f>
        <v>0</v>
      </c>
    </row>
    <row r="800" spans="1:50" ht="13.5" thickBot="1">
      <c r="A800" s="330"/>
      <c r="B800" s="106"/>
      <c r="C800" s="106"/>
      <c r="D800" s="106"/>
      <c r="E800" s="331"/>
      <c r="F800" s="235"/>
      <c r="G800" s="235"/>
      <c r="H800" s="235"/>
      <c r="I800" s="235"/>
      <c r="J800" s="235"/>
      <c r="K800" s="235"/>
      <c r="L800" s="235"/>
      <c r="M800" s="235"/>
      <c r="N800" s="235"/>
      <c r="O800" s="235"/>
      <c r="P800" s="235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  <c r="AA800" s="242"/>
      <c r="AB800" s="242"/>
      <c r="AC800" s="242"/>
      <c r="AD800" s="242"/>
      <c r="AE800" s="242"/>
      <c r="AF800" s="242"/>
      <c r="AG800" s="242"/>
      <c r="AH800" s="242"/>
      <c r="AI800" s="242"/>
      <c r="AJ800" s="242"/>
      <c r="AK800" s="242"/>
      <c r="AL800" s="242"/>
      <c r="AM800" s="242"/>
      <c r="AN800" s="242"/>
      <c r="AO800" s="242"/>
      <c r="AP800" s="242"/>
      <c r="AQ800" s="242"/>
      <c r="AR800" s="242"/>
      <c r="AS800" s="242"/>
      <c r="AT800" s="242"/>
      <c r="AU800" s="242"/>
      <c r="AV800" s="235"/>
      <c r="AW800" s="242"/>
      <c r="AX800" s="242">
        <f>+AW800-'ROR-Model'!G801</f>
        <v>0</v>
      </c>
    </row>
    <row r="801" spans="1:50" ht="13.5" thickTop="1">
      <c r="A801" s="59" t="s">
        <v>646</v>
      </c>
      <c r="B801" s="106"/>
      <c r="C801" s="106"/>
      <c r="D801" s="106"/>
      <c r="E801" s="331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16"/>
      <c r="AW801" s="133"/>
      <c r="AX801" s="133">
        <f>+AW801-'ROR-Model'!G802</f>
        <v>0</v>
      </c>
    </row>
    <row r="802" spans="1:50">
      <c r="A802" s="330"/>
      <c r="B802" s="106" t="s">
        <v>647</v>
      </c>
      <c r="C802" s="106"/>
      <c r="D802" s="106"/>
      <c r="E802" s="331"/>
      <c r="F802" s="116">
        <f t="shared" ref="F802:L802" si="993">F757+F762+F767+F772+F777+F782+F797+F792+F787</f>
        <v>0</v>
      </c>
      <c r="G802" s="116">
        <f t="shared" ref="G802" si="994">G757+G762+G767+G772+G777+G782+G797+G792+G787</f>
        <v>-329081.44808611757</v>
      </c>
      <c r="H802" s="116">
        <f t="shared" si="993"/>
        <v>0</v>
      </c>
      <c r="I802" s="116">
        <f t="shared" si="993"/>
        <v>0</v>
      </c>
      <c r="J802" s="116">
        <f t="shared" si="993"/>
        <v>0</v>
      </c>
      <c r="K802" s="116">
        <f t="shared" si="993"/>
        <v>0</v>
      </c>
      <c r="L802" s="116">
        <f t="shared" si="993"/>
        <v>-961738.1107736245</v>
      </c>
      <c r="M802" s="116">
        <f t="shared" ref="M802:Q802" si="995">M757+M762+M767+M772+M777+M782+M797+M792+M787</f>
        <v>0</v>
      </c>
      <c r="N802" s="116">
        <f t="shared" si="995"/>
        <v>0</v>
      </c>
      <c r="O802" s="116">
        <f t="shared" si="995"/>
        <v>0</v>
      </c>
      <c r="P802" s="116">
        <f t="shared" si="995"/>
        <v>0</v>
      </c>
      <c r="Q802" s="116">
        <f t="shared" si="995"/>
        <v>0</v>
      </c>
      <c r="R802" s="116">
        <f t="shared" ref="R802" si="996">R757+R762+R767+R772+R777+R782+R797+R792+R787</f>
        <v>0</v>
      </c>
      <c r="S802" s="116">
        <f t="shared" ref="S802:T802" si="997">S757+S762+S767+S772+S777+S782+S797+S792+S787</f>
        <v>0</v>
      </c>
      <c r="T802" s="116">
        <f t="shared" si="997"/>
        <v>0</v>
      </c>
      <c r="U802" s="116">
        <f t="shared" ref="U802:W802" si="998">U757+U762+U767+U772+U777+U782+U797+U792+U787</f>
        <v>0</v>
      </c>
      <c r="V802" s="116">
        <f t="shared" ref="V802" si="999">V757+V762+V767+V772+V777+V782+V797+V792+V787</f>
        <v>0</v>
      </c>
      <c r="W802" s="116">
        <f t="shared" si="998"/>
        <v>0</v>
      </c>
      <c r="X802" s="116">
        <f t="shared" ref="X802:AG802" si="1000">X757+X762+X767+X772+X777+X782+X797+X792+X787</f>
        <v>0</v>
      </c>
      <c r="Y802" s="116">
        <f t="shared" si="1000"/>
        <v>0</v>
      </c>
      <c r="Z802" s="116">
        <f t="shared" si="1000"/>
        <v>0</v>
      </c>
      <c r="AA802" s="116">
        <f t="shared" si="1000"/>
        <v>0</v>
      </c>
      <c r="AB802" s="116">
        <f t="shared" si="1000"/>
        <v>0</v>
      </c>
      <c r="AC802" s="116">
        <f t="shared" si="1000"/>
        <v>0</v>
      </c>
      <c r="AD802" s="116">
        <f t="shared" si="1000"/>
        <v>0</v>
      </c>
      <c r="AE802" s="116">
        <f t="shared" si="1000"/>
        <v>0</v>
      </c>
      <c r="AF802" s="116">
        <f t="shared" si="1000"/>
        <v>0</v>
      </c>
      <c r="AG802" s="116">
        <f t="shared" si="1000"/>
        <v>0</v>
      </c>
      <c r="AH802" s="116">
        <f t="shared" ref="AH802:AK802" si="1001">AH757+AH762+AH767+AH772+AH777+AH782+AH797+AH792+AH787</f>
        <v>0</v>
      </c>
      <c r="AI802" s="116">
        <f t="shared" si="1001"/>
        <v>0</v>
      </c>
      <c r="AJ802" s="116">
        <f t="shared" si="1001"/>
        <v>0</v>
      </c>
      <c r="AK802" s="116">
        <f t="shared" si="1001"/>
        <v>0</v>
      </c>
      <c r="AL802" s="116">
        <f t="shared" ref="AL802:AP802" si="1002">AL757+AL762+AL767+AL772+AL777+AL782+AL797+AL792+AL787</f>
        <v>0</v>
      </c>
      <c r="AM802" s="116">
        <f t="shared" si="1002"/>
        <v>0</v>
      </c>
      <c r="AN802" s="116">
        <f t="shared" si="1002"/>
        <v>0</v>
      </c>
      <c r="AO802" s="116">
        <f t="shared" si="1002"/>
        <v>0</v>
      </c>
      <c r="AP802" s="116">
        <f t="shared" si="1002"/>
        <v>0</v>
      </c>
      <c r="AQ802" s="116">
        <f t="shared" ref="AQ802:AT802" si="1003">AQ757+AQ762+AQ767+AQ772+AQ777+AQ782+AQ797+AQ792+AQ787</f>
        <v>0</v>
      </c>
      <c r="AR802" s="116">
        <f t="shared" si="1003"/>
        <v>0</v>
      </c>
      <c r="AS802" s="116">
        <f t="shared" si="1003"/>
        <v>0</v>
      </c>
      <c r="AT802" s="116">
        <f t="shared" si="1003"/>
        <v>0</v>
      </c>
      <c r="AU802" s="133">
        <f>AU757+AU762+AU767+AU772+AU777+AU782+AU797+AU787+AU792</f>
        <v>-1290819.558859742</v>
      </c>
      <c r="AV802" s="116"/>
      <c r="AW802" s="133">
        <f>AW757+AW762+AW767+AW772+AW777+AW782+AW797+AW787+AW792</f>
        <v>-1290819.558859742</v>
      </c>
      <c r="AX802" s="133">
        <f>+AW802-'ROR-Model'!G803</f>
        <v>0</v>
      </c>
    </row>
    <row r="803" spans="1:50">
      <c r="A803" s="330"/>
      <c r="B803" s="106" t="s">
        <v>649</v>
      </c>
      <c r="C803" s="106"/>
      <c r="D803" s="106"/>
      <c r="E803" s="331"/>
      <c r="F803" s="116">
        <f>F758+F763+F768+F773+F778+F783+F798</f>
        <v>0</v>
      </c>
      <c r="G803" s="116">
        <f>G758+G763+G768+G773+G778+G783+G798</f>
        <v>12661.82947222505</v>
      </c>
      <c r="H803" s="116">
        <f>H1*H758+H763+H768+H773+H778+H783+H798</f>
        <v>0</v>
      </c>
      <c r="I803" s="116">
        <f>I758+I763+I768+I773+I778+I783+I798</f>
        <v>0</v>
      </c>
      <c r="J803" s="116">
        <f t="shared" ref="J803:O803" si="1004">J758+J763+J768+J773+J778+J783+J798</f>
        <v>0</v>
      </c>
      <c r="K803" s="116">
        <f t="shared" si="1004"/>
        <v>0</v>
      </c>
      <c r="L803" s="116">
        <f t="shared" si="1004"/>
        <v>-63801.19999999999</v>
      </c>
      <c r="M803" s="116">
        <f t="shared" si="1004"/>
        <v>0</v>
      </c>
      <c r="N803" s="116">
        <f t="shared" si="1004"/>
        <v>0</v>
      </c>
      <c r="O803" s="116">
        <f t="shared" si="1004"/>
        <v>0</v>
      </c>
      <c r="P803" s="116">
        <f>P758+P763+P768+P773+P778+P783+P798</f>
        <v>0</v>
      </c>
      <c r="Q803" s="133">
        <f>Q758+Q763+Q768+Q773+Q778+Q783+Q798</f>
        <v>0</v>
      </c>
      <c r="R803" s="133">
        <f>R758+R763+R768+R773+R778+R783+R798</f>
        <v>0</v>
      </c>
      <c r="S803" s="133">
        <f t="shared" ref="S803:AG803" si="1005">S758+S763+S768+S773+S778+S783+S798</f>
        <v>0</v>
      </c>
      <c r="T803" s="133">
        <f t="shared" si="1005"/>
        <v>0</v>
      </c>
      <c r="U803" s="133">
        <f t="shared" si="1005"/>
        <v>0</v>
      </c>
      <c r="V803" s="133">
        <f t="shared" si="1005"/>
        <v>0</v>
      </c>
      <c r="W803" s="133">
        <f t="shared" si="1005"/>
        <v>0</v>
      </c>
      <c r="X803" s="133">
        <f t="shared" si="1005"/>
        <v>0</v>
      </c>
      <c r="Y803" s="133">
        <f t="shared" si="1005"/>
        <v>0</v>
      </c>
      <c r="Z803" s="133">
        <f t="shared" si="1005"/>
        <v>0</v>
      </c>
      <c r="AA803" s="133">
        <f t="shared" si="1005"/>
        <v>0</v>
      </c>
      <c r="AB803" s="133">
        <f t="shared" si="1005"/>
        <v>0</v>
      </c>
      <c r="AC803" s="133">
        <f t="shared" si="1005"/>
        <v>0</v>
      </c>
      <c r="AD803" s="133">
        <f t="shared" si="1005"/>
        <v>0</v>
      </c>
      <c r="AE803" s="133">
        <f t="shared" si="1005"/>
        <v>0</v>
      </c>
      <c r="AF803" s="133">
        <f t="shared" si="1005"/>
        <v>0</v>
      </c>
      <c r="AG803" s="133">
        <f t="shared" si="1005"/>
        <v>0</v>
      </c>
      <c r="AH803" s="133">
        <f t="shared" ref="AH803:AK803" si="1006">AH758+AH763+AH768+AH773+AH778+AH783+AH798</f>
        <v>0</v>
      </c>
      <c r="AI803" s="133">
        <f t="shared" si="1006"/>
        <v>0</v>
      </c>
      <c r="AJ803" s="133">
        <f t="shared" si="1006"/>
        <v>0</v>
      </c>
      <c r="AK803" s="133">
        <f t="shared" si="1006"/>
        <v>0</v>
      </c>
      <c r="AL803" s="133">
        <f t="shared" ref="AL803:AP803" si="1007">AL758+AL763+AL768+AL773+AL778+AL783+AL798</f>
        <v>0</v>
      </c>
      <c r="AM803" s="133">
        <f t="shared" si="1007"/>
        <v>0</v>
      </c>
      <c r="AN803" s="133">
        <f t="shared" si="1007"/>
        <v>0</v>
      </c>
      <c r="AO803" s="133">
        <f t="shared" si="1007"/>
        <v>0</v>
      </c>
      <c r="AP803" s="133">
        <f t="shared" si="1007"/>
        <v>0</v>
      </c>
      <c r="AQ803" s="133">
        <f t="shared" ref="AQ803:AT803" si="1008">AQ758+AQ763+AQ768+AQ773+AQ778+AQ783+AQ798</f>
        <v>0</v>
      </c>
      <c r="AR803" s="133">
        <f t="shared" si="1008"/>
        <v>0</v>
      </c>
      <c r="AS803" s="133">
        <f t="shared" si="1008"/>
        <v>0</v>
      </c>
      <c r="AT803" s="133">
        <f t="shared" si="1008"/>
        <v>0</v>
      </c>
      <c r="AU803" s="133">
        <f>AU758+AU763+AU768+AU773+AU778+AU783+AU798</f>
        <v>-51139.37052777494</v>
      </c>
      <c r="AV803" s="116"/>
      <c r="AW803" s="133">
        <f>AW758+AW763+AW768+AW773+AW778+AW783+AW798</f>
        <v>-51139.37052777494</v>
      </c>
      <c r="AX803" s="133">
        <f>+AW803-'ROR-Model'!G804</f>
        <v>0</v>
      </c>
    </row>
    <row r="804" spans="1:50" ht="13.5" thickBot="1">
      <c r="A804" s="330"/>
      <c r="B804" s="106"/>
      <c r="C804" s="106"/>
      <c r="D804" s="106"/>
      <c r="E804" s="331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62"/>
      <c r="R804" s="262"/>
      <c r="S804" s="558"/>
      <c r="T804" s="558"/>
      <c r="U804" s="558"/>
      <c r="V804" s="558"/>
      <c r="W804" s="558"/>
      <c r="X804" s="558"/>
      <c r="Y804" s="558"/>
      <c r="Z804" s="558"/>
      <c r="AA804" s="558"/>
      <c r="AB804" s="558"/>
      <c r="AC804" s="558"/>
      <c r="AD804" s="558"/>
      <c r="AE804" s="558"/>
      <c r="AF804" s="558"/>
      <c r="AG804" s="558"/>
      <c r="AH804" s="558"/>
      <c r="AI804" s="558"/>
      <c r="AJ804" s="558"/>
      <c r="AK804" s="558"/>
      <c r="AL804" s="558"/>
      <c r="AM804" s="558"/>
      <c r="AN804" s="558"/>
      <c r="AO804" s="558"/>
      <c r="AP804" s="558"/>
      <c r="AQ804" s="558"/>
      <c r="AR804" s="558"/>
      <c r="AS804" s="558"/>
      <c r="AT804" s="558"/>
      <c r="AU804" s="262"/>
      <c r="AV804" s="236"/>
      <c r="AW804" s="262"/>
      <c r="AX804" s="262">
        <f>+AW804-'ROR-Model'!G805</f>
        <v>0</v>
      </c>
    </row>
    <row r="805" spans="1:50">
      <c r="A805" s="330"/>
      <c r="B805" s="61" t="s">
        <v>646</v>
      </c>
      <c r="C805" s="106"/>
      <c r="D805" s="106"/>
      <c r="E805" s="331"/>
      <c r="F805" s="116">
        <f t="shared" ref="F805:L805" si="1009">F759+F764+F769+F774+F794+F789+F784+F799+F779</f>
        <v>0</v>
      </c>
      <c r="G805" s="116">
        <f t="shared" ref="G805" si="1010">G759+G764+G769+G774+G794+G789+G784+G799+G779</f>
        <v>-316419.61861389253</v>
      </c>
      <c r="H805" s="116">
        <f t="shared" si="1009"/>
        <v>0</v>
      </c>
      <c r="I805" s="116">
        <f t="shared" si="1009"/>
        <v>0</v>
      </c>
      <c r="J805" s="116">
        <f t="shared" si="1009"/>
        <v>0</v>
      </c>
      <c r="K805" s="116">
        <f t="shared" si="1009"/>
        <v>0</v>
      </c>
      <c r="L805" s="116">
        <f t="shared" si="1009"/>
        <v>-1025539.3107736245</v>
      </c>
      <c r="M805" s="116">
        <f t="shared" ref="M805:Q805" si="1011">M759+M764+M769+M774+M794+M789+M784+M799+M779</f>
        <v>0</v>
      </c>
      <c r="N805" s="116">
        <f t="shared" si="1011"/>
        <v>0</v>
      </c>
      <c r="O805" s="116">
        <f t="shared" si="1011"/>
        <v>0</v>
      </c>
      <c r="P805" s="116">
        <f t="shared" si="1011"/>
        <v>0</v>
      </c>
      <c r="Q805" s="116">
        <f t="shared" si="1011"/>
        <v>0</v>
      </c>
      <c r="R805" s="116">
        <f t="shared" ref="R805" si="1012">R759+R764+R769+R774+R794+R789+R784+R799+R779</f>
        <v>0</v>
      </c>
      <c r="S805" s="116">
        <f t="shared" ref="S805:T805" si="1013">S759+S764+S769+S774+S794+S789+S784+S799+S779</f>
        <v>0</v>
      </c>
      <c r="T805" s="116">
        <f t="shared" si="1013"/>
        <v>0</v>
      </c>
      <c r="U805" s="116">
        <f t="shared" ref="U805:W805" si="1014">U759+U764+U769+U774+U794+U789+U784+U799+U779</f>
        <v>0</v>
      </c>
      <c r="V805" s="116">
        <f t="shared" ref="V805" si="1015">V759+V764+V769+V774+V794+V789+V784+V799+V779</f>
        <v>0</v>
      </c>
      <c r="W805" s="116">
        <f t="shared" si="1014"/>
        <v>0</v>
      </c>
      <c r="X805" s="116">
        <f t="shared" ref="X805:AG805" si="1016">X759+X764+X769+X774+X794+X789+X784+X799+X779</f>
        <v>0</v>
      </c>
      <c r="Y805" s="116">
        <f t="shared" si="1016"/>
        <v>0</v>
      </c>
      <c r="Z805" s="116">
        <f t="shared" si="1016"/>
        <v>0</v>
      </c>
      <c r="AA805" s="116">
        <f t="shared" si="1016"/>
        <v>0</v>
      </c>
      <c r="AB805" s="116">
        <f t="shared" si="1016"/>
        <v>0</v>
      </c>
      <c r="AC805" s="116">
        <f t="shared" si="1016"/>
        <v>0</v>
      </c>
      <c r="AD805" s="116">
        <f t="shared" si="1016"/>
        <v>0</v>
      </c>
      <c r="AE805" s="116">
        <f t="shared" si="1016"/>
        <v>0</v>
      </c>
      <c r="AF805" s="116">
        <f t="shared" si="1016"/>
        <v>0</v>
      </c>
      <c r="AG805" s="116">
        <f t="shared" si="1016"/>
        <v>0</v>
      </c>
      <c r="AH805" s="116">
        <f t="shared" ref="AH805:AK805" si="1017">AH759+AH764+AH769+AH774+AH794+AH789+AH784+AH799+AH779</f>
        <v>0</v>
      </c>
      <c r="AI805" s="116">
        <f t="shared" si="1017"/>
        <v>0</v>
      </c>
      <c r="AJ805" s="116">
        <f t="shared" si="1017"/>
        <v>0</v>
      </c>
      <c r="AK805" s="116">
        <f t="shared" si="1017"/>
        <v>0</v>
      </c>
      <c r="AL805" s="116">
        <f t="shared" ref="AL805:AP805" si="1018">AL759+AL764+AL769+AL774+AL794+AL789+AL784+AL799+AL779</f>
        <v>0</v>
      </c>
      <c r="AM805" s="116">
        <f t="shared" si="1018"/>
        <v>0</v>
      </c>
      <c r="AN805" s="116">
        <f t="shared" si="1018"/>
        <v>0</v>
      </c>
      <c r="AO805" s="116">
        <f t="shared" si="1018"/>
        <v>0</v>
      </c>
      <c r="AP805" s="116">
        <f t="shared" si="1018"/>
        <v>0</v>
      </c>
      <c r="AQ805" s="116">
        <f t="shared" ref="AQ805:AT805" si="1019">AQ759+AQ764+AQ769+AQ774+AQ794+AQ789+AQ784+AQ799+AQ779</f>
        <v>0</v>
      </c>
      <c r="AR805" s="116">
        <f t="shared" si="1019"/>
        <v>0</v>
      </c>
      <c r="AS805" s="116">
        <f t="shared" si="1019"/>
        <v>0</v>
      </c>
      <c r="AT805" s="116">
        <f t="shared" si="1019"/>
        <v>0</v>
      </c>
      <c r="AU805" s="133">
        <f>AU759+AU764+AU769+AU774+AU779+AU784+AU799+AU789+AU794</f>
        <v>-1341958.929387517</v>
      </c>
      <c r="AV805" s="116"/>
      <c r="AW805" s="133">
        <f>AW759+AW764+AW769+AW774+AW779+AW784+AW799+AW789+AW794</f>
        <v>-1341958.929387517</v>
      </c>
      <c r="AX805" s="133">
        <f>+AW805-'ROR-Model'!G806</f>
        <v>0</v>
      </c>
    </row>
    <row r="806" spans="1:50">
      <c r="A806" s="330"/>
      <c r="B806" s="106"/>
      <c r="C806" s="106"/>
      <c r="D806" s="106"/>
      <c r="E806" s="331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16"/>
      <c r="AW806" s="133"/>
      <c r="AX806" s="133">
        <f>+AW806-'ROR-Model'!G807</f>
        <v>0</v>
      </c>
    </row>
    <row r="807" spans="1:50">
      <c r="A807" s="59" t="s">
        <v>409</v>
      </c>
      <c r="B807" s="106"/>
      <c r="C807" s="106"/>
      <c r="D807" s="106"/>
      <c r="E807" s="331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16"/>
      <c r="AW807" s="133"/>
      <c r="AX807" s="133">
        <f>+AW807-'ROR-Model'!G808</f>
        <v>0</v>
      </c>
    </row>
    <row r="808" spans="1:50">
      <c r="A808" s="330"/>
      <c r="B808" s="106"/>
      <c r="C808" s="106"/>
      <c r="D808" s="106"/>
      <c r="E808" s="331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16"/>
      <c r="AW808" s="133"/>
      <c r="AX808" s="133">
        <f>+AW808-'ROR-Model'!G809</f>
        <v>0</v>
      </c>
    </row>
    <row r="809" spans="1:50">
      <c r="A809" s="134">
        <v>907</v>
      </c>
      <c r="B809" s="106" t="s">
        <v>402</v>
      </c>
      <c r="C809" s="106"/>
      <c r="D809" s="106"/>
      <c r="E809" s="331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16"/>
      <c r="AW809" s="133"/>
      <c r="AX809" s="133">
        <f>+AW809-'ROR-Model'!G810</f>
        <v>0</v>
      </c>
    </row>
    <row r="810" spans="1:50">
      <c r="A810" s="134"/>
      <c r="B810" s="106"/>
      <c r="C810" s="106" t="s">
        <v>14</v>
      </c>
      <c r="D810" s="106"/>
      <c r="E810" s="331"/>
      <c r="F810" s="116"/>
      <c r="G810" s="116">
        <f>$G$1*EXPENSES!L303</f>
        <v>-5416.3896179322037</v>
      </c>
      <c r="H810" s="116"/>
      <c r="I810" s="116"/>
      <c r="J810" s="116"/>
      <c r="K810" s="116"/>
      <c r="L810" s="116"/>
      <c r="M810" s="116"/>
      <c r="N810" s="116"/>
      <c r="O810" s="116"/>
      <c r="P810" s="116"/>
      <c r="Q810" s="133"/>
      <c r="R810" s="133"/>
      <c r="S810" s="133"/>
      <c r="T810" s="133">
        <f>'Optional Adjustment 2'!G810*$T$1</f>
        <v>0</v>
      </c>
      <c r="U810" s="133">
        <f>'Optional Adjustment 3'!G810*$U$1</f>
        <v>0</v>
      </c>
      <c r="V810" s="133">
        <f>'Optional Adjustment 4'!G810*$V$1</f>
        <v>0</v>
      </c>
      <c r="W810" s="133">
        <f>'Optional Adjustment 5'!G810*$W$1</f>
        <v>0</v>
      </c>
      <c r="X810" s="133">
        <f>'Optional Adjustment 6'!G810*$X$1</f>
        <v>0</v>
      </c>
      <c r="Y810" s="133">
        <f>'Optional Adjustment 7'!G810*$Y$1</f>
        <v>0</v>
      </c>
      <c r="Z810" s="133">
        <f>'Optional Adjustment 8'!G810*$Z$1</f>
        <v>0</v>
      </c>
      <c r="AA810" s="133">
        <f>'Optional Adjustment 9'!G810*$AA$1</f>
        <v>0</v>
      </c>
      <c r="AB810" s="133">
        <f>'Optional Adjustment 10'!G810*$AB$1</f>
        <v>0</v>
      </c>
      <c r="AC810" s="133">
        <f>'Optional Adjustment 11'!G810*$AC$1</f>
        <v>0</v>
      </c>
      <c r="AD810" s="133">
        <f>'Optional Adjustment 12'!G810*$AD$1</f>
        <v>0</v>
      </c>
      <c r="AE810" s="133">
        <f>'Optional Adjustment 13'!G810*$AE$1</f>
        <v>0</v>
      </c>
      <c r="AF810" s="133">
        <f>'Optional Adjustment 14'!G810*$AF$1</f>
        <v>0</v>
      </c>
      <c r="AG810" s="133">
        <f>'Optional Adjustment 15'!G810*$AG$1</f>
        <v>0</v>
      </c>
      <c r="AH810" s="133">
        <f>'Optional Adjustment 16'!G810*$AH$1</f>
        <v>0</v>
      </c>
      <c r="AI810" s="133">
        <f>'Optional Adjustment 17'!G810*$AI$1</f>
        <v>0</v>
      </c>
      <c r="AJ810" s="133">
        <f>'Optional Adjustment 18'!G810*$AJ$1</f>
        <v>0</v>
      </c>
      <c r="AK810" s="133">
        <f>'Optional Adjustment 19'!G810*$AK$1</f>
        <v>0</v>
      </c>
      <c r="AL810" s="133">
        <f>'Optional Adjustment 20'!G810*$AL$1</f>
        <v>0</v>
      </c>
      <c r="AM810" s="133">
        <f>'Optional Adjustment 21'!G810*$AM$1</f>
        <v>0</v>
      </c>
      <c r="AN810" s="133">
        <f>'Optional Adjustment 22'!G810*$AN$1</f>
        <v>0</v>
      </c>
      <c r="AO810" s="133">
        <f>'Optional Adjustment 23'!G810*$AO$1</f>
        <v>0</v>
      </c>
      <c r="AP810" s="133">
        <f>'Optional Adjustment 24'!G810*$AP$1</f>
        <v>0</v>
      </c>
      <c r="AQ810" s="133">
        <f>'Optional Adjustment 25'!G810*$AQ$1</f>
        <v>0</v>
      </c>
      <c r="AR810" s="133">
        <f>'Optional Adjustment 26'!G810*$AR$1</f>
        <v>0</v>
      </c>
      <c r="AS810" s="133">
        <f>'Optional Adjustment 27'!G810*$AS$1</f>
        <v>0</v>
      </c>
      <c r="AT810" s="133"/>
      <c r="AU810" s="133">
        <f>SUM(F810:AT810)</f>
        <v>-5416.3896179322037</v>
      </c>
      <c r="AV810" s="116"/>
      <c r="AW810" s="133">
        <f>SUM(AU810:AU810)</f>
        <v>-5416.3896179322037</v>
      </c>
      <c r="AX810" s="133">
        <f>+AW810-'ROR-Model'!G811</f>
        <v>0</v>
      </c>
    </row>
    <row r="811" spans="1:50">
      <c r="A811" s="134"/>
      <c r="B811" s="106"/>
      <c r="C811" s="106" t="s">
        <v>24</v>
      </c>
      <c r="D811" s="106"/>
      <c r="E811" s="331"/>
      <c r="F811" s="116"/>
      <c r="G811" s="116">
        <f>$G$1*EXPENSES!L304</f>
        <v>420.70477145999757</v>
      </c>
      <c r="H811" s="116"/>
      <c r="I811" s="116"/>
      <c r="J811" s="116"/>
      <c r="K811" s="116"/>
      <c r="L811" s="116"/>
      <c r="M811" s="116"/>
      <c r="N811" s="116"/>
      <c r="O811" s="116"/>
      <c r="P811" s="116"/>
      <c r="Q811" s="133"/>
      <c r="R811" s="133"/>
      <c r="S811" s="133"/>
      <c r="T811" s="133">
        <f>'Optional Adjustment 2'!G811*$T$1</f>
        <v>0</v>
      </c>
      <c r="U811" s="133">
        <f>'Optional Adjustment 3'!G811*$U$1</f>
        <v>0</v>
      </c>
      <c r="V811" s="133">
        <f>'Optional Adjustment 4'!G811*$V$1</f>
        <v>0</v>
      </c>
      <c r="W811" s="133">
        <f>'Optional Adjustment 5'!G811*$W$1</f>
        <v>0</v>
      </c>
      <c r="X811" s="133">
        <f>'Optional Adjustment 6'!G811*$X$1</f>
        <v>0</v>
      </c>
      <c r="Y811" s="133">
        <f>'Optional Adjustment 7'!G811*$Y$1</f>
        <v>0</v>
      </c>
      <c r="Z811" s="133">
        <f>'Optional Adjustment 8'!G811*$Z$1</f>
        <v>0</v>
      </c>
      <c r="AA811" s="133">
        <f>'Optional Adjustment 9'!G811*$AA$1</f>
        <v>0</v>
      </c>
      <c r="AB811" s="133">
        <f>'Optional Adjustment 10'!G811*$AB$1</f>
        <v>0</v>
      </c>
      <c r="AC811" s="133">
        <f>'Optional Adjustment 11'!G811*$AC$1</f>
        <v>0</v>
      </c>
      <c r="AD811" s="133">
        <f>'Optional Adjustment 12'!G811*$AD$1</f>
        <v>0</v>
      </c>
      <c r="AE811" s="133">
        <f>'Optional Adjustment 13'!G811*$AE$1</f>
        <v>0</v>
      </c>
      <c r="AF811" s="133">
        <f>'Optional Adjustment 14'!G811*$AF$1</f>
        <v>0</v>
      </c>
      <c r="AG811" s="133">
        <f>'Optional Adjustment 15'!G811*$AG$1</f>
        <v>0</v>
      </c>
      <c r="AH811" s="133">
        <f>'Optional Adjustment 16'!G811*$AH$1</f>
        <v>0</v>
      </c>
      <c r="AI811" s="133">
        <f>'Optional Adjustment 17'!G811*$AI$1</f>
        <v>0</v>
      </c>
      <c r="AJ811" s="133">
        <f>'Optional Adjustment 18'!G811*$AJ$1</f>
        <v>0</v>
      </c>
      <c r="AK811" s="133">
        <f>'Optional Adjustment 19'!G811*$AK$1</f>
        <v>0</v>
      </c>
      <c r="AL811" s="133">
        <f>'Optional Adjustment 20'!G811*$AL$1</f>
        <v>0</v>
      </c>
      <c r="AM811" s="133">
        <f>'Optional Adjustment 21'!G811*$AM$1</f>
        <v>0</v>
      </c>
      <c r="AN811" s="133">
        <f>'Optional Adjustment 22'!G811*$AN$1</f>
        <v>0</v>
      </c>
      <c r="AO811" s="133">
        <f>'Optional Adjustment 23'!G811*$AO$1</f>
        <v>0</v>
      </c>
      <c r="AP811" s="133">
        <f>'Optional Adjustment 24'!G811*$AP$1</f>
        <v>0</v>
      </c>
      <c r="AQ811" s="133">
        <f>'Optional Adjustment 25'!G811*$AQ$1</f>
        <v>0</v>
      </c>
      <c r="AR811" s="133">
        <f>'Optional Adjustment 26'!G811*$AR$1</f>
        <v>0</v>
      </c>
      <c r="AS811" s="133">
        <f>'Optional Adjustment 27'!G811*$AS$1</f>
        <v>0</v>
      </c>
      <c r="AT811" s="133"/>
      <c r="AU811" s="133">
        <f>SUM(F811:AT811)</f>
        <v>420.70477145999757</v>
      </c>
      <c r="AV811" s="116"/>
      <c r="AW811" s="133">
        <f>SUM(AU811:AU811)</f>
        <v>420.70477145999757</v>
      </c>
      <c r="AX811" s="133">
        <f>+AW811-'ROR-Model'!G812</f>
        <v>0</v>
      </c>
    </row>
    <row r="812" spans="1:50">
      <c r="A812" s="134"/>
      <c r="B812" s="106"/>
      <c r="C812" s="106" t="s">
        <v>170</v>
      </c>
      <c r="D812" s="106"/>
      <c r="E812" s="331"/>
      <c r="F812" s="131">
        <f>SUM(F810:F811)</f>
        <v>0</v>
      </c>
      <c r="G812" s="131">
        <f>SUM(G810:G811)</f>
        <v>-4995.6848464722061</v>
      </c>
      <c r="H812" s="131">
        <f>H1*SUM(H810:H811)</f>
        <v>0</v>
      </c>
      <c r="I812" s="131">
        <f>SUM(I810:I811)</f>
        <v>0</v>
      </c>
      <c r="J812" s="131">
        <f t="shared" ref="J812:P812" si="1020">SUM(J810:J811)</f>
        <v>0</v>
      </c>
      <c r="K812" s="131">
        <f t="shared" si="1020"/>
        <v>0</v>
      </c>
      <c r="L812" s="131">
        <f t="shared" si="1020"/>
        <v>0</v>
      </c>
      <c r="M812" s="131">
        <f t="shared" si="1020"/>
        <v>0</v>
      </c>
      <c r="N812" s="131">
        <f t="shared" si="1020"/>
        <v>0</v>
      </c>
      <c r="O812" s="131">
        <f t="shared" si="1020"/>
        <v>0</v>
      </c>
      <c r="P812" s="131">
        <f t="shared" si="1020"/>
        <v>0</v>
      </c>
      <c r="Q812" s="241">
        <f>SUM(Q810:Q811)</f>
        <v>0</v>
      </c>
      <c r="R812" s="241">
        <f>SUM(R810:R811)</f>
        <v>0</v>
      </c>
      <c r="S812" s="556">
        <f t="shared" ref="S812:AG812" si="1021">SUM(S810:S811)</f>
        <v>0</v>
      </c>
      <c r="T812" s="556">
        <f t="shared" si="1021"/>
        <v>0</v>
      </c>
      <c r="U812" s="556">
        <f t="shared" si="1021"/>
        <v>0</v>
      </c>
      <c r="V812" s="556">
        <f t="shared" si="1021"/>
        <v>0</v>
      </c>
      <c r="W812" s="556">
        <f t="shared" si="1021"/>
        <v>0</v>
      </c>
      <c r="X812" s="556">
        <f t="shared" si="1021"/>
        <v>0</v>
      </c>
      <c r="Y812" s="556">
        <f t="shared" si="1021"/>
        <v>0</v>
      </c>
      <c r="Z812" s="556">
        <f t="shared" si="1021"/>
        <v>0</v>
      </c>
      <c r="AA812" s="556">
        <f t="shared" si="1021"/>
        <v>0</v>
      </c>
      <c r="AB812" s="556">
        <f t="shared" si="1021"/>
        <v>0</v>
      </c>
      <c r="AC812" s="556">
        <f t="shared" si="1021"/>
        <v>0</v>
      </c>
      <c r="AD812" s="556">
        <f t="shared" si="1021"/>
        <v>0</v>
      </c>
      <c r="AE812" s="556">
        <f t="shared" si="1021"/>
        <v>0</v>
      </c>
      <c r="AF812" s="556">
        <f t="shared" si="1021"/>
        <v>0</v>
      </c>
      <c r="AG812" s="556">
        <f t="shared" si="1021"/>
        <v>0</v>
      </c>
      <c r="AH812" s="556">
        <f t="shared" ref="AH812:AK812" si="1022">SUM(AH810:AH811)</f>
        <v>0</v>
      </c>
      <c r="AI812" s="556">
        <f t="shared" si="1022"/>
        <v>0</v>
      </c>
      <c r="AJ812" s="556">
        <f t="shared" si="1022"/>
        <v>0</v>
      </c>
      <c r="AK812" s="556">
        <f t="shared" si="1022"/>
        <v>0</v>
      </c>
      <c r="AL812" s="556">
        <f t="shared" ref="AL812:AP812" si="1023">SUM(AL810:AL811)</f>
        <v>0</v>
      </c>
      <c r="AM812" s="556">
        <f t="shared" si="1023"/>
        <v>0</v>
      </c>
      <c r="AN812" s="556">
        <f t="shared" si="1023"/>
        <v>0</v>
      </c>
      <c r="AO812" s="556">
        <f t="shared" si="1023"/>
        <v>0</v>
      </c>
      <c r="AP812" s="556">
        <f t="shared" si="1023"/>
        <v>0</v>
      </c>
      <c r="AQ812" s="556">
        <f t="shared" ref="AQ812:AS812" si="1024">SUM(AQ810:AQ811)</f>
        <v>0</v>
      </c>
      <c r="AR812" s="556">
        <f t="shared" si="1024"/>
        <v>0</v>
      </c>
      <c r="AS812" s="556">
        <f t="shared" si="1024"/>
        <v>0</v>
      </c>
      <c r="AT812" s="556"/>
      <c r="AU812" s="241">
        <f>SUM(AU810:AU811)</f>
        <v>-4995.6848464722061</v>
      </c>
      <c r="AV812" s="131"/>
      <c r="AW812" s="241">
        <f>SUM(AW810:AW811)</f>
        <v>-4995.6848464722061</v>
      </c>
      <c r="AX812" s="241">
        <f>+AW812-'ROR-Model'!G813</f>
        <v>0</v>
      </c>
    </row>
    <row r="813" spans="1:50">
      <c r="A813" s="134"/>
      <c r="B813" s="106"/>
      <c r="C813" s="106"/>
      <c r="D813" s="106"/>
      <c r="E813" s="331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16"/>
      <c r="AW813" s="133"/>
      <c r="AX813" s="133">
        <f>+AW813-'ROR-Model'!G814</f>
        <v>0</v>
      </c>
    </row>
    <row r="814" spans="1:50">
      <c r="A814" s="134">
        <v>908</v>
      </c>
      <c r="B814" s="106" t="s">
        <v>410</v>
      </c>
      <c r="C814" s="106"/>
      <c r="D814" s="106"/>
      <c r="E814" s="331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16"/>
      <c r="AW814" s="133"/>
      <c r="AX814" s="133">
        <f>+AW814-'ROR-Model'!G815</f>
        <v>0</v>
      </c>
    </row>
    <row r="815" spans="1:50">
      <c r="A815" s="134"/>
      <c r="B815" s="106"/>
      <c r="C815" s="106" t="s">
        <v>14</v>
      </c>
      <c r="D815" s="106"/>
      <c r="E815" s="331"/>
      <c r="F815" s="116"/>
      <c r="G815" s="116">
        <f>$G$1*EXPENSES!L308</f>
        <v>459547.53276930004</v>
      </c>
      <c r="I815" s="116"/>
      <c r="J815" s="116"/>
      <c r="K815" s="116">
        <f>K1*'ENERGY EFFICIENCY SERVICES ADJ'!H18</f>
        <v>-21393645.139439996</v>
      </c>
      <c r="L815" s="116"/>
      <c r="M815" s="116"/>
      <c r="N815" s="116"/>
      <c r="O815" s="116"/>
      <c r="P815" s="116"/>
      <c r="Q815" s="133"/>
      <c r="R815" s="133"/>
      <c r="S815" s="133"/>
      <c r="T815" s="133">
        <f>'Optional Adjustment 2'!G815*$T$1</f>
        <v>0</v>
      </c>
      <c r="U815" s="133">
        <f>'Optional Adjustment 3'!G815*$U$1</f>
        <v>0</v>
      </c>
      <c r="V815" s="133">
        <f>'Optional Adjustment 4'!G815*$V$1</f>
        <v>0</v>
      </c>
      <c r="W815" s="133">
        <f>'Optional Adjustment 5'!G815*$W$1</f>
        <v>0</v>
      </c>
      <c r="X815" s="133">
        <f>'Optional Adjustment 6'!G815*$X$1</f>
        <v>0</v>
      </c>
      <c r="Y815" s="133">
        <f>'Optional Adjustment 7'!G815*$Y$1</f>
        <v>0</v>
      </c>
      <c r="Z815" s="133">
        <f>'Optional Adjustment 8'!G815*$Z$1</f>
        <v>0</v>
      </c>
      <c r="AA815" s="133">
        <f>'Optional Adjustment 9'!G815*$AA$1</f>
        <v>0</v>
      </c>
      <c r="AB815" s="133">
        <f>'Optional Adjustment 10'!G815*$AB$1</f>
        <v>0</v>
      </c>
      <c r="AC815" s="133">
        <f>'Optional Adjustment 11'!G815*$AC$1</f>
        <v>0</v>
      </c>
      <c r="AD815" s="133">
        <f>'Optional Adjustment 12'!G815*$AD$1</f>
        <v>0</v>
      </c>
      <c r="AE815" s="133">
        <f>'Optional Adjustment 13'!G815*$AE$1</f>
        <v>0</v>
      </c>
      <c r="AF815" s="133">
        <f>'Optional Adjustment 14'!G815*$AF$1</f>
        <v>0</v>
      </c>
      <c r="AG815" s="133">
        <f>'Optional Adjustment 15'!G815*$AG$1</f>
        <v>0</v>
      </c>
      <c r="AH815" s="133">
        <f>'Optional Adjustment 16'!G815*$AH$1</f>
        <v>0</v>
      </c>
      <c r="AI815" s="133">
        <f>'Optional Adjustment 17'!G815*$AI$1</f>
        <v>0</v>
      </c>
      <c r="AJ815" s="133">
        <f>'Optional Adjustment 18'!G815*$AJ$1</f>
        <v>0</v>
      </c>
      <c r="AK815" s="133">
        <f>'Optional Adjustment 19'!G815*$AK$1</f>
        <v>0</v>
      </c>
      <c r="AL815" s="133">
        <f>'Optional Adjustment 20'!G815*$AL$1</f>
        <v>0</v>
      </c>
      <c r="AM815" s="133">
        <f>'Optional Adjustment 21'!G815*$AM$1</f>
        <v>0</v>
      </c>
      <c r="AN815" s="133">
        <f>'Optional Adjustment 22'!G815*$AN$1</f>
        <v>0</v>
      </c>
      <c r="AO815" s="133">
        <f>'Optional Adjustment 23'!G815*$AO$1</f>
        <v>0</v>
      </c>
      <c r="AP815" s="133">
        <f>'Optional Adjustment 24'!G815*$AP$1</f>
        <v>0</v>
      </c>
      <c r="AQ815" s="133">
        <f>'Optional Adjustment 25'!G815*$AQ$1</f>
        <v>0</v>
      </c>
      <c r="AR815" s="133">
        <f>'Optional Adjustment 26'!G815*$AR$1</f>
        <v>0</v>
      </c>
      <c r="AS815" s="133">
        <f>'Optional Adjustment 27'!G815*$AS$1</f>
        <v>0</v>
      </c>
      <c r="AT815" s="133"/>
      <c r="AU815" s="133">
        <f>SUM(F815:AT815)</f>
        <v>-20934097.606670696</v>
      </c>
      <c r="AV815" s="116"/>
      <c r="AW815" s="133">
        <f>SUM(AU815:AU815)</f>
        <v>-20934097.606670696</v>
      </c>
      <c r="AX815" s="133">
        <f>+AW815-'ROR-Model'!G816</f>
        <v>0</v>
      </c>
    </row>
    <row r="816" spans="1:50">
      <c r="A816" s="134"/>
      <c r="B816" s="106"/>
      <c r="C816" s="106" t="s">
        <v>24</v>
      </c>
      <c r="D816" s="106"/>
      <c r="E816" s="331"/>
      <c r="F816" s="116"/>
      <c r="G816" s="116">
        <f>$G$1*EXPENSES!L309</f>
        <v>6687.9253333499946</v>
      </c>
      <c r="I816" s="116"/>
      <c r="J816" s="116"/>
      <c r="K816" s="116">
        <f>K1*'ENERGY EFFICIENCY SERVICES ADJ'!H19</f>
        <v>-167622.66926024997</v>
      </c>
      <c r="L816" s="116"/>
      <c r="M816" s="116"/>
      <c r="N816" s="116"/>
      <c r="O816" s="116"/>
      <c r="P816" s="116"/>
      <c r="Q816" s="133"/>
      <c r="R816" s="133"/>
      <c r="S816" s="133"/>
      <c r="T816" s="133">
        <f>'Optional Adjustment 2'!G816*$T$1</f>
        <v>0</v>
      </c>
      <c r="U816" s="133">
        <f>'Optional Adjustment 3'!G816*$U$1</f>
        <v>0</v>
      </c>
      <c r="V816" s="133">
        <f>'Optional Adjustment 4'!G816*$V$1</f>
        <v>0</v>
      </c>
      <c r="W816" s="133">
        <f>'Optional Adjustment 5'!G816*$W$1</f>
        <v>0</v>
      </c>
      <c r="X816" s="133">
        <f>'Optional Adjustment 6'!G816*$X$1</f>
        <v>0</v>
      </c>
      <c r="Y816" s="133">
        <f>'Optional Adjustment 7'!G816*$Y$1</f>
        <v>0</v>
      </c>
      <c r="Z816" s="133">
        <f>'Optional Adjustment 8'!G816*$Z$1</f>
        <v>0</v>
      </c>
      <c r="AA816" s="133">
        <f>'Optional Adjustment 9'!G816*$AA$1</f>
        <v>0</v>
      </c>
      <c r="AB816" s="133">
        <f>'Optional Adjustment 10'!G816*$AB$1</f>
        <v>0</v>
      </c>
      <c r="AC816" s="133">
        <f>'Optional Adjustment 11'!G816*$AC$1</f>
        <v>0</v>
      </c>
      <c r="AD816" s="133">
        <f>'Optional Adjustment 12'!G816*$AD$1</f>
        <v>0</v>
      </c>
      <c r="AE816" s="133">
        <f>'Optional Adjustment 13'!G816*$AE$1</f>
        <v>0</v>
      </c>
      <c r="AF816" s="133">
        <f>'Optional Adjustment 14'!G816*$AF$1</f>
        <v>0</v>
      </c>
      <c r="AG816" s="133">
        <f>'Optional Adjustment 15'!G816*$AG$1</f>
        <v>0</v>
      </c>
      <c r="AH816" s="133">
        <f>'Optional Adjustment 16'!G816*$AH$1</f>
        <v>0</v>
      </c>
      <c r="AI816" s="133">
        <f>'Optional Adjustment 17'!G816*$AI$1</f>
        <v>0</v>
      </c>
      <c r="AJ816" s="133">
        <f>'Optional Adjustment 18'!G816*$AJ$1</f>
        <v>0</v>
      </c>
      <c r="AK816" s="133">
        <f>'Optional Adjustment 19'!G816*$AK$1</f>
        <v>0</v>
      </c>
      <c r="AL816" s="133">
        <f>'Optional Adjustment 20'!G816*$AL$1</f>
        <v>0</v>
      </c>
      <c r="AM816" s="133">
        <f>'Optional Adjustment 21'!G816*$AM$1</f>
        <v>0</v>
      </c>
      <c r="AN816" s="133">
        <f>'Optional Adjustment 22'!G816*$AN$1</f>
        <v>0</v>
      </c>
      <c r="AO816" s="133">
        <f>'Optional Adjustment 23'!G816*$AO$1</f>
        <v>0</v>
      </c>
      <c r="AP816" s="133">
        <f>'Optional Adjustment 24'!G816*$AP$1</f>
        <v>0</v>
      </c>
      <c r="AQ816" s="133">
        <f>'Optional Adjustment 25'!G816*$AQ$1</f>
        <v>0</v>
      </c>
      <c r="AR816" s="133">
        <f>'Optional Adjustment 26'!G816*$AR$1</f>
        <v>0</v>
      </c>
      <c r="AS816" s="133">
        <f>'Optional Adjustment 27'!G816*$AS$1</f>
        <v>0</v>
      </c>
      <c r="AT816" s="133"/>
      <c r="AU816" s="133">
        <f>SUM(F816:AT816)</f>
        <v>-160934.74392689997</v>
      </c>
      <c r="AV816" s="116"/>
      <c r="AW816" s="133">
        <f>SUM(AU816:AU816)</f>
        <v>-160934.74392689997</v>
      </c>
      <c r="AX816" s="133">
        <f>+AW816-'ROR-Model'!G817</f>
        <v>0</v>
      </c>
    </row>
    <row r="817" spans="1:50">
      <c r="A817" s="134"/>
      <c r="B817" s="106"/>
      <c r="C817" s="106" t="s">
        <v>170</v>
      </c>
      <c r="D817" s="106"/>
      <c r="E817" s="331"/>
      <c r="F817" s="131">
        <f t="shared" ref="F817:I817" si="1025">SUM(F815:F816)</f>
        <v>0</v>
      </c>
      <c r="G817" s="131">
        <f t="shared" si="1025"/>
        <v>466235.45810265001</v>
      </c>
      <c r="H817" s="131">
        <f t="shared" si="1025"/>
        <v>0</v>
      </c>
      <c r="I817" s="131">
        <f t="shared" si="1025"/>
        <v>0</v>
      </c>
      <c r="J817" s="131">
        <f t="shared" ref="J817:P817" si="1026">SUM(J815:J816)</f>
        <v>0</v>
      </c>
      <c r="K817" s="131">
        <f t="shared" si="1026"/>
        <v>-21561267.808700245</v>
      </c>
      <c r="L817" s="131">
        <f t="shared" si="1026"/>
        <v>0</v>
      </c>
      <c r="M817" s="131">
        <f t="shared" si="1026"/>
        <v>0</v>
      </c>
      <c r="N817" s="131">
        <f t="shared" si="1026"/>
        <v>0</v>
      </c>
      <c r="O817" s="131">
        <f t="shared" si="1026"/>
        <v>0</v>
      </c>
      <c r="P817" s="131">
        <f t="shared" si="1026"/>
        <v>0</v>
      </c>
      <c r="Q817" s="241">
        <f>SUM(Q815:Q816)</f>
        <v>0</v>
      </c>
      <c r="R817" s="241">
        <f>SUM(R815:R816)</f>
        <v>0</v>
      </c>
      <c r="S817" s="556">
        <f t="shared" ref="S817:T817" si="1027">SUM(S815:S816)</f>
        <v>0</v>
      </c>
      <c r="T817" s="556">
        <f t="shared" si="1027"/>
        <v>0</v>
      </c>
      <c r="U817" s="556">
        <f t="shared" ref="U817:W817" si="1028">SUM(U815:U816)</f>
        <v>0</v>
      </c>
      <c r="V817" s="556">
        <f t="shared" ref="V817" si="1029">SUM(V815:V816)</f>
        <v>0</v>
      </c>
      <c r="W817" s="556">
        <f t="shared" si="1028"/>
        <v>0</v>
      </c>
      <c r="X817" s="556">
        <f t="shared" ref="X817:AG817" si="1030">SUM(X815:X816)</f>
        <v>0</v>
      </c>
      <c r="Y817" s="556">
        <f t="shared" si="1030"/>
        <v>0</v>
      </c>
      <c r="Z817" s="556">
        <f t="shared" si="1030"/>
        <v>0</v>
      </c>
      <c r="AA817" s="556">
        <f t="shared" si="1030"/>
        <v>0</v>
      </c>
      <c r="AB817" s="556">
        <f t="shared" si="1030"/>
        <v>0</v>
      </c>
      <c r="AC817" s="556">
        <f t="shared" si="1030"/>
        <v>0</v>
      </c>
      <c r="AD817" s="556">
        <f t="shared" si="1030"/>
        <v>0</v>
      </c>
      <c r="AE817" s="556">
        <f t="shared" si="1030"/>
        <v>0</v>
      </c>
      <c r="AF817" s="556">
        <f t="shared" si="1030"/>
        <v>0</v>
      </c>
      <c r="AG817" s="556">
        <f t="shared" si="1030"/>
        <v>0</v>
      </c>
      <c r="AH817" s="556">
        <f t="shared" ref="AH817:AK817" si="1031">SUM(AH815:AH816)</f>
        <v>0</v>
      </c>
      <c r="AI817" s="556">
        <f t="shared" si="1031"/>
        <v>0</v>
      </c>
      <c r="AJ817" s="556">
        <f t="shared" si="1031"/>
        <v>0</v>
      </c>
      <c r="AK817" s="556">
        <f t="shared" si="1031"/>
        <v>0</v>
      </c>
      <c r="AL817" s="556">
        <f t="shared" ref="AL817:AP817" si="1032">SUM(AL815:AL816)</f>
        <v>0</v>
      </c>
      <c r="AM817" s="556">
        <f t="shared" si="1032"/>
        <v>0</v>
      </c>
      <c r="AN817" s="556">
        <f t="shared" si="1032"/>
        <v>0</v>
      </c>
      <c r="AO817" s="556">
        <f t="shared" si="1032"/>
        <v>0</v>
      </c>
      <c r="AP817" s="556">
        <f t="shared" si="1032"/>
        <v>0</v>
      </c>
      <c r="AQ817" s="556">
        <f t="shared" ref="AQ817:AS817" si="1033">SUM(AQ815:AQ816)</f>
        <v>0</v>
      </c>
      <c r="AR817" s="556">
        <f t="shared" si="1033"/>
        <v>0</v>
      </c>
      <c r="AS817" s="556">
        <f t="shared" si="1033"/>
        <v>0</v>
      </c>
      <c r="AT817" s="556"/>
      <c r="AU817" s="241">
        <f>SUM(AU815:AU816)</f>
        <v>-21095032.350597598</v>
      </c>
      <c r="AV817" s="131"/>
      <c r="AW817" s="241">
        <f>SUM(AW815:AW816)</f>
        <v>-21095032.350597598</v>
      </c>
      <c r="AX817" s="241">
        <f>+AW817-'ROR-Model'!G818</f>
        <v>0</v>
      </c>
    </row>
    <row r="818" spans="1:50">
      <c r="A818" s="134"/>
      <c r="B818" s="106"/>
      <c r="C818" s="106"/>
      <c r="D818" s="106"/>
      <c r="E818" s="331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16"/>
      <c r="AW818" s="133"/>
      <c r="AX818" s="133">
        <f>+AW818-'ROR-Model'!G819</f>
        <v>0</v>
      </c>
    </row>
    <row r="819" spans="1:50">
      <c r="A819" s="134">
        <v>909</v>
      </c>
      <c r="B819" s="106" t="s">
        <v>423</v>
      </c>
      <c r="C819" s="106"/>
      <c r="D819" s="106"/>
      <c r="E819" s="331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16"/>
      <c r="AW819" s="133"/>
      <c r="AX819" s="133">
        <f>+AW819-'ROR-Model'!G820</f>
        <v>0</v>
      </c>
    </row>
    <row r="820" spans="1:50">
      <c r="A820" s="134"/>
      <c r="B820" s="106"/>
      <c r="C820" s="106" t="s">
        <v>14</v>
      </c>
      <c r="D820" s="106"/>
      <c r="E820" s="331"/>
      <c r="F820" s="116"/>
      <c r="G820" s="116">
        <f>$G$1*EXPENSES!L313</f>
        <v>15735.750572160119</v>
      </c>
      <c r="H820" s="116"/>
      <c r="I820" s="116"/>
      <c r="J820" s="116"/>
      <c r="K820" s="116"/>
      <c r="L820" s="116"/>
      <c r="M820" s="116"/>
      <c r="N820" s="116"/>
      <c r="O820" s="133">
        <f ca="1">Advertising!G27*O1</f>
        <v>-5819.525055255338</v>
      </c>
      <c r="P820" s="116"/>
      <c r="Q820" s="133"/>
      <c r="R820" s="133"/>
      <c r="S820" s="133"/>
      <c r="T820" s="133">
        <f>'Optional Adjustment 2'!G820*$T$1</f>
        <v>0</v>
      </c>
      <c r="U820" s="133">
        <f>'Optional Adjustment 3'!G820*$U$1</f>
        <v>0</v>
      </c>
      <c r="V820" s="133">
        <f>'Optional Adjustment 4'!G820*$V$1</f>
        <v>0</v>
      </c>
      <c r="W820" s="133">
        <f>'Optional Adjustment 5'!G820*$W$1</f>
        <v>0</v>
      </c>
      <c r="X820" s="133">
        <f>'Optional Adjustment 6'!G820*$X$1</f>
        <v>0</v>
      </c>
      <c r="Y820" s="133">
        <f>'Optional Adjustment 7'!G820*$Y$1</f>
        <v>0</v>
      </c>
      <c r="Z820" s="133">
        <f>'Optional Adjustment 8'!G820*$Z$1</f>
        <v>0</v>
      </c>
      <c r="AA820" s="133">
        <f>'Optional Adjustment 9'!G820*$AA$1</f>
        <v>0</v>
      </c>
      <c r="AB820" s="133">
        <f>'Optional Adjustment 10'!G820*$AB$1</f>
        <v>0</v>
      </c>
      <c r="AC820" s="133">
        <f>'Optional Adjustment 11'!G820*$AC$1</f>
        <v>0</v>
      </c>
      <c r="AD820" s="133">
        <f>'Optional Adjustment 12'!G820*$AD$1</f>
        <v>0</v>
      </c>
      <c r="AE820" s="133">
        <f>'Optional Adjustment 13'!G820*$AE$1</f>
        <v>0</v>
      </c>
      <c r="AF820" s="133">
        <f>'Optional Adjustment 14'!G820*$AF$1</f>
        <v>0</v>
      </c>
      <c r="AG820" s="133">
        <f>'Optional Adjustment 15'!G820*$AG$1</f>
        <v>0</v>
      </c>
      <c r="AH820" s="133">
        <f>'Optional Adjustment 16'!G820*$AH$1</f>
        <v>0</v>
      </c>
      <c r="AI820" s="133">
        <f>'Optional Adjustment 17'!G820*$AI$1</f>
        <v>0</v>
      </c>
      <c r="AJ820" s="133">
        <f>'Optional Adjustment 18'!G820*$AJ$1</f>
        <v>0</v>
      </c>
      <c r="AK820" s="133">
        <f>'Optional Adjustment 19'!G820*$AK$1</f>
        <v>0</v>
      </c>
      <c r="AL820" s="133">
        <f>'Optional Adjustment 20'!G820*$AL$1</f>
        <v>0</v>
      </c>
      <c r="AM820" s="133">
        <f>'Optional Adjustment 21'!G820*$AM$1</f>
        <v>0</v>
      </c>
      <c r="AN820" s="133">
        <f>'Optional Adjustment 22'!G820*$AN$1</f>
        <v>0</v>
      </c>
      <c r="AO820" s="133">
        <f>'Optional Adjustment 23'!G820*$AO$1</f>
        <v>0</v>
      </c>
      <c r="AP820" s="133">
        <f>'Optional Adjustment 24'!G820*$AP$1</f>
        <v>0</v>
      </c>
      <c r="AQ820" s="133">
        <f>'Optional Adjustment 25'!G820*$AQ$1</f>
        <v>0</v>
      </c>
      <c r="AR820" s="133">
        <f>'Optional Adjustment 26'!G820*$AR$1</f>
        <v>0</v>
      </c>
      <c r="AS820" s="133">
        <f>'Optional Adjustment 27'!G820*$AS$1</f>
        <v>0</v>
      </c>
      <c r="AT820" s="133"/>
      <c r="AU820" s="133">
        <f ca="1">SUM(F820:AT820)</f>
        <v>9916.2255169047821</v>
      </c>
      <c r="AV820" s="116"/>
      <c r="AW820" s="133">
        <f ca="1">SUM(AU820:AU820)</f>
        <v>9916.2255169047821</v>
      </c>
      <c r="AX820" s="133">
        <f ca="1">+AW820-'ROR-Model'!G821</f>
        <v>0</v>
      </c>
    </row>
    <row r="821" spans="1:50">
      <c r="A821" s="134"/>
      <c r="B821" s="106"/>
      <c r="C821" s="106" t="s">
        <v>24</v>
      </c>
      <c r="D821" s="106"/>
      <c r="E821" s="331"/>
      <c r="F821" s="116"/>
      <c r="G821" s="116">
        <f>$G$1*EXPENSES!L314</f>
        <v>433.12940543999139</v>
      </c>
      <c r="H821" s="116"/>
      <c r="I821" s="116"/>
      <c r="J821" s="116"/>
      <c r="K821" s="116"/>
      <c r="L821" s="116"/>
      <c r="M821" s="116"/>
      <c r="N821" s="116"/>
      <c r="O821" s="133">
        <f ca="1">Advertising!G28*O1</f>
        <v>-195.33696691716031</v>
      </c>
      <c r="P821" s="116"/>
      <c r="Q821" s="133"/>
      <c r="R821" s="133"/>
      <c r="S821" s="133"/>
      <c r="T821" s="133">
        <f>'Optional Adjustment 2'!G821*$T$1</f>
        <v>0</v>
      </c>
      <c r="U821" s="133">
        <f>'Optional Adjustment 3'!G821*$U$1</f>
        <v>0</v>
      </c>
      <c r="V821" s="133">
        <f>'Optional Adjustment 4'!G821*$V$1</f>
        <v>0</v>
      </c>
      <c r="W821" s="133">
        <f>'Optional Adjustment 5'!G821*$W$1</f>
        <v>0</v>
      </c>
      <c r="X821" s="133">
        <f>'Optional Adjustment 6'!G821*$X$1</f>
        <v>0</v>
      </c>
      <c r="Y821" s="133">
        <f>'Optional Adjustment 7'!G821*$Y$1</f>
        <v>0</v>
      </c>
      <c r="Z821" s="133">
        <f>'Optional Adjustment 8'!G821*$Z$1</f>
        <v>0</v>
      </c>
      <c r="AA821" s="133">
        <f>'Optional Adjustment 9'!G821*$AA$1</f>
        <v>0</v>
      </c>
      <c r="AB821" s="133">
        <f>'Optional Adjustment 10'!G821*$AB$1</f>
        <v>0</v>
      </c>
      <c r="AC821" s="133">
        <f>'Optional Adjustment 11'!G821*$AC$1</f>
        <v>0</v>
      </c>
      <c r="AD821" s="133">
        <f>'Optional Adjustment 12'!G821*$AD$1</f>
        <v>0</v>
      </c>
      <c r="AE821" s="133">
        <f>'Optional Adjustment 13'!G821*$AE$1</f>
        <v>0</v>
      </c>
      <c r="AF821" s="133">
        <f>'Optional Adjustment 14'!G821*$AF$1</f>
        <v>0</v>
      </c>
      <c r="AG821" s="133">
        <f>'Optional Adjustment 15'!G821*$AG$1</f>
        <v>0</v>
      </c>
      <c r="AH821" s="133">
        <f>'Optional Adjustment 16'!G821*$AH$1</f>
        <v>0</v>
      </c>
      <c r="AI821" s="133">
        <f>'Optional Adjustment 17'!G821*$AI$1</f>
        <v>0</v>
      </c>
      <c r="AJ821" s="133">
        <f>'Optional Adjustment 18'!G821*$AJ$1</f>
        <v>0</v>
      </c>
      <c r="AK821" s="133">
        <f>'Optional Adjustment 19'!G821*$AK$1</f>
        <v>0</v>
      </c>
      <c r="AL821" s="133">
        <f>'Optional Adjustment 20'!G821*$AL$1</f>
        <v>0</v>
      </c>
      <c r="AM821" s="133">
        <f>'Optional Adjustment 21'!G821*$AM$1</f>
        <v>0</v>
      </c>
      <c r="AN821" s="133">
        <f>'Optional Adjustment 22'!G821*$AN$1</f>
        <v>0</v>
      </c>
      <c r="AO821" s="133">
        <f>'Optional Adjustment 23'!G821*$AO$1</f>
        <v>0</v>
      </c>
      <c r="AP821" s="133">
        <f>'Optional Adjustment 24'!G821*$AP$1</f>
        <v>0</v>
      </c>
      <c r="AQ821" s="133">
        <f>'Optional Adjustment 25'!G821*$AQ$1</f>
        <v>0</v>
      </c>
      <c r="AR821" s="133">
        <f>'Optional Adjustment 26'!G821*$AR$1</f>
        <v>0</v>
      </c>
      <c r="AS821" s="133">
        <f>'Optional Adjustment 27'!G821*$AS$1</f>
        <v>0</v>
      </c>
      <c r="AT821" s="133"/>
      <c r="AU821" s="133">
        <f ca="1">SUM(F821:AT821)</f>
        <v>237.79243852283108</v>
      </c>
      <c r="AV821" s="116"/>
      <c r="AW821" s="133">
        <f ca="1">SUM(AU821:AU821)</f>
        <v>237.79243852283108</v>
      </c>
      <c r="AX821" s="133">
        <f ca="1">+AW821-'ROR-Model'!G822</f>
        <v>0</v>
      </c>
    </row>
    <row r="822" spans="1:50">
      <c r="A822" s="134"/>
      <c r="B822" s="106"/>
      <c r="C822" s="106" t="s">
        <v>170</v>
      </c>
      <c r="D822" s="106"/>
      <c r="E822" s="331"/>
      <c r="F822" s="131">
        <f>SUM(F820:F821)</f>
        <v>0</v>
      </c>
      <c r="G822" s="131">
        <f>SUM(G820:G821)</f>
        <v>16168.879977600111</v>
      </c>
      <c r="H822" s="131">
        <f>H1*SUM(H820:H821)</f>
        <v>0</v>
      </c>
      <c r="I822" s="131">
        <f>SUM(I820:I821)</f>
        <v>0</v>
      </c>
      <c r="J822" s="131">
        <f t="shared" ref="J822:P822" si="1034">SUM(J820:J821)</f>
        <v>0</v>
      </c>
      <c r="K822" s="131">
        <f t="shared" si="1034"/>
        <v>0</v>
      </c>
      <c r="L822" s="131">
        <f t="shared" si="1034"/>
        <v>0</v>
      </c>
      <c r="M822" s="131">
        <f t="shared" si="1034"/>
        <v>0</v>
      </c>
      <c r="N822" s="131">
        <f t="shared" si="1034"/>
        <v>0</v>
      </c>
      <c r="O822" s="131">
        <f ca="1">SUM(O820:O821)</f>
        <v>-6014.8620221724987</v>
      </c>
      <c r="P822" s="131">
        <f t="shared" si="1034"/>
        <v>0</v>
      </c>
      <c r="Q822" s="241">
        <f>SUM(Q820:Q821)</f>
        <v>0</v>
      </c>
      <c r="R822" s="241">
        <f>SUM(R820:R821)</f>
        <v>0</v>
      </c>
      <c r="S822" s="556">
        <f t="shared" ref="S822:AG822" si="1035">SUM(S820:S821)</f>
        <v>0</v>
      </c>
      <c r="T822" s="556">
        <f t="shared" si="1035"/>
        <v>0</v>
      </c>
      <c r="U822" s="556">
        <f t="shared" si="1035"/>
        <v>0</v>
      </c>
      <c r="V822" s="556">
        <f t="shared" si="1035"/>
        <v>0</v>
      </c>
      <c r="W822" s="556">
        <f t="shared" si="1035"/>
        <v>0</v>
      </c>
      <c r="X822" s="556">
        <f t="shared" si="1035"/>
        <v>0</v>
      </c>
      <c r="Y822" s="556">
        <f t="shared" si="1035"/>
        <v>0</v>
      </c>
      <c r="Z822" s="556">
        <f t="shared" si="1035"/>
        <v>0</v>
      </c>
      <c r="AA822" s="556">
        <f t="shared" si="1035"/>
        <v>0</v>
      </c>
      <c r="AB822" s="556">
        <f t="shared" si="1035"/>
        <v>0</v>
      </c>
      <c r="AC822" s="556">
        <f t="shared" si="1035"/>
        <v>0</v>
      </c>
      <c r="AD822" s="556">
        <f t="shared" si="1035"/>
        <v>0</v>
      </c>
      <c r="AE822" s="556">
        <f t="shared" si="1035"/>
        <v>0</v>
      </c>
      <c r="AF822" s="556">
        <f t="shared" si="1035"/>
        <v>0</v>
      </c>
      <c r="AG822" s="556">
        <f t="shared" si="1035"/>
        <v>0</v>
      </c>
      <c r="AH822" s="556">
        <f t="shared" ref="AH822:AK822" si="1036">SUM(AH820:AH821)</f>
        <v>0</v>
      </c>
      <c r="AI822" s="556">
        <f t="shared" si="1036"/>
        <v>0</v>
      </c>
      <c r="AJ822" s="556">
        <f t="shared" si="1036"/>
        <v>0</v>
      </c>
      <c r="AK822" s="556">
        <f t="shared" si="1036"/>
        <v>0</v>
      </c>
      <c r="AL822" s="556">
        <f t="shared" ref="AL822:AP822" si="1037">SUM(AL820:AL821)</f>
        <v>0</v>
      </c>
      <c r="AM822" s="556">
        <f t="shared" si="1037"/>
        <v>0</v>
      </c>
      <c r="AN822" s="556">
        <f t="shared" si="1037"/>
        <v>0</v>
      </c>
      <c r="AO822" s="556">
        <f t="shared" si="1037"/>
        <v>0</v>
      </c>
      <c r="AP822" s="556">
        <f t="shared" si="1037"/>
        <v>0</v>
      </c>
      <c r="AQ822" s="556">
        <f t="shared" ref="AQ822:AS822" si="1038">SUM(AQ820:AQ821)</f>
        <v>0</v>
      </c>
      <c r="AR822" s="556">
        <f t="shared" si="1038"/>
        <v>0</v>
      </c>
      <c r="AS822" s="556">
        <f t="shared" si="1038"/>
        <v>0</v>
      </c>
      <c r="AT822" s="556"/>
      <c r="AU822" s="241">
        <f ca="1">SUM(AU820:AU821)</f>
        <v>10154.017955427613</v>
      </c>
      <c r="AV822" s="131"/>
      <c r="AW822" s="241">
        <f ca="1">SUM(AW820:AW821)</f>
        <v>10154.017955427613</v>
      </c>
      <c r="AX822" s="241">
        <f ca="1">+AW822-'ROR-Model'!G823</f>
        <v>0</v>
      </c>
    </row>
    <row r="823" spans="1:50">
      <c r="A823" s="134"/>
      <c r="B823" s="106"/>
      <c r="C823" s="106"/>
      <c r="D823" s="106"/>
      <c r="E823" s="331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16"/>
      <c r="AW823" s="133"/>
      <c r="AX823" s="133">
        <f>+AW823-'ROR-Model'!G824</f>
        <v>0</v>
      </c>
    </row>
    <row r="824" spans="1:50">
      <c r="A824" s="134">
        <v>910</v>
      </c>
      <c r="B824" s="106" t="s">
        <v>424</v>
      </c>
      <c r="C824" s="106"/>
      <c r="D824" s="106"/>
      <c r="E824" s="331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16"/>
      <c r="AW824" s="133"/>
      <c r="AX824" s="133">
        <f>+AW824-'ROR-Model'!G825</f>
        <v>0</v>
      </c>
    </row>
    <row r="825" spans="1:50">
      <c r="A825" s="330"/>
      <c r="B825" s="106"/>
      <c r="C825" s="106" t="s">
        <v>14</v>
      </c>
      <c r="D825" s="106"/>
      <c r="E825" s="331"/>
      <c r="F825" s="116"/>
      <c r="G825" s="116">
        <f>$G$1*EXPENSES!L318</f>
        <v>0</v>
      </c>
      <c r="H825" s="116"/>
      <c r="I825" s="116"/>
      <c r="J825" s="116"/>
      <c r="K825" s="116"/>
      <c r="L825" s="116"/>
      <c r="M825" s="116"/>
      <c r="N825" s="116"/>
      <c r="O825" s="116"/>
      <c r="P825" s="116"/>
      <c r="Q825" s="133"/>
      <c r="R825" s="133"/>
      <c r="S825" s="133"/>
      <c r="T825" s="133">
        <f>'Optional Adjustment 2'!G825*$T$1</f>
        <v>0</v>
      </c>
      <c r="U825" s="133">
        <f>'Optional Adjustment 3'!G825*$U$1</f>
        <v>0</v>
      </c>
      <c r="V825" s="133">
        <f>'Optional Adjustment 4'!G825*$V$1</f>
        <v>0</v>
      </c>
      <c r="W825" s="133">
        <f>'Optional Adjustment 5'!G825*$W$1</f>
        <v>0</v>
      </c>
      <c r="X825" s="133">
        <f>'Optional Adjustment 6'!G825*$X$1</f>
        <v>0</v>
      </c>
      <c r="Y825" s="133">
        <f>'Optional Adjustment 7'!G825*$Y$1</f>
        <v>0</v>
      </c>
      <c r="Z825" s="133">
        <f>'Optional Adjustment 8'!G825*$Z$1</f>
        <v>0</v>
      </c>
      <c r="AA825" s="133">
        <f>'Optional Adjustment 9'!G825*$AA$1</f>
        <v>0</v>
      </c>
      <c r="AB825" s="133">
        <f>'Optional Adjustment 10'!G825*$AB$1</f>
        <v>0</v>
      </c>
      <c r="AC825" s="133">
        <f>'Optional Adjustment 11'!G825*$AC$1</f>
        <v>0</v>
      </c>
      <c r="AD825" s="133">
        <f>'Optional Adjustment 12'!G825*$AD$1</f>
        <v>0</v>
      </c>
      <c r="AE825" s="133">
        <f>'Optional Adjustment 13'!G825*$AE$1</f>
        <v>0</v>
      </c>
      <c r="AF825" s="133">
        <f>'Optional Adjustment 14'!G825*$AF$1</f>
        <v>0</v>
      </c>
      <c r="AG825" s="133">
        <f>'Optional Adjustment 15'!G825*$AG$1</f>
        <v>0</v>
      </c>
      <c r="AH825" s="133">
        <f>'Optional Adjustment 16'!G825*$AH$1</f>
        <v>0</v>
      </c>
      <c r="AI825" s="133">
        <f>'Optional Adjustment 17'!G825*$AI$1</f>
        <v>0</v>
      </c>
      <c r="AJ825" s="133">
        <f>'Optional Adjustment 18'!G825*$AJ$1</f>
        <v>0</v>
      </c>
      <c r="AK825" s="133">
        <f>'Optional Adjustment 19'!G825*$AK$1</f>
        <v>0</v>
      </c>
      <c r="AL825" s="133">
        <f>'Optional Adjustment 20'!G825*$AL$1</f>
        <v>0</v>
      </c>
      <c r="AM825" s="133">
        <f>'Optional Adjustment 21'!G825*$AM$1</f>
        <v>0</v>
      </c>
      <c r="AN825" s="133">
        <f>'Optional Adjustment 22'!G825*$AN$1</f>
        <v>0</v>
      </c>
      <c r="AO825" s="133">
        <f>'Optional Adjustment 23'!G825*$AO$1</f>
        <v>0</v>
      </c>
      <c r="AP825" s="133">
        <f>'Optional Adjustment 24'!G825*$AP$1</f>
        <v>0</v>
      </c>
      <c r="AQ825" s="133">
        <f>'Optional Adjustment 25'!G825*$AQ$1</f>
        <v>0</v>
      </c>
      <c r="AR825" s="133">
        <f>'Optional Adjustment 26'!G825*$AR$1</f>
        <v>0</v>
      </c>
      <c r="AS825" s="133">
        <f>'Optional Adjustment 27'!G825*$AS$1</f>
        <v>0</v>
      </c>
      <c r="AT825" s="133"/>
      <c r="AU825" s="133">
        <f>SUM(F825:AT825)</f>
        <v>0</v>
      </c>
      <c r="AV825" s="116"/>
      <c r="AW825" s="133">
        <f>SUM(AU825:AU825)</f>
        <v>0</v>
      </c>
      <c r="AX825" s="133">
        <f>+AW825-'ROR-Model'!G826</f>
        <v>0</v>
      </c>
    </row>
    <row r="826" spans="1:50">
      <c r="A826" s="330"/>
      <c r="B826" s="106"/>
      <c r="C826" s="106" t="s">
        <v>24</v>
      </c>
      <c r="D826" s="106"/>
      <c r="E826" s="331"/>
      <c r="F826" s="116"/>
      <c r="G826" s="116">
        <f>$G$1*EXPENSES!L319</f>
        <v>0</v>
      </c>
      <c r="H826" s="116"/>
      <c r="I826" s="116"/>
      <c r="J826" s="116"/>
      <c r="K826" s="116"/>
      <c r="L826" s="116"/>
      <c r="M826" s="116"/>
      <c r="N826" s="116"/>
      <c r="O826" s="116"/>
      <c r="P826" s="116"/>
      <c r="Q826" s="133"/>
      <c r="R826" s="133"/>
      <c r="S826" s="133"/>
      <c r="T826" s="133">
        <f>'Optional Adjustment 2'!G826*$T$1</f>
        <v>0</v>
      </c>
      <c r="U826" s="133">
        <f>'Optional Adjustment 3'!G826*$U$1</f>
        <v>0</v>
      </c>
      <c r="V826" s="133">
        <f>'Optional Adjustment 4'!G826*$V$1</f>
        <v>0</v>
      </c>
      <c r="W826" s="133">
        <f>'Optional Adjustment 5'!G826*$W$1</f>
        <v>0</v>
      </c>
      <c r="X826" s="133">
        <f>'Optional Adjustment 6'!G826*$X$1</f>
        <v>0</v>
      </c>
      <c r="Y826" s="133">
        <f>'Optional Adjustment 7'!G826*$Y$1</f>
        <v>0</v>
      </c>
      <c r="Z826" s="133">
        <f>'Optional Adjustment 8'!G826*$Z$1</f>
        <v>0</v>
      </c>
      <c r="AA826" s="133">
        <f>'Optional Adjustment 9'!G826*$AA$1</f>
        <v>0</v>
      </c>
      <c r="AB826" s="133">
        <f>'Optional Adjustment 10'!G826*$AB$1</f>
        <v>0</v>
      </c>
      <c r="AC826" s="133">
        <f>'Optional Adjustment 11'!G826*$AC$1</f>
        <v>0</v>
      </c>
      <c r="AD826" s="133">
        <f>'Optional Adjustment 12'!G826*$AD$1</f>
        <v>0</v>
      </c>
      <c r="AE826" s="133">
        <f>'Optional Adjustment 13'!G826*$AE$1</f>
        <v>0</v>
      </c>
      <c r="AF826" s="133">
        <f>'Optional Adjustment 14'!G826*$AF$1</f>
        <v>0</v>
      </c>
      <c r="AG826" s="133">
        <f>'Optional Adjustment 15'!G826*$AG$1</f>
        <v>0</v>
      </c>
      <c r="AH826" s="133">
        <f>'Optional Adjustment 16'!G826*$AH$1</f>
        <v>0</v>
      </c>
      <c r="AI826" s="133">
        <f>'Optional Adjustment 17'!G826*$AI$1</f>
        <v>0</v>
      </c>
      <c r="AJ826" s="133">
        <f>'Optional Adjustment 18'!G826*$AJ$1</f>
        <v>0</v>
      </c>
      <c r="AK826" s="133">
        <f>'Optional Adjustment 19'!G826*$AK$1</f>
        <v>0</v>
      </c>
      <c r="AL826" s="133">
        <f>'Optional Adjustment 20'!G826*$AL$1</f>
        <v>0</v>
      </c>
      <c r="AM826" s="133">
        <f>'Optional Adjustment 21'!G826*$AM$1</f>
        <v>0</v>
      </c>
      <c r="AN826" s="133">
        <f>'Optional Adjustment 22'!G826*$AN$1</f>
        <v>0</v>
      </c>
      <c r="AO826" s="133">
        <f>'Optional Adjustment 23'!G826*$AO$1</f>
        <v>0</v>
      </c>
      <c r="AP826" s="133">
        <f>'Optional Adjustment 24'!G826*$AP$1</f>
        <v>0</v>
      </c>
      <c r="AQ826" s="133">
        <f>'Optional Adjustment 25'!G826*$AQ$1</f>
        <v>0</v>
      </c>
      <c r="AR826" s="133">
        <f>'Optional Adjustment 26'!G826*$AR$1</f>
        <v>0</v>
      </c>
      <c r="AS826" s="133">
        <f>'Optional Adjustment 27'!G826*$AS$1</f>
        <v>0</v>
      </c>
      <c r="AT826" s="133"/>
      <c r="AU826" s="133">
        <f>SUM(F826:AT826)</f>
        <v>0</v>
      </c>
      <c r="AV826" s="116"/>
      <c r="AW826" s="133">
        <f>SUM(AU826:AU826)</f>
        <v>0</v>
      </c>
      <c r="AX826" s="133">
        <f>+AW826-'ROR-Model'!G827</f>
        <v>0</v>
      </c>
    </row>
    <row r="827" spans="1:50">
      <c r="A827" s="330"/>
      <c r="B827" s="106"/>
      <c r="C827" s="106" t="s">
        <v>170</v>
      </c>
      <c r="D827" s="106"/>
      <c r="E827" s="331"/>
      <c r="F827" s="131">
        <f>SUM(F825:F826)</f>
        <v>0</v>
      </c>
      <c r="G827" s="131">
        <f>SUM(G825:G826)</f>
        <v>0</v>
      </c>
      <c r="H827" s="131">
        <f>H1*SUM(H825:H826)</f>
        <v>0</v>
      </c>
      <c r="I827" s="131">
        <f>SUM(I825:I826)</f>
        <v>0</v>
      </c>
      <c r="J827" s="131">
        <f t="shared" ref="J827:P827" si="1039">SUM(J825:J826)</f>
        <v>0</v>
      </c>
      <c r="K827" s="131">
        <f t="shared" si="1039"/>
        <v>0</v>
      </c>
      <c r="L827" s="131">
        <f t="shared" si="1039"/>
        <v>0</v>
      </c>
      <c r="M827" s="131">
        <f t="shared" si="1039"/>
        <v>0</v>
      </c>
      <c r="N827" s="131">
        <f t="shared" si="1039"/>
        <v>0</v>
      </c>
      <c r="O827" s="131">
        <f t="shared" si="1039"/>
        <v>0</v>
      </c>
      <c r="P827" s="131">
        <f t="shared" si="1039"/>
        <v>0</v>
      </c>
      <c r="Q827" s="241">
        <f>SUM(Q825:Q826)</f>
        <v>0</v>
      </c>
      <c r="R827" s="241">
        <f>SUM(R825:R826)</f>
        <v>0</v>
      </c>
      <c r="S827" s="556">
        <f t="shared" ref="S827:AG827" si="1040">SUM(S825:S826)</f>
        <v>0</v>
      </c>
      <c r="T827" s="556">
        <f t="shared" si="1040"/>
        <v>0</v>
      </c>
      <c r="U827" s="556">
        <f t="shared" si="1040"/>
        <v>0</v>
      </c>
      <c r="V827" s="556">
        <f t="shared" si="1040"/>
        <v>0</v>
      </c>
      <c r="W827" s="556">
        <f t="shared" si="1040"/>
        <v>0</v>
      </c>
      <c r="X827" s="556">
        <f t="shared" si="1040"/>
        <v>0</v>
      </c>
      <c r="Y827" s="556">
        <f t="shared" si="1040"/>
        <v>0</v>
      </c>
      <c r="Z827" s="556">
        <f t="shared" si="1040"/>
        <v>0</v>
      </c>
      <c r="AA827" s="556">
        <f t="shared" si="1040"/>
        <v>0</v>
      </c>
      <c r="AB827" s="556">
        <f t="shared" si="1040"/>
        <v>0</v>
      </c>
      <c r="AC827" s="556">
        <f t="shared" si="1040"/>
        <v>0</v>
      </c>
      <c r="AD827" s="556">
        <f t="shared" si="1040"/>
        <v>0</v>
      </c>
      <c r="AE827" s="556">
        <f t="shared" si="1040"/>
        <v>0</v>
      </c>
      <c r="AF827" s="556">
        <f t="shared" si="1040"/>
        <v>0</v>
      </c>
      <c r="AG827" s="556">
        <f t="shared" si="1040"/>
        <v>0</v>
      </c>
      <c r="AH827" s="556">
        <f t="shared" ref="AH827:AK827" si="1041">SUM(AH825:AH826)</f>
        <v>0</v>
      </c>
      <c r="AI827" s="556">
        <f t="shared" si="1041"/>
        <v>0</v>
      </c>
      <c r="AJ827" s="556">
        <f t="shared" si="1041"/>
        <v>0</v>
      </c>
      <c r="AK827" s="556">
        <f t="shared" si="1041"/>
        <v>0</v>
      </c>
      <c r="AL827" s="556">
        <f t="shared" ref="AL827:AP827" si="1042">SUM(AL825:AL826)</f>
        <v>0</v>
      </c>
      <c r="AM827" s="556">
        <f t="shared" si="1042"/>
        <v>0</v>
      </c>
      <c r="AN827" s="556">
        <f t="shared" si="1042"/>
        <v>0</v>
      </c>
      <c r="AO827" s="556">
        <f t="shared" si="1042"/>
        <v>0</v>
      </c>
      <c r="AP827" s="556">
        <f t="shared" si="1042"/>
        <v>0</v>
      </c>
      <c r="AQ827" s="556">
        <f t="shared" ref="AQ827:AS827" si="1043">SUM(AQ825:AQ826)</f>
        <v>0</v>
      </c>
      <c r="AR827" s="556">
        <f t="shared" si="1043"/>
        <v>0</v>
      </c>
      <c r="AS827" s="556">
        <f t="shared" si="1043"/>
        <v>0</v>
      </c>
      <c r="AT827" s="556"/>
      <c r="AU827" s="241">
        <f>SUM(AU825:AU826)</f>
        <v>0</v>
      </c>
      <c r="AV827" s="131"/>
      <c r="AW827" s="241">
        <f>SUM(AW825:AW826)</f>
        <v>0</v>
      </c>
      <c r="AX827" s="241">
        <f>+AW827-'ROR-Model'!G828</f>
        <v>0</v>
      </c>
    </row>
    <row r="828" spans="1:50" ht="13.5" thickBot="1">
      <c r="A828" s="330"/>
      <c r="B828" s="106"/>
      <c r="C828" s="106"/>
      <c r="D828" s="106"/>
      <c r="E828" s="331"/>
      <c r="F828" s="235"/>
      <c r="G828" s="235"/>
      <c r="H828" s="235"/>
      <c r="I828" s="235"/>
      <c r="J828" s="235"/>
      <c r="K828" s="235"/>
      <c r="L828" s="235"/>
      <c r="M828" s="235"/>
      <c r="N828" s="235"/>
      <c r="O828" s="235"/>
      <c r="P828" s="235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  <c r="AA828" s="242"/>
      <c r="AB828" s="242"/>
      <c r="AC828" s="242"/>
      <c r="AD828" s="242"/>
      <c r="AE828" s="242"/>
      <c r="AF828" s="242"/>
      <c r="AG828" s="242"/>
      <c r="AH828" s="242"/>
      <c r="AI828" s="242"/>
      <c r="AJ828" s="242"/>
      <c r="AK828" s="242"/>
      <c r="AL828" s="242"/>
      <c r="AM828" s="242"/>
      <c r="AN828" s="242"/>
      <c r="AO828" s="242"/>
      <c r="AP828" s="242"/>
      <c r="AQ828" s="242"/>
      <c r="AR828" s="242"/>
      <c r="AS828" s="242"/>
      <c r="AT828" s="242"/>
      <c r="AU828" s="242"/>
      <c r="AV828" s="235"/>
      <c r="AW828" s="242"/>
      <c r="AX828" s="242">
        <f>+AW828-'ROR-Model'!G829</f>
        <v>0</v>
      </c>
    </row>
    <row r="829" spans="1:50" ht="13.5" thickTop="1">
      <c r="A829" s="59" t="s">
        <v>650</v>
      </c>
      <c r="B829" s="106"/>
      <c r="C829" s="106"/>
      <c r="D829" s="106"/>
      <c r="E829" s="331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16"/>
      <c r="AW829" s="133"/>
      <c r="AX829" s="133">
        <f>+AW829-'ROR-Model'!G830</f>
        <v>0</v>
      </c>
    </row>
    <row r="830" spans="1:50">
      <c r="A830" s="330"/>
      <c r="B830" s="231" t="s">
        <v>651</v>
      </c>
      <c r="C830" s="106"/>
      <c r="D830" s="106"/>
      <c r="E830" s="331"/>
      <c r="F830" s="116">
        <f t="shared" ref="F830:G831" si="1044">F810+F815+F820+F825</f>
        <v>0</v>
      </c>
      <c r="G830" s="116">
        <f t="shared" si="1044"/>
        <v>469866.89372352796</v>
      </c>
      <c r="H830" s="116">
        <f t="shared" ref="H830:AU830" si="1045">H810+H815+H820+H825</f>
        <v>0</v>
      </c>
      <c r="I830" s="116">
        <f t="shared" si="1045"/>
        <v>0</v>
      </c>
      <c r="J830" s="116">
        <f t="shared" si="1045"/>
        <v>0</v>
      </c>
      <c r="K830" s="116">
        <f t="shared" si="1045"/>
        <v>-21393645.139439996</v>
      </c>
      <c r="L830" s="116">
        <f t="shared" si="1045"/>
        <v>0</v>
      </c>
      <c r="M830" s="116">
        <f t="shared" si="1045"/>
        <v>0</v>
      </c>
      <c r="N830" s="116">
        <f t="shared" si="1045"/>
        <v>0</v>
      </c>
      <c r="O830" s="116">
        <f t="shared" ca="1" si="1045"/>
        <v>-5819.525055255338</v>
      </c>
      <c r="P830" s="116">
        <f t="shared" si="1045"/>
        <v>0</v>
      </c>
      <c r="Q830" s="116">
        <f t="shared" si="1045"/>
        <v>0</v>
      </c>
      <c r="R830" s="116">
        <f t="shared" si="1045"/>
        <v>0</v>
      </c>
      <c r="S830" s="116">
        <f t="shared" si="1045"/>
        <v>0</v>
      </c>
      <c r="T830" s="116">
        <f t="shared" si="1045"/>
        <v>0</v>
      </c>
      <c r="U830" s="116">
        <f t="shared" si="1045"/>
        <v>0</v>
      </c>
      <c r="V830" s="116">
        <f t="shared" si="1045"/>
        <v>0</v>
      </c>
      <c r="W830" s="116">
        <f t="shared" si="1045"/>
        <v>0</v>
      </c>
      <c r="X830" s="116">
        <f t="shared" si="1045"/>
        <v>0</v>
      </c>
      <c r="Y830" s="116">
        <f t="shared" si="1045"/>
        <v>0</v>
      </c>
      <c r="Z830" s="116">
        <f t="shared" si="1045"/>
        <v>0</v>
      </c>
      <c r="AA830" s="116">
        <f t="shared" si="1045"/>
        <v>0</v>
      </c>
      <c r="AB830" s="116">
        <f t="shared" si="1045"/>
        <v>0</v>
      </c>
      <c r="AC830" s="116">
        <f t="shared" si="1045"/>
        <v>0</v>
      </c>
      <c r="AD830" s="116">
        <f t="shared" si="1045"/>
        <v>0</v>
      </c>
      <c r="AE830" s="116">
        <f t="shared" si="1045"/>
        <v>0</v>
      </c>
      <c r="AF830" s="116">
        <f t="shared" si="1045"/>
        <v>0</v>
      </c>
      <c r="AG830" s="116">
        <f t="shared" si="1045"/>
        <v>0</v>
      </c>
      <c r="AH830" s="116">
        <f t="shared" si="1045"/>
        <v>0</v>
      </c>
      <c r="AI830" s="116">
        <f t="shared" si="1045"/>
        <v>0</v>
      </c>
      <c r="AJ830" s="116">
        <f t="shared" si="1045"/>
        <v>0</v>
      </c>
      <c r="AK830" s="116">
        <f t="shared" si="1045"/>
        <v>0</v>
      </c>
      <c r="AL830" s="116">
        <f t="shared" si="1045"/>
        <v>0</v>
      </c>
      <c r="AM830" s="116">
        <f t="shared" si="1045"/>
        <v>0</v>
      </c>
      <c r="AN830" s="116">
        <f t="shared" si="1045"/>
        <v>0</v>
      </c>
      <c r="AO830" s="116">
        <f t="shared" si="1045"/>
        <v>0</v>
      </c>
      <c r="AP830" s="116">
        <f t="shared" si="1045"/>
        <v>0</v>
      </c>
      <c r="AQ830" s="116">
        <f t="shared" si="1045"/>
        <v>0</v>
      </c>
      <c r="AR830" s="116">
        <f t="shared" si="1045"/>
        <v>0</v>
      </c>
      <c r="AS830" s="116">
        <f t="shared" si="1045"/>
        <v>0</v>
      </c>
      <c r="AT830" s="116">
        <f t="shared" si="1045"/>
        <v>0</v>
      </c>
      <c r="AU830" s="116">
        <f t="shared" ca="1" si="1045"/>
        <v>-20929597.770771723</v>
      </c>
      <c r="AV830" s="116"/>
      <c r="AW830" s="133">
        <f ca="1">AW810+AW815+AW820+AW825</f>
        <v>-20929597.770771723</v>
      </c>
      <c r="AX830" s="133">
        <f ca="1">+AW830-'ROR-Model'!G831</f>
        <v>0</v>
      </c>
    </row>
    <row r="831" spans="1:50">
      <c r="A831" s="330"/>
      <c r="B831" s="231" t="s">
        <v>652</v>
      </c>
      <c r="C831" s="106"/>
      <c r="D831" s="106"/>
      <c r="E831" s="331"/>
      <c r="F831" s="116">
        <f t="shared" si="1044"/>
        <v>0</v>
      </c>
      <c r="G831" s="116">
        <f t="shared" si="1044"/>
        <v>7541.7595102499836</v>
      </c>
      <c r="H831" s="116">
        <f t="shared" ref="H831:AU831" si="1046">H811+H816+H821+H826</f>
        <v>0</v>
      </c>
      <c r="I831" s="116">
        <f t="shared" si="1046"/>
        <v>0</v>
      </c>
      <c r="J831" s="116">
        <f t="shared" si="1046"/>
        <v>0</v>
      </c>
      <c r="K831" s="116">
        <f t="shared" si="1046"/>
        <v>-167622.66926024997</v>
      </c>
      <c r="L831" s="116">
        <f t="shared" si="1046"/>
        <v>0</v>
      </c>
      <c r="M831" s="116">
        <f t="shared" si="1046"/>
        <v>0</v>
      </c>
      <c r="N831" s="116">
        <f t="shared" si="1046"/>
        <v>0</v>
      </c>
      <c r="O831" s="116">
        <f t="shared" ca="1" si="1046"/>
        <v>-195.33696691716031</v>
      </c>
      <c r="P831" s="116">
        <f t="shared" si="1046"/>
        <v>0</v>
      </c>
      <c r="Q831" s="116">
        <f t="shared" si="1046"/>
        <v>0</v>
      </c>
      <c r="R831" s="116">
        <f t="shared" si="1046"/>
        <v>0</v>
      </c>
      <c r="S831" s="116">
        <f t="shared" si="1046"/>
        <v>0</v>
      </c>
      <c r="T831" s="116">
        <f t="shared" si="1046"/>
        <v>0</v>
      </c>
      <c r="U831" s="116">
        <f t="shared" si="1046"/>
        <v>0</v>
      </c>
      <c r="V831" s="116">
        <f t="shared" si="1046"/>
        <v>0</v>
      </c>
      <c r="W831" s="116">
        <f t="shared" si="1046"/>
        <v>0</v>
      </c>
      <c r="X831" s="116">
        <f t="shared" si="1046"/>
        <v>0</v>
      </c>
      <c r="Y831" s="116">
        <f t="shared" si="1046"/>
        <v>0</v>
      </c>
      <c r="Z831" s="116">
        <f t="shared" si="1046"/>
        <v>0</v>
      </c>
      <c r="AA831" s="116">
        <f t="shared" si="1046"/>
        <v>0</v>
      </c>
      <c r="AB831" s="116">
        <f t="shared" si="1046"/>
        <v>0</v>
      </c>
      <c r="AC831" s="116">
        <f t="shared" si="1046"/>
        <v>0</v>
      </c>
      <c r="AD831" s="116">
        <f t="shared" si="1046"/>
        <v>0</v>
      </c>
      <c r="AE831" s="116">
        <f t="shared" si="1046"/>
        <v>0</v>
      </c>
      <c r="AF831" s="116">
        <f t="shared" si="1046"/>
        <v>0</v>
      </c>
      <c r="AG831" s="116">
        <f t="shared" si="1046"/>
        <v>0</v>
      </c>
      <c r="AH831" s="116">
        <f t="shared" si="1046"/>
        <v>0</v>
      </c>
      <c r="AI831" s="116">
        <f t="shared" si="1046"/>
        <v>0</v>
      </c>
      <c r="AJ831" s="116">
        <f t="shared" si="1046"/>
        <v>0</v>
      </c>
      <c r="AK831" s="116">
        <f t="shared" si="1046"/>
        <v>0</v>
      </c>
      <c r="AL831" s="116">
        <f t="shared" si="1046"/>
        <v>0</v>
      </c>
      <c r="AM831" s="116">
        <f t="shared" si="1046"/>
        <v>0</v>
      </c>
      <c r="AN831" s="116">
        <f t="shared" si="1046"/>
        <v>0</v>
      </c>
      <c r="AO831" s="116">
        <f t="shared" si="1046"/>
        <v>0</v>
      </c>
      <c r="AP831" s="116">
        <f t="shared" si="1046"/>
        <v>0</v>
      </c>
      <c r="AQ831" s="116">
        <f t="shared" si="1046"/>
        <v>0</v>
      </c>
      <c r="AR831" s="116">
        <f t="shared" si="1046"/>
        <v>0</v>
      </c>
      <c r="AS831" s="116">
        <f t="shared" si="1046"/>
        <v>0</v>
      </c>
      <c r="AT831" s="116">
        <f t="shared" si="1046"/>
        <v>0</v>
      </c>
      <c r="AU831" s="116">
        <f t="shared" ca="1" si="1046"/>
        <v>-160276.24671691714</v>
      </c>
      <c r="AV831" s="116"/>
      <c r="AW831" s="133">
        <f ca="1">AW811+AW816+AW821+AW826</f>
        <v>-160276.24671691714</v>
      </c>
      <c r="AX831" s="133">
        <f ca="1">+AW831-'ROR-Model'!G832</f>
        <v>0</v>
      </c>
    </row>
    <row r="832" spans="1:50" ht="13.5" thickBot="1">
      <c r="A832" s="330"/>
      <c r="B832" s="106"/>
      <c r="C832" s="106"/>
      <c r="D832" s="106"/>
      <c r="E832" s="331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62"/>
      <c r="R832" s="262"/>
      <c r="S832" s="558"/>
      <c r="T832" s="558"/>
      <c r="U832" s="558"/>
      <c r="V832" s="558"/>
      <c r="W832" s="558"/>
      <c r="X832" s="558"/>
      <c r="Y832" s="558"/>
      <c r="Z832" s="558"/>
      <c r="AA832" s="558"/>
      <c r="AB832" s="558"/>
      <c r="AC832" s="558"/>
      <c r="AD832" s="558"/>
      <c r="AE832" s="558"/>
      <c r="AF832" s="558"/>
      <c r="AG832" s="558"/>
      <c r="AH832" s="558"/>
      <c r="AI832" s="558"/>
      <c r="AJ832" s="558"/>
      <c r="AK832" s="558"/>
      <c r="AL832" s="558"/>
      <c r="AM832" s="558"/>
      <c r="AN832" s="558"/>
      <c r="AO832" s="558"/>
      <c r="AP832" s="558"/>
      <c r="AQ832" s="558"/>
      <c r="AR832" s="558"/>
      <c r="AS832" s="558"/>
      <c r="AT832" s="558"/>
      <c r="AU832" s="262"/>
      <c r="AV832" s="236"/>
      <c r="AW832" s="262"/>
      <c r="AX832" s="262">
        <f>+AW832-'ROR-Model'!G833</f>
        <v>0</v>
      </c>
    </row>
    <row r="833" spans="1:50">
      <c r="A833" s="330"/>
      <c r="B833" s="61" t="s">
        <v>650</v>
      </c>
      <c r="C833" s="106"/>
      <c r="D833" s="106"/>
      <c r="E833" s="331"/>
      <c r="F833" s="116">
        <f>F812+F817+F822+F827</f>
        <v>0</v>
      </c>
      <c r="G833" s="116">
        <f>G812+G817+G822+G827</f>
        <v>477408.65323377791</v>
      </c>
      <c r="H833" s="116">
        <f>H1*H812+H817+H822+H827</f>
        <v>0</v>
      </c>
      <c r="I833" s="116">
        <f t="shared" ref="I833:K833" si="1047">I1*I812+I817+I822+I827</f>
        <v>0</v>
      </c>
      <c r="J833" s="116">
        <f t="shared" si="1047"/>
        <v>0</v>
      </c>
      <c r="K833" s="116">
        <f t="shared" si="1047"/>
        <v>-21561267.808700245</v>
      </c>
      <c r="L833" s="116">
        <f t="shared" ref="L833:Q833" si="1048">L812+L817+L822+L827</f>
        <v>0</v>
      </c>
      <c r="M833" s="116">
        <f t="shared" si="1048"/>
        <v>0</v>
      </c>
      <c r="N833" s="116">
        <f t="shared" si="1048"/>
        <v>0</v>
      </c>
      <c r="O833" s="116">
        <f t="shared" ca="1" si="1048"/>
        <v>-6014.8620221724987</v>
      </c>
      <c r="P833" s="116">
        <f t="shared" si="1048"/>
        <v>0</v>
      </c>
      <c r="Q833" s="133">
        <f t="shared" si="1048"/>
        <v>0</v>
      </c>
      <c r="R833" s="133">
        <f t="shared" ref="R833" si="1049">R812+R817+R822+R827</f>
        <v>0</v>
      </c>
      <c r="S833" s="133">
        <f t="shared" ref="S833:AG833" si="1050">S812+S817+S822+S827</f>
        <v>0</v>
      </c>
      <c r="T833" s="133">
        <f t="shared" si="1050"/>
        <v>0</v>
      </c>
      <c r="U833" s="133">
        <f t="shared" si="1050"/>
        <v>0</v>
      </c>
      <c r="V833" s="133">
        <f t="shared" si="1050"/>
        <v>0</v>
      </c>
      <c r="W833" s="133">
        <f t="shared" si="1050"/>
        <v>0</v>
      </c>
      <c r="X833" s="133">
        <f t="shared" si="1050"/>
        <v>0</v>
      </c>
      <c r="Y833" s="133">
        <f t="shared" si="1050"/>
        <v>0</v>
      </c>
      <c r="Z833" s="133">
        <f t="shared" si="1050"/>
        <v>0</v>
      </c>
      <c r="AA833" s="133">
        <f t="shared" si="1050"/>
        <v>0</v>
      </c>
      <c r="AB833" s="133">
        <f t="shared" si="1050"/>
        <v>0</v>
      </c>
      <c r="AC833" s="133">
        <f t="shared" si="1050"/>
        <v>0</v>
      </c>
      <c r="AD833" s="133">
        <f t="shared" si="1050"/>
        <v>0</v>
      </c>
      <c r="AE833" s="133">
        <f t="shared" si="1050"/>
        <v>0</v>
      </c>
      <c r="AF833" s="133">
        <f t="shared" si="1050"/>
        <v>0</v>
      </c>
      <c r="AG833" s="133">
        <f t="shared" si="1050"/>
        <v>0</v>
      </c>
      <c r="AH833" s="133">
        <f t="shared" ref="AH833:AK833" si="1051">AH812+AH817+AH822+AH827</f>
        <v>0</v>
      </c>
      <c r="AI833" s="133">
        <f t="shared" si="1051"/>
        <v>0</v>
      </c>
      <c r="AJ833" s="133">
        <f t="shared" si="1051"/>
        <v>0</v>
      </c>
      <c r="AK833" s="133">
        <f t="shared" si="1051"/>
        <v>0</v>
      </c>
      <c r="AL833" s="133">
        <f t="shared" ref="AL833:AP833" si="1052">AL812+AL817+AL822+AL827</f>
        <v>0</v>
      </c>
      <c r="AM833" s="133">
        <f t="shared" si="1052"/>
        <v>0</v>
      </c>
      <c r="AN833" s="133">
        <f t="shared" si="1052"/>
        <v>0</v>
      </c>
      <c r="AO833" s="133">
        <f t="shared" si="1052"/>
        <v>0</v>
      </c>
      <c r="AP833" s="133">
        <f t="shared" si="1052"/>
        <v>0</v>
      </c>
      <c r="AQ833" s="133">
        <f t="shared" ref="AQ833:AT833" si="1053">AQ812+AQ817+AQ822+AQ827</f>
        <v>0</v>
      </c>
      <c r="AR833" s="133">
        <f t="shared" si="1053"/>
        <v>0</v>
      </c>
      <c r="AS833" s="133">
        <f t="shared" si="1053"/>
        <v>0</v>
      </c>
      <c r="AT833" s="133">
        <f t="shared" si="1053"/>
        <v>0</v>
      </c>
      <c r="AU833" s="133">
        <f ca="1">SUM(F833:AT833)</f>
        <v>-21089874.01748864</v>
      </c>
      <c r="AV833" s="116"/>
      <c r="AW833" s="133">
        <f ca="1">SUM(AU833:AU833)</f>
        <v>-21089874.01748864</v>
      </c>
      <c r="AX833" s="133">
        <f ca="1">+AW833-'ROR-Model'!G834</f>
        <v>0</v>
      </c>
    </row>
    <row r="834" spans="1:50">
      <c r="A834" s="330"/>
      <c r="B834" s="106"/>
      <c r="C834" s="106"/>
      <c r="D834" s="106"/>
      <c r="E834" s="331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16"/>
      <c r="AW834" s="133"/>
      <c r="AX834" s="133">
        <f>+AW834-'ROR-Model'!G835</f>
        <v>0</v>
      </c>
    </row>
    <row r="835" spans="1:50">
      <c r="A835" s="59" t="s">
        <v>425</v>
      </c>
      <c r="B835" s="106"/>
      <c r="C835" s="106"/>
      <c r="D835" s="106"/>
      <c r="E835" s="331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16"/>
      <c r="AW835" s="133"/>
      <c r="AX835" s="133">
        <f>+AW835-'ROR-Model'!G836</f>
        <v>0</v>
      </c>
    </row>
    <row r="836" spans="1:50">
      <c r="A836" s="330"/>
      <c r="B836" s="106"/>
      <c r="C836" s="106"/>
      <c r="D836" s="106"/>
      <c r="E836" s="331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16"/>
      <c r="AW836" s="133"/>
      <c r="AX836" s="133">
        <f>+AW836-'ROR-Model'!G837</f>
        <v>0</v>
      </c>
    </row>
    <row r="837" spans="1:50">
      <c r="A837" s="134">
        <v>920</v>
      </c>
      <c r="B837" s="106" t="s">
        <v>426</v>
      </c>
      <c r="C837" s="106"/>
      <c r="D837" s="106"/>
      <c r="E837" s="331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16"/>
      <c r="AW837" s="133"/>
      <c r="AX837" s="133">
        <f>+AW837-'ROR-Model'!G838</f>
        <v>0</v>
      </c>
    </row>
    <row r="838" spans="1:50">
      <c r="A838" s="330"/>
      <c r="B838" s="106"/>
      <c r="C838" s="106" t="s">
        <v>14</v>
      </c>
      <c r="D838" s="106"/>
      <c r="E838" s="331"/>
      <c r="F838" s="116"/>
      <c r="G838" s="116">
        <f>$G$1*EXPENSES!L331</f>
        <v>-229061.80733165098</v>
      </c>
      <c r="H838" s="116"/>
      <c r="I838" s="116"/>
      <c r="J838" s="116"/>
      <c r="K838" s="116"/>
      <c r="L838" s="116"/>
      <c r="M838" s="116">
        <f ca="1">Incentive!I19*M1</f>
        <v>-880051.2619779529</v>
      </c>
      <c r="N838" s="116"/>
      <c r="O838" s="116"/>
      <c r="P838" s="116"/>
      <c r="Q838" s="133"/>
      <c r="R838" s="133"/>
      <c r="S838" s="133"/>
      <c r="T838" s="133">
        <f>'Optional Adjustment 2'!G838*$T$1</f>
        <v>0</v>
      </c>
      <c r="U838" s="133">
        <f>'Optional Adjustment 3'!G838*$U$1</f>
        <v>0</v>
      </c>
      <c r="V838" s="133">
        <f>'Optional Adjustment 4'!G838*$V$1</f>
        <v>0</v>
      </c>
      <c r="W838" s="133">
        <f>'Optional Adjustment 5'!G838*$W$1</f>
        <v>0</v>
      </c>
      <c r="X838" s="133">
        <f>'Optional Adjustment 6'!G838*$X$1</f>
        <v>0</v>
      </c>
      <c r="Y838" s="133">
        <f>'Optional Adjustment 7'!G838*$Y$1</f>
        <v>0</v>
      </c>
      <c r="Z838" s="133">
        <f>'Optional Adjustment 8'!G838*$Z$1</f>
        <v>0</v>
      </c>
      <c r="AA838" s="133">
        <f>'Optional Adjustment 9'!G838*$AA$1</f>
        <v>0</v>
      </c>
      <c r="AB838" s="133">
        <f>'Optional Adjustment 10'!G838*$AB$1</f>
        <v>0</v>
      </c>
      <c r="AC838" s="133">
        <f>'Optional Adjustment 11'!G838*$AC$1</f>
        <v>0</v>
      </c>
      <c r="AD838" s="133">
        <f>'Optional Adjustment 12'!G838*$AD$1</f>
        <v>0</v>
      </c>
      <c r="AE838" s="133">
        <f>'Optional Adjustment 13'!G838*$AE$1</f>
        <v>0</v>
      </c>
      <c r="AF838" s="133">
        <f>'Optional Adjustment 14'!G838*$AF$1</f>
        <v>0</v>
      </c>
      <c r="AG838" s="133">
        <f>'Optional Adjustment 15'!G838*$AG$1</f>
        <v>0</v>
      </c>
      <c r="AH838" s="133">
        <f>'Optional Adjustment 16'!G838*$AH$1</f>
        <v>0</v>
      </c>
      <c r="AI838" s="133">
        <f>'Optional Adjustment 17'!G838*$AI$1</f>
        <v>0</v>
      </c>
      <c r="AJ838" s="133">
        <f>'Optional Adjustment 18'!G838*$AJ$1</f>
        <v>0</v>
      </c>
      <c r="AK838" s="133">
        <f>'Optional Adjustment 19'!G838*$AK$1</f>
        <v>0</v>
      </c>
      <c r="AL838" s="133">
        <f>'Optional Adjustment 20'!G838*$AL$1</f>
        <v>0</v>
      </c>
      <c r="AM838" s="133">
        <f>'Optional Adjustment 21'!G838*$AM$1</f>
        <v>0</v>
      </c>
      <c r="AN838" s="133">
        <f>'Optional Adjustment 22'!G838*$AN$1</f>
        <v>0</v>
      </c>
      <c r="AO838" s="133">
        <f>'Optional Adjustment 23'!G838*$AO$1</f>
        <v>0</v>
      </c>
      <c r="AP838" s="133">
        <f>'Optional Adjustment 24'!G838*$AP$1</f>
        <v>0</v>
      </c>
      <c r="AQ838" s="133">
        <f>'Optional Adjustment 25'!G838*$AQ$1</f>
        <v>0</v>
      </c>
      <c r="AR838" s="133">
        <f>'Optional Adjustment 26'!G838*$AR$1</f>
        <v>0</v>
      </c>
      <c r="AS838" s="133">
        <f>'Optional Adjustment 27'!G838*$AS$1</f>
        <v>0</v>
      </c>
      <c r="AT838" s="133">
        <f>'Labor Adjustment ROO'!G13*AT1</f>
        <v>0</v>
      </c>
      <c r="AU838" s="133">
        <f ca="1">SUM(F838:AT838)</f>
        <v>-1109113.0693096039</v>
      </c>
      <c r="AV838" s="116"/>
      <c r="AW838" s="133">
        <f ca="1">SUM(AU838:AU838)</f>
        <v>-1109113.0693096039</v>
      </c>
      <c r="AX838" s="133">
        <f ca="1">+AW838-'ROR-Model'!G839</f>
        <v>0</v>
      </c>
    </row>
    <row r="839" spans="1:50">
      <c r="A839" s="330"/>
      <c r="B839" s="106"/>
      <c r="C839" s="106" t="s">
        <v>24</v>
      </c>
      <c r="D839" s="106"/>
      <c r="E839" s="331"/>
      <c r="F839" s="116"/>
      <c r="G839" s="116">
        <f>$G$1*EXPENSES!L332</f>
        <v>-6029.8413212924934</v>
      </c>
      <c r="H839" s="116"/>
      <c r="I839" s="116"/>
      <c r="J839" s="116"/>
      <c r="K839" s="116"/>
      <c r="L839" s="116"/>
      <c r="M839" s="116">
        <f ca="1">Incentive!I20*M1</f>
        <v>-29539.617514173584</v>
      </c>
      <c r="N839" s="116"/>
      <c r="O839" s="116"/>
      <c r="P839" s="116"/>
      <c r="Q839" s="133"/>
      <c r="R839" s="133"/>
      <c r="S839" s="133"/>
      <c r="T839" s="133">
        <f>'Optional Adjustment 2'!G839*$T$1</f>
        <v>0</v>
      </c>
      <c r="U839" s="133">
        <f>'Optional Adjustment 3'!G839*$U$1</f>
        <v>0</v>
      </c>
      <c r="V839" s="133">
        <f>'Optional Adjustment 4'!G839*$V$1</f>
        <v>0</v>
      </c>
      <c r="W839" s="133">
        <f>'Optional Adjustment 5'!G839*$W$1</f>
        <v>0</v>
      </c>
      <c r="X839" s="133">
        <f>'Optional Adjustment 6'!G839*$X$1</f>
        <v>0</v>
      </c>
      <c r="Y839" s="133">
        <f>'Optional Adjustment 7'!G839*$Y$1</f>
        <v>0</v>
      </c>
      <c r="Z839" s="133">
        <f>'Optional Adjustment 8'!G839*$Z$1</f>
        <v>0</v>
      </c>
      <c r="AA839" s="133">
        <f>'Optional Adjustment 9'!G839*$AA$1</f>
        <v>0</v>
      </c>
      <c r="AB839" s="133">
        <f>'Optional Adjustment 10'!G839*$AB$1</f>
        <v>0</v>
      </c>
      <c r="AC839" s="133">
        <f>'Optional Adjustment 11'!G839*$AC$1</f>
        <v>0</v>
      </c>
      <c r="AD839" s="133">
        <f>'Optional Adjustment 12'!G839*$AD$1</f>
        <v>0</v>
      </c>
      <c r="AE839" s="133">
        <f>'Optional Adjustment 13'!G839*$AE$1</f>
        <v>0</v>
      </c>
      <c r="AF839" s="133">
        <f>'Optional Adjustment 14'!G839*$AF$1</f>
        <v>0</v>
      </c>
      <c r="AG839" s="133">
        <f>'Optional Adjustment 15'!G839*$AG$1</f>
        <v>0</v>
      </c>
      <c r="AH839" s="133">
        <f>'Optional Adjustment 16'!G839*$AH$1</f>
        <v>0</v>
      </c>
      <c r="AI839" s="133">
        <f>'Optional Adjustment 17'!G839*$AI$1</f>
        <v>0</v>
      </c>
      <c r="AJ839" s="133">
        <f>'Optional Adjustment 18'!G839*$AJ$1</f>
        <v>0</v>
      </c>
      <c r="AK839" s="133">
        <f>'Optional Adjustment 19'!G839*$AK$1</f>
        <v>0</v>
      </c>
      <c r="AL839" s="133">
        <f>'Optional Adjustment 20'!G839*$AL$1</f>
        <v>0</v>
      </c>
      <c r="AM839" s="133">
        <f>'Optional Adjustment 21'!G839*$AM$1</f>
        <v>0</v>
      </c>
      <c r="AN839" s="133">
        <f>'Optional Adjustment 22'!G839*$AN$1</f>
        <v>0</v>
      </c>
      <c r="AO839" s="133">
        <f>'Optional Adjustment 23'!G839*$AO$1</f>
        <v>0</v>
      </c>
      <c r="AP839" s="133">
        <f>'Optional Adjustment 24'!G839*$AP$1</f>
        <v>0</v>
      </c>
      <c r="AQ839" s="133">
        <f>'Optional Adjustment 25'!G839*$AQ$1</f>
        <v>0</v>
      </c>
      <c r="AR839" s="133">
        <f>'Optional Adjustment 26'!G839*$AR$1</f>
        <v>0</v>
      </c>
      <c r="AS839" s="133">
        <f>'Optional Adjustment 27'!G839*$AS$1</f>
        <v>0</v>
      </c>
      <c r="AT839" s="133">
        <f>'Labor Adjustment ROO'!G14*AT1</f>
        <v>0</v>
      </c>
      <c r="AU839" s="133">
        <f ca="1">SUM(F839:AT839)</f>
        <v>-35569.458835466081</v>
      </c>
      <c r="AV839" s="116"/>
      <c r="AW839" s="133">
        <f ca="1">SUM(AU839:AU839)</f>
        <v>-35569.458835466081</v>
      </c>
      <c r="AX839" s="133">
        <f ca="1">+AW839-'ROR-Model'!G840</f>
        <v>0</v>
      </c>
    </row>
    <row r="840" spans="1:50">
      <c r="A840" s="134"/>
      <c r="B840" s="106"/>
      <c r="C840" s="106" t="s">
        <v>170</v>
      </c>
      <c r="D840" s="106"/>
      <c r="E840" s="331"/>
      <c r="F840" s="131">
        <f>SUM(F838:F839)</f>
        <v>0</v>
      </c>
      <c r="G840" s="131">
        <f>SUM(G838:G839)</f>
        <v>-235091.64865294349</v>
      </c>
      <c r="H840" s="131">
        <f>H1*SUM(H838:H839)</f>
        <v>0</v>
      </c>
      <c r="I840" s="131">
        <f>SUM(I838:I839)</f>
        <v>0</v>
      </c>
      <c r="J840" s="131">
        <f t="shared" ref="J840:P840" si="1054">SUM(J838:J839)</f>
        <v>0</v>
      </c>
      <c r="K840" s="131">
        <f t="shared" si="1054"/>
        <v>0</v>
      </c>
      <c r="L840" s="131">
        <f t="shared" si="1054"/>
        <v>0</v>
      </c>
      <c r="M840" s="131">
        <f t="shared" ca="1" si="1054"/>
        <v>-909590.87949212652</v>
      </c>
      <c r="N840" s="131">
        <f t="shared" si="1054"/>
        <v>0</v>
      </c>
      <c r="O840" s="131">
        <f t="shared" si="1054"/>
        <v>0</v>
      </c>
      <c r="P840" s="131">
        <f t="shared" si="1054"/>
        <v>0</v>
      </c>
      <c r="Q840" s="241">
        <f>SUM(Q838:Q839)</f>
        <v>0</v>
      </c>
      <c r="R840" s="241">
        <f>SUM(R838:R839)</f>
        <v>0</v>
      </c>
      <c r="S840" s="556">
        <f t="shared" ref="S840:AG840" si="1055">SUM(S838:S839)</f>
        <v>0</v>
      </c>
      <c r="T840" s="556">
        <f t="shared" si="1055"/>
        <v>0</v>
      </c>
      <c r="U840" s="556">
        <f t="shared" si="1055"/>
        <v>0</v>
      </c>
      <c r="V840" s="556">
        <f t="shared" si="1055"/>
        <v>0</v>
      </c>
      <c r="W840" s="556">
        <f t="shared" si="1055"/>
        <v>0</v>
      </c>
      <c r="X840" s="556">
        <f t="shared" si="1055"/>
        <v>0</v>
      </c>
      <c r="Y840" s="556">
        <f t="shared" si="1055"/>
        <v>0</v>
      </c>
      <c r="Z840" s="556">
        <f t="shared" si="1055"/>
        <v>0</v>
      </c>
      <c r="AA840" s="556">
        <f t="shared" si="1055"/>
        <v>0</v>
      </c>
      <c r="AB840" s="556">
        <f t="shared" si="1055"/>
        <v>0</v>
      </c>
      <c r="AC840" s="556">
        <f t="shared" si="1055"/>
        <v>0</v>
      </c>
      <c r="AD840" s="556">
        <f t="shared" si="1055"/>
        <v>0</v>
      </c>
      <c r="AE840" s="556">
        <f t="shared" si="1055"/>
        <v>0</v>
      </c>
      <c r="AF840" s="556">
        <f t="shared" si="1055"/>
        <v>0</v>
      </c>
      <c r="AG840" s="556">
        <f t="shared" si="1055"/>
        <v>0</v>
      </c>
      <c r="AH840" s="556">
        <f t="shared" ref="AH840:AK840" si="1056">SUM(AH838:AH839)</f>
        <v>0</v>
      </c>
      <c r="AI840" s="556">
        <f t="shared" si="1056"/>
        <v>0</v>
      </c>
      <c r="AJ840" s="556">
        <f t="shared" si="1056"/>
        <v>0</v>
      </c>
      <c r="AK840" s="556">
        <f t="shared" si="1056"/>
        <v>0</v>
      </c>
      <c r="AL840" s="556">
        <f t="shared" ref="AL840:AP840" si="1057">SUM(AL838:AL839)</f>
        <v>0</v>
      </c>
      <c r="AM840" s="556">
        <f t="shared" si="1057"/>
        <v>0</v>
      </c>
      <c r="AN840" s="556">
        <f t="shared" si="1057"/>
        <v>0</v>
      </c>
      <c r="AO840" s="556">
        <f t="shared" si="1057"/>
        <v>0</v>
      </c>
      <c r="AP840" s="556">
        <f t="shared" si="1057"/>
        <v>0</v>
      </c>
      <c r="AQ840" s="556">
        <f t="shared" ref="AQ840:AT840" si="1058">SUM(AQ838:AQ839)</f>
        <v>0</v>
      </c>
      <c r="AR840" s="556">
        <f t="shared" si="1058"/>
        <v>0</v>
      </c>
      <c r="AS840" s="556">
        <f t="shared" si="1058"/>
        <v>0</v>
      </c>
      <c r="AT840" s="556">
        <f t="shared" si="1058"/>
        <v>0</v>
      </c>
      <c r="AU840" s="241">
        <f ca="1">SUM(F840:AT840)</f>
        <v>-1144682.52814507</v>
      </c>
      <c r="AV840" s="131"/>
      <c r="AW840" s="241">
        <f ca="1">SUM(AU840:AU840)</f>
        <v>-1144682.52814507</v>
      </c>
      <c r="AX840" s="241">
        <f ca="1">+AW840-'ROR-Model'!G841</f>
        <v>0</v>
      </c>
    </row>
    <row r="841" spans="1:50">
      <c r="A841" s="134">
        <v>921</v>
      </c>
      <c r="B841" s="106" t="s">
        <v>427</v>
      </c>
      <c r="C841" s="106"/>
      <c r="D841" s="106"/>
      <c r="E841" s="331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16"/>
      <c r="AW841" s="133"/>
      <c r="AX841" s="133">
        <f>+AW841-'ROR-Model'!G842</f>
        <v>0</v>
      </c>
    </row>
    <row r="842" spans="1:50">
      <c r="A842" s="134"/>
      <c r="B842" s="106"/>
      <c r="C842" s="106" t="s">
        <v>14</v>
      </c>
      <c r="D842" s="106"/>
      <c r="E842" s="331"/>
      <c r="F842" s="116"/>
      <c r="G842" s="116">
        <f>$G$1*EXPENSES!L335</f>
        <v>-706876.28252220526</v>
      </c>
      <c r="H842" s="116"/>
      <c r="I842" s="116"/>
      <c r="J842" s="116"/>
      <c r="K842" s="116"/>
      <c r="L842" s="116"/>
      <c r="M842" s="116"/>
      <c r="N842" s="116">
        <f ca="1">+'Sporting Events'!$G$14*$N$1</f>
        <v>0</v>
      </c>
      <c r="O842" s="116"/>
      <c r="P842" s="117">
        <f ca="1">+Donations!L15*P1</f>
        <v>-185630.03059812737</v>
      </c>
      <c r="Q842" s="133">
        <f ca="1">+'RESERVE ACCRUAL'!H25*Q1</f>
        <v>142817.69741985697</v>
      </c>
      <c r="R842" s="133">
        <f>'Corporate Overhead'!I27*R1</f>
        <v>14051210.844448946</v>
      </c>
      <c r="S842" s="133"/>
      <c r="T842" s="133">
        <f>'Optional Adjustment 2'!G842*$T$1</f>
        <v>0</v>
      </c>
      <c r="U842" s="133">
        <f>'Optional Adjustment 3'!G842*$U$1</f>
        <v>0</v>
      </c>
      <c r="V842" s="133">
        <f>'Optional Adjustment 4'!G842*$V$1</f>
        <v>0</v>
      </c>
      <c r="W842" s="133">
        <f>'Optional Adjustment 5'!G842*$W$1</f>
        <v>0</v>
      </c>
      <c r="X842" s="133">
        <f>'Optional Adjustment 6'!G842*$X$1</f>
        <v>0</v>
      </c>
      <c r="Y842" s="133">
        <f>'Optional Adjustment 7'!G842*$Y$1</f>
        <v>0</v>
      </c>
      <c r="Z842" s="133">
        <f>'Optional Adjustment 8'!G842*$Z$1</f>
        <v>0</v>
      </c>
      <c r="AA842" s="133">
        <f>'Optional Adjustment 9'!G842*$AA$1</f>
        <v>0</v>
      </c>
      <c r="AB842" s="133">
        <f>'Optional Adjustment 10'!G842*$AB$1</f>
        <v>0</v>
      </c>
      <c r="AC842" s="133">
        <f>'Optional Adjustment 11'!G842*$AC$1</f>
        <v>0</v>
      </c>
      <c r="AD842" s="133">
        <f>'Optional Adjustment 12'!G842*$AD$1</f>
        <v>0</v>
      </c>
      <c r="AE842" s="133">
        <f>'Optional Adjustment 13'!G842*$AE$1</f>
        <v>0</v>
      </c>
      <c r="AF842" s="133">
        <f>'Optional Adjustment 14'!G842*$AF$1</f>
        <v>0</v>
      </c>
      <c r="AG842" s="133">
        <f>'Optional Adjustment 15'!G842*$AG$1</f>
        <v>0</v>
      </c>
      <c r="AH842" s="133">
        <f>'Optional Adjustment 16'!G842*$AH$1</f>
        <v>0</v>
      </c>
      <c r="AI842" s="133">
        <f>'Optional Adjustment 17'!G842*$AI$1</f>
        <v>0</v>
      </c>
      <c r="AJ842" s="133">
        <f>'Optional Adjustment 18'!G842*$AJ$1</f>
        <v>0</v>
      </c>
      <c r="AK842" s="133">
        <f>'Optional Adjustment 19'!G842*$AK$1</f>
        <v>0</v>
      </c>
      <c r="AL842" s="133">
        <f>'Optional Adjustment 20'!G842*$AL$1</f>
        <v>0</v>
      </c>
      <c r="AM842" s="133">
        <f>'Optional Adjustment 21'!G842*$AM$1</f>
        <v>0</v>
      </c>
      <c r="AN842" s="133">
        <f>'Optional Adjustment 22'!G842*$AN$1</f>
        <v>0</v>
      </c>
      <c r="AO842" s="133">
        <f>'Optional Adjustment 23'!G842*$AO$1</f>
        <v>0</v>
      </c>
      <c r="AP842" s="133">
        <f>'Optional Adjustment 24'!G842*$AP$1</f>
        <v>0</v>
      </c>
      <c r="AQ842" s="133">
        <f>'Optional Adjustment 25'!G842*$AQ$1</f>
        <v>0</v>
      </c>
      <c r="AR842" s="133">
        <f>'Optional Adjustment 26'!G842*$AR$1</f>
        <v>0</v>
      </c>
      <c r="AS842" s="133">
        <f>'Optional Adjustment 27'!G842*$AS$1</f>
        <v>0</v>
      </c>
      <c r="AT842" s="133"/>
      <c r="AU842" s="117">
        <f ca="1">SUM(F842:AT842)</f>
        <v>13301522.228748471</v>
      </c>
      <c r="AV842" s="116"/>
      <c r="AW842" s="117">
        <f ca="1">SUM(AU842:AU842)</f>
        <v>13301522.228748471</v>
      </c>
      <c r="AX842" s="117">
        <f ca="1">+AW842-'ROR-Model'!G844</f>
        <v>0</v>
      </c>
    </row>
    <row r="843" spans="1:50">
      <c r="A843" s="134"/>
      <c r="B843" s="106"/>
      <c r="C843" s="106" t="s">
        <v>24</v>
      </c>
      <c r="D843" s="106"/>
      <c r="E843" s="331"/>
      <c r="F843" s="116"/>
      <c r="G843" s="116">
        <f>$G$1*EXPENSES!L336</f>
        <v>42956.539807699854</v>
      </c>
      <c r="H843" s="116"/>
      <c r="I843" s="116"/>
      <c r="J843" s="116"/>
      <c r="K843" s="116"/>
      <c r="L843" s="116"/>
      <c r="M843" s="116"/>
      <c r="N843" s="116">
        <f ca="1">+'Sporting Events'!$G$15*$N$1</f>
        <v>0</v>
      </c>
      <c r="O843" s="116"/>
      <c r="P843" s="117">
        <f ca="1">+Donations!L16*P1</f>
        <v>-6230.8189760318674</v>
      </c>
      <c r="Q843" s="133">
        <f ca="1">+'RESERVE ACCRUAL'!H26*Q1</f>
        <v>4793.7891101430405</v>
      </c>
      <c r="R843" s="133">
        <f>'Corporate Overhead'!I28*R1</f>
        <v>558967.74898864795</v>
      </c>
      <c r="S843" s="133"/>
      <c r="T843" s="133">
        <f>'Optional Adjustment 2'!G843*$T$1</f>
        <v>0</v>
      </c>
      <c r="U843" s="133">
        <f>'Optional Adjustment 3'!G843*$U$1</f>
        <v>0</v>
      </c>
      <c r="V843" s="133">
        <f>'Optional Adjustment 4'!G843*$V$1</f>
        <v>0</v>
      </c>
      <c r="W843" s="133">
        <f>'Optional Adjustment 5'!G843*$W$1</f>
        <v>0</v>
      </c>
      <c r="X843" s="133">
        <f>'Optional Adjustment 6'!G843*$X$1</f>
        <v>0</v>
      </c>
      <c r="Y843" s="133">
        <f>'Optional Adjustment 7'!G843*$Y$1</f>
        <v>0</v>
      </c>
      <c r="Z843" s="133">
        <f>'Optional Adjustment 8'!G843*$Z$1</f>
        <v>0</v>
      </c>
      <c r="AA843" s="133">
        <f>'Optional Adjustment 9'!G843*$AA$1</f>
        <v>0</v>
      </c>
      <c r="AB843" s="133">
        <f>'Optional Adjustment 10'!G843*$AB$1</f>
        <v>0</v>
      </c>
      <c r="AC843" s="133">
        <f>'Optional Adjustment 11'!G843*$AC$1</f>
        <v>0</v>
      </c>
      <c r="AD843" s="133">
        <f>'Optional Adjustment 12'!G843*$AD$1</f>
        <v>0</v>
      </c>
      <c r="AE843" s="133">
        <f>'Optional Adjustment 13'!G843*$AE$1</f>
        <v>0</v>
      </c>
      <c r="AF843" s="133">
        <f>'Optional Adjustment 14'!G843*$AF$1</f>
        <v>0</v>
      </c>
      <c r="AG843" s="133">
        <f>'Optional Adjustment 15'!G843*$AG$1</f>
        <v>0</v>
      </c>
      <c r="AH843" s="133">
        <f>'Optional Adjustment 16'!G843*$AH$1</f>
        <v>0</v>
      </c>
      <c r="AI843" s="133">
        <f>'Optional Adjustment 17'!G843*$AI$1</f>
        <v>0</v>
      </c>
      <c r="AJ843" s="133">
        <f>'Optional Adjustment 18'!G843*$AJ$1</f>
        <v>0</v>
      </c>
      <c r="AK843" s="133">
        <f>'Optional Adjustment 19'!G843*$AK$1</f>
        <v>0</v>
      </c>
      <c r="AL843" s="133">
        <f>'Optional Adjustment 20'!G843*$AL$1</f>
        <v>0</v>
      </c>
      <c r="AM843" s="133">
        <f>'Optional Adjustment 21'!G843*$AM$1</f>
        <v>0</v>
      </c>
      <c r="AN843" s="133">
        <f>'Optional Adjustment 22'!G843*$AN$1</f>
        <v>0</v>
      </c>
      <c r="AO843" s="133">
        <f>'Optional Adjustment 23'!G843*$AO$1</f>
        <v>0</v>
      </c>
      <c r="AP843" s="133">
        <f>'Optional Adjustment 24'!G843*$AP$1</f>
        <v>0</v>
      </c>
      <c r="AQ843" s="133">
        <f>'Optional Adjustment 25'!G843*$AQ$1</f>
        <v>0</v>
      </c>
      <c r="AR843" s="133">
        <f>'Optional Adjustment 26'!G843*$AR$1</f>
        <v>0</v>
      </c>
      <c r="AS843" s="133">
        <f>'Optional Adjustment 27'!G843*$AS$1</f>
        <v>0</v>
      </c>
      <c r="AT843" s="133"/>
      <c r="AU843" s="117">
        <f ca="1">SUM(F843:AT843)</f>
        <v>600487.25893045892</v>
      </c>
      <c r="AV843" s="116"/>
      <c r="AW843" s="117">
        <f ca="1">SUM(AU843:AU843)</f>
        <v>600487.25893045892</v>
      </c>
      <c r="AX843" s="117">
        <f ca="1">+AW843-'ROR-Model'!G845</f>
        <v>0</v>
      </c>
    </row>
    <row r="844" spans="1:50">
      <c r="A844" s="134"/>
      <c r="B844" s="106"/>
      <c r="C844" s="106" t="s">
        <v>170</v>
      </c>
      <c r="D844" s="106"/>
      <c r="E844" s="331"/>
      <c r="F844" s="131">
        <f>SUM(F842:F843)</f>
        <v>0</v>
      </c>
      <c r="G844" s="131">
        <f>SUM(G842:G843)</f>
        <v>-663919.74271450541</v>
      </c>
      <c r="H844" s="131">
        <f>H1*SUM(H842:H843)</f>
        <v>0</v>
      </c>
      <c r="I844" s="131">
        <f>SUM(I842:I843)</f>
        <v>0</v>
      </c>
      <c r="J844" s="131">
        <f t="shared" ref="J844:P844" si="1059">SUM(J842:J843)</f>
        <v>0</v>
      </c>
      <c r="K844" s="131">
        <f t="shared" si="1059"/>
        <v>0</v>
      </c>
      <c r="L844" s="131">
        <f t="shared" si="1059"/>
        <v>0</v>
      </c>
      <c r="M844" s="131">
        <f t="shared" si="1059"/>
        <v>0</v>
      </c>
      <c r="N844" s="131">
        <f t="shared" ca="1" si="1059"/>
        <v>0</v>
      </c>
      <c r="O844" s="131">
        <f t="shared" si="1059"/>
        <v>0</v>
      </c>
      <c r="P844" s="241">
        <f t="shared" ca="1" si="1059"/>
        <v>-191860.84957415925</v>
      </c>
      <c r="Q844" s="241">
        <f ca="1">SUM(Q842:Q843)</f>
        <v>147611.48652999999</v>
      </c>
      <c r="R844" s="241">
        <f>SUM(R842:R843)</f>
        <v>14610178.593437593</v>
      </c>
      <c r="S844" s="556">
        <f t="shared" ref="S844:AG844" si="1060">SUM(S842:S843)</f>
        <v>0</v>
      </c>
      <c r="T844" s="556">
        <f t="shared" si="1060"/>
        <v>0</v>
      </c>
      <c r="U844" s="556">
        <f t="shared" si="1060"/>
        <v>0</v>
      </c>
      <c r="V844" s="556">
        <f t="shared" si="1060"/>
        <v>0</v>
      </c>
      <c r="W844" s="556">
        <f t="shared" si="1060"/>
        <v>0</v>
      </c>
      <c r="X844" s="556">
        <f t="shared" si="1060"/>
        <v>0</v>
      </c>
      <c r="Y844" s="556">
        <f t="shared" si="1060"/>
        <v>0</v>
      </c>
      <c r="Z844" s="556">
        <f t="shared" si="1060"/>
        <v>0</v>
      </c>
      <c r="AA844" s="556">
        <f t="shared" si="1060"/>
        <v>0</v>
      </c>
      <c r="AB844" s="556">
        <f t="shared" si="1060"/>
        <v>0</v>
      </c>
      <c r="AC844" s="556">
        <f t="shared" si="1060"/>
        <v>0</v>
      </c>
      <c r="AD844" s="556">
        <f t="shared" si="1060"/>
        <v>0</v>
      </c>
      <c r="AE844" s="556">
        <f t="shared" si="1060"/>
        <v>0</v>
      </c>
      <c r="AF844" s="556">
        <f t="shared" si="1060"/>
        <v>0</v>
      </c>
      <c r="AG844" s="556">
        <f t="shared" si="1060"/>
        <v>0</v>
      </c>
      <c r="AH844" s="556">
        <f t="shared" ref="AH844:AK844" si="1061">SUM(AH842:AH843)</f>
        <v>0</v>
      </c>
      <c r="AI844" s="556">
        <f t="shared" si="1061"/>
        <v>0</v>
      </c>
      <c r="AJ844" s="556">
        <f t="shared" si="1061"/>
        <v>0</v>
      </c>
      <c r="AK844" s="556">
        <f t="shared" si="1061"/>
        <v>0</v>
      </c>
      <c r="AL844" s="556">
        <f t="shared" ref="AL844:AP844" si="1062">SUM(AL842:AL843)</f>
        <v>0</v>
      </c>
      <c r="AM844" s="556">
        <f t="shared" si="1062"/>
        <v>0</v>
      </c>
      <c r="AN844" s="556">
        <f t="shared" si="1062"/>
        <v>0</v>
      </c>
      <c r="AO844" s="556">
        <f t="shared" si="1062"/>
        <v>0</v>
      </c>
      <c r="AP844" s="556">
        <f t="shared" si="1062"/>
        <v>0</v>
      </c>
      <c r="AQ844" s="556">
        <f t="shared" ref="AQ844:AS844" si="1063">SUM(AQ842:AQ843)</f>
        <v>0</v>
      </c>
      <c r="AR844" s="556">
        <f t="shared" si="1063"/>
        <v>0</v>
      </c>
      <c r="AS844" s="556">
        <f t="shared" si="1063"/>
        <v>0</v>
      </c>
      <c r="AT844" s="556"/>
      <c r="AU844" s="241">
        <f ca="1">SUM(F844:AT844)</f>
        <v>13902009.487678928</v>
      </c>
      <c r="AV844" s="131"/>
      <c r="AW844" s="241">
        <f ca="1">SUM(AU844:AU844)</f>
        <v>13902009.487678928</v>
      </c>
      <c r="AX844" s="241">
        <f ca="1">+AW844-'ROR-Model'!G846</f>
        <v>0</v>
      </c>
    </row>
    <row r="845" spans="1:50">
      <c r="A845" s="134">
        <v>922</v>
      </c>
      <c r="B845" s="106" t="s">
        <v>428</v>
      </c>
      <c r="C845" s="106"/>
      <c r="D845" s="106"/>
      <c r="E845" s="331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16"/>
      <c r="AW845" s="133"/>
      <c r="AX845" s="133">
        <f>+AW845-'ROR-Model'!G847</f>
        <v>0</v>
      </c>
    </row>
    <row r="846" spans="1:50">
      <c r="A846" s="134"/>
      <c r="B846" s="106"/>
      <c r="C846" s="106" t="s">
        <v>14</v>
      </c>
      <c r="D846" s="106"/>
      <c r="E846" s="331"/>
      <c r="F846" s="116"/>
      <c r="G846" s="116">
        <f>$G$1*EXPENSES!L339</f>
        <v>0</v>
      </c>
      <c r="H846" s="116"/>
      <c r="I846" s="116"/>
      <c r="J846" s="116"/>
      <c r="K846" s="116"/>
      <c r="L846" s="116"/>
      <c r="M846" s="116"/>
      <c r="N846" s="116"/>
      <c r="O846" s="116"/>
      <c r="P846" s="116"/>
      <c r="Q846" s="133"/>
      <c r="R846" s="133"/>
      <c r="S846" s="133"/>
      <c r="T846" s="133">
        <f>'Optional Adjustment 2'!G846*$T$1</f>
        <v>0</v>
      </c>
      <c r="U846" s="133">
        <f>'Optional Adjustment 3'!G846*$U$1</f>
        <v>0</v>
      </c>
      <c r="V846" s="133">
        <f>'Optional Adjustment 4'!G846*$V$1</f>
        <v>0</v>
      </c>
      <c r="W846" s="133">
        <f>'Optional Adjustment 5'!G846*$W$1</f>
        <v>0</v>
      </c>
      <c r="X846" s="133">
        <f>'Optional Adjustment 6'!G846*$X$1</f>
        <v>0</v>
      </c>
      <c r="Y846" s="133">
        <f>'Optional Adjustment 7'!G846*$Y$1</f>
        <v>0</v>
      </c>
      <c r="Z846" s="133">
        <f>'Optional Adjustment 8'!G846*$Z$1</f>
        <v>0</v>
      </c>
      <c r="AA846" s="133">
        <f>'Optional Adjustment 9'!G846*$AA$1</f>
        <v>0</v>
      </c>
      <c r="AB846" s="133">
        <f>'Optional Adjustment 10'!G846*$AB$1</f>
        <v>0</v>
      </c>
      <c r="AC846" s="133">
        <f>'Optional Adjustment 11'!G846*$AC$1</f>
        <v>0</v>
      </c>
      <c r="AD846" s="133">
        <f>'Optional Adjustment 12'!G846*$AD$1</f>
        <v>0</v>
      </c>
      <c r="AE846" s="133">
        <f>'Optional Adjustment 13'!G846*$AE$1</f>
        <v>0</v>
      </c>
      <c r="AF846" s="133">
        <f>'Optional Adjustment 14'!G846*$AF$1</f>
        <v>0</v>
      </c>
      <c r="AG846" s="133">
        <f>'Optional Adjustment 15'!G846*$AG$1</f>
        <v>0</v>
      </c>
      <c r="AH846" s="133">
        <f>'Optional Adjustment 16'!G846*$AH$1</f>
        <v>0</v>
      </c>
      <c r="AI846" s="133">
        <f>'Optional Adjustment 17'!G846*$AI$1</f>
        <v>0</v>
      </c>
      <c r="AJ846" s="133">
        <f>'Optional Adjustment 18'!G846*$AJ$1</f>
        <v>0</v>
      </c>
      <c r="AK846" s="133">
        <f>'Optional Adjustment 19'!G846*$AK$1</f>
        <v>0</v>
      </c>
      <c r="AL846" s="133">
        <f>'Optional Adjustment 20'!G846*$AL$1</f>
        <v>0</v>
      </c>
      <c r="AM846" s="133">
        <f>'Optional Adjustment 21'!G846*$AM$1</f>
        <v>0</v>
      </c>
      <c r="AN846" s="133">
        <f>'Optional Adjustment 22'!G846*$AN$1</f>
        <v>0</v>
      </c>
      <c r="AO846" s="133">
        <f>'Optional Adjustment 23'!G846*$AO$1</f>
        <v>0</v>
      </c>
      <c r="AP846" s="133">
        <f>'Optional Adjustment 24'!G846*$AP$1</f>
        <v>0</v>
      </c>
      <c r="AQ846" s="133">
        <f>'Optional Adjustment 25'!G846*$AQ$1</f>
        <v>0</v>
      </c>
      <c r="AR846" s="133">
        <f>'Optional Adjustment 26'!G846*$AR$1</f>
        <v>0</v>
      </c>
      <c r="AS846" s="133">
        <f>'Optional Adjustment 27'!G846*$AS$1</f>
        <v>0</v>
      </c>
      <c r="AT846" s="133"/>
      <c r="AU846" s="133">
        <f>SUM(F846:AT846)</f>
        <v>0</v>
      </c>
      <c r="AV846" s="116"/>
      <c r="AW846" s="133">
        <f>SUM(AU846:AU846)</f>
        <v>0</v>
      </c>
      <c r="AX846" s="133">
        <f>+AW846-'ROR-Model'!G849</f>
        <v>0</v>
      </c>
    </row>
    <row r="847" spans="1:50">
      <c r="A847" s="134"/>
      <c r="B847" s="106"/>
      <c r="C847" s="106" t="s">
        <v>24</v>
      </c>
      <c r="D847" s="106"/>
      <c r="E847" s="331"/>
      <c r="F847" s="116"/>
      <c r="G847" s="116">
        <f>$G$1*EXPENSES!L340</f>
        <v>0</v>
      </c>
      <c r="H847" s="116"/>
      <c r="I847" s="116"/>
      <c r="J847" s="116"/>
      <c r="K847" s="116"/>
      <c r="L847" s="116"/>
      <c r="M847" s="116"/>
      <c r="N847" s="116"/>
      <c r="O847" s="116"/>
      <c r="P847" s="116"/>
      <c r="Q847" s="133"/>
      <c r="R847" s="133"/>
      <c r="S847" s="133"/>
      <c r="T847" s="133">
        <f>'Optional Adjustment 2'!G847*$T$1</f>
        <v>0</v>
      </c>
      <c r="U847" s="133">
        <f>'Optional Adjustment 3'!G847*$U$1</f>
        <v>0</v>
      </c>
      <c r="V847" s="133">
        <f>'Optional Adjustment 4'!G847*$V$1</f>
        <v>0</v>
      </c>
      <c r="W847" s="133">
        <f>'Optional Adjustment 5'!G847*$W$1</f>
        <v>0</v>
      </c>
      <c r="X847" s="133">
        <f>'Optional Adjustment 6'!G847*$X$1</f>
        <v>0</v>
      </c>
      <c r="Y847" s="133">
        <f>'Optional Adjustment 7'!G847*$Y$1</f>
        <v>0</v>
      </c>
      <c r="Z847" s="133">
        <f>'Optional Adjustment 8'!G847*$Z$1</f>
        <v>0</v>
      </c>
      <c r="AA847" s="133">
        <f>'Optional Adjustment 9'!G847*$AA$1</f>
        <v>0</v>
      </c>
      <c r="AB847" s="133">
        <f>'Optional Adjustment 10'!G847*$AB$1</f>
        <v>0</v>
      </c>
      <c r="AC847" s="133">
        <f>'Optional Adjustment 11'!G847*$AC$1</f>
        <v>0</v>
      </c>
      <c r="AD847" s="133">
        <f>'Optional Adjustment 12'!G847*$AD$1</f>
        <v>0</v>
      </c>
      <c r="AE847" s="133">
        <f>'Optional Adjustment 13'!G847*$AE$1</f>
        <v>0</v>
      </c>
      <c r="AF847" s="133">
        <f>'Optional Adjustment 14'!G847*$AF$1</f>
        <v>0</v>
      </c>
      <c r="AG847" s="133">
        <f>'Optional Adjustment 15'!G847*$AG$1</f>
        <v>0</v>
      </c>
      <c r="AH847" s="133">
        <f>'Optional Adjustment 16'!G847*$AH$1</f>
        <v>0</v>
      </c>
      <c r="AI847" s="133">
        <f>'Optional Adjustment 17'!G847*$AI$1</f>
        <v>0</v>
      </c>
      <c r="AJ847" s="133">
        <f>'Optional Adjustment 18'!G847*$AJ$1</f>
        <v>0</v>
      </c>
      <c r="AK847" s="133">
        <f>'Optional Adjustment 19'!G847*$AK$1</f>
        <v>0</v>
      </c>
      <c r="AL847" s="133">
        <f>'Optional Adjustment 20'!G847*$AL$1</f>
        <v>0</v>
      </c>
      <c r="AM847" s="133">
        <f>'Optional Adjustment 21'!G847*$AM$1</f>
        <v>0</v>
      </c>
      <c r="AN847" s="133">
        <f>'Optional Adjustment 22'!G847*$AN$1</f>
        <v>0</v>
      </c>
      <c r="AO847" s="133">
        <f>'Optional Adjustment 23'!G847*$AO$1</f>
        <v>0</v>
      </c>
      <c r="AP847" s="133">
        <f>'Optional Adjustment 24'!G847*$AP$1</f>
        <v>0</v>
      </c>
      <c r="AQ847" s="133">
        <f>'Optional Adjustment 25'!G847*$AQ$1</f>
        <v>0</v>
      </c>
      <c r="AR847" s="133">
        <f>'Optional Adjustment 26'!G847*$AR$1</f>
        <v>0</v>
      </c>
      <c r="AS847" s="133">
        <f>'Optional Adjustment 27'!G847*$AS$1</f>
        <v>0</v>
      </c>
      <c r="AT847" s="133"/>
      <c r="AU847" s="133">
        <f>SUM(F847:AT847)</f>
        <v>0</v>
      </c>
      <c r="AV847" s="116"/>
      <c r="AW847" s="133">
        <f>SUM(AU847:AU847)</f>
        <v>0</v>
      </c>
      <c r="AX847" s="133">
        <f>+AW847-'ROR-Model'!G850</f>
        <v>0</v>
      </c>
    </row>
    <row r="848" spans="1:50">
      <c r="A848" s="134"/>
      <c r="B848" s="106"/>
      <c r="C848" s="106" t="s">
        <v>170</v>
      </c>
      <c r="D848" s="106"/>
      <c r="E848" s="331"/>
      <c r="F848" s="131">
        <f>SUM(F846:F847)</f>
        <v>0</v>
      </c>
      <c r="G848" s="131">
        <f>SUM(G846:G847)</f>
        <v>0</v>
      </c>
      <c r="H848" s="131">
        <f>H1*SUM(H846:H847)</f>
        <v>0</v>
      </c>
      <c r="I848" s="131">
        <f>SUM(I846:I847)</f>
        <v>0</v>
      </c>
      <c r="J848" s="131">
        <f t="shared" ref="J848:P848" si="1064">SUM(J846:J847)</f>
        <v>0</v>
      </c>
      <c r="K848" s="131">
        <f t="shared" si="1064"/>
        <v>0</v>
      </c>
      <c r="L848" s="131">
        <f t="shared" si="1064"/>
        <v>0</v>
      </c>
      <c r="M848" s="131">
        <f t="shared" si="1064"/>
        <v>0</v>
      </c>
      <c r="N848" s="131">
        <f t="shared" si="1064"/>
        <v>0</v>
      </c>
      <c r="O848" s="131">
        <f t="shared" si="1064"/>
        <v>0</v>
      </c>
      <c r="P848" s="131">
        <f t="shared" si="1064"/>
        <v>0</v>
      </c>
      <c r="Q848" s="241">
        <f>SUM(Q846:Q847)</f>
        <v>0</v>
      </c>
      <c r="R848" s="241">
        <f>SUM(R846:R847)</f>
        <v>0</v>
      </c>
      <c r="S848" s="556">
        <f t="shared" ref="S848:AG848" si="1065">SUM(S846:S847)</f>
        <v>0</v>
      </c>
      <c r="T848" s="556">
        <f t="shared" si="1065"/>
        <v>0</v>
      </c>
      <c r="U848" s="556">
        <f t="shared" si="1065"/>
        <v>0</v>
      </c>
      <c r="V848" s="556">
        <f t="shared" si="1065"/>
        <v>0</v>
      </c>
      <c r="W848" s="556">
        <f t="shared" si="1065"/>
        <v>0</v>
      </c>
      <c r="X848" s="556">
        <f t="shared" si="1065"/>
        <v>0</v>
      </c>
      <c r="Y848" s="556">
        <f t="shared" si="1065"/>
        <v>0</v>
      </c>
      <c r="Z848" s="556">
        <f t="shared" si="1065"/>
        <v>0</v>
      </c>
      <c r="AA848" s="556">
        <f t="shared" si="1065"/>
        <v>0</v>
      </c>
      <c r="AB848" s="556">
        <f t="shared" si="1065"/>
        <v>0</v>
      </c>
      <c r="AC848" s="556">
        <f t="shared" si="1065"/>
        <v>0</v>
      </c>
      <c r="AD848" s="556">
        <f t="shared" si="1065"/>
        <v>0</v>
      </c>
      <c r="AE848" s="556">
        <f t="shared" si="1065"/>
        <v>0</v>
      </c>
      <c r="AF848" s="556">
        <f t="shared" si="1065"/>
        <v>0</v>
      </c>
      <c r="AG848" s="556">
        <f t="shared" si="1065"/>
        <v>0</v>
      </c>
      <c r="AH848" s="556">
        <f t="shared" ref="AH848:AK848" si="1066">SUM(AH846:AH847)</f>
        <v>0</v>
      </c>
      <c r="AI848" s="556">
        <f t="shared" si="1066"/>
        <v>0</v>
      </c>
      <c r="AJ848" s="556">
        <f t="shared" si="1066"/>
        <v>0</v>
      </c>
      <c r="AK848" s="556">
        <f t="shared" si="1066"/>
        <v>0</v>
      </c>
      <c r="AL848" s="556">
        <f t="shared" ref="AL848:AP848" si="1067">SUM(AL846:AL847)</f>
        <v>0</v>
      </c>
      <c r="AM848" s="556">
        <f t="shared" si="1067"/>
        <v>0</v>
      </c>
      <c r="AN848" s="556">
        <f t="shared" si="1067"/>
        <v>0</v>
      </c>
      <c r="AO848" s="556">
        <f t="shared" si="1067"/>
        <v>0</v>
      </c>
      <c r="AP848" s="556">
        <f t="shared" si="1067"/>
        <v>0</v>
      </c>
      <c r="AQ848" s="556">
        <f t="shared" ref="AQ848:AS848" si="1068">SUM(AQ846:AQ847)</f>
        <v>0</v>
      </c>
      <c r="AR848" s="556">
        <f t="shared" si="1068"/>
        <v>0</v>
      </c>
      <c r="AS848" s="556">
        <f t="shared" si="1068"/>
        <v>0</v>
      </c>
      <c r="AT848" s="556"/>
      <c r="AU848" s="241">
        <f>SUM(F848:AT848)</f>
        <v>0</v>
      </c>
      <c r="AV848" s="131"/>
      <c r="AW848" s="241">
        <f>SUM(AU848:AU848)</f>
        <v>0</v>
      </c>
      <c r="AX848" s="241">
        <f>+AW848-'ROR-Model'!G851</f>
        <v>0</v>
      </c>
    </row>
    <row r="849" spans="1:50">
      <c r="A849" s="134">
        <v>923</v>
      </c>
      <c r="B849" s="106" t="s">
        <v>429</v>
      </c>
      <c r="C849" s="106"/>
      <c r="D849" s="106"/>
      <c r="E849" s="331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33"/>
      <c r="R849" s="133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39"/>
      <c r="AC849" s="239"/>
      <c r="AD849" s="239"/>
      <c r="AE849" s="239"/>
      <c r="AF849" s="239"/>
      <c r="AG849" s="239"/>
      <c r="AH849" s="239"/>
      <c r="AI849" s="239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133"/>
      <c r="AV849" s="116"/>
      <c r="AW849" s="133"/>
      <c r="AX849" s="133">
        <f>+AW849-'ROR-Model'!G852</f>
        <v>0</v>
      </c>
    </row>
    <row r="850" spans="1:50">
      <c r="A850" s="134"/>
      <c r="B850" s="106"/>
      <c r="C850" s="106" t="s">
        <v>14</v>
      </c>
      <c r="D850" s="106"/>
      <c r="E850" s="331"/>
      <c r="F850" s="116"/>
      <c r="G850" s="116">
        <f>$G$1*EXPENSES!L343</f>
        <v>45145.619441989809</v>
      </c>
      <c r="H850" s="116"/>
      <c r="I850" s="116"/>
      <c r="J850" s="116"/>
      <c r="K850" s="116"/>
      <c r="L850" s="116"/>
      <c r="M850" s="116"/>
      <c r="N850" s="116"/>
      <c r="O850" s="116"/>
      <c r="P850" s="116"/>
      <c r="S850" s="133"/>
      <c r="T850" s="133">
        <f>'Optional Adjustment 2'!G850*$T$1</f>
        <v>0</v>
      </c>
      <c r="U850" s="133">
        <f>'Optional Adjustment 3'!G850*$U$1</f>
        <v>0</v>
      </c>
      <c r="V850" s="133">
        <f>'Optional Adjustment 4'!G850*$V$1</f>
        <v>0</v>
      </c>
      <c r="W850" s="133">
        <f>'Optional Adjustment 5'!G850*$W$1</f>
        <v>0</v>
      </c>
      <c r="X850" s="133">
        <f>'Optional Adjustment 6'!G850*$X$1</f>
        <v>0</v>
      </c>
      <c r="Y850" s="133">
        <f>'Optional Adjustment 7'!G850*$Y$1</f>
        <v>0</v>
      </c>
      <c r="Z850" s="133">
        <f>'Optional Adjustment 8'!G850*$Z$1</f>
        <v>0</v>
      </c>
      <c r="AA850" s="133">
        <f>'Optional Adjustment 9'!G850*$AA$1</f>
        <v>0</v>
      </c>
      <c r="AB850" s="133">
        <f>'Optional Adjustment 10'!G850*$AB$1</f>
        <v>0</v>
      </c>
      <c r="AC850" s="133">
        <f>'Optional Adjustment 11'!G850*$AC$1</f>
        <v>0</v>
      </c>
      <c r="AD850" s="133">
        <f>'Optional Adjustment 12'!G850*$AD$1</f>
        <v>0</v>
      </c>
      <c r="AE850" s="133">
        <f>'Optional Adjustment 13'!G850*$AE$1</f>
        <v>0</v>
      </c>
      <c r="AF850" s="133">
        <f>'Optional Adjustment 14'!G850*$AF$1</f>
        <v>0</v>
      </c>
      <c r="AG850" s="133">
        <f>'Optional Adjustment 15'!G850*$AG$1</f>
        <v>0</v>
      </c>
      <c r="AH850" s="133">
        <f>'Optional Adjustment 16'!G850*$AH$1</f>
        <v>0</v>
      </c>
      <c r="AI850" s="133">
        <f>'Optional Adjustment 17'!G850*$AI$1</f>
        <v>0</v>
      </c>
      <c r="AJ850" s="133">
        <f>'Optional Adjustment 18'!G850*$AJ$1</f>
        <v>0</v>
      </c>
      <c r="AK850" s="133">
        <f>'Optional Adjustment 19'!G850*$AK$1</f>
        <v>0</v>
      </c>
      <c r="AL850" s="133">
        <f>'Optional Adjustment 20'!G850*$AL$1</f>
        <v>0</v>
      </c>
      <c r="AM850" s="133">
        <f>'Optional Adjustment 21'!G850*$AM$1</f>
        <v>0</v>
      </c>
      <c r="AN850" s="133">
        <f>'Optional Adjustment 22'!G850*$AN$1</f>
        <v>0</v>
      </c>
      <c r="AO850" s="133">
        <f>'Optional Adjustment 23'!G850*$AO$1</f>
        <v>0</v>
      </c>
      <c r="AP850" s="133">
        <f>'Optional Adjustment 24'!G850*$AP$1</f>
        <v>0</v>
      </c>
      <c r="AQ850" s="133">
        <f>'Optional Adjustment 25'!G850*$AQ$1</f>
        <v>0</v>
      </c>
      <c r="AR850" s="133">
        <f>'Optional Adjustment 26'!G850*$AR$1</f>
        <v>0</v>
      </c>
      <c r="AS850" s="133">
        <f>'Optional Adjustment 27'!G850*$AS$1</f>
        <v>0</v>
      </c>
      <c r="AT850" s="133"/>
      <c r="AU850" s="133">
        <f>SUM(F850:AT850)</f>
        <v>45145.619441989809</v>
      </c>
      <c r="AV850" s="116"/>
      <c r="AW850" s="133">
        <f>SUM(AU850:AU850)</f>
        <v>45145.619441989809</v>
      </c>
      <c r="AX850" s="133">
        <f>+AW850-'ROR-Model'!G854</f>
        <v>0</v>
      </c>
    </row>
    <row r="851" spans="1:50">
      <c r="A851" s="134"/>
      <c r="B851" s="106"/>
      <c r="C851" s="106" t="s">
        <v>24</v>
      </c>
      <c r="D851" s="106"/>
      <c r="E851" s="331"/>
      <c r="F851" s="116"/>
      <c r="G851" s="116">
        <f>$G$1*EXPENSES!L344</f>
        <v>2796.8352043099876</v>
      </c>
      <c r="H851" s="116"/>
      <c r="I851" s="116"/>
      <c r="J851" s="116"/>
      <c r="K851" s="116"/>
      <c r="L851" s="116"/>
      <c r="M851" s="116"/>
      <c r="N851" s="116"/>
      <c r="O851" s="116"/>
      <c r="P851" s="116"/>
      <c r="S851" s="133"/>
      <c r="T851" s="133">
        <f>'Optional Adjustment 2'!G851*$T$1</f>
        <v>0</v>
      </c>
      <c r="U851" s="133">
        <f>'Optional Adjustment 3'!G851*$U$1</f>
        <v>0</v>
      </c>
      <c r="V851" s="133">
        <f>'Optional Adjustment 4'!G851*$V$1</f>
        <v>0</v>
      </c>
      <c r="W851" s="133">
        <f>'Optional Adjustment 5'!G851*$W$1</f>
        <v>0</v>
      </c>
      <c r="X851" s="133">
        <f>'Optional Adjustment 6'!G851*$X$1</f>
        <v>0</v>
      </c>
      <c r="Y851" s="133">
        <f>'Optional Adjustment 7'!G851*$Y$1</f>
        <v>0</v>
      </c>
      <c r="Z851" s="133">
        <f>'Optional Adjustment 8'!G851*$Z$1</f>
        <v>0</v>
      </c>
      <c r="AA851" s="133">
        <f>'Optional Adjustment 9'!G851*$AA$1</f>
        <v>0</v>
      </c>
      <c r="AB851" s="133">
        <f>'Optional Adjustment 10'!G851*$AB$1</f>
        <v>0</v>
      </c>
      <c r="AC851" s="133">
        <f>'Optional Adjustment 11'!G851*$AC$1</f>
        <v>0</v>
      </c>
      <c r="AD851" s="133">
        <f>'Optional Adjustment 12'!G851*$AD$1</f>
        <v>0</v>
      </c>
      <c r="AE851" s="133">
        <f>'Optional Adjustment 13'!G851*$AE$1</f>
        <v>0</v>
      </c>
      <c r="AF851" s="133">
        <f>'Optional Adjustment 14'!G851*$AF$1</f>
        <v>0</v>
      </c>
      <c r="AG851" s="133">
        <f>'Optional Adjustment 15'!G851*$AG$1</f>
        <v>0</v>
      </c>
      <c r="AH851" s="133">
        <f>'Optional Adjustment 16'!G851*$AH$1</f>
        <v>0</v>
      </c>
      <c r="AI851" s="133">
        <f>'Optional Adjustment 17'!G851*$AI$1</f>
        <v>0</v>
      </c>
      <c r="AJ851" s="133">
        <f>'Optional Adjustment 18'!G851*$AJ$1</f>
        <v>0</v>
      </c>
      <c r="AK851" s="133">
        <f>'Optional Adjustment 19'!G851*$AK$1</f>
        <v>0</v>
      </c>
      <c r="AL851" s="133">
        <f>'Optional Adjustment 20'!G851*$AL$1</f>
        <v>0</v>
      </c>
      <c r="AM851" s="133">
        <f>'Optional Adjustment 21'!G851*$AM$1</f>
        <v>0</v>
      </c>
      <c r="AN851" s="133">
        <f>'Optional Adjustment 22'!G851*$AN$1</f>
        <v>0</v>
      </c>
      <c r="AO851" s="133">
        <f>'Optional Adjustment 23'!G851*$AO$1</f>
        <v>0</v>
      </c>
      <c r="AP851" s="133">
        <f>'Optional Adjustment 24'!G851*$AP$1</f>
        <v>0</v>
      </c>
      <c r="AQ851" s="133">
        <f>'Optional Adjustment 25'!G851*$AQ$1</f>
        <v>0</v>
      </c>
      <c r="AR851" s="133">
        <f>'Optional Adjustment 26'!G851*$AR$1</f>
        <v>0</v>
      </c>
      <c r="AS851" s="133">
        <f>'Optional Adjustment 27'!G851*$AS$1</f>
        <v>0</v>
      </c>
      <c r="AT851" s="133"/>
      <c r="AU851" s="133">
        <f>SUM(F851:AT851)</f>
        <v>2796.8352043099876</v>
      </c>
      <c r="AV851" s="116"/>
      <c r="AW851" s="133">
        <f>SUM(AU851:AU851)</f>
        <v>2796.8352043099876</v>
      </c>
      <c r="AX851" s="133">
        <f>+AW851-'ROR-Model'!G855</f>
        <v>0</v>
      </c>
    </row>
    <row r="852" spans="1:50">
      <c r="A852" s="134"/>
      <c r="B852" s="106"/>
      <c r="C852" s="106" t="s">
        <v>170</v>
      </c>
      <c r="D852" s="106"/>
      <c r="E852" s="331"/>
      <c r="F852" s="131">
        <f>SUM(F850:F851)</f>
        <v>0</v>
      </c>
      <c r="G852" s="131">
        <f>SUM(G850:G851)</f>
        <v>47942.454646299797</v>
      </c>
      <c r="H852" s="131">
        <f>H1*SUM(H850:H851)</f>
        <v>0</v>
      </c>
      <c r="I852" s="131">
        <f>SUM(I850:I851)</f>
        <v>0</v>
      </c>
      <c r="J852" s="131">
        <f t="shared" ref="J852:P852" si="1069">SUM(J850:J851)</f>
        <v>0</v>
      </c>
      <c r="K852" s="131">
        <f t="shared" si="1069"/>
        <v>0</v>
      </c>
      <c r="L852" s="131">
        <f t="shared" si="1069"/>
        <v>0</v>
      </c>
      <c r="M852" s="131">
        <f t="shared" si="1069"/>
        <v>0</v>
      </c>
      <c r="N852" s="131">
        <f t="shared" si="1069"/>
        <v>0</v>
      </c>
      <c r="O852" s="131">
        <f t="shared" si="1069"/>
        <v>0</v>
      </c>
      <c r="P852" s="131">
        <f t="shared" si="1069"/>
        <v>0</v>
      </c>
      <c r="Q852" s="241">
        <f>SUM(Q850:Q851)</f>
        <v>0</v>
      </c>
      <c r="R852" s="241">
        <f>SUM(R850:R851)</f>
        <v>0</v>
      </c>
      <c r="S852" s="556">
        <f t="shared" ref="S852:AG852" si="1070">SUM(S850:S851)</f>
        <v>0</v>
      </c>
      <c r="T852" s="556">
        <f t="shared" si="1070"/>
        <v>0</v>
      </c>
      <c r="U852" s="556">
        <f t="shared" si="1070"/>
        <v>0</v>
      </c>
      <c r="V852" s="556">
        <f t="shared" si="1070"/>
        <v>0</v>
      </c>
      <c r="W852" s="556">
        <f t="shared" si="1070"/>
        <v>0</v>
      </c>
      <c r="X852" s="556">
        <f t="shared" si="1070"/>
        <v>0</v>
      </c>
      <c r="Y852" s="556">
        <f t="shared" si="1070"/>
        <v>0</v>
      </c>
      <c r="Z852" s="556">
        <f t="shared" si="1070"/>
        <v>0</v>
      </c>
      <c r="AA852" s="556">
        <f t="shared" si="1070"/>
        <v>0</v>
      </c>
      <c r="AB852" s="556">
        <f t="shared" si="1070"/>
        <v>0</v>
      </c>
      <c r="AC852" s="556">
        <f t="shared" si="1070"/>
        <v>0</v>
      </c>
      <c r="AD852" s="556">
        <f t="shared" si="1070"/>
        <v>0</v>
      </c>
      <c r="AE852" s="556">
        <f t="shared" si="1070"/>
        <v>0</v>
      </c>
      <c r="AF852" s="556">
        <f t="shared" si="1070"/>
        <v>0</v>
      </c>
      <c r="AG852" s="556">
        <f t="shared" si="1070"/>
        <v>0</v>
      </c>
      <c r="AH852" s="556">
        <f t="shared" ref="AH852:AK852" si="1071">SUM(AH850:AH851)</f>
        <v>0</v>
      </c>
      <c r="AI852" s="556">
        <f t="shared" si="1071"/>
        <v>0</v>
      </c>
      <c r="AJ852" s="556">
        <f t="shared" si="1071"/>
        <v>0</v>
      </c>
      <c r="AK852" s="556">
        <f t="shared" si="1071"/>
        <v>0</v>
      </c>
      <c r="AL852" s="556">
        <f t="shared" ref="AL852:AP852" si="1072">SUM(AL850:AL851)</f>
        <v>0</v>
      </c>
      <c r="AM852" s="556">
        <f t="shared" si="1072"/>
        <v>0</v>
      </c>
      <c r="AN852" s="556">
        <f t="shared" si="1072"/>
        <v>0</v>
      </c>
      <c r="AO852" s="556">
        <f t="shared" si="1072"/>
        <v>0</v>
      </c>
      <c r="AP852" s="556">
        <f t="shared" si="1072"/>
        <v>0</v>
      </c>
      <c r="AQ852" s="556">
        <f t="shared" ref="AQ852:AS852" si="1073">SUM(AQ850:AQ851)</f>
        <v>0</v>
      </c>
      <c r="AR852" s="556">
        <f t="shared" si="1073"/>
        <v>0</v>
      </c>
      <c r="AS852" s="556">
        <f t="shared" si="1073"/>
        <v>0</v>
      </c>
      <c r="AT852" s="556"/>
      <c r="AU852" s="241">
        <f>SUM(F852:AT852)</f>
        <v>47942.454646299797</v>
      </c>
      <c r="AV852" s="131"/>
      <c r="AW852" s="241">
        <f>SUM(AU852:AU852)</f>
        <v>47942.454646299797</v>
      </c>
      <c r="AX852" s="241">
        <f>+AW852-'ROR-Model'!G856</f>
        <v>0</v>
      </c>
    </row>
    <row r="853" spans="1:50">
      <c r="A853" s="134">
        <v>924</v>
      </c>
      <c r="B853" s="106" t="s">
        <v>430</v>
      </c>
      <c r="C853" s="106"/>
      <c r="D853" s="106"/>
      <c r="E853" s="331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16"/>
      <c r="AW853" s="133"/>
      <c r="AX853" s="133">
        <f>+AW853-'ROR-Model'!G857</f>
        <v>0</v>
      </c>
    </row>
    <row r="854" spans="1:50">
      <c r="A854" s="134"/>
      <c r="B854" s="106"/>
      <c r="C854" s="106" t="s">
        <v>14</v>
      </c>
      <c r="D854" s="106"/>
      <c r="E854" s="331"/>
      <c r="F854" s="116"/>
      <c r="G854" s="116">
        <f>$G$1*EXPENSES!L347</f>
        <v>13861.036587999959</v>
      </c>
      <c r="H854" s="116"/>
      <c r="I854" s="116"/>
      <c r="J854" s="116"/>
      <c r="K854" s="116"/>
      <c r="L854" s="116"/>
      <c r="M854" s="116"/>
      <c r="N854" s="116"/>
      <c r="O854" s="116"/>
      <c r="P854" s="116"/>
      <c r="Q854" s="133"/>
      <c r="R854" s="133"/>
      <c r="S854" s="133"/>
      <c r="T854" s="133">
        <f>'Optional Adjustment 2'!G854*$T$1</f>
        <v>0</v>
      </c>
      <c r="U854" s="133">
        <f>'Optional Adjustment 3'!G854*$U$1</f>
        <v>0</v>
      </c>
      <c r="V854" s="133">
        <f>'Optional Adjustment 4'!G854*$V$1</f>
        <v>0</v>
      </c>
      <c r="W854" s="133">
        <f>'Optional Adjustment 5'!G854*$W$1</f>
        <v>0</v>
      </c>
      <c r="X854" s="133">
        <f>'Optional Adjustment 6'!G854*$X$1</f>
        <v>0</v>
      </c>
      <c r="Y854" s="133">
        <f>'Optional Adjustment 7'!G854*$Y$1</f>
        <v>0</v>
      </c>
      <c r="Z854" s="133">
        <f>'Optional Adjustment 8'!G854*$Z$1</f>
        <v>0</v>
      </c>
      <c r="AA854" s="133">
        <f>'Optional Adjustment 9'!G854*$AA$1</f>
        <v>0</v>
      </c>
      <c r="AB854" s="133">
        <f>'Optional Adjustment 10'!G854*$AB$1</f>
        <v>0</v>
      </c>
      <c r="AC854" s="133">
        <f>'Optional Adjustment 11'!G854*$AC$1</f>
        <v>0</v>
      </c>
      <c r="AD854" s="133">
        <f>'Optional Adjustment 12'!G854*$AD$1</f>
        <v>0</v>
      </c>
      <c r="AE854" s="133">
        <f>'Optional Adjustment 13'!G854*$AE$1</f>
        <v>0</v>
      </c>
      <c r="AF854" s="133">
        <f>'Optional Adjustment 14'!G854*$AF$1</f>
        <v>0</v>
      </c>
      <c r="AG854" s="133">
        <f>'Optional Adjustment 15'!G854*$AG$1</f>
        <v>0</v>
      </c>
      <c r="AH854" s="133">
        <f>'Optional Adjustment 16'!G854*$AH$1</f>
        <v>0</v>
      </c>
      <c r="AI854" s="133">
        <f>'Optional Adjustment 17'!G854*$AI$1</f>
        <v>0</v>
      </c>
      <c r="AJ854" s="133">
        <f>'Optional Adjustment 18'!G854*$AJ$1</f>
        <v>0</v>
      </c>
      <c r="AK854" s="133">
        <f>'Optional Adjustment 19'!G854*$AK$1</f>
        <v>0</v>
      </c>
      <c r="AL854" s="133">
        <f>'Optional Adjustment 20'!G854*$AL$1</f>
        <v>0</v>
      </c>
      <c r="AM854" s="133">
        <f>'Optional Adjustment 21'!G854*$AM$1</f>
        <v>0</v>
      </c>
      <c r="AN854" s="133">
        <f>'Optional Adjustment 22'!G854*$AN$1</f>
        <v>0</v>
      </c>
      <c r="AO854" s="133">
        <f>'Optional Adjustment 23'!G854*$AO$1</f>
        <v>0</v>
      </c>
      <c r="AP854" s="133">
        <f>'Optional Adjustment 24'!G854*$AP$1</f>
        <v>0</v>
      </c>
      <c r="AQ854" s="133">
        <f>'Optional Adjustment 25'!G854*$AQ$1</f>
        <v>0</v>
      </c>
      <c r="AR854" s="133">
        <f>'Optional Adjustment 26'!G854*$AR$1</f>
        <v>0</v>
      </c>
      <c r="AS854" s="133">
        <f>'Optional Adjustment 27'!G854*$AS$1</f>
        <v>0</v>
      </c>
      <c r="AT854" s="133"/>
      <c r="AU854" s="133">
        <f>SUM(F854:AT854)</f>
        <v>13861.036587999959</v>
      </c>
      <c r="AV854" s="116"/>
      <c r="AW854" s="133">
        <f>SUM(AU854:AU854)</f>
        <v>13861.036587999959</v>
      </c>
      <c r="AX854" s="133">
        <f>+AW854-'ROR-Model'!G859</f>
        <v>0</v>
      </c>
    </row>
    <row r="855" spans="1:50">
      <c r="A855" s="134"/>
      <c r="B855" s="106"/>
      <c r="C855" s="106" t="s">
        <v>24</v>
      </c>
      <c r="D855" s="106"/>
      <c r="E855" s="331"/>
      <c r="F855" s="116"/>
      <c r="G855" s="116">
        <f>$G$1*EXPENSES!L348</f>
        <v>457.30936157999531</v>
      </c>
      <c r="H855" s="116"/>
      <c r="I855" s="116"/>
      <c r="J855" s="116"/>
      <c r="K855" s="116"/>
      <c r="L855" s="116"/>
      <c r="M855" s="116"/>
      <c r="N855" s="116"/>
      <c r="O855" s="116"/>
      <c r="P855" s="116"/>
      <c r="Q855" s="133"/>
      <c r="R855" s="133"/>
      <c r="S855" s="133"/>
      <c r="T855" s="133">
        <f>'Optional Adjustment 2'!G855*$T$1</f>
        <v>0</v>
      </c>
      <c r="U855" s="133">
        <f>'Optional Adjustment 3'!G855*$U$1</f>
        <v>0</v>
      </c>
      <c r="V855" s="133">
        <f>'Optional Adjustment 4'!G855*$V$1</f>
        <v>0</v>
      </c>
      <c r="W855" s="133">
        <f>'Optional Adjustment 5'!G855*$W$1</f>
        <v>0</v>
      </c>
      <c r="X855" s="133">
        <f>'Optional Adjustment 6'!G855*$X$1</f>
        <v>0</v>
      </c>
      <c r="Y855" s="133">
        <f>'Optional Adjustment 7'!G855*$Y$1</f>
        <v>0</v>
      </c>
      <c r="Z855" s="133">
        <f>'Optional Adjustment 8'!G855*$Z$1</f>
        <v>0</v>
      </c>
      <c r="AA855" s="133">
        <f>'Optional Adjustment 9'!G855*$AA$1</f>
        <v>0</v>
      </c>
      <c r="AB855" s="133">
        <f>'Optional Adjustment 10'!G855*$AB$1</f>
        <v>0</v>
      </c>
      <c r="AC855" s="133">
        <f>'Optional Adjustment 11'!G855*$AC$1</f>
        <v>0</v>
      </c>
      <c r="AD855" s="133">
        <f>'Optional Adjustment 12'!G855*$AD$1</f>
        <v>0</v>
      </c>
      <c r="AE855" s="133">
        <f>'Optional Adjustment 13'!G855*$AE$1</f>
        <v>0</v>
      </c>
      <c r="AF855" s="133">
        <f>'Optional Adjustment 14'!G855*$AF$1</f>
        <v>0</v>
      </c>
      <c r="AG855" s="133">
        <f>'Optional Adjustment 15'!G855*$AG$1</f>
        <v>0</v>
      </c>
      <c r="AH855" s="133">
        <f>'Optional Adjustment 16'!G855*$AH$1</f>
        <v>0</v>
      </c>
      <c r="AI855" s="133">
        <f>'Optional Adjustment 17'!G855*$AI$1</f>
        <v>0</v>
      </c>
      <c r="AJ855" s="133">
        <f>'Optional Adjustment 18'!G855*$AJ$1</f>
        <v>0</v>
      </c>
      <c r="AK855" s="133">
        <f>'Optional Adjustment 19'!G855*$AK$1</f>
        <v>0</v>
      </c>
      <c r="AL855" s="133">
        <f>'Optional Adjustment 20'!G855*$AL$1</f>
        <v>0</v>
      </c>
      <c r="AM855" s="133">
        <f>'Optional Adjustment 21'!G855*$AM$1</f>
        <v>0</v>
      </c>
      <c r="AN855" s="133">
        <f>'Optional Adjustment 22'!G855*$AN$1</f>
        <v>0</v>
      </c>
      <c r="AO855" s="133">
        <f>'Optional Adjustment 23'!G855*$AO$1</f>
        <v>0</v>
      </c>
      <c r="AP855" s="133">
        <f>'Optional Adjustment 24'!G855*$AP$1</f>
        <v>0</v>
      </c>
      <c r="AQ855" s="133">
        <f>'Optional Adjustment 25'!G855*$AQ$1</f>
        <v>0</v>
      </c>
      <c r="AR855" s="133">
        <f>'Optional Adjustment 26'!G855*$AR$1</f>
        <v>0</v>
      </c>
      <c r="AS855" s="133">
        <f>'Optional Adjustment 27'!G855*$AS$1</f>
        <v>0</v>
      </c>
      <c r="AT855" s="133"/>
      <c r="AU855" s="133">
        <f>SUM(F855:AT855)</f>
        <v>457.30936157999531</v>
      </c>
      <c r="AV855" s="116"/>
      <c r="AW855" s="133">
        <f>SUM(AU855:AU855)</f>
        <v>457.30936157999531</v>
      </c>
      <c r="AX855" s="133">
        <f>+AW855-'ROR-Model'!G860</f>
        <v>0</v>
      </c>
    </row>
    <row r="856" spans="1:50">
      <c r="A856" s="134"/>
      <c r="B856" s="106"/>
      <c r="C856" s="106" t="s">
        <v>170</v>
      </c>
      <c r="D856" s="106"/>
      <c r="E856" s="331"/>
      <c r="F856" s="131">
        <f>SUM(F854:F855)</f>
        <v>0</v>
      </c>
      <c r="G856" s="131">
        <f>SUM(G854:G855)</f>
        <v>14318.345949579954</v>
      </c>
      <c r="H856" s="131">
        <f>H1*SUM(H854:H855)</f>
        <v>0</v>
      </c>
      <c r="I856" s="131">
        <f>SUM(I854:I855)</f>
        <v>0</v>
      </c>
      <c r="J856" s="131">
        <f t="shared" ref="J856:P856" si="1074">SUM(J854:J855)</f>
        <v>0</v>
      </c>
      <c r="K856" s="131">
        <f t="shared" si="1074"/>
        <v>0</v>
      </c>
      <c r="L856" s="131">
        <f t="shared" si="1074"/>
        <v>0</v>
      </c>
      <c r="M856" s="131">
        <f t="shared" si="1074"/>
        <v>0</v>
      </c>
      <c r="N856" s="131">
        <f t="shared" si="1074"/>
        <v>0</v>
      </c>
      <c r="O856" s="131">
        <f t="shared" si="1074"/>
        <v>0</v>
      </c>
      <c r="P856" s="131">
        <f t="shared" si="1074"/>
        <v>0</v>
      </c>
      <c r="Q856" s="241">
        <f>SUM(Q854:Q855)</f>
        <v>0</v>
      </c>
      <c r="R856" s="241">
        <f>SUM(R854:R855)</f>
        <v>0</v>
      </c>
      <c r="S856" s="556">
        <f t="shared" ref="S856:AG856" si="1075">SUM(S854:S855)</f>
        <v>0</v>
      </c>
      <c r="T856" s="556">
        <f t="shared" si="1075"/>
        <v>0</v>
      </c>
      <c r="U856" s="556">
        <f t="shared" si="1075"/>
        <v>0</v>
      </c>
      <c r="V856" s="556">
        <f t="shared" si="1075"/>
        <v>0</v>
      </c>
      <c r="W856" s="556">
        <f t="shared" si="1075"/>
        <v>0</v>
      </c>
      <c r="X856" s="556">
        <f t="shared" si="1075"/>
        <v>0</v>
      </c>
      <c r="Y856" s="556">
        <f t="shared" si="1075"/>
        <v>0</v>
      </c>
      <c r="Z856" s="556">
        <f t="shared" si="1075"/>
        <v>0</v>
      </c>
      <c r="AA856" s="556">
        <f t="shared" si="1075"/>
        <v>0</v>
      </c>
      <c r="AB856" s="556">
        <f t="shared" si="1075"/>
        <v>0</v>
      </c>
      <c r="AC856" s="556">
        <f t="shared" si="1075"/>
        <v>0</v>
      </c>
      <c r="AD856" s="556">
        <f t="shared" si="1075"/>
        <v>0</v>
      </c>
      <c r="AE856" s="556">
        <f t="shared" si="1075"/>
        <v>0</v>
      </c>
      <c r="AF856" s="556">
        <f t="shared" si="1075"/>
        <v>0</v>
      </c>
      <c r="AG856" s="556">
        <f t="shared" si="1075"/>
        <v>0</v>
      </c>
      <c r="AH856" s="556">
        <f t="shared" ref="AH856:AK856" si="1076">SUM(AH854:AH855)</f>
        <v>0</v>
      </c>
      <c r="AI856" s="556">
        <f t="shared" si="1076"/>
        <v>0</v>
      </c>
      <c r="AJ856" s="556">
        <f t="shared" si="1076"/>
        <v>0</v>
      </c>
      <c r="AK856" s="556">
        <f t="shared" si="1076"/>
        <v>0</v>
      </c>
      <c r="AL856" s="556">
        <f t="shared" ref="AL856:AP856" si="1077">SUM(AL854:AL855)</f>
        <v>0</v>
      </c>
      <c r="AM856" s="556">
        <f t="shared" si="1077"/>
        <v>0</v>
      </c>
      <c r="AN856" s="556">
        <f t="shared" si="1077"/>
        <v>0</v>
      </c>
      <c r="AO856" s="556">
        <f t="shared" si="1077"/>
        <v>0</v>
      </c>
      <c r="AP856" s="556">
        <f t="shared" si="1077"/>
        <v>0</v>
      </c>
      <c r="AQ856" s="556">
        <f t="shared" ref="AQ856:AS856" si="1078">SUM(AQ854:AQ855)</f>
        <v>0</v>
      </c>
      <c r="AR856" s="556">
        <f t="shared" si="1078"/>
        <v>0</v>
      </c>
      <c r="AS856" s="556">
        <f t="shared" si="1078"/>
        <v>0</v>
      </c>
      <c r="AT856" s="556"/>
      <c r="AU856" s="241">
        <f>SUM(F856:AT856)</f>
        <v>14318.345949579954</v>
      </c>
      <c r="AV856" s="131"/>
      <c r="AW856" s="241">
        <f>SUM(AU856:AU856)</f>
        <v>14318.345949579954</v>
      </c>
      <c r="AX856" s="241">
        <f>+AW856-'ROR-Model'!G861</f>
        <v>0</v>
      </c>
    </row>
    <row r="857" spans="1:50">
      <c r="A857" s="134">
        <v>925</v>
      </c>
      <c r="B857" s="106" t="s">
        <v>431</v>
      </c>
      <c r="C857" s="106"/>
      <c r="D857" s="106"/>
      <c r="E857" s="331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16"/>
      <c r="AW857" s="133"/>
      <c r="AX857" s="133">
        <f>+AW857-'ROR-Model'!G862</f>
        <v>0</v>
      </c>
    </row>
    <row r="858" spans="1:50">
      <c r="A858" s="134"/>
      <c r="B858" s="106"/>
      <c r="C858" s="106" t="s">
        <v>14</v>
      </c>
      <c r="D858" s="106"/>
      <c r="E858" s="331"/>
      <c r="F858" s="116"/>
      <c r="G858" s="116">
        <f>$G$1*EXPENSES!L351</f>
        <v>-611.70440061067529</v>
      </c>
      <c r="H858" s="116"/>
      <c r="I858" s="116"/>
      <c r="J858" s="116"/>
      <c r="K858" s="116"/>
      <c r="L858" s="116"/>
      <c r="M858" s="116"/>
      <c r="N858" s="116"/>
      <c r="O858" s="116"/>
      <c r="P858" s="116"/>
      <c r="Q858" s="133"/>
      <c r="R858" s="133"/>
      <c r="S858" s="133"/>
      <c r="T858" s="133">
        <f>'Optional Adjustment 2'!G858*$T$1</f>
        <v>0</v>
      </c>
      <c r="U858" s="133">
        <f>'Optional Adjustment 3'!G858*$U$1</f>
        <v>0</v>
      </c>
      <c r="V858" s="133">
        <f>'Optional Adjustment 4'!G858*$V$1</f>
        <v>0</v>
      </c>
      <c r="W858" s="133">
        <f>'Optional Adjustment 5'!G858*$W$1</f>
        <v>0</v>
      </c>
      <c r="X858" s="133">
        <f>'Optional Adjustment 6'!G858*$X$1</f>
        <v>0</v>
      </c>
      <c r="Y858" s="133">
        <f>'Optional Adjustment 7'!G858*$Y$1</f>
        <v>0</v>
      </c>
      <c r="Z858" s="133">
        <f>'Optional Adjustment 8'!G858*$Z$1</f>
        <v>0</v>
      </c>
      <c r="AA858" s="133">
        <f>'Optional Adjustment 9'!G858*$AA$1</f>
        <v>0</v>
      </c>
      <c r="AB858" s="133">
        <f>'Optional Adjustment 10'!G858*$AB$1</f>
        <v>0</v>
      </c>
      <c r="AC858" s="133">
        <f>'Optional Adjustment 11'!G858*$AC$1</f>
        <v>0</v>
      </c>
      <c r="AD858" s="133">
        <f>'Optional Adjustment 12'!G858*$AD$1</f>
        <v>0</v>
      </c>
      <c r="AE858" s="133">
        <f>'Optional Adjustment 13'!G858*$AE$1</f>
        <v>0</v>
      </c>
      <c r="AF858" s="133">
        <f>'Optional Adjustment 14'!G858*$AF$1</f>
        <v>0</v>
      </c>
      <c r="AG858" s="133">
        <f>'Optional Adjustment 15'!G858*$AG$1</f>
        <v>0</v>
      </c>
      <c r="AH858" s="133">
        <f>'Optional Adjustment 16'!G858*$AH$1</f>
        <v>0</v>
      </c>
      <c r="AI858" s="133">
        <f>'Optional Adjustment 17'!G858*$AI$1</f>
        <v>0</v>
      </c>
      <c r="AJ858" s="133">
        <f>'Optional Adjustment 18'!G858*$AJ$1</f>
        <v>0</v>
      </c>
      <c r="AK858" s="133">
        <f>'Optional Adjustment 19'!G858*$AK$1</f>
        <v>0</v>
      </c>
      <c r="AL858" s="133">
        <f>'Optional Adjustment 20'!G858*$AL$1</f>
        <v>0</v>
      </c>
      <c r="AM858" s="133">
        <f>'Optional Adjustment 21'!G858*$AM$1</f>
        <v>0</v>
      </c>
      <c r="AN858" s="133">
        <f>'Optional Adjustment 22'!G858*$AN$1</f>
        <v>0</v>
      </c>
      <c r="AO858" s="133">
        <f>'Optional Adjustment 23'!G858*$AO$1</f>
        <v>0</v>
      </c>
      <c r="AP858" s="133">
        <f>'Optional Adjustment 24'!G858*$AP$1</f>
        <v>0</v>
      </c>
      <c r="AQ858" s="133">
        <f>'Optional Adjustment 25'!G858*$AQ$1</f>
        <v>0</v>
      </c>
      <c r="AR858" s="133">
        <f>'Optional Adjustment 26'!G858*$AR$1</f>
        <v>0</v>
      </c>
      <c r="AS858" s="133">
        <f>'Optional Adjustment 27'!G858*$AS$1</f>
        <v>0</v>
      </c>
      <c r="AT858" s="133"/>
      <c r="AU858" s="133">
        <f>SUM(F858:AT858)</f>
        <v>-611.70440061067529</v>
      </c>
      <c r="AV858" s="116"/>
      <c r="AW858" s="133">
        <f>SUM(AU858:AU858)</f>
        <v>-611.70440061067529</v>
      </c>
      <c r="AX858" s="133">
        <f>+AW858-'ROR-Model'!G864</f>
        <v>0</v>
      </c>
    </row>
    <row r="859" spans="1:50">
      <c r="A859" s="134"/>
      <c r="B859" s="106"/>
      <c r="C859" s="106" t="s">
        <v>24</v>
      </c>
      <c r="D859" s="106"/>
      <c r="E859" s="331"/>
      <c r="F859" s="116"/>
      <c r="G859" s="116">
        <f>$G$1*EXPENSES!L352</f>
        <v>1.4137953312589104</v>
      </c>
      <c r="H859" s="116"/>
      <c r="I859" s="116"/>
      <c r="J859" s="116"/>
      <c r="K859" s="116"/>
      <c r="L859" s="116"/>
      <c r="M859" s="116"/>
      <c r="N859" s="116"/>
      <c r="O859" s="116"/>
      <c r="P859" s="116"/>
      <c r="Q859" s="133"/>
      <c r="R859" s="133"/>
      <c r="S859" s="133"/>
      <c r="T859" s="133">
        <f>'Optional Adjustment 2'!G859*$T$1</f>
        <v>0</v>
      </c>
      <c r="U859" s="133">
        <f>'Optional Adjustment 3'!G859*$U$1</f>
        <v>0</v>
      </c>
      <c r="V859" s="133">
        <f>'Optional Adjustment 4'!G859*$V$1</f>
        <v>0</v>
      </c>
      <c r="W859" s="133">
        <f>'Optional Adjustment 5'!G859*$W$1</f>
        <v>0</v>
      </c>
      <c r="X859" s="133">
        <f>'Optional Adjustment 6'!G859*$X$1</f>
        <v>0</v>
      </c>
      <c r="Y859" s="133">
        <f>'Optional Adjustment 7'!G859*$Y$1</f>
        <v>0</v>
      </c>
      <c r="Z859" s="133">
        <f>'Optional Adjustment 8'!G859*$Z$1</f>
        <v>0</v>
      </c>
      <c r="AA859" s="133">
        <f>'Optional Adjustment 9'!G859*$AA$1</f>
        <v>0</v>
      </c>
      <c r="AB859" s="133">
        <f>'Optional Adjustment 10'!G859*$AB$1</f>
        <v>0</v>
      </c>
      <c r="AC859" s="133">
        <f>'Optional Adjustment 11'!G859*$AC$1</f>
        <v>0</v>
      </c>
      <c r="AD859" s="133">
        <f>'Optional Adjustment 12'!G859*$AD$1</f>
        <v>0</v>
      </c>
      <c r="AE859" s="133">
        <f>'Optional Adjustment 13'!G859*$AE$1</f>
        <v>0</v>
      </c>
      <c r="AF859" s="133">
        <f>'Optional Adjustment 14'!G859*$AF$1</f>
        <v>0</v>
      </c>
      <c r="AG859" s="133">
        <f>'Optional Adjustment 15'!G859*$AG$1</f>
        <v>0</v>
      </c>
      <c r="AH859" s="133">
        <f>'Optional Adjustment 16'!G859*$AH$1</f>
        <v>0</v>
      </c>
      <c r="AI859" s="133">
        <f>'Optional Adjustment 17'!G859*$AI$1</f>
        <v>0</v>
      </c>
      <c r="AJ859" s="133">
        <f>'Optional Adjustment 18'!G859*$AJ$1</f>
        <v>0</v>
      </c>
      <c r="AK859" s="133">
        <f>'Optional Adjustment 19'!G859*$AK$1</f>
        <v>0</v>
      </c>
      <c r="AL859" s="133">
        <f>'Optional Adjustment 20'!G859*$AL$1</f>
        <v>0</v>
      </c>
      <c r="AM859" s="133">
        <f>'Optional Adjustment 21'!G859*$AM$1</f>
        <v>0</v>
      </c>
      <c r="AN859" s="133">
        <f>'Optional Adjustment 22'!G859*$AN$1</f>
        <v>0</v>
      </c>
      <c r="AO859" s="133">
        <f>'Optional Adjustment 23'!G859*$AO$1</f>
        <v>0</v>
      </c>
      <c r="AP859" s="133">
        <f>'Optional Adjustment 24'!G859*$AP$1</f>
        <v>0</v>
      </c>
      <c r="AQ859" s="133">
        <f>'Optional Adjustment 25'!G859*$AQ$1</f>
        <v>0</v>
      </c>
      <c r="AR859" s="133">
        <f>'Optional Adjustment 26'!G859*$AR$1</f>
        <v>0</v>
      </c>
      <c r="AS859" s="133">
        <f>'Optional Adjustment 27'!G859*$AS$1</f>
        <v>0</v>
      </c>
      <c r="AT859" s="133"/>
      <c r="AU859" s="133">
        <f>SUM(F859:AT859)</f>
        <v>1.4137953312589104</v>
      </c>
      <c r="AV859" s="116"/>
      <c r="AW859" s="133">
        <f>SUM(AU859:AU859)</f>
        <v>1.4137953312589104</v>
      </c>
      <c r="AX859" s="133">
        <f>+AW859-'ROR-Model'!G865</f>
        <v>0</v>
      </c>
    </row>
    <row r="860" spans="1:50">
      <c r="A860" s="134"/>
      <c r="B860" s="106"/>
      <c r="C860" s="106" t="s">
        <v>170</v>
      </c>
      <c r="D860" s="106"/>
      <c r="E860" s="331"/>
      <c r="F860" s="131">
        <f>SUM(F858:F859)</f>
        <v>0</v>
      </c>
      <c r="G860" s="131">
        <f>SUM(G858:G859)</f>
        <v>-610.29060527941635</v>
      </c>
      <c r="H860" s="131">
        <f>H1*SUM(H858:H859)</f>
        <v>0</v>
      </c>
      <c r="I860" s="131">
        <f>SUM(I858:I859)</f>
        <v>0</v>
      </c>
      <c r="J860" s="131">
        <f t="shared" ref="J860:P860" si="1079">SUM(J858:J859)</f>
        <v>0</v>
      </c>
      <c r="K860" s="131">
        <f t="shared" si="1079"/>
        <v>0</v>
      </c>
      <c r="L860" s="131">
        <f t="shared" si="1079"/>
        <v>0</v>
      </c>
      <c r="M860" s="131">
        <f t="shared" si="1079"/>
        <v>0</v>
      </c>
      <c r="N860" s="131">
        <f t="shared" si="1079"/>
        <v>0</v>
      </c>
      <c r="O860" s="131">
        <f t="shared" si="1079"/>
        <v>0</v>
      </c>
      <c r="P860" s="131">
        <f t="shared" si="1079"/>
        <v>0</v>
      </c>
      <c r="Q860" s="241">
        <f>SUM(Q858:Q859)</f>
        <v>0</v>
      </c>
      <c r="R860" s="241">
        <f>SUM(R858:R859)</f>
        <v>0</v>
      </c>
      <c r="S860" s="556">
        <f t="shared" ref="S860:AG860" si="1080">SUM(S858:S859)</f>
        <v>0</v>
      </c>
      <c r="T860" s="556">
        <f t="shared" si="1080"/>
        <v>0</v>
      </c>
      <c r="U860" s="556">
        <f t="shared" si="1080"/>
        <v>0</v>
      </c>
      <c r="V860" s="556">
        <f t="shared" si="1080"/>
        <v>0</v>
      </c>
      <c r="W860" s="556">
        <f t="shared" si="1080"/>
        <v>0</v>
      </c>
      <c r="X860" s="556">
        <f t="shared" si="1080"/>
        <v>0</v>
      </c>
      <c r="Y860" s="556">
        <f t="shared" si="1080"/>
        <v>0</v>
      </c>
      <c r="Z860" s="556">
        <f t="shared" si="1080"/>
        <v>0</v>
      </c>
      <c r="AA860" s="556">
        <f t="shared" si="1080"/>
        <v>0</v>
      </c>
      <c r="AB860" s="556">
        <f t="shared" si="1080"/>
        <v>0</v>
      </c>
      <c r="AC860" s="556">
        <f t="shared" si="1080"/>
        <v>0</v>
      </c>
      <c r="AD860" s="556">
        <f t="shared" si="1080"/>
        <v>0</v>
      </c>
      <c r="AE860" s="556">
        <f t="shared" si="1080"/>
        <v>0</v>
      </c>
      <c r="AF860" s="556">
        <f t="shared" si="1080"/>
        <v>0</v>
      </c>
      <c r="AG860" s="556">
        <f t="shared" si="1080"/>
        <v>0</v>
      </c>
      <c r="AH860" s="556">
        <f t="shared" ref="AH860:AK860" si="1081">SUM(AH858:AH859)</f>
        <v>0</v>
      </c>
      <c r="AI860" s="556">
        <f t="shared" si="1081"/>
        <v>0</v>
      </c>
      <c r="AJ860" s="556">
        <f t="shared" si="1081"/>
        <v>0</v>
      </c>
      <c r="AK860" s="556">
        <f t="shared" si="1081"/>
        <v>0</v>
      </c>
      <c r="AL860" s="556">
        <f t="shared" ref="AL860:AP860" si="1082">SUM(AL858:AL859)</f>
        <v>0</v>
      </c>
      <c r="AM860" s="556">
        <f t="shared" si="1082"/>
        <v>0</v>
      </c>
      <c r="AN860" s="556">
        <f t="shared" si="1082"/>
        <v>0</v>
      </c>
      <c r="AO860" s="556">
        <f t="shared" si="1082"/>
        <v>0</v>
      </c>
      <c r="AP860" s="556">
        <f t="shared" si="1082"/>
        <v>0</v>
      </c>
      <c r="AQ860" s="556">
        <f t="shared" ref="AQ860:AS860" si="1083">SUM(AQ858:AQ859)</f>
        <v>0</v>
      </c>
      <c r="AR860" s="556">
        <f t="shared" si="1083"/>
        <v>0</v>
      </c>
      <c r="AS860" s="556">
        <f t="shared" si="1083"/>
        <v>0</v>
      </c>
      <c r="AT860" s="556"/>
      <c r="AU860" s="241">
        <f>SUM(F860:AT860)</f>
        <v>-610.29060527941635</v>
      </c>
      <c r="AV860" s="131"/>
      <c r="AW860" s="241">
        <f>SUM(AU860:AU860)</f>
        <v>-610.29060527941635</v>
      </c>
      <c r="AX860" s="241">
        <f>+AW860-'ROR-Model'!G866</f>
        <v>0</v>
      </c>
    </row>
    <row r="861" spans="1:50">
      <c r="A861" s="134">
        <v>926</v>
      </c>
      <c r="B861" s="106" t="s">
        <v>432</v>
      </c>
      <c r="C861" s="106"/>
      <c r="D861" s="106"/>
      <c r="E861" s="331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16"/>
      <c r="AW861" s="133"/>
      <c r="AX861" s="133">
        <f>+AW861-'ROR-Model'!G867</f>
        <v>0</v>
      </c>
    </row>
    <row r="862" spans="1:50">
      <c r="A862" s="134"/>
      <c r="B862" s="106"/>
      <c r="C862" s="106" t="s">
        <v>14</v>
      </c>
      <c r="D862" s="106"/>
      <c r="E862" s="331"/>
      <c r="F862" s="116"/>
      <c r="G862" s="116">
        <f>$G$1*EXPENSES!L355</f>
        <v>-8591.3677791776427</v>
      </c>
      <c r="H862" s="116"/>
      <c r="I862" s="116"/>
      <c r="J862" s="116"/>
      <c r="K862" s="116"/>
      <c r="L862" s="116"/>
      <c r="M862" s="116"/>
      <c r="N862" s="116"/>
      <c r="O862" s="116"/>
      <c r="P862" s="116"/>
      <c r="Q862" s="133"/>
      <c r="R862" s="133"/>
      <c r="S862" s="133"/>
      <c r="T862" s="133">
        <f>'Optional Adjustment 2'!G862*$T$1</f>
        <v>0</v>
      </c>
      <c r="U862" s="133">
        <f>'Optional Adjustment 3'!G862*$U$1</f>
        <v>0</v>
      </c>
      <c r="V862" s="133">
        <f>'Optional Adjustment 4'!G862*$V$1</f>
        <v>0</v>
      </c>
      <c r="W862" s="133">
        <f>'Optional Adjustment 5'!G862*$W$1</f>
        <v>0</v>
      </c>
      <c r="X862" s="133">
        <f>'Optional Adjustment 6'!G862*$X$1</f>
        <v>0</v>
      </c>
      <c r="Y862" s="133">
        <f>'Optional Adjustment 7'!G862*$Y$1</f>
        <v>0</v>
      </c>
      <c r="Z862" s="133">
        <f>'Optional Adjustment 8'!G862*$Z$1</f>
        <v>0</v>
      </c>
      <c r="AA862" s="133">
        <f>'Optional Adjustment 9'!G862*$AA$1</f>
        <v>0</v>
      </c>
      <c r="AB862" s="133">
        <f>'Optional Adjustment 10'!G862*$AB$1</f>
        <v>0</v>
      </c>
      <c r="AC862" s="133">
        <f>'Optional Adjustment 11'!G862*$AC$1</f>
        <v>0</v>
      </c>
      <c r="AD862" s="133">
        <f>'Optional Adjustment 12'!G862*$AD$1</f>
        <v>0</v>
      </c>
      <c r="AE862" s="133">
        <f>'Optional Adjustment 13'!G862*$AE$1</f>
        <v>0</v>
      </c>
      <c r="AF862" s="133">
        <f>'Optional Adjustment 14'!G862*$AF$1</f>
        <v>0</v>
      </c>
      <c r="AG862" s="133">
        <f>'Optional Adjustment 15'!G862*$AG$1</f>
        <v>0</v>
      </c>
      <c r="AH862" s="133">
        <f>'Optional Adjustment 16'!G862*$AH$1</f>
        <v>0</v>
      </c>
      <c r="AI862" s="133">
        <f>'Optional Adjustment 17'!G862*$AI$1</f>
        <v>0</v>
      </c>
      <c r="AJ862" s="133">
        <f>'Optional Adjustment 18'!G862*$AJ$1</f>
        <v>0</v>
      </c>
      <c r="AK862" s="133">
        <f>'Optional Adjustment 19'!G862*$AK$1</f>
        <v>0</v>
      </c>
      <c r="AL862" s="133">
        <f>'Optional Adjustment 20'!G862*$AL$1</f>
        <v>0</v>
      </c>
      <c r="AM862" s="133">
        <f>'Optional Adjustment 21'!G862*$AM$1</f>
        <v>0</v>
      </c>
      <c r="AN862" s="133">
        <f>'Optional Adjustment 22'!G862*$AN$1</f>
        <v>0</v>
      </c>
      <c r="AO862" s="133">
        <f>'Optional Adjustment 23'!G862*$AO$1</f>
        <v>0</v>
      </c>
      <c r="AP862" s="133">
        <f>'Optional Adjustment 24'!G862*$AP$1</f>
        <v>0</v>
      </c>
      <c r="AQ862" s="133">
        <f>'Optional Adjustment 25'!G862*$AQ$1</f>
        <v>0</v>
      </c>
      <c r="AR862" s="133">
        <f>'Optional Adjustment 26'!G862*$AR$1</f>
        <v>0</v>
      </c>
      <c r="AS862" s="133">
        <f>'Optional Adjustment 27'!G862*$AS$1</f>
        <v>0</v>
      </c>
      <c r="AT862" s="133"/>
      <c r="AU862" s="133">
        <f>SUM(F862:AT862)</f>
        <v>-8591.3677791776427</v>
      </c>
      <c r="AV862" s="116"/>
      <c r="AW862" s="133">
        <f>SUM(AU862:AU862)</f>
        <v>-8591.3677791776427</v>
      </c>
      <c r="AX862" s="133">
        <f>+AW862-'ROR-Model'!G869</f>
        <v>0</v>
      </c>
    </row>
    <row r="863" spans="1:50">
      <c r="A863" s="134"/>
      <c r="B863" s="106"/>
      <c r="C863" s="106" t="s">
        <v>24</v>
      </c>
      <c r="D863" s="106"/>
      <c r="E863" s="331"/>
      <c r="F863" s="116"/>
      <c r="G863" s="116">
        <f>$G$1*EXPENSES!L356</f>
        <v>-109.60978254557358</v>
      </c>
      <c r="H863" s="116"/>
      <c r="I863" s="116"/>
      <c r="J863" s="116"/>
      <c r="K863" s="116"/>
      <c r="L863" s="116"/>
      <c r="M863" s="116"/>
      <c r="N863" s="116"/>
      <c r="O863" s="116"/>
      <c r="P863" s="116"/>
      <c r="Q863" s="133"/>
      <c r="R863" s="133"/>
      <c r="S863" s="133"/>
      <c r="T863" s="133">
        <f>'Optional Adjustment 2'!G863*$T$1</f>
        <v>0</v>
      </c>
      <c r="U863" s="133">
        <f>'Optional Adjustment 3'!G863*$U$1</f>
        <v>0</v>
      </c>
      <c r="V863" s="133">
        <f>'Optional Adjustment 4'!G863*$V$1</f>
        <v>0</v>
      </c>
      <c r="W863" s="133">
        <f>'Optional Adjustment 5'!G863*$W$1</f>
        <v>0</v>
      </c>
      <c r="X863" s="133">
        <f>'Optional Adjustment 6'!G863*$X$1</f>
        <v>0</v>
      </c>
      <c r="Y863" s="133">
        <f>'Optional Adjustment 7'!G863*$Y$1</f>
        <v>0</v>
      </c>
      <c r="Z863" s="133">
        <f>'Optional Adjustment 8'!G863*$Z$1</f>
        <v>0</v>
      </c>
      <c r="AA863" s="133">
        <f>'Optional Adjustment 9'!G863*$AA$1</f>
        <v>0</v>
      </c>
      <c r="AB863" s="133">
        <f>'Optional Adjustment 10'!G863*$AB$1</f>
        <v>0</v>
      </c>
      <c r="AC863" s="133">
        <f>'Optional Adjustment 11'!G863*$AC$1</f>
        <v>0</v>
      </c>
      <c r="AD863" s="133">
        <f>'Optional Adjustment 12'!G863*$AD$1</f>
        <v>0</v>
      </c>
      <c r="AE863" s="133">
        <f>'Optional Adjustment 13'!G863*$AE$1</f>
        <v>0</v>
      </c>
      <c r="AF863" s="133">
        <f>'Optional Adjustment 14'!G863*$AF$1</f>
        <v>0</v>
      </c>
      <c r="AG863" s="133">
        <f>'Optional Adjustment 15'!G863*$AG$1</f>
        <v>0</v>
      </c>
      <c r="AH863" s="133">
        <f>'Optional Adjustment 16'!G863*$AH$1</f>
        <v>0</v>
      </c>
      <c r="AI863" s="133">
        <f>'Optional Adjustment 17'!G863*$AI$1</f>
        <v>0</v>
      </c>
      <c r="AJ863" s="133">
        <f>'Optional Adjustment 18'!G863*$AJ$1</f>
        <v>0</v>
      </c>
      <c r="AK863" s="133">
        <f>'Optional Adjustment 19'!G863*$AK$1</f>
        <v>0</v>
      </c>
      <c r="AL863" s="133">
        <f>'Optional Adjustment 20'!G863*$AL$1</f>
        <v>0</v>
      </c>
      <c r="AM863" s="133">
        <f>'Optional Adjustment 21'!G863*$AM$1</f>
        <v>0</v>
      </c>
      <c r="AN863" s="133">
        <f>'Optional Adjustment 22'!G863*$AN$1</f>
        <v>0</v>
      </c>
      <c r="AO863" s="133">
        <f>'Optional Adjustment 23'!G863*$AO$1</f>
        <v>0</v>
      </c>
      <c r="AP863" s="133">
        <f>'Optional Adjustment 24'!G863*$AP$1</f>
        <v>0</v>
      </c>
      <c r="AQ863" s="133">
        <f>'Optional Adjustment 25'!G863*$AQ$1</f>
        <v>0</v>
      </c>
      <c r="AR863" s="133">
        <f>'Optional Adjustment 26'!G863*$AR$1</f>
        <v>0</v>
      </c>
      <c r="AS863" s="133">
        <f>'Optional Adjustment 27'!G863*$AS$1</f>
        <v>0</v>
      </c>
      <c r="AT863" s="133"/>
      <c r="AU863" s="133">
        <f>SUM(F863:AT863)</f>
        <v>-109.60978254557358</v>
      </c>
      <c r="AV863" s="116"/>
      <c r="AW863" s="133">
        <f>SUM(AU863:AU863)</f>
        <v>-109.60978254557358</v>
      </c>
      <c r="AX863" s="133">
        <f>+AW863-'ROR-Model'!G870</f>
        <v>0</v>
      </c>
    </row>
    <row r="864" spans="1:50">
      <c r="A864" s="134"/>
      <c r="B864" s="106"/>
      <c r="C864" s="106" t="s">
        <v>170</v>
      </c>
      <c r="D864" s="106"/>
      <c r="E864" s="331"/>
      <c r="F864" s="131">
        <f>SUM(F862:F863)</f>
        <v>0</v>
      </c>
      <c r="G864" s="131">
        <f>SUM(G862:G863)</f>
        <v>-8700.9775617232153</v>
      </c>
      <c r="H864" s="131">
        <f>H1*SUM(H862:H863)</f>
        <v>0</v>
      </c>
      <c r="I864" s="131">
        <f>SUM(I862:I863)</f>
        <v>0</v>
      </c>
      <c r="J864" s="131">
        <f t="shared" ref="J864:P864" si="1084">SUM(J862:J863)</f>
        <v>0</v>
      </c>
      <c r="K864" s="131">
        <f t="shared" si="1084"/>
        <v>0</v>
      </c>
      <c r="L864" s="131">
        <f t="shared" si="1084"/>
        <v>0</v>
      </c>
      <c r="M864" s="131">
        <f t="shared" si="1084"/>
        <v>0</v>
      </c>
      <c r="N864" s="131">
        <f t="shared" si="1084"/>
        <v>0</v>
      </c>
      <c r="O864" s="131">
        <f t="shared" si="1084"/>
        <v>0</v>
      </c>
      <c r="P864" s="131">
        <f t="shared" si="1084"/>
        <v>0</v>
      </c>
      <c r="Q864" s="241">
        <f>SUM(Q862:Q863)</f>
        <v>0</v>
      </c>
      <c r="R864" s="241">
        <f>SUM(R862:R863)</f>
        <v>0</v>
      </c>
      <c r="S864" s="556">
        <f t="shared" ref="S864:AG864" si="1085">SUM(S862:S863)</f>
        <v>0</v>
      </c>
      <c r="T864" s="556">
        <f t="shared" si="1085"/>
        <v>0</v>
      </c>
      <c r="U864" s="556">
        <f t="shared" si="1085"/>
        <v>0</v>
      </c>
      <c r="V864" s="556">
        <f t="shared" si="1085"/>
        <v>0</v>
      </c>
      <c r="W864" s="556">
        <f t="shared" si="1085"/>
        <v>0</v>
      </c>
      <c r="X864" s="556">
        <f t="shared" si="1085"/>
        <v>0</v>
      </c>
      <c r="Y864" s="556">
        <f t="shared" si="1085"/>
        <v>0</v>
      </c>
      <c r="Z864" s="556">
        <f t="shared" si="1085"/>
        <v>0</v>
      </c>
      <c r="AA864" s="556">
        <f t="shared" si="1085"/>
        <v>0</v>
      </c>
      <c r="AB864" s="556">
        <f t="shared" si="1085"/>
        <v>0</v>
      </c>
      <c r="AC864" s="556">
        <f t="shared" si="1085"/>
        <v>0</v>
      </c>
      <c r="AD864" s="556">
        <f t="shared" si="1085"/>
        <v>0</v>
      </c>
      <c r="AE864" s="556">
        <f t="shared" si="1085"/>
        <v>0</v>
      </c>
      <c r="AF864" s="556">
        <f t="shared" si="1085"/>
        <v>0</v>
      </c>
      <c r="AG864" s="556">
        <f t="shared" si="1085"/>
        <v>0</v>
      </c>
      <c r="AH864" s="556">
        <f t="shared" ref="AH864:AK864" si="1086">SUM(AH862:AH863)</f>
        <v>0</v>
      </c>
      <c r="AI864" s="556">
        <f t="shared" si="1086"/>
        <v>0</v>
      </c>
      <c r="AJ864" s="556">
        <f t="shared" si="1086"/>
        <v>0</v>
      </c>
      <c r="AK864" s="556">
        <f t="shared" si="1086"/>
        <v>0</v>
      </c>
      <c r="AL864" s="556">
        <f t="shared" ref="AL864:AP864" si="1087">SUM(AL862:AL863)</f>
        <v>0</v>
      </c>
      <c r="AM864" s="556">
        <f t="shared" si="1087"/>
        <v>0</v>
      </c>
      <c r="AN864" s="556">
        <f t="shared" si="1087"/>
        <v>0</v>
      </c>
      <c r="AO864" s="556">
        <f t="shared" si="1087"/>
        <v>0</v>
      </c>
      <c r="AP864" s="556">
        <f t="shared" si="1087"/>
        <v>0</v>
      </c>
      <c r="AQ864" s="556">
        <f t="shared" ref="AQ864:AS864" si="1088">SUM(AQ862:AQ863)</f>
        <v>0</v>
      </c>
      <c r="AR864" s="556">
        <f t="shared" si="1088"/>
        <v>0</v>
      </c>
      <c r="AS864" s="556">
        <f t="shared" si="1088"/>
        <v>0</v>
      </c>
      <c r="AT864" s="556"/>
      <c r="AU864" s="241">
        <f>SUM(F864:AT864)</f>
        <v>-8700.9775617232153</v>
      </c>
      <c r="AV864" s="131"/>
      <c r="AW864" s="241">
        <f>SUM(AU864:AU864)</f>
        <v>-8700.9775617232153</v>
      </c>
      <c r="AX864" s="241">
        <f>+AW864-'ROR-Model'!G871</f>
        <v>0</v>
      </c>
    </row>
    <row r="865" spans="1:50">
      <c r="A865" s="134" t="s">
        <v>826</v>
      </c>
      <c r="B865" s="166" t="s">
        <v>827</v>
      </c>
      <c r="C865" s="106"/>
      <c r="D865" s="106"/>
      <c r="E865" s="331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16"/>
      <c r="AW865" s="133"/>
      <c r="AX865" s="133">
        <f>+AW865-'ROR-Model'!G872</f>
        <v>0</v>
      </c>
    </row>
    <row r="866" spans="1:50">
      <c r="A866" s="134"/>
      <c r="B866" s="106"/>
      <c r="C866" s="106" t="s">
        <v>14</v>
      </c>
      <c r="D866" s="106"/>
      <c r="E866" s="331"/>
      <c r="F866" s="116"/>
      <c r="G866" s="116">
        <f>$G$1*EXPENSES!L359</f>
        <v>0</v>
      </c>
      <c r="H866" s="116"/>
      <c r="I866" s="116"/>
      <c r="J866" s="116"/>
      <c r="K866" s="116"/>
      <c r="L866" s="116"/>
      <c r="M866" s="116"/>
      <c r="N866" s="116"/>
      <c r="O866" s="116"/>
      <c r="P866" s="116"/>
      <c r="Q866" s="133"/>
      <c r="R866" s="133"/>
      <c r="S866" s="133"/>
      <c r="T866" s="133">
        <f>'Optional Adjustment 2'!G866*$T$1</f>
        <v>0</v>
      </c>
      <c r="U866" s="133">
        <f>'Optional Adjustment 3'!G866*$U$1</f>
        <v>0</v>
      </c>
      <c r="V866" s="133">
        <f>'Optional Adjustment 4'!G866*$V$1</f>
        <v>0</v>
      </c>
      <c r="W866" s="133">
        <f>'Optional Adjustment 5'!G866*$W$1</f>
        <v>0</v>
      </c>
      <c r="X866" s="133">
        <f>'Optional Adjustment 6'!G866*$X$1</f>
        <v>0</v>
      </c>
      <c r="Y866" s="133">
        <f>'Optional Adjustment 7'!G866*$Y$1</f>
        <v>0</v>
      </c>
      <c r="Z866" s="133">
        <f>'Optional Adjustment 8'!G866*$Z$1</f>
        <v>0</v>
      </c>
      <c r="AA866" s="133">
        <f>'Optional Adjustment 9'!G866*$AA$1</f>
        <v>0</v>
      </c>
      <c r="AB866" s="133">
        <f>'Optional Adjustment 10'!G866*$AB$1</f>
        <v>0</v>
      </c>
      <c r="AC866" s="133">
        <f>'Optional Adjustment 11'!G866*$AC$1</f>
        <v>0</v>
      </c>
      <c r="AD866" s="133">
        <f>'Optional Adjustment 12'!G866*$AD$1</f>
        <v>0</v>
      </c>
      <c r="AE866" s="133">
        <f>'Optional Adjustment 13'!G866*$AE$1</f>
        <v>0</v>
      </c>
      <c r="AF866" s="133">
        <f>'Optional Adjustment 14'!G866*$AF$1</f>
        <v>0</v>
      </c>
      <c r="AG866" s="133">
        <f>'Optional Adjustment 15'!G866*$AG$1</f>
        <v>0</v>
      </c>
      <c r="AH866" s="133">
        <f>'Optional Adjustment 16'!G866*$AH$1</f>
        <v>0</v>
      </c>
      <c r="AI866" s="133">
        <f>'Optional Adjustment 17'!G866*$AI$1</f>
        <v>0</v>
      </c>
      <c r="AJ866" s="133">
        <f>'Optional Adjustment 18'!G866*$AJ$1</f>
        <v>0</v>
      </c>
      <c r="AK866" s="133">
        <f>'Optional Adjustment 19'!G866*$AK$1</f>
        <v>0</v>
      </c>
      <c r="AL866" s="133">
        <f>'Optional Adjustment 20'!G866*$AL$1</f>
        <v>0</v>
      </c>
      <c r="AM866" s="133">
        <f>'Optional Adjustment 21'!G866*$AM$1</f>
        <v>0</v>
      </c>
      <c r="AN866" s="133">
        <f>'Optional Adjustment 22'!G866*$AN$1</f>
        <v>0</v>
      </c>
      <c r="AO866" s="133">
        <f>'Optional Adjustment 23'!G866*$AO$1</f>
        <v>0</v>
      </c>
      <c r="AP866" s="133">
        <f>'Optional Adjustment 24'!G866*$AP$1</f>
        <v>0</v>
      </c>
      <c r="AQ866" s="133">
        <f>'Optional Adjustment 25'!G866*$AQ$1</f>
        <v>0</v>
      </c>
      <c r="AR866" s="133">
        <f>'Optional Adjustment 26'!G866*$AR$1</f>
        <v>0</v>
      </c>
      <c r="AS866" s="133">
        <f>'Optional Adjustment 27'!G866*$AS$1</f>
        <v>0</v>
      </c>
      <c r="AT866" s="133"/>
      <c r="AU866" s="133">
        <f>SUM(F866:AT866)</f>
        <v>0</v>
      </c>
      <c r="AV866" s="116"/>
      <c r="AW866" s="133">
        <f>SUM(AU866:AU866)</f>
        <v>0</v>
      </c>
      <c r="AX866" s="133">
        <f>+AW866-'ROR-Model'!G873</f>
        <v>0</v>
      </c>
    </row>
    <row r="867" spans="1:50">
      <c r="A867" s="134"/>
      <c r="B867" s="106"/>
      <c r="C867" s="106" t="s">
        <v>24</v>
      </c>
      <c r="D867" s="106"/>
      <c r="E867" s="331"/>
      <c r="F867" s="116"/>
      <c r="G867" s="116">
        <f>$G$1*EXPENSES!L360</f>
        <v>0</v>
      </c>
      <c r="H867" s="116"/>
      <c r="I867" s="116"/>
      <c r="J867" s="116"/>
      <c r="K867" s="116"/>
      <c r="L867" s="116"/>
      <c r="M867" s="116"/>
      <c r="N867" s="116"/>
      <c r="O867" s="116"/>
      <c r="P867" s="116"/>
      <c r="Q867" s="133"/>
      <c r="R867" s="133"/>
      <c r="S867" s="133"/>
      <c r="T867" s="133">
        <f>'Optional Adjustment 2'!G867*$T$1</f>
        <v>0</v>
      </c>
      <c r="U867" s="133">
        <f>'Optional Adjustment 3'!G867*$U$1</f>
        <v>0</v>
      </c>
      <c r="V867" s="133">
        <f>'Optional Adjustment 4'!G867*$V$1</f>
        <v>0</v>
      </c>
      <c r="W867" s="133">
        <f>'Optional Adjustment 5'!G867*$W$1</f>
        <v>0</v>
      </c>
      <c r="X867" s="133">
        <f>'Optional Adjustment 6'!G867*$X$1</f>
        <v>0</v>
      </c>
      <c r="Y867" s="133">
        <f>'Optional Adjustment 7'!G867*$Y$1</f>
        <v>0</v>
      </c>
      <c r="Z867" s="133">
        <f>'Optional Adjustment 8'!G867*$Z$1</f>
        <v>0</v>
      </c>
      <c r="AA867" s="133">
        <f>'Optional Adjustment 9'!G867*$AA$1</f>
        <v>0</v>
      </c>
      <c r="AB867" s="133">
        <f>'Optional Adjustment 10'!G867*$AB$1</f>
        <v>0</v>
      </c>
      <c r="AC867" s="133">
        <f>'Optional Adjustment 11'!G867*$AC$1</f>
        <v>0</v>
      </c>
      <c r="AD867" s="133">
        <f>'Optional Adjustment 12'!G867*$AD$1</f>
        <v>0</v>
      </c>
      <c r="AE867" s="133">
        <f>'Optional Adjustment 13'!G867*$AE$1</f>
        <v>0</v>
      </c>
      <c r="AF867" s="133">
        <f>'Optional Adjustment 14'!G867*$AF$1</f>
        <v>0</v>
      </c>
      <c r="AG867" s="133">
        <f>'Optional Adjustment 15'!G867*$AG$1</f>
        <v>0</v>
      </c>
      <c r="AH867" s="133">
        <f>'Optional Adjustment 16'!G867*$AH$1</f>
        <v>0</v>
      </c>
      <c r="AI867" s="133">
        <f>'Optional Adjustment 17'!G867*$AI$1</f>
        <v>0</v>
      </c>
      <c r="AJ867" s="133">
        <f>'Optional Adjustment 18'!G867*$AJ$1</f>
        <v>0</v>
      </c>
      <c r="AK867" s="133">
        <f>'Optional Adjustment 19'!G867*$AK$1</f>
        <v>0</v>
      </c>
      <c r="AL867" s="133">
        <f>'Optional Adjustment 20'!G867*$AL$1</f>
        <v>0</v>
      </c>
      <c r="AM867" s="133">
        <f>'Optional Adjustment 21'!G867*$AM$1</f>
        <v>0</v>
      </c>
      <c r="AN867" s="133">
        <f>'Optional Adjustment 22'!G867*$AN$1</f>
        <v>0</v>
      </c>
      <c r="AO867" s="133">
        <f>'Optional Adjustment 23'!G867*$AO$1</f>
        <v>0</v>
      </c>
      <c r="AP867" s="133">
        <f>'Optional Adjustment 24'!G867*$AP$1</f>
        <v>0</v>
      </c>
      <c r="AQ867" s="133">
        <f>'Optional Adjustment 25'!G867*$AQ$1</f>
        <v>0</v>
      </c>
      <c r="AR867" s="133">
        <f>'Optional Adjustment 26'!G867*$AR$1</f>
        <v>0</v>
      </c>
      <c r="AS867" s="133">
        <f>'Optional Adjustment 27'!G867*$AS$1</f>
        <v>0</v>
      </c>
      <c r="AT867" s="133"/>
      <c r="AU867" s="133">
        <f>SUM(F867:AT867)</f>
        <v>0</v>
      </c>
      <c r="AV867" s="116"/>
      <c r="AW867" s="133">
        <f>SUM(AU867:AU867)</f>
        <v>0</v>
      </c>
      <c r="AX867" s="133">
        <f>+AW867-'ROR-Model'!G874</f>
        <v>0</v>
      </c>
    </row>
    <row r="868" spans="1:50">
      <c r="A868" s="134"/>
      <c r="B868" s="166"/>
      <c r="C868" s="106" t="s">
        <v>170</v>
      </c>
      <c r="D868" s="106"/>
      <c r="E868" s="331"/>
      <c r="F868" s="131">
        <f>SUM(F866:F867)</f>
        <v>0</v>
      </c>
      <c r="G868" s="131">
        <f>SUM(G866:G867)</f>
        <v>0</v>
      </c>
      <c r="H868" s="131">
        <f>H1*SUM(H866:H867)</f>
        <v>0</v>
      </c>
      <c r="I868" s="131">
        <f>SUM(I866:I867)</f>
        <v>0</v>
      </c>
      <c r="J868" s="131">
        <f t="shared" ref="J868:P868" si="1089">SUM(J866:J867)</f>
        <v>0</v>
      </c>
      <c r="K868" s="131">
        <f t="shared" si="1089"/>
        <v>0</v>
      </c>
      <c r="L868" s="131">
        <f t="shared" si="1089"/>
        <v>0</v>
      </c>
      <c r="M868" s="131">
        <f t="shared" si="1089"/>
        <v>0</v>
      </c>
      <c r="N868" s="131">
        <f t="shared" si="1089"/>
        <v>0</v>
      </c>
      <c r="O868" s="131">
        <f t="shared" si="1089"/>
        <v>0</v>
      </c>
      <c r="P868" s="131">
        <f t="shared" si="1089"/>
        <v>0</v>
      </c>
      <c r="Q868" s="241">
        <f>SUM(Q866:Q867)</f>
        <v>0</v>
      </c>
      <c r="R868" s="241">
        <f>SUM(R866:R867)</f>
        <v>0</v>
      </c>
      <c r="S868" s="556">
        <f t="shared" ref="S868:AG868" si="1090">SUM(S866:S867)</f>
        <v>0</v>
      </c>
      <c r="T868" s="556">
        <f t="shared" si="1090"/>
        <v>0</v>
      </c>
      <c r="U868" s="556">
        <f t="shared" si="1090"/>
        <v>0</v>
      </c>
      <c r="V868" s="556">
        <f t="shared" si="1090"/>
        <v>0</v>
      </c>
      <c r="W868" s="556">
        <f t="shared" si="1090"/>
        <v>0</v>
      </c>
      <c r="X868" s="556">
        <f t="shared" si="1090"/>
        <v>0</v>
      </c>
      <c r="Y868" s="556">
        <f t="shared" si="1090"/>
        <v>0</v>
      </c>
      <c r="Z868" s="556">
        <f t="shared" si="1090"/>
        <v>0</v>
      </c>
      <c r="AA868" s="556">
        <f t="shared" si="1090"/>
        <v>0</v>
      </c>
      <c r="AB868" s="556">
        <f t="shared" si="1090"/>
        <v>0</v>
      </c>
      <c r="AC868" s="556">
        <f t="shared" si="1090"/>
        <v>0</v>
      </c>
      <c r="AD868" s="556">
        <f t="shared" si="1090"/>
        <v>0</v>
      </c>
      <c r="AE868" s="556">
        <f t="shared" si="1090"/>
        <v>0</v>
      </c>
      <c r="AF868" s="556">
        <f t="shared" si="1090"/>
        <v>0</v>
      </c>
      <c r="AG868" s="556">
        <f t="shared" si="1090"/>
        <v>0</v>
      </c>
      <c r="AH868" s="556">
        <f t="shared" ref="AH868:AK868" si="1091">SUM(AH866:AH867)</f>
        <v>0</v>
      </c>
      <c r="AI868" s="556">
        <f t="shared" si="1091"/>
        <v>0</v>
      </c>
      <c r="AJ868" s="556">
        <f t="shared" si="1091"/>
        <v>0</v>
      </c>
      <c r="AK868" s="556">
        <f t="shared" si="1091"/>
        <v>0</v>
      </c>
      <c r="AL868" s="556">
        <f t="shared" ref="AL868:AP868" si="1092">SUM(AL866:AL867)</f>
        <v>0</v>
      </c>
      <c r="AM868" s="556">
        <f t="shared" si="1092"/>
        <v>0</v>
      </c>
      <c r="AN868" s="556">
        <f t="shared" si="1092"/>
        <v>0</v>
      </c>
      <c r="AO868" s="556">
        <f t="shared" si="1092"/>
        <v>0</v>
      </c>
      <c r="AP868" s="556">
        <f t="shared" si="1092"/>
        <v>0</v>
      </c>
      <c r="AQ868" s="556">
        <f t="shared" ref="AQ868:AS868" si="1093">SUM(AQ866:AQ867)</f>
        <v>0</v>
      </c>
      <c r="AR868" s="556">
        <f t="shared" si="1093"/>
        <v>0</v>
      </c>
      <c r="AS868" s="556">
        <f t="shared" si="1093"/>
        <v>0</v>
      </c>
      <c r="AT868" s="556"/>
      <c r="AU868" s="241">
        <f>SUM(F868:AT868)</f>
        <v>0</v>
      </c>
      <c r="AV868" s="131"/>
      <c r="AW868" s="241">
        <f>SUM(AU868:AU868)</f>
        <v>0</v>
      </c>
      <c r="AX868" s="241">
        <f>+AW868-'ROR-Model'!G875</f>
        <v>0</v>
      </c>
    </row>
    <row r="869" spans="1:50">
      <c r="A869" s="134">
        <v>9301</v>
      </c>
      <c r="B869" s="106" t="s">
        <v>433</v>
      </c>
      <c r="C869" s="106"/>
      <c r="D869" s="106"/>
      <c r="E869" s="331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16"/>
      <c r="AW869" s="133"/>
      <c r="AX869" s="133">
        <f>+AW869-'ROR-Model'!G876</f>
        <v>0</v>
      </c>
    </row>
    <row r="870" spans="1:50">
      <c r="A870" s="134"/>
      <c r="B870" s="166"/>
      <c r="C870" s="106" t="s">
        <v>14</v>
      </c>
      <c r="D870" s="106"/>
      <c r="E870" s="331"/>
      <c r="F870" s="116"/>
      <c r="G870" s="116">
        <f>$G$1*EXPENSES!L363</f>
        <v>0</v>
      </c>
      <c r="H870" s="116"/>
      <c r="I870" s="116"/>
      <c r="J870" s="116"/>
      <c r="K870" s="116"/>
      <c r="L870" s="116"/>
      <c r="M870" s="116"/>
      <c r="N870" s="116"/>
      <c r="O870" s="116"/>
      <c r="P870" s="116"/>
      <c r="Q870" s="133"/>
      <c r="R870" s="133"/>
      <c r="S870" s="133"/>
      <c r="T870" s="133">
        <f>'Optional Adjustment 2'!G870*$T$1</f>
        <v>0</v>
      </c>
      <c r="U870" s="133">
        <f>'Optional Adjustment 3'!G870*$U$1</f>
        <v>0</v>
      </c>
      <c r="V870" s="133">
        <f>'Optional Adjustment 4'!G870*$V$1</f>
        <v>0</v>
      </c>
      <c r="W870" s="133">
        <f>'Optional Adjustment 5'!G870*$W$1</f>
        <v>0</v>
      </c>
      <c r="X870" s="133">
        <f>'Optional Adjustment 6'!G870*$X$1</f>
        <v>0</v>
      </c>
      <c r="Y870" s="133">
        <f>'Optional Adjustment 7'!G870*$Y$1</f>
        <v>0</v>
      </c>
      <c r="Z870" s="133">
        <f>'Optional Adjustment 8'!G870*$Z$1</f>
        <v>0</v>
      </c>
      <c r="AA870" s="133">
        <f>'Optional Adjustment 9'!G870*$AA$1</f>
        <v>0</v>
      </c>
      <c r="AB870" s="133">
        <f>'Optional Adjustment 10'!G870*$AB$1</f>
        <v>0</v>
      </c>
      <c r="AC870" s="133">
        <f>'Optional Adjustment 11'!G870*$AC$1</f>
        <v>0</v>
      </c>
      <c r="AD870" s="133">
        <f>'Optional Adjustment 12'!G870*$AD$1</f>
        <v>0</v>
      </c>
      <c r="AE870" s="133">
        <f>'Optional Adjustment 13'!G870*$AE$1</f>
        <v>0</v>
      </c>
      <c r="AF870" s="133">
        <f>'Optional Adjustment 14'!G870*$AF$1</f>
        <v>0</v>
      </c>
      <c r="AG870" s="133">
        <f>'Optional Adjustment 15'!G870*$AG$1</f>
        <v>0</v>
      </c>
      <c r="AH870" s="133">
        <f>'Optional Adjustment 16'!G870*$AH$1</f>
        <v>0</v>
      </c>
      <c r="AI870" s="133">
        <f>'Optional Adjustment 17'!G870*$AI$1</f>
        <v>0</v>
      </c>
      <c r="AJ870" s="133">
        <f>'Optional Adjustment 18'!G870*$AJ$1</f>
        <v>0</v>
      </c>
      <c r="AK870" s="133">
        <f>'Optional Adjustment 19'!G870*$AK$1</f>
        <v>0</v>
      </c>
      <c r="AL870" s="133">
        <f>'Optional Adjustment 20'!G870*$AL$1</f>
        <v>0</v>
      </c>
      <c r="AM870" s="133">
        <f>'Optional Adjustment 21'!G870*$AM$1</f>
        <v>0</v>
      </c>
      <c r="AN870" s="133">
        <f>'Optional Adjustment 22'!G870*$AN$1</f>
        <v>0</v>
      </c>
      <c r="AO870" s="133">
        <f>'Optional Adjustment 23'!G870*$AO$1</f>
        <v>0</v>
      </c>
      <c r="AP870" s="133">
        <f>'Optional Adjustment 24'!G870*$AP$1</f>
        <v>0</v>
      </c>
      <c r="AQ870" s="133">
        <f>'Optional Adjustment 25'!G870*$AQ$1</f>
        <v>0</v>
      </c>
      <c r="AR870" s="133">
        <f>'Optional Adjustment 26'!G870*$AR$1</f>
        <v>0</v>
      </c>
      <c r="AS870" s="133">
        <f>'Optional Adjustment 27'!G870*$AS$1</f>
        <v>0</v>
      </c>
      <c r="AT870" s="133"/>
      <c r="AU870" s="133">
        <f>SUM(F870:AT870)</f>
        <v>0</v>
      </c>
      <c r="AV870" s="116"/>
      <c r="AW870" s="133">
        <f>SUM(AU870:AU870)</f>
        <v>0</v>
      </c>
      <c r="AX870" s="133">
        <f>+AW870-'ROR-Model'!G877</f>
        <v>0</v>
      </c>
    </row>
    <row r="871" spans="1:50">
      <c r="A871" s="134"/>
      <c r="B871" s="166"/>
      <c r="C871" s="106" t="s">
        <v>24</v>
      </c>
      <c r="D871" s="106"/>
      <c r="E871" s="331"/>
      <c r="F871" s="116"/>
      <c r="G871" s="116">
        <f>$G$1*EXPENSES!L364</f>
        <v>0</v>
      </c>
      <c r="H871" s="116"/>
      <c r="I871" s="116"/>
      <c r="J871" s="116"/>
      <c r="K871" s="116"/>
      <c r="L871" s="116"/>
      <c r="M871" s="116"/>
      <c r="N871" s="116"/>
      <c r="O871" s="116"/>
      <c r="P871" s="116"/>
      <c r="Q871" s="133"/>
      <c r="R871" s="133"/>
      <c r="S871" s="133"/>
      <c r="T871" s="133">
        <f>'Optional Adjustment 2'!G871*$T$1</f>
        <v>0</v>
      </c>
      <c r="U871" s="133">
        <f>'Optional Adjustment 3'!G871*$U$1</f>
        <v>0</v>
      </c>
      <c r="V871" s="133">
        <f>'Optional Adjustment 4'!G871*$V$1</f>
        <v>0</v>
      </c>
      <c r="W871" s="133">
        <f>'Optional Adjustment 5'!G871*$W$1</f>
        <v>0</v>
      </c>
      <c r="X871" s="133">
        <f>'Optional Adjustment 6'!G871*$X$1</f>
        <v>0</v>
      </c>
      <c r="Y871" s="133">
        <f>'Optional Adjustment 7'!G871*$Y$1</f>
        <v>0</v>
      </c>
      <c r="Z871" s="133">
        <f>'Optional Adjustment 8'!G871*$Z$1</f>
        <v>0</v>
      </c>
      <c r="AA871" s="133">
        <f>'Optional Adjustment 9'!G871*$AA$1</f>
        <v>0</v>
      </c>
      <c r="AB871" s="133">
        <f>'Optional Adjustment 10'!G871*$AB$1</f>
        <v>0</v>
      </c>
      <c r="AC871" s="133">
        <f>'Optional Adjustment 11'!G871*$AC$1</f>
        <v>0</v>
      </c>
      <c r="AD871" s="133">
        <f>'Optional Adjustment 12'!G871*$AD$1</f>
        <v>0</v>
      </c>
      <c r="AE871" s="133">
        <f>'Optional Adjustment 13'!G871*$AE$1</f>
        <v>0</v>
      </c>
      <c r="AF871" s="133">
        <f>'Optional Adjustment 14'!G871*$AF$1</f>
        <v>0</v>
      </c>
      <c r="AG871" s="133">
        <f>'Optional Adjustment 15'!G871*$AG$1</f>
        <v>0</v>
      </c>
      <c r="AH871" s="133">
        <f>'Optional Adjustment 16'!G871*$AH$1</f>
        <v>0</v>
      </c>
      <c r="AI871" s="133">
        <f>'Optional Adjustment 17'!G871*$AI$1</f>
        <v>0</v>
      </c>
      <c r="AJ871" s="133">
        <f>'Optional Adjustment 18'!G871*$AJ$1</f>
        <v>0</v>
      </c>
      <c r="AK871" s="133">
        <f>'Optional Adjustment 19'!G871*$AK$1</f>
        <v>0</v>
      </c>
      <c r="AL871" s="133">
        <f>'Optional Adjustment 20'!G871*$AL$1</f>
        <v>0</v>
      </c>
      <c r="AM871" s="133">
        <f>'Optional Adjustment 21'!G871*$AM$1</f>
        <v>0</v>
      </c>
      <c r="AN871" s="133">
        <f>'Optional Adjustment 22'!G871*$AN$1</f>
        <v>0</v>
      </c>
      <c r="AO871" s="133">
        <f>'Optional Adjustment 23'!G871*$AO$1</f>
        <v>0</v>
      </c>
      <c r="AP871" s="133">
        <f>'Optional Adjustment 24'!G871*$AP$1</f>
        <v>0</v>
      </c>
      <c r="AQ871" s="133">
        <f>'Optional Adjustment 25'!G871*$AQ$1</f>
        <v>0</v>
      </c>
      <c r="AR871" s="133">
        <f>'Optional Adjustment 26'!G871*$AR$1</f>
        <v>0</v>
      </c>
      <c r="AS871" s="133">
        <f>'Optional Adjustment 27'!G871*$AS$1</f>
        <v>0</v>
      </c>
      <c r="AT871" s="133"/>
      <c r="AU871" s="133">
        <f>SUM(F871:AT871)</f>
        <v>0</v>
      </c>
      <c r="AV871" s="116"/>
      <c r="AW871" s="133">
        <f>SUM(AU871:AU871)</f>
        <v>0</v>
      </c>
      <c r="AX871" s="133">
        <f>+AW871-'ROR-Model'!G878</f>
        <v>0</v>
      </c>
    </row>
    <row r="872" spans="1:50">
      <c r="A872" s="134"/>
      <c r="B872" s="106"/>
      <c r="C872" s="106" t="s">
        <v>170</v>
      </c>
      <c r="D872" s="106"/>
      <c r="E872" s="331"/>
      <c r="F872" s="131">
        <f>SUM(F870:F871)</f>
        <v>0</v>
      </c>
      <c r="G872" s="131">
        <f>SUM(G870:G871)</f>
        <v>0</v>
      </c>
      <c r="H872" s="131">
        <f>H1*SUM(H870:H871)</f>
        <v>0</v>
      </c>
      <c r="I872" s="131">
        <f>SUM(I870:I871)</f>
        <v>0</v>
      </c>
      <c r="J872" s="131">
        <f t="shared" ref="J872:P872" si="1094">SUM(J870:J871)</f>
        <v>0</v>
      </c>
      <c r="K872" s="131">
        <f t="shared" si="1094"/>
        <v>0</v>
      </c>
      <c r="L872" s="131">
        <f t="shared" si="1094"/>
        <v>0</v>
      </c>
      <c r="M872" s="131">
        <f t="shared" si="1094"/>
        <v>0</v>
      </c>
      <c r="N872" s="131">
        <f t="shared" si="1094"/>
        <v>0</v>
      </c>
      <c r="O872" s="131">
        <f t="shared" si="1094"/>
        <v>0</v>
      </c>
      <c r="P872" s="131">
        <f t="shared" si="1094"/>
        <v>0</v>
      </c>
      <c r="Q872" s="241">
        <f>SUM(Q870:Q871)</f>
        <v>0</v>
      </c>
      <c r="R872" s="241">
        <f>SUM(R870:R871)</f>
        <v>0</v>
      </c>
      <c r="S872" s="556">
        <f t="shared" ref="S872:AG872" si="1095">SUM(S870:S871)</f>
        <v>0</v>
      </c>
      <c r="T872" s="556">
        <f t="shared" si="1095"/>
        <v>0</v>
      </c>
      <c r="U872" s="556">
        <f t="shared" si="1095"/>
        <v>0</v>
      </c>
      <c r="V872" s="556">
        <f t="shared" si="1095"/>
        <v>0</v>
      </c>
      <c r="W872" s="556">
        <f t="shared" si="1095"/>
        <v>0</v>
      </c>
      <c r="X872" s="556">
        <f t="shared" si="1095"/>
        <v>0</v>
      </c>
      <c r="Y872" s="556">
        <f t="shared" si="1095"/>
        <v>0</v>
      </c>
      <c r="Z872" s="556">
        <f t="shared" si="1095"/>
        <v>0</v>
      </c>
      <c r="AA872" s="556">
        <f t="shared" si="1095"/>
        <v>0</v>
      </c>
      <c r="AB872" s="556">
        <f t="shared" si="1095"/>
        <v>0</v>
      </c>
      <c r="AC872" s="556">
        <f t="shared" si="1095"/>
        <v>0</v>
      </c>
      <c r="AD872" s="556">
        <f t="shared" si="1095"/>
        <v>0</v>
      </c>
      <c r="AE872" s="556">
        <f t="shared" si="1095"/>
        <v>0</v>
      </c>
      <c r="AF872" s="556">
        <f t="shared" si="1095"/>
        <v>0</v>
      </c>
      <c r="AG872" s="556">
        <f t="shared" si="1095"/>
        <v>0</v>
      </c>
      <c r="AH872" s="556">
        <f t="shared" ref="AH872:AK872" si="1096">SUM(AH870:AH871)</f>
        <v>0</v>
      </c>
      <c r="AI872" s="556">
        <f t="shared" si="1096"/>
        <v>0</v>
      </c>
      <c r="AJ872" s="556">
        <f t="shared" si="1096"/>
        <v>0</v>
      </c>
      <c r="AK872" s="556">
        <f t="shared" si="1096"/>
        <v>0</v>
      </c>
      <c r="AL872" s="556">
        <f t="shared" ref="AL872:AP872" si="1097">SUM(AL870:AL871)</f>
        <v>0</v>
      </c>
      <c r="AM872" s="556">
        <f t="shared" si="1097"/>
        <v>0</v>
      </c>
      <c r="AN872" s="556">
        <f t="shared" si="1097"/>
        <v>0</v>
      </c>
      <c r="AO872" s="556">
        <f t="shared" si="1097"/>
        <v>0</v>
      </c>
      <c r="AP872" s="556">
        <f t="shared" si="1097"/>
        <v>0</v>
      </c>
      <c r="AQ872" s="556">
        <f t="shared" ref="AQ872:AS872" si="1098">SUM(AQ870:AQ871)</f>
        <v>0</v>
      </c>
      <c r="AR872" s="556">
        <f t="shared" si="1098"/>
        <v>0</v>
      </c>
      <c r="AS872" s="556">
        <f t="shared" si="1098"/>
        <v>0</v>
      </c>
      <c r="AT872" s="556"/>
      <c r="AU872" s="241">
        <f>SUM(F872:AT872)</f>
        <v>0</v>
      </c>
      <c r="AV872" s="131"/>
      <c r="AW872" s="241">
        <f>SUM(AU872:AU872)</f>
        <v>0</v>
      </c>
      <c r="AX872" s="241">
        <f>+AW872-'ROR-Model'!G879</f>
        <v>0</v>
      </c>
    </row>
    <row r="873" spans="1:50">
      <c r="A873" s="134">
        <v>9302</v>
      </c>
      <c r="B873" s="106" t="s">
        <v>435</v>
      </c>
      <c r="C873" s="106"/>
      <c r="D873" s="106"/>
      <c r="E873" s="331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16"/>
      <c r="AW873" s="133"/>
      <c r="AX873" s="133">
        <f>+AW873-'ROR-Model'!G880</f>
        <v>0</v>
      </c>
    </row>
    <row r="874" spans="1:50">
      <c r="A874" s="134"/>
      <c r="B874" s="106"/>
      <c r="C874" s="106" t="s">
        <v>14</v>
      </c>
      <c r="D874" s="106"/>
      <c r="E874" s="331"/>
      <c r="F874" s="116"/>
      <c r="G874" s="116">
        <f>$G$1*EXPENSES!L367</f>
        <v>39464.979117023991</v>
      </c>
      <c r="H874" s="116"/>
      <c r="I874" s="116"/>
      <c r="J874" s="116"/>
      <c r="K874" s="116"/>
      <c r="L874" s="116"/>
      <c r="M874" s="116"/>
      <c r="N874" s="116"/>
      <c r="O874" s="116"/>
      <c r="P874" s="116"/>
      <c r="Q874" s="133"/>
      <c r="R874" s="133"/>
      <c r="S874" s="133">
        <f>'Transition Costs'!$K23*S1</f>
        <v>0</v>
      </c>
      <c r="T874" s="133">
        <f>'Optional Adjustment 2'!G874*$T$1</f>
        <v>0</v>
      </c>
      <c r="U874" s="133">
        <f>'Optional Adjustment 3'!G874*$U$1</f>
        <v>0</v>
      </c>
      <c r="V874" s="133">
        <f>'Optional Adjustment 4'!G874*$V$1</f>
        <v>0</v>
      </c>
      <c r="W874" s="133">
        <f>'Optional Adjustment 5'!G874*$W$1</f>
        <v>0</v>
      </c>
      <c r="X874" s="133">
        <f>'Optional Adjustment 6'!G874*$X$1</f>
        <v>0</v>
      </c>
      <c r="Y874" s="133">
        <f>'Optional Adjustment 7'!G874*$Y$1</f>
        <v>0</v>
      </c>
      <c r="Z874" s="133">
        <f>'Optional Adjustment 8'!G874*$Z$1</f>
        <v>0</v>
      </c>
      <c r="AA874" s="133">
        <f>'Optional Adjustment 9'!G874*$AA$1</f>
        <v>0</v>
      </c>
      <c r="AB874" s="133">
        <f>'Optional Adjustment 10'!G874*$AB$1</f>
        <v>0</v>
      </c>
      <c r="AC874" s="133">
        <f>'Optional Adjustment 11'!G874*$AC$1</f>
        <v>0</v>
      </c>
      <c r="AD874" s="133">
        <f>'Optional Adjustment 12'!G874*$AD$1</f>
        <v>0</v>
      </c>
      <c r="AE874" s="133">
        <f>'Optional Adjustment 13'!G874*$AE$1</f>
        <v>0</v>
      </c>
      <c r="AF874" s="133">
        <f>'Optional Adjustment 14'!G874*$AF$1</f>
        <v>0</v>
      </c>
      <c r="AG874" s="133">
        <f>'Optional Adjustment 15'!G874*$AG$1</f>
        <v>0</v>
      </c>
      <c r="AH874" s="133">
        <f>'Optional Adjustment 16'!G874*$AH$1</f>
        <v>0</v>
      </c>
      <c r="AI874" s="133">
        <f>'Optional Adjustment 17'!G874*$AI$1</f>
        <v>0</v>
      </c>
      <c r="AJ874" s="133">
        <f>'Optional Adjustment 18'!G874*$AJ$1</f>
        <v>0</v>
      </c>
      <c r="AK874" s="133">
        <f>'Optional Adjustment 19'!G874*$AK$1</f>
        <v>0</v>
      </c>
      <c r="AL874" s="133">
        <f>'Optional Adjustment 20'!G874*$AL$1</f>
        <v>0</v>
      </c>
      <c r="AM874" s="133">
        <f>'Optional Adjustment 21'!G874*$AM$1</f>
        <v>0</v>
      </c>
      <c r="AN874" s="133">
        <f>'Optional Adjustment 22'!G874*$AN$1</f>
        <v>0</v>
      </c>
      <c r="AO874" s="133">
        <f>'Optional Adjustment 23'!G874*$AO$1</f>
        <v>0</v>
      </c>
      <c r="AP874" s="133">
        <f>'Optional Adjustment 24'!G874*$AP$1</f>
        <v>0</v>
      </c>
      <c r="AQ874" s="133">
        <f>'Optional Adjustment 25'!G874*$AQ$1</f>
        <v>0</v>
      </c>
      <c r="AR874" s="133">
        <f>'Optional Adjustment 26'!G874*$AR$1</f>
        <v>0</v>
      </c>
      <c r="AS874" s="133">
        <f>'Optional Adjustment 27'!G874*$AS$1</f>
        <v>0</v>
      </c>
      <c r="AT874" s="133"/>
      <c r="AU874" s="133">
        <f>SUM(F874:AT874)</f>
        <v>39464.979117023991</v>
      </c>
      <c r="AV874" s="116"/>
      <c r="AW874" s="133">
        <f>SUM(AU874:AU874)</f>
        <v>39464.979117023991</v>
      </c>
      <c r="AX874" s="133">
        <f>+AW874-'ROR-Model'!G884</f>
        <v>0</v>
      </c>
    </row>
    <row r="875" spans="1:50">
      <c r="A875" s="134"/>
      <c r="B875" s="106"/>
      <c r="C875" s="106" t="s">
        <v>24</v>
      </c>
      <c r="D875" s="106"/>
      <c r="E875" s="331"/>
      <c r="F875" s="116"/>
      <c r="G875" s="116">
        <f>$G$1*EXPENSES!L368</f>
        <v>1199.4189653499852</v>
      </c>
      <c r="H875" s="116"/>
      <c r="I875" s="116"/>
      <c r="J875" s="116"/>
      <c r="K875" s="116"/>
      <c r="L875" s="116"/>
      <c r="M875" s="116"/>
      <c r="N875" s="116"/>
      <c r="O875" s="116"/>
      <c r="P875" s="116"/>
      <c r="Q875" s="133"/>
      <c r="R875" s="133"/>
      <c r="S875" s="133">
        <f>'Transition Costs'!$K24*S1</f>
        <v>0</v>
      </c>
      <c r="T875" s="133">
        <f>'Optional Adjustment 2'!G875*$T$1</f>
        <v>0</v>
      </c>
      <c r="U875" s="133">
        <f>'Optional Adjustment 3'!G875*$U$1</f>
        <v>0</v>
      </c>
      <c r="V875" s="133">
        <f>'Optional Adjustment 4'!G875*$V$1</f>
        <v>0</v>
      </c>
      <c r="W875" s="133">
        <f>'Optional Adjustment 5'!G875*$W$1</f>
        <v>0</v>
      </c>
      <c r="X875" s="133">
        <f>'Optional Adjustment 6'!G875*$X$1</f>
        <v>0</v>
      </c>
      <c r="Y875" s="133">
        <f>'Optional Adjustment 7'!G875*$Y$1</f>
        <v>0</v>
      </c>
      <c r="Z875" s="133">
        <f>'Optional Adjustment 8'!G875*$Z$1</f>
        <v>0</v>
      </c>
      <c r="AA875" s="133">
        <f>'Optional Adjustment 9'!G875*$AA$1</f>
        <v>0</v>
      </c>
      <c r="AB875" s="133">
        <f>'Optional Adjustment 10'!G875*$AB$1</f>
        <v>0</v>
      </c>
      <c r="AC875" s="133">
        <f>'Optional Adjustment 11'!G875*$AC$1</f>
        <v>0</v>
      </c>
      <c r="AD875" s="133">
        <f>'Optional Adjustment 12'!G875*$AD$1</f>
        <v>0</v>
      </c>
      <c r="AE875" s="133">
        <f>'Optional Adjustment 13'!G875*$AE$1</f>
        <v>0</v>
      </c>
      <c r="AF875" s="133">
        <f>'Optional Adjustment 14'!G875*$AF$1</f>
        <v>0</v>
      </c>
      <c r="AG875" s="133">
        <f>'Optional Adjustment 15'!G875*$AG$1</f>
        <v>0</v>
      </c>
      <c r="AH875" s="133">
        <f>'Optional Adjustment 16'!G875*$AH$1</f>
        <v>0</v>
      </c>
      <c r="AI875" s="133">
        <f>'Optional Adjustment 17'!G875*$AI$1</f>
        <v>0</v>
      </c>
      <c r="AJ875" s="133">
        <f>'Optional Adjustment 18'!G875*$AJ$1</f>
        <v>0</v>
      </c>
      <c r="AK875" s="133">
        <f>'Optional Adjustment 19'!G875*$AK$1</f>
        <v>0</v>
      </c>
      <c r="AL875" s="133">
        <f>'Optional Adjustment 20'!G875*$AL$1</f>
        <v>0</v>
      </c>
      <c r="AM875" s="133">
        <f>'Optional Adjustment 21'!G875*$AM$1</f>
        <v>0</v>
      </c>
      <c r="AN875" s="133">
        <f>'Optional Adjustment 22'!G875*$AN$1</f>
        <v>0</v>
      </c>
      <c r="AO875" s="133">
        <f>'Optional Adjustment 23'!G875*$AO$1</f>
        <v>0</v>
      </c>
      <c r="AP875" s="133">
        <f>'Optional Adjustment 24'!G875*$AP$1</f>
        <v>0</v>
      </c>
      <c r="AQ875" s="133">
        <f>'Optional Adjustment 25'!G875*$AQ$1</f>
        <v>0</v>
      </c>
      <c r="AR875" s="133">
        <f>'Optional Adjustment 26'!G875*$AR$1</f>
        <v>0</v>
      </c>
      <c r="AS875" s="133">
        <f>'Optional Adjustment 27'!G875*$AS$1</f>
        <v>0</v>
      </c>
      <c r="AT875" s="133"/>
      <c r="AU875" s="133">
        <f>SUM(F875:AT875)</f>
        <v>1199.4189653499852</v>
      </c>
      <c r="AV875" s="116"/>
      <c r="AW875" s="133">
        <f>SUM(AU875:AU875)</f>
        <v>1199.4189653499852</v>
      </c>
      <c r="AX875" s="133">
        <f>+AW875-'ROR-Model'!G885</f>
        <v>0</v>
      </c>
    </row>
    <row r="876" spans="1:50">
      <c r="A876" s="134"/>
      <c r="B876" s="106"/>
      <c r="C876" s="106" t="s">
        <v>170</v>
      </c>
      <c r="D876" s="106"/>
      <c r="E876" s="331"/>
      <c r="F876" s="131">
        <f>SUM(F874:F875)</f>
        <v>0</v>
      </c>
      <c r="G876" s="131">
        <f>SUM(G874:G875)</f>
        <v>40664.398082373977</v>
      </c>
      <c r="H876" s="131">
        <f>H1*SUM(H874:H875)</f>
        <v>0</v>
      </c>
      <c r="I876" s="131">
        <f>SUM(I874:I875)</f>
        <v>0</v>
      </c>
      <c r="J876" s="131">
        <f t="shared" ref="J876:P876" si="1099">SUM(J874:J875)</f>
        <v>0</v>
      </c>
      <c r="K876" s="131">
        <f t="shared" si="1099"/>
        <v>0</v>
      </c>
      <c r="L876" s="131">
        <f t="shared" si="1099"/>
        <v>0</v>
      </c>
      <c r="M876" s="131">
        <f t="shared" si="1099"/>
        <v>0</v>
      </c>
      <c r="N876" s="131">
        <f t="shared" si="1099"/>
        <v>0</v>
      </c>
      <c r="O876" s="131">
        <f t="shared" si="1099"/>
        <v>0</v>
      </c>
      <c r="P876" s="131">
        <f t="shared" si="1099"/>
        <v>0</v>
      </c>
      <c r="Q876" s="241">
        <f>SUM(Q874:Q875)</f>
        <v>0</v>
      </c>
      <c r="R876" s="241">
        <f>SUM(R874:R875)</f>
        <v>0</v>
      </c>
      <c r="S876" s="556">
        <f t="shared" ref="S876:AG876" si="1100">SUM(S874:S875)</f>
        <v>0</v>
      </c>
      <c r="T876" s="556">
        <f t="shared" si="1100"/>
        <v>0</v>
      </c>
      <c r="U876" s="556">
        <f t="shared" si="1100"/>
        <v>0</v>
      </c>
      <c r="V876" s="556">
        <f t="shared" si="1100"/>
        <v>0</v>
      </c>
      <c r="W876" s="556">
        <f t="shared" si="1100"/>
        <v>0</v>
      </c>
      <c r="X876" s="556">
        <f t="shared" si="1100"/>
        <v>0</v>
      </c>
      <c r="Y876" s="556">
        <f t="shared" si="1100"/>
        <v>0</v>
      </c>
      <c r="Z876" s="556">
        <f t="shared" si="1100"/>
        <v>0</v>
      </c>
      <c r="AA876" s="556">
        <f t="shared" si="1100"/>
        <v>0</v>
      </c>
      <c r="AB876" s="556">
        <f t="shared" si="1100"/>
        <v>0</v>
      </c>
      <c r="AC876" s="556">
        <f t="shared" si="1100"/>
        <v>0</v>
      </c>
      <c r="AD876" s="556">
        <f t="shared" si="1100"/>
        <v>0</v>
      </c>
      <c r="AE876" s="556">
        <f t="shared" si="1100"/>
        <v>0</v>
      </c>
      <c r="AF876" s="556">
        <f t="shared" si="1100"/>
        <v>0</v>
      </c>
      <c r="AG876" s="556">
        <f t="shared" si="1100"/>
        <v>0</v>
      </c>
      <c r="AH876" s="556">
        <f t="shared" ref="AH876:AK876" si="1101">SUM(AH874:AH875)</f>
        <v>0</v>
      </c>
      <c r="AI876" s="556">
        <f t="shared" si="1101"/>
        <v>0</v>
      </c>
      <c r="AJ876" s="556">
        <f t="shared" si="1101"/>
        <v>0</v>
      </c>
      <c r="AK876" s="556">
        <f t="shared" si="1101"/>
        <v>0</v>
      </c>
      <c r="AL876" s="556">
        <f t="shared" ref="AL876:AP876" si="1102">SUM(AL874:AL875)</f>
        <v>0</v>
      </c>
      <c r="AM876" s="556">
        <f t="shared" si="1102"/>
        <v>0</v>
      </c>
      <c r="AN876" s="556">
        <f t="shared" si="1102"/>
        <v>0</v>
      </c>
      <c r="AO876" s="556">
        <f t="shared" si="1102"/>
        <v>0</v>
      </c>
      <c r="AP876" s="556">
        <f t="shared" si="1102"/>
        <v>0</v>
      </c>
      <c r="AQ876" s="556">
        <f t="shared" ref="AQ876:AS876" si="1103">SUM(AQ874:AQ875)</f>
        <v>0</v>
      </c>
      <c r="AR876" s="556">
        <f t="shared" si="1103"/>
        <v>0</v>
      </c>
      <c r="AS876" s="556">
        <f t="shared" si="1103"/>
        <v>0</v>
      </c>
      <c r="AT876" s="556"/>
      <c r="AU876" s="241">
        <f>SUM(F876:AT876)</f>
        <v>40664.398082373977</v>
      </c>
      <c r="AV876" s="131"/>
      <c r="AW876" s="241">
        <f>SUM(AU876:AU876)</f>
        <v>40664.398082373977</v>
      </c>
      <c r="AX876" s="241">
        <f>+AW876-'ROR-Model'!G886</f>
        <v>0</v>
      </c>
    </row>
    <row r="877" spans="1:50">
      <c r="A877" s="134">
        <v>931</v>
      </c>
      <c r="B877" s="106" t="s">
        <v>385</v>
      </c>
      <c r="C877" s="106"/>
      <c r="D877" s="106"/>
      <c r="E877" s="331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16"/>
      <c r="AW877" s="133"/>
      <c r="AX877" s="133">
        <f>+AW877-'ROR-Model'!G887</f>
        <v>0</v>
      </c>
    </row>
    <row r="878" spans="1:50">
      <c r="A878" s="134"/>
      <c r="B878" s="106"/>
      <c r="C878" s="106" t="s">
        <v>14</v>
      </c>
      <c r="D878" s="106"/>
      <c r="E878" s="331"/>
      <c r="F878" s="116"/>
      <c r="G878" s="116">
        <f>$G$1*EXPENSES!L371</f>
        <v>22225.11953280028</v>
      </c>
      <c r="H878" s="116"/>
      <c r="I878" s="116"/>
      <c r="J878" s="116"/>
      <c r="K878" s="116"/>
      <c r="L878" s="116"/>
      <c r="M878" s="116"/>
      <c r="N878" s="116"/>
      <c r="O878" s="116"/>
      <c r="P878" s="116"/>
      <c r="Q878" s="133"/>
      <c r="R878" s="133"/>
      <c r="S878" s="133"/>
      <c r="T878" s="133">
        <f>'Optional Adjustment 2'!G878*$T$1</f>
        <v>0</v>
      </c>
      <c r="U878" s="133">
        <f>'Optional Adjustment 3'!G878*$U$1</f>
        <v>0</v>
      </c>
      <c r="V878" s="133">
        <f>'Optional Adjustment 4'!G878*$V$1</f>
        <v>0</v>
      </c>
      <c r="W878" s="133">
        <f>'Optional Adjustment 5'!G878*$W$1</f>
        <v>0</v>
      </c>
      <c r="X878" s="133">
        <f>'Optional Adjustment 6'!G878*$X$1</f>
        <v>0</v>
      </c>
      <c r="Y878" s="133">
        <f>'Optional Adjustment 7'!G878*$Y$1</f>
        <v>0</v>
      </c>
      <c r="Z878" s="133">
        <f>'Optional Adjustment 8'!G878*$Z$1</f>
        <v>0</v>
      </c>
      <c r="AA878" s="133">
        <f>'Optional Adjustment 9'!G878*$AA$1</f>
        <v>0</v>
      </c>
      <c r="AB878" s="133">
        <f>'Optional Adjustment 10'!G878*$AB$1</f>
        <v>0</v>
      </c>
      <c r="AC878" s="133">
        <f>'Optional Adjustment 11'!G878*$AC$1</f>
        <v>0</v>
      </c>
      <c r="AD878" s="133">
        <f>'Optional Adjustment 12'!G878*$AD$1</f>
        <v>0</v>
      </c>
      <c r="AE878" s="133">
        <f>'Optional Adjustment 13'!G878*$AE$1</f>
        <v>0</v>
      </c>
      <c r="AF878" s="133">
        <f>'Optional Adjustment 14'!G878*$AF$1</f>
        <v>0</v>
      </c>
      <c r="AG878" s="133">
        <f>'Optional Adjustment 15'!G878*$AG$1</f>
        <v>0</v>
      </c>
      <c r="AH878" s="133">
        <f>'Optional Adjustment 16'!G878*$AH$1</f>
        <v>0</v>
      </c>
      <c r="AI878" s="133">
        <f>'Optional Adjustment 17'!G878*$AI$1</f>
        <v>0</v>
      </c>
      <c r="AJ878" s="133">
        <f>'Optional Adjustment 18'!G878*$AJ$1</f>
        <v>0</v>
      </c>
      <c r="AK878" s="133">
        <f>'Optional Adjustment 19'!G878*$AK$1</f>
        <v>0</v>
      </c>
      <c r="AL878" s="133">
        <f>'Optional Adjustment 20'!G878*$AL$1</f>
        <v>0</v>
      </c>
      <c r="AM878" s="133">
        <f>'Optional Adjustment 21'!G878*$AM$1</f>
        <v>0</v>
      </c>
      <c r="AN878" s="133">
        <f>'Optional Adjustment 22'!G878*$AN$1</f>
        <v>0</v>
      </c>
      <c r="AO878" s="133">
        <f>'Optional Adjustment 23'!G878*$AO$1</f>
        <v>0</v>
      </c>
      <c r="AP878" s="133">
        <f>'Optional Adjustment 24'!G878*$AP$1</f>
        <v>0</v>
      </c>
      <c r="AQ878" s="133">
        <f>'Optional Adjustment 25'!G878*$AQ$1</f>
        <v>0</v>
      </c>
      <c r="AR878" s="133">
        <f>'Optional Adjustment 26'!G878*$AR$1</f>
        <v>0</v>
      </c>
      <c r="AS878" s="133">
        <f>'Optional Adjustment 27'!G878*$AS$1</f>
        <v>0</v>
      </c>
      <c r="AT878" s="133"/>
      <c r="AU878" s="133">
        <f>SUM(F878:AT878)</f>
        <v>22225.11953280028</v>
      </c>
      <c r="AV878" s="116"/>
      <c r="AW878" s="133">
        <f>SUM(AU878:AU878)</f>
        <v>22225.11953280028</v>
      </c>
      <c r="AX878" s="133">
        <f>+AW878-'ROR-Model'!G889</f>
        <v>0</v>
      </c>
    </row>
    <row r="879" spans="1:50">
      <c r="A879" s="134"/>
      <c r="B879" s="106"/>
      <c r="C879" s="106" t="s">
        <v>24</v>
      </c>
      <c r="D879" s="106"/>
      <c r="E879" s="331"/>
      <c r="F879" s="116"/>
      <c r="G879" s="116">
        <f>$G$1*EXPENSES!L372</f>
        <v>727.31287679999878</v>
      </c>
      <c r="H879" s="116"/>
      <c r="I879" s="116"/>
      <c r="J879" s="116"/>
      <c r="K879" s="116"/>
      <c r="L879" s="116"/>
      <c r="M879" s="116"/>
      <c r="N879" s="116"/>
      <c r="O879" s="116"/>
      <c r="P879" s="116"/>
      <c r="Q879" s="133"/>
      <c r="R879" s="133"/>
      <c r="S879" s="133"/>
      <c r="T879" s="133">
        <f>'Optional Adjustment 2'!G879*$T$1</f>
        <v>0</v>
      </c>
      <c r="U879" s="133">
        <f>'Optional Adjustment 3'!G879*$U$1</f>
        <v>0</v>
      </c>
      <c r="V879" s="133">
        <f>'Optional Adjustment 4'!G879*$V$1</f>
        <v>0</v>
      </c>
      <c r="W879" s="133">
        <f>'Optional Adjustment 5'!G879*$W$1</f>
        <v>0</v>
      </c>
      <c r="X879" s="133">
        <f>'Optional Adjustment 6'!G879*$X$1</f>
        <v>0</v>
      </c>
      <c r="Y879" s="133">
        <f>'Optional Adjustment 7'!G879*$Y$1</f>
        <v>0</v>
      </c>
      <c r="Z879" s="133">
        <f>'Optional Adjustment 8'!G879*$Z$1</f>
        <v>0</v>
      </c>
      <c r="AA879" s="133">
        <f>'Optional Adjustment 9'!G879*$AA$1</f>
        <v>0</v>
      </c>
      <c r="AB879" s="133">
        <f>'Optional Adjustment 10'!G879*$AB$1</f>
        <v>0</v>
      </c>
      <c r="AC879" s="133">
        <f>'Optional Adjustment 11'!G879*$AC$1</f>
        <v>0</v>
      </c>
      <c r="AD879" s="133">
        <f>'Optional Adjustment 12'!G879*$AD$1</f>
        <v>0</v>
      </c>
      <c r="AE879" s="133">
        <f>'Optional Adjustment 13'!G879*$AE$1</f>
        <v>0</v>
      </c>
      <c r="AF879" s="133">
        <f>'Optional Adjustment 14'!G879*$AF$1</f>
        <v>0</v>
      </c>
      <c r="AG879" s="133">
        <f>'Optional Adjustment 15'!G879*$AG$1</f>
        <v>0</v>
      </c>
      <c r="AH879" s="133">
        <f>'Optional Adjustment 16'!G879*$AH$1</f>
        <v>0</v>
      </c>
      <c r="AI879" s="133">
        <f>'Optional Adjustment 17'!G879*$AI$1</f>
        <v>0</v>
      </c>
      <c r="AJ879" s="133">
        <f>'Optional Adjustment 18'!G879*$AJ$1</f>
        <v>0</v>
      </c>
      <c r="AK879" s="133">
        <f>'Optional Adjustment 19'!G879*$AK$1</f>
        <v>0</v>
      </c>
      <c r="AL879" s="133">
        <f>'Optional Adjustment 20'!G879*$AL$1</f>
        <v>0</v>
      </c>
      <c r="AM879" s="133">
        <f>'Optional Adjustment 21'!G879*$AM$1</f>
        <v>0</v>
      </c>
      <c r="AN879" s="133">
        <f>'Optional Adjustment 22'!G879*$AN$1</f>
        <v>0</v>
      </c>
      <c r="AO879" s="133">
        <f>'Optional Adjustment 23'!G879*$AO$1</f>
        <v>0</v>
      </c>
      <c r="AP879" s="133">
        <f>'Optional Adjustment 24'!G879*$AP$1</f>
        <v>0</v>
      </c>
      <c r="AQ879" s="133">
        <f>'Optional Adjustment 25'!G879*$AQ$1</f>
        <v>0</v>
      </c>
      <c r="AR879" s="133">
        <f>'Optional Adjustment 26'!G879*$AR$1</f>
        <v>0</v>
      </c>
      <c r="AS879" s="133">
        <f>'Optional Adjustment 27'!G879*$AS$1</f>
        <v>0</v>
      </c>
      <c r="AT879" s="133"/>
      <c r="AU879" s="133">
        <f>SUM(F879:AT879)</f>
        <v>727.31287679999878</v>
      </c>
      <c r="AV879" s="116"/>
      <c r="AW879" s="133">
        <f>SUM(AU879:AU879)</f>
        <v>727.31287679999878</v>
      </c>
      <c r="AX879" s="133">
        <f>+AW879-'ROR-Model'!G890</f>
        <v>0</v>
      </c>
    </row>
    <row r="880" spans="1:50">
      <c r="A880" s="134"/>
      <c r="B880" s="106"/>
      <c r="C880" s="106" t="s">
        <v>170</v>
      </c>
      <c r="D880" s="106"/>
      <c r="E880" s="331"/>
      <c r="F880" s="131">
        <f>SUM(F878:F879)</f>
        <v>0</v>
      </c>
      <c r="G880" s="131">
        <f>SUM(G878:G879)</f>
        <v>22952.432409600278</v>
      </c>
      <c r="H880" s="131">
        <f>H1*SUM(H878:H879)</f>
        <v>0</v>
      </c>
      <c r="I880" s="131">
        <f>SUM(I878:I879)</f>
        <v>0</v>
      </c>
      <c r="J880" s="131">
        <f t="shared" ref="J880:P880" si="1104">SUM(J878:J879)</f>
        <v>0</v>
      </c>
      <c r="K880" s="131">
        <f t="shared" si="1104"/>
        <v>0</v>
      </c>
      <c r="L880" s="131">
        <f t="shared" si="1104"/>
        <v>0</v>
      </c>
      <c r="M880" s="131">
        <f t="shared" si="1104"/>
        <v>0</v>
      </c>
      <c r="N880" s="131">
        <f t="shared" si="1104"/>
        <v>0</v>
      </c>
      <c r="O880" s="131">
        <f t="shared" si="1104"/>
        <v>0</v>
      </c>
      <c r="P880" s="131">
        <f t="shared" si="1104"/>
        <v>0</v>
      </c>
      <c r="Q880" s="241">
        <f>SUM(Q878:Q879)</f>
        <v>0</v>
      </c>
      <c r="R880" s="241">
        <f>SUM(R878:R879)</f>
        <v>0</v>
      </c>
      <c r="S880" s="556">
        <f t="shared" ref="S880:AG880" si="1105">SUM(S878:S879)</f>
        <v>0</v>
      </c>
      <c r="T880" s="556">
        <f t="shared" si="1105"/>
        <v>0</v>
      </c>
      <c r="U880" s="556">
        <f t="shared" si="1105"/>
        <v>0</v>
      </c>
      <c r="V880" s="556">
        <f t="shared" si="1105"/>
        <v>0</v>
      </c>
      <c r="W880" s="556">
        <f t="shared" si="1105"/>
        <v>0</v>
      </c>
      <c r="X880" s="556">
        <f t="shared" si="1105"/>
        <v>0</v>
      </c>
      <c r="Y880" s="556">
        <f t="shared" si="1105"/>
        <v>0</v>
      </c>
      <c r="Z880" s="556">
        <f t="shared" si="1105"/>
        <v>0</v>
      </c>
      <c r="AA880" s="556">
        <f t="shared" si="1105"/>
        <v>0</v>
      </c>
      <c r="AB880" s="556">
        <f t="shared" si="1105"/>
        <v>0</v>
      </c>
      <c r="AC880" s="556">
        <f t="shared" si="1105"/>
        <v>0</v>
      </c>
      <c r="AD880" s="556">
        <f t="shared" si="1105"/>
        <v>0</v>
      </c>
      <c r="AE880" s="556">
        <f t="shared" si="1105"/>
        <v>0</v>
      </c>
      <c r="AF880" s="556">
        <f t="shared" si="1105"/>
        <v>0</v>
      </c>
      <c r="AG880" s="556">
        <f t="shared" si="1105"/>
        <v>0</v>
      </c>
      <c r="AH880" s="556">
        <f t="shared" ref="AH880:AK880" si="1106">SUM(AH878:AH879)</f>
        <v>0</v>
      </c>
      <c r="AI880" s="556">
        <f t="shared" si="1106"/>
        <v>0</v>
      </c>
      <c r="AJ880" s="556">
        <f t="shared" si="1106"/>
        <v>0</v>
      </c>
      <c r="AK880" s="556">
        <f t="shared" si="1106"/>
        <v>0</v>
      </c>
      <c r="AL880" s="556">
        <f t="shared" ref="AL880:AP880" si="1107">SUM(AL878:AL879)</f>
        <v>0</v>
      </c>
      <c r="AM880" s="556">
        <f t="shared" si="1107"/>
        <v>0</v>
      </c>
      <c r="AN880" s="556">
        <f t="shared" si="1107"/>
        <v>0</v>
      </c>
      <c r="AO880" s="556">
        <f t="shared" si="1107"/>
        <v>0</v>
      </c>
      <c r="AP880" s="556">
        <f t="shared" si="1107"/>
        <v>0</v>
      </c>
      <c r="AQ880" s="556">
        <f t="shared" ref="AQ880:AS880" si="1108">SUM(AQ878:AQ879)</f>
        <v>0</v>
      </c>
      <c r="AR880" s="556">
        <f t="shared" si="1108"/>
        <v>0</v>
      </c>
      <c r="AS880" s="556">
        <f t="shared" si="1108"/>
        <v>0</v>
      </c>
      <c r="AT880" s="556"/>
      <c r="AU880" s="241">
        <f>SUM(F880:AT880)</f>
        <v>22952.432409600278</v>
      </c>
      <c r="AV880" s="131"/>
      <c r="AW880" s="241">
        <f>SUM(AU880:AU880)</f>
        <v>22952.432409600278</v>
      </c>
      <c r="AX880" s="241">
        <f>+AW880-'ROR-Model'!G891</f>
        <v>0</v>
      </c>
    </row>
    <row r="881" spans="1:50">
      <c r="A881" s="134">
        <v>935</v>
      </c>
      <c r="B881" s="106" t="s">
        <v>436</v>
      </c>
      <c r="C881" s="106"/>
      <c r="D881" s="106"/>
      <c r="E881" s="331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16"/>
      <c r="AW881" s="133"/>
      <c r="AX881" s="133">
        <f>+AW881-'ROR-Model'!G882</f>
        <v>0</v>
      </c>
    </row>
    <row r="882" spans="1:50">
      <c r="A882" s="134"/>
      <c r="B882" s="106"/>
      <c r="C882" s="106" t="s">
        <v>14</v>
      </c>
      <c r="D882" s="106"/>
      <c r="E882" s="331"/>
      <c r="F882" s="116"/>
      <c r="G882" s="116">
        <f>$G$1*EXPENSES!L375</f>
        <v>0</v>
      </c>
      <c r="H882" s="116"/>
      <c r="I882" s="116"/>
      <c r="J882" s="116"/>
      <c r="K882" s="116"/>
      <c r="L882" s="116"/>
      <c r="M882" s="116"/>
      <c r="N882" s="116"/>
      <c r="O882" s="116"/>
      <c r="P882" s="116"/>
      <c r="Q882" s="133"/>
      <c r="R882" s="133"/>
      <c r="S882" s="133"/>
      <c r="T882" s="133">
        <f>'Optional Adjustment 2'!G882*$T$1</f>
        <v>0</v>
      </c>
      <c r="U882" s="133">
        <f>'Optional Adjustment 3'!G882*$U$1</f>
        <v>0</v>
      </c>
      <c r="V882" s="133">
        <f>'Optional Adjustment 4'!G882*$V$1</f>
        <v>0</v>
      </c>
      <c r="W882" s="133">
        <f>'Optional Adjustment 5'!G882*$W$1</f>
        <v>0</v>
      </c>
      <c r="X882" s="133">
        <f>'Optional Adjustment 6'!G882*$X$1</f>
        <v>0</v>
      </c>
      <c r="Y882" s="133">
        <f>'Optional Adjustment 7'!G882*$Y$1</f>
        <v>0</v>
      </c>
      <c r="Z882" s="133">
        <f>'Optional Adjustment 8'!G882*$Z$1</f>
        <v>0</v>
      </c>
      <c r="AA882" s="133">
        <f>'Optional Adjustment 9'!G882*$AA$1</f>
        <v>0</v>
      </c>
      <c r="AB882" s="133">
        <f>'Optional Adjustment 10'!G882*$AB$1</f>
        <v>0</v>
      </c>
      <c r="AC882" s="133">
        <f>'Optional Adjustment 11'!G882*$AC$1</f>
        <v>0</v>
      </c>
      <c r="AD882" s="133">
        <f>'Optional Adjustment 12'!G882*$AD$1</f>
        <v>0</v>
      </c>
      <c r="AE882" s="133">
        <f>'Optional Adjustment 13'!G882*$AE$1</f>
        <v>0</v>
      </c>
      <c r="AF882" s="133">
        <f>'Optional Adjustment 14'!G882*$AF$1</f>
        <v>0</v>
      </c>
      <c r="AG882" s="133">
        <f>'Optional Adjustment 15'!G882*$AG$1</f>
        <v>0</v>
      </c>
      <c r="AH882" s="133">
        <f>'Optional Adjustment 16'!G882*$AH$1</f>
        <v>0</v>
      </c>
      <c r="AI882" s="133">
        <f>'Optional Adjustment 17'!G882*$AI$1</f>
        <v>0</v>
      </c>
      <c r="AJ882" s="133">
        <f>'Optional Adjustment 18'!G882*$AJ$1</f>
        <v>0</v>
      </c>
      <c r="AK882" s="133">
        <f>'Optional Adjustment 19'!G882*$AK$1</f>
        <v>0</v>
      </c>
      <c r="AL882" s="133">
        <f>'Optional Adjustment 20'!G882*$AL$1</f>
        <v>0</v>
      </c>
      <c r="AM882" s="133">
        <f>'Optional Adjustment 21'!G882*$AM$1</f>
        <v>0</v>
      </c>
      <c r="AN882" s="133">
        <f>'Optional Adjustment 22'!G882*$AN$1</f>
        <v>0</v>
      </c>
      <c r="AO882" s="133">
        <f>'Optional Adjustment 23'!G882*$AO$1</f>
        <v>0</v>
      </c>
      <c r="AP882" s="133">
        <f>'Optional Adjustment 24'!G882*$AP$1</f>
        <v>0</v>
      </c>
      <c r="AQ882" s="133">
        <f>'Optional Adjustment 25'!G882*$AQ$1</f>
        <v>0</v>
      </c>
      <c r="AR882" s="133">
        <f>'Optional Adjustment 26'!G882*$AR$1</f>
        <v>0</v>
      </c>
      <c r="AS882" s="133">
        <f>'Optional Adjustment 27'!G882*$AS$1</f>
        <v>0</v>
      </c>
      <c r="AT882" s="133"/>
      <c r="AU882" s="133">
        <f>SUM(F882:AT882)</f>
        <v>0</v>
      </c>
      <c r="AV882" s="116"/>
      <c r="AW882" s="133">
        <f>SUM(AU882:AU882)</f>
        <v>0</v>
      </c>
      <c r="AX882" s="133">
        <f>+AW882-'ROR-Model'!G894</f>
        <v>0</v>
      </c>
    </row>
    <row r="883" spans="1:50">
      <c r="A883" s="134"/>
      <c r="B883" s="106"/>
      <c r="C883" s="106" t="s">
        <v>24</v>
      </c>
      <c r="D883" s="106"/>
      <c r="E883" s="331"/>
      <c r="F883" s="116"/>
      <c r="G883" s="116">
        <f>$G$1*EXPENSES!L376</f>
        <v>0</v>
      </c>
      <c r="H883" s="116"/>
      <c r="I883" s="116"/>
      <c r="J883" s="116"/>
      <c r="K883" s="116"/>
      <c r="L883" s="116"/>
      <c r="M883" s="116"/>
      <c r="N883" s="116"/>
      <c r="O883" s="116"/>
      <c r="P883" s="116"/>
      <c r="Q883" s="133"/>
      <c r="R883" s="133"/>
      <c r="S883" s="133"/>
      <c r="T883" s="133">
        <f>'Optional Adjustment 2'!G883*$T$1</f>
        <v>0</v>
      </c>
      <c r="U883" s="133">
        <f>'Optional Adjustment 3'!G883*$U$1</f>
        <v>0</v>
      </c>
      <c r="V883" s="133">
        <f>'Optional Adjustment 4'!G883*$V$1</f>
        <v>0</v>
      </c>
      <c r="W883" s="133">
        <f>'Optional Adjustment 5'!G883*$W$1</f>
        <v>0</v>
      </c>
      <c r="X883" s="133">
        <f>'Optional Adjustment 6'!G883*$X$1</f>
        <v>0</v>
      </c>
      <c r="Y883" s="133">
        <f>'Optional Adjustment 7'!G883*$Y$1</f>
        <v>0</v>
      </c>
      <c r="Z883" s="133">
        <f>'Optional Adjustment 8'!G883*$Z$1</f>
        <v>0</v>
      </c>
      <c r="AA883" s="133">
        <f>'Optional Adjustment 9'!G883*$AA$1</f>
        <v>0</v>
      </c>
      <c r="AB883" s="133">
        <f>'Optional Adjustment 10'!G883*$AB$1</f>
        <v>0</v>
      </c>
      <c r="AC883" s="133">
        <f>'Optional Adjustment 11'!G883*$AC$1</f>
        <v>0</v>
      </c>
      <c r="AD883" s="133">
        <f>'Optional Adjustment 12'!G883*$AD$1</f>
        <v>0</v>
      </c>
      <c r="AE883" s="133">
        <f>'Optional Adjustment 13'!G883*$AE$1</f>
        <v>0</v>
      </c>
      <c r="AF883" s="133">
        <f>'Optional Adjustment 14'!G883*$AF$1</f>
        <v>0</v>
      </c>
      <c r="AG883" s="133">
        <f>'Optional Adjustment 15'!G883*$AG$1</f>
        <v>0</v>
      </c>
      <c r="AH883" s="133">
        <f>'Optional Adjustment 16'!G883*$AH$1</f>
        <v>0</v>
      </c>
      <c r="AI883" s="133">
        <f>'Optional Adjustment 17'!G883*$AI$1</f>
        <v>0</v>
      </c>
      <c r="AJ883" s="133">
        <f>'Optional Adjustment 18'!G883*$AJ$1</f>
        <v>0</v>
      </c>
      <c r="AK883" s="133">
        <f>'Optional Adjustment 19'!G883*$AK$1</f>
        <v>0</v>
      </c>
      <c r="AL883" s="133">
        <f>'Optional Adjustment 20'!G883*$AL$1</f>
        <v>0</v>
      </c>
      <c r="AM883" s="133">
        <f>'Optional Adjustment 21'!G883*$AM$1</f>
        <v>0</v>
      </c>
      <c r="AN883" s="133">
        <f>'Optional Adjustment 22'!G883*$AN$1</f>
        <v>0</v>
      </c>
      <c r="AO883" s="133">
        <f>'Optional Adjustment 23'!G883*$AO$1</f>
        <v>0</v>
      </c>
      <c r="AP883" s="133">
        <f>'Optional Adjustment 24'!G883*$AP$1</f>
        <v>0</v>
      </c>
      <c r="AQ883" s="133">
        <f>'Optional Adjustment 25'!G883*$AQ$1</f>
        <v>0</v>
      </c>
      <c r="AR883" s="133">
        <f>'Optional Adjustment 26'!G883*$AR$1</f>
        <v>0</v>
      </c>
      <c r="AS883" s="133">
        <f>'Optional Adjustment 27'!G883*$AS$1</f>
        <v>0</v>
      </c>
      <c r="AT883" s="133"/>
      <c r="AU883" s="133">
        <f>SUM(F883:AT883)</f>
        <v>0</v>
      </c>
      <c r="AV883" s="116"/>
      <c r="AW883" s="133">
        <f>SUM(AU883:AU883)</f>
        <v>0</v>
      </c>
      <c r="AX883" s="133">
        <f>+AW883-'ROR-Model'!G895</f>
        <v>0</v>
      </c>
    </row>
    <row r="884" spans="1:50">
      <c r="A884" s="134"/>
      <c r="B884" s="106"/>
      <c r="C884" s="106" t="s">
        <v>170</v>
      </c>
      <c r="D884" s="106"/>
      <c r="E884" s="331"/>
      <c r="F884" s="131">
        <f>SUM(F882:F883)</f>
        <v>0</v>
      </c>
      <c r="G884" s="131">
        <f>SUM(G882:G883)</f>
        <v>0</v>
      </c>
      <c r="H884" s="131">
        <f>H1*SUM(H882:H883)</f>
        <v>0</v>
      </c>
      <c r="I884" s="131">
        <f>SUM(I882:I883)</f>
        <v>0</v>
      </c>
      <c r="J884" s="131">
        <f t="shared" ref="J884:P884" si="1109">SUM(J882:J883)</f>
        <v>0</v>
      </c>
      <c r="K884" s="131">
        <f t="shared" si="1109"/>
        <v>0</v>
      </c>
      <c r="L884" s="131">
        <f t="shared" si="1109"/>
        <v>0</v>
      </c>
      <c r="M884" s="131">
        <f t="shared" si="1109"/>
        <v>0</v>
      </c>
      <c r="N884" s="131">
        <f t="shared" si="1109"/>
        <v>0</v>
      </c>
      <c r="O884" s="131">
        <f t="shared" si="1109"/>
        <v>0</v>
      </c>
      <c r="P884" s="131">
        <f t="shared" si="1109"/>
        <v>0</v>
      </c>
      <c r="Q884" s="241">
        <f>SUM(Q882:Q883)</f>
        <v>0</v>
      </c>
      <c r="R884" s="241">
        <f>SUM(R882:R883)</f>
        <v>0</v>
      </c>
      <c r="S884" s="556">
        <f t="shared" ref="S884:AG884" si="1110">SUM(S882:S883)</f>
        <v>0</v>
      </c>
      <c r="T884" s="556">
        <f t="shared" si="1110"/>
        <v>0</v>
      </c>
      <c r="U884" s="556">
        <f t="shared" si="1110"/>
        <v>0</v>
      </c>
      <c r="V884" s="556">
        <f t="shared" si="1110"/>
        <v>0</v>
      </c>
      <c r="W884" s="556">
        <f t="shared" si="1110"/>
        <v>0</v>
      </c>
      <c r="X884" s="556">
        <f t="shared" si="1110"/>
        <v>0</v>
      </c>
      <c r="Y884" s="556">
        <f t="shared" si="1110"/>
        <v>0</v>
      </c>
      <c r="Z884" s="556">
        <f t="shared" si="1110"/>
        <v>0</v>
      </c>
      <c r="AA884" s="556">
        <f t="shared" si="1110"/>
        <v>0</v>
      </c>
      <c r="AB884" s="556">
        <f t="shared" si="1110"/>
        <v>0</v>
      </c>
      <c r="AC884" s="556">
        <f t="shared" si="1110"/>
        <v>0</v>
      </c>
      <c r="AD884" s="556">
        <f t="shared" si="1110"/>
        <v>0</v>
      </c>
      <c r="AE884" s="556">
        <f t="shared" si="1110"/>
        <v>0</v>
      </c>
      <c r="AF884" s="556">
        <f t="shared" si="1110"/>
        <v>0</v>
      </c>
      <c r="AG884" s="556">
        <f t="shared" si="1110"/>
        <v>0</v>
      </c>
      <c r="AH884" s="556">
        <f t="shared" ref="AH884:AK884" si="1111">SUM(AH882:AH883)</f>
        <v>0</v>
      </c>
      <c r="AI884" s="556">
        <f t="shared" si="1111"/>
        <v>0</v>
      </c>
      <c r="AJ884" s="556">
        <f t="shared" si="1111"/>
        <v>0</v>
      </c>
      <c r="AK884" s="556">
        <f t="shared" si="1111"/>
        <v>0</v>
      </c>
      <c r="AL884" s="556">
        <f t="shared" ref="AL884:AP884" si="1112">SUM(AL882:AL883)</f>
        <v>0</v>
      </c>
      <c r="AM884" s="556">
        <f t="shared" si="1112"/>
        <v>0</v>
      </c>
      <c r="AN884" s="556">
        <f t="shared" si="1112"/>
        <v>0</v>
      </c>
      <c r="AO884" s="556">
        <f t="shared" si="1112"/>
        <v>0</v>
      </c>
      <c r="AP884" s="556">
        <f t="shared" si="1112"/>
        <v>0</v>
      </c>
      <c r="AQ884" s="556">
        <f t="shared" ref="AQ884:AS884" si="1113">SUM(AQ882:AQ883)</f>
        <v>0</v>
      </c>
      <c r="AR884" s="556">
        <f t="shared" si="1113"/>
        <v>0</v>
      </c>
      <c r="AS884" s="556">
        <f t="shared" si="1113"/>
        <v>0</v>
      </c>
      <c r="AT884" s="556"/>
      <c r="AU884" s="241">
        <f>SUM(F884:AT884)</f>
        <v>0</v>
      </c>
      <c r="AV884" s="131"/>
      <c r="AW884" s="241">
        <f>SUM(AU884:AU884)</f>
        <v>0</v>
      </c>
      <c r="AX884" s="241">
        <f>+AW884-'ROR-Model'!G896</f>
        <v>0</v>
      </c>
    </row>
    <row r="885" spans="1:50">
      <c r="A885" s="59" t="s">
        <v>831</v>
      </c>
      <c r="B885" s="106"/>
      <c r="C885" s="106"/>
      <c r="D885" s="106"/>
      <c r="E885" s="331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16"/>
      <c r="AW885" s="133"/>
      <c r="AX885" s="133">
        <f>+AW885-'ROR-Model'!G897</f>
        <v>0</v>
      </c>
    </row>
    <row r="886" spans="1:50">
      <c r="A886" s="134"/>
      <c r="B886" s="231" t="s">
        <v>829</v>
      </c>
      <c r="C886" s="106"/>
      <c r="D886" s="106"/>
      <c r="E886" s="331"/>
      <c r="F886" s="116">
        <f t="shared" ref="F886:G887" si="1114">F838+F842+F846+F850+F854+F858+F862+F866+F870+F874+F878+F882</f>
        <v>0</v>
      </c>
      <c r="G886" s="116">
        <f t="shared" si="1114"/>
        <v>-824444.40735383052</v>
      </c>
      <c r="H886" s="116">
        <f>H1*H838+H842+H846+H850+H854+H858+H862+H866+H870+H874+H878+H882</f>
        <v>0</v>
      </c>
      <c r="I886" s="116">
        <f>I838+I842+I846+I850+I854+I858+I862+I866+I870+I874+I878+I882</f>
        <v>0</v>
      </c>
      <c r="J886" s="116">
        <f t="shared" ref="J886:P887" si="1115">J838+J842+J846+J850+J854+J858+J862+J866+J870+J874+J878+J882</f>
        <v>0</v>
      </c>
      <c r="K886" s="116">
        <f t="shared" si="1115"/>
        <v>0</v>
      </c>
      <c r="L886" s="116">
        <f t="shared" si="1115"/>
        <v>0</v>
      </c>
      <c r="M886" s="116">
        <f t="shared" ca="1" si="1115"/>
        <v>-880051.2619779529</v>
      </c>
      <c r="N886" s="116">
        <f t="shared" ca="1" si="1115"/>
        <v>0</v>
      </c>
      <c r="O886" s="116">
        <f t="shared" si="1115"/>
        <v>0</v>
      </c>
      <c r="P886" s="116">
        <f t="shared" ca="1" si="1115"/>
        <v>-185630.03059812737</v>
      </c>
      <c r="Q886" s="133">
        <f ca="1">Q838+Q842+Q846+Q850+Q854+Q858+Q862+Q866+Q870+Q874+Q878+Q882</f>
        <v>142817.69741985697</v>
      </c>
      <c r="R886" s="133">
        <f>R838+R842+R846+R850+R854+R858+R862+R866+R870+R874+R878+R882</f>
        <v>14051210.844448946</v>
      </c>
      <c r="S886" s="133">
        <f t="shared" ref="S886:T886" si="1116">S838+S842+S846+S850+S854+S858+S862+S866+S870+S874+S878+S882</f>
        <v>0</v>
      </c>
      <c r="T886" s="133">
        <f t="shared" si="1116"/>
        <v>0</v>
      </c>
      <c r="U886" s="133">
        <f t="shared" ref="U886:W886" si="1117">U838+U842+U846+U850+U854+U858+U862+U866+U870+U874+U878+U882</f>
        <v>0</v>
      </c>
      <c r="V886" s="133">
        <f t="shared" ref="V886" si="1118">V838+V842+V846+V850+V854+V858+V862+V866+V870+V874+V878+V882</f>
        <v>0</v>
      </c>
      <c r="W886" s="133">
        <f t="shared" si="1117"/>
        <v>0</v>
      </c>
      <c r="X886" s="133">
        <f t="shared" ref="X886:AG886" si="1119">X838+X842+X846+X850+X854+X858+X862+X866+X870+X874+X878+X882</f>
        <v>0</v>
      </c>
      <c r="Y886" s="133">
        <f t="shared" si="1119"/>
        <v>0</v>
      </c>
      <c r="Z886" s="133">
        <f t="shared" si="1119"/>
        <v>0</v>
      </c>
      <c r="AA886" s="133">
        <f t="shared" si="1119"/>
        <v>0</v>
      </c>
      <c r="AB886" s="133">
        <f t="shared" si="1119"/>
        <v>0</v>
      </c>
      <c r="AC886" s="133">
        <f t="shared" si="1119"/>
        <v>0</v>
      </c>
      <c r="AD886" s="133">
        <f t="shared" si="1119"/>
        <v>0</v>
      </c>
      <c r="AE886" s="133">
        <f t="shared" si="1119"/>
        <v>0</v>
      </c>
      <c r="AF886" s="133">
        <f t="shared" si="1119"/>
        <v>0</v>
      </c>
      <c r="AG886" s="133">
        <f t="shared" si="1119"/>
        <v>0</v>
      </c>
      <c r="AH886" s="133">
        <f t="shared" ref="AH886:AK886" si="1120">AH838+AH842+AH846+AH850+AH854+AH858+AH862+AH866+AH870+AH874+AH878+AH882</f>
        <v>0</v>
      </c>
      <c r="AI886" s="133">
        <f t="shared" si="1120"/>
        <v>0</v>
      </c>
      <c r="AJ886" s="133">
        <f t="shared" si="1120"/>
        <v>0</v>
      </c>
      <c r="AK886" s="133">
        <f t="shared" si="1120"/>
        <v>0</v>
      </c>
      <c r="AL886" s="133">
        <f t="shared" ref="AL886:AP886" si="1121">AL838+AL842+AL846+AL850+AL854+AL858+AL862+AL866+AL870+AL874+AL878+AL882</f>
        <v>0</v>
      </c>
      <c r="AM886" s="133">
        <f t="shared" si="1121"/>
        <v>0</v>
      </c>
      <c r="AN886" s="133">
        <f t="shared" si="1121"/>
        <v>0</v>
      </c>
      <c r="AO886" s="133">
        <f t="shared" si="1121"/>
        <v>0</v>
      </c>
      <c r="AP886" s="133">
        <f t="shared" si="1121"/>
        <v>0</v>
      </c>
      <c r="AQ886" s="133">
        <f t="shared" ref="AQ886:AT886" si="1122">AQ838+AQ842+AQ846+AQ850+AQ854+AQ858+AQ862+AQ866+AQ870+AQ874+AQ878+AQ882</f>
        <v>0</v>
      </c>
      <c r="AR886" s="133">
        <f t="shared" si="1122"/>
        <v>0</v>
      </c>
      <c r="AS886" s="133">
        <f t="shared" si="1122"/>
        <v>0</v>
      </c>
      <c r="AT886" s="133">
        <f t="shared" si="1122"/>
        <v>0</v>
      </c>
      <c r="AU886" s="133">
        <f ca="1">SUM(F886:AT886)</f>
        <v>12303902.841938892</v>
      </c>
      <c r="AV886" s="116"/>
      <c r="AW886" s="133">
        <f ca="1">SUM(AU886:AU886)</f>
        <v>12303902.841938892</v>
      </c>
      <c r="AX886" s="133">
        <f ca="1">+AW886-'ROR-Model'!G899</f>
        <v>0</v>
      </c>
    </row>
    <row r="887" spans="1:50">
      <c r="A887" s="134"/>
      <c r="B887" s="231" t="s">
        <v>830</v>
      </c>
      <c r="C887" s="106"/>
      <c r="D887" s="106"/>
      <c r="E887" s="331"/>
      <c r="F887" s="116">
        <f t="shared" si="1114"/>
        <v>0</v>
      </c>
      <c r="G887" s="116">
        <f t="shared" si="1114"/>
        <v>41999.378907233011</v>
      </c>
      <c r="H887" s="116">
        <f>H1*H839+H843+H847+H851+H855+H859+H863+H867+H871+H875+H879+H883</f>
        <v>0</v>
      </c>
      <c r="I887" s="116">
        <f>I839+I843+I847+I851+I855+I859+I863+I867+I871+I875+I879+I883</f>
        <v>0</v>
      </c>
      <c r="J887" s="116">
        <f t="shared" si="1115"/>
        <v>0</v>
      </c>
      <c r="K887" s="116">
        <f t="shared" si="1115"/>
        <v>0</v>
      </c>
      <c r="L887" s="116">
        <f t="shared" si="1115"/>
        <v>0</v>
      </c>
      <c r="M887" s="116">
        <f t="shared" ca="1" si="1115"/>
        <v>-29539.617514173584</v>
      </c>
      <c r="N887" s="116">
        <f t="shared" ca="1" si="1115"/>
        <v>0</v>
      </c>
      <c r="O887" s="116">
        <f t="shared" si="1115"/>
        <v>0</v>
      </c>
      <c r="P887" s="116">
        <f t="shared" ca="1" si="1115"/>
        <v>-6230.8189760318674</v>
      </c>
      <c r="Q887" s="133">
        <f ca="1">Q839+Q843+Q847+Q851+Q855+Q859+Q863+Q867+Q871+Q875+Q879+Q883</f>
        <v>4793.7891101430405</v>
      </c>
      <c r="R887" s="133">
        <f>R839+R843+R847+R851+R855+R859+R863+R867+R871+R875+R879+R883</f>
        <v>558967.74898864795</v>
      </c>
      <c r="S887" s="133">
        <f t="shared" ref="S887:T887" si="1123">S839+S843+S847+S851+S855+S859+S863+S867+S871+S875+S879+S883</f>
        <v>0</v>
      </c>
      <c r="T887" s="133">
        <f t="shared" si="1123"/>
        <v>0</v>
      </c>
      <c r="U887" s="133">
        <f t="shared" ref="U887:W887" si="1124">U839+U843+U847+U851+U855+U859+U863+U867+U871+U875+U879+U883</f>
        <v>0</v>
      </c>
      <c r="V887" s="133">
        <f t="shared" ref="V887" si="1125">V839+V843+V847+V851+V855+V859+V863+V867+V871+V875+V879+V883</f>
        <v>0</v>
      </c>
      <c r="W887" s="133">
        <f t="shared" si="1124"/>
        <v>0</v>
      </c>
      <c r="X887" s="133">
        <f t="shared" ref="X887:AG887" si="1126">X839+X843+X847+X851+X855+X859+X863+X867+X871+X875+X879+X883</f>
        <v>0</v>
      </c>
      <c r="Y887" s="133">
        <f t="shared" si="1126"/>
        <v>0</v>
      </c>
      <c r="Z887" s="133">
        <f t="shared" si="1126"/>
        <v>0</v>
      </c>
      <c r="AA887" s="133">
        <f t="shared" si="1126"/>
        <v>0</v>
      </c>
      <c r="AB887" s="133">
        <f t="shared" si="1126"/>
        <v>0</v>
      </c>
      <c r="AC887" s="133">
        <f t="shared" si="1126"/>
        <v>0</v>
      </c>
      <c r="AD887" s="133">
        <f t="shared" si="1126"/>
        <v>0</v>
      </c>
      <c r="AE887" s="133">
        <f t="shared" si="1126"/>
        <v>0</v>
      </c>
      <c r="AF887" s="133">
        <f t="shared" si="1126"/>
        <v>0</v>
      </c>
      <c r="AG887" s="133">
        <f t="shared" si="1126"/>
        <v>0</v>
      </c>
      <c r="AH887" s="133">
        <f t="shared" ref="AH887:AK887" si="1127">AH839+AH843+AH847+AH851+AH855+AH859+AH863+AH867+AH871+AH875+AH879+AH883</f>
        <v>0</v>
      </c>
      <c r="AI887" s="133">
        <f t="shared" si="1127"/>
        <v>0</v>
      </c>
      <c r="AJ887" s="133">
        <f t="shared" si="1127"/>
        <v>0</v>
      </c>
      <c r="AK887" s="133">
        <f t="shared" si="1127"/>
        <v>0</v>
      </c>
      <c r="AL887" s="133">
        <f t="shared" ref="AL887:AP887" si="1128">AL839+AL843+AL847+AL851+AL855+AL859+AL863+AL867+AL871+AL875+AL879+AL883</f>
        <v>0</v>
      </c>
      <c r="AM887" s="133">
        <f t="shared" si="1128"/>
        <v>0</v>
      </c>
      <c r="AN887" s="133">
        <f t="shared" si="1128"/>
        <v>0</v>
      </c>
      <c r="AO887" s="133">
        <f t="shared" si="1128"/>
        <v>0</v>
      </c>
      <c r="AP887" s="133">
        <f t="shared" si="1128"/>
        <v>0</v>
      </c>
      <c r="AQ887" s="133">
        <f t="shared" ref="AQ887:AT887" si="1129">AQ839+AQ843+AQ847+AQ851+AQ855+AQ859+AQ863+AQ867+AQ871+AQ875+AQ879+AQ883</f>
        <v>0</v>
      </c>
      <c r="AR887" s="133">
        <f t="shared" si="1129"/>
        <v>0</v>
      </c>
      <c r="AS887" s="133">
        <f t="shared" si="1129"/>
        <v>0</v>
      </c>
      <c r="AT887" s="133">
        <f t="shared" si="1129"/>
        <v>0</v>
      </c>
      <c r="AU887" s="133">
        <f ca="1">SUM(F887:AT887)</f>
        <v>569990.48051581858</v>
      </c>
      <c r="AV887" s="116"/>
      <c r="AW887" s="133">
        <f ca="1">SUM(AU887:AU887)</f>
        <v>569990.48051581858</v>
      </c>
      <c r="AX887" s="133">
        <f ca="1">+AW887-'ROR-Model'!G900</f>
        <v>0</v>
      </c>
    </row>
    <row r="888" spans="1:50" ht="13.5" thickBot="1">
      <c r="A888" s="330"/>
      <c r="B888" s="106"/>
      <c r="C888" s="106"/>
      <c r="D888" s="106"/>
      <c r="E888" s="331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62"/>
      <c r="R888" s="262"/>
      <c r="S888" s="558"/>
      <c r="T888" s="558"/>
      <c r="U888" s="558"/>
      <c r="V888" s="558"/>
      <c r="W888" s="558"/>
      <c r="X888" s="558"/>
      <c r="Y888" s="558"/>
      <c r="Z888" s="558"/>
      <c r="AA888" s="558"/>
      <c r="AB888" s="558"/>
      <c r="AC888" s="558"/>
      <c r="AD888" s="558"/>
      <c r="AE888" s="558"/>
      <c r="AF888" s="558"/>
      <c r="AG888" s="558"/>
      <c r="AH888" s="558"/>
      <c r="AI888" s="558"/>
      <c r="AJ888" s="558"/>
      <c r="AK888" s="558"/>
      <c r="AL888" s="558"/>
      <c r="AM888" s="558"/>
      <c r="AN888" s="558"/>
      <c r="AO888" s="558"/>
      <c r="AP888" s="558"/>
      <c r="AQ888" s="558"/>
      <c r="AR888" s="558"/>
      <c r="AS888" s="558"/>
      <c r="AT888" s="558"/>
      <c r="AU888" s="262"/>
      <c r="AV888" s="236"/>
      <c r="AW888" s="262"/>
      <c r="AX888" s="262"/>
    </row>
    <row r="889" spans="1:50">
      <c r="A889" s="330"/>
      <c r="B889" s="61" t="s">
        <v>437</v>
      </c>
      <c r="C889" s="106"/>
      <c r="D889" s="106"/>
      <c r="E889" s="331"/>
      <c r="F889" s="116">
        <f>IF((F886+F887)=F884+F880+F876+F872+F868+F864+F860+F856+F852+F848+F844+F840,F886+F887,"ERROR")</f>
        <v>0</v>
      </c>
      <c r="G889" s="116">
        <f>G886+G887</f>
        <v>-782445.02844659751</v>
      </c>
      <c r="H889" s="116">
        <f>SUM(H886:H887)</f>
        <v>0</v>
      </c>
      <c r="I889" s="116">
        <f>SUM(I886:I887)</f>
        <v>0</v>
      </c>
      <c r="J889" s="116">
        <f t="shared" ref="J889:Q889" si="1130">SUM(J886:J887)</f>
        <v>0</v>
      </c>
      <c r="K889" s="116">
        <f t="shared" si="1130"/>
        <v>0</v>
      </c>
      <c r="L889" s="116">
        <f t="shared" si="1130"/>
        <v>0</v>
      </c>
      <c r="M889" s="116">
        <f t="shared" ca="1" si="1130"/>
        <v>-909590.87949212652</v>
      </c>
      <c r="N889" s="116">
        <f t="shared" ca="1" si="1130"/>
        <v>0</v>
      </c>
      <c r="O889" s="116">
        <f t="shared" si="1130"/>
        <v>0</v>
      </c>
      <c r="P889" s="116">
        <f t="shared" ca="1" si="1130"/>
        <v>-191860.84957415925</v>
      </c>
      <c r="Q889" s="116">
        <f t="shared" ca="1" si="1130"/>
        <v>147611.48652999999</v>
      </c>
      <c r="R889" s="116">
        <f t="shared" ref="R889" si="1131">SUM(R886:R887)</f>
        <v>14610178.593437593</v>
      </c>
      <c r="S889" s="116">
        <f t="shared" ref="S889:AG889" si="1132">IF((S886+S887)=S884+S880+S876+S872+S868+S864+S860+S856+S852+S848+S844+S840,S886+S887,"ERROR")</f>
        <v>0</v>
      </c>
      <c r="T889" s="116">
        <f t="shared" si="1132"/>
        <v>0</v>
      </c>
      <c r="U889" s="116">
        <f t="shared" si="1132"/>
        <v>0</v>
      </c>
      <c r="V889" s="116">
        <f t="shared" si="1132"/>
        <v>0</v>
      </c>
      <c r="W889" s="116">
        <f t="shared" si="1132"/>
        <v>0</v>
      </c>
      <c r="X889" s="116">
        <f t="shared" si="1132"/>
        <v>0</v>
      </c>
      <c r="Y889" s="116">
        <f t="shared" si="1132"/>
        <v>0</v>
      </c>
      <c r="Z889" s="116">
        <f t="shared" si="1132"/>
        <v>0</v>
      </c>
      <c r="AA889" s="116">
        <f t="shared" si="1132"/>
        <v>0</v>
      </c>
      <c r="AB889" s="116">
        <f t="shared" si="1132"/>
        <v>0</v>
      </c>
      <c r="AC889" s="116">
        <f t="shared" si="1132"/>
        <v>0</v>
      </c>
      <c r="AD889" s="116">
        <f t="shared" si="1132"/>
        <v>0</v>
      </c>
      <c r="AE889" s="116">
        <f t="shared" si="1132"/>
        <v>0</v>
      </c>
      <c r="AF889" s="116">
        <f t="shared" si="1132"/>
        <v>0</v>
      </c>
      <c r="AG889" s="116">
        <f t="shared" si="1132"/>
        <v>0</v>
      </c>
      <c r="AH889" s="116">
        <f t="shared" ref="AH889:AK889" si="1133">IF((AH886+AH887)=AH884+AH880+AH876+AH872+AH868+AH864+AH860+AH856+AH852+AH848+AH844+AH840,AH886+AH887,"ERROR")</f>
        <v>0</v>
      </c>
      <c r="AI889" s="116">
        <f t="shared" si="1133"/>
        <v>0</v>
      </c>
      <c r="AJ889" s="116">
        <f t="shared" si="1133"/>
        <v>0</v>
      </c>
      <c r="AK889" s="116">
        <f t="shared" si="1133"/>
        <v>0</v>
      </c>
      <c r="AL889" s="116">
        <f t="shared" ref="AL889:AP889" si="1134">IF((AL886+AL887)=AL884+AL880+AL876+AL872+AL868+AL864+AL860+AL856+AL852+AL848+AL844+AL840,AL886+AL887,"ERROR")</f>
        <v>0</v>
      </c>
      <c r="AM889" s="116">
        <f t="shared" si="1134"/>
        <v>0</v>
      </c>
      <c r="AN889" s="116">
        <f t="shared" si="1134"/>
        <v>0</v>
      </c>
      <c r="AO889" s="116">
        <f t="shared" si="1134"/>
        <v>0</v>
      </c>
      <c r="AP889" s="116">
        <f t="shared" si="1134"/>
        <v>0</v>
      </c>
      <c r="AQ889" s="116">
        <f t="shared" ref="AQ889:AT889" si="1135">IF((AQ886+AQ887)=AQ884+AQ880+AQ876+AQ872+AQ868+AQ864+AQ860+AQ856+AQ852+AQ848+AQ844+AQ840,AQ886+AQ887,"ERROR")</f>
        <v>0</v>
      </c>
      <c r="AR889" s="116">
        <f t="shared" si="1135"/>
        <v>0</v>
      </c>
      <c r="AS889" s="116">
        <f t="shared" si="1135"/>
        <v>0</v>
      </c>
      <c r="AT889" s="116">
        <f t="shared" si="1135"/>
        <v>0</v>
      </c>
      <c r="AU889" s="133">
        <f ca="1">SUM(F889:AT889)</f>
        <v>12873893.32245471</v>
      </c>
      <c r="AV889" s="116"/>
      <c r="AW889" s="133">
        <f ca="1">SUM(AU889:AU889)</f>
        <v>12873893.32245471</v>
      </c>
      <c r="AX889" s="133">
        <f ca="1">+AW889-'ROR-Model'!G902</f>
        <v>0</v>
      </c>
    </row>
    <row r="890" spans="1:50" ht="13.5" thickBot="1">
      <c r="A890" s="330"/>
      <c r="B890" s="106"/>
      <c r="C890" s="106"/>
      <c r="D890" s="106"/>
      <c r="E890" s="331"/>
      <c r="F890" s="235"/>
      <c r="G890" s="235"/>
      <c r="H890" s="235"/>
      <c r="I890" s="235"/>
      <c r="J890" s="235"/>
      <c r="K890" s="235"/>
      <c r="L890" s="235"/>
      <c r="M890" s="235"/>
      <c r="N890" s="235"/>
      <c r="O890" s="235"/>
      <c r="P890" s="235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  <c r="AA890" s="242"/>
      <c r="AB890" s="242"/>
      <c r="AC890" s="242"/>
      <c r="AD890" s="242"/>
      <c r="AE890" s="242"/>
      <c r="AF890" s="242"/>
      <c r="AG890" s="242"/>
      <c r="AH890" s="242"/>
      <c r="AI890" s="242"/>
      <c r="AJ890" s="242"/>
      <c r="AK890" s="242"/>
      <c r="AL890" s="242"/>
      <c r="AM890" s="242"/>
      <c r="AN890" s="242"/>
      <c r="AO890" s="242"/>
      <c r="AP890" s="242"/>
      <c r="AQ890" s="242"/>
      <c r="AR890" s="242"/>
      <c r="AS890" s="242"/>
      <c r="AT890" s="242"/>
      <c r="AU890" s="242"/>
      <c r="AV890" s="235"/>
      <c r="AW890" s="242"/>
      <c r="AX890" s="242"/>
    </row>
    <row r="891" spans="1:50" ht="13.5" thickTop="1">
      <c r="A891" s="330"/>
      <c r="B891" s="106"/>
      <c r="C891" s="106"/>
      <c r="D891" s="106"/>
      <c r="E891" s="331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16"/>
      <c r="AW891" s="133"/>
      <c r="AX891" s="133">
        <f>+AW891-'ROR-Model'!G892</f>
        <v>0</v>
      </c>
    </row>
    <row r="892" spans="1:50">
      <c r="A892" s="330"/>
      <c r="B892" s="61" t="s">
        <v>653</v>
      </c>
      <c r="C892" s="106"/>
      <c r="D892" s="106"/>
      <c r="E892" s="331"/>
      <c r="F892" s="116">
        <f>F649+F752+F805+F833+F889</f>
        <v>0</v>
      </c>
      <c r="G892" s="116">
        <f>G649+G752+G805+G833+G889</f>
        <v>-836835.59626013134</v>
      </c>
      <c r="H892" s="116">
        <f>H1*H649+H752+H805+H833+H889</f>
        <v>0</v>
      </c>
      <c r="I892" s="116">
        <f>I649+I752+I805+I833+I889</f>
        <v>0</v>
      </c>
      <c r="J892" s="116">
        <f t="shared" ref="J892:Q892" si="1136">J649+J752+J805+J833+J889</f>
        <v>0</v>
      </c>
      <c r="K892" s="116">
        <f t="shared" si="1136"/>
        <v>-21561267.808700245</v>
      </c>
      <c r="L892" s="116">
        <f>L649+L752+L805+L833+L889</f>
        <v>-1025539.3107736245</v>
      </c>
      <c r="M892" s="116">
        <f t="shared" ca="1" si="1136"/>
        <v>-909590.87949212652</v>
      </c>
      <c r="N892" s="116">
        <f t="shared" ca="1" si="1136"/>
        <v>0</v>
      </c>
      <c r="O892" s="116">
        <f t="shared" ca="1" si="1136"/>
        <v>-6014.8620221724987</v>
      </c>
      <c r="P892" s="116">
        <f t="shared" ca="1" si="1136"/>
        <v>-191860.84957415925</v>
      </c>
      <c r="Q892" s="133">
        <f t="shared" ca="1" si="1136"/>
        <v>147611.48652999999</v>
      </c>
      <c r="R892" s="133">
        <f t="shared" ref="R892" si="1137">R649+R752+R805+R833+R889</f>
        <v>14610178.593437593</v>
      </c>
      <c r="S892" s="133">
        <f t="shared" ref="S892:AG892" si="1138">S649+S752+S805+S833+S889</f>
        <v>0</v>
      </c>
      <c r="T892" s="133">
        <f t="shared" si="1138"/>
        <v>0</v>
      </c>
      <c r="U892" s="133">
        <f t="shared" si="1138"/>
        <v>0</v>
      </c>
      <c r="V892" s="133">
        <f t="shared" si="1138"/>
        <v>0</v>
      </c>
      <c r="W892" s="133">
        <f t="shared" si="1138"/>
        <v>0</v>
      </c>
      <c r="X892" s="133">
        <f t="shared" si="1138"/>
        <v>0</v>
      </c>
      <c r="Y892" s="133">
        <f t="shared" si="1138"/>
        <v>0</v>
      </c>
      <c r="Z892" s="133">
        <f t="shared" si="1138"/>
        <v>0</v>
      </c>
      <c r="AA892" s="133">
        <f t="shared" si="1138"/>
        <v>0</v>
      </c>
      <c r="AB892" s="133">
        <f t="shared" si="1138"/>
        <v>0</v>
      </c>
      <c r="AC892" s="133">
        <f>AC649+AC752+AC805+AC833+AC889</f>
        <v>0</v>
      </c>
      <c r="AD892" s="133">
        <f t="shared" si="1138"/>
        <v>0</v>
      </c>
      <c r="AE892" s="133">
        <f t="shared" si="1138"/>
        <v>0</v>
      </c>
      <c r="AF892" s="133">
        <f t="shared" si="1138"/>
        <v>0</v>
      </c>
      <c r="AG892" s="133">
        <f t="shared" si="1138"/>
        <v>0</v>
      </c>
      <c r="AH892" s="133">
        <f t="shared" ref="AH892:AK892" si="1139">AH649+AH752+AH805+AH833+AH889</f>
        <v>0</v>
      </c>
      <c r="AI892" s="133">
        <f t="shared" si="1139"/>
        <v>0</v>
      </c>
      <c r="AJ892" s="133">
        <f t="shared" si="1139"/>
        <v>0</v>
      </c>
      <c r="AK892" s="133">
        <f t="shared" si="1139"/>
        <v>0</v>
      </c>
      <c r="AL892" s="133">
        <f t="shared" ref="AL892:AP892" si="1140">AL649+AL752+AL805+AL833+AL889</f>
        <v>0</v>
      </c>
      <c r="AM892" s="133">
        <f t="shared" si="1140"/>
        <v>0</v>
      </c>
      <c r="AN892" s="133">
        <f t="shared" si="1140"/>
        <v>0</v>
      </c>
      <c r="AO892" s="133">
        <f t="shared" si="1140"/>
        <v>0</v>
      </c>
      <c r="AP892" s="133">
        <f t="shared" si="1140"/>
        <v>0</v>
      </c>
      <c r="AQ892" s="133">
        <f t="shared" ref="AQ892:AT892" si="1141">AQ649+AQ752+AQ805+AQ833+AQ889</f>
        <v>0</v>
      </c>
      <c r="AR892" s="133">
        <f t="shared" si="1141"/>
        <v>0</v>
      </c>
      <c r="AS892" s="133">
        <f t="shared" si="1141"/>
        <v>0</v>
      </c>
      <c r="AT892" s="133">
        <f t="shared" si="1141"/>
        <v>0</v>
      </c>
      <c r="AU892" s="133">
        <f ca="1">SUM(F892:AT892)</f>
        <v>-9773319.2268548682</v>
      </c>
      <c r="AV892" s="116"/>
      <c r="AW892" s="133">
        <f ca="1">SUM(AU892:AU892)</f>
        <v>-9773319.2268548682</v>
      </c>
      <c r="AX892" s="133">
        <f ca="1">+AW892-'ROR-Model'!G905</f>
        <v>0</v>
      </c>
    </row>
    <row r="893" spans="1:50">
      <c r="A893" s="330"/>
      <c r="B893" s="106"/>
      <c r="C893" s="106"/>
      <c r="D893" s="106"/>
      <c r="E893" s="331"/>
      <c r="F893" s="116"/>
      <c r="G893" s="942"/>
      <c r="H893" s="116"/>
      <c r="I893" s="116"/>
      <c r="J893" s="116"/>
      <c r="K893" s="116"/>
      <c r="L893" s="116"/>
      <c r="M893" s="116"/>
      <c r="N893" s="116"/>
      <c r="O893" s="116"/>
      <c r="P893" s="116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16"/>
      <c r="AW893" s="133"/>
      <c r="AX893" s="133"/>
    </row>
    <row r="894" spans="1:50">
      <c r="A894" s="330"/>
      <c r="B894" s="106"/>
      <c r="C894" s="106"/>
      <c r="D894" s="106"/>
      <c r="E894" s="331"/>
      <c r="F894" s="116"/>
      <c r="G894" s="942"/>
      <c r="H894" s="116"/>
      <c r="I894" s="116"/>
      <c r="J894" s="116"/>
      <c r="K894" s="116"/>
      <c r="L894" s="116"/>
      <c r="M894" s="116"/>
      <c r="N894" s="116"/>
      <c r="O894" s="116"/>
      <c r="P894" s="116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16"/>
      <c r="AW894" s="133"/>
      <c r="AX894" s="133"/>
    </row>
    <row r="895" spans="1:50">
      <c r="A895" s="59" t="s">
        <v>438</v>
      </c>
      <c r="B895" s="106"/>
      <c r="C895" s="106"/>
      <c r="D895" s="106"/>
      <c r="E895" s="331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16"/>
      <c r="AW895" s="133"/>
      <c r="AX895" s="133"/>
    </row>
    <row r="896" spans="1:50">
      <c r="A896" s="330"/>
      <c r="B896" s="106"/>
      <c r="C896" s="106"/>
      <c r="D896" s="106"/>
      <c r="E896" s="331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16"/>
      <c r="AW896" s="133"/>
      <c r="AX896" s="133"/>
    </row>
    <row r="897" spans="1:50">
      <c r="A897" s="59" t="s">
        <v>439</v>
      </c>
      <c r="B897" s="106"/>
      <c r="C897" s="106"/>
      <c r="D897" s="106"/>
      <c r="E897" s="331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16"/>
      <c r="AW897" s="133"/>
      <c r="AX897" s="133"/>
    </row>
    <row r="898" spans="1:50">
      <c r="A898" s="330"/>
      <c r="B898" s="106"/>
      <c r="C898" s="106"/>
      <c r="D898" s="106"/>
      <c r="E898" s="331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16"/>
      <c r="AW898" s="133"/>
      <c r="AX898" s="133"/>
    </row>
    <row r="899" spans="1:50">
      <c r="A899" s="134">
        <v>403</v>
      </c>
      <c r="B899" s="106" t="s">
        <v>442</v>
      </c>
      <c r="C899" s="106"/>
      <c r="D899" s="106"/>
      <c r="E899" s="331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16"/>
      <c r="AW899" s="133"/>
      <c r="AX899" s="133"/>
    </row>
    <row r="900" spans="1:50">
      <c r="A900" s="134"/>
      <c r="B900" s="106"/>
      <c r="C900" s="106" t="s">
        <v>443</v>
      </c>
      <c r="D900" s="106"/>
      <c r="E900" s="331"/>
      <c r="F900" s="116"/>
      <c r="G900" s="116">
        <f>EXPENSES!L388*$G$1</f>
        <v>17107.560000000172</v>
      </c>
      <c r="H900" s="116"/>
      <c r="I900" s="116"/>
      <c r="J900" s="116"/>
      <c r="K900" s="116"/>
      <c r="L900" s="116"/>
      <c r="M900" s="116"/>
      <c r="N900" s="116"/>
      <c r="O900" s="116"/>
      <c r="P900" s="116"/>
      <c r="Q900" s="133"/>
      <c r="R900" s="133"/>
      <c r="S900" s="133"/>
      <c r="T900" s="133">
        <f>'Optional Adjustment 2'!G900*$T$1</f>
        <v>0</v>
      </c>
      <c r="U900" s="133">
        <f>'Optional Adjustment 3'!G900*$U$1</f>
        <v>0</v>
      </c>
      <c r="V900" s="133">
        <f>'Optional Adjustment 4'!G900*$V$1</f>
        <v>0</v>
      </c>
      <c r="W900" s="133">
        <f>'Optional Adjustment 5'!G900*$W$1</f>
        <v>0</v>
      </c>
      <c r="X900" s="133">
        <f>'Optional Adjustment 6'!G900*$X$1</f>
        <v>0</v>
      </c>
      <c r="Y900" s="133">
        <f>'Optional Adjustment 7'!G900*$Y$1</f>
        <v>0</v>
      </c>
      <c r="Z900" s="133">
        <f>'Optional Adjustment 8'!G900*$Z$1</f>
        <v>0</v>
      </c>
      <c r="AA900" s="133">
        <f>'Optional Adjustment 9'!G900*$AA$1</f>
        <v>0</v>
      </c>
      <c r="AB900" s="133">
        <f>'Optional Adjustment 10'!G900*$AB$1</f>
        <v>0</v>
      </c>
      <c r="AC900" s="133">
        <f>'Optional Adjustment 11'!G900*$AC$1</f>
        <v>0</v>
      </c>
      <c r="AD900" s="133">
        <f>'Optional Adjustment 12'!G900*$AD$1</f>
        <v>0</v>
      </c>
      <c r="AE900" s="133">
        <f>'Optional Adjustment 13'!G900*$AE$1</f>
        <v>0</v>
      </c>
      <c r="AF900" s="133">
        <f>'Optional Adjustment 14'!G900*$AF$1</f>
        <v>0</v>
      </c>
      <c r="AG900" s="133">
        <f>'Optional Adjustment 15'!G900*$AG$1</f>
        <v>0</v>
      </c>
      <c r="AH900" s="133">
        <f>'Optional Adjustment 16'!G900*$AH$1</f>
        <v>0</v>
      </c>
      <c r="AI900" s="133">
        <f>'Optional Adjustment 17'!G900*$AI$1</f>
        <v>0</v>
      </c>
      <c r="AJ900" s="133">
        <f>'Optional Adjustment 18'!G900*$AJ$1</f>
        <v>0</v>
      </c>
      <c r="AK900" s="133">
        <f>'Optional Adjustment 19'!G900*$AK$1</f>
        <v>0</v>
      </c>
      <c r="AL900" s="133">
        <f>'Optional Adjustment 20'!G900*$AL$1</f>
        <v>0</v>
      </c>
      <c r="AM900" s="133">
        <f>'Optional Adjustment 21'!G900*$AM$1</f>
        <v>0</v>
      </c>
      <c r="AN900" s="133">
        <f>'Optional Adjustment 22'!G900*$AN$1</f>
        <v>0</v>
      </c>
      <c r="AO900" s="133">
        <f>'Optional Adjustment 23'!G900*$AO$1</f>
        <v>0</v>
      </c>
      <c r="AP900" s="133">
        <f>'Optional Adjustment 24'!G900*$AP$1</f>
        <v>0</v>
      </c>
      <c r="AQ900" s="133">
        <f>'Optional Adjustment 25'!G900*$AQ$1</f>
        <v>0</v>
      </c>
      <c r="AR900" s="133">
        <f>'Optional Adjustment 26'!G900*$AR$1</f>
        <v>0</v>
      </c>
      <c r="AS900" s="133">
        <f>'Optional Adjustment 27'!G900*$AS$1</f>
        <v>0</v>
      </c>
      <c r="AT900" s="133"/>
      <c r="AU900" s="133">
        <f>SUM(F900:AT900)</f>
        <v>17107.560000000172</v>
      </c>
      <c r="AV900" s="116"/>
      <c r="AW900" s="133">
        <f>SUM(AU900:AU900)</f>
        <v>17107.560000000172</v>
      </c>
      <c r="AX900" s="133">
        <f>+AW900-'ROR-Model'!G913</f>
        <v>0</v>
      </c>
    </row>
    <row r="901" spans="1:50">
      <c r="A901" s="134"/>
      <c r="B901" s="106"/>
      <c r="C901" s="106" t="s">
        <v>592</v>
      </c>
      <c r="D901" s="106"/>
      <c r="E901" s="331"/>
      <c r="F901" s="116"/>
      <c r="G901" s="116">
        <f ca="1">EXPENSES!L389*$G$1</f>
        <v>567088.32404214586</v>
      </c>
      <c r="H901" s="116"/>
      <c r="I901" s="116"/>
      <c r="J901" s="116"/>
      <c r="K901" s="116"/>
      <c r="L901" s="116"/>
      <c r="M901" s="116"/>
      <c r="N901" s="116"/>
      <c r="O901" s="116"/>
      <c r="P901" s="116"/>
      <c r="Q901" s="133"/>
      <c r="R901" s="133"/>
      <c r="S901" s="133"/>
      <c r="T901" s="133">
        <f>'Optional Adjustment 2'!G901*$T$1</f>
        <v>0</v>
      </c>
      <c r="U901" s="133">
        <f>'Optional Adjustment 3'!G901*$U$1</f>
        <v>0</v>
      </c>
      <c r="V901" s="133">
        <f>'Optional Adjustment 4'!G901*$V$1</f>
        <v>0</v>
      </c>
      <c r="W901" s="133">
        <f>'Optional Adjustment 5'!G901*$W$1</f>
        <v>0</v>
      </c>
      <c r="X901" s="133">
        <f>'Optional Adjustment 6'!G901*$X$1</f>
        <v>0</v>
      </c>
      <c r="Y901" s="133">
        <f>'Optional Adjustment 7'!G901*$Y$1</f>
        <v>0</v>
      </c>
      <c r="Z901" s="133">
        <f>'Optional Adjustment 8'!G901*$Z$1</f>
        <v>0</v>
      </c>
      <c r="AA901" s="133">
        <f>'Optional Adjustment 9'!G901*$AA$1</f>
        <v>0</v>
      </c>
      <c r="AB901" s="133">
        <f>'Optional Adjustment 10'!G901*$AB$1</f>
        <v>0</v>
      </c>
      <c r="AC901" s="133">
        <f>'Optional Adjustment 11'!G901*$AC$1</f>
        <v>0</v>
      </c>
      <c r="AD901" s="133">
        <f>'Optional Adjustment 12'!G901*$AD$1</f>
        <v>0</v>
      </c>
      <c r="AE901" s="133">
        <f>'Optional Adjustment 13'!G901*$AE$1</f>
        <v>0</v>
      </c>
      <c r="AF901" s="133">
        <f>'Optional Adjustment 14'!G901*$AF$1</f>
        <v>0</v>
      </c>
      <c r="AG901" s="133">
        <f>'Optional Adjustment 15'!G901*$AG$1</f>
        <v>0</v>
      </c>
      <c r="AH901" s="133">
        <f>'Optional Adjustment 16'!G901*$AH$1</f>
        <v>0</v>
      </c>
      <c r="AI901" s="133">
        <f>'Optional Adjustment 17'!G901*$AI$1</f>
        <v>0</v>
      </c>
      <c r="AJ901" s="133">
        <f>'Optional Adjustment 18'!G901*$AJ$1</f>
        <v>0</v>
      </c>
      <c r="AK901" s="133">
        <f>'Optional Adjustment 19'!G901*$AK$1</f>
        <v>0</v>
      </c>
      <c r="AL901" s="133">
        <f>'Optional Adjustment 20'!G901*$AL$1</f>
        <v>0</v>
      </c>
      <c r="AM901" s="133">
        <f>'Optional Adjustment 21'!G901*$AM$1</f>
        <v>0</v>
      </c>
      <c r="AN901" s="133">
        <f>'Optional Adjustment 22'!G901*$AN$1</f>
        <v>0</v>
      </c>
      <c r="AO901" s="133">
        <f>'Optional Adjustment 23'!G901*$AO$1</f>
        <v>0</v>
      </c>
      <c r="AP901" s="133">
        <f>'Optional Adjustment 24'!G901*$AP$1</f>
        <v>0</v>
      </c>
      <c r="AQ901" s="133">
        <f>'Optional Adjustment 25'!G901*$AQ$1</f>
        <v>0</v>
      </c>
      <c r="AR901" s="133">
        <f>'Optional Adjustment 26'!G901*$AR$1</f>
        <v>0</v>
      </c>
      <c r="AS901" s="133">
        <f>'Optional Adjustment 27'!G901*$AS$1</f>
        <v>0</v>
      </c>
      <c r="AT901" s="133"/>
      <c r="AU901" s="133">
        <f ca="1">SUM(F901:AT901)</f>
        <v>567088.32404214586</v>
      </c>
      <c r="AV901" s="116"/>
      <c r="AW901" s="133">
        <f ca="1">SUM(AU901:AU901)</f>
        <v>567088.32404214586</v>
      </c>
      <c r="AX901" s="133">
        <f ca="1">+AW901-'ROR-Model'!G914</f>
        <v>0</v>
      </c>
    </row>
    <row r="902" spans="1:50">
      <c r="A902" s="134"/>
      <c r="B902" s="106"/>
      <c r="C902" s="106" t="s">
        <v>593</v>
      </c>
      <c r="D902" s="106"/>
      <c r="E902" s="331"/>
      <c r="F902" s="116"/>
      <c r="G902" s="116">
        <f ca="1">EXPENSES!L390*$G$1</f>
        <v>8970530.4332548156</v>
      </c>
      <c r="H902" s="116"/>
      <c r="I902" s="116"/>
      <c r="J902" s="116"/>
      <c r="K902" s="116"/>
      <c r="L902" s="116"/>
      <c r="M902" s="116"/>
      <c r="N902" s="116"/>
      <c r="O902" s="116"/>
      <c r="P902" s="116"/>
      <c r="Q902" s="133"/>
      <c r="R902" s="133"/>
      <c r="S902" s="133"/>
      <c r="T902" s="133">
        <f>'Optional Adjustment 2'!G902*$T$1</f>
        <v>0</v>
      </c>
      <c r="U902" s="133">
        <f>'Optional Adjustment 3'!G902*$U$1</f>
        <v>0</v>
      </c>
      <c r="V902" s="133">
        <f>'Optional Adjustment 4'!G902*$V$1</f>
        <v>0</v>
      </c>
      <c r="W902" s="133">
        <f>'Optional Adjustment 5'!G902*$W$1</f>
        <v>0</v>
      </c>
      <c r="X902" s="133">
        <f>'Optional Adjustment 6'!G902*$X$1</f>
        <v>0</v>
      </c>
      <c r="Y902" s="133">
        <f>'Optional Adjustment 7'!G902*$Y$1</f>
        <v>0</v>
      </c>
      <c r="Z902" s="133">
        <f>'Optional Adjustment 8'!G902*$Z$1</f>
        <v>0</v>
      </c>
      <c r="AA902" s="133">
        <f>'Optional Adjustment 9'!G902*$AA$1</f>
        <v>0</v>
      </c>
      <c r="AB902" s="133">
        <f>'Optional Adjustment 10'!G902*$AB$1</f>
        <v>0</v>
      </c>
      <c r="AC902" s="133">
        <f>'Optional Adjustment 11'!G902*$AC$1</f>
        <v>0</v>
      </c>
      <c r="AD902" s="133">
        <f>'Optional Adjustment 12'!G902*$AD$1</f>
        <v>0</v>
      </c>
      <c r="AE902" s="133">
        <f>'Optional Adjustment 13'!G902*$AE$1</f>
        <v>0</v>
      </c>
      <c r="AF902" s="133">
        <f>'Optional Adjustment 14'!G902*$AF$1</f>
        <v>0</v>
      </c>
      <c r="AG902" s="133">
        <f>'Optional Adjustment 15'!G902*$AG$1</f>
        <v>0</v>
      </c>
      <c r="AH902" s="133">
        <f>'Optional Adjustment 16'!G902*$AH$1</f>
        <v>0</v>
      </c>
      <c r="AI902" s="133">
        <f>'Optional Adjustment 17'!G902*$AI$1</f>
        <v>0</v>
      </c>
      <c r="AJ902" s="133">
        <f>'Optional Adjustment 18'!G902*$AJ$1</f>
        <v>0</v>
      </c>
      <c r="AK902" s="133">
        <f>'Optional Adjustment 19'!G902*$AK$1</f>
        <v>0</v>
      </c>
      <c r="AL902" s="133">
        <f>'Optional Adjustment 20'!G902*$AL$1</f>
        <v>0</v>
      </c>
      <c r="AM902" s="133">
        <f>'Optional Adjustment 21'!G902*$AM$1</f>
        <v>0</v>
      </c>
      <c r="AN902" s="133">
        <f>'Optional Adjustment 22'!G902*$AN$1</f>
        <v>0</v>
      </c>
      <c r="AO902" s="133">
        <f>'Optional Adjustment 23'!G902*$AO$1</f>
        <v>0</v>
      </c>
      <c r="AP902" s="133">
        <f>'Optional Adjustment 24'!G902*$AP$1</f>
        <v>0</v>
      </c>
      <c r="AQ902" s="133">
        <f>'Optional Adjustment 25'!G902*$AQ$1</f>
        <v>0</v>
      </c>
      <c r="AR902" s="133">
        <f>'Optional Adjustment 26'!G902*$AR$1</f>
        <v>0</v>
      </c>
      <c r="AS902" s="133">
        <f>'Optional Adjustment 27'!G902*$AS$1</f>
        <v>0</v>
      </c>
      <c r="AT902" s="133"/>
      <c r="AU902" s="133">
        <f ca="1">SUM(F902:AT902)</f>
        <v>8970530.4332548156</v>
      </c>
      <c r="AV902" s="116"/>
      <c r="AW902" s="133">
        <f ca="1">SUM(AU902:AU902)</f>
        <v>8970530.4332548156</v>
      </c>
      <c r="AX902" s="133">
        <f ca="1">+AW902-'ROR-Model'!G915</f>
        <v>0</v>
      </c>
    </row>
    <row r="903" spans="1:50">
      <c r="A903" s="134"/>
      <c r="B903" s="106"/>
      <c r="C903" s="106" t="s">
        <v>595</v>
      </c>
      <c r="D903" s="106"/>
      <c r="E903" s="331"/>
      <c r="F903" s="116"/>
      <c r="G903" s="116">
        <f ca="1">EXPENSES!L391*$G$1</f>
        <v>-1938347.3226657053</v>
      </c>
      <c r="H903" s="116"/>
      <c r="I903" s="116"/>
      <c r="J903" s="116"/>
      <c r="K903" s="116"/>
      <c r="L903" s="116"/>
      <c r="M903" s="116"/>
      <c r="N903" s="116"/>
      <c r="O903" s="116"/>
      <c r="P903" s="116"/>
      <c r="Q903" s="133"/>
      <c r="R903" s="133"/>
      <c r="S903" s="133"/>
      <c r="T903" s="133">
        <f>'Optional Adjustment 2'!G903*$T$1</f>
        <v>0</v>
      </c>
      <c r="U903" s="133">
        <f>'Optional Adjustment 3'!G903*$U$1</f>
        <v>0</v>
      </c>
      <c r="V903" s="133">
        <f>'Optional Adjustment 4'!G903*$V$1</f>
        <v>0</v>
      </c>
      <c r="W903" s="133">
        <f>'Optional Adjustment 5'!G903*$W$1</f>
        <v>0</v>
      </c>
      <c r="X903" s="133">
        <f>'Optional Adjustment 6'!G903*$X$1</f>
        <v>0</v>
      </c>
      <c r="Y903" s="133">
        <f>'Optional Adjustment 7'!G903*$Y$1</f>
        <v>0</v>
      </c>
      <c r="Z903" s="133">
        <f>'Optional Adjustment 8'!G903*$Z$1</f>
        <v>0</v>
      </c>
      <c r="AA903" s="133">
        <f>'Optional Adjustment 9'!G903*$AA$1</f>
        <v>0</v>
      </c>
      <c r="AB903" s="133">
        <f>'Optional Adjustment 10'!G903*$AB$1</f>
        <v>0</v>
      </c>
      <c r="AC903" s="133">
        <f>'Optional Adjustment 11'!G903*$AC$1</f>
        <v>0</v>
      </c>
      <c r="AD903" s="133">
        <f>'Optional Adjustment 12'!G903*$AD$1</f>
        <v>0</v>
      </c>
      <c r="AE903" s="133">
        <f>'Optional Adjustment 13'!G903*$AE$1</f>
        <v>0</v>
      </c>
      <c r="AF903" s="133">
        <f>'Optional Adjustment 14'!G903*$AF$1</f>
        <v>0</v>
      </c>
      <c r="AG903" s="133">
        <f>'Optional Adjustment 15'!G903*$AG$1</f>
        <v>0</v>
      </c>
      <c r="AH903" s="133">
        <f>'Optional Adjustment 16'!G903*$AH$1</f>
        <v>0</v>
      </c>
      <c r="AI903" s="133">
        <f>'Optional Adjustment 17'!G903*$AI$1</f>
        <v>0</v>
      </c>
      <c r="AJ903" s="133">
        <f>'Optional Adjustment 18'!G903*$AJ$1</f>
        <v>0</v>
      </c>
      <c r="AK903" s="133">
        <f>'Optional Adjustment 19'!G903*$AK$1</f>
        <v>0</v>
      </c>
      <c r="AL903" s="133">
        <f>'Optional Adjustment 20'!G903*$AL$1</f>
        <v>0</v>
      </c>
      <c r="AM903" s="133">
        <f>'Optional Adjustment 21'!G903*$AM$1</f>
        <v>0</v>
      </c>
      <c r="AN903" s="133">
        <f>'Optional Adjustment 22'!G903*$AN$1</f>
        <v>0</v>
      </c>
      <c r="AO903" s="133">
        <f>'Optional Adjustment 23'!G903*$AO$1</f>
        <v>0</v>
      </c>
      <c r="AP903" s="133">
        <f>'Optional Adjustment 24'!G903*$AP$1</f>
        <v>0</v>
      </c>
      <c r="AQ903" s="133">
        <f>'Optional Adjustment 25'!G903*$AQ$1</f>
        <v>0</v>
      </c>
      <c r="AR903" s="133">
        <f>'Optional Adjustment 26'!G903*$AR$1</f>
        <v>0</v>
      </c>
      <c r="AS903" s="133">
        <f>'Optional Adjustment 27'!G903*$AS$1</f>
        <v>0</v>
      </c>
      <c r="AT903" s="133"/>
      <c r="AU903" s="133">
        <f ca="1">SUM(F903:AT903)</f>
        <v>-1938347.3226657053</v>
      </c>
      <c r="AV903" s="116"/>
      <c r="AW903" s="133">
        <f ca="1">SUM(AU903:AU903)</f>
        <v>-1938347.3226657053</v>
      </c>
      <c r="AX903" s="133">
        <f ca="1">+AW903-'ROR-Model'!G916</f>
        <v>0</v>
      </c>
    </row>
    <row r="904" spans="1:50">
      <c r="A904" s="134"/>
      <c r="B904" s="106"/>
      <c r="C904" s="106" t="s">
        <v>596</v>
      </c>
      <c r="D904" s="106"/>
      <c r="E904" s="331"/>
      <c r="F904" s="131">
        <f>SUM(F900:F903)</f>
        <v>0</v>
      </c>
      <c r="G904" s="131">
        <f ca="1">SUM(G900:G903)</f>
        <v>7616378.994631256</v>
      </c>
      <c r="H904" s="131">
        <f>H1*SUM(H900:H903)</f>
        <v>0</v>
      </c>
      <c r="I904" s="131">
        <f>SUM(I900:I903)</f>
        <v>0</v>
      </c>
      <c r="J904" s="131">
        <f t="shared" ref="J904:P904" si="1142">SUM(J900:J903)</f>
        <v>0</v>
      </c>
      <c r="K904" s="131">
        <f t="shared" si="1142"/>
        <v>0</v>
      </c>
      <c r="L904" s="131">
        <f t="shared" si="1142"/>
        <v>0</v>
      </c>
      <c r="M904" s="131">
        <f t="shared" si="1142"/>
        <v>0</v>
      </c>
      <c r="N904" s="131">
        <f t="shared" si="1142"/>
        <v>0</v>
      </c>
      <c r="O904" s="131">
        <f t="shared" si="1142"/>
        <v>0</v>
      </c>
      <c r="P904" s="131">
        <f t="shared" si="1142"/>
        <v>0</v>
      </c>
      <c r="Q904" s="241">
        <f>SUM(Q900:Q903)</f>
        <v>0</v>
      </c>
      <c r="R904" s="241">
        <f>SUM(R900:R903)</f>
        <v>0</v>
      </c>
      <c r="S904" s="556"/>
      <c r="T904" s="556">
        <f t="shared" ref="T904:W904" si="1143">SUM(T900:T903)</f>
        <v>0</v>
      </c>
      <c r="U904" s="556">
        <f t="shared" si="1143"/>
        <v>0</v>
      </c>
      <c r="V904" s="556">
        <f t="shared" si="1143"/>
        <v>0</v>
      </c>
      <c r="W904" s="556">
        <f t="shared" si="1143"/>
        <v>0</v>
      </c>
      <c r="X904" s="556">
        <f t="shared" ref="X904:AG904" si="1144">SUM(X900:X903)</f>
        <v>0</v>
      </c>
      <c r="Y904" s="556">
        <f t="shared" si="1144"/>
        <v>0</v>
      </c>
      <c r="Z904" s="556">
        <f t="shared" si="1144"/>
        <v>0</v>
      </c>
      <c r="AA904" s="556">
        <f t="shared" si="1144"/>
        <v>0</v>
      </c>
      <c r="AB904" s="556">
        <f t="shared" si="1144"/>
        <v>0</v>
      </c>
      <c r="AC904" s="556">
        <f t="shared" si="1144"/>
        <v>0</v>
      </c>
      <c r="AD904" s="556">
        <f t="shared" si="1144"/>
        <v>0</v>
      </c>
      <c r="AE904" s="556">
        <f t="shared" si="1144"/>
        <v>0</v>
      </c>
      <c r="AF904" s="556">
        <f t="shared" si="1144"/>
        <v>0</v>
      </c>
      <c r="AG904" s="556">
        <f t="shared" si="1144"/>
        <v>0</v>
      </c>
      <c r="AH904" s="556">
        <f t="shared" ref="AH904:AK904" si="1145">SUM(AH900:AH903)</f>
        <v>0</v>
      </c>
      <c r="AI904" s="556">
        <f t="shared" si="1145"/>
        <v>0</v>
      </c>
      <c r="AJ904" s="556">
        <f t="shared" si="1145"/>
        <v>0</v>
      </c>
      <c r="AK904" s="556">
        <f t="shared" si="1145"/>
        <v>0</v>
      </c>
      <c r="AL904" s="556">
        <f t="shared" ref="AL904:AP904" si="1146">SUM(AL900:AL903)</f>
        <v>0</v>
      </c>
      <c r="AM904" s="556">
        <f t="shared" si="1146"/>
        <v>0</v>
      </c>
      <c r="AN904" s="556">
        <f t="shared" si="1146"/>
        <v>0</v>
      </c>
      <c r="AO904" s="556">
        <f t="shared" si="1146"/>
        <v>0</v>
      </c>
      <c r="AP904" s="556">
        <f t="shared" si="1146"/>
        <v>0</v>
      </c>
      <c r="AQ904" s="556">
        <f t="shared" ref="AQ904:AS904" si="1147">SUM(AQ900:AQ903)</f>
        <v>0</v>
      </c>
      <c r="AR904" s="556">
        <f t="shared" si="1147"/>
        <v>0</v>
      </c>
      <c r="AS904" s="556">
        <f t="shared" si="1147"/>
        <v>0</v>
      </c>
      <c r="AT904" s="556"/>
      <c r="AU904" s="241">
        <f ca="1">SUM(AU900:AU903)</f>
        <v>7616378.994631256</v>
      </c>
      <c r="AV904" s="131"/>
      <c r="AW904" s="241">
        <f ca="1">SUM(AW900:AW903)</f>
        <v>7616378.994631256</v>
      </c>
      <c r="AX904" s="241">
        <f ca="1">+AW904-'ROR-Model'!G917</f>
        <v>0</v>
      </c>
    </row>
    <row r="905" spans="1:50">
      <c r="A905" s="134"/>
      <c r="B905" s="106"/>
      <c r="C905" s="106"/>
      <c r="D905" s="106"/>
      <c r="E905" s="331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16"/>
      <c r="AW905" s="133"/>
      <c r="AX905" s="133">
        <f>+AW905-'ROR-Model'!G906</f>
        <v>0</v>
      </c>
    </row>
    <row r="906" spans="1:50">
      <c r="A906" s="134">
        <v>404</v>
      </c>
      <c r="B906" s="106" t="s">
        <v>597</v>
      </c>
      <c r="C906" s="106"/>
      <c r="D906" s="106"/>
      <c r="E906" s="331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16"/>
      <c r="AW906" s="133"/>
      <c r="AX906" s="133">
        <f>+AW906-'ROR-Model'!G907</f>
        <v>0</v>
      </c>
    </row>
    <row r="907" spans="1:50">
      <c r="A907" s="134"/>
      <c r="B907" s="106"/>
      <c r="C907" s="106" t="s">
        <v>443</v>
      </c>
      <c r="D907" s="106"/>
      <c r="E907" s="331"/>
      <c r="F907" s="116"/>
      <c r="G907" s="116">
        <f>+EXPENSES!L395*G1</f>
        <v>-17107.560000000001</v>
      </c>
      <c r="H907" s="116"/>
      <c r="I907" s="116"/>
      <c r="J907" s="116"/>
      <c r="K907" s="116"/>
      <c r="L907" s="116"/>
      <c r="M907" s="116"/>
      <c r="N907" s="116"/>
      <c r="O907" s="116"/>
      <c r="P907" s="116"/>
      <c r="Q907" s="133"/>
      <c r="R907" s="133"/>
      <c r="S907" s="133"/>
      <c r="T907" s="133">
        <f>'Optional Adjustment 2'!G907*$T$1</f>
        <v>0</v>
      </c>
      <c r="U907" s="133">
        <f>'Optional Adjustment 3'!G907*$U$1</f>
        <v>0</v>
      </c>
      <c r="V907" s="133">
        <f>'Optional Adjustment 4'!G907*$V$1</f>
        <v>0</v>
      </c>
      <c r="W907" s="133">
        <f>'Optional Adjustment 5'!G907*$W$1</f>
        <v>0</v>
      </c>
      <c r="X907" s="133">
        <f>'Optional Adjustment 6'!G907*$X$1</f>
        <v>0</v>
      </c>
      <c r="Y907" s="133">
        <f>'Optional Adjustment 7'!G907*$Y$1</f>
        <v>0</v>
      </c>
      <c r="Z907" s="133">
        <f>'Optional Adjustment 8'!G907*$Z$1</f>
        <v>0</v>
      </c>
      <c r="AA907" s="133">
        <f>'Optional Adjustment 9'!G907*$AA$1</f>
        <v>0</v>
      </c>
      <c r="AB907" s="133">
        <f>'Optional Adjustment 10'!G907*$AB$1</f>
        <v>0</v>
      </c>
      <c r="AC907" s="133">
        <f>'Optional Adjustment 11'!G907*$AC$1</f>
        <v>0</v>
      </c>
      <c r="AD907" s="133">
        <f>'Optional Adjustment 12'!G907*$AD$1</f>
        <v>0</v>
      </c>
      <c r="AE907" s="133">
        <f>'Optional Adjustment 13'!G907*$AE$1</f>
        <v>0</v>
      </c>
      <c r="AF907" s="133">
        <f>'Optional Adjustment 14'!G907*$AF$1</f>
        <v>0</v>
      </c>
      <c r="AG907" s="133">
        <f>'Optional Adjustment 15'!G907*$AG$1</f>
        <v>0</v>
      </c>
      <c r="AH907" s="133">
        <f>'Optional Adjustment 16'!G907*$AH$1</f>
        <v>0</v>
      </c>
      <c r="AI907" s="133">
        <f>'Optional Adjustment 17'!G907*$AI$1</f>
        <v>0</v>
      </c>
      <c r="AJ907" s="133">
        <f>'Optional Adjustment 18'!G907*$AJ$1</f>
        <v>0</v>
      </c>
      <c r="AK907" s="133">
        <f>'Optional Adjustment 19'!G907*$AK$1</f>
        <v>0</v>
      </c>
      <c r="AL907" s="133">
        <f>'Optional Adjustment 20'!G907*$AL$1</f>
        <v>0</v>
      </c>
      <c r="AM907" s="133">
        <f>'Optional Adjustment 21'!G907*$AM$1</f>
        <v>0</v>
      </c>
      <c r="AN907" s="133">
        <f>'Optional Adjustment 22'!G907*$AN$1</f>
        <v>0</v>
      </c>
      <c r="AO907" s="133">
        <f>'Optional Adjustment 23'!G907*$AO$1</f>
        <v>0</v>
      </c>
      <c r="AP907" s="133">
        <f>'Optional Adjustment 24'!G907*$AP$1</f>
        <v>0</v>
      </c>
      <c r="AQ907" s="133">
        <f>'Optional Adjustment 25'!G907*$AQ$1</f>
        <v>0</v>
      </c>
      <c r="AR907" s="133">
        <f>'Optional Adjustment 26'!G907*$AR$1</f>
        <v>0</v>
      </c>
      <c r="AS907" s="133">
        <f>'Optional Adjustment 27'!G907*$AS$1</f>
        <v>0</v>
      </c>
      <c r="AT907" s="133"/>
      <c r="AU907" s="133">
        <f>SUM(F907:AT907)</f>
        <v>-17107.560000000001</v>
      </c>
      <c r="AV907" s="116"/>
      <c r="AW907" s="133">
        <f>SUM(AU907:AU907)</f>
        <v>-17107.560000000001</v>
      </c>
      <c r="AX907" s="133">
        <f>+AW907-'ROR-Model'!G920</f>
        <v>0</v>
      </c>
    </row>
    <row r="908" spans="1:50">
      <c r="A908" s="134"/>
      <c r="B908" s="106"/>
      <c r="C908" s="106" t="s">
        <v>592</v>
      </c>
      <c r="D908" s="106"/>
      <c r="E908" s="331"/>
      <c r="F908" s="116"/>
      <c r="G908" s="116">
        <f>+EXPENSES!L396*G1</f>
        <v>0</v>
      </c>
      <c r="H908" s="116"/>
      <c r="I908" s="116"/>
      <c r="J908" s="116"/>
      <c r="K908" s="116"/>
      <c r="L908" s="116"/>
      <c r="M908" s="116"/>
      <c r="N908" s="116"/>
      <c r="O908" s="116"/>
      <c r="P908" s="116"/>
      <c r="Q908" s="133"/>
      <c r="R908" s="133"/>
      <c r="S908" s="133"/>
      <c r="T908" s="133">
        <f>'Optional Adjustment 2'!G908*$T$1</f>
        <v>0</v>
      </c>
      <c r="U908" s="133">
        <f>'Optional Adjustment 3'!G908*$U$1</f>
        <v>0</v>
      </c>
      <c r="V908" s="133">
        <f>'Optional Adjustment 4'!G908*$V$1</f>
        <v>0</v>
      </c>
      <c r="W908" s="133">
        <f>'Optional Adjustment 5'!G908*$W$1</f>
        <v>0</v>
      </c>
      <c r="X908" s="133">
        <f>'Optional Adjustment 6'!G908*$X$1</f>
        <v>0</v>
      </c>
      <c r="Y908" s="133">
        <f>'Optional Adjustment 7'!G908*$Y$1</f>
        <v>0</v>
      </c>
      <c r="Z908" s="133">
        <f>'Optional Adjustment 8'!G908*$Z$1</f>
        <v>0</v>
      </c>
      <c r="AA908" s="133">
        <f>'Optional Adjustment 9'!G908*$AA$1</f>
        <v>0</v>
      </c>
      <c r="AB908" s="133">
        <f>'Optional Adjustment 10'!G908*$AB$1</f>
        <v>0</v>
      </c>
      <c r="AC908" s="133">
        <f>'Optional Adjustment 11'!G908*$AC$1</f>
        <v>0</v>
      </c>
      <c r="AD908" s="133">
        <f>'Optional Adjustment 12'!G908*$AD$1</f>
        <v>0</v>
      </c>
      <c r="AE908" s="133">
        <f>'Optional Adjustment 13'!G908*$AE$1</f>
        <v>0</v>
      </c>
      <c r="AF908" s="133">
        <f>'Optional Adjustment 14'!G908*$AF$1</f>
        <v>0</v>
      </c>
      <c r="AG908" s="133">
        <f>'Optional Adjustment 15'!G908*$AG$1</f>
        <v>0</v>
      </c>
      <c r="AH908" s="133">
        <f>'Optional Adjustment 16'!G908*$AH$1</f>
        <v>0</v>
      </c>
      <c r="AI908" s="133">
        <f>'Optional Adjustment 17'!G908*$AI$1</f>
        <v>0</v>
      </c>
      <c r="AJ908" s="133">
        <f>'Optional Adjustment 18'!G908*$AJ$1</f>
        <v>0</v>
      </c>
      <c r="AK908" s="133">
        <f>'Optional Adjustment 19'!G908*$AK$1</f>
        <v>0</v>
      </c>
      <c r="AL908" s="133">
        <f>'Optional Adjustment 20'!G908*$AL$1</f>
        <v>0</v>
      </c>
      <c r="AM908" s="133">
        <f>'Optional Adjustment 21'!G908*$AM$1</f>
        <v>0</v>
      </c>
      <c r="AN908" s="133">
        <f>'Optional Adjustment 22'!G908*$AN$1</f>
        <v>0</v>
      </c>
      <c r="AO908" s="133">
        <f>'Optional Adjustment 23'!G908*$AO$1</f>
        <v>0</v>
      </c>
      <c r="AP908" s="133">
        <f>'Optional Adjustment 24'!G908*$AP$1</f>
        <v>0</v>
      </c>
      <c r="AQ908" s="133">
        <f>'Optional Adjustment 25'!G908*$AQ$1</f>
        <v>0</v>
      </c>
      <c r="AR908" s="133">
        <f>'Optional Adjustment 26'!G908*$AR$1</f>
        <v>0</v>
      </c>
      <c r="AS908" s="133">
        <f>'Optional Adjustment 27'!G908*$AS$1</f>
        <v>0</v>
      </c>
      <c r="AT908" s="133"/>
      <c r="AU908" s="133">
        <f>SUM(F908:AT908)</f>
        <v>0</v>
      </c>
      <c r="AV908" s="116"/>
      <c r="AW908" s="133">
        <f>SUM(AU908:AU908)</f>
        <v>0</v>
      </c>
      <c r="AX908" s="133">
        <f>+AW908-'ROR-Model'!G909</f>
        <v>0</v>
      </c>
    </row>
    <row r="909" spans="1:50">
      <c r="A909" s="134"/>
      <c r="B909" s="106"/>
      <c r="C909" s="106" t="s">
        <v>593</v>
      </c>
      <c r="D909" s="106"/>
      <c r="E909" s="331"/>
      <c r="F909" s="116"/>
      <c r="G909" s="116">
        <f>+EXPENSES!L397*G1</f>
        <v>0</v>
      </c>
      <c r="H909" s="116"/>
      <c r="I909" s="116"/>
      <c r="J909" s="116"/>
      <c r="K909" s="116"/>
      <c r="L909" s="116"/>
      <c r="M909" s="116"/>
      <c r="N909" s="116"/>
      <c r="O909" s="116"/>
      <c r="P909" s="116"/>
      <c r="Q909" s="133"/>
      <c r="R909" s="133"/>
      <c r="S909" s="133"/>
      <c r="T909" s="133">
        <f>'Optional Adjustment 2'!G909*$T$1</f>
        <v>0</v>
      </c>
      <c r="U909" s="133">
        <f>'Optional Adjustment 3'!G909*$U$1</f>
        <v>0</v>
      </c>
      <c r="V909" s="133">
        <f>'Optional Adjustment 4'!G909*$V$1</f>
        <v>0</v>
      </c>
      <c r="W909" s="133">
        <f>'Optional Adjustment 5'!G909*$W$1</f>
        <v>0</v>
      </c>
      <c r="X909" s="133">
        <f>'Optional Adjustment 6'!G909*$X$1</f>
        <v>0</v>
      </c>
      <c r="Y909" s="133">
        <f>'Optional Adjustment 7'!G909*$Y$1</f>
        <v>0</v>
      </c>
      <c r="Z909" s="133">
        <f>'Optional Adjustment 8'!G909*$Z$1</f>
        <v>0</v>
      </c>
      <c r="AA909" s="133">
        <f>'Optional Adjustment 9'!G909*$AA$1</f>
        <v>0</v>
      </c>
      <c r="AB909" s="133">
        <f>'Optional Adjustment 10'!G909*$AB$1</f>
        <v>0</v>
      </c>
      <c r="AC909" s="133">
        <f>'Optional Adjustment 11'!G909*$AC$1</f>
        <v>0</v>
      </c>
      <c r="AD909" s="133">
        <f>'Optional Adjustment 12'!G909*$AD$1</f>
        <v>0</v>
      </c>
      <c r="AE909" s="133">
        <f>'Optional Adjustment 13'!G909*$AE$1</f>
        <v>0</v>
      </c>
      <c r="AF909" s="133">
        <f>'Optional Adjustment 14'!G909*$AF$1</f>
        <v>0</v>
      </c>
      <c r="AG909" s="133">
        <f>'Optional Adjustment 15'!G909*$AG$1</f>
        <v>0</v>
      </c>
      <c r="AH909" s="133">
        <f>'Optional Adjustment 16'!G909*$AH$1</f>
        <v>0</v>
      </c>
      <c r="AI909" s="133">
        <f>'Optional Adjustment 17'!G909*$AI$1</f>
        <v>0</v>
      </c>
      <c r="AJ909" s="133">
        <f>'Optional Adjustment 18'!G909*$AJ$1</f>
        <v>0</v>
      </c>
      <c r="AK909" s="133">
        <f>'Optional Adjustment 19'!G909*$AK$1</f>
        <v>0</v>
      </c>
      <c r="AL909" s="133">
        <f>'Optional Adjustment 20'!G909*$AL$1</f>
        <v>0</v>
      </c>
      <c r="AM909" s="133">
        <f>'Optional Adjustment 21'!G909*$AM$1</f>
        <v>0</v>
      </c>
      <c r="AN909" s="133">
        <f>'Optional Adjustment 22'!G909*$AN$1</f>
        <v>0</v>
      </c>
      <c r="AO909" s="133">
        <f>'Optional Adjustment 23'!G909*$AO$1</f>
        <v>0</v>
      </c>
      <c r="AP909" s="133">
        <f>'Optional Adjustment 24'!G909*$AP$1</f>
        <v>0</v>
      </c>
      <c r="AQ909" s="133">
        <f>'Optional Adjustment 25'!G909*$AQ$1</f>
        <v>0</v>
      </c>
      <c r="AR909" s="133">
        <f>'Optional Adjustment 26'!G909*$AR$1</f>
        <v>0</v>
      </c>
      <c r="AS909" s="133">
        <f>'Optional Adjustment 27'!G909*$AS$1</f>
        <v>0</v>
      </c>
      <c r="AT909" s="133"/>
      <c r="AU909" s="133">
        <f>SUM(F909:AT909)</f>
        <v>0</v>
      </c>
      <c r="AV909" s="116"/>
      <c r="AW909" s="133">
        <f>SUM(AU909:AU909)</f>
        <v>0</v>
      </c>
      <c r="AX909" s="133">
        <f>+AW909-'ROR-Model'!G910</f>
        <v>0</v>
      </c>
    </row>
    <row r="910" spans="1:50">
      <c r="A910" s="134"/>
      <c r="B910" s="106"/>
      <c r="C910" s="106" t="s">
        <v>595</v>
      </c>
      <c r="D910" s="106"/>
      <c r="E910" s="331"/>
      <c r="F910" s="116"/>
      <c r="G910" s="116">
        <f>+EXPENSES!L398*G1</f>
        <v>0</v>
      </c>
      <c r="H910" s="116"/>
      <c r="I910" s="116"/>
      <c r="J910" s="116"/>
      <c r="K910" s="116"/>
      <c r="L910" s="116"/>
      <c r="M910" s="116"/>
      <c r="N910" s="116"/>
      <c r="O910" s="116"/>
      <c r="P910" s="116"/>
      <c r="Q910" s="133"/>
      <c r="R910" s="133"/>
      <c r="S910" s="133"/>
      <c r="T910" s="133">
        <f>'Optional Adjustment 2'!G910*$T$1</f>
        <v>0</v>
      </c>
      <c r="U910" s="133">
        <f>'Optional Adjustment 3'!G910*$U$1</f>
        <v>0</v>
      </c>
      <c r="V910" s="133">
        <f>'Optional Adjustment 4'!G910*$V$1</f>
        <v>0</v>
      </c>
      <c r="W910" s="133">
        <f>'Optional Adjustment 5'!G910*$W$1</f>
        <v>0</v>
      </c>
      <c r="X910" s="133">
        <f>'Optional Adjustment 6'!G910*$X$1</f>
        <v>0</v>
      </c>
      <c r="Y910" s="133">
        <f>'Optional Adjustment 7'!G910*$Y$1</f>
        <v>0</v>
      </c>
      <c r="Z910" s="133">
        <f>'Optional Adjustment 8'!G910*$Z$1</f>
        <v>0</v>
      </c>
      <c r="AA910" s="133">
        <f>'Optional Adjustment 9'!G910*$AA$1</f>
        <v>0</v>
      </c>
      <c r="AB910" s="133">
        <f>'Optional Adjustment 10'!G910*$AB$1</f>
        <v>0</v>
      </c>
      <c r="AC910" s="133">
        <f>'Optional Adjustment 11'!G910*$AC$1</f>
        <v>0</v>
      </c>
      <c r="AD910" s="133">
        <f>'Optional Adjustment 12'!G910*$AD$1</f>
        <v>0</v>
      </c>
      <c r="AE910" s="133">
        <f>'Optional Adjustment 13'!G910*$AE$1</f>
        <v>0</v>
      </c>
      <c r="AF910" s="133">
        <f>'Optional Adjustment 14'!G910*$AF$1</f>
        <v>0</v>
      </c>
      <c r="AG910" s="133">
        <f>'Optional Adjustment 15'!G910*$AG$1</f>
        <v>0</v>
      </c>
      <c r="AH910" s="133">
        <f>'Optional Adjustment 16'!G910*$AH$1</f>
        <v>0</v>
      </c>
      <c r="AI910" s="133">
        <f>'Optional Adjustment 17'!G910*$AI$1</f>
        <v>0</v>
      </c>
      <c r="AJ910" s="133">
        <f>'Optional Adjustment 18'!G910*$AJ$1</f>
        <v>0</v>
      </c>
      <c r="AK910" s="133">
        <f>'Optional Adjustment 19'!G910*$AK$1</f>
        <v>0</v>
      </c>
      <c r="AL910" s="133">
        <f>'Optional Adjustment 20'!G910*$AL$1</f>
        <v>0</v>
      </c>
      <c r="AM910" s="133">
        <f>'Optional Adjustment 21'!G910*$AM$1</f>
        <v>0</v>
      </c>
      <c r="AN910" s="133">
        <f>'Optional Adjustment 22'!G910*$AN$1</f>
        <v>0</v>
      </c>
      <c r="AO910" s="133">
        <f>'Optional Adjustment 23'!G910*$AO$1</f>
        <v>0</v>
      </c>
      <c r="AP910" s="133">
        <f>'Optional Adjustment 24'!G910*$AP$1</f>
        <v>0</v>
      </c>
      <c r="AQ910" s="133">
        <f>'Optional Adjustment 25'!G910*$AQ$1</f>
        <v>0</v>
      </c>
      <c r="AR910" s="133">
        <f>'Optional Adjustment 26'!G910*$AR$1</f>
        <v>0</v>
      </c>
      <c r="AS910" s="133">
        <f>'Optional Adjustment 27'!G910*$AS$1</f>
        <v>0</v>
      </c>
      <c r="AT910" s="133"/>
      <c r="AU910" s="133">
        <f>SUM(F910:AT910)</f>
        <v>0</v>
      </c>
      <c r="AV910" s="116"/>
      <c r="AW910" s="133">
        <f>SUM(AU910:AU910)</f>
        <v>0</v>
      </c>
      <c r="AX910" s="133">
        <f>+AW910-'ROR-Model'!G911</f>
        <v>0</v>
      </c>
    </row>
    <row r="911" spans="1:50">
      <c r="A911" s="134"/>
      <c r="B911" s="106"/>
      <c r="C911" s="106" t="s">
        <v>598</v>
      </c>
      <c r="D911" s="106"/>
      <c r="E911" s="331"/>
      <c r="F911" s="131">
        <f>SUM(F907:F910)</f>
        <v>0</v>
      </c>
      <c r="G911" s="131">
        <f>SUM(G907:G910)</f>
        <v>-17107.560000000001</v>
      </c>
      <c r="H911" s="131"/>
      <c r="I911" s="131">
        <f>SUM(I907:I910)</f>
        <v>0</v>
      </c>
      <c r="J911" s="131">
        <f t="shared" ref="J911:P911" si="1148">SUM(J907:J910)</f>
        <v>0</v>
      </c>
      <c r="K911" s="131">
        <f t="shared" si="1148"/>
        <v>0</v>
      </c>
      <c r="L911" s="131">
        <f t="shared" si="1148"/>
        <v>0</v>
      </c>
      <c r="M911" s="131">
        <f t="shared" si="1148"/>
        <v>0</v>
      </c>
      <c r="N911" s="131">
        <f t="shared" si="1148"/>
        <v>0</v>
      </c>
      <c r="O911" s="131">
        <f t="shared" si="1148"/>
        <v>0</v>
      </c>
      <c r="P911" s="131">
        <f t="shared" si="1148"/>
        <v>0</v>
      </c>
      <c r="Q911" s="241">
        <f>SUM(Q907:Q910)</f>
        <v>0</v>
      </c>
      <c r="R911" s="241">
        <f>SUM(R907:R910)</f>
        <v>0</v>
      </c>
      <c r="S911" s="556"/>
      <c r="T911" s="556">
        <f t="shared" ref="T911:AG911" si="1149">SUM(T907:T910)</f>
        <v>0</v>
      </c>
      <c r="U911" s="556">
        <f t="shared" si="1149"/>
        <v>0</v>
      </c>
      <c r="V911" s="556">
        <f t="shared" si="1149"/>
        <v>0</v>
      </c>
      <c r="W911" s="556">
        <f t="shared" si="1149"/>
        <v>0</v>
      </c>
      <c r="X911" s="556">
        <f t="shared" si="1149"/>
        <v>0</v>
      </c>
      <c r="Y911" s="556">
        <f t="shared" si="1149"/>
        <v>0</v>
      </c>
      <c r="Z911" s="556">
        <f t="shared" si="1149"/>
        <v>0</v>
      </c>
      <c r="AA911" s="556">
        <f t="shared" si="1149"/>
        <v>0</v>
      </c>
      <c r="AB911" s="556">
        <f t="shared" si="1149"/>
        <v>0</v>
      </c>
      <c r="AC911" s="556">
        <f t="shared" si="1149"/>
        <v>0</v>
      </c>
      <c r="AD911" s="556">
        <f t="shared" si="1149"/>
        <v>0</v>
      </c>
      <c r="AE911" s="556">
        <f t="shared" si="1149"/>
        <v>0</v>
      </c>
      <c r="AF911" s="556">
        <f t="shared" si="1149"/>
        <v>0</v>
      </c>
      <c r="AG911" s="556">
        <f t="shared" si="1149"/>
        <v>0</v>
      </c>
      <c r="AH911" s="556">
        <f t="shared" ref="AH911:AK911" si="1150">SUM(AH907:AH910)</f>
        <v>0</v>
      </c>
      <c r="AI911" s="556">
        <f t="shared" si="1150"/>
        <v>0</v>
      </c>
      <c r="AJ911" s="556">
        <f t="shared" si="1150"/>
        <v>0</v>
      </c>
      <c r="AK911" s="556">
        <f t="shared" si="1150"/>
        <v>0</v>
      </c>
      <c r="AL911" s="556">
        <f t="shared" ref="AL911:AP911" si="1151">SUM(AL907:AL910)</f>
        <v>0</v>
      </c>
      <c r="AM911" s="556">
        <f t="shared" si="1151"/>
        <v>0</v>
      </c>
      <c r="AN911" s="556">
        <f t="shared" si="1151"/>
        <v>0</v>
      </c>
      <c r="AO911" s="556">
        <f t="shared" si="1151"/>
        <v>0</v>
      </c>
      <c r="AP911" s="556">
        <f t="shared" si="1151"/>
        <v>0</v>
      </c>
      <c r="AQ911" s="556">
        <f t="shared" ref="AQ911:AS911" si="1152">SUM(AQ907:AQ910)</f>
        <v>0</v>
      </c>
      <c r="AR911" s="556">
        <f t="shared" si="1152"/>
        <v>0</v>
      </c>
      <c r="AS911" s="556">
        <f t="shared" si="1152"/>
        <v>0</v>
      </c>
      <c r="AT911" s="556"/>
      <c r="AU911" s="241">
        <f>SUM(AU907:AU910)</f>
        <v>-17107.560000000001</v>
      </c>
      <c r="AV911" s="131"/>
      <c r="AW911" s="241">
        <f>SUM(AW907:AW910)</f>
        <v>-17107.560000000001</v>
      </c>
      <c r="AX911" s="241">
        <f>+AW911-'ROR-Model'!G924</f>
        <v>0</v>
      </c>
    </row>
    <row r="912" spans="1:50" ht="13.5" thickBot="1">
      <c r="A912" s="134"/>
      <c r="B912" s="106"/>
      <c r="C912" s="106"/>
      <c r="D912" s="106"/>
      <c r="E912" s="331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62"/>
      <c r="R912" s="262"/>
      <c r="S912" s="558"/>
      <c r="T912" s="558"/>
      <c r="U912" s="558"/>
      <c r="V912" s="558"/>
      <c r="W912" s="558"/>
      <c r="X912" s="558"/>
      <c r="Y912" s="558"/>
      <c r="Z912" s="558"/>
      <c r="AA912" s="558"/>
      <c r="AB912" s="558"/>
      <c r="AC912" s="558"/>
      <c r="AD912" s="558"/>
      <c r="AE912" s="558"/>
      <c r="AF912" s="558"/>
      <c r="AG912" s="558"/>
      <c r="AH912" s="558"/>
      <c r="AI912" s="558"/>
      <c r="AJ912" s="558"/>
      <c r="AK912" s="558"/>
      <c r="AL912" s="558"/>
      <c r="AM912" s="558"/>
      <c r="AN912" s="558"/>
      <c r="AO912" s="558"/>
      <c r="AP912" s="558"/>
      <c r="AQ912" s="558"/>
      <c r="AR912" s="558"/>
      <c r="AS912" s="558"/>
      <c r="AT912" s="558"/>
      <c r="AU912" s="262"/>
      <c r="AV912" s="236"/>
      <c r="AW912" s="262"/>
      <c r="AX912" s="262">
        <f>+AW912-'ROR-Model'!G925</f>
        <v>0</v>
      </c>
    </row>
    <row r="913" spans="1:50">
      <c r="A913" s="134"/>
      <c r="B913" s="61" t="s">
        <v>656</v>
      </c>
      <c r="C913" s="106"/>
      <c r="D913" s="106"/>
      <c r="E913" s="331"/>
      <c r="F913" s="116">
        <f>F904+F911</f>
        <v>0</v>
      </c>
      <c r="G913" s="116">
        <f ca="1">G904+G911</f>
        <v>7599271.4346312564</v>
      </c>
      <c r="H913" s="116">
        <f>H1*+H904+H911</f>
        <v>0</v>
      </c>
      <c r="I913" s="116">
        <f>I904+I911</f>
        <v>0</v>
      </c>
      <c r="J913" s="116">
        <f t="shared" ref="J913:Q913" si="1153">J904+J911</f>
        <v>0</v>
      </c>
      <c r="K913" s="116">
        <f t="shared" si="1153"/>
        <v>0</v>
      </c>
      <c r="L913" s="116">
        <f t="shared" si="1153"/>
        <v>0</v>
      </c>
      <c r="M913" s="116">
        <f t="shared" si="1153"/>
        <v>0</v>
      </c>
      <c r="N913" s="116">
        <f t="shared" si="1153"/>
        <v>0</v>
      </c>
      <c r="O913" s="116">
        <f t="shared" si="1153"/>
        <v>0</v>
      </c>
      <c r="P913" s="116">
        <f t="shared" si="1153"/>
        <v>0</v>
      </c>
      <c r="Q913" s="133">
        <f t="shared" si="1153"/>
        <v>0</v>
      </c>
      <c r="R913" s="133">
        <f t="shared" ref="R913" si="1154">R904+R911</f>
        <v>0</v>
      </c>
      <c r="S913" s="133"/>
      <c r="T913" s="133">
        <f t="shared" ref="T913:AG913" si="1155">T904+T911</f>
        <v>0</v>
      </c>
      <c r="U913" s="133">
        <f t="shared" si="1155"/>
        <v>0</v>
      </c>
      <c r="V913" s="133">
        <f t="shared" si="1155"/>
        <v>0</v>
      </c>
      <c r="W913" s="133">
        <f t="shared" si="1155"/>
        <v>0</v>
      </c>
      <c r="X913" s="133">
        <f t="shared" si="1155"/>
        <v>0</v>
      </c>
      <c r="Y913" s="133">
        <f t="shared" si="1155"/>
        <v>0</v>
      </c>
      <c r="Z913" s="133">
        <f t="shared" si="1155"/>
        <v>0</v>
      </c>
      <c r="AA913" s="133">
        <f t="shared" si="1155"/>
        <v>0</v>
      </c>
      <c r="AB913" s="133">
        <f t="shared" si="1155"/>
        <v>0</v>
      </c>
      <c r="AC913" s="133">
        <f t="shared" si="1155"/>
        <v>0</v>
      </c>
      <c r="AD913" s="133">
        <f t="shared" si="1155"/>
        <v>0</v>
      </c>
      <c r="AE913" s="133">
        <f t="shared" si="1155"/>
        <v>0</v>
      </c>
      <c r="AF913" s="133">
        <f t="shared" si="1155"/>
        <v>0</v>
      </c>
      <c r="AG913" s="133">
        <f t="shared" si="1155"/>
        <v>0</v>
      </c>
      <c r="AH913" s="133">
        <f t="shared" ref="AH913:AK913" si="1156">AH904+AH911</f>
        <v>0</v>
      </c>
      <c r="AI913" s="133">
        <f t="shared" si="1156"/>
        <v>0</v>
      </c>
      <c r="AJ913" s="133">
        <f t="shared" si="1156"/>
        <v>0</v>
      </c>
      <c r="AK913" s="133">
        <f t="shared" si="1156"/>
        <v>0</v>
      </c>
      <c r="AL913" s="133">
        <f t="shared" ref="AL913:AP913" si="1157">AL904+AL911</f>
        <v>0</v>
      </c>
      <c r="AM913" s="133">
        <f t="shared" si="1157"/>
        <v>0</v>
      </c>
      <c r="AN913" s="133">
        <f t="shared" si="1157"/>
        <v>0</v>
      </c>
      <c r="AO913" s="133">
        <f t="shared" si="1157"/>
        <v>0</v>
      </c>
      <c r="AP913" s="133">
        <f t="shared" si="1157"/>
        <v>0</v>
      </c>
      <c r="AQ913" s="133">
        <f t="shared" ref="AQ913:AS913" si="1158">AQ904+AQ911</f>
        <v>0</v>
      </c>
      <c r="AR913" s="133">
        <f t="shared" si="1158"/>
        <v>0</v>
      </c>
      <c r="AS913" s="133">
        <f t="shared" si="1158"/>
        <v>0</v>
      </c>
      <c r="AT913" s="133"/>
      <c r="AU913" s="133">
        <f ca="1">SUM(F913:AT913)</f>
        <v>7599271.4346312564</v>
      </c>
      <c r="AV913" s="116"/>
      <c r="AW913" s="133">
        <f ca="1">SUM(AU913:AU913)</f>
        <v>7599271.4346312564</v>
      </c>
      <c r="AX913" s="133">
        <f ca="1">+AW913-'ROR-Model'!G926</f>
        <v>0</v>
      </c>
    </row>
    <row r="914" spans="1:50">
      <c r="A914" s="134"/>
      <c r="B914" s="106"/>
      <c r="C914" s="106"/>
      <c r="D914" s="106"/>
      <c r="E914" s="331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16"/>
      <c r="AW914" s="133"/>
      <c r="AX914" s="133">
        <f>+AW914-'ROR-Model'!G927</f>
        <v>0</v>
      </c>
    </row>
    <row r="915" spans="1:50">
      <c r="A915" s="62" t="s">
        <v>657</v>
      </c>
      <c r="B915" s="106"/>
      <c r="C915" s="106"/>
      <c r="D915" s="106"/>
      <c r="E915" s="331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16"/>
      <c r="AW915" s="133"/>
      <c r="AX915" s="133">
        <f>+AW915-'ROR-Model'!G928</f>
        <v>0</v>
      </c>
    </row>
    <row r="916" spans="1:50">
      <c r="A916" s="134">
        <v>408</v>
      </c>
      <c r="B916" s="106" t="s">
        <v>599</v>
      </c>
      <c r="C916" s="106"/>
      <c r="D916" s="106"/>
      <c r="E916" s="331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16"/>
      <c r="AW916" s="133"/>
      <c r="AX916" s="133">
        <f>+AW916-'ROR-Model'!G929</f>
        <v>0</v>
      </c>
    </row>
    <row r="917" spans="1:50">
      <c r="A917" s="330"/>
      <c r="B917" s="106"/>
      <c r="C917" s="106" t="s">
        <v>443</v>
      </c>
      <c r="D917" s="106"/>
      <c r="E917" s="331"/>
      <c r="F917" s="116"/>
      <c r="G917" s="116">
        <f>+EXPENSES!L405*G1</f>
        <v>0</v>
      </c>
      <c r="H917" s="116"/>
      <c r="I917" s="116"/>
      <c r="J917" s="116"/>
      <c r="K917" s="116"/>
      <c r="L917" s="116"/>
      <c r="M917" s="116"/>
      <c r="N917" s="116"/>
      <c r="O917" s="116"/>
      <c r="P917" s="116"/>
      <c r="Q917" s="133"/>
      <c r="R917" s="133"/>
      <c r="S917" s="133"/>
      <c r="T917" s="133">
        <f>'Optional Adjustment 2'!G917*$T$1</f>
        <v>0</v>
      </c>
      <c r="U917" s="133">
        <f>'Optional Adjustment 3'!G917*$U$1</f>
        <v>0</v>
      </c>
      <c r="V917" s="133">
        <f>'Optional Adjustment 4'!G917*$V$1</f>
        <v>0</v>
      </c>
      <c r="W917" s="133">
        <f>'Optional Adjustment 5'!G917*$W$1</f>
        <v>0</v>
      </c>
      <c r="X917" s="133">
        <f>'Optional Adjustment 6'!G917*$X$1</f>
        <v>0</v>
      </c>
      <c r="Y917" s="133">
        <f>'Optional Adjustment 7'!G917*$Y$1</f>
        <v>0</v>
      </c>
      <c r="Z917" s="133">
        <f>'Optional Adjustment 8'!G917*$Z$1</f>
        <v>0</v>
      </c>
      <c r="AA917" s="133">
        <f>'Optional Adjustment 9'!G917*$AA$1</f>
        <v>0</v>
      </c>
      <c r="AB917" s="133">
        <f>'Optional Adjustment 10'!G917*$AB$1</f>
        <v>0</v>
      </c>
      <c r="AC917" s="133">
        <f>'Optional Adjustment 11'!G917*$AC$1</f>
        <v>0</v>
      </c>
      <c r="AD917" s="133">
        <f>'Optional Adjustment 12'!G917*$AD$1</f>
        <v>0</v>
      </c>
      <c r="AE917" s="133">
        <f>'Optional Adjustment 13'!G917*$AE$1</f>
        <v>0</v>
      </c>
      <c r="AF917" s="133">
        <f>'Optional Adjustment 14'!G917*$AF$1</f>
        <v>0</v>
      </c>
      <c r="AG917" s="133">
        <f>'Optional Adjustment 15'!G917*$AG$1</f>
        <v>0</v>
      </c>
      <c r="AH917" s="133">
        <f>'Optional Adjustment 16'!G917*$AH$1</f>
        <v>0</v>
      </c>
      <c r="AI917" s="133">
        <f>'Optional Adjustment 17'!G917*$AI$1</f>
        <v>0</v>
      </c>
      <c r="AJ917" s="133">
        <f>'Optional Adjustment 18'!G917*$AJ$1</f>
        <v>0</v>
      </c>
      <c r="AK917" s="133">
        <f>'Optional Adjustment 19'!G917*$AK$1</f>
        <v>0</v>
      </c>
      <c r="AL917" s="133">
        <f>'Optional Adjustment 20'!G917*$AL$1</f>
        <v>0</v>
      </c>
      <c r="AM917" s="133">
        <f>'Optional Adjustment 21'!G917*$AM$1</f>
        <v>0</v>
      </c>
      <c r="AN917" s="133">
        <f>'Optional Adjustment 22'!G917*$AN$1</f>
        <v>0</v>
      </c>
      <c r="AO917" s="133">
        <f>'Optional Adjustment 23'!G917*$AO$1</f>
        <v>0</v>
      </c>
      <c r="AP917" s="133">
        <f>'Optional Adjustment 24'!G917*$AP$1</f>
        <v>0</v>
      </c>
      <c r="AQ917" s="133">
        <f>'Optional Adjustment 25'!G917*$AQ$1</f>
        <v>0</v>
      </c>
      <c r="AR917" s="133">
        <f>'Optional Adjustment 26'!G917*$AR$1</f>
        <v>0</v>
      </c>
      <c r="AS917" s="133">
        <f>'Optional Adjustment 27'!G917*$AS$1</f>
        <v>0</v>
      </c>
      <c r="AT917" s="133"/>
      <c r="AU917" s="133">
        <f>SUM(F917:AT917)</f>
        <v>0</v>
      </c>
      <c r="AV917" s="116"/>
      <c r="AW917" s="133">
        <f>SUM(AU917:AU917)</f>
        <v>0</v>
      </c>
      <c r="AX917" s="133">
        <f>+AW917-'ROR-Model'!G930</f>
        <v>0</v>
      </c>
    </row>
    <row r="918" spans="1:50">
      <c r="A918" s="330"/>
      <c r="B918" s="106"/>
      <c r="C918" s="106" t="s">
        <v>592</v>
      </c>
      <c r="D918" s="106"/>
      <c r="E918" s="331"/>
      <c r="F918" s="116"/>
      <c r="G918" s="116">
        <f>+EXPENSES!L406*G1</f>
        <v>88754.536238336354</v>
      </c>
      <c r="H918" s="116"/>
      <c r="I918" s="116"/>
      <c r="J918" s="116"/>
      <c r="K918" s="116"/>
      <c r="L918" s="116"/>
      <c r="M918" s="116"/>
      <c r="N918" s="116"/>
      <c r="O918" s="116"/>
      <c r="P918" s="116"/>
      <c r="Q918" s="133"/>
      <c r="R918" s="133"/>
      <c r="S918" s="133"/>
      <c r="T918" s="133">
        <f>'Optional Adjustment 2'!G918*$T$1</f>
        <v>0</v>
      </c>
      <c r="U918" s="133">
        <f>'Optional Adjustment 3'!G918*$U$1</f>
        <v>0</v>
      </c>
      <c r="V918" s="133">
        <f>'Optional Adjustment 4'!G918*$V$1</f>
        <v>0</v>
      </c>
      <c r="W918" s="133">
        <f>'Optional Adjustment 5'!G918*$W$1</f>
        <v>0</v>
      </c>
      <c r="X918" s="133">
        <f>'Optional Adjustment 6'!G918*$X$1</f>
        <v>0</v>
      </c>
      <c r="Y918" s="133">
        <f>'Optional Adjustment 7'!G918*$Y$1</f>
        <v>0</v>
      </c>
      <c r="Z918" s="133">
        <f>'Optional Adjustment 8'!G918*$Z$1</f>
        <v>0</v>
      </c>
      <c r="AA918" s="133">
        <f>'Optional Adjustment 9'!G918*$AA$1</f>
        <v>0</v>
      </c>
      <c r="AB918" s="133">
        <f>'Optional Adjustment 10'!G918*$AB$1</f>
        <v>0</v>
      </c>
      <c r="AC918" s="133">
        <f>'Optional Adjustment 11'!G918*$AC$1</f>
        <v>0</v>
      </c>
      <c r="AD918" s="133">
        <f>'Optional Adjustment 12'!G918*$AD$1</f>
        <v>0</v>
      </c>
      <c r="AE918" s="133">
        <f>'Optional Adjustment 13'!G918*$AE$1</f>
        <v>0</v>
      </c>
      <c r="AF918" s="133">
        <f>'Optional Adjustment 14'!G918*$AF$1</f>
        <v>0</v>
      </c>
      <c r="AG918" s="133">
        <f>'Optional Adjustment 15'!G918*$AG$1</f>
        <v>0</v>
      </c>
      <c r="AH918" s="133">
        <f>'Optional Adjustment 16'!G918*$AH$1</f>
        <v>0</v>
      </c>
      <c r="AI918" s="133">
        <f>'Optional Adjustment 17'!G918*$AI$1</f>
        <v>0</v>
      </c>
      <c r="AJ918" s="133">
        <f>'Optional Adjustment 18'!G918*$AJ$1</f>
        <v>0</v>
      </c>
      <c r="AK918" s="133">
        <f>'Optional Adjustment 19'!G918*$AK$1</f>
        <v>0</v>
      </c>
      <c r="AL918" s="133">
        <f>'Optional Adjustment 20'!G918*$AL$1</f>
        <v>0</v>
      </c>
      <c r="AM918" s="133">
        <f>'Optional Adjustment 21'!G918*$AM$1</f>
        <v>0</v>
      </c>
      <c r="AN918" s="133">
        <f>'Optional Adjustment 22'!G918*$AN$1</f>
        <v>0</v>
      </c>
      <c r="AO918" s="133">
        <f>'Optional Adjustment 23'!G918*$AO$1</f>
        <v>0</v>
      </c>
      <c r="AP918" s="133">
        <f>'Optional Adjustment 24'!G918*$AP$1</f>
        <v>0</v>
      </c>
      <c r="AQ918" s="133">
        <f>'Optional Adjustment 25'!G918*$AQ$1</f>
        <v>0</v>
      </c>
      <c r="AR918" s="133">
        <f>'Optional Adjustment 26'!G918*$AR$1</f>
        <v>0</v>
      </c>
      <c r="AS918" s="133">
        <f>'Optional Adjustment 27'!G918*$AS$1</f>
        <v>0</v>
      </c>
      <c r="AT918" s="133"/>
      <c r="AU918" s="133">
        <f>SUM(F918:AT918)</f>
        <v>88754.536238336354</v>
      </c>
      <c r="AV918" s="116"/>
      <c r="AW918" s="133">
        <f>SUM(AU918:AU918)</f>
        <v>88754.536238336354</v>
      </c>
      <c r="AX918" s="133">
        <f>+AW918-'ROR-Model'!G931</f>
        <v>0</v>
      </c>
    </row>
    <row r="919" spans="1:50">
      <c r="A919" s="330"/>
      <c r="B919" s="106"/>
      <c r="C919" s="106" t="s">
        <v>593</v>
      </c>
      <c r="D919" s="106"/>
      <c r="E919" s="331"/>
      <c r="F919" s="116"/>
      <c r="G919" s="116">
        <f>+EXPENSES!L407*G1</f>
        <v>2079470.8116224334</v>
      </c>
      <c r="H919" s="116"/>
      <c r="I919" s="116"/>
      <c r="J919" s="116"/>
      <c r="K919" s="116"/>
      <c r="L919" s="116"/>
      <c r="M919" s="116"/>
      <c r="N919" s="116"/>
      <c r="O919" s="116"/>
      <c r="P919" s="116"/>
      <c r="Q919" s="133"/>
      <c r="R919" s="133"/>
      <c r="S919" s="133"/>
      <c r="T919" s="133">
        <f>'Optional Adjustment 2'!G919*$T$1</f>
        <v>0</v>
      </c>
      <c r="U919" s="133">
        <f>'Optional Adjustment 3'!G919*$U$1</f>
        <v>0</v>
      </c>
      <c r="V919" s="133">
        <f>'Optional Adjustment 4'!G919*$V$1</f>
        <v>0</v>
      </c>
      <c r="W919" s="133">
        <f>'Optional Adjustment 5'!G919*$W$1</f>
        <v>0</v>
      </c>
      <c r="X919" s="133">
        <f>'Optional Adjustment 6'!G919*$X$1</f>
        <v>0</v>
      </c>
      <c r="Y919" s="133">
        <f>'Optional Adjustment 7'!G919*$Y$1</f>
        <v>0</v>
      </c>
      <c r="Z919" s="133">
        <f>'Optional Adjustment 8'!G919*$Z$1</f>
        <v>0</v>
      </c>
      <c r="AA919" s="133">
        <f>'Optional Adjustment 9'!G919*$AA$1</f>
        <v>0</v>
      </c>
      <c r="AB919" s="133">
        <f>'Optional Adjustment 10'!G919*$AB$1</f>
        <v>0</v>
      </c>
      <c r="AC919" s="133">
        <f>'Optional Adjustment 11'!G919*$AC$1</f>
        <v>0</v>
      </c>
      <c r="AD919" s="133">
        <f>'Optional Adjustment 12'!G919*$AD$1</f>
        <v>0</v>
      </c>
      <c r="AE919" s="133">
        <f>'Optional Adjustment 13'!G919*$AE$1</f>
        <v>0</v>
      </c>
      <c r="AF919" s="133">
        <f>'Optional Adjustment 14'!G919*$AF$1</f>
        <v>0</v>
      </c>
      <c r="AG919" s="133">
        <f>'Optional Adjustment 15'!G919*$AG$1</f>
        <v>0</v>
      </c>
      <c r="AH919" s="133">
        <f>'Optional Adjustment 16'!G919*$AH$1</f>
        <v>0</v>
      </c>
      <c r="AI919" s="133">
        <f>'Optional Adjustment 17'!G919*$AI$1</f>
        <v>0</v>
      </c>
      <c r="AJ919" s="133">
        <f>'Optional Adjustment 18'!G919*$AJ$1</f>
        <v>0</v>
      </c>
      <c r="AK919" s="133">
        <f>'Optional Adjustment 19'!G919*$AK$1</f>
        <v>0</v>
      </c>
      <c r="AL919" s="133">
        <f>'Optional Adjustment 20'!G919*$AL$1</f>
        <v>0</v>
      </c>
      <c r="AM919" s="133">
        <f>'Optional Adjustment 21'!G919*$AM$1</f>
        <v>0</v>
      </c>
      <c r="AN919" s="133">
        <f>'Optional Adjustment 22'!G919*$AN$1</f>
        <v>0</v>
      </c>
      <c r="AO919" s="133">
        <f>'Optional Adjustment 23'!G919*$AO$1</f>
        <v>0</v>
      </c>
      <c r="AP919" s="133">
        <f>'Optional Adjustment 24'!G919*$AP$1</f>
        <v>0</v>
      </c>
      <c r="AQ919" s="133">
        <f>'Optional Adjustment 25'!G919*$AQ$1</f>
        <v>0</v>
      </c>
      <c r="AR919" s="133">
        <f>'Optional Adjustment 26'!G919*$AR$1</f>
        <v>0</v>
      </c>
      <c r="AS919" s="133">
        <f>'Optional Adjustment 27'!G919*$AS$1</f>
        <v>0</v>
      </c>
      <c r="AT919" s="133"/>
      <c r="AU919" s="133">
        <f>SUM(F919:AT919)</f>
        <v>2079470.8116224334</v>
      </c>
      <c r="AV919" s="116"/>
      <c r="AW919" s="133">
        <f>SUM(AU919:AU919)</f>
        <v>2079470.8116224334</v>
      </c>
      <c r="AX919" s="133">
        <f>+AW919-'ROR-Model'!G932</f>
        <v>0</v>
      </c>
    </row>
    <row r="920" spans="1:50">
      <c r="A920" s="330"/>
      <c r="B920" s="106"/>
      <c r="C920" s="106" t="s">
        <v>595</v>
      </c>
      <c r="D920" s="106"/>
      <c r="E920" s="331"/>
      <c r="F920" s="116"/>
      <c r="G920" s="116">
        <f>+EXPENSES!L408*G1</f>
        <v>174474.59461585339</v>
      </c>
      <c r="H920" s="116"/>
      <c r="I920" s="116"/>
      <c r="J920" s="116"/>
      <c r="K920" s="116"/>
      <c r="L920" s="116"/>
      <c r="M920" s="116"/>
      <c r="N920" s="116"/>
      <c r="O920" s="116"/>
      <c r="P920" s="116"/>
      <c r="Q920" s="133"/>
      <c r="R920" s="133"/>
      <c r="S920" s="133"/>
      <c r="T920" s="133">
        <f>'Optional Adjustment 2'!G920*$T$1</f>
        <v>0</v>
      </c>
      <c r="U920" s="133">
        <f>'Optional Adjustment 3'!G920*$U$1</f>
        <v>0</v>
      </c>
      <c r="V920" s="133">
        <f>'Optional Adjustment 4'!G920*$V$1</f>
        <v>0</v>
      </c>
      <c r="W920" s="133">
        <f>'Optional Adjustment 5'!G920*$W$1</f>
        <v>0</v>
      </c>
      <c r="X920" s="133">
        <f>'Optional Adjustment 6'!G920*$X$1</f>
        <v>0</v>
      </c>
      <c r="Y920" s="133">
        <f>'Optional Adjustment 7'!G920*$Y$1</f>
        <v>0</v>
      </c>
      <c r="Z920" s="133">
        <f>'Optional Adjustment 8'!G920*$Z$1</f>
        <v>0</v>
      </c>
      <c r="AA920" s="133">
        <f>'Optional Adjustment 9'!G920*$AA$1</f>
        <v>0</v>
      </c>
      <c r="AB920" s="133">
        <f>'Optional Adjustment 10'!G920*$AB$1</f>
        <v>0</v>
      </c>
      <c r="AC920" s="133">
        <f>'Optional Adjustment 11'!G920*$AC$1</f>
        <v>0</v>
      </c>
      <c r="AD920" s="133">
        <f>'Optional Adjustment 12'!G920*$AD$1</f>
        <v>0</v>
      </c>
      <c r="AE920" s="133">
        <f>'Optional Adjustment 13'!G920*$AE$1</f>
        <v>0</v>
      </c>
      <c r="AF920" s="133">
        <f>'Optional Adjustment 14'!G920*$AF$1</f>
        <v>0</v>
      </c>
      <c r="AG920" s="133">
        <f>'Optional Adjustment 15'!G920*$AG$1</f>
        <v>0</v>
      </c>
      <c r="AH920" s="133">
        <f>'Optional Adjustment 16'!G920*$AH$1</f>
        <v>0</v>
      </c>
      <c r="AI920" s="133">
        <f>'Optional Adjustment 17'!G920*$AI$1</f>
        <v>0</v>
      </c>
      <c r="AJ920" s="133">
        <f>'Optional Adjustment 18'!G920*$AJ$1</f>
        <v>0</v>
      </c>
      <c r="AK920" s="133">
        <f>'Optional Adjustment 19'!G920*$AK$1</f>
        <v>0</v>
      </c>
      <c r="AL920" s="133">
        <f>'Optional Adjustment 20'!G920*$AL$1</f>
        <v>0</v>
      </c>
      <c r="AM920" s="133">
        <f>'Optional Adjustment 21'!G920*$AM$1</f>
        <v>0</v>
      </c>
      <c r="AN920" s="133">
        <f>'Optional Adjustment 22'!G920*$AN$1</f>
        <v>0</v>
      </c>
      <c r="AO920" s="133">
        <f>'Optional Adjustment 23'!G920*$AO$1</f>
        <v>0</v>
      </c>
      <c r="AP920" s="133">
        <f>'Optional Adjustment 24'!G920*$AP$1</f>
        <v>0</v>
      </c>
      <c r="AQ920" s="133">
        <f>'Optional Adjustment 25'!G920*$AQ$1</f>
        <v>0</v>
      </c>
      <c r="AR920" s="133">
        <f>'Optional Adjustment 26'!G920*$AR$1</f>
        <v>0</v>
      </c>
      <c r="AS920" s="133">
        <f>'Optional Adjustment 27'!G920*$AS$1</f>
        <v>0</v>
      </c>
      <c r="AT920" s="133"/>
      <c r="AU920" s="133">
        <f>SUM(F920:AT920)</f>
        <v>174474.59461585339</v>
      </c>
      <c r="AV920" s="116"/>
      <c r="AW920" s="133">
        <f>SUM(AU920:AU920)</f>
        <v>174474.59461585339</v>
      </c>
      <c r="AX920" s="133">
        <f>+AW920-'ROR-Model'!G933</f>
        <v>0</v>
      </c>
    </row>
    <row r="921" spans="1:50">
      <c r="A921" s="330"/>
      <c r="B921" s="106"/>
      <c r="C921" s="106" t="s">
        <v>600</v>
      </c>
      <c r="D921" s="106"/>
      <c r="E921" s="331"/>
      <c r="F921" s="131">
        <f>SUM(F917:F920)</f>
        <v>0</v>
      </c>
      <c r="G921" s="131">
        <f>SUM(G916:G920)</f>
        <v>2342699.9424766232</v>
      </c>
      <c r="H921" s="131">
        <f>H1*SUM(H917:H920)</f>
        <v>0</v>
      </c>
      <c r="I921" s="131">
        <f>SUM(I917:I920)</f>
        <v>0</v>
      </c>
      <c r="J921" s="131">
        <f t="shared" ref="J921:P921" si="1159">SUM(J917:J920)</f>
        <v>0</v>
      </c>
      <c r="K921" s="131">
        <f t="shared" si="1159"/>
        <v>0</v>
      </c>
      <c r="L921" s="131">
        <f t="shared" si="1159"/>
        <v>0</v>
      </c>
      <c r="M921" s="131">
        <f t="shared" si="1159"/>
        <v>0</v>
      </c>
      <c r="N921" s="131">
        <f t="shared" si="1159"/>
        <v>0</v>
      </c>
      <c r="O921" s="131">
        <f t="shared" si="1159"/>
        <v>0</v>
      </c>
      <c r="P921" s="131">
        <f t="shared" si="1159"/>
        <v>0</v>
      </c>
      <c r="Q921" s="241">
        <f>SUM(Q917:Q920)</f>
        <v>0</v>
      </c>
      <c r="R921" s="241">
        <f>SUM(R917:R920)</f>
        <v>0</v>
      </c>
      <c r="S921" s="556"/>
      <c r="T921" s="556">
        <f t="shared" ref="T921:AG921" si="1160">SUM(T917:T920)</f>
        <v>0</v>
      </c>
      <c r="U921" s="556">
        <f t="shared" si="1160"/>
        <v>0</v>
      </c>
      <c r="V921" s="556">
        <f t="shared" si="1160"/>
        <v>0</v>
      </c>
      <c r="W921" s="556">
        <f t="shared" si="1160"/>
        <v>0</v>
      </c>
      <c r="X921" s="556">
        <f t="shared" si="1160"/>
        <v>0</v>
      </c>
      <c r="Y921" s="556">
        <f t="shared" si="1160"/>
        <v>0</v>
      </c>
      <c r="Z921" s="556">
        <f t="shared" si="1160"/>
        <v>0</v>
      </c>
      <c r="AA921" s="556">
        <f t="shared" si="1160"/>
        <v>0</v>
      </c>
      <c r="AB921" s="556">
        <f t="shared" si="1160"/>
        <v>0</v>
      </c>
      <c r="AC921" s="556">
        <f t="shared" si="1160"/>
        <v>0</v>
      </c>
      <c r="AD921" s="556">
        <f t="shared" si="1160"/>
        <v>0</v>
      </c>
      <c r="AE921" s="556">
        <f t="shared" si="1160"/>
        <v>0</v>
      </c>
      <c r="AF921" s="556">
        <f t="shared" si="1160"/>
        <v>0</v>
      </c>
      <c r="AG921" s="556">
        <f t="shared" si="1160"/>
        <v>0</v>
      </c>
      <c r="AH921" s="556">
        <f t="shared" ref="AH921:AK921" si="1161">SUM(AH917:AH920)</f>
        <v>0</v>
      </c>
      <c r="AI921" s="556">
        <f t="shared" si="1161"/>
        <v>0</v>
      </c>
      <c r="AJ921" s="556">
        <f t="shared" si="1161"/>
        <v>0</v>
      </c>
      <c r="AK921" s="556">
        <f t="shared" si="1161"/>
        <v>0</v>
      </c>
      <c r="AL921" s="556">
        <f t="shared" ref="AL921:AP921" si="1162">SUM(AL917:AL920)</f>
        <v>0</v>
      </c>
      <c r="AM921" s="556">
        <f t="shared" si="1162"/>
        <v>0</v>
      </c>
      <c r="AN921" s="556">
        <f t="shared" si="1162"/>
        <v>0</v>
      </c>
      <c r="AO921" s="556">
        <f t="shared" si="1162"/>
        <v>0</v>
      </c>
      <c r="AP921" s="556">
        <f t="shared" si="1162"/>
        <v>0</v>
      </c>
      <c r="AQ921" s="556">
        <f t="shared" ref="AQ921:AS921" si="1163">SUM(AQ917:AQ920)</f>
        <v>0</v>
      </c>
      <c r="AR921" s="556">
        <f t="shared" si="1163"/>
        <v>0</v>
      </c>
      <c r="AS921" s="556">
        <f t="shared" si="1163"/>
        <v>0</v>
      </c>
      <c r="AT921" s="556"/>
      <c r="AU921" s="241">
        <f>SUM(AU917:AU920)</f>
        <v>2342699.9424766232</v>
      </c>
      <c r="AV921" s="131"/>
      <c r="AW921" s="241">
        <f>SUM(AW917:AW920)</f>
        <v>2342699.9424766232</v>
      </c>
      <c r="AX921" s="241">
        <f>+AW921-'ROR-Model'!G934</f>
        <v>0</v>
      </c>
    </row>
    <row r="922" spans="1:50">
      <c r="A922" s="330"/>
      <c r="B922" s="106"/>
      <c r="C922" s="106"/>
      <c r="D922" s="106"/>
      <c r="E922" s="331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16"/>
      <c r="AW922" s="133"/>
      <c r="AX922" s="133">
        <f>+AW922-'ROR-Model'!G935</f>
        <v>0</v>
      </c>
    </row>
    <row r="923" spans="1:50">
      <c r="A923" s="134">
        <v>4090</v>
      </c>
      <c r="B923" s="106" t="s">
        <v>602</v>
      </c>
      <c r="C923" s="106"/>
      <c r="D923" s="106"/>
      <c r="E923" s="331"/>
      <c r="F923" s="116">
        <f>((F512)-(F639+F892+F913+F921-F925))*Taxes!$L$23</f>
        <v>0</v>
      </c>
      <c r="G923" s="116">
        <f ca="1">((G512)-(G639+G892+G913+G921-G925))*Taxes!$L$23</f>
        <v>-2253965.2451780713</v>
      </c>
      <c r="H923" s="116">
        <f>((H512)-(H639+H892+H913+H921-H925))*Taxes!$L$23</f>
        <v>-1476796.9550693939</v>
      </c>
      <c r="I923" s="116">
        <f>((I512)-(I639+I892+I913+I921-I925))*Taxes!$L$23</f>
        <v>0</v>
      </c>
      <c r="J923" s="116">
        <f>((J512)-(J639+J892+J913+J921-J925))*Taxes!$L$23</f>
        <v>0</v>
      </c>
      <c r="K923" s="116">
        <f>((K512)-(K639+K892+K913+K921-K925))*Taxes!$L$23</f>
        <v>5337465.5197357507</v>
      </c>
      <c r="L923" s="116">
        <f>((L512)-(L639+L892+L913+L921-L925))*Taxes!$L$23</f>
        <v>253871.00419851224</v>
      </c>
      <c r="M923" s="116">
        <f ca="1">((M512)-(M639+M892+M913+M921-M925))*Taxes!$L$23</f>
        <v>225168.11160781202</v>
      </c>
      <c r="N923" s="116">
        <f ca="1">((N512)-(N639+N892+N913+N921-N925))*Taxes!$L$23</f>
        <v>0</v>
      </c>
      <c r="O923" s="116">
        <f ca="1">((O512)-(O639+O892+O913+O921-O925))*Taxes!$L$23</f>
        <v>1488.9717494422728</v>
      </c>
      <c r="P923" s="116">
        <f ca="1">((P512)-(P639+P892+P913+P921-P925))*Taxes!$L$23</f>
        <v>47494.919049985787</v>
      </c>
      <c r="Q923" s="116">
        <f ca="1">((Q512)-(Q639+Q892+Q913+Q921-Q925))*Taxes!$L$23</f>
        <v>-36541.043256876445</v>
      </c>
      <c r="R923" s="116">
        <f>((R512)-(R639+R892+R913+R921-R925))*Taxes!$L$23</f>
        <v>-3616731.8717774134</v>
      </c>
      <c r="S923" s="116">
        <f>((S512)-(S639+S892+S913+S921-S925))*Taxes!$L$23</f>
        <v>0</v>
      </c>
      <c r="T923" s="116">
        <f>((T512)-(T639+T892+T913+T921-T925))*Taxes!$L$23</f>
        <v>0</v>
      </c>
      <c r="U923" s="116">
        <f>((U512)-(U639+U892+U913+U921-U925))*Taxes!$L$23</f>
        <v>0</v>
      </c>
      <c r="V923" s="116">
        <f>((V512)-(V639+V892+V913+V921-V925))*Taxes!$L$23</f>
        <v>0</v>
      </c>
      <c r="W923" s="116">
        <f>((W512)-(W639+W892+W913+W921-W925))*Taxes!$L$23</f>
        <v>0</v>
      </c>
      <c r="X923" s="116">
        <f>((X512)-(X639+X892+X913+X921-X925))*Taxes!$L$23</f>
        <v>0</v>
      </c>
      <c r="Y923" s="116">
        <f>((Y512)-(Y639+Y892+Y913+Y921-Y925))*Taxes!$L$23</f>
        <v>0</v>
      </c>
      <c r="Z923" s="116">
        <f>((Z512)-(Z639+Z892+Z913+Z921-Z925))*Taxes!$L$23</f>
        <v>0</v>
      </c>
      <c r="AA923" s="116">
        <f>((AA512)-(AA639+AA892+AA913+AA921-AA925))*Taxes!$L$23</f>
        <v>0</v>
      </c>
      <c r="AB923" s="116">
        <f>((AB512)-(AB639+AB892+AB913+AB921-AB925))*Taxes!$L$23</f>
        <v>0</v>
      </c>
      <c r="AC923" s="116">
        <f>((AC512)-(AC639+AC892+AC913+AC921-AC925))*Taxes!$L$23</f>
        <v>0</v>
      </c>
      <c r="AD923" s="116">
        <f>((AD512)-(AD639+AD892+AD913+AD921-AD925))*Taxes!$L$23</f>
        <v>0</v>
      </c>
      <c r="AE923" s="116">
        <f>((AE512)-(AE639+AE892+AE913+AE921-AE925))*Taxes!$L$23</f>
        <v>0</v>
      </c>
      <c r="AF923" s="116">
        <f>((AF512)-(AF639+AF892+AF913+AF921-AF925))*Taxes!$L$23</f>
        <v>0</v>
      </c>
      <c r="AG923" s="116">
        <f>((AG512)-(AG639+AG892+AG913+AG921-AG925))*Taxes!$L$23</f>
        <v>0</v>
      </c>
      <c r="AH923" s="116">
        <f>((AH512)-(AH639+AH892+AH913+AH921-AH925))*Taxes!$L$23</f>
        <v>0</v>
      </c>
      <c r="AI923" s="116">
        <f>((AI512)-(AI639+AI892+AI913+AI921-AI925))*Taxes!$L$23</f>
        <v>0</v>
      </c>
      <c r="AJ923" s="116">
        <f>((AJ512)-(AJ639+AJ892+AJ913+AJ921-AJ925))*Taxes!$L$23</f>
        <v>0</v>
      </c>
      <c r="AK923" s="116">
        <f>((AK512)-(AK639+AK892+AK913+AK921-AK925))*Taxes!$L$23</f>
        <v>0</v>
      </c>
      <c r="AL923" s="116">
        <f>((AL512)-(AL639+AL892+AL913+AL921-AL925))*Taxes!$L$23</f>
        <v>0</v>
      </c>
      <c r="AM923" s="116">
        <f>((AM512)-(AM639+AM892+AM913+AM921-AM925))*Taxes!$L$23</f>
        <v>0</v>
      </c>
      <c r="AN923" s="116">
        <f>((AN512)-(AN639+AN892+AN913+AN921-AN925))*Taxes!$L$23</f>
        <v>0</v>
      </c>
      <c r="AO923" s="116">
        <f>((AO512)-(AO639+AO892+AO913+AO921-AO925))*Taxes!$L$23</f>
        <v>0</v>
      </c>
      <c r="AP923" s="116">
        <f>((AP512)-(AP639+AP892+AP913+AP921-AP925))*Taxes!$L$23</f>
        <v>0</v>
      </c>
      <c r="AQ923" s="116">
        <f>((AQ512)-(AQ639+AQ892+AQ913+AQ921-AQ925))*Taxes!$L$23</f>
        <v>0</v>
      </c>
      <c r="AR923" s="116">
        <f>((AR512)-(AR639+AR892+AR913+AR921-AR925))*Taxes!$L$23</f>
        <v>0</v>
      </c>
      <c r="AS923" s="116">
        <f>((AS512)-(AS639+AS892+AS913+AS921-AS925))*Taxes!$L$23</f>
        <v>0</v>
      </c>
      <c r="AT923" s="116">
        <f>((AT512)-(AT639+AT892+AT913+AT921-AT925))*Taxes!$L$23</f>
        <v>0</v>
      </c>
      <c r="AU923" s="116">
        <f ca="1">((AU512)-(AU639+AU892+AU913+AU921-AU925))*Taxes!$L$23</f>
        <v>-1518546.5889402514</v>
      </c>
      <c r="AV923" s="116"/>
      <c r="AW923" s="133">
        <f ca="1">SUM(AU923:AU923)</f>
        <v>-1518546.5889402514</v>
      </c>
      <c r="AX923" s="133">
        <f ca="1">+AW923-'ROR-Model'!G936</f>
        <v>0</v>
      </c>
    </row>
    <row r="924" spans="1:50">
      <c r="A924" s="134"/>
      <c r="B924" s="106"/>
      <c r="C924" s="106"/>
      <c r="D924" s="106"/>
      <c r="E924" s="331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16"/>
      <c r="AW924" s="133"/>
      <c r="AX924" s="133">
        <f>+AW924-'ROR-Model'!G937</f>
        <v>0</v>
      </c>
    </row>
    <row r="925" spans="1:50">
      <c r="A925" s="134">
        <v>4091</v>
      </c>
      <c r="B925" s="106" t="s">
        <v>603</v>
      </c>
      <c r="C925" s="106"/>
      <c r="D925" s="106"/>
      <c r="E925" s="331"/>
      <c r="F925" s="116"/>
      <c r="G925" s="116">
        <f>+EXPENSES!L413*G1</f>
        <v>0</v>
      </c>
      <c r="H925" s="116"/>
      <c r="I925" s="116"/>
      <c r="J925" s="116"/>
      <c r="K925" s="116"/>
      <c r="L925" s="116"/>
      <c r="M925" s="116"/>
      <c r="N925" s="116"/>
      <c r="O925" s="116"/>
      <c r="P925" s="116"/>
      <c r="Q925" s="133"/>
      <c r="R925" s="133"/>
      <c r="S925" s="133">
        <f>'Transition Costs'!G963*$S$1</f>
        <v>0</v>
      </c>
      <c r="T925" s="133">
        <f>'Optional Adjustment 2'!G925*$T$1</f>
        <v>0</v>
      </c>
      <c r="U925" s="133">
        <f>'Optional Adjustment 3'!G925*$U$1</f>
        <v>0</v>
      </c>
      <c r="V925" s="133">
        <f>'Optional Adjustment 4'!G925*$V$1</f>
        <v>0</v>
      </c>
      <c r="W925" s="133">
        <f>'Optional Adjustment 5'!G925*$W$1</f>
        <v>0</v>
      </c>
      <c r="X925" s="133">
        <f>'Optional Adjustment 6'!G925*$X$1</f>
        <v>0</v>
      </c>
      <c r="Y925" s="133">
        <f>'Optional Adjustment 7'!G925*$Y$1</f>
        <v>0</v>
      </c>
      <c r="Z925" s="133">
        <f>'Optional Adjustment 8'!G925*$Z$1</f>
        <v>0</v>
      </c>
      <c r="AA925" s="133">
        <f>'Optional Adjustment 9'!G925*$AA$1</f>
        <v>0</v>
      </c>
      <c r="AB925" s="133">
        <f>'Optional Adjustment 10'!G925*$AB$1</f>
        <v>0</v>
      </c>
      <c r="AC925" s="133">
        <f>'Optional Adjustment 11'!G925*$AC$1</f>
        <v>0</v>
      </c>
      <c r="AD925" s="133">
        <f>'Optional Adjustment 12'!G925*$AD$1</f>
        <v>0</v>
      </c>
      <c r="AE925" s="133">
        <f>'Optional Adjustment 13'!G925*$AE$1</f>
        <v>0</v>
      </c>
      <c r="AF925" s="133">
        <f>'Optional Adjustment 14'!G925*$AF$1</f>
        <v>0</v>
      </c>
      <c r="AG925" s="133">
        <f>'Optional Adjustment 15'!G925*$AG$1</f>
        <v>0</v>
      </c>
      <c r="AH925" s="133">
        <f>'Optional Adjustment 16'!G925*$AH$1</f>
        <v>0</v>
      </c>
      <c r="AI925" s="133">
        <f>'Optional Adjustment 17'!G925*$AI$1</f>
        <v>0</v>
      </c>
      <c r="AJ925" s="133">
        <f>'Optional Adjustment 18'!G925*$AJ$1</f>
        <v>0</v>
      </c>
      <c r="AK925" s="133">
        <f>'Optional Adjustment 19'!G925*$AK$1</f>
        <v>0</v>
      </c>
      <c r="AL925" s="133">
        <f>'Optional Adjustment 20'!G925*$AL$1</f>
        <v>0</v>
      </c>
      <c r="AM925" s="133">
        <f>'Optional Adjustment 21'!G925*$AM$1</f>
        <v>0</v>
      </c>
      <c r="AN925" s="133">
        <f>'Optional Adjustment 22'!G925*$AN$1</f>
        <v>0</v>
      </c>
      <c r="AO925" s="133">
        <f>'Optional Adjustment 23'!G925*$AO$1</f>
        <v>0</v>
      </c>
      <c r="AP925" s="133">
        <f>'Optional Adjustment 24'!G925*$AP$1</f>
        <v>0</v>
      </c>
      <c r="AQ925" s="133">
        <f>'Optional Adjustment 25'!G925*$AQ$1</f>
        <v>0</v>
      </c>
      <c r="AR925" s="133">
        <f>'Optional Adjustment 26'!G925*$AR$1</f>
        <v>0</v>
      </c>
      <c r="AS925" s="133">
        <f>'Optional Adjustment 27'!G925*$AS$1</f>
        <v>0</v>
      </c>
      <c r="AT925" s="133"/>
      <c r="AU925" s="133">
        <f>SUM(F925:AT925)</f>
        <v>0</v>
      </c>
      <c r="AV925" s="116"/>
      <c r="AW925" s="133">
        <f>SUM(AU925:AU925)</f>
        <v>0</v>
      </c>
      <c r="AX925" s="133">
        <f>+AW925-'ROR-Model'!G938</f>
        <v>0</v>
      </c>
    </row>
    <row r="926" spans="1:50">
      <c r="A926" s="134"/>
      <c r="B926" s="106"/>
      <c r="C926" s="106"/>
      <c r="D926" s="106"/>
      <c r="E926" s="331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16"/>
      <c r="AW926" s="133"/>
      <c r="AX926" s="133">
        <f>+AW926-'ROR-Model'!G939</f>
        <v>0</v>
      </c>
    </row>
    <row r="927" spans="1:50">
      <c r="A927" s="134">
        <v>4101</v>
      </c>
      <c r="B927" s="106" t="s">
        <v>604</v>
      </c>
      <c r="C927" s="106"/>
      <c r="D927" s="106"/>
      <c r="E927" s="331"/>
      <c r="F927" s="116"/>
      <c r="G927" s="116">
        <f>+EXPENSES!L415*G1</f>
        <v>0</v>
      </c>
      <c r="H927" s="116"/>
      <c r="I927" s="116"/>
      <c r="J927" s="116"/>
      <c r="K927" s="116"/>
      <c r="L927" s="116"/>
      <c r="M927" s="116"/>
      <c r="N927" s="116"/>
      <c r="O927" s="116"/>
      <c r="P927" s="116"/>
      <c r="Q927" s="133"/>
      <c r="R927" s="133"/>
      <c r="S927" s="133">
        <f>'Transition Costs'!G965*$S$1</f>
        <v>0</v>
      </c>
      <c r="T927" s="133">
        <f>'Optional Adjustment 2'!G927*$T$1</f>
        <v>0</v>
      </c>
      <c r="U927" s="133">
        <f>'Optional Adjustment 3'!G927*$U$1</f>
        <v>0</v>
      </c>
      <c r="V927" s="133">
        <f>'Optional Adjustment 4'!G927*$V$1</f>
        <v>0</v>
      </c>
      <c r="W927" s="133">
        <f>'Optional Adjustment 5'!G927*$W$1</f>
        <v>0</v>
      </c>
      <c r="X927" s="133">
        <f>'Optional Adjustment 6'!G927*$X$1</f>
        <v>0</v>
      </c>
      <c r="Y927" s="133">
        <f>'Optional Adjustment 7'!G927*$Y$1</f>
        <v>0</v>
      </c>
      <c r="Z927" s="133">
        <f>'Optional Adjustment 8'!G927*$Z$1</f>
        <v>0</v>
      </c>
      <c r="AA927" s="133">
        <f>'Optional Adjustment 9'!G927*$AA$1</f>
        <v>0</v>
      </c>
      <c r="AB927" s="133">
        <f>'Optional Adjustment 10'!G927*$AB$1</f>
        <v>0</v>
      </c>
      <c r="AC927" s="133">
        <f>'Optional Adjustment 11'!G927*$AC$1</f>
        <v>0</v>
      </c>
      <c r="AD927" s="133">
        <f>'Optional Adjustment 12'!G927*$AD$1</f>
        <v>0</v>
      </c>
      <c r="AE927" s="133">
        <f>'Optional Adjustment 13'!G927*$AE$1</f>
        <v>0</v>
      </c>
      <c r="AF927" s="133">
        <f>'Optional Adjustment 14'!G927*$AF$1</f>
        <v>0</v>
      </c>
      <c r="AG927" s="133">
        <f>'Optional Adjustment 15'!G927*$AG$1</f>
        <v>0</v>
      </c>
      <c r="AH927" s="133">
        <f>'Optional Adjustment 16'!G927*$AH$1</f>
        <v>0</v>
      </c>
      <c r="AI927" s="133">
        <f>'Optional Adjustment 17'!G927*$AI$1</f>
        <v>0</v>
      </c>
      <c r="AJ927" s="133">
        <f>'Optional Adjustment 18'!G927*$AJ$1</f>
        <v>0</v>
      </c>
      <c r="AK927" s="133">
        <f>'Optional Adjustment 19'!G927*$AK$1</f>
        <v>0</v>
      </c>
      <c r="AL927" s="133">
        <f>'Optional Adjustment 20'!G927*$AL$1</f>
        <v>0</v>
      </c>
      <c r="AM927" s="133">
        <f>'Optional Adjustment 21'!G927*$AM$1</f>
        <v>0</v>
      </c>
      <c r="AN927" s="133">
        <f>'Optional Adjustment 22'!G927*$AN$1</f>
        <v>0</v>
      </c>
      <c r="AO927" s="133">
        <f>'Optional Adjustment 23'!G927*$AO$1</f>
        <v>0</v>
      </c>
      <c r="AP927" s="133">
        <f>'Optional Adjustment 24'!G927*$AP$1</f>
        <v>0</v>
      </c>
      <c r="AQ927" s="133">
        <f>'Optional Adjustment 25'!G927*$AQ$1</f>
        <v>0</v>
      </c>
      <c r="AR927" s="133">
        <f>'Optional Adjustment 26'!G927*$AR$1</f>
        <v>0</v>
      </c>
      <c r="AS927" s="133">
        <f>'Optional Adjustment 27'!G927*$AS$1</f>
        <v>0</v>
      </c>
      <c r="AT927" s="133"/>
      <c r="AU927" s="133">
        <f>SUM(F927:AT927)</f>
        <v>0</v>
      </c>
      <c r="AV927" s="116"/>
      <c r="AW927" s="133">
        <f>SUM(AU927:AU927)</f>
        <v>0</v>
      </c>
      <c r="AX927" s="133">
        <f>+AW927-'ROR-Model'!G940</f>
        <v>0</v>
      </c>
    </row>
    <row r="928" spans="1:50">
      <c r="A928" s="134"/>
      <c r="B928" s="106"/>
      <c r="C928" s="106"/>
      <c r="D928" s="106"/>
      <c r="E928" s="331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16"/>
      <c r="AW928" s="133"/>
      <c r="AX928" s="133">
        <f>+AW928-'ROR-Model'!G941</f>
        <v>0</v>
      </c>
    </row>
    <row r="929" spans="1:50">
      <c r="A929" s="134">
        <v>4111</v>
      </c>
      <c r="B929" s="106" t="s">
        <v>605</v>
      </c>
      <c r="C929" s="106"/>
      <c r="D929" s="106"/>
      <c r="E929" s="331"/>
      <c r="F929" s="116"/>
      <c r="G929" s="116">
        <f>+EXPENSES!L417*G1</f>
        <v>0</v>
      </c>
      <c r="H929" s="116"/>
      <c r="I929" s="116"/>
      <c r="J929" s="116"/>
      <c r="K929" s="116"/>
      <c r="L929" s="116"/>
      <c r="M929" s="116"/>
      <c r="N929" s="116"/>
      <c r="O929" s="116"/>
      <c r="P929" s="116"/>
      <c r="Q929" s="133"/>
      <c r="R929" s="133"/>
      <c r="S929" s="133">
        <f>'Transition Costs'!G967*$S$1</f>
        <v>0</v>
      </c>
      <c r="T929" s="133">
        <f>'Optional Adjustment 2'!G929*$T$1</f>
        <v>0</v>
      </c>
      <c r="U929" s="133">
        <f>'Optional Adjustment 3'!G929*$U$1</f>
        <v>0</v>
      </c>
      <c r="V929" s="133">
        <f>'Optional Adjustment 4'!G929*$V$1</f>
        <v>0</v>
      </c>
      <c r="W929" s="133">
        <f>'Optional Adjustment 5'!G929*$W$1</f>
        <v>0</v>
      </c>
      <c r="X929" s="133">
        <f>'Optional Adjustment 6'!G929*$X$1</f>
        <v>0</v>
      </c>
      <c r="Y929" s="133">
        <f>'Optional Adjustment 7'!G929*$Y$1</f>
        <v>0</v>
      </c>
      <c r="Z929" s="133">
        <f>'Optional Adjustment 8'!G929*$Z$1</f>
        <v>0</v>
      </c>
      <c r="AA929" s="133">
        <f>'Optional Adjustment 9'!G929*$AA$1</f>
        <v>0</v>
      </c>
      <c r="AB929" s="133">
        <f>'Optional Adjustment 10'!G929*$AB$1</f>
        <v>0</v>
      </c>
      <c r="AC929" s="133">
        <f>'Optional Adjustment 11'!G929*$AC$1</f>
        <v>0</v>
      </c>
      <c r="AD929" s="133">
        <f>'Optional Adjustment 12'!G929*$AD$1</f>
        <v>0</v>
      </c>
      <c r="AE929" s="133">
        <f>'Optional Adjustment 13'!G929*$AE$1</f>
        <v>0</v>
      </c>
      <c r="AF929" s="133">
        <f>'Optional Adjustment 14'!G929*$AF$1</f>
        <v>0</v>
      </c>
      <c r="AG929" s="133">
        <f>'Optional Adjustment 15'!G929*$AG$1</f>
        <v>0</v>
      </c>
      <c r="AH929" s="133">
        <f>'Optional Adjustment 16'!G929*$AH$1</f>
        <v>0</v>
      </c>
      <c r="AI929" s="133">
        <f>'Optional Adjustment 17'!G929*$AI$1</f>
        <v>0</v>
      </c>
      <c r="AJ929" s="133">
        <f>'Optional Adjustment 18'!G929*$AJ$1</f>
        <v>0</v>
      </c>
      <c r="AK929" s="133">
        <f>'Optional Adjustment 19'!G929*$AK$1</f>
        <v>0</v>
      </c>
      <c r="AL929" s="133">
        <f>'Optional Adjustment 20'!G929*$AL$1</f>
        <v>0</v>
      </c>
      <c r="AM929" s="133">
        <f>'Optional Adjustment 21'!G929*$AM$1</f>
        <v>0</v>
      </c>
      <c r="AN929" s="133">
        <f>'Optional Adjustment 22'!G929*$AN$1</f>
        <v>0</v>
      </c>
      <c r="AO929" s="133">
        <f>'Optional Adjustment 23'!G929*$AO$1</f>
        <v>0</v>
      </c>
      <c r="AP929" s="133">
        <f>'Optional Adjustment 24'!G929*$AP$1</f>
        <v>0</v>
      </c>
      <c r="AQ929" s="133">
        <f>'Optional Adjustment 25'!G929*$AQ$1</f>
        <v>0</v>
      </c>
      <c r="AR929" s="133">
        <f>'Optional Adjustment 26'!G929*$AR$1</f>
        <v>0</v>
      </c>
      <c r="AS929" s="133">
        <f>'Optional Adjustment 27'!G929*$AS$1</f>
        <v>0</v>
      </c>
      <c r="AT929" s="133"/>
      <c r="AU929" s="133">
        <f>SUM(F929:AT929)</f>
        <v>0</v>
      </c>
      <c r="AV929" s="116"/>
      <c r="AW929" s="133">
        <f>SUM(AU929:AU929)</f>
        <v>0</v>
      </c>
      <c r="AX929" s="133">
        <f>+AW929-'ROR-Model'!G942</f>
        <v>0</v>
      </c>
    </row>
    <row r="930" spans="1:50">
      <c r="A930" s="134"/>
      <c r="B930" s="106"/>
      <c r="C930" s="106"/>
      <c r="D930" s="106"/>
      <c r="E930" s="331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16"/>
      <c r="AW930" s="133"/>
      <c r="AX930" s="133">
        <f>+AW930-'ROR-Model'!G943</f>
        <v>0</v>
      </c>
    </row>
    <row r="931" spans="1:50">
      <c r="A931" s="134">
        <v>4114</v>
      </c>
      <c r="B931" s="106" t="s">
        <v>606</v>
      </c>
      <c r="C931" s="106"/>
      <c r="D931" s="106"/>
      <c r="E931" s="331"/>
      <c r="F931" s="116"/>
      <c r="G931" s="116">
        <f>+EXPENSES!L419*G1</f>
        <v>0</v>
      </c>
      <c r="H931" s="116"/>
      <c r="I931" s="116"/>
      <c r="J931" s="116"/>
      <c r="K931" s="116"/>
      <c r="L931" s="116"/>
      <c r="M931" s="116"/>
      <c r="N931" s="116"/>
      <c r="O931" s="116"/>
      <c r="P931" s="116"/>
      <c r="Q931" s="133"/>
      <c r="R931" s="133"/>
      <c r="S931" s="133">
        <f>'Transition Costs'!G969*$S$1</f>
        <v>0</v>
      </c>
      <c r="T931" s="133">
        <f>'Optional Adjustment 2'!G931*$T$1</f>
        <v>0</v>
      </c>
      <c r="U931" s="133">
        <f>'Optional Adjustment 3'!G931*$U$1</f>
        <v>0</v>
      </c>
      <c r="V931" s="133">
        <f>'Optional Adjustment 4'!G931*$V$1</f>
        <v>0</v>
      </c>
      <c r="W931" s="133">
        <f>'Optional Adjustment 5'!G931*$W$1</f>
        <v>0</v>
      </c>
      <c r="X931" s="133">
        <f>'Optional Adjustment 6'!G931*$X$1</f>
        <v>0</v>
      </c>
      <c r="Y931" s="133">
        <f>'Optional Adjustment 7'!G931*$Y$1</f>
        <v>0</v>
      </c>
      <c r="Z931" s="133">
        <f>'Optional Adjustment 8'!G931*$Z$1</f>
        <v>0</v>
      </c>
      <c r="AA931" s="133">
        <f>'Optional Adjustment 9'!G931*$AA$1</f>
        <v>0</v>
      </c>
      <c r="AB931" s="133">
        <f>'Optional Adjustment 10'!G931*$AB$1</f>
        <v>0</v>
      </c>
      <c r="AC931" s="133">
        <f>'Optional Adjustment 11'!G931*$AC$1</f>
        <v>0</v>
      </c>
      <c r="AD931" s="133">
        <f>'Optional Adjustment 12'!G931*$AD$1</f>
        <v>0</v>
      </c>
      <c r="AE931" s="133">
        <f>'Optional Adjustment 13'!G931*$AE$1</f>
        <v>0</v>
      </c>
      <c r="AF931" s="133">
        <f>'Optional Adjustment 14'!G931*$AF$1</f>
        <v>0</v>
      </c>
      <c r="AG931" s="133">
        <f>'Optional Adjustment 15'!G931*$AG$1</f>
        <v>0</v>
      </c>
      <c r="AH931" s="133">
        <f>'Optional Adjustment 16'!G931*$AH$1</f>
        <v>0</v>
      </c>
      <c r="AI931" s="133">
        <f>'Optional Adjustment 17'!G931*$AI$1</f>
        <v>0</v>
      </c>
      <c r="AJ931" s="133">
        <f>'Optional Adjustment 18'!G931*$AJ$1</f>
        <v>0</v>
      </c>
      <c r="AK931" s="133">
        <f>'Optional Adjustment 19'!G931*$AK$1</f>
        <v>0</v>
      </c>
      <c r="AL931" s="133">
        <f>'Optional Adjustment 20'!G931*$AL$1</f>
        <v>0</v>
      </c>
      <c r="AM931" s="133">
        <f>'Optional Adjustment 21'!G931*$AM$1</f>
        <v>0</v>
      </c>
      <c r="AN931" s="133">
        <f>'Optional Adjustment 22'!G931*$AN$1</f>
        <v>0</v>
      </c>
      <c r="AO931" s="133">
        <f>'Optional Adjustment 23'!G931*$AO$1</f>
        <v>0</v>
      </c>
      <c r="AP931" s="133">
        <f>'Optional Adjustment 24'!G931*$AP$1</f>
        <v>0</v>
      </c>
      <c r="AQ931" s="133">
        <f>'Optional Adjustment 25'!G931*$AQ$1</f>
        <v>0</v>
      </c>
      <c r="AR931" s="133">
        <f>'Optional Adjustment 26'!G931*$AR$1</f>
        <v>0</v>
      </c>
      <c r="AS931" s="133">
        <f>'Optional Adjustment 27'!G931*$AS$1</f>
        <v>0</v>
      </c>
      <c r="AT931" s="133"/>
      <c r="AU931" s="133">
        <f>SUM(F931:AT931)</f>
        <v>0</v>
      </c>
      <c r="AV931" s="116"/>
      <c r="AW931" s="133">
        <f>SUM(AU931:AU931)</f>
        <v>0</v>
      </c>
      <c r="AX931" s="133">
        <f>+AW931-'ROR-Model'!G944</f>
        <v>0</v>
      </c>
    </row>
    <row r="932" spans="1:50" ht="13.5" thickBot="1">
      <c r="A932" s="330"/>
      <c r="B932" s="106"/>
      <c r="C932" s="106"/>
      <c r="D932" s="106"/>
      <c r="E932" s="331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62"/>
      <c r="R932" s="262"/>
      <c r="S932" s="558"/>
      <c r="T932" s="558"/>
      <c r="U932" s="558"/>
      <c r="V932" s="558"/>
      <c r="W932" s="558"/>
      <c r="X932" s="558"/>
      <c r="Y932" s="558"/>
      <c r="Z932" s="558"/>
      <c r="AA932" s="558"/>
      <c r="AB932" s="558"/>
      <c r="AC932" s="558"/>
      <c r="AD932" s="558"/>
      <c r="AE932" s="558"/>
      <c r="AF932" s="558"/>
      <c r="AG932" s="558"/>
      <c r="AH932" s="558"/>
      <c r="AI932" s="558"/>
      <c r="AJ932" s="558"/>
      <c r="AK932" s="558"/>
      <c r="AL932" s="558"/>
      <c r="AM932" s="558"/>
      <c r="AN932" s="558"/>
      <c r="AO932" s="558"/>
      <c r="AP932" s="558"/>
      <c r="AQ932" s="558"/>
      <c r="AR932" s="558"/>
      <c r="AS932" s="558"/>
      <c r="AT932" s="558"/>
      <c r="AU932" s="262"/>
      <c r="AV932" s="236"/>
      <c r="AW932" s="262"/>
      <c r="AX932" s="262">
        <f>+AW932-'ROR-Model'!G945</f>
        <v>0</v>
      </c>
    </row>
    <row r="933" spans="1:50">
      <c r="A933" s="330"/>
      <c r="B933" s="61" t="s">
        <v>658</v>
      </c>
      <c r="C933" s="106"/>
      <c r="D933" s="106"/>
      <c r="E933" s="331"/>
      <c r="F933" s="116">
        <f>F921+F923+F925+F927+F929+F931</f>
        <v>0</v>
      </c>
      <c r="G933" s="116">
        <f t="shared" ref="G933" ca="1" si="1164">G921+G923+G925+G927+G929+G931</f>
        <v>88734.69729855191</v>
      </c>
      <c r="H933" s="116">
        <f t="shared" ref="H933:Q933" si="1165">H921+H923+H925+H927+H929+H931</f>
        <v>-1476796.9550693939</v>
      </c>
      <c r="I933" s="116">
        <f>I921+I923+I925+I927+I929+I931</f>
        <v>0</v>
      </c>
      <c r="J933" s="116">
        <f t="shared" si="1165"/>
        <v>0</v>
      </c>
      <c r="K933" s="116">
        <f t="shared" si="1165"/>
        <v>5337465.5197357507</v>
      </c>
      <c r="L933" s="116">
        <f t="shared" si="1165"/>
        <v>253871.00419851224</v>
      </c>
      <c r="M933" s="116">
        <f t="shared" ca="1" si="1165"/>
        <v>225168.11160781202</v>
      </c>
      <c r="N933" s="116">
        <f t="shared" ca="1" si="1165"/>
        <v>0</v>
      </c>
      <c r="O933" s="116">
        <f t="shared" ca="1" si="1165"/>
        <v>1488.9717494422728</v>
      </c>
      <c r="P933" s="116">
        <f t="shared" ca="1" si="1165"/>
        <v>47494.919049985787</v>
      </c>
      <c r="Q933" s="116">
        <f t="shared" ca="1" si="1165"/>
        <v>-36541.043256876445</v>
      </c>
      <c r="R933" s="116">
        <f t="shared" ref="R933" si="1166">R921+R923+R925+R927+R929+R931</f>
        <v>-3616731.8717774134</v>
      </c>
      <c r="S933" s="116">
        <f t="shared" ref="S933:W933" si="1167">S921+S923+S925+S927+S929+S931</f>
        <v>0</v>
      </c>
      <c r="T933" s="116">
        <f t="shared" si="1167"/>
        <v>0</v>
      </c>
      <c r="U933" s="116">
        <f t="shared" si="1167"/>
        <v>0</v>
      </c>
      <c r="V933" s="116">
        <f t="shared" si="1167"/>
        <v>0</v>
      </c>
      <c r="W933" s="116">
        <f t="shared" si="1167"/>
        <v>0</v>
      </c>
      <c r="X933" s="116">
        <f t="shared" ref="X933:AG933" si="1168">X921+X923+X925+X927+X929+X931</f>
        <v>0</v>
      </c>
      <c r="Y933" s="116">
        <f t="shared" si="1168"/>
        <v>0</v>
      </c>
      <c r="Z933" s="116">
        <f t="shared" si="1168"/>
        <v>0</v>
      </c>
      <c r="AA933" s="116">
        <f t="shared" si="1168"/>
        <v>0</v>
      </c>
      <c r="AB933" s="116">
        <f t="shared" si="1168"/>
        <v>0</v>
      </c>
      <c r="AC933" s="116">
        <f t="shared" si="1168"/>
        <v>0</v>
      </c>
      <c r="AD933" s="116">
        <f t="shared" si="1168"/>
        <v>0</v>
      </c>
      <c r="AE933" s="116">
        <f t="shared" si="1168"/>
        <v>0</v>
      </c>
      <c r="AF933" s="116">
        <f t="shared" si="1168"/>
        <v>0</v>
      </c>
      <c r="AG933" s="116">
        <f t="shared" si="1168"/>
        <v>0</v>
      </c>
      <c r="AH933" s="116">
        <f t="shared" ref="AH933:AK933" si="1169">AH921+AH923+AH925+AH927+AH929+AH931</f>
        <v>0</v>
      </c>
      <c r="AI933" s="116">
        <f t="shared" si="1169"/>
        <v>0</v>
      </c>
      <c r="AJ933" s="116">
        <f t="shared" si="1169"/>
        <v>0</v>
      </c>
      <c r="AK933" s="116">
        <f t="shared" si="1169"/>
        <v>0</v>
      </c>
      <c r="AL933" s="116">
        <f t="shared" ref="AL933:AP933" si="1170">AL921+AL923+AL925+AL927+AL929+AL931</f>
        <v>0</v>
      </c>
      <c r="AM933" s="116">
        <f t="shared" si="1170"/>
        <v>0</v>
      </c>
      <c r="AN933" s="116">
        <f t="shared" si="1170"/>
        <v>0</v>
      </c>
      <c r="AO933" s="116">
        <f t="shared" si="1170"/>
        <v>0</v>
      </c>
      <c r="AP933" s="116">
        <f t="shared" si="1170"/>
        <v>0</v>
      </c>
      <c r="AQ933" s="116">
        <f t="shared" ref="AQ933:AT933" si="1171">AQ921+AQ923+AQ925+AQ927+AQ929+AQ931</f>
        <v>0</v>
      </c>
      <c r="AR933" s="116">
        <f t="shared" si="1171"/>
        <v>0</v>
      </c>
      <c r="AS933" s="116">
        <f t="shared" si="1171"/>
        <v>0</v>
      </c>
      <c r="AT933" s="116">
        <f t="shared" si="1171"/>
        <v>0</v>
      </c>
      <c r="AU933" s="133">
        <f ca="1">SUM(F933:AT933)</f>
        <v>824153.35353637207</v>
      </c>
      <c r="AV933" s="116"/>
      <c r="AW933" s="133">
        <f ca="1">SUM(AU933:AU933)</f>
        <v>824153.35353637207</v>
      </c>
      <c r="AX933" s="133">
        <f ca="1">+AW933-'ROR-Model'!G950</f>
        <v>0</v>
      </c>
    </row>
    <row r="934" spans="1:50" ht="13.5" thickBot="1">
      <c r="A934" s="330"/>
      <c r="B934" s="106"/>
      <c r="C934" s="106"/>
      <c r="D934" s="106"/>
      <c r="E934" s="331"/>
      <c r="F934" s="235"/>
      <c r="G934" s="235"/>
      <c r="H934" s="235"/>
      <c r="I934" s="235"/>
      <c r="J934" s="235"/>
      <c r="K934" s="235"/>
      <c r="L934" s="235"/>
      <c r="M934" s="235"/>
      <c r="N934" s="235"/>
      <c r="O934" s="235"/>
      <c r="P934" s="235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  <c r="AA934" s="242"/>
      <c r="AB934" s="242"/>
      <c r="AC934" s="242"/>
      <c r="AD934" s="242"/>
      <c r="AE934" s="242"/>
      <c r="AF934" s="242"/>
      <c r="AG934" s="242"/>
      <c r="AH934" s="242"/>
      <c r="AI934" s="242"/>
      <c r="AJ934" s="242"/>
      <c r="AK934" s="242"/>
      <c r="AL934" s="242"/>
      <c r="AM934" s="242"/>
      <c r="AN934" s="242"/>
      <c r="AO934" s="242"/>
      <c r="AP934" s="242"/>
      <c r="AQ934" s="242"/>
      <c r="AR934" s="242"/>
      <c r="AS934" s="242"/>
      <c r="AT934" s="242"/>
      <c r="AU934" s="242"/>
      <c r="AV934" s="235"/>
      <c r="AW934" s="242"/>
      <c r="AX934" s="242"/>
    </row>
    <row r="935" spans="1:50" ht="13.5" thickTop="1">
      <c r="A935" s="330"/>
      <c r="B935" s="106"/>
      <c r="C935" s="106"/>
      <c r="D935" s="106"/>
      <c r="E935" s="331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16"/>
      <c r="AW935" s="133"/>
      <c r="AX935" s="133"/>
    </row>
    <row r="936" spans="1:50">
      <c r="A936" s="59"/>
      <c r="B936" s="61" t="s">
        <v>655</v>
      </c>
      <c r="C936" s="106"/>
      <c r="D936" s="106"/>
      <c r="E936" s="331"/>
      <c r="F936" s="116">
        <f>F913+F933</f>
        <v>0</v>
      </c>
      <c r="G936" s="116">
        <f ca="1">G1*G913+G933</f>
        <v>7688006.1319298083</v>
      </c>
      <c r="H936" s="116">
        <f>H1*H913+H933</f>
        <v>-1476796.9550693939</v>
      </c>
      <c r="I936" s="116">
        <f>I913+I933</f>
        <v>0</v>
      </c>
      <c r="J936" s="116">
        <f t="shared" ref="J936:Q936" si="1172">J913+J933</f>
        <v>0</v>
      </c>
      <c r="K936" s="116">
        <f t="shared" si="1172"/>
        <v>5337465.5197357507</v>
      </c>
      <c r="L936" s="116">
        <f t="shared" si="1172"/>
        <v>253871.00419851224</v>
      </c>
      <c r="M936" s="116">
        <f t="shared" ca="1" si="1172"/>
        <v>225168.11160781202</v>
      </c>
      <c r="N936" s="116">
        <f t="shared" ca="1" si="1172"/>
        <v>0</v>
      </c>
      <c r="O936" s="116">
        <f t="shared" ca="1" si="1172"/>
        <v>1488.9717494422728</v>
      </c>
      <c r="P936" s="116">
        <f t="shared" ca="1" si="1172"/>
        <v>47494.919049985787</v>
      </c>
      <c r="Q936" s="133">
        <f t="shared" ca="1" si="1172"/>
        <v>-36541.043256876445</v>
      </c>
      <c r="R936" s="133">
        <f t="shared" ref="R936" si="1173">R913+R933</f>
        <v>-3616731.8717774134</v>
      </c>
      <c r="S936" s="133">
        <f t="shared" ref="S936:AG936" si="1174">S913+S933</f>
        <v>0</v>
      </c>
      <c r="T936" s="133">
        <f t="shared" si="1174"/>
        <v>0</v>
      </c>
      <c r="U936" s="133">
        <f t="shared" si="1174"/>
        <v>0</v>
      </c>
      <c r="V936" s="133">
        <f t="shared" si="1174"/>
        <v>0</v>
      </c>
      <c r="W936" s="133">
        <f t="shared" si="1174"/>
        <v>0</v>
      </c>
      <c r="X936" s="133">
        <f t="shared" si="1174"/>
        <v>0</v>
      </c>
      <c r="Y936" s="133">
        <f t="shared" si="1174"/>
        <v>0</v>
      </c>
      <c r="Z936" s="133">
        <f t="shared" si="1174"/>
        <v>0</v>
      </c>
      <c r="AA936" s="133">
        <f t="shared" si="1174"/>
        <v>0</v>
      </c>
      <c r="AB936" s="133">
        <f t="shared" si="1174"/>
        <v>0</v>
      </c>
      <c r="AC936" s="133">
        <f t="shared" si="1174"/>
        <v>0</v>
      </c>
      <c r="AD936" s="133">
        <f t="shared" si="1174"/>
        <v>0</v>
      </c>
      <c r="AE936" s="133">
        <f t="shared" si="1174"/>
        <v>0</v>
      </c>
      <c r="AF936" s="133">
        <f t="shared" si="1174"/>
        <v>0</v>
      </c>
      <c r="AG936" s="133">
        <f t="shared" si="1174"/>
        <v>0</v>
      </c>
      <c r="AH936" s="133">
        <f t="shared" ref="AH936:AK936" si="1175">AH913+AH933</f>
        <v>0</v>
      </c>
      <c r="AI936" s="133">
        <f t="shared" si="1175"/>
        <v>0</v>
      </c>
      <c r="AJ936" s="133">
        <f t="shared" si="1175"/>
        <v>0</v>
      </c>
      <c r="AK936" s="133">
        <f t="shared" si="1175"/>
        <v>0</v>
      </c>
      <c r="AL936" s="133">
        <f t="shared" ref="AL936:AP936" si="1176">AL913+AL933</f>
        <v>0</v>
      </c>
      <c r="AM936" s="133">
        <f t="shared" si="1176"/>
        <v>0</v>
      </c>
      <c r="AN936" s="133">
        <f t="shared" si="1176"/>
        <v>0</v>
      </c>
      <c r="AO936" s="133">
        <f t="shared" si="1176"/>
        <v>0</v>
      </c>
      <c r="AP936" s="133">
        <f t="shared" si="1176"/>
        <v>0</v>
      </c>
      <c r="AQ936" s="133">
        <f t="shared" ref="AQ936:AT936" si="1177">AQ913+AQ933</f>
        <v>0</v>
      </c>
      <c r="AR936" s="133">
        <f t="shared" si="1177"/>
        <v>0</v>
      </c>
      <c r="AS936" s="133">
        <f t="shared" si="1177"/>
        <v>0</v>
      </c>
      <c r="AT936" s="133">
        <f t="shared" si="1177"/>
        <v>0</v>
      </c>
      <c r="AU936" s="133">
        <f ca="1">SUM(F936:AT936)</f>
        <v>8423424.7881676257</v>
      </c>
      <c r="AV936" s="116"/>
      <c r="AW936" s="133">
        <f ca="1">SUM(AU936:AU936)</f>
        <v>8423424.7881676257</v>
      </c>
      <c r="AX936" s="133">
        <f ca="1">+AW936-'ROR-Model'!G953</f>
        <v>0</v>
      </c>
    </row>
    <row r="937" spans="1:50" ht="13.5" thickBot="1">
      <c r="A937" s="330"/>
      <c r="B937" s="106"/>
      <c r="C937" s="106"/>
      <c r="D937" s="106"/>
      <c r="E937" s="331"/>
      <c r="F937" s="235"/>
      <c r="G937" s="235"/>
      <c r="H937" s="235"/>
      <c r="I937" s="235"/>
      <c r="J937" s="235"/>
      <c r="K937" s="235"/>
      <c r="L937" s="235"/>
      <c r="M937" s="235"/>
      <c r="N937" s="235"/>
      <c r="O937" s="235"/>
      <c r="P937" s="235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  <c r="AA937" s="242"/>
      <c r="AB937" s="242"/>
      <c r="AC937" s="242"/>
      <c r="AD937" s="242"/>
      <c r="AE937" s="242"/>
      <c r="AF937" s="242"/>
      <c r="AG937" s="242"/>
      <c r="AH937" s="242"/>
      <c r="AI937" s="242"/>
      <c r="AJ937" s="242"/>
      <c r="AK937" s="242"/>
      <c r="AL937" s="242"/>
      <c r="AM937" s="242"/>
      <c r="AN937" s="242"/>
      <c r="AO937" s="242"/>
      <c r="AP937" s="242"/>
      <c r="AQ937" s="242"/>
      <c r="AR937" s="242"/>
      <c r="AS937" s="242"/>
      <c r="AT937" s="242"/>
      <c r="AU937" s="242"/>
      <c r="AV937" s="235"/>
      <c r="AW937" s="242"/>
      <c r="AX937" s="242">
        <f>+AW937-'ROR-Model'!G938</f>
        <v>0</v>
      </c>
    </row>
    <row r="938" spans="1:50" ht="13.5" thickTop="1">
      <c r="A938" s="330"/>
      <c r="B938" s="106"/>
      <c r="C938" s="106"/>
      <c r="D938" s="106"/>
      <c r="E938" s="331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16"/>
      <c r="AW938" s="133"/>
      <c r="AX938" s="133">
        <f>+AW938-'ROR-Model'!G939</f>
        <v>0</v>
      </c>
    </row>
    <row r="939" spans="1:50">
      <c r="A939" s="59" t="s">
        <v>654</v>
      </c>
      <c r="B939" s="106"/>
      <c r="C939" s="106"/>
      <c r="D939" s="106"/>
      <c r="E939" s="331"/>
      <c r="F939" s="116">
        <f>F639+F892+F936</f>
        <v>0</v>
      </c>
      <c r="G939" s="116">
        <f ca="1">G1*G639+G892+G936</f>
        <v>6851170.535669677</v>
      </c>
      <c r="H939" s="116">
        <f>H1*H639+H892+H936</f>
        <v>-12809953.858547151</v>
      </c>
      <c r="I939" s="116">
        <f>I639+I892+I936</f>
        <v>0</v>
      </c>
      <c r="J939" s="116">
        <f t="shared" ref="J939:Q939" si="1178">J639+J892+J936</f>
        <v>0</v>
      </c>
      <c r="K939" s="116">
        <f t="shared" si="1178"/>
        <v>-16223802.288964495</v>
      </c>
      <c r="L939" s="116">
        <f t="shared" si="1178"/>
        <v>-771668.30657511228</v>
      </c>
      <c r="M939" s="116">
        <f t="shared" ca="1" si="1178"/>
        <v>-684422.76788431453</v>
      </c>
      <c r="N939" s="116">
        <f t="shared" ca="1" si="1178"/>
        <v>0</v>
      </c>
      <c r="O939" s="116">
        <f t="shared" ca="1" si="1178"/>
        <v>-4525.8902727302257</v>
      </c>
      <c r="P939" s="116">
        <f t="shared" ca="1" si="1178"/>
        <v>-144365.93052417345</v>
      </c>
      <c r="Q939" s="133">
        <f t="shared" ca="1" si="1178"/>
        <v>111070.44327312356</v>
      </c>
      <c r="R939" s="133">
        <f t="shared" ref="R939" si="1179">R639+R892+R936</f>
        <v>10993446.72166018</v>
      </c>
      <c r="S939" s="133">
        <f t="shared" ref="S939:AG939" si="1180">S639+S892+S936</f>
        <v>0</v>
      </c>
      <c r="T939" s="133">
        <f t="shared" si="1180"/>
        <v>0</v>
      </c>
      <c r="U939" s="133">
        <f t="shared" si="1180"/>
        <v>0</v>
      </c>
      <c r="V939" s="133">
        <f t="shared" si="1180"/>
        <v>0</v>
      </c>
      <c r="W939" s="133">
        <f t="shared" si="1180"/>
        <v>0</v>
      </c>
      <c r="X939" s="133">
        <f t="shared" si="1180"/>
        <v>0</v>
      </c>
      <c r="Y939" s="133">
        <f t="shared" si="1180"/>
        <v>0</v>
      </c>
      <c r="Z939" s="133">
        <f t="shared" si="1180"/>
        <v>0</v>
      </c>
      <c r="AA939" s="133">
        <f t="shared" si="1180"/>
        <v>0</v>
      </c>
      <c r="AB939" s="133">
        <f t="shared" si="1180"/>
        <v>0</v>
      </c>
      <c r="AC939" s="133">
        <f t="shared" si="1180"/>
        <v>0</v>
      </c>
      <c r="AD939" s="133">
        <f t="shared" si="1180"/>
        <v>0</v>
      </c>
      <c r="AE939" s="133">
        <f t="shared" si="1180"/>
        <v>0</v>
      </c>
      <c r="AF939" s="133">
        <f t="shared" si="1180"/>
        <v>0</v>
      </c>
      <c r="AG939" s="133">
        <f t="shared" si="1180"/>
        <v>0</v>
      </c>
      <c r="AH939" s="133">
        <f t="shared" ref="AH939:AK939" si="1181">AH639+AH892+AH936</f>
        <v>0</v>
      </c>
      <c r="AI939" s="133">
        <f t="shared" si="1181"/>
        <v>0</v>
      </c>
      <c r="AJ939" s="133">
        <f t="shared" si="1181"/>
        <v>0</v>
      </c>
      <c r="AK939" s="133">
        <f t="shared" si="1181"/>
        <v>0</v>
      </c>
      <c r="AL939" s="133">
        <f t="shared" ref="AL939:AP939" si="1182">AL639+AL892+AL936</f>
        <v>0</v>
      </c>
      <c r="AM939" s="133">
        <f t="shared" si="1182"/>
        <v>0</v>
      </c>
      <c r="AN939" s="133">
        <f t="shared" si="1182"/>
        <v>0</v>
      </c>
      <c r="AO939" s="133">
        <f t="shared" si="1182"/>
        <v>0</v>
      </c>
      <c r="AP939" s="133">
        <f t="shared" si="1182"/>
        <v>0</v>
      </c>
      <c r="AQ939" s="133">
        <f t="shared" ref="AQ939:AT939" si="1183">AQ639+AQ892+AQ936</f>
        <v>0</v>
      </c>
      <c r="AR939" s="133">
        <f t="shared" si="1183"/>
        <v>0</v>
      </c>
      <c r="AS939" s="133">
        <f t="shared" si="1183"/>
        <v>0</v>
      </c>
      <c r="AT939" s="133">
        <f t="shared" si="1183"/>
        <v>0</v>
      </c>
      <c r="AU939" s="133">
        <f ca="1">SUM(F939:AT939)</f>
        <v>-12683051.342164995</v>
      </c>
      <c r="AV939" s="116"/>
      <c r="AW939" s="133">
        <f ca="1">SUM(AU939:AU939)</f>
        <v>-12683051.342164995</v>
      </c>
      <c r="AX939" s="133">
        <f ca="1">+AW939-'ROR-Model'!G956</f>
        <v>0</v>
      </c>
    </row>
    <row r="940" spans="1:50">
      <c r="A940" s="330"/>
      <c r="B940" s="106"/>
      <c r="C940" s="106"/>
      <c r="D940" s="106"/>
      <c r="E940" s="331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16"/>
      <c r="AW940" s="133"/>
      <c r="AX940" s="133"/>
    </row>
    <row r="941" spans="1:50">
      <c r="A941" s="59"/>
      <c r="B941" s="33"/>
      <c r="C941" s="33"/>
      <c r="D941" s="33"/>
      <c r="E941" s="63"/>
      <c r="F941" s="582"/>
      <c r="G941" s="582"/>
      <c r="H941" s="582"/>
      <c r="I941" s="582"/>
      <c r="J941" s="582"/>
      <c r="K941" s="582"/>
      <c r="L941" s="582"/>
      <c r="M941" s="582"/>
      <c r="N941" s="582"/>
      <c r="O941" s="582"/>
      <c r="P941" s="582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  <c r="AD941" s="100"/>
      <c r="AE941" s="100"/>
      <c r="AF941" s="100"/>
      <c r="AG941" s="100"/>
      <c r="AH941" s="100"/>
      <c r="AI941" s="100"/>
      <c r="AJ941" s="100"/>
      <c r="AK941" s="100"/>
      <c r="AL941" s="100"/>
      <c r="AM941" s="100"/>
      <c r="AN941" s="100"/>
      <c r="AO941" s="100"/>
      <c r="AP941" s="100"/>
      <c r="AQ941" s="100"/>
      <c r="AR941" s="100"/>
      <c r="AS941" s="100"/>
      <c r="AT941" s="100"/>
      <c r="AU941" s="100"/>
      <c r="AV941" s="582"/>
      <c r="AW941" s="100"/>
      <c r="AX941" s="100"/>
    </row>
    <row r="942" spans="1:50">
      <c r="A942" s="59"/>
      <c r="B942" s="33"/>
      <c r="C942" s="33"/>
      <c r="D942" s="33"/>
      <c r="E942" s="63"/>
      <c r="F942" s="582"/>
      <c r="G942" s="582"/>
      <c r="H942" s="582"/>
      <c r="I942" s="582"/>
      <c r="J942" s="582"/>
      <c r="K942" s="582"/>
      <c r="L942" s="582"/>
      <c r="M942" s="582"/>
      <c r="N942" s="582"/>
      <c r="O942" s="582"/>
      <c r="P942" s="582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100"/>
      <c r="AO942" s="100"/>
      <c r="AP942" s="100"/>
      <c r="AQ942" s="100"/>
      <c r="AR942" s="100"/>
      <c r="AS942" s="100"/>
      <c r="AT942" s="100"/>
      <c r="AU942" s="100"/>
      <c r="AV942" s="582"/>
      <c r="AW942" s="100"/>
      <c r="AX942" s="100"/>
    </row>
    <row r="943" spans="1:50" ht="13.5" thickBot="1">
      <c r="A943" s="47" t="s">
        <v>841</v>
      </c>
      <c r="B943" s="48"/>
      <c r="C943" s="1552" t="s">
        <v>842</v>
      </c>
      <c r="D943" s="1552"/>
      <c r="E943" s="64"/>
      <c r="F943" s="561"/>
      <c r="G943" s="561"/>
      <c r="H943" s="561"/>
      <c r="I943" s="561"/>
      <c r="J943" s="561"/>
      <c r="K943" s="561"/>
      <c r="L943" s="561"/>
      <c r="M943" s="561"/>
      <c r="N943" s="561"/>
      <c r="O943" s="561"/>
      <c r="P943" s="561"/>
      <c r="Q943" s="126"/>
      <c r="R943" s="126"/>
      <c r="S943" s="559"/>
      <c r="T943" s="559"/>
      <c r="U943" s="559"/>
      <c r="V943" s="559"/>
      <c r="W943" s="559"/>
      <c r="X943" s="559"/>
      <c r="Y943" s="559"/>
      <c r="Z943" s="559"/>
      <c r="AA943" s="559"/>
      <c r="AB943" s="559"/>
      <c r="AC943" s="559"/>
      <c r="AD943" s="559"/>
      <c r="AE943" s="559"/>
      <c r="AF943" s="559"/>
      <c r="AG943" s="559"/>
      <c r="AH943" s="559"/>
      <c r="AI943" s="559"/>
      <c r="AJ943" s="559"/>
      <c r="AK943" s="559"/>
      <c r="AL943" s="559"/>
      <c r="AM943" s="559"/>
      <c r="AN943" s="559"/>
      <c r="AO943" s="559"/>
      <c r="AP943" s="559"/>
      <c r="AQ943" s="559"/>
      <c r="AR943" s="559"/>
      <c r="AS943" s="559"/>
      <c r="AT943" s="559"/>
      <c r="AU943" s="126"/>
      <c r="AV943" s="561"/>
      <c r="AW943" s="126"/>
      <c r="AX943" s="126"/>
    </row>
    <row r="944" spans="1:50">
      <c r="A944" s="330"/>
      <c r="B944" s="106"/>
      <c r="C944" s="106"/>
      <c r="D944" s="106"/>
      <c r="E944" s="331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16"/>
      <c r="AW944" s="133"/>
      <c r="AX944" s="133"/>
    </row>
    <row r="945" spans="1:50">
      <c r="A945" s="1549" t="s">
        <v>297</v>
      </c>
      <c r="B945" s="1549"/>
      <c r="C945" s="1549"/>
      <c r="D945" s="1549"/>
      <c r="E945" s="155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16"/>
      <c r="AW945" s="133"/>
      <c r="AX945" s="133"/>
    </row>
    <row r="946" spans="1:50">
      <c r="A946" s="36" t="s">
        <v>302</v>
      </c>
      <c r="B946" s="102"/>
      <c r="C946" s="102"/>
      <c r="D946" s="102"/>
      <c r="E946" s="331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16"/>
      <c r="AW946" s="133"/>
      <c r="AX946" s="133"/>
    </row>
    <row r="947" spans="1:50">
      <c r="A947" s="102" t="s">
        <v>298</v>
      </c>
      <c r="B947" s="102"/>
      <c r="C947" s="102"/>
      <c r="D947" s="102"/>
      <c r="E947" s="331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16"/>
      <c r="AW947" s="133"/>
      <c r="AX947" s="133"/>
    </row>
    <row r="948" spans="1:50">
      <c r="A948" s="253"/>
      <c r="B948" s="102" t="s">
        <v>217</v>
      </c>
      <c r="C948" s="102"/>
      <c r="D948" s="102"/>
      <c r="E948" s="331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16"/>
      <c r="AW948" s="133"/>
      <c r="AX948" s="133"/>
    </row>
    <row r="949" spans="1:50">
      <c r="A949" s="102" t="s">
        <v>218</v>
      </c>
      <c r="B949" s="102" t="s">
        <v>219</v>
      </c>
      <c r="C949" s="102"/>
      <c r="D949" s="102"/>
      <c r="E949" s="331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16"/>
      <c r="AW949" s="133"/>
      <c r="AX949" s="133"/>
    </row>
    <row r="950" spans="1:50">
      <c r="A950" s="102"/>
      <c r="B950" s="102" t="s">
        <v>592</v>
      </c>
      <c r="C950" s="102"/>
      <c r="D950" s="102"/>
      <c r="E950" s="331"/>
      <c r="F950" s="116">
        <f>'Rate Base'!$AQ$15*F1</f>
        <v>0</v>
      </c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33"/>
      <c r="R950" s="133"/>
      <c r="S950" s="133"/>
      <c r="T950" s="133">
        <f>'Optional Adjustment 2'!G950*$T$1</f>
        <v>0</v>
      </c>
      <c r="U950" s="133">
        <f>'Optional Adjustment 3'!G950*$U$1</f>
        <v>0</v>
      </c>
      <c r="V950" s="133">
        <f>'Optional Adjustment 4'!G950*$V$1</f>
        <v>0</v>
      </c>
      <c r="W950" s="133">
        <f>'Optional Adjustment 5'!G950*$W$1</f>
        <v>0</v>
      </c>
      <c r="X950" s="133">
        <f>'Optional Adjustment 6'!G950*$X$1</f>
        <v>0</v>
      </c>
      <c r="Y950" s="133">
        <f>'Optional Adjustment 7'!G950*$Y$1</f>
        <v>0</v>
      </c>
      <c r="Z950" s="133">
        <f>'Optional Adjustment 8'!G950*$Z$1</f>
        <v>0</v>
      </c>
      <c r="AA950" s="133">
        <f>'Optional Adjustment 9'!G950*$AA$1</f>
        <v>0</v>
      </c>
      <c r="AB950" s="133">
        <f>'Optional Adjustment 10'!G950*$AB$1</f>
        <v>0</v>
      </c>
      <c r="AC950" s="133">
        <f>'Optional Adjustment 11'!G950*$AC$1</f>
        <v>0</v>
      </c>
      <c r="AD950" s="133">
        <f>'Optional Adjustment 12'!G950*$AD$1</f>
        <v>0</v>
      </c>
      <c r="AE950" s="133">
        <f>'Optional Adjustment 13'!G950*$AE$1</f>
        <v>0</v>
      </c>
      <c r="AF950" s="133">
        <f>'Optional Adjustment 14'!G950*$AF$1</f>
        <v>0</v>
      </c>
      <c r="AG950" s="133">
        <f>'Optional Adjustment 15'!G950*$AG$1</f>
        <v>0</v>
      </c>
      <c r="AH950" s="133">
        <f>'Optional Adjustment 16'!G950*$AH$1</f>
        <v>0</v>
      </c>
      <c r="AI950" s="133">
        <f>'Optional Adjustment 17'!G950*$AI$1</f>
        <v>0</v>
      </c>
      <c r="AJ950" s="133">
        <f>'Optional Adjustment 18'!G950*$AJ$1</f>
        <v>0</v>
      </c>
      <c r="AK950" s="133">
        <f>'Optional Adjustment 19'!G950*$AK$1</f>
        <v>0</v>
      </c>
      <c r="AL950" s="133">
        <f>'Optional Adjustment 20'!G950*$AL$1</f>
        <v>0</v>
      </c>
      <c r="AM950" s="133">
        <f>'Optional Adjustment 21'!G950*$AM$1</f>
        <v>0</v>
      </c>
      <c r="AN950" s="133">
        <f>'Optional Adjustment 22'!G950*$AN$1</f>
        <v>0</v>
      </c>
      <c r="AO950" s="133">
        <f>'Optional Adjustment 23'!G950*$AO$1</f>
        <v>0</v>
      </c>
      <c r="AP950" s="133">
        <f>'Optional Adjustment 24'!G950*$AP$1</f>
        <v>0</v>
      </c>
      <c r="AQ950" s="133">
        <f>'Optional Adjustment 25'!G950*$AQ$1</f>
        <v>0</v>
      </c>
      <c r="AR950" s="133">
        <f>'Optional Adjustment 26'!G950*$AR$1</f>
        <v>0</v>
      </c>
      <c r="AS950" s="133">
        <f>'Optional Adjustment 27'!G950*$AS$1</f>
        <v>0</v>
      </c>
      <c r="AT950" s="133"/>
      <c r="AU950" s="133">
        <f>SUM(F950:AT950)</f>
        <v>0</v>
      </c>
      <c r="AV950" s="116"/>
      <c r="AW950" s="133">
        <f>SUM(AU950:AU950)</f>
        <v>0</v>
      </c>
      <c r="AX950" s="133">
        <f>+AW950-'ROR-Model'!G966</f>
        <v>0</v>
      </c>
    </row>
    <row r="951" spans="1:50">
      <c r="A951" s="102"/>
      <c r="B951" s="102" t="s">
        <v>593</v>
      </c>
      <c r="C951" s="102"/>
      <c r="D951" s="102"/>
      <c r="E951" s="331"/>
      <c r="F951" s="116">
        <f>'Rate Base'!$AQ$16*F1</f>
        <v>0</v>
      </c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33"/>
      <c r="R951" s="133"/>
      <c r="S951" s="133"/>
      <c r="T951" s="133">
        <f>'Optional Adjustment 2'!G951*$T$1</f>
        <v>0</v>
      </c>
      <c r="U951" s="133">
        <f>'Optional Adjustment 3'!G951*$U$1</f>
        <v>0</v>
      </c>
      <c r="V951" s="133">
        <f>'Optional Adjustment 4'!G951*$V$1</f>
        <v>0</v>
      </c>
      <c r="W951" s="133">
        <f>'Optional Adjustment 5'!G951*$W$1</f>
        <v>0</v>
      </c>
      <c r="X951" s="133">
        <f>'Optional Adjustment 6'!G951*$X$1</f>
        <v>0</v>
      </c>
      <c r="Y951" s="133">
        <f>'Optional Adjustment 7'!G951*$Y$1</f>
        <v>0</v>
      </c>
      <c r="Z951" s="133">
        <f>'Optional Adjustment 8'!G951*$Z$1</f>
        <v>0</v>
      </c>
      <c r="AA951" s="133">
        <f>'Optional Adjustment 9'!G951*$AA$1</f>
        <v>0</v>
      </c>
      <c r="AB951" s="133">
        <f>'Optional Adjustment 10'!G951*$AB$1</f>
        <v>0</v>
      </c>
      <c r="AC951" s="133">
        <f>'Optional Adjustment 11'!G951*$AC$1</f>
        <v>0</v>
      </c>
      <c r="AD951" s="133">
        <f>'Optional Adjustment 12'!G951*$AD$1</f>
        <v>0</v>
      </c>
      <c r="AE951" s="133">
        <f>'Optional Adjustment 13'!G951*$AE$1</f>
        <v>0</v>
      </c>
      <c r="AF951" s="133">
        <f>'Optional Adjustment 14'!G951*$AF$1</f>
        <v>0</v>
      </c>
      <c r="AG951" s="133">
        <f>'Optional Adjustment 15'!G951*$AG$1</f>
        <v>0</v>
      </c>
      <c r="AH951" s="133">
        <f>'Optional Adjustment 16'!G951*$AH$1</f>
        <v>0</v>
      </c>
      <c r="AI951" s="133">
        <f>'Optional Adjustment 17'!G951*$AI$1</f>
        <v>0</v>
      </c>
      <c r="AJ951" s="133">
        <f>'Optional Adjustment 18'!G951*$AJ$1</f>
        <v>0</v>
      </c>
      <c r="AK951" s="133">
        <f>'Optional Adjustment 19'!G951*$AK$1</f>
        <v>0</v>
      </c>
      <c r="AL951" s="133">
        <f>'Optional Adjustment 20'!G951*$AL$1</f>
        <v>0</v>
      </c>
      <c r="AM951" s="133">
        <f>'Optional Adjustment 21'!G951*$AM$1</f>
        <v>0</v>
      </c>
      <c r="AN951" s="133">
        <f>'Optional Adjustment 22'!G951*$AN$1</f>
        <v>0</v>
      </c>
      <c r="AO951" s="133">
        <f>'Optional Adjustment 23'!G951*$AO$1</f>
        <v>0</v>
      </c>
      <c r="AP951" s="133">
        <f>'Optional Adjustment 24'!G951*$AP$1</f>
        <v>0</v>
      </c>
      <c r="AQ951" s="133">
        <f>'Optional Adjustment 25'!G951*$AQ$1</f>
        <v>0</v>
      </c>
      <c r="AR951" s="133">
        <f>'Optional Adjustment 26'!G951*$AR$1</f>
        <v>0</v>
      </c>
      <c r="AS951" s="133">
        <f>'Optional Adjustment 27'!G951*$AS$1</f>
        <v>0</v>
      </c>
      <c r="AT951" s="133"/>
      <c r="AU951" s="133">
        <f>SUM(F951:AT951)</f>
        <v>0</v>
      </c>
      <c r="AV951" s="116"/>
      <c r="AW951" s="133">
        <f>SUM(AU951:AU951)</f>
        <v>0</v>
      </c>
      <c r="AX951" s="133">
        <f>+AW951-'ROR-Model'!G967</f>
        <v>0</v>
      </c>
    </row>
    <row r="952" spans="1:50">
      <c r="A952" s="14"/>
      <c r="B952" s="102"/>
      <c r="C952" s="102"/>
      <c r="D952" s="102"/>
      <c r="E952" s="331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16"/>
      <c r="AW952" s="133"/>
      <c r="AX952" s="133">
        <f>+AW952-'ROR-Model'!G968</f>
        <v>0</v>
      </c>
    </row>
    <row r="953" spans="1:50">
      <c r="A953" s="102"/>
      <c r="B953" s="102" t="s">
        <v>220</v>
      </c>
      <c r="C953" s="102"/>
      <c r="D953" s="102"/>
      <c r="E953" s="331"/>
      <c r="F953" s="116">
        <f>SUM(F950:F951)</f>
        <v>0</v>
      </c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33"/>
      <c r="R953" s="133"/>
      <c r="S953" s="133"/>
      <c r="T953" s="133">
        <f t="shared" ref="T953:AG953" si="1184">SUM(T950:T951)</f>
        <v>0</v>
      </c>
      <c r="U953" s="133">
        <f t="shared" si="1184"/>
        <v>0</v>
      </c>
      <c r="V953" s="133">
        <f t="shared" si="1184"/>
        <v>0</v>
      </c>
      <c r="W953" s="133">
        <f t="shared" si="1184"/>
        <v>0</v>
      </c>
      <c r="X953" s="133">
        <f t="shared" si="1184"/>
        <v>0</v>
      </c>
      <c r="Y953" s="133">
        <f t="shared" si="1184"/>
        <v>0</v>
      </c>
      <c r="Z953" s="133">
        <f t="shared" si="1184"/>
        <v>0</v>
      </c>
      <c r="AA953" s="133">
        <f t="shared" si="1184"/>
        <v>0</v>
      </c>
      <c r="AB953" s="133">
        <f t="shared" si="1184"/>
        <v>0</v>
      </c>
      <c r="AC953" s="133">
        <f t="shared" si="1184"/>
        <v>0</v>
      </c>
      <c r="AD953" s="133">
        <f t="shared" si="1184"/>
        <v>0</v>
      </c>
      <c r="AE953" s="133">
        <f t="shared" si="1184"/>
        <v>0</v>
      </c>
      <c r="AF953" s="133">
        <f t="shared" si="1184"/>
        <v>0</v>
      </c>
      <c r="AG953" s="133">
        <f t="shared" si="1184"/>
        <v>0</v>
      </c>
      <c r="AH953" s="133">
        <f t="shared" ref="AH953:AK953" si="1185">SUM(AH950:AH951)</f>
        <v>0</v>
      </c>
      <c r="AI953" s="133">
        <f t="shared" si="1185"/>
        <v>0</v>
      </c>
      <c r="AJ953" s="133">
        <f t="shared" si="1185"/>
        <v>0</v>
      </c>
      <c r="AK953" s="133">
        <f t="shared" si="1185"/>
        <v>0</v>
      </c>
      <c r="AL953" s="133">
        <f t="shared" ref="AL953:AP953" si="1186">SUM(AL950:AL951)</f>
        <v>0</v>
      </c>
      <c r="AM953" s="133">
        <f t="shared" si="1186"/>
        <v>0</v>
      </c>
      <c r="AN953" s="133">
        <f t="shared" si="1186"/>
        <v>0</v>
      </c>
      <c r="AO953" s="133">
        <f t="shared" si="1186"/>
        <v>0</v>
      </c>
      <c r="AP953" s="133">
        <f t="shared" si="1186"/>
        <v>0</v>
      </c>
      <c r="AQ953" s="133">
        <f t="shared" ref="AQ953:AS953" si="1187">SUM(AQ950:AQ951)</f>
        <v>0</v>
      </c>
      <c r="AR953" s="133">
        <f t="shared" si="1187"/>
        <v>0</v>
      </c>
      <c r="AS953" s="133">
        <f t="shared" si="1187"/>
        <v>0</v>
      </c>
      <c r="AT953" s="133"/>
      <c r="AU953" s="133">
        <f>SUM(F953:AT953)</f>
        <v>0</v>
      </c>
      <c r="AV953" s="116"/>
      <c r="AW953" s="133">
        <f>SUM(AU953:AU953)</f>
        <v>0</v>
      </c>
      <c r="AX953" s="133">
        <f>+AW953-'ROR-Model'!G969</f>
        <v>0</v>
      </c>
    </row>
    <row r="954" spans="1:50">
      <c r="A954" s="102"/>
      <c r="B954" s="102"/>
      <c r="C954" s="102"/>
      <c r="D954" s="102"/>
      <c r="E954" s="331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16"/>
      <c r="AW954" s="133"/>
      <c r="AX954" s="133">
        <f>+AW954-'ROR-Model'!G970</f>
        <v>0</v>
      </c>
    </row>
    <row r="955" spans="1:50">
      <c r="A955" s="253"/>
      <c r="B955" s="102" t="s">
        <v>221</v>
      </c>
      <c r="C955" s="102"/>
      <c r="D955" s="102"/>
      <c r="E955" s="331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16"/>
      <c r="AW955" s="133"/>
      <c r="AX955" s="133">
        <f>+AW955-'ROR-Model'!G971</f>
        <v>0</v>
      </c>
    </row>
    <row r="956" spans="1:50">
      <c r="A956" s="253" t="s">
        <v>222</v>
      </c>
      <c r="B956" s="102" t="s">
        <v>223</v>
      </c>
      <c r="C956" s="102"/>
      <c r="D956" s="102"/>
      <c r="E956" s="331"/>
      <c r="F956" s="116">
        <f>'Rate Base'!$AQ$21*$F$1</f>
        <v>0</v>
      </c>
      <c r="G956" s="116"/>
      <c r="H956" s="116"/>
      <c r="I956" s="116"/>
      <c r="J956" s="116">
        <f>-'Rate Base'!AP21*Wexpro!$G$12*$J$1</f>
        <v>-394814.74346999993</v>
      </c>
      <c r="K956" s="116"/>
      <c r="L956" s="116"/>
      <c r="M956" s="116"/>
      <c r="N956" s="116"/>
      <c r="O956" s="116"/>
      <c r="P956" s="116"/>
      <c r="Q956" s="133"/>
      <c r="R956" s="133"/>
      <c r="S956" s="133"/>
      <c r="T956" s="133">
        <f>'Optional Adjustment 2'!G956*$T$1</f>
        <v>0</v>
      </c>
      <c r="U956" s="133">
        <f>'Optional Adjustment 3'!G956*$U$1</f>
        <v>0</v>
      </c>
      <c r="V956" s="133">
        <f>'Optional Adjustment 4'!G956*$V$1</f>
        <v>0</v>
      </c>
      <c r="W956" s="133">
        <f>'Optional Adjustment 5'!G956*$W$1</f>
        <v>0</v>
      </c>
      <c r="X956" s="133">
        <f>'Optional Adjustment 6'!G956*$X$1</f>
        <v>0</v>
      </c>
      <c r="Y956" s="133">
        <f>'Optional Adjustment 7'!G956*$Y$1</f>
        <v>0</v>
      </c>
      <c r="Z956" s="133">
        <f>'Optional Adjustment 8'!G956*$Z$1</f>
        <v>0</v>
      </c>
      <c r="AA956" s="133">
        <f>'Optional Adjustment 9'!G956*$AA$1</f>
        <v>0</v>
      </c>
      <c r="AB956" s="133">
        <f>'Optional Adjustment 10'!G956*$AB$1</f>
        <v>0</v>
      </c>
      <c r="AC956" s="133">
        <f>'Optional Adjustment 11'!G956*$AC$1</f>
        <v>0</v>
      </c>
      <c r="AD956" s="133">
        <f>'Optional Adjustment 12'!G956*$AD$1</f>
        <v>0</v>
      </c>
      <c r="AE956" s="133">
        <f>'Optional Adjustment 13'!G956*$AE$1</f>
        <v>0</v>
      </c>
      <c r="AF956" s="133">
        <f>'Optional Adjustment 14'!G956*$AF$1</f>
        <v>0</v>
      </c>
      <c r="AG956" s="133">
        <f>'Optional Adjustment 15'!G956*$AG$1</f>
        <v>0</v>
      </c>
      <c r="AH956" s="133">
        <f>'Optional Adjustment 16'!G956*$AH$1</f>
        <v>0</v>
      </c>
      <c r="AI956" s="133">
        <f>'Optional Adjustment 17'!G956*$AI$1</f>
        <v>0</v>
      </c>
      <c r="AJ956" s="133">
        <f>'Optional Adjustment 18'!G956*$AJ$1</f>
        <v>0</v>
      </c>
      <c r="AK956" s="133">
        <f>'Optional Adjustment 19'!G956*$AK$1</f>
        <v>0</v>
      </c>
      <c r="AL956" s="133">
        <f>'Optional Adjustment 20'!G956*$AL$1</f>
        <v>0</v>
      </c>
      <c r="AM956" s="133">
        <f>'Optional Adjustment 21'!G956*$AM$1</f>
        <v>0</v>
      </c>
      <c r="AN956" s="133">
        <f>'Optional Adjustment 22'!G956*$AN$1</f>
        <v>0</v>
      </c>
      <c r="AO956" s="133">
        <f>'Optional Adjustment 23'!G956*$AO$1</f>
        <v>0</v>
      </c>
      <c r="AP956" s="133">
        <f>'Optional Adjustment 24'!G956*$AP$1</f>
        <v>0</v>
      </c>
      <c r="AQ956" s="133">
        <f>'Optional Adjustment 25'!G956*$AQ$1</f>
        <v>0</v>
      </c>
      <c r="AR956" s="133">
        <f>'Optional Adjustment 26'!G956*$AR$1</f>
        <v>0</v>
      </c>
      <c r="AS956" s="133">
        <f>'Optional Adjustment 27'!G956*$AS$1</f>
        <v>0</v>
      </c>
      <c r="AT956" s="133"/>
      <c r="AU956" s="133">
        <f t="shared" ref="AU956:AU962" si="1188">SUM(F956:AT956)</f>
        <v>-394814.74346999993</v>
      </c>
      <c r="AV956" s="116"/>
      <c r="AW956" s="133">
        <f t="shared" ref="AW956:AW962" si="1189">SUM(AU956:AU956)</f>
        <v>-394814.74346999993</v>
      </c>
      <c r="AX956" s="133">
        <f>+AW956-'ROR-Model'!G972</f>
        <v>0</v>
      </c>
    </row>
    <row r="957" spans="1:50">
      <c r="A957" s="253" t="s">
        <v>224</v>
      </c>
      <c r="B957" s="102" t="s">
        <v>225</v>
      </c>
      <c r="C957" s="102"/>
      <c r="D957" s="102"/>
      <c r="E957" s="331"/>
      <c r="F957" s="116">
        <f>'Rate Base'!$AQ$22*$F$1</f>
        <v>0</v>
      </c>
      <c r="G957" s="116"/>
      <c r="H957" s="116"/>
      <c r="I957" s="116"/>
      <c r="J957" s="116">
        <f>-'Rate Base'!AP22*Wexpro!$G$12*$J$1</f>
        <v>-90566.783370000005</v>
      </c>
      <c r="K957" s="116"/>
      <c r="L957" s="116"/>
      <c r="M957" s="116"/>
      <c r="N957" s="116"/>
      <c r="O957" s="116"/>
      <c r="P957" s="116"/>
      <c r="Q957" s="133"/>
      <c r="R957" s="133"/>
      <c r="S957" s="133"/>
      <c r="T957" s="133">
        <f>'Optional Adjustment 2'!G957*$T$1</f>
        <v>0</v>
      </c>
      <c r="U957" s="133">
        <f>'Optional Adjustment 3'!G957*$U$1</f>
        <v>0</v>
      </c>
      <c r="V957" s="133">
        <f>'Optional Adjustment 4'!G957*$V$1</f>
        <v>0</v>
      </c>
      <c r="W957" s="133">
        <f>'Optional Adjustment 5'!G957*$W$1</f>
        <v>0</v>
      </c>
      <c r="X957" s="133">
        <f>'Optional Adjustment 6'!G957*$X$1</f>
        <v>0</v>
      </c>
      <c r="Y957" s="133">
        <f>'Optional Adjustment 7'!G957*$Y$1</f>
        <v>0</v>
      </c>
      <c r="Z957" s="133">
        <f>'Optional Adjustment 8'!G957*$Z$1</f>
        <v>0</v>
      </c>
      <c r="AA957" s="133">
        <f>'Optional Adjustment 9'!G957*$AA$1</f>
        <v>0</v>
      </c>
      <c r="AB957" s="133">
        <f>'Optional Adjustment 10'!G957*$AB$1</f>
        <v>0</v>
      </c>
      <c r="AC957" s="133">
        <f>'Optional Adjustment 11'!G957*$AC$1</f>
        <v>0</v>
      </c>
      <c r="AD957" s="133">
        <f>'Optional Adjustment 12'!G957*$AD$1</f>
        <v>0</v>
      </c>
      <c r="AE957" s="133">
        <f>'Optional Adjustment 13'!G957*$AE$1</f>
        <v>0</v>
      </c>
      <c r="AF957" s="133">
        <f>'Optional Adjustment 14'!G957*$AF$1</f>
        <v>0</v>
      </c>
      <c r="AG957" s="133">
        <f>'Optional Adjustment 15'!G957*$AG$1</f>
        <v>0</v>
      </c>
      <c r="AH957" s="133">
        <f>'Optional Adjustment 16'!G957*$AH$1</f>
        <v>0</v>
      </c>
      <c r="AI957" s="133">
        <f>'Optional Adjustment 17'!G957*$AI$1</f>
        <v>0</v>
      </c>
      <c r="AJ957" s="133">
        <f>'Optional Adjustment 18'!G957*$AJ$1</f>
        <v>0</v>
      </c>
      <c r="AK957" s="133">
        <f>'Optional Adjustment 19'!G957*$AK$1</f>
        <v>0</v>
      </c>
      <c r="AL957" s="133">
        <f>'Optional Adjustment 20'!G957*$AL$1</f>
        <v>0</v>
      </c>
      <c r="AM957" s="133">
        <f>'Optional Adjustment 21'!G957*$AM$1</f>
        <v>0</v>
      </c>
      <c r="AN957" s="133">
        <f>'Optional Adjustment 22'!G957*$AN$1</f>
        <v>0</v>
      </c>
      <c r="AO957" s="133">
        <f>'Optional Adjustment 23'!G957*$AO$1</f>
        <v>0</v>
      </c>
      <c r="AP957" s="133">
        <f>'Optional Adjustment 24'!G957*$AP$1</f>
        <v>0</v>
      </c>
      <c r="AQ957" s="133">
        <f>'Optional Adjustment 25'!G957*$AQ$1</f>
        <v>0</v>
      </c>
      <c r="AR957" s="133">
        <f>'Optional Adjustment 26'!G957*$AR$1</f>
        <v>0</v>
      </c>
      <c r="AS957" s="133">
        <f>'Optional Adjustment 27'!G957*$AS$1</f>
        <v>0</v>
      </c>
      <c r="AT957" s="133"/>
      <c r="AU957" s="133">
        <f t="shared" si="1188"/>
        <v>-90566.783370000005</v>
      </c>
      <c r="AV957" s="116"/>
      <c r="AW957" s="133">
        <f t="shared" si="1189"/>
        <v>-90566.783370000005</v>
      </c>
      <c r="AX957" s="133">
        <f>+AW957-'ROR-Model'!G973</f>
        <v>0</v>
      </c>
    </row>
    <row r="958" spans="1:50">
      <c r="A958" s="253" t="s">
        <v>226</v>
      </c>
      <c r="B958" s="102" t="s">
        <v>227</v>
      </c>
      <c r="C958" s="102"/>
      <c r="D958" s="102"/>
      <c r="E958" s="331"/>
      <c r="F958" s="116">
        <f>'Rate Base'!$AQ$23*$F$1</f>
        <v>0</v>
      </c>
      <c r="G958" s="116"/>
      <c r="H958" s="116"/>
      <c r="I958" s="116"/>
      <c r="J958" s="116">
        <f>-'Rate Base'!AP23*Wexpro!$G$12*$J$1</f>
        <v>-3287043.51003</v>
      </c>
      <c r="K958" s="116"/>
      <c r="L958" s="116"/>
      <c r="M958" s="116"/>
      <c r="N958" s="116"/>
      <c r="O958" s="116"/>
      <c r="P958" s="116"/>
      <c r="Q958" s="133"/>
      <c r="R958" s="133"/>
      <c r="S958" s="133"/>
      <c r="T958" s="133">
        <f>'Optional Adjustment 2'!G958*$T$1</f>
        <v>0</v>
      </c>
      <c r="U958" s="133">
        <f>'Optional Adjustment 3'!G958*$U$1</f>
        <v>0</v>
      </c>
      <c r="V958" s="133">
        <f>'Optional Adjustment 4'!G958*$V$1</f>
        <v>0</v>
      </c>
      <c r="W958" s="133">
        <f>'Optional Adjustment 5'!G958*$W$1</f>
        <v>0</v>
      </c>
      <c r="X958" s="133">
        <f>'Optional Adjustment 6'!G958*$X$1</f>
        <v>0</v>
      </c>
      <c r="Y958" s="133">
        <f>'Optional Adjustment 7'!G958*$Y$1</f>
        <v>0</v>
      </c>
      <c r="Z958" s="133">
        <f>'Optional Adjustment 8'!G958*$Z$1</f>
        <v>0</v>
      </c>
      <c r="AA958" s="133">
        <f>'Optional Adjustment 9'!G958*$AA$1</f>
        <v>0</v>
      </c>
      <c r="AB958" s="133">
        <f>'Optional Adjustment 10'!G958*$AB$1</f>
        <v>0</v>
      </c>
      <c r="AC958" s="133">
        <f>'Optional Adjustment 11'!G958*$AC$1</f>
        <v>0</v>
      </c>
      <c r="AD958" s="133">
        <f>'Optional Adjustment 12'!G958*$AD$1</f>
        <v>0</v>
      </c>
      <c r="AE958" s="133">
        <f>'Optional Adjustment 13'!G958*$AE$1</f>
        <v>0</v>
      </c>
      <c r="AF958" s="133">
        <f>'Optional Adjustment 14'!G958*$AF$1</f>
        <v>0</v>
      </c>
      <c r="AG958" s="133">
        <f>'Optional Adjustment 15'!G958*$AG$1</f>
        <v>0</v>
      </c>
      <c r="AH958" s="133">
        <f>'Optional Adjustment 16'!G958*$AH$1</f>
        <v>0</v>
      </c>
      <c r="AI958" s="133">
        <f>'Optional Adjustment 17'!G958*$AI$1</f>
        <v>0</v>
      </c>
      <c r="AJ958" s="133">
        <f>'Optional Adjustment 18'!G958*$AJ$1</f>
        <v>0</v>
      </c>
      <c r="AK958" s="133">
        <f>'Optional Adjustment 19'!G958*$AK$1</f>
        <v>0</v>
      </c>
      <c r="AL958" s="133">
        <f>'Optional Adjustment 20'!G958*$AL$1</f>
        <v>0</v>
      </c>
      <c r="AM958" s="133">
        <f>'Optional Adjustment 21'!G958*$AM$1</f>
        <v>0</v>
      </c>
      <c r="AN958" s="133">
        <f>'Optional Adjustment 22'!G958*$AN$1</f>
        <v>0</v>
      </c>
      <c r="AO958" s="133">
        <f>'Optional Adjustment 23'!G958*$AO$1</f>
        <v>0</v>
      </c>
      <c r="AP958" s="133">
        <f>'Optional Adjustment 24'!G958*$AP$1</f>
        <v>0</v>
      </c>
      <c r="AQ958" s="133">
        <f>'Optional Adjustment 25'!G958*$AQ$1</f>
        <v>0</v>
      </c>
      <c r="AR958" s="133">
        <f>'Optional Adjustment 26'!G958*$AR$1</f>
        <v>0</v>
      </c>
      <c r="AS958" s="133">
        <f>'Optional Adjustment 27'!G958*$AS$1</f>
        <v>0</v>
      </c>
      <c r="AT958" s="133"/>
      <c r="AU958" s="133">
        <f t="shared" si="1188"/>
        <v>-3287043.51003</v>
      </c>
      <c r="AV958" s="116"/>
      <c r="AW958" s="133">
        <f t="shared" si="1189"/>
        <v>-3287043.51003</v>
      </c>
      <c r="AX958" s="133">
        <f>+AW958-'ROR-Model'!G974</f>
        <v>0</v>
      </c>
    </row>
    <row r="959" spans="1:50">
      <c r="A959" s="253" t="s">
        <v>228</v>
      </c>
      <c r="B959" s="102" t="s">
        <v>229</v>
      </c>
      <c r="C959" s="102"/>
      <c r="D959" s="102"/>
      <c r="E959" s="331"/>
      <c r="F959" s="116">
        <f>'Rate Base'!$AQ$24*$F$1</f>
        <v>0</v>
      </c>
      <c r="G959" s="116"/>
      <c r="H959" s="116"/>
      <c r="I959" s="116"/>
      <c r="J959" s="116">
        <f>-'Rate Base'!AP24*Wexpro!$G$12*$J$1</f>
        <v>-1084630.4311500003</v>
      </c>
      <c r="K959" s="116"/>
      <c r="L959" s="116"/>
      <c r="M959" s="116"/>
      <c r="N959" s="116"/>
      <c r="O959" s="116"/>
      <c r="P959" s="116"/>
      <c r="Q959" s="133"/>
      <c r="R959" s="133"/>
      <c r="S959" s="133"/>
      <c r="T959" s="133">
        <f>'Optional Adjustment 2'!G959*$T$1</f>
        <v>0</v>
      </c>
      <c r="U959" s="133">
        <f>'Optional Adjustment 3'!G959*$U$1</f>
        <v>0</v>
      </c>
      <c r="V959" s="133">
        <f>'Optional Adjustment 4'!G959*$V$1</f>
        <v>0</v>
      </c>
      <c r="W959" s="133">
        <f>'Optional Adjustment 5'!G959*$W$1</f>
        <v>0</v>
      </c>
      <c r="X959" s="133">
        <f>'Optional Adjustment 6'!G959*$X$1</f>
        <v>0</v>
      </c>
      <c r="Y959" s="133">
        <f>'Optional Adjustment 7'!G959*$Y$1</f>
        <v>0</v>
      </c>
      <c r="Z959" s="133">
        <f>'Optional Adjustment 8'!G959*$Z$1</f>
        <v>0</v>
      </c>
      <c r="AA959" s="133">
        <f>'Optional Adjustment 9'!G959*$AA$1</f>
        <v>0</v>
      </c>
      <c r="AB959" s="133">
        <f>'Optional Adjustment 10'!G959*$AB$1</f>
        <v>0</v>
      </c>
      <c r="AC959" s="133">
        <f>'Optional Adjustment 11'!G959*$AC$1</f>
        <v>0</v>
      </c>
      <c r="AD959" s="133">
        <f>'Optional Adjustment 12'!G959*$AD$1</f>
        <v>0</v>
      </c>
      <c r="AE959" s="133">
        <f>'Optional Adjustment 13'!G959*$AE$1</f>
        <v>0</v>
      </c>
      <c r="AF959" s="133">
        <f>'Optional Adjustment 14'!G959*$AF$1</f>
        <v>0</v>
      </c>
      <c r="AG959" s="133">
        <f>'Optional Adjustment 15'!G959*$AG$1</f>
        <v>0</v>
      </c>
      <c r="AH959" s="133">
        <f>'Optional Adjustment 16'!G959*$AH$1</f>
        <v>0</v>
      </c>
      <c r="AI959" s="133">
        <f>'Optional Adjustment 17'!G959*$AI$1</f>
        <v>0</v>
      </c>
      <c r="AJ959" s="133">
        <f>'Optional Adjustment 18'!G959*$AJ$1</f>
        <v>0</v>
      </c>
      <c r="AK959" s="133">
        <f>'Optional Adjustment 19'!G959*$AK$1</f>
        <v>0</v>
      </c>
      <c r="AL959" s="133">
        <f>'Optional Adjustment 20'!G959*$AL$1</f>
        <v>0</v>
      </c>
      <c r="AM959" s="133">
        <f>'Optional Adjustment 21'!G959*$AM$1</f>
        <v>0</v>
      </c>
      <c r="AN959" s="133">
        <f>'Optional Adjustment 22'!G959*$AN$1</f>
        <v>0</v>
      </c>
      <c r="AO959" s="133">
        <f>'Optional Adjustment 23'!G959*$AO$1</f>
        <v>0</v>
      </c>
      <c r="AP959" s="133">
        <f>'Optional Adjustment 24'!G959*$AP$1</f>
        <v>0</v>
      </c>
      <c r="AQ959" s="133">
        <f>'Optional Adjustment 25'!G959*$AQ$1</f>
        <v>0</v>
      </c>
      <c r="AR959" s="133">
        <f>'Optional Adjustment 26'!G959*$AR$1</f>
        <v>0</v>
      </c>
      <c r="AS959" s="133">
        <f>'Optional Adjustment 27'!G959*$AS$1</f>
        <v>0</v>
      </c>
      <c r="AT959" s="133"/>
      <c r="AU959" s="133">
        <f t="shared" si="1188"/>
        <v>-1084630.4311500003</v>
      </c>
      <c r="AV959" s="116"/>
      <c r="AW959" s="133">
        <f t="shared" si="1189"/>
        <v>-1084630.4311500003</v>
      </c>
      <c r="AX959" s="133">
        <f>+AW959-'ROR-Model'!G975</f>
        <v>0</v>
      </c>
    </row>
    <row r="960" spans="1:50">
      <c r="A960" s="253" t="s">
        <v>230</v>
      </c>
      <c r="B960" s="102" t="s">
        <v>231</v>
      </c>
      <c r="C960" s="102"/>
      <c r="D960" s="102"/>
      <c r="E960" s="331"/>
      <c r="F960" s="116">
        <f>'Rate Base'!$AQ$25*$F$1</f>
        <v>0</v>
      </c>
      <c r="G960" s="116"/>
      <c r="H960" s="116"/>
      <c r="I960" s="116"/>
      <c r="J960" s="116">
        <f>-'Rate Base'!AP25*Wexpro!$G$12*$J$1</f>
        <v>-169710.41556000002</v>
      </c>
      <c r="K960" s="116"/>
      <c r="L960" s="116"/>
      <c r="M960" s="116"/>
      <c r="N960" s="116"/>
      <c r="O960" s="116"/>
      <c r="P960" s="116"/>
      <c r="Q960" s="133"/>
      <c r="R960" s="133"/>
      <c r="S960" s="133"/>
      <c r="T960" s="133">
        <f>'Optional Adjustment 2'!G960*$T$1</f>
        <v>0</v>
      </c>
      <c r="U960" s="133">
        <f>'Optional Adjustment 3'!G960*$U$1</f>
        <v>0</v>
      </c>
      <c r="V960" s="133">
        <f>'Optional Adjustment 4'!G960*$V$1</f>
        <v>0</v>
      </c>
      <c r="W960" s="133">
        <f>'Optional Adjustment 5'!G960*$W$1</f>
        <v>0</v>
      </c>
      <c r="X960" s="133">
        <f>'Optional Adjustment 6'!G960*$X$1</f>
        <v>0</v>
      </c>
      <c r="Y960" s="133">
        <f>'Optional Adjustment 7'!G960*$Y$1</f>
        <v>0</v>
      </c>
      <c r="Z960" s="133">
        <f>'Optional Adjustment 8'!G960*$Z$1</f>
        <v>0</v>
      </c>
      <c r="AA960" s="133">
        <f>'Optional Adjustment 9'!G960*$AA$1</f>
        <v>0</v>
      </c>
      <c r="AB960" s="133">
        <f>'Optional Adjustment 10'!G960*$AB$1</f>
        <v>0</v>
      </c>
      <c r="AC960" s="133">
        <f>'Optional Adjustment 11'!G960*$AC$1</f>
        <v>0</v>
      </c>
      <c r="AD960" s="133">
        <f>'Optional Adjustment 12'!G960*$AD$1</f>
        <v>0</v>
      </c>
      <c r="AE960" s="133">
        <f>'Optional Adjustment 13'!G960*$AE$1</f>
        <v>0</v>
      </c>
      <c r="AF960" s="133">
        <f>'Optional Adjustment 14'!G960*$AF$1</f>
        <v>0</v>
      </c>
      <c r="AG960" s="133">
        <f>'Optional Adjustment 15'!G960*$AG$1</f>
        <v>0</v>
      </c>
      <c r="AH960" s="133">
        <f>'Optional Adjustment 16'!G960*$AH$1</f>
        <v>0</v>
      </c>
      <c r="AI960" s="133">
        <f>'Optional Adjustment 17'!G960*$AI$1</f>
        <v>0</v>
      </c>
      <c r="AJ960" s="133">
        <f>'Optional Adjustment 18'!G960*$AJ$1</f>
        <v>0</v>
      </c>
      <c r="AK960" s="133">
        <f>'Optional Adjustment 19'!G960*$AK$1</f>
        <v>0</v>
      </c>
      <c r="AL960" s="133">
        <f>'Optional Adjustment 20'!G960*$AL$1</f>
        <v>0</v>
      </c>
      <c r="AM960" s="133">
        <f>'Optional Adjustment 21'!G960*$AM$1</f>
        <v>0</v>
      </c>
      <c r="AN960" s="133">
        <f>'Optional Adjustment 22'!G960*$AN$1</f>
        <v>0</v>
      </c>
      <c r="AO960" s="133">
        <f>'Optional Adjustment 23'!G960*$AO$1</f>
        <v>0</v>
      </c>
      <c r="AP960" s="133">
        <f>'Optional Adjustment 24'!G960*$AP$1</f>
        <v>0</v>
      </c>
      <c r="AQ960" s="133">
        <f>'Optional Adjustment 25'!G960*$AQ$1</f>
        <v>0</v>
      </c>
      <c r="AR960" s="133">
        <f>'Optional Adjustment 26'!G960*$AR$1</f>
        <v>0</v>
      </c>
      <c r="AS960" s="133">
        <f>'Optional Adjustment 27'!G960*$AS$1</f>
        <v>0</v>
      </c>
      <c r="AT960" s="133"/>
      <c r="AU960" s="133">
        <f t="shared" si="1188"/>
        <v>-169710.41556000002</v>
      </c>
      <c r="AV960" s="116"/>
      <c r="AW960" s="133">
        <f t="shared" si="1189"/>
        <v>-169710.41556000002</v>
      </c>
      <c r="AX960" s="133">
        <f>+AW960-'ROR-Model'!G976</f>
        <v>0</v>
      </c>
    </row>
    <row r="961" spans="1:50">
      <c r="A961" s="253" t="s">
        <v>232</v>
      </c>
      <c r="B961" s="102" t="s">
        <v>233</v>
      </c>
      <c r="C961" s="102"/>
      <c r="D961" s="102"/>
      <c r="E961" s="331"/>
      <c r="F961" s="116">
        <f>'Rate Base'!$AQ$26*$F$1</f>
        <v>0</v>
      </c>
      <c r="G961" s="116"/>
      <c r="H961" s="116"/>
      <c r="I961" s="116"/>
      <c r="J961" s="116">
        <f>-'Rate Base'!AP26*Wexpro!$G$12*$J$1</f>
        <v>-3591.9267300000001</v>
      </c>
      <c r="K961" s="116"/>
      <c r="L961" s="116"/>
      <c r="M961" s="116"/>
      <c r="N961" s="116"/>
      <c r="O961" s="116"/>
      <c r="P961" s="116"/>
      <c r="Q961" s="133"/>
      <c r="R961" s="133"/>
      <c r="S961" s="133"/>
      <c r="T961" s="133">
        <f>'Optional Adjustment 2'!G961*$T$1</f>
        <v>0</v>
      </c>
      <c r="U961" s="133">
        <f>'Optional Adjustment 3'!G961*$U$1</f>
        <v>0</v>
      </c>
      <c r="V961" s="133">
        <f>'Optional Adjustment 4'!G961*$V$1</f>
        <v>0</v>
      </c>
      <c r="W961" s="133">
        <f>'Optional Adjustment 5'!G961*$W$1</f>
        <v>0</v>
      </c>
      <c r="X961" s="133">
        <f>'Optional Adjustment 6'!G961*$X$1</f>
        <v>0</v>
      </c>
      <c r="Y961" s="133">
        <f>'Optional Adjustment 7'!G961*$Y$1</f>
        <v>0</v>
      </c>
      <c r="Z961" s="133">
        <f>'Optional Adjustment 8'!G961*$Z$1</f>
        <v>0</v>
      </c>
      <c r="AA961" s="133">
        <f>'Optional Adjustment 9'!G961*$AA$1</f>
        <v>0</v>
      </c>
      <c r="AB961" s="133">
        <f>'Optional Adjustment 10'!G961*$AB$1</f>
        <v>0</v>
      </c>
      <c r="AC961" s="133">
        <f>'Optional Adjustment 11'!G961*$AC$1</f>
        <v>0</v>
      </c>
      <c r="AD961" s="133">
        <f>'Optional Adjustment 12'!G961*$AD$1</f>
        <v>0</v>
      </c>
      <c r="AE961" s="133">
        <f>'Optional Adjustment 13'!G961*$AE$1</f>
        <v>0</v>
      </c>
      <c r="AF961" s="133">
        <f>'Optional Adjustment 14'!G961*$AF$1</f>
        <v>0</v>
      </c>
      <c r="AG961" s="133">
        <f>'Optional Adjustment 15'!G961*$AG$1</f>
        <v>0</v>
      </c>
      <c r="AH961" s="133">
        <f>'Optional Adjustment 16'!G961*$AH$1</f>
        <v>0</v>
      </c>
      <c r="AI961" s="133">
        <f>'Optional Adjustment 17'!G961*$AI$1</f>
        <v>0</v>
      </c>
      <c r="AJ961" s="133">
        <f>'Optional Adjustment 18'!G961*$AJ$1</f>
        <v>0</v>
      </c>
      <c r="AK961" s="133">
        <f>'Optional Adjustment 19'!G961*$AK$1</f>
        <v>0</v>
      </c>
      <c r="AL961" s="133">
        <f>'Optional Adjustment 20'!G961*$AL$1</f>
        <v>0</v>
      </c>
      <c r="AM961" s="133">
        <f>'Optional Adjustment 21'!G961*$AM$1</f>
        <v>0</v>
      </c>
      <c r="AN961" s="133">
        <f>'Optional Adjustment 22'!G961*$AN$1</f>
        <v>0</v>
      </c>
      <c r="AO961" s="133">
        <f>'Optional Adjustment 23'!G961*$AO$1</f>
        <v>0</v>
      </c>
      <c r="AP961" s="133">
        <f>'Optional Adjustment 24'!G961*$AP$1</f>
        <v>0</v>
      </c>
      <c r="AQ961" s="133">
        <f>'Optional Adjustment 25'!G961*$AQ$1</f>
        <v>0</v>
      </c>
      <c r="AR961" s="133">
        <f>'Optional Adjustment 26'!G961*$AR$1</f>
        <v>0</v>
      </c>
      <c r="AS961" s="133">
        <f>'Optional Adjustment 27'!G961*$AS$1</f>
        <v>0</v>
      </c>
      <c r="AT961" s="133"/>
      <c r="AU961" s="133">
        <f t="shared" si="1188"/>
        <v>-3591.9267300000001</v>
      </c>
      <c r="AV961" s="116"/>
      <c r="AW961" s="133">
        <f t="shared" si="1189"/>
        <v>-3591.9267300000001</v>
      </c>
      <c r="AX961" s="133">
        <f>+AW961-'ROR-Model'!G977</f>
        <v>0</v>
      </c>
    </row>
    <row r="962" spans="1:50">
      <c r="A962" s="102" t="s">
        <v>234</v>
      </c>
      <c r="B962" s="102" t="s">
        <v>235</v>
      </c>
      <c r="C962" s="102"/>
      <c r="D962" s="102"/>
      <c r="E962" s="331"/>
      <c r="F962" s="116">
        <f>'Rate Base'!$AQ$27*$F$1</f>
        <v>0</v>
      </c>
      <c r="G962" s="116"/>
      <c r="H962" s="116"/>
      <c r="I962" s="116"/>
      <c r="J962" s="116">
        <f>-'Rate Base'!AP27*Wexpro!$G$12*$J$1</f>
        <v>-7634.7576899999976</v>
      </c>
      <c r="K962" s="116"/>
      <c r="L962" s="116"/>
      <c r="M962" s="116"/>
      <c r="N962" s="116"/>
      <c r="O962" s="116"/>
      <c r="P962" s="116"/>
      <c r="Q962" s="133"/>
      <c r="R962" s="133"/>
      <c r="S962" s="133"/>
      <c r="T962" s="133">
        <f>'Optional Adjustment 2'!G962*$T$1</f>
        <v>0</v>
      </c>
      <c r="U962" s="133">
        <f>'Optional Adjustment 3'!G962*$U$1</f>
        <v>0</v>
      </c>
      <c r="V962" s="133">
        <f>'Optional Adjustment 4'!G962*$V$1</f>
        <v>0</v>
      </c>
      <c r="W962" s="133">
        <f>'Optional Adjustment 5'!G962*$W$1</f>
        <v>0</v>
      </c>
      <c r="X962" s="133">
        <f>'Optional Adjustment 6'!G962*$X$1</f>
        <v>0</v>
      </c>
      <c r="Y962" s="133">
        <f>'Optional Adjustment 7'!G962*$Y$1</f>
        <v>0</v>
      </c>
      <c r="Z962" s="133">
        <f>'Optional Adjustment 8'!G962*$Z$1</f>
        <v>0</v>
      </c>
      <c r="AA962" s="133">
        <f>'Optional Adjustment 9'!G962*$AA$1</f>
        <v>0</v>
      </c>
      <c r="AB962" s="133">
        <f>'Optional Adjustment 10'!G962*$AB$1</f>
        <v>0</v>
      </c>
      <c r="AC962" s="133">
        <f>'Optional Adjustment 11'!G962*$AC$1</f>
        <v>0</v>
      </c>
      <c r="AD962" s="133">
        <f>'Optional Adjustment 12'!G962*$AD$1</f>
        <v>0</v>
      </c>
      <c r="AE962" s="133">
        <f>'Optional Adjustment 13'!G962*$AE$1</f>
        <v>0</v>
      </c>
      <c r="AF962" s="133">
        <f>'Optional Adjustment 14'!G962*$AF$1</f>
        <v>0</v>
      </c>
      <c r="AG962" s="133">
        <f>'Optional Adjustment 15'!G962*$AG$1</f>
        <v>0</v>
      </c>
      <c r="AH962" s="133">
        <f>'Optional Adjustment 16'!G962*$AH$1</f>
        <v>0</v>
      </c>
      <c r="AI962" s="133">
        <f>'Optional Adjustment 17'!G962*$AI$1</f>
        <v>0</v>
      </c>
      <c r="AJ962" s="133">
        <f>'Optional Adjustment 18'!G962*$AJ$1</f>
        <v>0</v>
      </c>
      <c r="AK962" s="133">
        <f>'Optional Adjustment 19'!G962*$AK$1</f>
        <v>0</v>
      </c>
      <c r="AL962" s="133">
        <f>'Optional Adjustment 20'!G962*$AL$1</f>
        <v>0</v>
      </c>
      <c r="AM962" s="133">
        <f>'Optional Adjustment 21'!G962*$AM$1</f>
        <v>0</v>
      </c>
      <c r="AN962" s="133">
        <f>'Optional Adjustment 22'!G962*$AN$1</f>
        <v>0</v>
      </c>
      <c r="AO962" s="133">
        <f>'Optional Adjustment 23'!G962*$AO$1</f>
        <v>0</v>
      </c>
      <c r="AP962" s="133">
        <f>'Optional Adjustment 24'!G962*$AP$1</f>
        <v>0</v>
      </c>
      <c r="AQ962" s="133">
        <f>'Optional Adjustment 25'!G962*$AQ$1</f>
        <v>0</v>
      </c>
      <c r="AR962" s="133">
        <f>'Optional Adjustment 26'!G962*$AR$1</f>
        <v>0</v>
      </c>
      <c r="AS962" s="133">
        <f>'Optional Adjustment 27'!G962*$AS$1</f>
        <v>0</v>
      </c>
      <c r="AT962" s="133"/>
      <c r="AU962" s="133">
        <f t="shared" si="1188"/>
        <v>-7634.7576899999976</v>
      </c>
      <c r="AV962" s="116"/>
      <c r="AW962" s="133">
        <f t="shared" si="1189"/>
        <v>-7634.7576899999976</v>
      </c>
      <c r="AX962" s="133">
        <f>+AW962-'ROR-Model'!G978</f>
        <v>0</v>
      </c>
    </row>
    <row r="963" spans="1:50">
      <c r="A963" s="14"/>
      <c r="B963" s="102"/>
      <c r="C963" s="102"/>
      <c r="D963" s="102"/>
      <c r="E963" s="331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16"/>
      <c r="AW963" s="133"/>
      <c r="AX963" s="133">
        <f>+AW963-'ROR-Model'!G979</f>
        <v>0</v>
      </c>
    </row>
    <row r="964" spans="1:50">
      <c r="A964" s="102"/>
      <c r="B964" s="102" t="s">
        <v>236</v>
      </c>
      <c r="C964" s="102"/>
      <c r="D964" s="102"/>
      <c r="E964" s="331"/>
      <c r="F964" s="116">
        <f>SUM(F956:F962)</f>
        <v>0</v>
      </c>
      <c r="G964" s="116"/>
      <c r="H964" s="116"/>
      <c r="I964" s="116"/>
      <c r="J964" s="116">
        <f>SUM(J956:J962)</f>
        <v>-5037992.5680000009</v>
      </c>
      <c r="K964" s="116"/>
      <c r="L964" s="116"/>
      <c r="M964" s="116"/>
      <c r="N964" s="116"/>
      <c r="O964" s="116"/>
      <c r="P964" s="116"/>
      <c r="Q964" s="133"/>
      <c r="R964" s="133"/>
      <c r="S964" s="133"/>
      <c r="T964" s="133">
        <f t="shared" ref="T964:AG964" si="1190">SUM(T956:T962)</f>
        <v>0</v>
      </c>
      <c r="U964" s="133">
        <f t="shared" si="1190"/>
        <v>0</v>
      </c>
      <c r="V964" s="133">
        <f t="shared" si="1190"/>
        <v>0</v>
      </c>
      <c r="W964" s="133">
        <f t="shared" si="1190"/>
        <v>0</v>
      </c>
      <c r="X964" s="133">
        <f t="shared" si="1190"/>
        <v>0</v>
      </c>
      <c r="Y964" s="133">
        <f t="shared" si="1190"/>
        <v>0</v>
      </c>
      <c r="Z964" s="133">
        <f t="shared" si="1190"/>
        <v>0</v>
      </c>
      <c r="AA964" s="133">
        <f t="shared" si="1190"/>
        <v>0</v>
      </c>
      <c r="AB964" s="133">
        <f t="shared" si="1190"/>
        <v>0</v>
      </c>
      <c r="AC964" s="133">
        <f t="shared" si="1190"/>
        <v>0</v>
      </c>
      <c r="AD964" s="133">
        <f t="shared" si="1190"/>
        <v>0</v>
      </c>
      <c r="AE964" s="133">
        <f t="shared" si="1190"/>
        <v>0</v>
      </c>
      <c r="AF964" s="133">
        <f t="shared" si="1190"/>
        <v>0</v>
      </c>
      <c r="AG964" s="133">
        <f t="shared" si="1190"/>
        <v>0</v>
      </c>
      <c r="AH964" s="133">
        <f t="shared" ref="AH964:AK964" si="1191">SUM(AH956:AH962)</f>
        <v>0</v>
      </c>
      <c r="AI964" s="133">
        <f t="shared" si="1191"/>
        <v>0</v>
      </c>
      <c r="AJ964" s="133">
        <f t="shared" si="1191"/>
        <v>0</v>
      </c>
      <c r="AK964" s="133">
        <f t="shared" si="1191"/>
        <v>0</v>
      </c>
      <c r="AL964" s="133">
        <f t="shared" ref="AL964:AP964" si="1192">SUM(AL956:AL962)</f>
        <v>0</v>
      </c>
      <c r="AM964" s="133">
        <f t="shared" si="1192"/>
        <v>0</v>
      </c>
      <c r="AN964" s="133">
        <f t="shared" si="1192"/>
        <v>0</v>
      </c>
      <c r="AO964" s="133">
        <f t="shared" si="1192"/>
        <v>0</v>
      </c>
      <c r="AP964" s="133">
        <f t="shared" si="1192"/>
        <v>0</v>
      </c>
      <c r="AQ964" s="133">
        <f t="shared" ref="AQ964:AS964" si="1193">SUM(AQ956:AQ962)</f>
        <v>0</v>
      </c>
      <c r="AR964" s="133">
        <f t="shared" si="1193"/>
        <v>0</v>
      </c>
      <c r="AS964" s="133">
        <f t="shared" si="1193"/>
        <v>0</v>
      </c>
      <c r="AT964" s="133"/>
      <c r="AU964" s="133">
        <f>+AU1081</f>
        <v>-5037992.5680000009</v>
      </c>
      <c r="AV964" s="116"/>
      <c r="AW964" s="133">
        <f>+AW1081</f>
        <v>-5037992.5680000009</v>
      </c>
      <c r="AX964" s="133">
        <f>+AW964-'ROR-Model'!G980</f>
        <v>0</v>
      </c>
    </row>
    <row r="965" spans="1:50">
      <c r="A965" s="102"/>
      <c r="B965" s="102"/>
      <c r="C965" s="102"/>
      <c r="D965" s="102"/>
      <c r="E965" s="331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16"/>
      <c r="AW965" s="133"/>
      <c r="AX965" s="133">
        <f>+AW965-'ROR-Model'!G981</f>
        <v>0</v>
      </c>
    </row>
    <row r="966" spans="1:50">
      <c r="A966" s="102"/>
      <c r="B966" s="102" t="s">
        <v>237</v>
      </c>
      <c r="C966" s="102"/>
      <c r="D966" s="102"/>
      <c r="E966" s="331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16"/>
      <c r="AW966" s="133"/>
      <c r="AX966" s="133">
        <f>+AW966-'ROR-Model'!G982</f>
        <v>0</v>
      </c>
    </row>
    <row r="967" spans="1:50">
      <c r="A967" s="102" t="s">
        <v>238</v>
      </c>
      <c r="B967" s="102" t="s">
        <v>223</v>
      </c>
      <c r="C967" s="102"/>
      <c r="D967" s="102"/>
      <c r="E967" s="331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16"/>
      <c r="AW967" s="133"/>
      <c r="AX967" s="133">
        <f>+AW967-'ROR-Model'!G983</f>
        <v>0</v>
      </c>
    </row>
    <row r="968" spans="1:50">
      <c r="A968" s="102"/>
      <c r="B968" s="102"/>
      <c r="C968" s="102" t="s">
        <v>24</v>
      </c>
      <c r="D968" s="102"/>
      <c r="E968" s="331">
        <f>+F968</f>
        <v>-37.566109698615037</v>
      </c>
      <c r="F968" s="116">
        <f>'Rate Base'!$AQ$33*$F$1</f>
        <v>-37.566109698615037</v>
      </c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33"/>
      <c r="R968" s="133"/>
      <c r="S968" s="133"/>
      <c r="T968" s="133">
        <f>'Optional Adjustment 2'!G968*$T$1</f>
        <v>0</v>
      </c>
      <c r="U968" s="133">
        <f>'Optional Adjustment 3'!G968*$U$1</f>
        <v>0</v>
      </c>
      <c r="V968" s="133">
        <f>'Optional Adjustment 4'!G968*$V$1</f>
        <v>0</v>
      </c>
      <c r="W968" s="133">
        <f>'Optional Adjustment 5'!G968*$W$1</f>
        <v>0</v>
      </c>
      <c r="X968" s="133">
        <f>'Optional Adjustment 6'!G968*$X$1</f>
        <v>0</v>
      </c>
      <c r="Y968" s="133">
        <f>'Optional Adjustment 7'!G968*$Y$1</f>
        <v>0</v>
      </c>
      <c r="Z968" s="133">
        <f>'Optional Adjustment 8'!G968*$Z$1</f>
        <v>0</v>
      </c>
      <c r="AA968" s="133">
        <f>'Optional Adjustment 9'!G968*$AA$1</f>
        <v>0</v>
      </c>
      <c r="AB968" s="133">
        <f>'Optional Adjustment 10'!G968*$AB$1</f>
        <v>0</v>
      </c>
      <c r="AC968" s="133">
        <f>'Optional Adjustment 11'!G968*$AC$1</f>
        <v>0</v>
      </c>
      <c r="AD968" s="133">
        <f>'Optional Adjustment 12'!G968*$AD$1</f>
        <v>0</v>
      </c>
      <c r="AE968" s="133">
        <f>'Optional Adjustment 13'!G968*$AE$1</f>
        <v>0</v>
      </c>
      <c r="AF968" s="133">
        <f>'Optional Adjustment 14'!G968*$AF$1</f>
        <v>0</v>
      </c>
      <c r="AG968" s="133">
        <f>'Optional Adjustment 15'!G968*$AG$1</f>
        <v>0</v>
      </c>
      <c r="AH968" s="133">
        <f>'Optional Adjustment 16'!G968*$AH$1</f>
        <v>0</v>
      </c>
      <c r="AI968" s="133">
        <f>'Optional Adjustment 17'!G968*$AI$1</f>
        <v>0</v>
      </c>
      <c r="AJ968" s="133">
        <f>'Optional Adjustment 18'!G968*$AJ$1</f>
        <v>0</v>
      </c>
      <c r="AK968" s="133">
        <f>'Optional Adjustment 19'!G968*$AK$1</f>
        <v>0</v>
      </c>
      <c r="AL968" s="133">
        <f>'Optional Adjustment 20'!G968*$AL$1</f>
        <v>0</v>
      </c>
      <c r="AM968" s="133">
        <f>'Optional Adjustment 21'!G968*$AM$1</f>
        <v>0</v>
      </c>
      <c r="AN968" s="133">
        <f>'Optional Adjustment 22'!G968*$AN$1</f>
        <v>0</v>
      </c>
      <c r="AO968" s="133">
        <f>'Optional Adjustment 23'!G968*$AO$1</f>
        <v>0</v>
      </c>
      <c r="AP968" s="133">
        <f>'Optional Adjustment 24'!G968*$AP$1</f>
        <v>0</v>
      </c>
      <c r="AQ968" s="133">
        <f>'Optional Adjustment 25'!G968*$AQ$1</f>
        <v>0</v>
      </c>
      <c r="AR968" s="133">
        <f>'Optional Adjustment 26'!G968*$AR$1</f>
        <v>0</v>
      </c>
      <c r="AS968" s="133">
        <f>'Optional Adjustment 27'!G968*$AS$1</f>
        <v>0</v>
      </c>
      <c r="AT968" s="133"/>
      <c r="AU968" s="133">
        <f>SUM(F968:AT968)</f>
        <v>-37.566109698615037</v>
      </c>
      <c r="AV968" s="116"/>
      <c r="AW968" s="133">
        <f>SUM(AU968:AU968)</f>
        <v>-37.566109698615037</v>
      </c>
      <c r="AX968" s="133">
        <f>+AW968-'ROR-Model'!G984</f>
        <v>0</v>
      </c>
    </row>
    <row r="969" spans="1:50">
      <c r="A969" s="102"/>
      <c r="B969" s="102"/>
      <c r="C969" s="102" t="s">
        <v>14</v>
      </c>
      <c r="D969" s="102"/>
      <c r="E969" s="331"/>
      <c r="F969" s="116">
        <f>'Rate Base'!$AQ$34*$F$1</f>
        <v>-1734.37389029935</v>
      </c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33"/>
      <c r="R969" s="133"/>
      <c r="S969" s="133"/>
      <c r="T969" s="133">
        <f>'Optional Adjustment 2'!G969*$T$1</f>
        <v>0</v>
      </c>
      <c r="U969" s="133">
        <f>'Optional Adjustment 3'!G969*$U$1</f>
        <v>0</v>
      </c>
      <c r="V969" s="133">
        <f>'Optional Adjustment 4'!G969*$V$1</f>
        <v>0</v>
      </c>
      <c r="W969" s="133">
        <f>'Optional Adjustment 5'!G969*$W$1</f>
        <v>0</v>
      </c>
      <c r="X969" s="133">
        <f>'Optional Adjustment 6'!G969*$X$1</f>
        <v>0</v>
      </c>
      <c r="Y969" s="133">
        <f>'Optional Adjustment 7'!G969*$Y$1</f>
        <v>0</v>
      </c>
      <c r="Z969" s="133">
        <f>'Optional Adjustment 8'!G969*$Z$1</f>
        <v>0</v>
      </c>
      <c r="AA969" s="133">
        <f>'Optional Adjustment 9'!G969*$AA$1</f>
        <v>0</v>
      </c>
      <c r="AB969" s="133">
        <f>'Optional Adjustment 10'!G969*$AB$1</f>
        <v>0</v>
      </c>
      <c r="AC969" s="133">
        <f>'Optional Adjustment 11'!G969*$AC$1</f>
        <v>0</v>
      </c>
      <c r="AD969" s="133">
        <f>'Optional Adjustment 12'!G969*$AD$1</f>
        <v>0</v>
      </c>
      <c r="AE969" s="133">
        <f>'Optional Adjustment 13'!G969*$AE$1</f>
        <v>0</v>
      </c>
      <c r="AF969" s="133">
        <f>'Optional Adjustment 14'!G969*$AF$1</f>
        <v>0</v>
      </c>
      <c r="AG969" s="133">
        <f>'Optional Adjustment 15'!G969*$AG$1</f>
        <v>0</v>
      </c>
      <c r="AH969" s="133">
        <f>'Optional Adjustment 16'!G969*$AH$1</f>
        <v>0</v>
      </c>
      <c r="AI969" s="133">
        <f>'Optional Adjustment 17'!G969*$AI$1</f>
        <v>0</v>
      </c>
      <c r="AJ969" s="133">
        <f>'Optional Adjustment 18'!G969*$AJ$1</f>
        <v>0</v>
      </c>
      <c r="AK969" s="133">
        <f>'Optional Adjustment 19'!G969*$AK$1</f>
        <v>0</v>
      </c>
      <c r="AL969" s="133">
        <f>'Optional Adjustment 20'!G969*$AL$1</f>
        <v>0</v>
      </c>
      <c r="AM969" s="133">
        <f>'Optional Adjustment 21'!G969*$AM$1</f>
        <v>0</v>
      </c>
      <c r="AN969" s="133">
        <f>'Optional Adjustment 22'!G969*$AN$1</f>
        <v>0</v>
      </c>
      <c r="AO969" s="133">
        <f>'Optional Adjustment 23'!G969*$AO$1</f>
        <v>0</v>
      </c>
      <c r="AP969" s="133">
        <f>'Optional Adjustment 24'!G969*$AP$1</f>
        <v>0</v>
      </c>
      <c r="AQ969" s="133">
        <f>'Optional Adjustment 25'!G969*$AQ$1</f>
        <v>0</v>
      </c>
      <c r="AR969" s="133">
        <f>'Optional Adjustment 26'!G969*$AR$1</f>
        <v>0</v>
      </c>
      <c r="AS969" s="133">
        <f>'Optional Adjustment 27'!G969*$AS$1</f>
        <v>0</v>
      </c>
      <c r="AT969" s="133"/>
      <c r="AU969" s="133">
        <f>SUM(F969:AT969)</f>
        <v>-1734.37389029935</v>
      </c>
      <c r="AV969" s="116"/>
      <c r="AW969" s="133">
        <f>SUM(AU969:AU969)</f>
        <v>-1734.37389029935</v>
      </c>
      <c r="AX969" s="133">
        <f>+AW969-'ROR-Model'!G985</f>
        <v>0</v>
      </c>
    </row>
    <row r="970" spans="1:50">
      <c r="A970" s="102"/>
      <c r="B970" s="102"/>
      <c r="C970" s="102" t="s">
        <v>170</v>
      </c>
      <c r="D970" s="102"/>
      <c r="E970" s="331"/>
      <c r="F970" s="116">
        <f>SUM(F968:F969)</f>
        <v>-1771.9399999979651</v>
      </c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33"/>
      <c r="R970" s="133"/>
      <c r="S970" s="133"/>
      <c r="T970" s="133">
        <f t="shared" ref="T970:AG970" si="1194">SUM(T968:T969)</f>
        <v>0</v>
      </c>
      <c r="U970" s="133">
        <f t="shared" si="1194"/>
        <v>0</v>
      </c>
      <c r="V970" s="133">
        <f t="shared" si="1194"/>
        <v>0</v>
      </c>
      <c r="W970" s="133">
        <f t="shared" si="1194"/>
        <v>0</v>
      </c>
      <c r="X970" s="133">
        <f t="shared" si="1194"/>
        <v>0</v>
      </c>
      <c r="Y970" s="133">
        <f t="shared" si="1194"/>
        <v>0</v>
      </c>
      <c r="Z970" s="133">
        <f t="shared" si="1194"/>
        <v>0</v>
      </c>
      <c r="AA970" s="133">
        <f t="shared" si="1194"/>
        <v>0</v>
      </c>
      <c r="AB970" s="133">
        <f t="shared" si="1194"/>
        <v>0</v>
      </c>
      <c r="AC970" s="133">
        <f t="shared" si="1194"/>
        <v>0</v>
      </c>
      <c r="AD970" s="133">
        <f t="shared" si="1194"/>
        <v>0</v>
      </c>
      <c r="AE970" s="133">
        <f t="shared" si="1194"/>
        <v>0</v>
      </c>
      <c r="AF970" s="133">
        <f t="shared" si="1194"/>
        <v>0</v>
      </c>
      <c r="AG970" s="133">
        <f t="shared" si="1194"/>
        <v>0</v>
      </c>
      <c r="AH970" s="133">
        <f t="shared" ref="AH970:AK970" si="1195">SUM(AH968:AH969)</f>
        <v>0</v>
      </c>
      <c r="AI970" s="133">
        <f t="shared" si="1195"/>
        <v>0</v>
      </c>
      <c r="AJ970" s="133">
        <f t="shared" si="1195"/>
        <v>0</v>
      </c>
      <c r="AK970" s="133">
        <f t="shared" si="1195"/>
        <v>0</v>
      </c>
      <c r="AL970" s="133">
        <f t="shared" ref="AL970:AP970" si="1196">SUM(AL968:AL969)</f>
        <v>0</v>
      </c>
      <c r="AM970" s="133">
        <f t="shared" si="1196"/>
        <v>0</v>
      </c>
      <c r="AN970" s="133">
        <f t="shared" si="1196"/>
        <v>0</v>
      </c>
      <c r="AO970" s="133">
        <f t="shared" si="1196"/>
        <v>0</v>
      </c>
      <c r="AP970" s="133">
        <f t="shared" si="1196"/>
        <v>0</v>
      </c>
      <c r="AQ970" s="133">
        <f t="shared" ref="AQ970:AS970" si="1197">SUM(AQ968:AQ969)</f>
        <v>0</v>
      </c>
      <c r="AR970" s="133">
        <f t="shared" si="1197"/>
        <v>0</v>
      </c>
      <c r="AS970" s="133">
        <f t="shared" si="1197"/>
        <v>0</v>
      </c>
      <c r="AT970" s="133"/>
      <c r="AU970" s="133">
        <f>SUM(F970:AT970)</f>
        <v>-1771.9399999979651</v>
      </c>
      <c r="AV970" s="116"/>
      <c r="AW970" s="133">
        <f>SUM(AU970:AU970)</f>
        <v>-1771.9399999979651</v>
      </c>
      <c r="AX970" s="133">
        <f>+AW970-'ROR-Model'!G986</f>
        <v>0</v>
      </c>
    </row>
    <row r="971" spans="1:50">
      <c r="A971" s="102"/>
      <c r="B971" s="102"/>
      <c r="C971" s="102"/>
      <c r="D971" s="102"/>
      <c r="E971" s="331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16"/>
      <c r="AW971" s="133"/>
      <c r="AX971" s="133">
        <f>+AW971-'ROR-Model'!G987</f>
        <v>0</v>
      </c>
    </row>
    <row r="972" spans="1:50">
      <c r="A972" s="102" t="s">
        <v>239</v>
      </c>
      <c r="B972" s="102" t="s">
        <v>240</v>
      </c>
      <c r="C972" s="102"/>
      <c r="D972" s="102"/>
      <c r="E972" s="331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16"/>
      <c r="AW972" s="133"/>
      <c r="AX972" s="133">
        <f>+AW972-'ROR-Model'!G988</f>
        <v>0</v>
      </c>
    </row>
    <row r="973" spans="1:50">
      <c r="A973" s="102"/>
      <c r="B973" s="102"/>
      <c r="C973" s="102" t="s">
        <v>24</v>
      </c>
      <c r="D973" s="102"/>
      <c r="E973" s="331">
        <f>+F973</f>
        <v>-38898.259425261174</v>
      </c>
      <c r="F973" s="116">
        <f>'Rate Base'!$AQ$38*$F$1</f>
        <v>-38898.259425261174</v>
      </c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33"/>
      <c r="R973" s="133"/>
      <c r="S973" s="133"/>
      <c r="T973" s="133">
        <f>'Optional Adjustment 2'!G973*$T$1</f>
        <v>0</v>
      </c>
      <c r="U973" s="133">
        <f>'Optional Adjustment 3'!G973*$U$1</f>
        <v>0</v>
      </c>
      <c r="V973" s="133">
        <f>'Optional Adjustment 4'!G973*$V$1</f>
        <v>0</v>
      </c>
      <c r="W973" s="133">
        <f>'Optional Adjustment 5'!G973*$W$1</f>
        <v>0</v>
      </c>
      <c r="X973" s="133">
        <f>'Optional Adjustment 6'!G973*$X$1</f>
        <v>0</v>
      </c>
      <c r="Y973" s="133">
        <f>'Optional Adjustment 7'!G973*$Y$1</f>
        <v>0</v>
      </c>
      <c r="Z973" s="133">
        <f>'Optional Adjustment 8'!G973*$Z$1</f>
        <v>0</v>
      </c>
      <c r="AA973" s="133">
        <f>'Optional Adjustment 9'!G973*$AA$1</f>
        <v>0</v>
      </c>
      <c r="AB973" s="133">
        <f>'Optional Adjustment 10'!G973*$AB$1</f>
        <v>0</v>
      </c>
      <c r="AC973" s="133">
        <f>'Optional Adjustment 11'!G973*$AC$1</f>
        <v>0</v>
      </c>
      <c r="AD973" s="133">
        <f>'Optional Adjustment 12'!G973*$AD$1</f>
        <v>0</v>
      </c>
      <c r="AE973" s="133">
        <f>'Optional Adjustment 13'!G973*$AE$1</f>
        <v>0</v>
      </c>
      <c r="AF973" s="133">
        <f>'Optional Adjustment 14'!G973*$AF$1</f>
        <v>0</v>
      </c>
      <c r="AG973" s="133">
        <f>'Optional Adjustment 15'!G973*$AG$1</f>
        <v>0</v>
      </c>
      <c r="AH973" s="133">
        <f>'Optional Adjustment 16'!G973*$AH$1</f>
        <v>0</v>
      </c>
      <c r="AI973" s="133">
        <f>'Optional Adjustment 17'!G973*$AI$1</f>
        <v>0</v>
      </c>
      <c r="AJ973" s="133">
        <f>'Optional Adjustment 18'!G973*$AJ$1</f>
        <v>0</v>
      </c>
      <c r="AK973" s="133">
        <f>'Optional Adjustment 19'!G973*$AK$1</f>
        <v>0</v>
      </c>
      <c r="AL973" s="133">
        <f>'Optional Adjustment 20'!G973*$AL$1</f>
        <v>0</v>
      </c>
      <c r="AM973" s="133">
        <f>'Optional Adjustment 21'!G973*$AM$1</f>
        <v>0</v>
      </c>
      <c r="AN973" s="133">
        <f>'Optional Adjustment 22'!G973*$AN$1</f>
        <v>0</v>
      </c>
      <c r="AO973" s="133">
        <f>'Optional Adjustment 23'!G973*$AO$1</f>
        <v>0</v>
      </c>
      <c r="AP973" s="133">
        <f>'Optional Adjustment 24'!G973*$AP$1</f>
        <v>0</v>
      </c>
      <c r="AQ973" s="133">
        <f>'Optional Adjustment 25'!G973*$AQ$1</f>
        <v>0</v>
      </c>
      <c r="AR973" s="133">
        <f>'Optional Adjustment 26'!G973*$AR$1</f>
        <v>0</v>
      </c>
      <c r="AS973" s="133">
        <f>'Optional Adjustment 27'!G973*$AS$1</f>
        <v>0</v>
      </c>
      <c r="AT973" s="133"/>
      <c r="AU973" s="133">
        <f>SUM(F973:AT973)</f>
        <v>-38898.259425261174</v>
      </c>
      <c r="AV973" s="116"/>
      <c r="AW973" s="133">
        <f>SUM(AU973:AU973)</f>
        <v>-38898.259425261174</v>
      </c>
      <c r="AX973" s="133">
        <f>+AW973-'ROR-Model'!G989</f>
        <v>0</v>
      </c>
    </row>
    <row r="974" spans="1:50">
      <c r="A974" s="102"/>
      <c r="B974" s="102"/>
      <c r="C974" s="102" t="s">
        <v>14</v>
      </c>
      <c r="D974" s="102"/>
      <c r="E974" s="331"/>
      <c r="F974" s="116">
        <f>'Rate Base'!$AQ$39*$F$1</f>
        <v>-600278.20057473518</v>
      </c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33"/>
      <c r="R974" s="133"/>
      <c r="S974" s="133"/>
      <c r="T974" s="133">
        <f>'Optional Adjustment 2'!G974*$T$1</f>
        <v>0</v>
      </c>
      <c r="U974" s="133">
        <f>'Optional Adjustment 3'!G974*$U$1</f>
        <v>0</v>
      </c>
      <c r="V974" s="133">
        <f>'Optional Adjustment 4'!G974*$V$1</f>
        <v>0</v>
      </c>
      <c r="W974" s="133">
        <f>'Optional Adjustment 5'!G974*$W$1</f>
        <v>0</v>
      </c>
      <c r="X974" s="133">
        <f>'Optional Adjustment 6'!G974*$X$1</f>
        <v>0</v>
      </c>
      <c r="Y974" s="133">
        <f>'Optional Adjustment 7'!G974*$Y$1</f>
        <v>0</v>
      </c>
      <c r="Z974" s="133">
        <f>'Optional Adjustment 8'!G974*$Z$1</f>
        <v>0</v>
      </c>
      <c r="AA974" s="133">
        <f>'Optional Adjustment 9'!G974*$AA$1</f>
        <v>0</v>
      </c>
      <c r="AB974" s="133">
        <f>'Optional Adjustment 10'!G974*$AB$1</f>
        <v>0</v>
      </c>
      <c r="AC974" s="133">
        <f>'Optional Adjustment 11'!G974*$AC$1</f>
        <v>0</v>
      </c>
      <c r="AD974" s="133">
        <f>'Optional Adjustment 12'!G974*$AD$1</f>
        <v>0</v>
      </c>
      <c r="AE974" s="133">
        <f>'Optional Adjustment 13'!G974*$AE$1</f>
        <v>0</v>
      </c>
      <c r="AF974" s="133">
        <f>'Optional Adjustment 14'!G974*$AF$1</f>
        <v>0</v>
      </c>
      <c r="AG974" s="133">
        <f>'Optional Adjustment 15'!G974*$AG$1</f>
        <v>0</v>
      </c>
      <c r="AH974" s="133">
        <f>'Optional Adjustment 16'!G974*$AH$1</f>
        <v>0</v>
      </c>
      <c r="AI974" s="133">
        <f>'Optional Adjustment 17'!G974*$AI$1</f>
        <v>0</v>
      </c>
      <c r="AJ974" s="133">
        <f>'Optional Adjustment 18'!G974*$AJ$1</f>
        <v>0</v>
      </c>
      <c r="AK974" s="133">
        <f>'Optional Adjustment 19'!G974*$AK$1</f>
        <v>0</v>
      </c>
      <c r="AL974" s="133">
        <f>'Optional Adjustment 20'!G974*$AL$1</f>
        <v>0</v>
      </c>
      <c r="AM974" s="133">
        <f>'Optional Adjustment 21'!G974*$AM$1</f>
        <v>0</v>
      </c>
      <c r="AN974" s="133">
        <f>'Optional Adjustment 22'!G974*$AN$1</f>
        <v>0</v>
      </c>
      <c r="AO974" s="133">
        <f>'Optional Adjustment 23'!G974*$AO$1</f>
        <v>0</v>
      </c>
      <c r="AP974" s="133">
        <f>'Optional Adjustment 24'!G974*$AP$1</f>
        <v>0</v>
      </c>
      <c r="AQ974" s="133">
        <f>'Optional Adjustment 25'!G974*$AQ$1</f>
        <v>0</v>
      </c>
      <c r="AR974" s="133">
        <f>'Optional Adjustment 26'!G974*$AR$1</f>
        <v>0</v>
      </c>
      <c r="AS974" s="133">
        <f>'Optional Adjustment 27'!G974*$AS$1</f>
        <v>0</v>
      </c>
      <c r="AT974" s="133"/>
      <c r="AU974" s="133">
        <f>SUM(F974:AT974)</f>
        <v>-600278.20057473518</v>
      </c>
      <c r="AV974" s="116"/>
      <c r="AW974" s="133">
        <f>SUM(AU974:AU974)</f>
        <v>-600278.20057473518</v>
      </c>
      <c r="AX974" s="133">
        <f>+AW974-'ROR-Model'!G990</f>
        <v>0</v>
      </c>
    </row>
    <row r="975" spans="1:50">
      <c r="A975" s="102"/>
      <c r="B975" s="102"/>
      <c r="C975" s="102" t="s">
        <v>170</v>
      </c>
      <c r="D975" s="102"/>
      <c r="E975" s="331"/>
      <c r="F975" s="116">
        <f>SUM(F973:F974)</f>
        <v>-639176.45999999635</v>
      </c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33"/>
      <c r="R975" s="133"/>
      <c r="S975" s="133"/>
      <c r="T975" s="133">
        <f t="shared" ref="T975:AG975" si="1198">SUM(T973:T974)</f>
        <v>0</v>
      </c>
      <c r="U975" s="133">
        <f t="shared" si="1198"/>
        <v>0</v>
      </c>
      <c r="V975" s="133">
        <f t="shared" si="1198"/>
        <v>0</v>
      </c>
      <c r="W975" s="133">
        <f t="shared" si="1198"/>
        <v>0</v>
      </c>
      <c r="X975" s="133">
        <f t="shared" si="1198"/>
        <v>0</v>
      </c>
      <c r="Y975" s="133">
        <f t="shared" si="1198"/>
        <v>0</v>
      </c>
      <c r="Z975" s="133">
        <f t="shared" si="1198"/>
        <v>0</v>
      </c>
      <c r="AA975" s="133">
        <f t="shared" si="1198"/>
        <v>0</v>
      </c>
      <c r="AB975" s="133">
        <f t="shared" si="1198"/>
        <v>0</v>
      </c>
      <c r="AC975" s="133">
        <f t="shared" si="1198"/>
        <v>0</v>
      </c>
      <c r="AD975" s="133">
        <f t="shared" si="1198"/>
        <v>0</v>
      </c>
      <c r="AE975" s="133">
        <f t="shared" si="1198"/>
        <v>0</v>
      </c>
      <c r="AF975" s="133">
        <f t="shared" si="1198"/>
        <v>0</v>
      </c>
      <c r="AG975" s="133">
        <f t="shared" si="1198"/>
        <v>0</v>
      </c>
      <c r="AH975" s="133">
        <f t="shared" ref="AH975:AK975" si="1199">SUM(AH973:AH974)</f>
        <v>0</v>
      </c>
      <c r="AI975" s="133">
        <f t="shared" si="1199"/>
        <v>0</v>
      </c>
      <c r="AJ975" s="133">
        <f t="shared" si="1199"/>
        <v>0</v>
      </c>
      <c r="AK975" s="133">
        <f t="shared" si="1199"/>
        <v>0</v>
      </c>
      <c r="AL975" s="133">
        <f t="shared" ref="AL975:AP975" si="1200">SUM(AL973:AL974)</f>
        <v>0</v>
      </c>
      <c r="AM975" s="133">
        <f t="shared" si="1200"/>
        <v>0</v>
      </c>
      <c r="AN975" s="133">
        <f t="shared" si="1200"/>
        <v>0</v>
      </c>
      <c r="AO975" s="133">
        <f t="shared" si="1200"/>
        <v>0</v>
      </c>
      <c r="AP975" s="133">
        <f t="shared" si="1200"/>
        <v>0</v>
      </c>
      <c r="AQ975" s="133">
        <f t="shared" ref="AQ975:AS975" si="1201">SUM(AQ973:AQ974)</f>
        <v>0</v>
      </c>
      <c r="AR975" s="133">
        <f t="shared" si="1201"/>
        <v>0</v>
      </c>
      <c r="AS975" s="133">
        <f t="shared" si="1201"/>
        <v>0</v>
      </c>
      <c r="AT975" s="133"/>
      <c r="AU975" s="133">
        <f>SUM(F975:AT975)</f>
        <v>-639176.45999999635</v>
      </c>
      <c r="AV975" s="116"/>
      <c r="AW975" s="133">
        <f>SUM(AU975:AU975)</f>
        <v>-639176.45999999635</v>
      </c>
      <c r="AX975" s="133">
        <f>+AW975-'ROR-Model'!G991</f>
        <v>0</v>
      </c>
    </row>
    <row r="976" spans="1:50">
      <c r="A976" s="102"/>
      <c r="B976" s="102"/>
      <c r="C976" s="102"/>
      <c r="D976" s="102"/>
      <c r="E976" s="331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16"/>
      <c r="AW976" s="133"/>
      <c r="AX976" s="133">
        <f>+AW976-'ROR-Model'!G992</f>
        <v>0</v>
      </c>
    </row>
    <row r="977" spans="1:50">
      <c r="A977" s="102" t="s">
        <v>244</v>
      </c>
      <c r="B977" s="102" t="s">
        <v>245</v>
      </c>
      <c r="C977" s="102"/>
      <c r="D977" s="102"/>
      <c r="E977" s="331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16"/>
      <c r="AW977" s="133"/>
      <c r="AX977" s="133">
        <f>+AW977-'ROR-Model'!G993</f>
        <v>0</v>
      </c>
    </row>
    <row r="978" spans="1:50">
      <c r="A978" s="102"/>
      <c r="B978" s="102"/>
      <c r="C978" s="102" t="s">
        <v>57</v>
      </c>
      <c r="D978" s="102"/>
      <c r="E978" s="331"/>
      <c r="F978" s="116">
        <f>'Rate Base'!$AQ$43*$F$1</f>
        <v>0</v>
      </c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33"/>
      <c r="R978" s="133"/>
      <c r="S978" s="133"/>
      <c r="T978" s="133">
        <f>'Optional Adjustment 2'!G978*$T$1</f>
        <v>0</v>
      </c>
      <c r="U978" s="133">
        <f>'Optional Adjustment 3'!G978*$U$1</f>
        <v>0</v>
      </c>
      <c r="V978" s="133">
        <f>'Optional Adjustment 4'!G978*$V$1</f>
        <v>0</v>
      </c>
      <c r="W978" s="133">
        <f>'Optional Adjustment 5'!G978*$W$1</f>
        <v>0</v>
      </c>
      <c r="X978" s="133">
        <f>'Optional Adjustment 6'!G978*$X$1</f>
        <v>0</v>
      </c>
      <c r="Y978" s="133">
        <f>'Optional Adjustment 7'!G978*$Y$1</f>
        <v>0</v>
      </c>
      <c r="Z978" s="133">
        <f>'Optional Adjustment 8'!G978*$Z$1</f>
        <v>0</v>
      </c>
      <c r="AA978" s="133">
        <f>'Optional Adjustment 9'!G978*$AA$1</f>
        <v>0</v>
      </c>
      <c r="AB978" s="133">
        <f>'Optional Adjustment 10'!G978*$AB$1</f>
        <v>0</v>
      </c>
      <c r="AC978" s="133">
        <f>'Optional Adjustment 11'!G978*$AC$1</f>
        <v>0</v>
      </c>
      <c r="AD978" s="133">
        <f>'Optional Adjustment 12'!G978*$AD$1</f>
        <v>0</v>
      </c>
      <c r="AE978" s="133">
        <f>'Optional Adjustment 13'!G978*$AE$1</f>
        <v>0</v>
      </c>
      <c r="AF978" s="133">
        <f>'Optional Adjustment 14'!G978*$AF$1</f>
        <v>0</v>
      </c>
      <c r="AG978" s="133">
        <f>'Optional Adjustment 15'!G978*$AG$1</f>
        <v>0</v>
      </c>
      <c r="AH978" s="133">
        <f>'Optional Adjustment 16'!G978*$AH$1</f>
        <v>0</v>
      </c>
      <c r="AI978" s="133">
        <f>'Optional Adjustment 17'!G978*$AI$1</f>
        <v>0</v>
      </c>
      <c r="AJ978" s="133">
        <f>'Optional Adjustment 18'!G978*$AJ$1</f>
        <v>0</v>
      </c>
      <c r="AK978" s="133">
        <f>'Optional Adjustment 19'!G978*$AK$1</f>
        <v>0</v>
      </c>
      <c r="AL978" s="133">
        <f>'Optional Adjustment 20'!G978*$AL$1</f>
        <v>0</v>
      </c>
      <c r="AM978" s="133">
        <f>'Optional Adjustment 21'!G978*$AM$1</f>
        <v>0</v>
      </c>
      <c r="AN978" s="133">
        <f>'Optional Adjustment 22'!G978*$AN$1</f>
        <v>0</v>
      </c>
      <c r="AO978" s="133">
        <f>'Optional Adjustment 23'!G978*$AO$1</f>
        <v>0</v>
      </c>
      <c r="AP978" s="133">
        <f>'Optional Adjustment 24'!G978*$AP$1</f>
        <v>0</v>
      </c>
      <c r="AQ978" s="133">
        <f>'Optional Adjustment 25'!G978*$AQ$1</f>
        <v>0</v>
      </c>
      <c r="AR978" s="133">
        <f>'Optional Adjustment 26'!G978*$AR$1</f>
        <v>0</v>
      </c>
      <c r="AS978" s="133">
        <f>'Optional Adjustment 27'!G978*$AS$1</f>
        <v>0</v>
      </c>
      <c r="AT978" s="133"/>
      <c r="AU978" s="133">
        <f t="shared" ref="AU978:AU986" si="1202">SUM(F978:AT978)</f>
        <v>0</v>
      </c>
      <c r="AV978" s="116"/>
      <c r="AW978" s="133">
        <f t="shared" ref="AW978:AW986" si="1203">SUM(AU978:AU978)</f>
        <v>0</v>
      </c>
      <c r="AX978" s="133">
        <f>+AW978-'ROR-Model'!G994</f>
        <v>0</v>
      </c>
    </row>
    <row r="979" spans="1:50">
      <c r="A979" s="102"/>
      <c r="B979" s="102"/>
      <c r="C979" s="102" t="s">
        <v>532</v>
      </c>
      <c r="D979" s="102"/>
      <c r="E979" s="331"/>
      <c r="F979" s="116">
        <f>'Rate Base'!$AQ$44*$F$1</f>
        <v>0</v>
      </c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33"/>
      <c r="R979" s="133"/>
      <c r="S979" s="133"/>
      <c r="T979" s="133">
        <f>'Optional Adjustment 2'!G979*$T$1</f>
        <v>0</v>
      </c>
      <c r="U979" s="133">
        <f>'Optional Adjustment 3'!G979*$U$1</f>
        <v>0</v>
      </c>
      <c r="V979" s="133">
        <f>'Optional Adjustment 4'!G979*$V$1</f>
        <v>0</v>
      </c>
      <c r="W979" s="133">
        <f>'Optional Adjustment 5'!G979*$W$1</f>
        <v>0</v>
      </c>
      <c r="X979" s="133">
        <f>'Optional Adjustment 6'!G979*$X$1</f>
        <v>0</v>
      </c>
      <c r="Y979" s="133">
        <f>'Optional Adjustment 7'!G979*$Y$1</f>
        <v>0</v>
      </c>
      <c r="Z979" s="133">
        <f>'Optional Adjustment 8'!G979*$Z$1</f>
        <v>0</v>
      </c>
      <c r="AA979" s="133">
        <f>'Optional Adjustment 9'!G979*$AA$1</f>
        <v>0</v>
      </c>
      <c r="AB979" s="133">
        <f>'Optional Adjustment 10'!G979*$AB$1</f>
        <v>0</v>
      </c>
      <c r="AC979" s="133">
        <f>'Optional Adjustment 11'!G979*$AC$1</f>
        <v>0</v>
      </c>
      <c r="AD979" s="133">
        <f>'Optional Adjustment 12'!G979*$AD$1</f>
        <v>0</v>
      </c>
      <c r="AE979" s="133">
        <f>'Optional Adjustment 13'!G979*$AE$1</f>
        <v>0</v>
      </c>
      <c r="AF979" s="133">
        <f>'Optional Adjustment 14'!G979*$AF$1</f>
        <v>0</v>
      </c>
      <c r="AG979" s="133">
        <f>'Optional Adjustment 15'!G979*$AG$1</f>
        <v>0</v>
      </c>
      <c r="AH979" s="133">
        <f>'Optional Adjustment 16'!G979*$AH$1</f>
        <v>0</v>
      </c>
      <c r="AI979" s="133">
        <f>'Optional Adjustment 17'!G979*$AI$1</f>
        <v>0</v>
      </c>
      <c r="AJ979" s="133">
        <f>'Optional Adjustment 18'!G979*$AJ$1</f>
        <v>0</v>
      </c>
      <c r="AK979" s="133">
        <f>'Optional Adjustment 19'!G979*$AK$1</f>
        <v>0</v>
      </c>
      <c r="AL979" s="133">
        <f>'Optional Adjustment 20'!G979*$AL$1</f>
        <v>0</v>
      </c>
      <c r="AM979" s="133">
        <f>'Optional Adjustment 21'!G979*$AM$1</f>
        <v>0</v>
      </c>
      <c r="AN979" s="133">
        <f>'Optional Adjustment 22'!G979*$AN$1</f>
        <v>0</v>
      </c>
      <c r="AO979" s="133">
        <f>'Optional Adjustment 23'!G979*$AO$1</f>
        <v>0</v>
      </c>
      <c r="AP979" s="133">
        <f>'Optional Adjustment 24'!G979*$AP$1</f>
        <v>0</v>
      </c>
      <c r="AQ979" s="133">
        <f>'Optional Adjustment 25'!G979*$AQ$1</f>
        <v>0</v>
      </c>
      <c r="AR979" s="133">
        <f>'Optional Adjustment 26'!G979*$AR$1</f>
        <v>0</v>
      </c>
      <c r="AS979" s="133">
        <f>'Optional Adjustment 27'!G979*$AS$1</f>
        <v>0</v>
      </c>
      <c r="AT979" s="133"/>
      <c r="AU979" s="133">
        <f t="shared" si="1202"/>
        <v>0</v>
      </c>
      <c r="AV979" s="116"/>
      <c r="AW979" s="133">
        <f t="shared" si="1203"/>
        <v>0</v>
      </c>
      <c r="AX979" s="133">
        <f>+AW979-'ROR-Model'!G995</f>
        <v>0</v>
      </c>
    </row>
    <row r="980" spans="1:50">
      <c r="A980" s="102"/>
      <c r="B980" s="102"/>
      <c r="C980" s="102" t="s">
        <v>533</v>
      </c>
      <c r="D980" s="102"/>
      <c r="E980" s="331"/>
      <c r="F980" s="116">
        <f>'Rate Base'!$AQ$45*$F$1</f>
        <v>0</v>
      </c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33"/>
      <c r="R980" s="133"/>
      <c r="S980" s="133"/>
      <c r="T980" s="133">
        <f>'Optional Adjustment 2'!G980*$T$1</f>
        <v>0</v>
      </c>
      <c r="U980" s="133">
        <f>'Optional Adjustment 3'!G980*$U$1</f>
        <v>0</v>
      </c>
      <c r="V980" s="133">
        <f>'Optional Adjustment 4'!G980*$V$1</f>
        <v>0</v>
      </c>
      <c r="W980" s="133">
        <f>'Optional Adjustment 5'!G980*$W$1</f>
        <v>0</v>
      </c>
      <c r="X980" s="133">
        <f>'Optional Adjustment 6'!G980*$X$1</f>
        <v>0</v>
      </c>
      <c r="Y980" s="133">
        <f>'Optional Adjustment 7'!G980*$Y$1</f>
        <v>0</v>
      </c>
      <c r="Z980" s="133">
        <f>'Optional Adjustment 8'!G980*$Z$1</f>
        <v>0</v>
      </c>
      <c r="AA980" s="133">
        <f>'Optional Adjustment 9'!G980*$AA$1</f>
        <v>0</v>
      </c>
      <c r="AB980" s="133">
        <f>'Optional Adjustment 10'!G980*$AB$1</f>
        <v>0</v>
      </c>
      <c r="AC980" s="133">
        <f>'Optional Adjustment 11'!G980*$AC$1</f>
        <v>0</v>
      </c>
      <c r="AD980" s="133">
        <f>'Optional Adjustment 12'!G980*$AD$1</f>
        <v>0</v>
      </c>
      <c r="AE980" s="133">
        <f>'Optional Adjustment 13'!G980*$AE$1</f>
        <v>0</v>
      </c>
      <c r="AF980" s="133">
        <f>'Optional Adjustment 14'!G980*$AF$1</f>
        <v>0</v>
      </c>
      <c r="AG980" s="133">
        <f>'Optional Adjustment 15'!G980*$AG$1</f>
        <v>0</v>
      </c>
      <c r="AH980" s="133">
        <f>'Optional Adjustment 16'!G980*$AH$1</f>
        <v>0</v>
      </c>
      <c r="AI980" s="133">
        <f>'Optional Adjustment 17'!G980*$AI$1</f>
        <v>0</v>
      </c>
      <c r="AJ980" s="133">
        <f>'Optional Adjustment 18'!G980*$AJ$1</f>
        <v>0</v>
      </c>
      <c r="AK980" s="133">
        <f>'Optional Adjustment 19'!G980*$AK$1</f>
        <v>0</v>
      </c>
      <c r="AL980" s="133">
        <f>'Optional Adjustment 20'!G980*$AL$1</f>
        <v>0</v>
      </c>
      <c r="AM980" s="133">
        <f>'Optional Adjustment 21'!G980*$AM$1</f>
        <v>0</v>
      </c>
      <c r="AN980" s="133">
        <f>'Optional Adjustment 22'!G980*$AN$1</f>
        <v>0</v>
      </c>
      <c r="AO980" s="133">
        <f>'Optional Adjustment 23'!G980*$AO$1</f>
        <v>0</v>
      </c>
      <c r="AP980" s="133">
        <f>'Optional Adjustment 24'!G980*$AP$1</f>
        <v>0</v>
      </c>
      <c r="AQ980" s="133">
        <f>'Optional Adjustment 25'!G980*$AQ$1</f>
        <v>0</v>
      </c>
      <c r="AR980" s="133">
        <f>'Optional Adjustment 26'!G980*$AR$1</f>
        <v>0</v>
      </c>
      <c r="AS980" s="133">
        <f>'Optional Adjustment 27'!G980*$AS$1</f>
        <v>0</v>
      </c>
      <c r="AT980" s="133"/>
      <c r="AU980" s="133">
        <f t="shared" si="1202"/>
        <v>0</v>
      </c>
      <c r="AV980" s="116"/>
      <c r="AW980" s="133">
        <f t="shared" si="1203"/>
        <v>0</v>
      </c>
      <c r="AX980" s="133">
        <f>+AW980-'ROR-Model'!G996</f>
        <v>0</v>
      </c>
    </row>
    <row r="981" spans="1:50">
      <c r="A981" s="102"/>
      <c r="B981" s="102"/>
      <c r="C981" s="102" t="s">
        <v>534</v>
      </c>
      <c r="D981" s="102"/>
      <c r="E981" s="331">
        <f ca="1">+F981</f>
        <v>5162869.7085366249</v>
      </c>
      <c r="F981" s="116">
        <f ca="1">'Rate Base'!$AQ$46*$F$1</f>
        <v>5162869.7085366249</v>
      </c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33"/>
      <c r="R981" s="133"/>
      <c r="S981" s="133"/>
      <c r="T981" s="133">
        <f>'Optional Adjustment 2'!G981*$T$1</f>
        <v>0</v>
      </c>
      <c r="U981" s="133">
        <f>'Optional Adjustment 3'!G981*$U$1</f>
        <v>0</v>
      </c>
      <c r="V981" s="133">
        <f>'Optional Adjustment 4'!G981*$V$1</f>
        <v>0</v>
      </c>
      <c r="W981" s="133">
        <f>'Optional Adjustment 5'!G981*$W$1</f>
        <v>0</v>
      </c>
      <c r="X981" s="133">
        <f>'Optional Adjustment 6'!G981*$X$1</f>
        <v>0</v>
      </c>
      <c r="Y981" s="133">
        <f>'Optional Adjustment 7'!G981*$Y$1</f>
        <v>0</v>
      </c>
      <c r="Z981" s="133">
        <f>'Optional Adjustment 8'!G981*$Z$1</f>
        <v>0</v>
      </c>
      <c r="AA981" s="133">
        <f>'Optional Adjustment 9'!G981*$AA$1</f>
        <v>0</v>
      </c>
      <c r="AB981" s="133">
        <f>'Optional Adjustment 10'!G981*$AB$1</f>
        <v>0</v>
      </c>
      <c r="AC981" s="133">
        <f>'Optional Adjustment 11'!G981*$AC$1</f>
        <v>0</v>
      </c>
      <c r="AD981" s="133">
        <f>'Optional Adjustment 12'!G981*$AD$1</f>
        <v>0</v>
      </c>
      <c r="AE981" s="133">
        <f>'Optional Adjustment 13'!G981*$AE$1</f>
        <v>0</v>
      </c>
      <c r="AF981" s="133">
        <f>'Optional Adjustment 14'!G981*$AF$1</f>
        <v>0</v>
      </c>
      <c r="AG981" s="133">
        <f>'Optional Adjustment 15'!G981*$AG$1</f>
        <v>0</v>
      </c>
      <c r="AH981" s="133">
        <f>'Optional Adjustment 16'!G981*$AH$1</f>
        <v>0</v>
      </c>
      <c r="AI981" s="133">
        <f>'Optional Adjustment 17'!G981*$AI$1</f>
        <v>0</v>
      </c>
      <c r="AJ981" s="133">
        <f>'Optional Adjustment 18'!G981*$AJ$1</f>
        <v>0</v>
      </c>
      <c r="AK981" s="133">
        <f>'Optional Adjustment 19'!G981*$AK$1</f>
        <v>0</v>
      </c>
      <c r="AL981" s="133">
        <f>'Optional Adjustment 20'!G981*$AL$1</f>
        <v>0</v>
      </c>
      <c r="AM981" s="133">
        <f>'Optional Adjustment 21'!G981*$AM$1</f>
        <v>0</v>
      </c>
      <c r="AN981" s="133">
        <f>'Optional Adjustment 22'!G981*$AN$1</f>
        <v>0</v>
      </c>
      <c r="AO981" s="133">
        <f>'Optional Adjustment 23'!G981*$AO$1</f>
        <v>0</v>
      </c>
      <c r="AP981" s="133">
        <f>'Optional Adjustment 24'!G981*$AP$1</f>
        <v>0</v>
      </c>
      <c r="AQ981" s="133">
        <f>'Optional Adjustment 25'!G981*$AQ$1</f>
        <v>0</v>
      </c>
      <c r="AR981" s="133">
        <f>'Optional Adjustment 26'!G981*$AR$1</f>
        <v>0</v>
      </c>
      <c r="AS981" s="133">
        <f>'Optional Adjustment 27'!G981*$AS$1</f>
        <v>0</v>
      </c>
      <c r="AT981" s="133"/>
      <c r="AU981" s="133">
        <f t="shared" ca="1" si="1202"/>
        <v>5162869.7085366249</v>
      </c>
      <c r="AV981" s="116"/>
      <c r="AW981" s="133">
        <f t="shared" ca="1" si="1203"/>
        <v>5162869.7085366249</v>
      </c>
      <c r="AX981" s="133">
        <f ca="1">+AW981-'ROR-Model'!G997</f>
        <v>0</v>
      </c>
    </row>
    <row r="982" spans="1:50">
      <c r="A982" s="102"/>
      <c r="B982" s="102"/>
      <c r="C982" s="102" t="s">
        <v>535</v>
      </c>
      <c r="D982" s="102"/>
      <c r="E982" s="331"/>
      <c r="F982" s="116">
        <f>'Rate Base'!$AQ$47*$F$1</f>
        <v>0</v>
      </c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33"/>
      <c r="R982" s="133"/>
      <c r="S982" s="133"/>
      <c r="T982" s="133">
        <f>'Optional Adjustment 2'!G982*$T$1</f>
        <v>0</v>
      </c>
      <c r="U982" s="133">
        <f>'Optional Adjustment 3'!G982*$U$1</f>
        <v>0</v>
      </c>
      <c r="V982" s="133">
        <f>'Optional Adjustment 4'!G982*$V$1</f>
        <v>0</v>
      </c>
      <c r="W982" s="133">
        <f>'Optional Adjustment 5'!G982*$W$1</f>
        <v>0</v>
      </c>
      <c r="X982" s="133">
        <f>'Optional Adjustment 6'!G982*$X$1</f>
        <v>0</v>
      </c>
      <c r="Y982" s="133">
        <f>'Optional Adjustment 7'!G982*$Y$1</f>
        <v>0</v>
      </c>
      <c r="Z982" s="133">
        <f>'Optional Adjustment 8'!G982*$Z$1</f>
        <v>0</v>
      </c>
      <c r="AA982" s="133">
        <f>'Optional Adjustment 9'!G982*$AA$1</f>
        <v>0</v>
      </c>
      <c r="AB982" s="133">
        <f>'Optional Adjustment 10'!G982*$AB$1</f>
        <v>0</v>
      </c>
      <c r="AC982" s="133">
        <f>'Optional Adjustment 11'!G982*$AC$1</f>
        <v>0</v>
      </c>
      <c r="AD982" s="133">
        <f>'Optional Adjustment 12'!G982*$AD$1</f>
        <v>0</v>
      </c>
      <c r="AE982" s="133">
        <f>'Optional Adjustment 13'!G982*$AE$1</f>
        <v>0</v>
      </c>
      <c r="AF982" s="133">
        <f>'Optional Adjustment 14'!G982*$AF$1</f>
        <v>0</v>
      </c>
      <c r="AG982" s="133">
        <f>'Optional Adjustment 15'!G982*$AG$1</f>
        <v>0</v>
      </c>
      <c r="AH982" s="133">
        <f>'Optional Adjustment 16'!G982*$AH$1</f>
        <v>0</v>
      </c>
      <c r="AI982" s="133">
        <f>'Optional Adjustment 17'!G982*$AI$1</f>
        <v>0</v>
      </c>
      <c r="AJ982" s="133">
        <f>'Optional Adjustment 18'!G982*$AJ$1</f>
        <v>0</v>
      </c>
      <c r="AK982" s="133">
        <f>'Optional Adjustment 19'!G982*$AK$1</f>
        <v>0</v>
      </c>
      <c r="AL982" s="133">
        <f>'Optional Adjustment 20'!G982*$AL$1</f>
        <v>0</v>
      </c>
      <c r="AM982" s="133">
        <f>'Optional Adjustment 21'!G982*$AM$1</f>
        <v>0</v>
      </c>
      <c r="AN982" s="133">
        <f>'Optional Adjustment 22'!G982*$AN$1</f>
        <v>0</v>
      </c>
      <c r="AO982" s="133">
        <f>'Optional Adjustment 23'!G982*$AO$1</f>
        <v>0</v>
      </c>
      <c r="AP982" s="133">
        <f>'Optional Adjustment 24'!G982*$AP$1</f>
        <v>0</v>
      </c>
      <c r="AQ982" s="133">
        <f>'Optional Adjustment 25'!G982*$AQ$1</f>
        <v>0</v>
      </c>
      <c r="AR982" s="133">
        <f>'Optional Adjustment 26'!G982*$AR$1</f>
        <v>0</v>
      </c>
      <c r="AS982" s="133">
        <f>'Optional Adjustment 27'!G982*$AS$1</f>
        <v>0</v>
      </c>
      <c r="AT982" s="133"/>
      <c r="AU982" s="133">
        <f t="shared" si="1202"/>
        <v>0</v>
      </c>
      <c r="AV982" s="116"/>
      <c r="AW982" s="133">
        <f t="shared" si="1203"/>
        <v>0</v>
      </c>
      <c r="AX982" s="133">
        <f>+AW982-'ROR-Model'!G998</f>
        <v>0</v>
      </c>
    </row>
    <row r="983" spans="1:50">
      <c r="A983" s="102"/>
      <c r="B983" s="102"/>
      <c r="C983" s="102" t="s">
        <v>536</v>
      </c>
      <c r="D983" s="102"/>
      <c r="E983" s="331"/>
      <c r="F983" s="116">
        <f>'Rate Base'!$AQ$48*$F$1</f>
        <v>0</v>
      </c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33"/>
      <c r="R983" s="133"/>
      <c r="S983" s="133"/>
      <c r="T983" s="133">
        <f>'Optional Adjustment 2'!G983*$T$1</f>
        <v>0</v>
      </c>
      <c r="U983" s="133">
        <f>'Optional Adjustment 3'!G983*$U$1</f>
        <v>0</v>
      </c>
      <c r="V983" s="133">
        <f>'Optional Adjustment 4'!G983*$V$1</f>
        <v>0</v>
      </c>
      <c r="W983" s="133">
        <f>'Optional Adjustment 5'!G983*$W$1</f>
        <v>0</v>
      </c>
      <c r="X983" s="133">
        <f>'Optional Adjustment 6'!G983*$X$1</f>
        <v>0</v>
      </c>
      <c r="Y983" s="133">
        <f>'Optional Adjustment 7'!G983*$Y$1</f>
        <v>0</v>
      </c>
      <c r="Z983" s="133">
        <f>'Optional Adjustment 8'!G983*$Z$1</f>
        <v>0</v>
      </c>
      <c r="AA983" s="133">
        <f>'Optional Adjustment 9'!G983*$AA$1</f>
        <v>0</v>
      </c>
      <c r="AB983" s="133">
        <f>'Optional Adjustment 10'!G983*$AB$1</f>
        <v>0</v>
      </c>
      <c r="AC983" s="133">
        <f>'Optional Adjustment 11'!G983*$AC$1</f>
        <v>0</v>
      </c>
      <c r="AD983" s="133">
        <f>'Optional Adjustment 12'!G983*$AD$1</f>
        <v>0</v>
      </c>
      <c r="AE983" s="133">
        <f>'Optional Adjustment 13'!G983*$AE$1</f>
        <v>0</v>
      </c>
      <c r="AF983" s="133">
        <f>'Optional Adjustment 14'!G983*$AF$1</f>
        <v>0</v>
      </c>
      <c r="AG983" s="133">
        <f>'Optional Adjustment 15'!G983*$AG$1</f>
        <v>0</v>
      </c>
      <c r="AH983" s="133">
        <f>'Optional Adjustment 16'!G983*$AH$1</f>
        <v>0</v>
      </c>
      <c r="AI983" s="133">
        <f>'Optional Adjustment 17'!G983*$AI$1</f>
        <v>0</v>
      </c>
      <c r="AJ983" s="133">
        <f>'Optional Adjustment 18'!G983*$AJ$1</f>
        <v>0</v>
      </c>
      <c r="AK983" s="133">
        <f>'Optional Adjustment 19'!G983*$AK$1</f>
        <v>0</v>
      </c>
      <c r="AL983" s="133">
        <f>'Optional Adjustment 20'!G983*$AL$1</f>
        <v>0</v>
      </c>
      <c r="AM983" s="133">
        <f>'Optional Adjustment 21'!G983*$AM$1</f>
        <v>0</v>
      </c>
      <c r="AN983" s="133">
        <f>'Optional Adjustment 22'!G983*$AN$1</f>
        <v>0</v>
      </c>
      <c r="AO983" s="133">
        <f>'Optional Adjustment 23'!G983*$AO$1</f>
        <v>0</v>
      </c>
      <c r="AP983" s="133">
        <f>'Optional Adjustment 24'!G983*$AP$1</f>
        <v>0</v>
      </c>
      <c r="AQ983" s="133">
        <f>'Optional Adjustment 25'!G983*$AQ$1</f>
        <v>0</v>
      </c>
      <c r="AR983" s="133">
        <f>'Optional Adjustment 26'!G983*$AR$1</f>
        <v>0</v>
      </c>
      <c r="AS983" s="133">
        <f>'Optional Adjustment 27'!G983*$AS$1</f>
        <v>0</v>
      </c>
      <c r="AT983" s="133"/>
      <c r="AU983" s="133">
        <f t="shared" si="1202"/>
        <v>0</v>
      </c>
      <c r="AV983" s="116"/>
      <c r="AW983" s="133">
        <f t="shared" si="1203"/>
        <v>0</v>
      </c>
      <c r="AX983" s="133">
        <f>+AW983-'ROR-Model'!G999</f>
        <v>0</v>
      </c>
    </row>
    <row r="984" spans="1:50">
      <c r="A984" s="102"/>
      <c r="B984" s="102"/>
      <c r="C984" s="102" t="s">
        <v>537</v>
      </c>
      <c r="D984" s="102"/>
      <c r="E984" s="331"/>
      <c r="F984" s="116">
        <f>'Rate Base'!$AQ$49*$F$1</f>
        <v>0</v>
      </c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33"/>
      <c r="R984" s="133"/>
      <c r="S984" s="133"/>
      <c r="T984" s="133">
        <f>'Optional Adjustment 2'!G984*$T$1</f>
        <v>0</v>
      </c>
      <c r="U984" s="133">
        <f>'Optional Adjustment 3'!G984*$U$1</f>
        <v>0</v>
      </c>
      <c r="V984" s="133">
        <f>'Optional Adjustment 4'!G984*$V$1</f>
        <v>0</v>
      </c>
      <c r="W984" s="133">
        <f>'Optional Adjustment 5'!G984*$W$1</f>
        <v>0</v>
      </c>
      <c r="X984" s="133">
        <f>'Optional Adjustment 6'!G984*$X$1</f>
        <v>0</v>
      </c>
      <c r="Y984" s="133">
        <f>'Optional Adjustment 7'!G984*$Y$1</f>
        <v>0</v>
      </c>
      <c r="Z984" s="133">
        <f>'Optional Adjustment 8'!G984*$Z$1</f>
        <v>0</v>
      </c>
      <c r="AA984" s="133">
        <f>'Optional Adjustment 9'!G984*$AA$1</f>
        <v>0</v>
      </c>
      <c r="AB984" s="133">
        <f>'Optional Adjustment 10'!G984*$AB$1</f>
        <v>0</v>
      </c>
      <c r="AC984" s="133">
        <f>'Optional Adjustment 11'!G984*$AC$1</f>
        <v>0</v>
      </c>
      <c r="AD984" s="133">
        <f>'Optional Adjustment 12'!G984*$AD$1</f>
        <v>0</v>
      </c>
      <c r="AE984" s="133">
        <f>'Optional Adjustment 13'!G984*$AE$1</f>
        <v>0</v>
      </c>
      <c r="AF984" s="133">
        <f>'Optional Adjustment 14'!G984*$AF$1</f>
        <v>0</v>
      </c>
      <c r="AG984" s="133">
        <f>'Optional Adjustment 15'!G984*$AG$1</f>
        <v>0</v>
      </c>
      <c r="AH984" s="133">
        <f>'Optional Adjustment 16'!G984*$AH$1</f>
        <v>0</v>
      </c>
      <c r="AI984" s="133">
        <f>'Optional Adjustment 17'!G984*$AI$1</f>
        <v>0</v>
      </c>
      <c r="AJ984" s="133">
        <f>'Optional Adjustment 18'!G984*$AJ$1</f>
        <v>0</v>
      </c>
      <c r="AK984" s="133">
        <f>'Optional Adjustment 19'!G984*$AK$1</f>
        <v>0</v>
      </c>
      <c r="AL984" s="133">
        <f>'Optional Adjustment 20'!G984*$AL$1</f>
        <v>0</v>
      </c>
      <c r="AM984" s="133">
        <f>'Optional Adjustment 21'!G984*$AM$1</f>
        <v>0</v>
      </c>
      <c r="AN984" s="133">
        <f>'Optional Adjustment 22'!G984*$AN$1</f>
        <v>0</v>
      </c>
      <c r="AO984" s="133">
        <f>'Optional Adjustment 23'!G984*$AO$1</f>
        <v>0</v>
      </c>
      <c r="AP984" s="133">
        <f>'Optional Adjustment 24'!G984*$AP$1</f>
        <v>0</v>
      </c>
      <c r="AQ984" s="133">
        <f>'Optional Adjustment 25'!G984*$AQ$1</f>
        <v>0</v>
      </c>
      <c r="AR984" s="133">
        <f>'Optional Adjustment 26'!G984*$AR$1</f>
        <v>0</v>
      </c>
      <c r="AS984" s="133">
        <f>'Optional Adjustment 27'!G984*$AS$1</f>
        <v>0</v>
      </c>
      <c r="AT984" s="133"/>
      <c r="AU984" s="133">
        <f t="shared" si="1202"/>
        <v>0</v>
      </c>
      <c r="AV984" s="116"/>
      <c r="AW984" s="133">
        <f t="shared" si="1203"/>
        <v>0</v>
      </c>
      <c r="AX984" s="133">
        <f>+AW984-'ROR-Model'!G1000</f>
        <v>0</v>
      </c>
    </row>
    <row r="985" spans="1:50">
      <c r="A985" s="102"/>
      <c r="B985" s="102"/>
      <c r="C985" s="102" t="s">
        <v>538</v>
      </c>
      <c r="D985" s="102"/>
      <c r="E985" s="331"/>
      <c r="F985" s="116">
        <f ca="1">'Rate Base'!$AQ$50*$F$1</f>
        <v>193343718.21868801</v>
      </c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33"/>
      <c r="R985" s="133"/>
      <c r="S985" s="133"/>
      <c r="T985" s="133">
        <f>'Optional Adjustment 2'!G985*$T$1</f>
        <v>0</v>
      </c>
      <c r="U985" s="133">
        <f>'Optional Adjustment 3'!G985*$U$1</f>
        <v>0</v>
      </c>
      <c r="V985" s="133">
        <f>'Optional Adjustment 4'!G985*$V$1</f>
        <v>0</v>
      </c>
      <c r="W985" s="133">
        <f>'Optional Adjustment 5'!G985*$W$1</f>
        <v>0</v>
      </c>
      <c r="X985" s="133">
        <f>'Optional Adjustment 6'!G985*$X$1</f>
        <v>0</v>
      </c>
      <c r="Y985" s="133">
        <f>'Optional Adjustment 7'!G985*$Y$1</f>
        <v>0</v>
      </c>
      <c r="Z985" s="133">
        <f>'Optional Adjustment 8'!G985*$Z$1</f>
        <v>0</v>
      </c>
      <c r="AA985" s="133">
        <f>'Optional Adjustment 9'!G985*$AA$1</f>
        <v>0</v>
      </c>
      <c r="AB985" s="133">
        <f>'Optional Adjustment 10'!G985*$AB$1</f>
        <v>0</v>
      </c>
      <c r="AC985" s="133">
        <f>'Optional Adjustment 11'!G985*$AC$1</f>
        <v>0</v>
      </c>
      <c r="AD985" s="133">
        <f>'Optional Adjustment 12'!G985*$AD$1</f>
        <v>0</v>
      </c>
      <c r="AE985" s="133">
        <f>'Optional Adjustment 13'!G985*$AE$1</f>
        <v>0</v>
      </c>
      <c r="AF985" s="133">
        <f>'Optional Adjustment 14'!G985*$AF$1</f>
        <v>0</v>
      </c>
      <c r="AG985" s="133">
        <f>'Optional Adjustment 15'!G985*$AG$1</f>
        <v>0</v>
      </c>
      <c r="AH985" s="133">
        <f>'Optional Adjustment 16'!G985*$AH$1</f>
        <v>0</v>
      </c>
      <c r="AI985" s="133">
        <f>'Optional Adjustment 17'!G985*$AI$1</f>
        <v>0</v>
      </c>
      <c r="AJ985" s="133">
        <f>'Optional Adjustment 18'!G985*$AJ$1</f>
        <v>0</v>
      </c>
      <c r="AK985" s="133">
        <f>'Optional Adjustment 19'!G985*$AK$1</f>
        <v>0</v>
      </c>
      <c r="AL985" s="133">
        <f>'Optional Adjustment 20'!G985*$AL$1</f>
        <v>0</v>
      </c>
      <c r="AM985" s="133">
        <f>'Optional Adjustment 21'!G985*$AM$1</f>
        <v>0</v>
      </c>
      <c r="AN985" s="133">
        <f>'Optional Adjustment 22'!G985*$AN$1</f>
        <v>0</v>
      </c>
      <c r="AO985" s="133">
        <f>'Optional Adjustment 23'!G985*$AO$1</f>
        <v>0</v>
      </c>
      <c r="AP985" s="133">
        <f>'Optional Adjustment 24'!G985*$AP$1</f>
        <v>0</v>
      </c>
      <c r="AQ985" s="133">
        <f>'Optional Adjustment 25'!G985*$AQ$1</f>
        <v>0</v>
      </c>
      <c r="AR985" s="133">
        <f>'Optional Adjustment 26'!G985*$AR$1</f>
        <v>0</v>
      </c>
      <c r="AS985" s="133">
        <f>'Optional Adjustment 27'!G985*$AS$1</f>
        <v>0</v>
      </c>
      <c r="AT985" s="133"/>
      <c r="AU985" s="133">
        <f t="shared" ca="1" si="1202"/>
        <v>193343718.21868801</v>
      </c>
      <c r="AV985" s="116"/>
      <c r="AW985" s="133">
        <f t="shared" ca="1" si="1203"/>
        <v>193343718.21868801</v>
      </c>
      <c r="AX985" s="133">
        <f ca="1">+AW985-'ROR-Model'!G1001</f>
        <v>0</v>
      </c>
    </row>
    <row r="986" spans="1:50">
      <c r="A986" s="102"/>
      <c r="B986" s="102"/>
      <c r="C986" s="102" t="s">
        <v>713</v>
      </c>
      <c r="D986" s="102"/>
      <c r="E986" s="331"/>
      <c r="F986" s="116">
        <f ca="1">SUM(F978:F985)</f>
        <v>198506587.92722464</v>
      </c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33"/>
      <c r="R986" s="133"/>
      <c r="S986" s="133"/>
      <c r="T986" s="133">
        <f>'Optional Adjustment 2'!G986*$T$1</f>
        <v>0</v>
      </c>
      <c r="U986" s="133">
        <f>'Optional Adjustment 3'!G986*$U$1</f>
        <v>0</v>
      </c>
      <c r="V986" s="133">
        <f>'Optional Adjustment 4'!G986*$V$1</f>
        <v>0</v>
      </c>
      <c r="W986" s="133">
        <f>'Optional Adjustment 5'!G986*$W$1</f>
        <v>0</v>
      </c>
      <c r="X986" s="133">
        <f>'Optional Adjustment 6'!G986*$X$1</f>
        <v>0</v>
      </c>
      <c r="Y986" s="133">
        <f>'Optional Adjustment 7'!G986*$Y$1</f>
        <v>0</v>
      </c>
      <c r="Z986" s="133">
        <f>'Optional Adjustment 8'!G986*$Z$1</f>
        <v>0</v>
      </c>
      <c r="AA986" s="133">
        <f>'Optional Adjustment 9'!G986*$AA$1</f>
        <v>0</v>
      </c>
      <c r="AB986" s="133">
        <f>'Optional Adjustment 10'!G986*$AB$1</f>
        <v>0</v>
      </c>
      <c r="AC986" s="133">
        <f>'Optional Adjustment 11'!G986*$AC$1</f>
        <v>0</v>
      </c>
      <c r="AD986" s="133">
        <f>'Optional Adjustment 12'!G986*$AD$1</f>
        <v>0</v>
      </c>
      <c r="AE986" s="133">
        <f>'Optional Adjustment 13'!G986*$AE$1</f>
        <v>0</v>
      </c>
      <c r="AF986" s="133">
        <f>'Optional Adjustment 14'!G986*$AF$1</f>
        <v>0</v>
      </c>
      <c r="AG986" s="133">
        <f>'Optional Adjustment 15'!G986*$AG$1</f>
        <v>0</v>
      </c>
      <c r="AH986" s="133">
        <f>'Optional Adjustment 16'!G986*$AH$1</f>
        <v>0</v>
      </c>
      <c r="AI986" s="133">
        <f>'Optional Adjustment 17'!G986*$AI$1</f>
        <v>0</v>
      </c>
      <c r="AJ986" s="133">
        <f>'Optional Adjustment 18'!G986*$AJ$1</f>
        <v>0</v>
      </c>
      <c r="AK986" s="133">
        <f>'Optional Adjustment 19'!G986*$AK$1</f>
        <v>0</v>
      </c>
      <c r="AL986" s="133">
        <f>'Optional Adjustment 20'!G986*$AL$1</f>
        <v>0</v>
      </c>
      <c r="AM986" s="133">
        <f>'Optional Adjustment 21'!G986*$AM$1</f>
        <v>0</v>
      </c>
      <c r="AN986" s="133">
        <f>'Optional Adjustment 22'!G986*$AN$1</f>
        <v>0</v>
      </c>
      <c r="AO986" s="133">
        <f>'Optional Adjustment 23'!G986*$AO$1</f>
        <v>0</v>
      </c>
      <c r="AP986" s="133">
        <f>'Optional Adjustment 24'!G986*$AP$1</f>
        <v>0</v>
      </c>
      <c r="AQ986" s="133">
        <f>'Optional Adjustment 25'!G986*$AQ$1</f>
        <v>0</v>
      </c>
      <c r="AR986" s="133">
        <f>'Optional Adjustment 26'!G986*$AR$1</f>
        <v>0</v>
      </c>
      <c r="AS986" s="133">
        <f>'Optional Adjustment 27'!G986*$AS$1</f>
        <v>0</v>
      </c>
      <c r="AT986" s="133"/>
      <c r="AU986" s="133">
        <f t="shared" ca="1" si="1202"/>
        <v>198506587.92722464</v>
      </c>
      <c r="AV986" s="116"/>
      <c r="AW986" s="133">
        <f t="shared" ca="1" si="1203"/>
        <v>198506587.92722464</v>
      </c>
      <c r="AX986" s="133">
        <f ca="1">+AW986-'ROR-Model'!G1002</f>
        <v>0</v>
      </c>
    </row>
    <row r="987" spans="1:50">
      <c r="A987" s="102"/>
      <c r="B987" s="102"/>
      <c r="C987" s="102"/>
      <c r="D987" s="102"/>
      <c r="E987" s="331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16"/>
      <c r="AW987" s="133"/>
      <c r="AX987" s="133">
        <f>+AW987-'ROR-Model'!G1003</f>
        <v>0</v>
      </c>
    </row>
    <row r="988" spans="1:50">
      <c r="A988" s="102" t="s">
        <v>246</v>
      </c>
      <c r="B988" s="102" t="s">
        <v>248</v>
      </c>
      <c r="C988" s="102"/>
      <c r="D988" s="102"/>
      <c r="E988" s="331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16"/>
      <c r="AW988" s="133"/>
      <c r="AX988" s="133">
        <f>+AW988-'ROR-Model'!G1004</f>
        <v>0</v>
      </c>
    </row>
    <row r="989" spans="1:50">
      <c r="A989" s="102"/>
      <c r="B989" s="102"/>
      <c r="C989" s="102" t="s">
        <v>24</v>
      </c>
      <c r="D989" s="102"/>
      <c r="E989" s="331"/>
      <c r="F989" s="116">
        <f>'Rate Base'!$AQ$54*$F$1</f>
        <v>0</v>
      </c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33"/>
      <c r="R989" s="133"/>
      <c r="S989" s="133"/>
      <c r="T989" s="133">
        <f>'Optional Adjustment 2'!G989*$T$1</f>
        <v>0</v>
      </c>
      <c r="U989" s="133">
        <f>'Optional Adjustment 3'!G989*$U$1</f>
        <v>0</v>
      </c>
      <c r="V989" s="133">
        <f>'Optional Adjustment 4'!G989*$V$1</f>
        <v>0</v>
      </c>
      <c r="W989" s="133">
        <f>'Optional Adjustment 5'!G989*$W$1</f>
        <v>0</v>
      </c>
      <c r="X989" s="133">
        <f>'Optional Adjustment 6'!G989*$X$1</f>
        <v>0</v>
      </c>
      <c r="Y989" s="133">
        <f>'Optional Adjustment 7'!G989*$Y$1</f>
        <v>0</v>
      </c>
      <c r="Z989" s="133">
        <f>'Optional Adjustment 8'!G989*$Z$1</f>
        <v>0</v>
      </c>
      <c r="AA989" s="133">
        <f>'Optional Adjustment 9'!G989*$AA$1</f>
        <v>0</v>
      </c>
      <c r="AB989" s="133">
        <f>'Optional Adjustment 10'!G989*$AB$1</f>
        <v>0</v>
      </c>
      <c r="AC989" s="133">
        <f>'Optional Adjustment 11'!G989*$AC$1</f>
        <v>0</v>
      </c>
      <c r="AD989" s="133">
        <f>'Optional Adjustment 12'!G989*$AD$1</f>
        <v>0</v>
      </c>
      <c r="AE989" s="133">
        <f>'Optional Adjustment 13'!G989*$AE$1</f>
        <v>0</v>
      </c>
      <c r="AF989" s="133">
        <f>'Optional Adjustment 14'!G989*$AF$1</f>
        <v>0</v>
      </c>
      <c r="AG989" s="133">
        <f>'Optional Adjustment 15'!G989*$AG$1</f>
        <v>0</v>
      </c>
      <c r="AH989" s="133">
        <f>'Optional Adjustment 16'!G989*$AH$1</f>
        <v>0</v>
      </c>
      <c r="AI989" s="133">
        <f>'Optional Adjustment 17'!G989*$AI$1</f>
        <v>0</v>
      </c>
      <c r="AJ989" s="133">
        <f>'Optional Adjustment 18'!G989*$AJ$1</f>
        <v>0</v>
      </c>
      <c r="AK989" s="133">
        <f>'Optional Adjustment 19'!G989*$AK$1</f>
        <v>0</v>
      </c>
      <c r="AL989" s="133">
        <f>'Optional Adjustment 20'!G989*$AL$1</f>
        <v>0</v>
      </c>
      <c r="AM989" s="133">
        <f>'Optional Adjustment 21'!G989*$AM$1</f>
        <v>0</v>
      </c>
      <c r="AN989" s="133">
        <f>'Optional Adjustment 22'!G989*$AN$1</f>
        <v>0</v>
      </c>
      <c r="AO989" s="133">
        <f>'Optional Adjustment 23'!G989*$AO$1</f>
        <v>0</v>
      </c>
      <c r="AP989" s="133">
        <f>'Optional Adjustment 24'!G989*$AP$1</f>
        <v>0</v>
      </c>
      <c r="AQ989" s="133">
        <f>'Optional Adjustment 25'!G989*$AQ$1</f>
        <v>0</v>
      </c>
      <c r="AR989" s="133">
        <f>'Optional Adjustment 26'!G989*$AR$1</f>
        <v>0</v>
      </c>
      <c r="AS989" s="133">
        <f>'Optional Adjustment 27'!G989*$AS$1</f>
        <v>0</v>
      </c>
      <c r="AT989" s="133"/>
      <c r="AU989" s="133">
        <f>SUM(F989:AT989)</f>
        <v>0</v>
      </c>
      <c r="AV989" s="116"/>
      <c r="AW989" s="133">
        <f>SUM(AU989:AU989)</f>
        <v>0</v>
      </c>
      <c r="AX989" s="133">
        <f>+AW989-'ROR-Model'!G1005</f>
        <v>0</v>
      </c>
    </row>
    <row r="990" spans="1:50">
      <c r="A990" s="102"/>
      <c r="B990" s="102"/>
      <c r="C990" s="102" t="s">
        <v>14</v>
      </c>
      <c r="D990" s="102"/>
      <c r="E990" s="331"/>
      <c r="F990" s="116">
        <f ca="1">'Rate Base'!$AQ$55*$F$1</f>
        <v>-6981331.0959904566</v>
      </c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33"/>
      <c r="R990" s="133"/>
      <c r="S990" s="133"/>
      <c r="T990" s="133">
        <f>'Optional Adjustment 2'!G990*$T$1</f>
        <v>0</v>
      </c>
      <c r="U990" s="133">
        <f>'Optional Adjustment 3'!G990*$U$1</f>
        <v>0</v>
      </c>
      <c r="V990" s="133">
        <f>'Optional Adjustment 4'!G990*$V$1</f>
        <v>0</v>
      </c>
      <c r="W990" s="133">
        <f>'Optional Adjustment 5'!G990*$W$1</f>
        <v>0</v>
      </c>
      <c r="X990" s="133">
        <f>'Optional Adjustment 6'!G990*$X$1</f>
        <v>0</v>
      </c>
      <c r="Y990" s="133">
        <f>'Optional Adjustment 7'!G990*$Y$1</f>
        <v>0</v>
      </c>
      <c r="Z990" s="133">
        <f>'Optional Adjustment 8'!G990*$Z$1</f>
        <v>0</v>
      </c>
      <c r="AA990" s="133">
        <f>'Optional Adjustment 9'!G990*$AA$1</f>
        <v>0</v>
      </c>
      <c r="AB990" s="133">
        <f>'Optional Adjustment 10'!G990*$AB$1</f>
        <v>0</v>
      </c>
      <c r="AC990" s="133">
        <f>'Optional Adjustment 11'!G990*$AC$1</f>
        <v>0</v>
      </c>
      <c r="AD990" s="133">
        <f>'Optional Adjustment 12'!G990*$AD$1</f>
        <v>0</v>
      </c>
      <c r="AE990" s="133">
        <f>'Optional Adjustment 13'!G990*$AE$1</f>
        <v>0</v>
      </c>
      <c r="AF990" s="133">
        <f>'Optional Adjustment 14'!G990*$AF$1</f>
        <v>0</v>
      </c>
      <c r="AG990" s="133">
        <f>'Optional Adjustment 15'!G990*$AG$1</f>
        <v>0</v>
      </c>
      <c r="AH990" s="133">
        <f>'Optional Adjustment 16'!G990*$AH$1</f>
        <v>0</v>
      </c>
      <c r="AI990" s="133">
        <f>'Optional Adjustment 17'!G990*$AI$1</f>
        <v>0</v>
      </c>
      <c r="AJ990" s="133">
        <f>'Optional Adjustment 18'!G990*$AJ$1</f>
        <v>0</v>
      </c>
      <c r="AK990" s="133">
        <f>'Optional Adjustment 19'!G990*$AK$1</f>
        <v>0</v>
      </c>
      <c r="AL990" s="133">
        <f>'Optional Adjustment 20'!G990*$AL$1</f>
        <v>0</v>
      </c>
      <c r="AM990" s="133">
        <f>'Optional Adjustment 21'!G990*$AM$1</f>
        <v>0</v>
      </c>
      <c r="AN990" s="133">
        <f>'Optional Adjustment 22'!G990*$AN$1</f>
        <v>0</v>
      </c>
      <c r="AO990" s="133">
        <f>'Optional Adjustment 23'!G990*$AO$1</f>
        <v>0</v>
      </c>
      <c r="AP990" s="133">
        <f>'Optional Adjustment 24'!G990*$AP$1</f>
        <v>0</v>
      </c>
      <c r="AQ990" s="133">
        <f>'Optional Adjustment 25'!G990*$AQ$1</f>
        <v>0</v>
      </c>
      <c r="AR990" s="133">
        <f>'Optional Adjustment 26'!G990*$AR$1</f>
        <v>0</v>
      </c>
      <c r="AS990" s="133">
        <f>'Optional Adjustment 27'!G990*$AS$1</f>
        <v>0</v>
      </c>
      <c r="AT990" s="133"/>
      <c r="AU990" s="133">
        <f ca="1">SUM(F990:AT990)</f>
        <v>-6981331.0959904566</v>
      </c>
      <c r="AV990" s="116"/>
      <c r="AW990" s="133">
        <f ca="1">SUM(AU990:AU990)</f>
        <v>-6981331.0959904566</v>
      </c>
      <c r="AX990" s="133">
        <f ca="1">+AW990-'ROR-Model'!G1006</f>
        <v>0</v>
      </c>
    </row>
    <row r="991" spans="1:50">
      <c r="A991" s="102"/>
      <c r="B991" s="102"/>
      <c r="C991" s="102" t="s">
        <v>170</v>
      </c>
      <c r="D991" s="102"/>
      <c r="E991" s="331"/>
      <c r="F991" s="116">
        <f ca="1">SUM(F989:F990)</f>
        <v>-6981331.0959904566</v>
      </c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33"/>
      <c r="R991" s="133"/>
      <c r="S991" s="133"/>
      <c r="T991" s="133">
        <f t="shared" ref="T991:AG991" si="1204">SUM(T989:T990)</f>
        <v>0</v>
      </c>
      <c r="U991" s="133">
        <f t="shared" si="1204"/>
        <v>0</v>
      </c>
      <c r="V991" s="133">
        <f t="shared" si="1204"/>
        <v>0</v>
      </c>
      <c r="W991" s="133">
        <f t="shared" si="1204"/>
        <v>0</v>
      </c>
      <c r="X991" s="133">
        <f t="shared" si="1204"/>
        <v>0</v>
      </c>
      <c r="Y991" s="133">
        <f t="shared" si="1204"/>
        <v>0</v>
      </c>
      <c r="Z991" s="133">
        <f t="shared" si="1204"/>
        <v>0</v>
      </c>
      <c r="AA991" s="133">
        <f t="shared" si="1204"/>
        <v>0</v>
      </c>
      <c r="AB991" s="133">
        <f t="shared" si="1204"/>
        <v>0</v>
      </c>
      <c r="AC991" s="133">
        <f t="shared" si="1204"/>
        <v>0</v>
      </c>
      <c r="AD991" s="133">
        <f t="shared" si="1204"/>
        <v>0</v>
      </c>
      <c r="AE991" s="133">
        <f t="shared" si="1204"/>
        <v>0</v>
      </c>
      <c r="AF991" s="133">
        <f t="shared" si="1204"/>
        <v>0</v>
      </c>
      <c r="AG991" s="133">
        <f t="shared" si="1204"/>
        <v>0</v>
      </c>
      <c r="AH991" s="133">
        <f t="shared" ref="AH991:AK991" si="1205">SUM(AH989:AH990)</f>
        <v>0</v>
      </c>
      <c r="AI991" s="133">
        <f t="shared" si="1205"/>
        <v>0</v>
      </c>
      <c r="AJ991" s="133">
        <f t="shared" si="1205"/>
        <v>0</v>
      </c>
      <c r="AK991" s="133">
        <f t="shared" si="1205"/>
        <v>0</v>
      </c>
      <c r="AL991" s="133">
        <f t="shared" ref="AL991:AP991" si="1206">SUM(AL989:AL990)</f>
        <v>0</v>
      </c>
      <c r="AM991" s="133">
        <f t="shared" si="1206"/>
        <v>0</v>
      </c>
      <c r="AN991" s="133">
        <f t="shared" si="1206"/>
        <v>0</v>
      </c>
      <c r="AO991" s="133">
        <f t="shared" si="1206"/>
        <v>0</v>
      </c>
      <c r="AP991" s="133">
        <f t="shared" si="1206"/>
        <v>0</v>
      </c>
      <c r="AQ991" s="133">
        <f t="shared" ref="AQ991:AS991" si="1207">SUM(AQ989:AQ990)</f>
        <v>0</v>
      </c>
      <c r="AR991" s="133">
        <f t="shared" si="1207"/>
        <v>0</v>
      </c>
      <c r="AS991" s="133">
        <f t="shared" si="1207"/>
        <v>0</v>
      </c>
      <c r="AT991" s="133"/>
      <c r="AU991" s="133">
        <f ca="1">SUM(F991:AT991)</f>
        <v>-6981331.0959904566</v>
      </c>
      <c r="AV991" s="116"/>
      <c r="AW991" s="133">
        <f ca="1">SUM(AU991:AU991)</f>
        <v>-6981331.0959904566</v>
      </c>
      <c r="AX991" s="133">
        <f ca="1">+AW991-'ROR-Model'!G1007</f>
        <v>0</v>
      </c>
    </row>
    <row r="992" spans="1:50">
      <c r="A992" s="102"/>
      <c r="B992" s="102"/>
      <c r="C992" s="102"/>
      <c r="D992" s="102"/>
      <c r="E992" s="331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16"/>
      <c r="AW992" s="133"/>
      <c r="AX992" s="133">
        <f>+AW992-'ROR-Model'!G1008</f>
        <v>0</v>
      </c>
    </row>
    <row r="993" spans="1:50">
      <c r="A993" s="102" t="s">
        <v>249</v>
      </c>
      <c r="B993" s="102" t="s">
        <v>250</v>
      </c>
      <c r="C993" s="102"/>
      <c r="D993" s="102"/>
      <c r="E993" s="331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16"/>
      <c r="AW993" s="133"/>
      <c r="AX993" s="133">
        <f>+AW993-'ROR-Model'!G1009</f>
        <v>0</v>
      </c>
    </row>
    <row r="994" spans="1:50">
      <c r="A994" s="102"/>
      <c r="B994" s="102"/>
      <c r="C994" s="102" t="s">
        <v>24</v>
      </c>
      <c r="D994" s="102"/>
      <c r="E994" s="331"/>
      <c r="F994" s="116">
        <f ca="1">'Rate Base'!$AQ$59*$F$1</f>
        <v>1567018.6781012509</v>
      </c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33"/>
      <c r="R994" s="133"/>
      <c r="S994" s="133"/>
      <c r="T994" s="133">
        <f>'Optional Adjustment 2'!G994*$T$1</f>
        <v>0</v>
      </c>
      <c r="U994" s="133">
        <f>'Optional Adjustment 3'!G994*$U$1</f>
        <v>0</v>
      </c>
      <c r="V994" s="133">
        <f>'Optional Adjustment 4'!G994*$V$1</f>
        <v>0</v>
      </c>
      <c r="W994" s="133">
        <f>'Optional Adjustment 5'!G994*$W$1</f>
        <v>0</v>
      </c>
      <c r="X994" s="133">
        <f>'Optional Adjustment 6'!G994*$X$1</f>
        <v>0</v>
      </c>
      <c r="Y994" s="133">
        <f>'Optional Adjustment 7'!G994*$Y$1</f>
        <v>0</v>
      </c>
      <c r="Z994" s="133">
        <f>'Optional Adjustment 8'!G994*$Z$1</f>
        <v>0</v>
      </c>
      <c r="AA994" s="133">
        <f>'Optional Adjustment 9'!G994*$AA$1</f>
        <v>0</v>
      </c>
      <c r="AB994" s="133">
        <f>'Optional Adjustment 10'!G994*$AB$1</f>
        <v>0</v>
      </c>
      <c r="AC994" s="133">
        <f>'Optional Adjustment 11'!G994*$AC$1</f>
        <v>0</v>
      </c>
      <c r="AD994" s="133">
        <f>'Optional Adjustment 12'!G994*$AD$1</f>
        <v>0</v>
      </c>
      <c r="AE994" s="133">
        <f>'Optional Adjustment 13'!G994*$AE$1</f>
        <v>0</v>
      </c>
      <c r="AF994" s="133">
        <f>'Optional Adjustment 14'!G994*$AF$1</f>
        <v>0</v>
      </c>
      <c r="AG994" s="133">
        <f>'Optional Adjustment 15'!G994*$AG$1</f>
        <v>0</v>
      </c>
      <c r="AH994" s="133">
        <f>'Optional Adjustment 16'!G994*$AH$1</f>
        <v>0</v>
      </c>
      <c r="AI994" s="133">
        <f>'Optional Adjustment 17'!G994*$AI$1</f>
        <v>0</v>
      </c>
      <c r="AJ994" s="133">
        <f>'Optional Adjustment 18'!G994*$AJ$1</f>
        <v>0</v>
      </c>
      <c r="AK994" s="133">
        <f>'Optional Adjustment 19'!G994*$AK$1</f>
        <v>0</v>
      </c>
      <c r="AL994" s="133">
        <f>'Optional Adjustment 20'!G994*$AL$1</f>
        <v>0</v>
      </c>
      <c r="AM994" s="133">
        <f>'Optional Adjustment 21'!G994*$AM$1</f>
        <v>0</v>
      </c>
      <c r="AN994" s="133">
        <f>'Optional Adjustment 22'!G994*$AN$1</f>
        <v>0</v>
      </c>
      <c r="AO994" s="133">
        <f>'Optional Adjustment 23'!G994*$AO$1</f>
        <v>0</v>
      </c>
      <c r="AP994" s="133">
        <f>'Optional Adjustment 24'!G994*$AP$1</f>
        <v>0</v>
      </c>
      <c r="AQ994" s="133">
        <f>'Optional Adjustment 25'!G994*$AQ$1</f>
        <v>0</v>
      </c>
      <c r="AR994" s="133">
        <f>'Optional Adjustment 26'!G994*$AR$1</f>
        <v>0</v>
      </c>
      <c r="AS994" s="133">
        <f>'Optional Adjustment 27'!G994*$AS$1</f>
        <v>0</v>
      </c>
      <c r="AT994" s="133"/>
      <c r="AU994" s="133">
        <f ca="1">SUM(F994:AT994)</f>
        <v>1567018.6781012509</v>
      </c>
      <c r="AV994" s="116"/>
      <c r="AW994" s="133">
        <f ca="1">SUM(AU994:AU994)</f>
        <v>1567018.6781012509</v>
      </c>
      <c r="AX994" s="133">
        <f ca="1">+AW994-'ROR-Model'!G1010</f>
        <v>0</v>
      </c>
    </row>
    <row r="995" spans="1:50">
      <c r="A995" s="102"/>
      <c r="B995" s="102"/>
      <c r="C995" s="102" t="s">
        <v>14</v>
      </c>
      <c r="D995" s="102"/>
      <c r="E995" s="331"/>
      <c r="F995" s="116">
        <f ca="1">'Rate Base'!$AQ$60*$F$1</f>
        <v>20746161.496314153</v>
      </c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33"/>
      <c r="R995" s="133"/>
      <c r="S995" s="133"/>
      <c r="T995" s="133">
        <f>'Optional Adjustment 2'!G995*$T$1</f>
        <v>0</v>
      </c>
      <c r="U995" s="133">
        <f>'Optional Adjustment 3'!G995*$U$1</f>
        <v>0</v>
      </c>
      <c r="V995" s="133">
        <f>'Optional Adjustment 4'!G995*$V$1</f>
        <v>0</v>
      </c>
      <c r="W995" s="133">
        <f>'Optional Adjustment 5'!G995*$W$1</f>
        <v>0</v>
      </c>
      <c r="X995" s="133">
        <f>'Optional Adjustment 6'!G995*$X$1</f>
        <v>0</v>
      </c>
      <c r="Y995" s="133">
        <f>'Optional Adjustment 7'!G995*$Y$1</f>
        <v>0</v>
      </c>
      <c r="Z995" s="133">
        <f>'Optional Adjustment 8'!G995*$Z$1</f>
        <v>0</v>
      </c>
      <c r="AA995" s="133">
        <f>'Optional Adjustment 9'!G995*$AA$1</f>
        <v>0</v>
      </c>
      <c r="AB995" s="133">
        <f>'Optional Adjustment 10'!G995*$AB$1</f>
        <v>0</v>
      </c>
      <c r="AC995" s="133">
        <f>'Optional Adjustment 11'!G995*$AC$1</f>
        <v>0</v>
      </c>
      <c r="AD995" s="133">
        <f>'Optional Adjustment 12'!G995*$AD$1</f>
        <v>0</v>
      </c>
      <c r="AE995" s="133">
        <f>'Optional Adjustment 13'!G995*$AE$1</f>
        <v>0</v>
      </c>
      <c r="AF995" s="133">
        <f>'Optional Adjustment 14'!G995*$AF$1</f>
        <v>0</v>
      </c>
      <c r="AG995" s="133">
        <f>'Optional Adjustment 15'!G995*$AG$1</f>
        <v>0</v>
      </c>
      <c r="AH995" s="133">
        <f>'Optional Adjustment 16'!G995*$AH$1</f>
        <v>0</v>
      </c>
      <c r="AI995" s="133">
        <f>'Optional Adjustment 17'!G995*$AI$1</f>
        <v>0</v>
      </c>
      <c r="AJ995" s="133">
        <f>'Optional Adjustment 18'!G995*$AJ$1</f>
        <v>0</v>
      </c>
      <c r="AK995" s="133">
        <f>'Optional Adjustment 19'!G995*$AK$1</f>
        <v>0</v>
      </c>
      <c r="AL995" s="133">
        <f>'Optional Adjustment 20'!G995*$AL$1</f>
        <v>0</v>
      </c>
      <c r="AM995" s="133">
        <f>'Optional Adjustment 21'!G995*$AM$1</f>
        <v>0</v>
      </c>
      <c r="AN995" s="133">
        <f>'Optional Adjustment 22'!G995*$AN$1</f>
        <v>0</v>
      </c>
      <c r="AO995" s="133">
        <f>'Optional Adjustment 23'!G995*$AO$1</f>
        <v>0</v>
      </c>
      <c r="AP995" s="133">
        <f>'Optional Adjustment 24'!G995*$AP$1</f>
        <v>0</v>
      </c>
      <c r="AQ995" s="133">
        <f>'Optional Adjustment 25'!G995*$AQ$1</f>
        <v>0</v>
      </c>
      <c r="AR995" s="133">
        <f>'Optional Adjustment 26'!G995*$AR$1</f>
        <v>0</v>
      </c>
      <c r="AS995" s="133">
        <f>'Optional Adjustment 27'!G995*$AS$1</f>
        <v>0</v>
      </c>
      <c r="AT995" s="133"/>
      <c r="AU995" s="133">
        <f ca="1">SUM(F995:AT995)</f>
        <v>20746161.496314153</v>
      </c>
      <c r="AV995" s="116"/>
      <c r="AW995" s="133">
        <f ca="1">SUM(AU995:AU995)</f>
        <v>20746161.496314153</v>
      </c>
      <c r="AX995" s="133">
        <f ca="1">+AW995-'ROR-Model'!G1011</f>
        <v>0</v>
      </c>
    </row>
    <row r="996" spans="1:50">
      <c r="A996" s="102"/>
      <c r="B996" s="102"/>
      <c r="C996" s="102" t="s">
        <v>170</v>
      </c>
      <c r="D996" s="102"/>
      <c r="E996" s="331"/>
      <c r="F996" s="116">
        <f ca="1">SUM(F994:F995)</f>
        <v>22313180.174415402</v>
      </c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33"/>
      <c r="R996" s="133"/>
      <c r="S996" s="133"/>
      <c r="T996" s="133">
        <f t="shared" ref="T996:AG996" si="1208">SUM(T994:T995)</f>
        <v>0</v>
      </c>
      <c r="U996" s="133">
        <f t="shared" si="1208"/>
        <v>0</v>
      </c>
      <c r="V996" s="133">
        <f t="shared" si="1208"/>
        <v>0</v>
      </c>
      <c r="W996" s="133">
        <f t="shared" si="1208"/>
        <v>0</v>
      </c>
      <c r="X996" s="133">
        <f t="shared" si="1208"/>
        <v>0</v>
      </c>
      <c r="Y996" s="133">
        <f t="shared" si="1208"/>
        <v>0</v>
      </c>
      <c r="Z996" s="133">
        <f t="shared" si="1208"/>
        <v>0</v>
      </c>
      <c r="AA996" s="133">
        <f t="shared" si="1208"/>
        <v>0</v>
      </c>
      <c r="AB996" s="133">
        <f t="shared" si="1208"/>
        <v>0</v>
      </c>
      <c r="AC996" s="133">
        <f t="shared" si="1208"/>
        <v>0</v>
      </c>
      <c r="AD996" s="133">
        <f t="shared" si="1208"/>
        <v>0</v>
      </c>
      <c r="AE996" s="133">
        <f t="shared" si="1208"/>
        <v>0</v>
      </c>
      <c r="AF996" s="133">
        <f t="shared" si="1208"/>
        <v>0</v>
      </c>
      <c r="AG996" s="133">
        <f t="shared" si="1208"/>
        <v>0</v>
      </c>
      <c r="AH996" s="133">
        <f t="shared" ref="AH996:AK996" si="1209">SUM(AH994:AH995)</f>
        <v>0</v>
      </c>
      <c r="AI996" s="133">
        <f t="shared" si="1209"/>
        <v>0</v>
      </c>
      <c r="AJ996" s="133">
        <f t="shared" si="1209"/>
        <v>0</v>
      </c>
      <c r="AK996" s="133">
        <f t="shared" si="1209"/>
        <v>0</v>
      </c>
      <c r="AL996" s="133">
        <f t="shared" ref="AL996:AP996" si="1210">SUM(AL994:AL995)</f>
        <v>0</v>
      </c>
      <c r="AM996" s="133">
        <f t="shared" si="1210"/>
        <v>0</v>
      </c>
      <c r="AN996" s="133">
        <f t="shared" si="1210"/>
        <v>0</v>
      </c>
      <c r="AO996" s="133">
        <f t="shared" si="1210"/>
        <v>0</v>
      </c>
      <c r="AP996" s="133">
        <f t="shared" si="1210"/>
        <v>0</v>
      </c>
      <c r="AQ996" s="133">
        <f t="shared" ref="AQ996:AS996" si="1211">SUM(AQ994:AQ995)</f>
        <v>0</v>
      </c>
      <c r="AR996" s="133">
        <f t="shared" si="1211"/>
        <v>0</v>
      </c>
      <c r="AS996" s="133">
        <f t="shared" si="1211"/>
        <v>0</v>
      </c>
      <c r="AT996" s="133"/>
      <c r="AU996" s="133">
        <f ca="1">SUM(F996:AT996)</f>
        <v>22313180.174415402</v>
      </c>
      <c r="AV996" s="116"/>
      <c r="AW996" s="133">
        <f ca="1">SUM(AU996:AU996)</f>
        <v>22313180.174415402</v>
      </c>
      <c r="AX996" s="133">
        <f ca="1">+AW996-'ROR-Model'!G1012</f>
        <v>0</v>
      </c>
    </row>
    <row r="997" spans="1:50">
      <c r="A997" s="102"/>
      <c r="B997" s="102"/>
      <c r="C997" s="102"/>
      <c r="D997" s="102"/>
      <c r="E997" s="331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16"/>
      <c r="AW997" s="133"/>
      <c r="AX997" s="133">
        <f>+AW997-'ROR-Model'!G1013</f>
        <v>0</v>
      </c>
    </row>
    <row r="998" spans="1:50">
      <c r="A998" s="102" t="s">
        <v>251</v>
      </c>
      <c r="B998" s="102" t="s">
        <v>780</v>
      </c>
      <c r="C998" s="102"/>
      <c r="D998" s="102"/>
      <c r="E998" s="331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16"/>
      <c r="AW998" s="133"/>
      <c r="AX998" s="133">
        <f>+AW998-'ROR-Model'!G1014</f>
        <v>0</v>
      </c>
    </row>
    <row r="999" spans="1:50">
      <c r="A999" s="102"/>
      <c r="B999" s="102"/>
      <c r="C999" s="102" t="s">
        <v>24</v>
      </c>
      <c r="D999" s="102"/>
      <c r="E999" s="331"/>
      <c r="F999" s="116">
        <f ca="1">'Rate Base'!$AQ$64*$F$1</f>
        <v>800072.21026363596</v>
      </c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33"/>
      <c r="R999" s="133"/>
      <c r="S999" s="133"/>
      <c r="T999" s="133">
        <f>'Optional Adjustment 2'!G999*$T$1</f>
        <v>0</v>
      </c>
      <c r="U999" s="133">
        <f>'Optional Adjustment 3'!G999*$U$1</f>
        <v>0</v>
      </c>
      <c r="V999" s="133">
        <f>'Optional Adjustment 4'!G999*$V$1</f>
        <v>0</v>
      </c>
      <c r="W999" s="133">
        <f>'Optional Adjustment 5'!G999*$W$1</f>
        <v>0</v>
      </c>
      <c r="X999" s="133">
        <f>'Optional Adjustment 6'!G999*$X$1</f>
        <v>0</v>
      </c>
      <c r="Y999" s="133">
        <f>'Optional Adjustment 7'!G999*$Y$1</f>
        <v>0</v>
      </c>
      <c r="Z999" s="133">
        <f>'Optional Adjustment 8'!G999*$Z$1</f>
        <v>0</v>
      </c>
      <c r="AA999" s="133">
        <f>'Optional Adjustment 9'!G999*$AA$1</f>
        <v>0</v>
      </c>
      <c r="AB999" s="133">
        <f>'Optional Adjustment 10'!G999*$AB$1</f>
        <v>0</v>
      </c>
      <c r="AC999" s="133">
        <f>'Optional Adjustment 11'!G999*$AC$1</f>
        <v>0</v>
      </c>
      <c r="AD999" s="133">
        <f>'Optional Adjustment 12'!G999*$AD$1</f>
        <v>0</v>
      </c>
      <c r="AE999" s="133">
        <f>'Optional Adjustment 13'!G999*$AE$1</f>
        <v>0</v>
      </c>
      <c r="AF999" s="133">
        <f>'Optional Adjustment 14'!G999*$AF$1</f>
        <v>0</v>
      </c>
      <c r="AG999" s="133">
        <f>'Optional Adjustment 15'!G999*$AG$1</f>
        <v>0</v>
      </c>
      <c r="AH999" s="133">
        <f>'Optional Adjustment 16'!G999*$AH$1</f>
        <v>0</v>
      </c>
      <c r="AI999" s="133">
        <f>'Optional Adjustment 17'!G999*$AI$1</f>
        <v>0</v>
      </c>
      <c r="AJ999" s="133">
        <f>'Optional Adjustment 18'!G999*$AJ$1</f>
        <v>0</v>
      </c>
      <c r="AK999" s="133">
        <f>'Optional Adjustment 19'!G999*$AK$1</f>
        <v>0</v>
      </c>
      <c r="AL999" s="133">
        <f>'Optional Adjustment 20'!G999*$AL$1</f>
        <v>0</v>
      </c>
      <c r="AM999" s="133">
        <f>'Optional Adjustment 21'!G999*$AM$1</f>
        <v>0</v>
      </c>
      <c r="AN999" s="133">
        <f>'Optional Adjustment 22'!G999*$AN$1</f>
        <v>0</v>
      </c>
      <c r="AO999" s="133">
        <f>'Optional Adjustment 23'!G999*$AO$1</f>
        <v>0</v>
      </c>
      <c r="AP999" s="133">
        <f>'Optional Adjustment 24'!G999*$AP$1</f>
        <v>0</v>
      </c>
      <c r="AQ999" s="133">
        <f>'Optional Adjustment 25'!G999*$AQ$1</f>
        <v>0</v>
      </c>
      <c r="AR999" s="133">
        <f>'Optional Adjustment 26'!G999*$AR$1</f>
        <v>0</v>
      </c>
      <c r="AS999" s="133">
        <f>'Optional Adjustment 27'!G999*$AS$1</f>
        <v>0</v>
      </c>
      <c r="AT999" s="133"/>
      <c r="AU999" s="133">
        <f ca="1">SUM(F999:AT999)</f>
        <v>800072.21026363596</v>
      </c>
      <c r="AV999" s="116"/>
      <c r="AW999" s="133">
        <f ca="1">SUM(AU999:AU999)</f>
        <v>800072.21026363596</v>
      </c>
      <c r="AX999" s="133">
        <f ca="1">+AW999-'ROR-Model'!G1015</f>
        <v>0</v>
      </c>
    </row>
    <row r="1000" spans="1:50">
      <c r="A1000" s="102"/>
      <c r="B1000" s="102"/>
      <c r="C1000" s="102" t="s">
        <v>14</v>
      </c>
      <c r="D1000" s="102"/>
      <c r="E1000" s="331"/>
      <c r="F1000" s="116">
        <f ca="1">'Rate Base'!$AQ$65*$F$1</f>
        <v>15641986.081559539</v>
      </c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33"/>
      <c r="R1000" s="133"/>
      <c r="S1000" s="133"/>
      <c r="T1000" s="133">
        <f>'Optional Adjustment 2'!G1000*$T$1</f>
        <v>0</v>
      </c>
      <c r="U1000" s="133">
        <f>'Optional Adjustment 3'!G1000*$U$1</f>
        <v>0</v>
      </c>
      <c r="V1000" s="133">
        <f>'Optional Adjustment 4'!G1000*$V$1</f>
        <v>0</v>
      </c>
      <c r="W1000" s="133">
        <f>'Optional Adjustment 5'!G1000*$W$1</f>
        <v>0</v>
      </c>
      <c r="X1000" s="133">
        <f>'Optional Adjustment 6'!G1000*$X$1</f>
        <v>0</v>
      </c>
      <c r="Y1000" s="133">
        <f>'Optional Adjustment 7'!G1000*$Y$1</f>
        <v>0</v>
      </c>
      <c r="Z1000" s="133">
        <f>'Optional Adjustment 8'!G1000*$Z$1</f>
        <v>0</v>
      </c>
      <c r="AA1000" s="133">
        <f>'Optional Adjustment 9'!G1000*$AA$1</f>
        <v>0</v>
      </c>
      <c r="AB1000" s="133">
        <f>'Optional Adjustment 10'!G1000*$AB$1</f>
        <v>0</v>
      </c>
      <c r="AC1000" s="133">
        <f>'Optional Adjustment 11'!G1000*$AC$1</f>
        <v>0</v>
      </c>
      <c r="AD1000" s="133">
        <f>'Optional Adjustment 12'!G1000*$AD$1</f>
        <v>0</v>
      </c>
      <c r="AE1000" s="133">
        <f>'Optional Adjustment 13'!G1000*$AE$1</f>
        <v>0</v>
      </c>
      <c r="AF1000" s="133">
        <f>'Optional Adjustment 14'!G1000*$AF$1</f>
        <v>0</v>
      </c>
      <c r="AG1000" s="133">
        <f>'Optional Adjustment 15'!G1000*$AG$1</f>
        <v>0</v>
      </c>
      <c r="AH1000" s="133">
        <f>'Optional Adjustment 16'!G1000*$AH$1</f>
        <v>0</v>
      </c>
      <c r="AI1000" s="133">
        <f>'Optional Adjustment 17'!G1000*$AI$1</f>
        <v>0</v>
      </c>
      <c r="AJ1000" s="133">
        <f>'Optional Adjustment 18'!G1000*$AJ$1</f>
        <v>0</v>
      </c>
      <c r="AK1000" s="133">
        <f>'Optional Adjustment 19'!G1000*$AK$1</f>
        <v>0</v>
      </c>
      <c r="AL1000" s="133">
        <f>'Optional Adjustment 20'!G1000*$AL$1</f>
        <v>0</v>
      </c>
      <c r="AM1000" s="133">
        <f>'Optional Adjustment 21'!G1000*$AM$1</f>
        <v>0</v>
      </c>
      <c r="AN1000" s="133">
        <f>'Optional Adjustment 22'!G1000*$AN$1</f>
        <v>0</v>
      </c>
      <c r="AO1000" s="133">
        <f>'Optional Adjustment 23'!G1000*$AO$1</f>
        <v>0</v>
      </c>
      <c r="AP1000" s="133">
        <f>'Optional Adjustment 24'!G1000*$AP$1</f>
        <v>0</v>
      </c>
      <c r="AQ1000" s="133">
        <f>'Optional Adjustment 25'!G1000*$AQ$1</f>
        <v>0</v>
      </c>
      <c r="AR1000" s="133">
        <f>'Optional Adjustment 26'!G1000*$AR$1</f>
        <v>0</v>
      </c>
      <c r="AS1000" s="133">
        <f>'Optional Adjustment 27'!G1000*$AS$1</f>
        <v>0</v>
      </c>
      <c r="AT1000" s="133"/>
      <c r="AU1000" s="133">
        <f ca="1">SUM(F1000:AT1000)</f>
        <v>15641986.081559539</v>
      </c>
      <c r="AV1000" s="116"/>
      <c r="AW1000" s="133">
        <f ca="1">SUM(AU1000:AU1000)</f>
        <v>15641986.081559539</v>
      </c>
      <c r="AX1000" s="133">
        <f ca="1">+AW1000-'ROR-Model'!G1016</f>
        <v>0</v>
      </c>
    </row>
    <row r="1001" spans="1:50">
      <c r="A1001" s="102"/>
      <c r="B1001" s="102"/>
      <c r="C1001" s="102" t="s">
        <v>170</v>
      </c>
      <c r="D1001" s="102"/>
      <c r="E1001" s="331"/>
      <c r="F1001" s="116">
        <f ca="1">SUM(F999:F1000)</f>
        <v>16442058.291823175</v>
      </c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33"/>
      <c r="R1001" s="133"/>
      <c r="S1001" s="133"/>
      <c r="T1001" s="133">
        <f t="shared" ref="T1001:AG1001" si="1212">SUM(T999:T1000)</f>
        <v>0</v>
      </c>
      <c r="U1001" s="133">
        <f t="shared" si="1212"/>
        <v>0</v>
      </c>
      <c r="V1001" s="133">
        <f t="shared" si="1212"/>
        <v>0</v>
      </c>
      <c r="W1001" s="133">
        <f t="shared" si="1212"/>
        <v>0</v>
      </c>
      <c r="X1001" s="133">
        <f t="shared" si="1212"/>
        <v>0</v>
      </c>
      <c r="Y1001" s="133">
        <f t="shared" si="1212"/>
        <v>0</v>
      </c>
      <c r="Z1001" s="133">
        <f t="shared" si="1212"/>
        <v>0</v>
      </c>
      <c r="AA1001" s="133">
        <f t="shared" si="1212"/>
        <v>0</v>
      </c>
      <c r="AB1001" s="133">
        <f t="shared" si="1212"/>
        <v>0</v>
      </c>
      <c r="AC1001" s="133">
        <f t="shared" si="1212"/>
        <v>0</v>
      </c>
      <c r="AD1001" s="133">
        <f t="shared" si="1212"/>
        <v>0</v>
      </c>
      <c r="AE1001" s="133">
        <f t="shared" si="1212"/>
        <v>0</v>
      </c>
      <c r="AF1001" s="133">
        <f t="shared" si="1212"/>
        <v>0</v>
      </c>
      <c r="AG1001" s="133">
        <f t="shared" si="1212"/>
        <v>0</v>
      </c>
      <c r="AH1001" s="133">
        <f t="shared" ref="AH1001:AK1001" si="1213">SUM(AH999:AH1000)</f>
        <v>0</v>
      </c>
      <c r="AI1001" s="133">
        <f t="shared" si="1213"/>
        <v>0</v>
      </c>
      <c r="AJ1001" s="133">
        <f t="shared" si="1213"/>
        <v>0</v>
      </c>
      <c r="AK1001" s="133">
        <f t="shared" si="1213"/>
        <v>0</v>
      </c>
      <c r="AL1001" s="133">
        <f t="shared" ref="AL1001:AP1001" si="1214">SUM(AL999:AL1000)</f>
        <v>0</v>
      </c>
      <c r="AM1001" s="133">
        <f t="shared" si="1214"/>
        <v>0</v>
      </c>
      <c r="AN1001" s="133">
        <f t="shared" si="1214"/>
        <v>0</v>
      </c>
      <c r="AO1001" s="133">
        <f t="shared" si="1214"/>
        <v>0</v>
      </c>
      <c r="AP1001" s="133">
        <f t="shared" si="1214"/>
        <v>0</v>
      </c>
      <c r="AQ1001" s="133">
        <f t="shared" ref="AQ1001:AS1001" si="1215">SUM(AQ999:AQ1000)</f>
        <v>0</v>
      </c>
      <c r="AR1001" s="133">
        <f t="shared" si="1215"/>
        <v>0</v>
      </c>
      <c r="AS1001" s="133">
        <f t="shared" si="1215"/>
        <v>0</v>
      </c>
      <c r="AT1001" s="133"/>
      <c r="AU1001" s="133">
        <f ca="1">SUM(F1001:AT1001)</f>
        <v>16442058.291823175</v>
      </c>
      <c r="AV1001" s="116"/>
      <c r="AW1001" s="133">
        <f ca="1">SUM(AU1001:AU1001)</f>
        <v>16442058.291823175</v>
      </c>
      <c r="AX1001" s="133">
        <f ca="1">+AW1001-'ROR-Model'!G1017</f>
        <v>0</v>
      </c>
    </row>
    <row r="1002" spans="1:50">
      <c r="A1002" s="102"/>
      <c r="B1002" s="102"/>
      <c r="C1002" s="102"/>
      <c r="D1002" s="102"/>
      <c r="E1002" s="331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16"/>
      <c r="AW1002" s="133"/>
      <c r="AX1002" s="133">
        <f>+AW1002-'ROR-Model'!G1018</f>
        <v>0</v>
      </c>
    </row>
    <row r="1003" spans="1:50">
      <c r="A1003" s="102" t="s">
        <v>252</v>
      </c>
      <c r="B1003" s="102" t="s">
        <v>253</v>
      </c>
      <c r="C1003" s="102"/>
      <c r="D1003" s="102"/>
      <c r="E1003" s="331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16"/>
      <c r="AW1003" s="133"/>
      <c r="AX1003" s="133">
        <f>+AW1003-'ROR-Model'!G1019</f>
        <v>0</v>
      </c>
    </row>
    <row r="1004" spans="1:50">
      <c r="A1004" s="102"/>
      <c r="B1004" s="102"/>
      <c r="C1004" s="102" t="s">
        <v>24</v>
      </c>
      <c r="D1004" s="102"/>
      <c r="E1004" s="331"/>
      <c r="F1004" s="116">
        <f ca="1">'Rate Base'!$AQ$69*$F$1</f>
        <v>1439018.8456374537</v>
      </c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33"/>
      <c r="R1004" s="133"/>
      <c r="S1004" s="133"/>
      <c r="T1004" s="133">
        <f>'Optional Adjustment 2'!G1004*$T$1</f>
        <v>0</v>
      </c>
      <c r="U1004" s="133">
        <f>'Optional Adjustment 3'!G1004*$U$1</f>
        <v>0</v>
      </c>
      <c r="V1004" s="133">
        <f>'Optional Adjustment 4'!G1004*$V$1</f>
        <v>0</v>
      </c>
      <c r="W1004" s="133">
        <f>'Optional Adjustment 5'!G1004*$W$1</f>
        <v>0</v>
      </c>
      <c r="X1004" s="133">
        <f>'Optional Adjustment 6'!G1004*$X$1</f>
        <v>0</v>
      </c>
      <c r="Y1004" s="133">
        <f>'Optional Adjustment 7'!G1004*$Y$1</f>
        <v>0</v>
      </c>
      <c r="Z1004" s="133">
        <f>'Optional Adjustment 8'!G1004*$Z$1</f>
        <v>0</v>
      </c>
      <c r="AA1004" s="133">
        <f>'Optional Adjustment 9'!G1004*$AA$1</f>
        <v>0</v>
      </c>
      <c r="AB1004" s="133">
        <f>'Optional Adjustment 10'!G1004*$AB$1</f>
        <v>0</v>
      </c>
      <c r="AC1004" s="133">
        <f>'Optional Adjustment 11'!G1004*$AC$1</f>
        <v>0</v>
      </c>
      <c r="AD1004" s="133">
        <f>'Optional Adjustment 12'!G1004*$AD$1</f>
        <v>0</v>
      </c>
      <c r="AE1004" s="133">
        <f>'Optional Adjustment 13'!G1004*$AE$1</f>
        <v>0</v>
      </c>
      <c r="AF1004" s="133">
        <f>'Optional Adjustment 14'!G1004*$AF$1</f>
        <v>0</v>
      </c>
      <c r="AG1004" s="133">
        <f>'Optional Adjustment 15'!G1004*$AG$1</f>
        <v>0</v>
      </c>
      <c r="AH1004" s="133">
        <f>'Optional Adjustment 16'!G1004*$AH$1</f>
        <v>0</v>
      </c>
      <c r="AI1004" s="133">
        <f>'Optional Adjustment 17'!G1004*$AI$1</f>
        <v>0</v>
      </c>
      <c r="AJ1004" s="133">
        <f>'Optional Adjustment 18'!G1004*$AJ$1</f>
        <v>0</v>
      </c>
      <c r="AK1004" s="133">
        <f>'Optional Adjustment 19'!G1004*$AK$1</f>
        <v>0</v>
      </c>
      <c r="AL1004" s="133">
        <f>'Optional Adjustment 20'!G1004*$AL$1</f>
        <v>0</v>
      </c>
      <c r="AM1004" s="133">
        <f>'Optional Adjustment 21'!G1004*$AM$1</f>
        <v>0</v>
      </c>
      <c r="AN1004" s="133">
        <f>'Optional Adjustment 22'!G1004*$AN$1</f>
        <v>0</v>
      </c>
      <c r="AO1004" s="133">
        <f>'Optional Adjustment 23'!G1004*$AO$1</f>
        <v>0</v>
      </c>
      <c r="AP1004" s="133">
        <f>'Optional Adjustment 24'!G1004*$AP$1</f>
        <v>0</v>
      </c>
      <c r="AQ1004" s="133">
        <f>'Optional Adjustment 25'!G1004*$AQ$1</f>
        <v>0</v>
      </c>
      <c r="AR1004" s="133">
        <f>'Optional Adjustment 26'!G1004*$AR$1</f>
        <v>0</v>
      </c>
      <c r="AS1004" s="133">
        <f>'Optional Adjustment 27'!G1004*$AS$1</f>
        <v>0</v>
      </c>
      <c r="AT1004" s="133"/>
      <c r="AU1004" s="133">
        <f ca="1">SUM(F1004:AT1004)</f>
        <v>1439018.8456374537</v>
      </c>
      <c r="AV1004" s="116"/>
      <c r="AW1004" s="133">
        <f ca="1">SUM(AU1004:AU1004)</f>
        <v>1439018.8456374537</v>
      </c>
      <c r="AX1004" s="133">
        <f ca="1">+AW1004-'ROR-Model'!G1020</f>
        <v>0</v>
      </c>
    </row>
    <row r="1005" spans="1:50">
      <c r="A1005" s="102"/>
      <c r="B1005" s="102"/>
      <c r="C1005" s="102" t="s">
        <v>14</v>
      </c>
      <c r="D1005" s="102"/>
      <c r="E1005" s="331"/>
      <c r="F1005" s="116">
        <f ca="1">'Rate Base'!$AQ$70*$F$1</f>
        <v>45580940.279544353</v>
      </c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33"/>
      <c r="R1005" s="133"/>
      <c r="S1005" s="133"/>
      <c r="T1005" s="133">
        <f>'Optional Adjustment 2'!G1005*$T$1</f>
        <v>0</v>
      </c>
      <c r="U1005" s="133">
        <f>'Optional Adjustment 3'!G1005*$U$1</f>
        <v>0</v>
      </c>
      <c r="V1005" s="133">
        <f>'Optional Adjustment 4'!G1005*$V$1</f>
        <v>0</v>
      </c>
      <c r="W1005" s="133">
        <f>'Optional Adjustment 5'!G1005*$W$1</f>
        <v>0</v>
      </c>
      <c r="X1005" s="133">
        <f>'Optional Adjustment 6'!G1005*$X$1</f>
        <v>0</v>
      </c>
      <c r="Y1005" s="133">
        <f>'Optional Adjustment 7'!G1005*$Y$1</f>
        <v>0</v>
      </c>
      <c r="Z1005" s="133">
        <f>'Optional Adjustment 8'!G1005*$Z$1</f>
        <v>0</v>
      </c>
      <c r="AA1005" s="133">
        <f>'Optional Adjustment 9'!G1005*$AA$1</f>
        <v>0</v>
      </c>
      <c r="AB1005" s="133">
        <f>'Optional Adjustment 10'!G1005*$AB$1</f>
        <v>0</v>
      </c>
      <c r="AC1005" s="133">
        <f>'Optional Adjustment 11'!G1005*$AC$1</f>
        <v>0</v>
      </c>
      <c r="AD1005" s="133">
        <f>'Optional Adjustment 12'!G1005*$AD$1</f>
        <v>0</v>
      </c>
      <c r="AE1005" s="133">
        <f>'Optional Adjustment 13'!G1005*$AE$1</f>
        <v>0</v>
      </c>
      <c r="AF1005" s="133">
        <f>'Optional Adjustment 14'!G1005*$AF$1</f>
        <v>0</v>
      </c>
      <c r="AG1005" s="133">
        <f>'Optional Adjustment 15'!G1005*$AG$1</f>
        <v>0</v>
      </c>
      <c r="AH1005" s="133">
        <f>'Optional Adjustment 16'!G1005*$AH$1</f>
        <v>0</v>
      </c>
      <c r="AI1005" s="133">
        <f>'Optional Adjustment 17'!G1005*$AI$1</f>
        <v>0</v>
      </c>
      <c r="AJ1005" s="133">
        <f>'Optional Adjustment 18'!G1005*$AJ$1</f>
        <v>0</v>
      </c>
      <c r="AK1005" s="133">
        <f>'Optional Adjustment 19'!G1005*$AK$1</f>
        <v>0</v>
      </c>
      <c r="AL1005" s="133">
        <f>'Optional Adjustment 20'!G1005*$AL$1</f>
        <v>0</v>
      </c>
      <c r="AM1005" s="133">
        <f>'Optional Adjustment 21'!G1005*$AM$1</f>
        <v>0</v>
      </c>
      <c r="AN1005" s="133">
        <f>'Optional Adjustment 22'!G1005*$AN$1</f>
        <v>0</v>
      </c>
      <c r="AO1005" s="133">
        <f>'Optional Adjustment 23'!G1005*$AO$1</f>
        <v>0</v>
      </c>
      <c r="AP1005" s="133">
        <f>'Optional Adjustment 24'!G1005*$AP$1</f>
        <v>0</v>
      </c>
      <c r="AQ1005" s="133">
        <f>'Optional Adjustment 25'!G1005*$AQ$1</f>
        <v>0</v>
      </c>
      <c r="AR1005" s="133">
        <f>'Optional Adjustment 26'!G1005*$AR$1</f>
        <v>0</v>
      </c>
      <c r="AS1005" s="133">
        <f>'Optional Adjustment 27'!G1005*$AS$1</f>
        <v>0</v>
      </c>
      <c r="AT1005" s="133"/>
      <c r="AU1005" s="133">
        <f ca="1">SUM(F1005:AT1005)</f>
        <v>45580940.279544353</v>
      </c>
      <c r="AV1005" s="116"/>
      <c r="AW1005" s="133">
        <f ca="1">SUM(AU1005:AU1005)</f>
        <v>45580940.279544353</v>
      </c>
      <c r="AX1005" s="133">
        <f ca="1">+AW1005-'ROR-Model'!G1021</f>
        <v>0</v>
      </c>
    </row>
    <row r="1006" spans="1:50">
      <c r="A1006" s="102"/>
      <c r="B1006" s="102"/>
      <c r="C1006" s="102" t="s">
        <v>170</v>
      </c>
      <c r="D1006" s="102"/>
      <c r="E1006" s="331"/>
      <c r="F1006" s="116">
        <f ca="1">SUM(F1004:F1005)</f>
        <v>47019959.125181809</v>
      </c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33"/>
      <c r="R1006" s="133"/>
      <c r="S1006" s="133"/>
      <c r="T1006" s="133">
        <f t="shared" ref="T1006:AG1006" si="1216">SUM(T1004:T1005)</f>
        <v>0</v>
      </c>
      <c r="U1006" s="133">
        <f t="shared" si="1216"/>
        <v>0</v>
      </c>
      <c r="V1006" s="133">
        <f t="shared" si="1216"/>
        <v>0</v>
      </c>
      <c r="W1006" s="133">
        <f t="shared" si="1216"/>
        <v>0</v>
      </c>
      <c r="X1006" s="133">
        <f t="shared" si="1216"/>
        <v>0</v>
      </c>
      <c r="Y1006" s="133">
        <f t="shared" si="1216"/>
        <v>0</v>
      </c>
      <c r="Z1006" s="133">
        <f t="shared" si="1216"/>
        <v>0</v>
      </c>
      <c r="AA1006" s="133">
        <f t="shared" si="1216"/>
        <v>0</v>
      </c>
      <c r="AB1006" s="133">
        <f t="shared" si="1216"/>
        <v>0</v>
      </c>
      <c r="AC1006" s="133">
        <f t="shared" si="1216"/>
        <v>0</v>
      </c>
      <c r="AD1006" s="133">
        <f t="shared" si="1216"/>
        <v>0</v>
      </c>
      <c r="AE1006" s="133">
        <f t="shared" si="1216"/>
        <v>0</v>
      </c>
      <c r="AF1006" s="133">
        <f t="shared" si="1216"/>
        <v>0</v>
      </c>
      <c r="AG1006" s="133">
        <f t="shared" si="1216"/>
        <v>0</v>
      </c>
      <c r="AH1006" s="133">
        <f t="shared" ref="AH1006:AK1006" si="1217">SUM(AH1004:AH1005)</f>
        <v>0</v>
      </c>
      <c r="AI1006" s="133">
        <f t="shared" si="1217"/>
        <v>0</v>
      </c>
      <c r="AJ1006" s="133">
        <f t="shared" si="1217"/>
        <v>0</v>
      </c>
      <c r="AK1006" s="133">
        <f t="shared" si="1217"/>
        <v>0</v>
      </c>
      <c r="AL1006" s="133">
        <f t="shared" ref="AL1006:AP1006" si="1218">SUM(AL1004:AL1005)</f>
        <v>0</v>
      </c>
      <c r="AM1006" s="133">
        <f t="shared" si="1218"/>
        <v>0</v>
      </c>
      <c r="AN1006" s="133">
        <f t="shared" si="1218"/>
        <v>0</v>
      </c>
      <c r="AO1006" s="133">
        <f t="shared" si="1218"/>
        <v>0</v>
      </c>
      <c r="AP1006" s="133">
        <f t="shared" si="1218"/>
        <v>0</v>
      </c>
      <c r="AQ1006" s="133">
        <f t="shared" ref="AQ1006:AS1006" si="1219">SUM(AQ1004:AQ1005)</f>
        <v>0</v>
      </c>
      <c r="AR1006" s="133">
        <f t="shared" si="1219"/>
        <v>0</v>
      </c>
      <c r="AS1006" s="133">
        <f t="shared" si="1219"/>
        <v>0</v>
      </c>
      <c r="AT1006" s="133"/>
      <c r="AU1006" s="133">
        <f ca="1">SUM(F1006:AT1006)</f>
        <v>47019959.125181809</v>
      </c>
      <c r="AV1006" s="116"/>
      <c r="AW1006" s="133">
        <f ca="1">SUM(AU1006:AU1006)</f>
        <v>47019959.125181809</v>
      </c>
      <c r="AX1006" s="133">
        <f ca="1">+AW1006-'ROR-Model'!G1022</f>
        <v>0</v>
      </c>
    </row>
    <row r="1007" spans="1:50">
      <c r="A1007" s="102"/>
      <c r="B1007" s="102"/>
      <c r="C1007" s="102"/>
      <c r="D1007" s="102"/>
      <c r="E1007" s="331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16"/>
      <c r="AW1007" s="133"/>
      <c r="AX1007" s="133">
        <f>+AW1007-'ROR-Model'!G1023</f>
        <v>0</v>
      </c>
    </row>
    <row r="1008" spans="1:50">
      <c r="A1008" s="102" t="s">
        <v>254</v>
      </c>
      <c r="B1008" s="102" t="s">
        <v>255</v>
      </c>
      <c r="C1008" s="102"/>
      <c r="D1008" s="102"/>
      <c r="E1008" s="331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16"/>
      <c r="AW1008" s="133"/>
      <c r="AX1008" s="133">
        <f>+AW1008-'ROR-Model'!G1024</f>
        <v>0</v>
      </c>
    </row>
    <row r="1009" spans="1:50">
      <c r="A1009" s="102"/>
      <c r="B1009" s="102"/>
      <c r="C1009" s="102" t="s">
        <v>24</v>
      </c>
      <c r="D1009" s="102"/>
      <c r="E1009" s="331"/>
      <c r="F1009" s="116">
        <f>'Rate Base'!$AQ$74*$F$1</f>
        <v>-6765.4482635651948</v>
      </c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33"/>
      <c r="R1009" s="133"/>
      <c r="S1009" s="133"/>
      <c r="T1009" s="133">
        <f>'Optional Adjustment 2'!G1009*$T$1</f>
        <v>0</v>
      </c>
      <c r="U1009" s="133">
        <f>'Optional Adjustment 3'!G1009*$U$1</f>
        <v>0</v>
      </c>
      <c r="V1009" s="133">
        <f>'Optional Adjustment 4'!G1009*$V$1</f>
        <v>0</v>
      </c>
      <c r="W1009" s="133">
        <f>'Optional Adjustment 5'!G1009*$W$1</f>
        <v>0</v>
      </c>
      <c r="X1009" s="133">
        <f>'Optional Adjustment 6'!G1009*$X$1</f>
        <v>0</v>
      </c>
      <c r="Y1009" s="133">
        <f>'Optional Adjustment 7'!G1009*$Y$1</f>
        <v>0</v>
      </c>
      <c r="Z1009" s="133">
        <f>'Optional Adjustment 8'!G1009*$Z$1</f>
        <v>0</v>
      </c>
      <c r="AA1009" s="133">
        <f>'Optional Adjustment 9'!G1009*$AA$1</f>
        <v>0</v>
      </c>
      <c r="AB1009" s="133">
        <f>'Optional Adjustment 10'!G1009*$AB$1</f>
        <v>0</v>
      </c>
      <c r="AC1009" s="133">
        <f>'Optional Adjustment 11'!G1009*$AC$1</f>
        <v>0</v>
      </c>
      <c r="AD1009" s="133">
        <f>'Optional Adjustment 12'!G1009*$AD$1</f>
        <v>0</v>
      </c>
      <c r="AE1009" s="133">
        <f>'Optional Adjustment 13'!G1009*$AE$1</f>
        <v>0</v>
      </c>
      <c r="AF1009" s="133">
        <f>'Optional Adjustment 14'!G1009*$AF$1</f>
        <v>0</v>
      </c>
      <c r="AG1009" s="133">
        <f>'Optional Adjustment 15'!G1009*$AG$1</f>
        <v>0</v>
      </c>
      <c r="AH1009" s="133">
        <f>'Optional Adjustment 16'!G1009*$AH$1</f>
        <v>0</v>
      </c>
      <c r="AI1009" s="133">
        <f>'Optional Adjustment 17'!G1009*$AI$1</f>
        <v>0</v>
      </c>
      <c r="AJ1009" s="133">
        <f>'Optional Adjustment 18'!G1009*$AJ$1</f>
        <v>0</v>
      </c>
      <c r="AK1009" s="133">
        <f>'Optional Adjustment 19'!G1009*$AK$1</f>
        <v>0</v>
      </c>
      <c r="AL1009" s="133">
        <f>'Optional Adjustment 20'!G1009*$AL$1</f>
        <v>0</v>
      </c>
      <c r="AM1009" s="133">
        <f>'Optional Adjustment 21'!G1009*$AM$1</f>
        <v>0</v>
      </c>
      <c r="AN1009" s="133">
        <f>'Optional Adjustment 22'!G1009*$AN$1</f>
        <v>0</v>
      </c>
      <c r="AO1009" s="133">
        <f>'Optional Adjustment 23'!G1009*$AO$1</f>
        <v>0</v>
      </c>
      <c r="AP1009" s="133">
        <f>'Optional Adjustment 24'!G1009*$AP$1</f>
        <v>0</v>
      </c>
      <c r="AQ1009" s="133">
        <f>'Optional Adjustment 25'!G1009*$AQ$1</f>
        <v>0</v>
      </c>
      <c r="AR1009" s="133">
        <f>'Optional Adjustment 26'!G1009*$AR$1</f>
        <v>0</v>
      </c>
      <c r="AS1009" s="133">
        <f>'Optional Adjustment 27'!G1009*$AS$1</f>
        <v>0</v>
      </c>
      <c r="AT1009" s="133"/>
      <c r="AU1009" s="133">
        <f>SUM(F1009:AT1009)</f>
        <v>-6765.4482635651948</v>
      </c>
      <c r="AV1009" s="116"/>
      <c r="AW1009" s="133">
        <f>SUM(AU1009:AU1009)</f>
        <v>-6765.4482635651948</v>
      </c>
      <c r="AX1009" s="133">
        <f>+AW1009-'ROR-Model'!G1025</f>
        <v>0</v>
      </c>
    </row>
    <row r="1010" spans="1:50">
      <c r="A1010" s="102"/>
      <c r="B1010" s="102"/>
      <c r="C1010" s="102" t="s">
        <v>14</v>
      </c>
      <c r="D1010" s="102"/>
      <c r="E1010" s="331"/>
      <c r="F1010" s="116">
        <f>'Rate Base'!$AQ$75*$F$1</f>
        <v>-123801.54231878929</v>
      </c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33"/>
      <c r="R1010" s="133"/>
      <c r="S1010" s="133"/>
      <c r="T1010" s="133">
        <f>'Optional Adjustment 2'!G1010*$T$1</f>
        <v>0</v>
      </c>
      <c r="U1010" s="133">
        <f>'Optional Adjustment 3'!G1010*$U$1</f>
        <v>0</v>
      </c>
      <c r="V1010" s="133">
        <f>'Optional Adjustment 4'!G1010*$V$1</f>
        <v>0</v>
      </c>
      <c r="W1010" s="133">
        <f>'Optional Adjustment 5'!G1010*$W$1</f>
        <v>0</v>
      </c>
      <c r="X1010" s="133">
        <f>'Optional Adjustment 6'!G1010*$X$1</f>
        <v>0</v>
      </c>
      <c r="Y1010" s="133">
        <f>'Optional Adjustment 7'!G1010*$Y$1</f>
        <v>0</v>
      </c>
      <c r="Z1010" s="133">
        <f>'Optional Adjustment 8'!G1010*$Z$1</f>
        <v>0</v>
      </c>
      <c r="AA1010" s="133">
        <f>'Optional Adjustment 9'!G1010*$AA$1</f>
        <v>0</v>
      </c>
      <c r="AB1010" s="133">
        <f>'Optional Adjustment 10'!G1010*$AB$1</f>
        <v>0</v>
      </c>
      <c r="AC1010" s="133">
        <f>'Optional Adjustment 11'!G1010*$AC$1</f>
        <v>0</v>
      </c>
      <c r="AD1010" s="133">
        <f>'Optional Adjustment 12'!G1010*$AD$1</f>
        <v>0</v>
      </c>
      <c r="AE1010" s="133">
        <f>'Optional Adjustment 13'!G1010*$AE$1</f>
        <v>0</v>
      </c>
      <c r="AF1010" s="133">
        <f>'Optional Adjustment 14'!G1010*$AF$1</f>
        <v>0</v>
      </c>
      <c r="AG1010" s="133">
        <f>'Optional Adjustment 15'!G1010*$AG$1</f>
        <v>0</v>
      </c>
      <c r="AH1010" s="133">
        <f>'Optional Adjustment 16'!G1010*$AH$1</f>
        <v>0</v>
      </c>
      <c r="AI1010" s="133">
        <f>'Optional Adjustment 17'!G1010*$AI$1</f>
        <v>0</v>
      </c>
      <c r="AJ1010" s="133">
        <f>'Optional Adjustment 18'!G1010*$AJ$1</f>
        <v>0</v>
      </c>
      <c r="AK1010" s="133">
        <f>'Optional Adjustment 19'!G1010*$AK$1</f>
        <v>0</v>
      </c>
      <c r="AL1010" s="133">
        <f>'Optional Adjustment 20'!G1010*$AL$1</f>
        <v>0</v>
      </c>
      <c r="AM1010" s="133">
        <f>'Optional Adjustment 21'!G1010*$AM$1</f>
        <v>0</v>
      </c>
      <c r="AN1010" s="133">
        <f>'Optional Adjustment 22'!G1010*$AN$1</f>
        <v>0</v>
      </c>
      <c r="AO1010" s="133">
        <f>'Optional Adjustment 23'!G1010*$AO$1</f>
        <v>0</v>
      </c>
      <c r="AP1010" s="133">
        <f>'Optional Adjustment 24'!G1010*$AP$1</f>
        <v>0</v>
      </c>
      <c r="AQ1010" s="133">
        <f>'Optional Adjustment 25'!G1010*$AQ$1</f>
        <v>0</v>
      </c>
      <c r="AR1010" s="133">
        <f>'Optional Adjustment 26'!G1010*$AR$1</f>
        <v>0</v>
      </c>
      <c r="AS1010" s="133">
        <f>'Optional Adjustment 27'!G1010*$AS$1</f>
        <v>0</v>
      </c>
      <c r="AT1010" s="133"/>
      <c r="AU1010" s="133">
        <f>SUM(F1010:AT1010)</f>
        <v>-123801.54231878929</v>
      </c>
      <c r="AV1010" s="116"/>
      <c r="AW1010" s="133">
        <f>SUM(AU1010:AU1010)</f>
        <v>-123801.54231878929</v>
      </c>
      <c r="AX1010" s="133">
        <f>+AW1010-'ROR-Model'!G1026</f>
        <v>0</v>
      </c>
    </row>
    <row r="1011" spans="1:50">
      <c r="A1011" s="102"/>
      <c r="B1011" s="102"/>
      <c r="C1011" s="102" t="s">
        <v>170</v>
      </c>
      <c r="D1011" s="102"/>
      <c r="E1011" s="331"/>
      <c r="F1011" s="116">
        <f>SUM(F1009:F1010)</f>
        <v>-130566.99058235448</v>
      </c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33"/>
      <c r="R1011" s="133"/>
      <c r="S1011" s="133"/>
      <c r="T1011" s="133">
        <f t="shared" ref="T1011:AG1011" si="1220">SUM(T1009:T1010)</f>
        <v>0</v>
      </c>
      <c r="U1011" s="133">
        <f t="shared" si="1220"/>
        <v>0</v>
      </c>
      <c r="V1011" s="133">
        <f t="shared" si="1220"/>
        <v>0</v>
      </c>
      <c r="W1011" s="133">
        <f t="shared" si="1220"/>
        <v>0</v>
      </c>
      <c r="X1011" s="133">
        <f t="shared" si="1220"/>
        <v>0</v>
      </c>
      <c r="Y1011" s="133">
        <f t="shared" si="1220"/>
        <v>0</v>
      </c>
      <c r="Z1011" s="133">
        <f t="shared" si="1220"/>
        <v>0</v>
      </c>
      <c r="AA1011" s="133">
        <f t="shared" si="1220"/>
        <v>0</v>
      </c>
      <c r="AB1011" s="133">
        <f t="shared" si="1220"/>
        <v>0</v>
      </c>
      <c r="AC1011" s="133">
        <f t="shared" si="1220"/>
        <v>0</v>
      </c>
      <c r="AD1011" s="133">
        <f t="shared" si="1220"/>
        <v>0</v>
      </c>
      <c r="AE1011" s="133">
        <f t="shared" si="1220"/>
        <v>0</v>
      </c>
      <c r="AF1011" s="133">
        <f t="shared" si="1220"/>
        <v>0</v>
      </c>
      <c r="AG1011" s="133">
        <f t="shared" si="1220"/>
        <v>0</v>
      </c>
      <c r="AH1011" s="133">
        <f t="shared" ref="AH1011:AK1011" si="1221">SUM(AH1009:AH1010)</f>
        <v>0</v>
      </c>
      <c r="AI1011" s="133">
        <f t="shared" si="1221"/>
        <v>0</v>
      </c>
      <c r="AJ1011" s="133">
        <f t="shared" si="1221"/>
        <v>0</v>
      </c>
      <c r="AK1011" s="133">
        <f t="shared" si="1221"/>
        <v>0</v>
      </c>
      <c r="AL1011" s="133">
        <f t="shared" ref="AL1011:AP1011" si="1222">SUM(AL1009:AL1010)</f>
        <v>0</v>
      </c>
      <c r="AM1011" s="133">
        <f t="shared" si="1222"/>
        <v>0</v>
      </c>
      <c r="AN1011" s="133">
        <f t="shared" si="1222"/>
        <v>0</v>
      </c>
      <c r="AO1011" s="133">
        <f t="shared" si="1222"/>
        <v>0</v>
      </c>
      <c r="AP1011" s="133">
        <f t="shared" si="1222"/>
        <v>0</v>
      </c>
      <c r="AQ1011" s="133">
        <f t="shared" ref="AQ1011:AS1011" si="1223">SUM(AQ1009:AQ1010)</f>
        <v>0</v>
      </c>
      <c r="AR1011" s="133">
        <f t="shared" si="1223"/>
        <v>0</v>
      </c>
      <c r="AS1011" s="133">
        <f t="shared" si="1223"/>
        <v>0</v>
      </c>
      <c r="AT1011" s="133"/>
      <c r="AU1011" s="133">
        <f>SUM(F1011:AT1011)</f>
        <v>-130566.99058235448</v>
      </c>
      <c r="AV1011" s="116"/>
      <c r="AW1011" s="133">
        <f>SUM(AU1011:AU1011)</f>
        <v>-130566.99058235448</v>
      </c>
      <c r="AX1011" s="133">
        <f>+AW1011-'ROR-Model'!G1027</f>
        <v>0</v>
      </c>
    </row>
    <row r="1012" spans="1:50">
      <c r="A1012" s="102"/>
      <c r="B1012" s="102"/>
      <c r="C1012" s="102"/>
      <c r="D1012" s="102"/>
      <c r="E1012" s="331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33"/>
      <c r="R1012" s="133"/>
      <c r="S1012" s="133"/>
      <c r="T1012" s="133"/>
      <c r="U1012" s="133"/>
      <c r="V1012" s="133"/>
      <c r="W1012" s="133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/>
      <c r="AH1012" s="133"/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16"/>
      <c r="AW1012" s="133"/>
      <c r="AX1012" s="133">
        <f>+AW1012-'ROR-Model'!G1028</f>
        <v>0</v>
      </c>
    </row>
    <row r="1013" spans="1:50">
      <c r="A1013" s="102" t="s">
        <v>256</v>
      </c>
      <c r="B1013" s="102" t="s">
        <v>235</v>
      </c>
      <c r="C1013" s="102"/>
      <c r="D1013" s="102"/>
      <c r="E1013" s="331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33"/>
      <c r="R1013" s="133"/>
      <c r="S1013" s="133"/>
      <c r="T1013" s="133"/>
      <c r="U1013" s="133"/>
      <c r="V1013" s="133"/>
      <c r="W1013" s="133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/>
      <c r="AH1013" s="133"/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16"/>
      <c r="AW1013" s="133"/>
      <c r="AX1013" s="133">
        <f>+AW1013-'ROR-Model'!G1029</f>
        <v>0</v>
      </c>
    </row>
    <row r="1014" spans="1:50">
      <c r="A1014" s="102"/>
      <c r="B1014" s="102"/>
      <c r="C1014" s="102" t="s">
        <v>24</v>
      </c>
      <c r="D1014" s="102"/>
      <c r="E1014" s="331"/>
      <c r="F1014" s="116">
        <f>'Rate Base'!$AQ$79*$F$1</f>
        <v>0</v>
      </c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33"/>
      <c r="R1014" s="133"/>
      <c r="S1014" s="133"/>
      <c r="T1014" s="133">
        <f>'Optional Adjustment 2'!G1014*$T$1</f>
        <v>0</v>
      </c>
      <c r="U1014" s="133">
        <f>'Optional Adjustment 3'!G1014*$U$1</f>
        <v>0</v>
      </c>
      <c r="V1014" s="133">
        <f>'Optional Adjustment 4'!G1014*$V$1</f>
        <v>0</v>
      </c>
      <c r="W1014" s="133">
        <f>'Optional Adjustment 5'!G1014*$W$1</f>
        <v>0</v>
      </c>
      <c r="X1014" s="133">
        <f>'Optional Adjustment 6'!G1014*$X$1</f>
        <v>0</v>
      </c>
      <c r="Y1014" s="133">
        <f>'Optional Adjustment 7'!G1014*$Y$1</f>
        <v>0</v>
      </c>
      <c r="Z1014" s="133">
        <f>'Optional Adjustment 8'!G1014*$Z$1</f>
        <v>0</v>
      </c>
      <c r="AA1014" s="133">
        <f>'Optional Adjustment 9'!G1014*$AA$1</f>
        <v>0</v>
      </c>
      <c r="AB1014" s="133">
        <f>'Optional Adjustment 10'!G1014*$AB$1</f>
        <v>0</v>
      </c>
      <c r="AC1014" s="133">
        <f>'Optional Adjustment 11'!G1014*$AC$1</f>
        <v>0</v>
      </c>
      <c r="AD1014" s="133">
        <f>'Optional Adjustment 12'!G1014*$AD$1</f>
        <v>0</v>
      </c>
      <c r="AE1014" s="133">
        <f>'Optional Adjustment 13'!G1014*$AE$1</f>
        <v>0</v>
      </c>
      <c r="AF1014" s="133">
        <f>'Optional Adjustment 14'!G1014*$AF$1</f>
        <v>0</v>
      </c>
      <c r="AG1014" s="133">
        <f>'Optional Adjustment 15'!G1014*$AG$1</f>
        <v>0</v>
      </c>
      <c r="AH1014" s="133">
        <f>'Optional Adjustment 16'!G1014*$AH$1</f>
        <v>0</v>
      </c>
      <c r="AI1014" s="133">
        <f>'Optional Adjustment 17'!G1014*$AI$1</f>
        <v>0</v>
      </c>
      <c r="AJ1014" s="133">
        <f>'Optional Adjustment 18'!G1014*$AJ$1</f>
        <v>0</v>
      </c>
      <c r="AK1014" s="133">
        <f>'Optional Adjustment 19'!G1014*$AK$1</f>
        <v>0</v>
      </c>
      <c r="AL1014" s="133">
        <f>'Optional Adjustment 20'!G1014*$AL$1</f>
        <v>0</v>
      </c>
      <c r="AM1014" s="133">
        <f>'Optional Adjustment 21'!G1014*$AM$1</f>
        <v>0</v>
      </c>
      <c r="AN1014" s="133">
        <f>'Optional Adjustment 22'!G1014*$AN$1</f>
        <v>0</v>
      </c>
      <c r="AO1014" s="133">
        <f>'Optional Adjustment 23'!G1014*$AO$1</f>
        <v>0</v>
      </c>
      <c r="AP1014" s="133">
        <f>'Optional Adjustment 24'!G1014*$AP$1</f>
        <v>0</v>
      </c>
      <c r="AQ1014" s="133">
        <f>'Optional Adjustment 25'!G1014*$AQ$1</f>
        <v>0</v>
      </c>
      <c r="AR1014" s="133">
        <f>'Optional Adjustment 26'!G1014*$AR$1</f>
        <v>0</v>
      </c>
      <c r="AS1014" s="133">
        <f>'Optional Adjustment 27'!G1014*$AS$1</f>
        <v>0</v>
      </c>
      <c r="AT1014" s="133"/>
      <c r="AU1014" s="133">
        <f>SUM(F1014:AT1014)</f>
        <v>0</v>
      </c>
      <c r="AV1014" s="116"/>
      <c r="AW1014" s="133">
        <f>SUM(AU1014:AU1014)</f>
        <v>0</v>
      </c>
      <c r="AX1014" s="133">
        <f>+AW1014-'ROR-Model'!G1030</f>
        <v>0</v>
      </c>
    </row>
    <row r="1015" spans="1:50">
      <c r="A1015" s="102"/>
      <c r="B1015" s="102"/>
      <c r="C1015" s="102" t="s">
        <v>14</v>
      </c>
      <c r="D1015" s="102"/>
      <c r="E1015" s="331"/>
      <c r="F1015" s="116">
        <f>'Rate Base'!$AQ$80*$F$1</f>
        <v>0</v>
      </c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33"/>
      <c r="R1015" s="133"/>
      <c r="S1015" s="133"/>
      <c r="T1015" s="133">
        <f>'Optional Adjustment 2'!G1015*$T$1</f>
        <v>0</v>
      </c>
      <c r="U1015" s="133">
        <f>'Optional Adjustment 3'!G1015*$U$1</f>
        <v>0</v>
      </c>
      <c r="V1015" s="133">
        <f>'Optional Adjustment 4'!G1015*$V$1</f>
        <v>0</v>
      </c>
      <c r="W1015" s="133">
        <f>'Optional Adjustment 5'!G1015*$W$1</f>
        <v>0</v>
      </c>
      <c r="X1015" s="133">
        <f>'Optional Adjustment 6'!G1015*$X$1</f>
        <v>0</v>
      </c>
      <c r="Y1015" s="133">
        <f>'Optional Adjustment 7'!G1015*$Y$1</f>
        <v>0</v>
      </c>
      <c r="Z1015" s="133">
        <f>'Optional Adjustment 8'!G1015*$Z$1</f>
        <v>0</v>
      </c>
      <c r="AA1015" s="133">
        <f>'Optional Adjustment 9'!G1015*$AA$1</f>
        <v>0</v>
      </c>
      <c r="AB1015" s="133">
        <f>'Optional Adjustment 10'!G1015*$AB$1</f>
        <v>0</v>
      </c>
      <c r="AC1015" s="133">
        <f>'Optional Adjustment 11'!G1015*$AC$1</f>
        <v>0</v>
      </c>
      <c r="AD1015" s="133">
        <f>'Optional Adjustment 12'!G1015*$AD$1</f>
        <v>0</v>
      </c>
      <c r="AE1015" s="133">
        <f>'Optional Adjustment 13'!G1015*$AE$1</f>
        <v>0</v>
      </c>
      <c r="AF1015" s="133">
        <f>'Optional Adjustment 14'!G1015*$AF$1</f>
        <v>0</v>
      </c>
      <c r="AG1015" s="133">
        <f>'Optional Adjustment 15'!G1015*$AG$1</f>
        <v>0</v>
      </c>
      <c r="AH1015" s="133">
        <f>'Optional Adjustment 16'!G1015*$AH$1</f>
        <v>0</v>
      </c>
      <c r="AI1015" s="133">
        <f>'Optional Adjustment 17'!G1015*$AI$1</f>
        <v>0</v>
      </c>
      <c r="AJ1015" s="133">
        <f>'Optional Adjustment 18'!G1015*$AJ$1</f>
        <v>0</v>
      </c>
      <c r="AK1015" s="133">
        <f>'Optional Adjustment 19'!G1015*$AK$1</f>
        <v>0</v>
      </c>
      <c r="AL1015" s="133">
        <f>'Optional Adjustment 20'!G1015*$AL$1</f>
        <v>0</v>
      </c>
      <c r="AM1015" s="133">
        <f>'Optional Adjustment 21'!G1015*$AM$1</f>
        <v>0</v>
      </c>
      <c r="AN1015" s="133">
        <f>'Optional Adjustment 22'!G1015*$AN$1</f>
        <v>0</v>
      </c>
      <c r="AO1015" s="133">
        <f>'Optional Adjustment 23'!G1015*$AO$1</f>
        <v>0</v>
      </c>
      <c r="AP1015" s="133">
        <f>'Optional Adjustment 24'!G1015*$AP$1</f>
        <v>0</v>
      </c>
      <c r="AQ1015" s="133">
        <f>'Optional Adjustment 25'!G1015*$AQ$1</f>
        <v>0</v>
      </c>
      <c r="AR1015" s="133">
        <f>'Optional Adjustment 26'!G1015*$AR$1</f>
        <v>0</v>
      </c>
      <c r="AS1015" s="133">
        <f>'Optional Adjustment 27'!G1015*$AS$1</f>
        <v>0</v>
      </c>
      <c r="AT1015" s="133"/>
      <c r="AU1015" s="133">
        <f>SUM(F1015:AT1015)</f>
        <v>0</v>
      </c>
      <c r="AV1015" s="116"/>
      <c r="AW1015" s="133">
        <f>SUM(AU1015:AU1015)</f>
        <v>0</v>
      </c>
      <c r="AX1015" s="133">
        <f>+AW1015-'ROR-Model'!G1031</f>
        <v>0</v>
      </c>
    </row>
    <row r="1016" spans="1:50">
      <c r="A1016" s="102"/>
      <c r="B1016" s="102"/>
      <c r="C1016" s="102" t="s">
        <v>170</v>
      </c>
      <c r="D1016" s="102"/>
      <c r="E1016" s="331"/>
      <c r="F1016" s="116">
        <f>SUM(F1014:F1015)</f>
        <v>0</v>
      </c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33"/>
      <c r="R1016" s="133"/>
      <c r="S1016" s="133"/>
      <c r="T1016" s="133">
        <f t="shared" ref="T1016:AG1016" si="1224">SUM(T1014:T1015)</f>
        <v>0</v>
      </c>
      <c r="U1016" s="133">
        <f t="shared" si="1224"/>
        <v>0</v>
      </c>
      <c r="V1016" s="133">
        <f t="shared" si="1224"/>
        <v>0</v>
      </c>
      <c r="W1016" s="133">
        <f t="shared" si="1224"/>
        <v>0</v>
      </c>
      <c r="X1016" s="133">
        <f t="shared" si="1224"/>
        <v>0</v>
      </c>
      <c r="Y1016" s="133">
        <f t="shared" si="1224"/>
        <v>0</v>
      </c>
      <c r="Z1016" s="133">
        <f t="shared" si="1224"/>
        <v>0</v>
      </c>
      <c r="AA1016" s="133">
        <f t="shared" si="1224"/>
        <v>0</v>
      </c>
      <c r="AB1016" s="133">
        <f t="shared" si="1224"/>
        <v>0</v>
      </c>
      <c r="AC1016" s="133">
        <f t="shared" si="1224"/>
        <v>0</v>
      </c>
      <c r="AD1016" s="133">
        <f t="shared" si="1224"/>
        <v>0</v>
      </c>
      <c r="AE1016" s="133">
        <f t="shared" si="1224"/>
        <v>0</v>
      </c>
      <c r="AF1016" s="133">
        <f t="shared" si="1224"/>
        <v>0</v>
      </c>
      <c r="AG1016" s="133">
        <f t="shared" si="1224"/>
        <v>0</v>
      </c>
      <c r="AH1016" s="133">
        <f t="shared" ref="AH1016:AK1016" si="1225">SUM(AH1014:AH1015)</f>
        <v>0</v>
      </c>
      <c r="AI1016" s="133">
        <f t="shared" si="1225"/>
        <v>0</v>
      </c>
      <c r="AJ1016" s="133">
        <f t="shared" si="1225"/>
        <v>0</v>
      </c>
      <c r="AK1016" s="133">
        <f t="shared" si="1225"/>
        <v>0</v>
      </c>
      <c r="AL1016" s="133">
        <f t="shared" ref="AL1016:AP1016" si="1226">SUM(AL1014:AL1015)</f>
        <v>0</v>
      </c>
      <c r="AM1016" s="133">
        <f t="shared" si="1226"/>
        <v>0</v>
      </c>
      <c r="AN1016" s="133">
        <f t="shared" si="1226"/>
        <v>0</v>
      </c>
      <c r="AO1016" s="133">
        <f t="shared" si="1226"/>
        <v>0</v>
      </c>
      <c r="AP1016" s="133">
        <f t="shared" si="1226"/>
        <v>0</v>
      </c>
      <c r="AQ1016" s="133">
        <f t="shared" ref="AQ1016:AS1016" si="1227">SUM(AQ1014:AQ1015)</f>
        <v>0</v>
      </c>
      <c r="AR1016" s="133">
        <f t="shared" si="1227"/>
        <v>0</v>
      </c>
      <c r="AS1016" s="133">
        <f t="shared" si="1227"/>
        <v>0</v>
      </c>
      <c r="AT1016" s="133"/>
      <c r="AU1016" s="133">
        <f>SUM(F1016:AT1016)</f>
        <v>0</v>
      </c>
      <c r="AV1016" s="116"/>
      <c r="AW1016" s="133">
        <f>SUM(AU1016:AU1016)</f>
        <v>0</v>
      </c>
      <c r="AX1016" s="133">
        <f>+AW1016-'ROR-Model'!G1032</f>
        <v>0</v>
      </c>
    </row>
    <row r="1017" spans="1:50">
      <c r="A1017" s="102"/>
      <c r="B1017" s="102"/>
      <c r="C1017" s="102"/>
      <c r="D1017" s="102"/>
      <c r="E1017" s="331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33"/>
      <c r="R1017" s="133"/>
      <c r="S1017" s="133"/>
      <c r="T1017" s="133"/>
      <c r="U1017" s="133"/>
      <c r="V1017" s="133"/>
      <c r="W1017" s="133"/>
      <c r="X1017" s="133"/>
      <c r="Y1017" s="133"/>
      <c r="Z1017" s="133"/>
      <c r="AA1017" s="133"/>
      <c r="AB1017" s="133"/>
      <c r="AC1017" s="133"/>
      <c r="AD1017" s="133"/>
      <c r="AE1017" s="133"/>
      <c r="AF1017" s="133"/>
      <c r="AG1017" s="133"/>
      <c r="AH1017" s="133"/>
      <c r="AI1017" s="133"/>
      <c r="AJ1017" s="133"/>
      <c r="AK1017" s="133"/>
      <c r="AL1017" s="133"/>
      <c r="AM1017" s="133"/>
      <c r="AN1017" s="133"/>
      <c r="AO1017" s="133"/>
      <c r="AP1017" s="133"/>
      <c r="AQ1017" s="133"/>
      <c r="AR1017" s="133"/>
      <c r="AS1017" s="133"/>
      <c r="AT1017" s="133"/>
      <c r="AU1017" s="133"/>
      <c r="AV1017" s="116"/>
      <c r="AW1017" s="133"/>
      <c r="AX1017" s="133">
        <f>+AW1017-'ROR-Model'!G1033</f>
        <v>0</v>
      </c>
    </row>
    <row r="1018" spans="1:50">
      <c r="A1018" s="102"/>
      <c r="B1018" s="102" t="s">
        <v>257</v>
      </c>
      <c r="C1018" s="102"/>
      <c r="D1018" s="102"/>
      <c r="E1018" s="331"/>
      <c r="F1018" s="116">
        <f ca="1">F1016+F1011+F1006+F1001+F996+F991+F986+F975+F970</f>
        <v>276528939.03207225</v>
      </c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33"/>
      <c r="R1018" s="133"/>
      <c r="S1018" s="133"/>
      <c r="T1018" s="133" t="e">
        <f>+#REF!+T1016+T1011+T1006+T1001+T996+T991+T986+T975+T970</f>
        <v>#REF!</v>
      </c>
      <c r="U1018" s="133" t="e">
        <f>+#REF!+U1016+U1011+U1006+U1001+U996+U991+U986+U975+U970</f>
        <v>#REF!</v>
      </c>
      <c r="V1018" s="133" t="e">
        <f>+#REF!+V1016+V1011+V1006+V1001+V996+V991+V986+V975+V970</f>
        <v>#REF!</v>
      </c>
      <c r="W1018" s="133" t="e">
        <f>+#REF!+W1016+W1011+W1006+W1001+W996+W991+W986+W975+W970</f>
        <v>#REF!</v>
      </c>
      <c r="X1018" s="133" t="e">
        <f>+#REF!+X1016+X1011+X1006+X1001+X996+X991+X986+X975+X970</f>
        <v>#REF!</v>
      </c>
      <c r="Y1018" s="133" t="e">
        <f>+#REF!+Y1016+Y1011+Y1006+Y1001+Y996+Y991+Y986+Y975+Y970</f>
        <v>#REF!</v>
      </c>
      <c r="Z1018" s="133" t="e">
        <f>+#REF!+Z1016+Z1011+Z1006+Z1001+Z996+Z991+Z986+Z975+Z970</f>
        <v>#REF!</v>
      </c>
      <c r="AA1018" s="133" t="e">
        <f>+#REF!+AA1016+AA1011+AA1006+AA1001+AA996+AA991+AA986+AA975+AA970</f>
        <v>#REF!</v>
      </c>
      <c r="AB1018" s="133" t="e">
        <f>+#REF!+AB1016+AB1011+AB1006+AB1001+AB996+AB991+AB986+AB975+AB970</f>
        <v>#REF!</v>
      </c>
      <c r="AC1018" s="133" t="e">
        <f>+#REF!+AC1016+AC1011+AC1006+AC1001+AC996+AC991+AC986+AC975+AC970</f>
        <v>#REF!</v>
      </c>
      <c r="AD1018" s="133" t="e">
        <f>+#REF!+AD1016+AD1011+AD1006+AD1001+AD996+AD991+AD986+AD975+AD970</f>
        <v>#REF!</v>
      </c>
      <c r="AE1018" s="133" t="e">
        <f>+#REF!+AE1016+AE1011+AE1006+AE1001+AE996+AE991+AE986+AE975+AE970</f>
        <v>#REF!</v>
      </c>
      <c r="AF1018" s="133" t="e">
        <f>+#REF!+AF1016+AF1011+AF1006+AF1001+AF996+AF991+AF986+AF975+AF970</f>
        <v>#REF!</v>
      </c>
      <c r="AG1018" s="133" t="e">
        <f>+#REF!+AG1016+AG1011+AG1006+AG1001+AG996+AG991+AG986+AG975+AG970</f>
        <v>#REF!</v>
      </c>
      <c r="AH1018" s="133" t="e">
        <f>+#REF!+AH1016+AH1011+AH1006+AH1001+AH996+AH991+AH986+AH975+AH970</f>
        <v>#REF!</v>
      </c>
      <c r="AI1018" s="133" t="e">
        <f>+#REF!+AI1016+AI1011+AI1006+AI1001+AI996+AI991+AI986+AI975+AI970</f>
        <v>#REF!</v>
      </c>
      <c r="AJ1018" s="133" t="e">
        <f>+#REF!+AJ1016+AJ1011+AJ1006+AJ1001+AJ996+AJ991+AJ986+AJ975+AJ970</f>
        <v>#REF!</v>
      </c>
      <c r="AK1018" s="133" t="e">
        <f>+#REF!+AK1016+AK1011+AK1006+AK1001+AK996+AK991+AK986+AK975+AK970</f>
        <v>#REF!</v>
      </c>
      <c r="AL1018" s="133" t="e">
        <f>+#REF!+AL1016+AL1011+AL1006+AL1001+AL996+AL991+AL986+AL975+AL970</f>
        <v>#REF!</v>
      </c>
      <c r="AM1018" s="133" t="e">
        <f>+#REF!+AM1016+AM1011+AM1006+AM1001+AM996+AM991+AM986+AM975+AM970</f>
        <v>#REF!</v>
      </c>
      <c r="AN1018" s="133" t="e">
        <f>+#REF!+AN1016+AN1011+AN1006+AN1001+AN996+AN991+AN986+AN975+AN970</f>
        <v>#REF!</v>
      </c>
      <c r="AO1018" s="133" t="e">
        <f>+#REF!+AO1016+AO1011+AO1006+AO1001+AO996+AO991+AO986+AO975+AO970</f>
        <v>#REF!</v>
      </c>
      <c r="AP1018" s="133" t="e">
        <f>+#REF!+AP1016+AP1011+AP1006+AP1001+AP996+AP991+AP986+AP975+AP970</f>
        <v>#REF!</v>
      </c>
      <c r="AQ1018" s="133" t="e">
        <f>+#REF!+AQ1016+AQ1011+AQ1006+AQ1001+AQ996+AQ991+AQ986+AQ975+AQ970</f>
        <v>#REF!</v>
      </c>
      <c r="AR1018" s="133" t="e">
        <f>+#REF!+AR1016+AR1011+AR1006+AR1001+AR996+AR991+AR986+AR975+AR970</f>
        <v>#REF!</v>
      </c>
      <c r="AS1018" s="133" t="e">
        <f>+#REF!+AS1016+AS1011+AS1006+AS1001+AS996+AS991+AS986+AS975+AS970</f>
        <v>#REF!</v>
      </c>
      <c r="AT1018" s="133"/>
      <c r="AU1018" s="133">
        <f ca="1">AU1016+AU1011+AU1006+AU1001+AU996+AU991+AU986+AU975+AU970</f>
        <v>276528939.03207225</v>
      </c>
      <c r="AV1018" s="116"/>
      <c r="AW1018" s="133">
        <f ca="1">AW1016+AW1011+AW1006+AW1001+AW996+AW991+AW986+AW975+AW970</f>
        <v>276528939.03207225</v>
      </c>
      <c r="AX1018" s="133">
        <f ca="1">+AW1018-'ROR-Model'!G1034</f>
        <v>0</v>
      </c>
    </row>
    <row r="1019" spans="1:50">
      <c r="A1019" s="102"/>
      <c r="B1019" s="102"/>
      <c r="C1019" s="102"/>
      <c r="D1019" s="102"/>
      <c r="E1019" s="331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33"/>
      <c r="R1019" s="133"/>
      <c r="S1019" s="133"/>
      <c r="T1019" s="133"/>
      <c r="U1019" s="133"/>
      <c r="V1019" s="133"/>
      <c r="W1019" s="133"/>
      <c r="X1019" s="133"/>
      <c r="Y1019" s="133"/>
      <c r="Z1019" s="133"/>
      <c r="AA1019" s="133"/>
      <c r="AB1019" s="133"/>
      <c r="AC1019" s="133"/>
      <c r="AD1019" s="133"/>
      <c r="AE1019" s="133"/>
      <c r="AF1019" s="133"/>
      <c r="AG1019" s="133"/>
      <c r="AH1019" s="133"/>
      <c r="AI1019" s="133"/>
      <c r="AJ1019" s="133"/>
      <c r="AK1019" s="133"/>
      <c r="AL1019" s="133"/>
      <c r="AM1019" s="133"/>
      <c r="AN1019" s="133"/>
      <c r="AO1019" s="133"/>
      <c r="AP1019" s="133"/>
      <c r="AQ1019" s="133"/>
      <c r="AR1019" s="133"/>
      <c r="AS1019" s="133"/>
      <c r="AT1019" s="133"/>
      <c r="AU1019" s="133"/>
      <c r="AV1019" s="116"/>
      <c r="AW1019" s="133"/>
      <c r="AX1019" s="133">
        <f>+AW1019-'ROR-Model'!G1035</f>
        <v>0</v>
      </c>
    </row>
    <row r="1020" spans="1:50">
      <c r="A1020" s="102"/>
      <c r="B1020" s="102"/>
      <c r="C1020" s="102"/>
      <c r="D1020" s="102"/>
      <c r="E1020" s="331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33"/>
      <c r="R1020" s="133"/>
      <c r="S1020" s="133"/>
      <c r="T1020" s="133"/>
      <c r="U1020" s="133"/>
      <c r="V1020" s="133"/>
      <c r="W1020" s="133"/>
      <c r="X1020" s="133"/>
      <c r="Y1020" s="133"/>
      <c r="Z1020" s="133"/>
      <c r="AA1020" s="133"/>
      <c r="AB1020" s="133"/>
      <c r="AC1020" s="133"/>
      <c r="AD1020" s="133"/>
      <c r="AE1020" s="133"/>
      <c r="AF1020" s="133"/>
      <c r="AG1020" s="133"/>
      <c r="AH1020" s="133"/>
      <c r="AI1020" s="133"/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16"/>
      <c r="AW1020" s="133"/>
      <c r="AX1020" s="133">
        <f>+AW1020-'ROR-Model'!G1036</f>
        <v>0</v>
      </c>
    </row>
    <row r="1021" spans="1:50">
      <c r="A1021" s="102" t="s">
        <v>258</v>
      </c>
      <c r="B1021" s="102" t="s">
        <v>223</v>
      </c>
      <c r="C1021" s="102"/>
      <c r="D1021" s="102"/>
      <c r="E1021" s="331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33"/>
      <c r="R1021" s="133"/>
      <c r="S1021" s="133"/>
      <c r="T1021" s="133"/>
      <c r="U1021" s="133"/>
      <c r="V1021" s="133"/>
      <c r="W1021" s="133"/>
      <c r="X1021" s="133"/>
      <c r="Y1021" s="133"/>
      <c r="Z1021" s="133"/>
      <c r="AA1021" s="133"/>
      <c r="AB1021" s="133"/>
      <c r="AC1021" s="133"/>
      <c r="AD1021" s="133"/>
      <c r="AE1021" s="133"/>
      <c r="AF1021" s="133"/>
      <c r="AG1021" s="133"/>
      <c r="AH1021" s="133"/>
      <c r="AI1021" s="133"/>
      <c r="AJ1021" s="133"/>
      <c r="AK1021" s="133"/>
      <c r="AL1021" s="133"/>
      <c r="AM1021" s="133"/>
      <c r="AN1021" s="133"/>
      <c r="AO1021" s="133"/>
      <c r="AP1021" s="133"/>
      <c r="AQ1021" s="133"/>
      <c r="AR1021" s="133"/>
      <c r="AS1021" s="133"/>
      <c r="AT1021" s="133"/>
      <c r="AU1021" s="133"/>
      <c r="AV1021" s="116"/>
      <c r="AW1021" s="133"/>
      <c r="AX1021" s="133">
        <f>+AW1021-'ROR-Model'!G1037</f>
        <v>0</v>
      </c>
    </row>
    <row r="1022" spans="1:50">
      <c r="A1022" s="102"/>
      <c r="B1022" s="102"/>
      <c r="C1022" s="102" t="s">
        <v>592</v>
      </c>
      <c r="D1022" s="102"/>
      <c r="E1022" s="331"/>
      <c r="F1022" s="116">
        <f>'Rate Base'!$AQ$87*$F$1</f>
        <v>0</v>
      </c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33"/>
      <c r="R1022" s="133"/>
      <c r="S1022" s="133"/>
      <c r="T1022" s="133">
        <f>'Optional Adjustment 2'!G1027*$T$1</f>
        <v>0</v>
      </c>
      <c r="U1022" s="133">
        <f>'Optional Adjustment 3'!G1027*$U$1</f>
        <v>0</v>
      </c>
      <c r="V1022" s="133">
        <f>'Optional Adjustment 4'!G1027*$V$1</f>
        <v>0</v>
      </c>
      <c r="W1022" s="133">
        <f>'Optional Adjustment 5'!G1027*$W$1</f>
        <v>0</v>
      </c>
      <c r="X1022" s="133">
        <f>'Optional Adjustment 6'!G1027*$X$1</f>
        <v>0</v>
      </c>
      <c r="Y1022" s="133">
        <f>'Optional Adjustment 7'!G1027*$Y$1</f>
        <v>0</v>
      </c>
      <c r="Z1022" s="133">
        <f>'Optional Adjustment 8'!G1027*$Z$1</f>
        <v>0</v>
      </c>
      <c r="AA1022" s="133">
        <f>'Optional Adjustment 9'!G1027*$AA$1</f>
        <v>0</v>
      </c>
      <c r="AB1022" s="133">
        <f>'Optional Adjustment 10'!G1027*$AB$1</f>
        <v>0</v>
      </c>
      <c r="AC1022" s="133">
        <f>'Optional Adjustment 11'!G1027*$AC$1</f>
        <v>0</v>
      </c>
      <c r="AD1022" s="133">
        <f>'Optional Adjustment 12'!G1027*$AD$1</f>
        <v>0</v>
      </c>
      <c r="AE1022" s="133">
        <f>'Optional Adjustment 13'!G1027*$AE$1</f>
        <v>0</v>
      </c>
      <c r="AF1022" s="133">
        <f>'Optional Adjustment 14'!G1027*$AF$1</f>
        <v>0</v>
      </c>
      <c r="AG1022" s="133">
        <f>'Optional Adjustment 15'!G1027*$AG$1</f>
        <v>0</v>
      </c>
      <c r="AH1022" s="133">
        <f>'Optional Adjustment 16'!G1027*$AH$1</f>
        <v>0</v>
      </c>
      <c r="AI1022" s="133">
        <f>'Optional Adjustment 17'!G1027*$AI$1</f>
        <v>0</v>
      </c>
      <c r="AJ1022" s="133">
        <f>'Optional Adjustment 18'!G1027*$AJ$1</f>
        <v>0</v>
      </c>
      <c r="AK1022" s="133">
        <f>'Optional Adjustment 19'!G1027*$AK$1</f>
        <v>0</v>
      </c>
      <c r="AL1022" s="133">
        <f>'Optional Adjustment 20'!G1027*$AL$1</f>
        <v>0</v>
      </c>
      <c r="AM1022" s="133">
        <f>'Optional Adjustment 21'!G1027*$AM$1</f>
        <v>0</v>
      </c>
      <c r="AN1022" s="133">
        <f>'Optional Adjustment 22'!G1027*$AN$1</f>
        <v>0</v>
      </c>
      <c r="AO1022" s="133">
        <f>'Optional Adjustment 23'!G1027*$AO$1</f>
        <v>0</v>
      </c>
      <c r="AP1022" s="133">
        <f>'Optional Adjustment 24'!G1027*$AP$1</f>
        <v>0</v>
      </c>
      <c r="AQ1022" s="133">
        <f>'Optional Adjustment 25'!G1027*$AQ$1</f>
        <v>0</v>
      </c>
      <c r="AR1022" s="133">
        <f>'Optional Adjustment 26'!G1027*$AR$1</f>
        <v>0</v>
      </c>
      <c r="AS1022" s="133">
        <f>'Optional Adjustment 27'!G1027*$AS$1</f>
        <v>0</v>
      </c>
      <c r="AT1022" s="133"/>
      <c r="AU1022" s="133">
        <f>SUM(F1022:AT1022)</f>
        <v>0</v>
      </c>
      <c r="AV1022" s="116"/>
      <c r="AW1022" s="133">
        <f>SUM(AU1022:AU1022)</f>
        <v>0</v>
      </c>
      <c r="AX1022" s="133">
        <f>+AW1022-'ROR-Model'!G1038</f>
        <v>0</v>
      </c>
    </row>
    <row r="1023" spans="1:50">
      <c r="A1023" s="102"/>
      <c r="B1023" s="102"/>
      <c r="C1023" s="102" t="s">
        <v>593</v>
      </c>
      <c r="D1023" s="102"/>
      <c r="E1023" s="331"/>
      <c r="F1023" s="116">
        <f>'Rate Base'!$AQ$88*$F$1</f>
        <v>0</v>
      </c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33"/>
      <c r="R1023" s="133"/>
      <c r="S1023" s="133"/>
      <c r="T1023" s="133">
        <f>'Optional Adjustment 2'!G1028*$T$1</f>
        <v>0</v>
      </c>
      <c r="U1023" s="133">
        <f>'Optional Adjustment 3'!G1028*$U$1</f>
        <v>0</v>
      </c>
      <c r="V1023" s="133">
        <f>'Optional Adjustment 4'!G1028*$V$1</f>
        <v>0</v>
      </c>
      <c r="W1023" s="133">
        <f>'Optional Adjustment 5'!G1028*$W$1</f>
        <v>0</v>
      </c>
      <c r="X1023" s="133">
        <f>'Optional Adjustment 6'!G1028*$X$1</f>
        <v>0</v>
      </c>
      <c r="Y1023" s="133">
        <f>'Optional Adjustment 7'!G1028*$Y$1</f>
        <v>0</v>
      </c>
      <c r="Z1023" s="133">
        <f>'Optional Adjustment 8'!G1028*$Z$1</f>
        <v>0</v>
      </c>
      <c r="AA1023" s="133">
        <f>'Optional Adjustment 9'!G1028*$AA$1</f>
        <v>0</v>
      </c>
      <c r="AB1023" s="133">
        <f>'Optional Adjustment 10'!G1028*$AB$1</f>
        <v>0</v>
      </c>
      <c r="AC1023" s="133">
        <f>'Optional Adjustment 11'!G1028*$AC$1</f>
        <v>0</v>
      </c>
      <c r="AD1023" s="133">
        <f>'Optional Adjustment 12'!G1028*$AD$1</f>
        <v>0</v>
      </c>
      <c r="AE1023" s="133">
        <f>'Optional Adjustment 13'!G1028*$AE$1</f>
        <v>0</v>
      </c>
      <c r="AF1023" s="133">
        <f>'Optional Adjustment 14'!G1028*$AF$1</f>
        <v>0</v>
      </c>
      <c r="AG1023" s="133">
        <f>'Optional Adjustment 15'!G1028*$AG$1</f>
        <v>0</v>
      </c>
      <c r="AH1023" s="133">
        <f>'Optional Adjustment 16'!G1028*$AH$1</f>
        <v>0</v>
      </c>
      <c r="AI1023" s="133">
        <f>'Optional Adjustment 17'!G1028*$AI$1</f>
        <v>0</v>
      </c>
      <c r="AJ1023" s="133">
        <f>'Optional Adjustment 18'!G1028*$AJ$1</f>
        <v>0</v>
      </c>
      <c r="AK1023" s="133">
        <f>'Optional Adjustment 19'!G1028*$AK$1</f>
        <v>0</v>
      </c>
      <c r="AL1023" s="133">
        <f>'Optional Adjustment 20'!G1028*$AL$1</f>
        <v>0</v>
      </c>
      <c r="AM1023" s="133">
        <f>'Optional Adjustment 21'!G1028*$AM$1</f>
        <v>0</v>
      </c>
      <c r="AN1023" s="133">
        <f>'Optional Adjustment 22'!G1028*$AN$1</f>
        <v>0</v>
      </c>
      <c r="AO1023" s="133">
        <f>'Optional Adjustment 23'!G1028*$AO$1</f>
        <v>0</v>
      </c>
      <c r="AP1023" s="133">
        <f>'Optional Adjustment 24'!G1028*$AP$1</f>
        <v>0</v>
      </c>
      <c r="AQ1023" s="133">
        <f>'Optional Adjustment 25'!G1028*$AQ$1</f>
        <v>0</v>
      </c>
      <c r="AR1023" s="133">
        <f>'Optional Adjustment 26'!G1028*$AR$1</f>
        <v>0</v>
      </c>
      <c r="AS1023" s="133">
        <f>'Optional Adjustment 27'!G1028*$AS$1</f>
        <v>0</v>
      </c>
      <c r="AT1023" s="133"/>
      <c r="AU1023" s="133">
        <f>SUM(F1023:AT1023)</f>
        <v>0</v>
      </c>
      <c r="AV1023" s="116"/>
      <c r="AW1023" s="133">
        <f>SUM(AU1023:AU1023)</f>
        <v>0</v>
      </c>
      <c r="AX1023" s="133">
        <f>+AW1023-'ROR-Model'!G1039</f>
        <v>0</v>
      </c>
    </row>
    <row r="1024" spans="1:50">
      <c r="A1024" s="102"/>
      <c r="B1024" s="102"/>
      <c r="C1024" s="102" t="s">
        <v>170</v>
      </c>
      <c r="D1024" s="102"/>
      <c r="E1024" s="331"/>
      <c r="F1024" s="116">
        <f>'Rate Base'!$AQ$89*$F$1</f>
        <v>0</v>
      </c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33"/>
      <c r="R1024" s="133"/>
      <c r="S1024" s="133"/>
      <c r="T1024" s="133">
        <f>'Optional Adjustment 2'!G1029*$T$1</f>
        <v>0</v>
      </c>
      <c r="U1024" s="133">
        <f>'Optional Adjustment 3'!G1029*$U$1</f>
        <v>0</v>
      </c>
      <c r="V1024" s="133">
        <f>'Optional Adjustment 4'!G1029*$V$1</f>
        <v>0</v>
      </c>
      <c r="W1024" s="133">
        <f>'Optional Adjustment 5'!G1029*$W$1</f>
        <v>0</v>
      </c>
      <c r="X1024" s="133">
        <f>'Optional Adjustment 6'!G1029*$X$1</f>
        <v>0</v>
      </c>
      <c r="Y1024" s="133">
        <f>'Optional Adjustment 7'!G1029*$Y$1</f>
        <v>0</v>
      </c>
      <c r="Z1024" s="133">
        <f>'Optional Adjustment 8'!G1029*$Z$1</f>
        <v>0</v>
      </c>
      <c r="AA1024" s="133">
        <f>'Optional Adjustment 9'!G1029*$AA$1</f>
        <v>0</v>
      </c>
      <c r="AB1024" s="133">
        <f>'Optional Adjustment 10'!G1029*$AB$1</f>
        <v>0</v>
      </c>
      <c r="AC1024" s="133">
        <f>'Optional Adjustment 11'!G1029*$AC$1</f>
        <v>0</v>
      </c>
      <c r="AD1024" s="133">
        <f>'Optional Adjustment 12'!G1029*$AD$1</f>
        <v>0</v>
      </c>
      <c r="AE1024" s="133">
        <f>'Optional Adjustment 13'!G1029*$AE$1</f>
        <v>0</v>
      </c>
      <c r="AF1024" s="133">
        <f>'Optional Adjustment 14'!G1029*$AF$1</f>
        <v>0</v>
      </c>
      <c r="AG1024" s="133">
        <f>'Optional Adjustment 15'!G1029*$AG$1</f>
        <v>0</v>
      </c>
      <c r="AH1024" s="133">
        <f>'Optional Adjustment 16'!G1029*$AH$1</f>
        <v>0</v>
      </c>
      <c r="AI1024" s="133">
        <f>'Optional Adjustment 17'!G1029*$AI$1</f>
        <v>0</v>
      </c>
      <c r="AJ1024" s="133">
        <f>'Optional Adjustment 18'!G1029*$AJ$1</f>
        <v>0</v>
      </c>
      <c r="AK1024" s="133">
        <f>'Optional Adjustment 19'!G1029*$AK$1</f>
        <v>0</v>
      </c>
      <c r="AL1024" s="133">
        <f>'Optional Adjustment 20'!G1029*$AL$1</f>
        <v>0</v>
      </c>
      <c r="AM1024" s="133">
        <f>'Optional Adjustment 21'!G1029*$AM$1</f>
        <v>0</v>
      </c>
      <c r="AN1024" s="133">
        <f>'Optional Adjustment 22'!G1029*$AN$1</f>
        <v>0</v>
      </c>
      <c r="AO1024" s="133">
        <f>'Optional Adjustment 23'!G1029*$AO$1</f>
        <v>0</v>
      </c>
      <c r="AP1024" s="133">
        <f>'Optional Adjustment 24'!G1029*$AP$1</f>
        <v>0</v>
      </c>
      <c r="AQ1024" s="133">
        <f>'Optional Adjustment 25'!G1029*$AQ$1</f>
        <v>0</v>
      </c>
      <c r="AR1024" s="133">
        <f>'Optional Adjustment 26'!G1029*$AR$1</f>
        <v>0</v>
      </c>
      <c r="AS1024" s="133">
        <f>'Optional Adjustment 27'!G1029*$AS$1</f>
        <v>0</v>
      </c>
      <c r="AT1024" s="133"/>
      <c r="AU1024" s="133">
        <f>SUM(F1024:AT1024)</f>
        <v>0</v>
      </c>
      <c r="AV1024" s="116"/>
      <c r="AW1024" s="133">
        <f>SUM(AU1024:AU1024)</f>
        <v>0</v>
      </c>
      <c r="AX1024" s="133">
        <f>+AW1024-'ROR-Model'!G1040</f>
        <v>0</v>
      </c>
    </row>
    <row r="1025" spans="1:50">
      <c r="A1025" s="102"/>
      <c r="B1025" s="102"/>
      <c r="C1025" s="102"/>
      <c r="D1025" s="102"/>
      <c r="E1025" s="331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33"/>
      <c r="R1025" s="133"/>
      <c r="S1025" s="133"/>
      <c r="T1025" s="133"/>
      <c r="U1025" s="133"/>
      <c r="V1025" s="133"/>
      <c r="W1025" s="133"/>
      <c r="X1025" s="133"/>
      <c r="Y1025" s="133"/>
      <c r="Z1025" s="133"/>
      <c r="AA1025" s="133"/>
      <c r="AB1025" s="133"/>
      <c r="AC1025" s="133"/>
      <c r="AD1025" s="133"/>
      <c r="AE1025" s="133"/>
      <c r="AF1025" s="133"/>
      <c r="AG1025" s="133"/>
      <c r="AH1025" s="133"/>
      <c r="AI1025" s="133"/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16"/>
      <c r="AW1025" s="133"/>
      <c r="AX1025" s="133">
        <f>+AW1025-'ROR-Model'!G1041</f>
        <v>0</v>
      </c>
    </row>
    <row r="1026" spans="1:50">
      <c r="A1026" s="102" t="s">
        <v>259</v>
      </c>
      <c r="B1026" s="102" t="s">
        <v>240</v>
      </c>
      <c r="C1026" s="102"/>
      <c r="D1026" s="102"/>
      <c r="E1026" s="331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33"/>
      <c r="R1026" s="133"/>
      <c r="S1026" s="133"/>
      <c r="T1026" s="133"/>
      <c r="U1026" s="133"/>
      <c r="V1026" s="133"/>
      <c r="W1026" s="133"/>
      <c r="X1026" s="133"/>
      <c r="Y1026" s="133"/>
      <c r="Z1026" s="133"/>
      <c r="AA1026" s="133"/>
      <c r="AB1026" s="133"/>
      <c r="AC1026" s="133"/>
      <c r="AD1026" s="133"/>
      <c r="AE1026" s="133"/>
      <c r="AF1026" s="133"/>
      <c r="AG1026" s="133"/>
      <c r="AH1026" s="133"/>
      <c r="AI1026" s="133"/>
      <c r="AJ1026" s="133"/>
      <c r="AK1026" s="133"/>
      <c r="AL1026" s="133"/>
      <c r="AM1026" s="133"/>
      <c r="AN1026" s="133"/>
      <c r="AO1026" s="133"/>
      <c r="AP1026" s="133"/>
      <c r="AQ1026" s="133"/>
      <c r="AR1026" s="133"/>
      <c r="AS1026" s="133"/>
      <c r="AT1026" s="133"/>
      <c r="AU1026" s="133"/>
      <c r="AV1026" s="116"/>
      <c r="AW1026" s="133"/>
      <c r="AX1026" s="133">
        <f>+AW1026-'ROR-Model'!G1042</f>
        <v>0</v>
      </c>
    </row>
    <row r="1027" spans="1:50">
      <c r="A1027" s="102"/>
      <c r="B1027" s="102"/>
      <c r="C1027" s="102" t="s">
        <v>592</v>
      </c>
      <c r="D1027" s="102"/>
      <c r="E1027" s="331"/>
      <c r="F1027" s="116">
        <f ca="1">'Rate Base'!$AQ$92*$F$1</f>
        <v>195864.56080086716</v>
      </c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33"/>
      <c r="R1027" s="133"/>
      <c r="S1027" s="133"/>
      <c r="T1027" s="133">
        <f>'Optional Adjustment 2'!G1032*$T$1</f>
        <v>0</v>
      </c>
      <c r="U1027" s="133">
        <f>'Optional Adjustment 3'!G1032*$U$1</f>
        <v>0</v>
      </c>
      <c r="V1027" s="133">
        <f>'Optional Adjustment 4'!G1032*$V$1</f>
        <v>0</v>
      </c>
      <c r="W1027" s="133">
        <f>'Optional Adjustment 5'!G1032*$W$1</f>
        <v>0</v>
      </c>
      <c r="X1027" s="133">
        <f>'Optional Adjustment 6'!G1032*$X$1</f>
        <v>0</v>
      </c>
      <c r="Y1027" s="133">
        <f>'Optional Adjustment 7'!G1032*$Y$1</f>
        <v>0</v>
      </c>
      <c r="Z1027" s="133">
        <f>'Optional Adjustment 8'!G1032*$Z$1</f>
        <v>0</v>
      </c>
      <c r="AA1027" s="133">
        <f>'Optional Adjustment 9'!G1032*$AA$1</f>
        <v>0</v>
      </c>
      <c r="AB1027" s="133">
        <f>'Optional Adjustment 10'!G1032*$AB$1</f>
        <v>0</v>
      </c>
      <c r="AC1027" s="133">
        <f>'Optional Adjustment 11'!G1032*$AC$1</f>
        <v>0</v>
      </c>
      <c r="AD1027" s="133">
        <f>'Optional Adjustment 12'!G1032*$AD$1</f>
        <v>0</v>
      </c>
      <c r="AE1027" s="133">
        <f>'Optional Adjustment 13'!G1032*$AE$1</f>
        <v>0</v>
      </c>
      <c r="AF1027" s="133">
        <f>'Optional Adjustment 14'!G1032*$AF$1</f>
        <v>0</v>
      </c>
      <c r="AG1027" s="133">
        <f>'Optional Adjustment 15'!G1032*$AG$1</f>
        <v>0</v>
      </c>
      <c r="AH1027" s="133">
        <f>'Optional Adjustment 16'!G1032*$AH$1</f>
        <v>0</v>
      </c>
      <c r="AI1027" s="133">
        <f>'Optional Adjustment 17'!G1032*$AI$1</f>
        <v>0</v>
      </c>
      <c r="AJ1027" s="133">
        <f>'Optional Adjustment 18'!G1032*$AJ$1</f>
        <v>0</v>
      </c>
      <c r="AK1027" s="133">
        <f>'Optional Adjustment 19'!G1032*$AK$1</f>
        <v>0</v>
      </c>
      <c r="AL1027" s="133">
        <f>'Optional Adjustment 20'!G1032*$AL$1</f>
        <v>0</v>
      </c>
      <c r="AM1027" s="133">
        <f>'Optional Adjustment 21'!G1032*$AM$1</f>
        <v>0</v>
      </c>
      <c r="AN1027" s="133">
        <f>'Optional Adjustment 22'!G1032*$AN$1</f>
        <v>0</v>
      </c>
      <c r="AO1027" s="133">
        <f>'Optional Adjustment 23'!G1032*$AO$1</f>
        <v>0</v>
      </c>
      <c r="AP1027" s="133">
        <f>'Optional Adjustment 24'!G1032*$AP$1</f>
        <v>0</v>
      </c>
      <c r="AQ1027" s="133">
        <f>'Optional Adjustment 25'!G1032*$AQ$1</f>
        <v>0</v>
      </c>
      <c r="AR1027" s="133">
        <f>'Optional Adjustment 26'!G1032*$AR$1</f>
        <v>0</v>
      </c>
      <c r="AS1027" s="133">
        <f>'Optional Adjustment 27'!G1032*$AS$1</f>
        <v>0</v>
      </c>
      <c r="AT1027" s="133"/>
      <c r="AU1027" s="133">
        <f ca="1">SUM(F1027:AT1027)</f>
        <v>195864.56080086716</v>
      </c>
      <c r="AV1027" s="116"/>
      <c r="AW1027" s="133">
        <f ca="1">SUM(AU1027:AU1027)</f>
        <v>195864.56080086716</v>
      </c>
      <c r="AX1027" s="133">
        <f ca="1">+AW1027-'ROR-Model'!G1043</f>
        <v>0</v>
      </c>
    </row>
    <row r="1028" spans="1:50">
      <c r="A1028" s="102"/>
      <c r="B1028" s="102"/>
      <c r="C1028" s="102" t="s">
        <v>593</v>
      </c>
      <c r="D1028" s="102"/>
      <c r="E1028" s="331"/>
      <c r="F1028" s="116">
        <f ca="1">'Rate Base'!$AQ$93*$F$1</f>
        <v>5333307.1085435003</v>
      </c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33"/>
      <c r="R1028" s="133"/>
      <c r="S1028" s="133"/>
      <c r="T1028" s="133">
        <f>'Optional Adjustment 2'!G1033*$T$1</f>
        <v>0</v>
      </c>
      <c r="U1028" s="133">
        <f>'Optional Adjustment 3'!G1033*$U$1</f>
        <v>0</v>
      </c>
      <c r="V1028" s="133">
        <f>'Optional Adjustment 4'!G1033*$V$1</f>
        <v>0</v>
      </c>
      <c r="W1028" s="133">
        <f>'Optional Adjustment 5'!G1033*$W$1</f>
        <v>0</v>
      </c>
      <c r="X1028" s="133">
        <f>'Optional Adjustment 6'!G1033*$X$1</f>
        <v>0</v>
      </c>
      <c r="Y1028" s="133">
        <f>'Optional Adjustment 7'!G1033*$Y$1</f>
        <v>0</v>
      </c>
      <c r="Z1028" s="133">
        <f>'Optional Adjustment 8'!G1033*$Z$1</f>
        <v>0</v>
      </c>
      <c r="AA1028" s="133">
        <f>'Optional Adjustment 9'!G1033*$AA$1</f>
        <v>0</v>
      </c>
      <c r="AB1028" s="133">
        <f>'Optional Adjustment 10'!G1033*$AB$1</f>
        <v>0</v>
      </c>
      <c r="AC1028" s="133">
        <f>'Optional Adjustment 11'!G1033*$AC$1</f>
        <v>0</v>
      </c>
      <c r="AD1028" s="133">
        <f>'Optional Adjustment 12'!G1033*$AD$1</f>
        <v>0</v>
      </c>
      <c r="AE1028" s="133">
        <f>'Optional Adjustment 13'!G1033*$AE$1</f>
        <v>0</v>
      </c>
      <c r="AF1028" s="133">
        <f>'Optional Adjustment 14'!G1033*$AF$1</f>
        <v>0</v>
      </c>
      <c r="AG1028" s="133">
        <f>'Optional Adjustment 15'!G1033*$AG$1</f>
        <v>0</v>
      </c>
      <c r="AH1028" s="133">
        <f>'Optional Adjustment 16'!G1033*$AH$1</f>
        <v>0</v>
      </c>
      <c r="AI1028" s="133">
        <f>'Optional Adjustment 17'!G1033*$AI$1</f>
        <v>0</v>
      </c>
      <c r="AJ1028" s="133">
        <f>'Optional Adjustment 18'!G1033*$AJ$1</f>
        <v>0</v>
      </c>
      <c r="AK1028" s="133">
        <f>'Optional Adjustment 19'!G1033*$AK$1</f>
        <v>0</v>
      </c>
      <c r="AL1028" s="133">
        <f>'Optional Adjustment 20'!G1033*$AL$1</f>
        <v>0</v>
      </c>
      <c r="AM1028" s="133">
        <f>'Optional Adjustment 21'!G1033*$AM$1</f>
        <v>0</v>
      </c>
      <c r="AN1028" s="133">
        <f>'Optional Adjustment 22'!G1033*$AN$1</f>
        <v>0</v>
      </c>
      <c r="AO1028" s="133">
        <f>'Optional Adjustment 23'!G1033*$AO$1</f>
        <v>0</v>
      </c>
      <c r="AP1028" s="133">
        <f>'Optional Adjustment 24'!G1033*$AP$1</f>
        <v>0</v>
      </c>
      <c r="AQ1028" s="133">
        <f>'Optional Adjustment 25'!G1033*$AQ$1</f>
        <v>0</v>
      </c>
      <c r="AR1028" s="133">
        <f>'Optional Adjustment 26'!G1033*$AR$1</f>
        <v>0</v>
      </c>
      <c r="AS1028" s="133">
        <f>'Optional Adjustment 27'!G1033*$AS$1</f>
        <v>0</v>
      </c>
      <c r="AT1028" s="133"/>
      <c r="AU1028" s="133">
        <f ca="1">SUM(F1028:AT1028)</f>
        <v>5333307.1085435003</v>
      </c>
      <c r="AV1028" s="116"/>
      <c r="AW1028" s="133">
        <f ca="1">SUM(AU1028:AU1028)</f>
        <v>5333307.1085435003</v>
      </c>
      <c r="AX1028" s="133">
        <f ca="1">+AW1028-'ROR-Model'!G1044</f>
        <v>0</v>
      </c>
    </row>
    <row r="1029" spans="1:50">
      <c r="A1029" s="102"/>
      <c r="B1029" s="102"/>
      <c r="C1029" s="102" t="s">
        <v>595</v>
      </c>
      <c r="D1029" s="102"/>
      <c r="E1029" s="331"/>
      <c r="F1029" s="116">
        <f ca="1">'Rate Base'!$AQ$94*$F$1</f>
        <v>6183582.5232958943</v>
      </c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33"/>
      <c r="R1029" s="133"/>
      <c r="S1029" s="133"/>
      <c r="T1029" s="133">
        <f>'Optional Adjustment 2'!G1034*$T$1</f>
        <v>0</v>
      </c>
      <c r="U1029" s="133">
        <f>'Optional Adjustment 3'!G1034*$U$1</f>
        <v>0</v>
      </c>
      <c r="V1029" s="133">
        <f>'Optional Adjustment 4'!G1034*$V$1</f>
        <v>0</v>
      </c>
      <c r="W1029" s="133">
        <f>'Optional Adjustment 5'!G1034*$W$1</f>
        <v>0</v>
      </c>
      <c r="X1029" s="133">
        <f>'Optional Adjustment 6'!G1034*$X$1</f>
        <v>0</v>
      </c>
      <c r="Y1029" s="133">
        <f>'Optional Adjustment 7'!G1034*$Y$1</f>
        <v>0</v>
      </c>
      <c r="Z1029" s="133">
        <f>'Optional Adjustment 8'!G1034*$Z$1</f>
        <v>0</v>
      </c>
      <c r="AA1029" s="133">
        <f>'Optional Adjustment 9'!G1034*$AA$1</f>
        <v>0</v>
      </c>
      <c r="AB1029" s="133">
        <f>'Optional Adjustment 10'!G1034*$AB$1</f>
        <v>0</v>
      </c>
      <c r="AC1029" s="133">
        <f>'Optional Adjustment 11'!G1034*$AC$1</f>
        <v>0</v>
      </c>
      <c r="AD1029" s="133">
        <f>'Optional Adjustment 12'!G1034*$AD$1</f>
        <v>0</v>
      </c>
      <c r="AE1029" s="133">
        <f>'Optional Adjustment 13'!G1034*$AE$1</f>
        <v>0</v>
      </c>
      <c r="AF1029" s="133">
        <f>'Optional Adjustment 14'!G1034*$AF$1</f>
        <v>0</v>
      </c>
      <c r="AG1029" s="133">
        <f>'Optional Adjustment 15'!G1034*$AG$1</f>
        <v>0</v>
      </c>
      <c r="AH1029" s="133">
        <f>'Optional Adjustment 16'!G1034*$AH$1</f>
        <v>0</v>
      </c>
      <c r="AI1029" s="133">
        <f>'Optional Adjustment 17'!G1034*$AI$1</f>
        <v>0</v>
      </c>
      <c r="AJ1029" s="133">
        <f>'Optional Adjustment 18'!G1034*$AJ$1</f>
        <v>0</v>
      </c>
      <c r="AK1029" s="133">
        <f>'Optional Adjustment 19'!G1034*$AK$1</f>
        <v>0</v>
      </c>
      <c r="AL1029" s="133">
        <f>'Optional Adjustment 20'!G1034*$AL$1</f>
        <v>0</v>
      </c>
      <c r="AM1029" s="133">
        <f>'Optional Adjustment 21'!G1034*$AM$1</f>
        <v>0</v>
      </c>
      <c r="AN1029" s="133">
        <f>'Optional Adjustment 22'!G1034*$AN$1</f>
        <v>0</v>
      </c>
      <c r="AO1029" s="133">
        <f>'Optional Adjustment 23'!G1034*$AO$1</f>
        <v>0</v>
      </c>
      <c r="AP1029" s="133">
        <f>'Optional Adjustment 24'!G1034*$AP$1</f>
        <v>0</v>
      </c>
      <c r="AQ1029" s="133">
        <f>'Optional Adjustment 25'!G1034*$AQ$1</f>
        <v>0</v>
      </c>
      <c r="AR1029" s="133">
        <f>'Optional Adjustment 26'!G1034*$AR$1</f>
        <v>0</v>
      </c>
      <c r="AS1029" s="133">
        <f>'Optional Adjustment 27'!G1034*$AS$1</f>
        <v>0</v>
      </c>
      <c r="AT1029" s="133"/>
      <c r="AU1029" s="133">
        <f ca="1">SUM(F1029:AT1029)</f>
        <v>6183582.5232958943</v>
      </c>
      <c r="AV1029" s="116"/>
      <c r="AW1029" s="133">
        <f ca="1">SUM(AU1029:AU1029)</f>
        <v>6183582.5232958943</v>
      </c>
      <c r="AX1029" s="133">
        <f ca="1">+AW1029-'ROR-Model'!G1045</f>
        <v>0</v>
      </c>
    </row>
    <row r="1030" spans="1:50">
      <c r="A1030" s="102"/>
      <c r="B1030" s="102"/>
      <c r="C1030" s="102" t="s">
        <v>170</v>
      </c>
      <c r="D1030" s="102"/>
      <c r="E1030" s="331"/>
      <c r="F1030" s="116">
        <f ca="1">'Rate Base'!$AQ$95*$F$1</f>
        <v>11712754.192640245</v>
      </c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33"/>
      <c r="R1030" s="133"/>
      <c r="S1030" s="133"/>
      <c r="T1030" s="133">
        <f>'Optional Adjustment 2'!G1035*$T$1</f>
        <v>0</v>
      </c>
      <c r="U1030" s="133">
        <f>'Optional Adjustment 3'!G1035*$U$1</f>
        <v>0</v>
      </c>
      <c r="V1030" s="133">
        <f>'Optional Adjustment 4'!G1035*$V$1</f>
        <v>0</v>
      </c>
      <c r="W1030" s="133">
        <f>'Optional Adjustment 5'!G1035*$W$1</f>
        <v>0</v>
      </c>
      <c r="X1030" s="133">
        <f>'Optional Adjustment 6'!G1035*$X$1</f>
        <v>0</v>
      </c>
      <c r="Y1030" s="133">
        <f>'Optional Adjustment 7'!G1035*$Y$1</f>
        <v>0</v>
      </c>
      <c r="Z1030" s="133">
        <f>'Optional Adjustment 8'!G1035*$Z$1</f>
        <v>0</v>
      </c>
      <c r="AA1030" s="133">
        <f>'Optional Adjustment 9'!G1035*$AA$1</f>
        <v>0</v>
      </c>
      <c r="AB1030" s="133">
        <f>'Optional Adjustment 10'!G1035*$AB$1</f>
        <v>0</v>
      </c>
      <c r="AC1030" s="133">
        <f>'Optional Adjustment 11'!G1035*$AC$1</f>
        <v>0</v>
      </c>
      <c r="AD1030" s="133">
        <f>'Optional Adjustment 12'!G1035*$AD$1</f>
        <v>0</v>
      </c>
      <c r="AE1030" s="133">
        <f>'Optional Adjustment 13'!G1035*$AE$1</f>
        <v>0</v>
      </c>
      <c r="AF1030" s="133">
        <f>'Optional Adjustment 14'!G1035*$AF$1</f>
        <v>0</v>
      </c>
      <c r="AG1030" s="133">
        <f>'Optional Adjustment 15'!G1035*$AG$1</f>
        <v>0</v>
      </c>
      <c r="AH1030" s="133">
        <f>'Optional Adjustment 16'!G1035*$AH$1</f>
        <v>0</v>
      </c>
      <c r="AI1030" s="133">
        <f>'Optional Adjustment 17'!G1035*$AI$1</f>
        <v>0</v>
      </c>
      <c r="AJ1030" s="133">
        <f>'Optional Adjustment 18'!G1035*$AJ$1</f>
        <v>0</v>
      </c>
      <c r="AK1030" s="133">
        <f>'Optional Adjustment 19'!G1035*$AK$1</f>
        <v>0</v>
      </c>
      <c r="AL1030" s="133">
        <f>'Optional Adjustment 20'!G1035*$AL$1</f>
        <v>0</v>
      </c>
      <c r="AM1030" s="133">
        <f>'Optional Adjustment 21'!G1035*$AM$1</f>
        <v>0</v>
      </c>
      <c r="AN1030" s="133">
        <f>'Optional Adjustment 22'!G1035*$AN$1</f>
        <v>0</v>
      </c>
      <c r="AO1030" s="133">
        <f>'Optional Adjustment 23'!G1035*$AO$1</f>
        <v>0</v>
      </c>
      <c r="AP1030" s="133">
        <f>'Optional Adjustment 24'!G1035*$AP$1</f>
        <v>0</v>
      </c>
      <c r="AQ1030" s="133">
        <f>'Optional Adjustment 25'!G1035*$AQ$1</f>
        <v>0</v>
      </c>
      <c r="AR1030" s="133">
        <f>'Optional Adjustment 26'!G1035*$AR$1</f>
        <v>0</v>
      </c>
      <c r="AS1030" s="133">
        <f>'Optional Adjustment 27'!G1035*$AS$1</f>
        <v>0</v>
      </c>
      <c r="AT1030" s="133"/>
      <c r="AU1030" s="133">
        <f ca="1">SUM(F1030:AT1030)</f>
        <v>11712754.192640245</v>
      </c>
      <c r="AV1030" s="116"/>
      <c r="AW1030" s="133">
        <f ca="1">SUM(AU1030:AU1030)</f>
        <v>11712754.192640245</v>
      </c>
      <c r="AX1030" s="133">
        <f ca="1">+AW1030-'ROR-Model'!G1046</f>
        <v>0</v>
      </c>
    </row>
    <row r="1031" spans="1:50">
      <c r="A1031" s="102"/>
      <c r="B1031" s="102"/>
      <c r="C1031" s="102"/>
      <c r="D1031" s="102"/>
      <c r="E1031" s="331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33"/>
      <c r="R1031" s="133"/>
      <c r="S1031" s="133"/>
      <c r="T1031" s="133"/>
      <c r="U1031" s="133"/>
      <c r="V1031" s="133"/>
      <c r="W1031" s="133"/>
      <c r="X1031" s="133"/>
      <c r="Y1031" s="133"/>
      <c r="Z1031" s="133"/>
      <c r="AA1031" s="133"/>
      <c r="AB1031" s="133"/>
      <c r="AC1031" s="133"/>
      <c r="AD1031" s="133"/>
      <c r="AE1031" s="133"/>
      <c r="AF1031" s="133"/>
      <c r="AG1031" s="133"/>
      <c r="AH1031" s="133"/>
      <c r="AI1031" s="133"/>
      <c r="AJ1031" s="133"/>
      <c r="AK1031" s="133"/>
      <c r="AL1031" s="133"/>
      <c r="AM1031" s="133"/>
      <c r="AN1031" s="133"/>
      <c r="AO1031" s="133"/>
      <c r="AP1031" s="133"/>
      <c r="AQ1031" s="133"/>
      <c r="AR1031" s="133"/>
      <c r="AS1031" s="133"/>
      <c r="AT1031" s="133"/>
      <c r="AU1031" s="133"/>
      <c r="AV1031" s="116"/>
      <c r="AW1031" s="133"/>
      <c r="AX1031" s="133">
        <f>+AW1031-'ROR-Model'!G1047</f>
        <v>0</v>
      </c>
    </row>
    <row r="1032" spans="1:50">
      <c r="A1032" s="102" t="s">
        <v>260</v>
      </c>
      <c r="B1032" s="102" t="s">
        <v>261</v>
      </c>
      <c r="C1032" s="102"/>
      <c r="D1032" s="102"/>
      <c r="E1032" s="331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33"/>
      <c r="R1032" s="133"/>
      <c r="S1032" s="133"/>
      <c r="T1032" s="133"/>
      <c r="U1032" s="133"/>
      <c r="V1032" s="133"/>
      <c r="W1032" s="133"/>
      <c r="X1032" s="133"/>
      <c r="Y1032" s="133"/>
      <c r="Z1032" s="133"/>
      <c r="AA1032" s="133"/>
      <c r="AB1032" s="133"/>
      <c r="AC1032" s="133"/>
      <c r="AD1032" s="133"/>
      <c r="AE1032" s="133"/>
      <c r="AF1032" s="133"/>
      <c r="AG1032" s="133"/>
      <c r="AH1032" s="133"/>
      <c r="AI1032" s="133"/>
      <c r="AJ1032" s="133"/>
      <c r="AK1032" s="133"/>
      <c r="AL1032" s="133"/>
      <c r="AM1032" s="133"/>
      <c r="AN1032" s="133"/>
      <c r="AO1032" s="133"/>
      <c r="AP1032" s="133"/>
      <c r="AQ1032" s="133"/>
      <c r="AR1032" s="133"/>
      <c r="AS1032" s="133"/>
      <c r="AT1032" s="133"/>
      <c r="AU1032" s="133"/>
      <c r="AV1032" s="116"/>
      <c r="AW1032" s="133"/>
      <c r="AX1032" s="133">
        <f>+AW1032-'ROR-Model'!G1048</f>
        <v>0</v>
      </c>
    </row>
    <row r="1033" spans="1:50">
      <c r="A1033" s="102"/>
      <c r="B1033" s="102"/>
      <c r="C1033" s="102" t="s">
        <v>592</v>
      </c>
      <c r="D1033" s="102"/>
      <c r="E1033" s="331"/>
      <c r="F1033" s="116">
        <f ca="1">'Rate Base'!$AQ$98*$F$1</f>
        <v>-21450.084111382821</v>
      </c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33"/>
      <c r="R1033" s="133"/>
      <c r="S1033" s="133"/>
      <c r="T1033" s="133">
        <f>'Optional Adjustment 2'!G1038*$T$1</f>
        <v>0</v>
      </c>
      <c r="U1033" s="133">
        <f>'Optional Adjustment 3'!G1038*$U$1</f>
        <v>0</v>
      </c>
      <c r="V1033" s="133">
        <f>'Optional Adjustment 4'!G1038*$V$1</f>
        <v>0</v>
      </c>
      <c r="W1033" s="133">
        <f>'Optional Adjustment 5'!G1038*$W$1</f>
        <v>0</v>
      </c>
      <c r="X1033" s="133">
        <f>'Optional Adjustment 6'!G1038*$X$1</f>
        <v>0</v>
      </c>
      <c r="Y1033" s="133">
        <f>'Optional Adjustment 7'!G1038*$Y$1</f>
        <v>0</v>
      </c>
      <c r="Z1033" s="133">
        <f>'Optional Adjustment 8'!G1038*$Z$1</f>
        <v>0</v>
      </c>
      <c r="AA1033" s="133">
        <f>'Optional Adjustment 9'!G1038*$AA$1</f>
        <v>0</v>
      </c>
      <c r="AB1033" s="133">
        <f>'Optional Adjustment 10'!G1038*$AB$1</f>
        <v>0</v>
      </c>
      <c r="AC1033" s="133">
        <f>'Optional Adjustment 11'!G1038*$AC$1</f>
        <v>0</v>
      </c>
      <c r="AD1033" s="133">
        <f>'Optional Adjustment 12'!G1038*$AD$1</f>
        <v>0</v>
      </c>
      <c r="AE1033" s="133">
        <f>'Optional Adjustment 13'!G1038*$AE$1</f>
        <v>0</v>
      </c>
      <c r="AF1033" s="133">
        <f>'Optional Adjustment 14'!G1038*$AF$1</f>
        <v>0</v>
      </c>
      <c r="AG1033" s="133">
        <f>'Optional Adjustment 15'!G1038*$AG$1</f>
        <v>0</v>
      </c>
      <c r="AH1033" s="133">
        <f>'Optional Adjustment 16'!G1038*$AH$1</f>
        <v>0</v>
      </c>
      <c r="AI1033" s="133">
        <f>'Optional Adjustment 17'!G1038*$AI$1</f>
        <v>0</v>
      </c>
      <c r="AJ1033" s="133">
        <f>'Optional Adjustment 18'!G1038*$AJ$1</f>
        <v>0</v>
      </c>
      <c r="AK1033" s="133">
        <f>'Optional Adjustment 19'!G1038*$AK$1</f>
        <v>0</v>
      </c>
      <c r="AL1033" s="133">
        <f>'Optional Adjustment 20'!G1038*$AL$1</f>
        <v>0</v>
      </c>
      <c r="AM1033" s="133">
        <f>'Optional Adjustment 21'!G1038*$AM$1</f>
        <v>0</v>
      </c>
      <c r="AN1033" s="133">
        <f>'Optional Adjustment 22'!G1038*$AN$1</f>
        <v>0</v>
      </c>
      <c r="AO1033" s="133">
        <f>'Optional Adjustment 23'!G1038*$AO$1</f>
        <v>0</v>
      </c>
      <c r="AP1033" s="133">
        <f>'Optional Adjustment 24'!G1038*$AP$1</f>
        <v>0</v>
      </c>
      <c r="AQ1033" s="133">
        <f>'Optional Adjustment 25'!G1038*$AQ$1</f>
        <v>0</v>
      </c>
      <c r="AR1033" s="133">
        <f>'Optional Adjustment 26'!G1038*$AR$1</f>
        <v>0</v>
      </c>
      <c r="AS1033" s="133">
        <f>'Optional Adjustment 27'!G1038*$AS$1</f>
        <v>0</v>
      </c>
      <c r="AT1033" s="133"/>
      <c r="AU1033" s="133">
        <f ca="1">SUM(F1033:AT1033)</f>
        <v>-21450.084111382821</v>
      </c>
      <c r="AV1033" s="116"/>
      <c r="AW1033" s="133">
        <f ca="1">SUM(AU1033:AU1033)</f>
        <v>-21450.084111382821</v>
      </c>
      <c r="AX1033" s="133">
        <f ca="1">+AW1033-'ROR-Model'!G1049</f>
        <v>0</v>
      </c>
    </row>
    <row r="1034" spans="1:50">
      <c r="A1034" s="102"/>
      <c r="B1034" s="102"/>
      <c r="C1034" s="102" t="s">
        <v>593</v>
      </c>
      <c r="D1034" s="102"/>
      <c r="E1034" s="331"/>
      <c r="F1034" s="116">
        <f ca="1">'Rate Base'!$AQ$99*$F$1</f>
        <v>-1842841.9701412003</v>
      </c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33"/>
      <c r="R1034" s="133"/>
      <c r="S1034" s="133"/>
      <c r="T1034" s="133">
        <f>'Optional Adjustment 2'!G1039*$T$1</f>
        <v>0</v>
      </c>
      <c r="U1034" s="133">
        <f>'Optional Adjustment 3'!G1039*$U$1</f>
        <v>0</v>
      </c>
      <c r="V1034" s="133">
        <f>'Optional Adjustment 4'!G1039*$V$1</f>
        <v>0</v>
      </c>
      <c r="W1034" s="133">
        <f>'Optional Adjustment 5'!G1039*$W$1</f>
        <v>0</v>
      </c>
      <c r="X1034" s="133">
        <f>'Optional Adjustment 6'!G1039*$X$1</f>
        <v>0</v>
      </c>
      <c r="Y1034" s="133">
        <f>'Optional Adjustment 7'!G1039*$Y$1</f>
        <v>0</v>
      </c>
      <c r="Z1034" s="133">
        <f>'Optional Adjustment 8'!G1039*$Z$1</f>
        <v>0</v>
      </c>
      <c r="AA1034" s="133">
        <f>'Optional Adjustment 9'!G1039*$AA$1</f>
        <v>0</v>
      </c>
      <c r="AB1034" s="133">
        <f>'Optional Adjustment 10'!G1039*$AB$1</f>
        <v>0</v>
      </c>
      <c r="AC1034" s="133">
        <f>'Optional Adjustment 11'!G1039*$AC$1</f>
        <v>0</v>
      </c>
      <c r="AD1034" s="133">
        <f>'Optional Adjustment 12'!G1039*$AD$1</f>
        <v>0</v>
      </c>
      <c r="AE1034" s="133">
        <f>'Optional Adjustment 13'!G1039*$AE$1</f>
        <v>0</v>
      </c>
      <c r="AF1034" s="133">
        <f>'Optional Adjustment 14'!G1039*$AF$1</f>
        <v>0</v>
      </c>
      <c r="AG1034" s="133">
        <f>'Optional Adjustment 15'!G1039*$AG$1</f>
        <v>0</v>
      </c>
      <c r="AH1034" s="133">
        <f>'Optional Adjustment 16'!G1039*$AH$1</f>
        <v>0</v>
      </c>
      <c r="AI1034" s="133">
        <f>'Optional Adjustment 17'!G1039*$AI$1</f>
        <v>0</v>
      </c>
      <c r="AJ1034" s="133">
        <f>'Optional Adjustment 18'!G1039*$AJ$1</f>
        <v>0</v>
      </c>
      <c r="AK1034" s="133">
        <f>'Optional Adjustment 19'!G1039*$AK$1</f>
        <v>0</v>
      </c>
      <c r="AL1034" s="133">
        <f>'Optional Adjustment 20'!G1039*$AL$1</f>
        <v>0</v>
      </c>
      <c r="AM1034" s="133">
        <f>'Optional Adjustment 21'!G1039*$AM$1</f>
        <v>0</v>
      </c>
      <c r="AN1034" s="133">
        <f>'Optional Adjustment 22'!G1039*$AN$1</f>
        <v>0</v>
      </c>
      <c r="AO1034" s="133">
        <f>'Optional Adjustment 23'!G1039*$AO$1</f>
        <v>0</v>
      </c>
      <c r="AP1034" s="133">
        <f>'Optional Adjustment 24'!G1039*$AP$1</f>
        <v>0</v>
      </c>
      <c r="AQ1034" s="133">
        <f>'Optional Adjustment 25'!G1039*$AQ$1</f>
        <v>0</v>
      </c>
      <c r="AR1034" s="133">
        <f>'Optional Adjustment 26'!G1039*$AR$1</f>
        <v>0</v>
      </c>
      <c r="AS1034" s="133">
        <f>'Optional Adjustment 27'!G1039*$AS$1</f>
        <v>0</v>
      </c>
      <c r="AT1034" s="133"/>
      <c r="AU1034" s="133">
        <f ca="1">SUM(F1034:AT1034)</f>
        <v>-1842841.9701412003</v>
      </c>
      <c r="AV1034" s="116"/>
      <c r="AW1034" s="133">
        <f ca="1">SUM(AU1034:AU1034)</f>
        <v>-1842841.9701412003</v>
      </c>
      <c r="AX1034" s="133">
        <f ca="1">+AW1034-'ROR-Model'!G1050</f>
        <v>0</v>
      </c>
    </row>
    <row r="1035" spans="1:50">
      <c r="A1035" s="102"/>
      <c r="B1035" s="102"/>
      <c r="C1035" s="102" t="s">
        <v>595</v>
      </c>
      <c r="D1035" s="102"/>
      <c r="E1035" s="331"/>
      <c r="F1035" s="116">
        <f ca="1">'Rate Base'!$AQ$100*$F$1</f>
        <v>-5767187.3540278301</v>
      </c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33"/>
      <c r="R1035" s="133"/>
      <c r="S1035" s="133"/>
      <c r="T1035" s="133">
        <f>'Optional Adjustment 2'!G1040*$T$1</f>
        <v>0</v>
      </c>
      <c r="U1035" s="133">
        <f>'Optional Adjustment 3'!G1040*$U$1</f>
        <v>0</v>
      </c>
      <c r="V1035" s="133">
        <f>'Optional Adjustment 4'!G1040*$V$1</f>
        <v>0</v>
      </c>
      <c r="W1035" s="133">
        <f>'Optional Adjustment 5'!G1040*$W$1</f>
        <v>0</v>
      </c>
      <c r="X1035" s="133">
        <f>'Optional Adjustment 6'!G1040*$X$1</f>
        <v>0</v>
      </c>
      <c r="Y1035" s="133">
        <f>'Optional Adjustment 7'!G1040*$Y$1</f>
        <v>0</v>
      </c>
      <c r="Z1035" s="133">
        <f>'Optional Adjustment 8'!G1040*$Z$1</f>
        <v>0</v>
      </c>
      <c r="AA1035" s="133">
        <f>'Optional Adjustment 9'!G1040*$AA$1</f>
        <v>0</v>
      </c>
      <c r="AB1035" s="133">
        <f>'Optional Adjustment 10'!G1040*$AB$1</f>
        <v>0</v>
      </c>
      <c r="AC1035" s="133">
        <f>'Optional Adjustment 11'!G1040*$AC$1</f>
        <v>0</v>
      </c>
      <c r="AD1035" s="133">
        <f>'Optional Adjustment 12'!G1040*$AD$1</f>
        <v>0</v>
      </c>
      <c r="AE1035" s="133">
        <f>'Optional Adjustment 13'!G1040*$AE$1</f>
        <v>0</v>
      </c>
      <c r="AF1035" s="133">
        <f>'Optional Adjustment 14'!G1040*$AF$1</f>
        <v>0</v>
      </c>
      <c r="AG1035" s="133">
        <f>'Optional Adjustment 15'!G1040*$AG$1</f>
        <v>0</v>
      </c>
      <c r="AH1035" s="133">
        <f>'Optional Adjustment 16'!G1040*$AH$1</f>
        <v>0</v>
      </c>
      <c r="AI1035" s="133">
        <f>'Optional Adjustment 17'!G1040*$AI$1</f>
        <v>0</v>
      </c>
      <c r="AJ1035" s="133">
        <f>'Optional Adjustment 18'!G1040*$AJ$1</f>
        <v>0</v>
      </c>
      <c r="AK1035" s="133">
        <f>'Optional Adjustment 19'!G1040*$AK$1</f>
        <v>0</v>
      </c>
      <c r="AL1035" s="133">
        <f>'Optional Adjustment 20'!G1040*$AL$1</f>
        <v>0</v>
      </c>
      <c r="AM1035" s="133">
        <f>'Optional Adjustment 21'!G1040*$AM$1</f>
        <v>0</v>
      </c>
      <c r="AN1035" s="133">
        <f>'Optional Adjustment 22'!G1040*$AN$1</f>
        <v>0</v>
      </c>
      <c r="AO1035" s="133">
        <f>'Optional Adjustment 23'!G1040*$AO$1</f>
        <v>0</v>
      </c>
      <c r="AP1035" s="133">
        <f>'Optional Adjustment 24'!G1040*$AP$1</f>
        <v>0</v>
      </c>
      <c r="AQ1035" s="133">
        <f>'Optional Adjustment 25'!G1040*$AQ$1</f>
        <v>0</v>
      </c>
      <c r="AR1035" s="133">
        <f>'Optional Adjustment 26'!G1040*$AR$1</f>
        <v>0</v>
      </c>
      <c r="AS1035" s="133">
        <f>'Optional Adjustment 27'!G1040*$AS$1</f>
        <v>0</v>
      </c>
      <c r="AT1035" s="133"/>
      <c r="AU1035" s="133">
        <f ca="1">SUM(F1035:AT1035)</f>
        <v>-5767187.3540278301</v>
      </c>
      <c r="AV1035" s="116"/>
      <c r="AW1035" s="133">
        <f ca="1">SUM(AU1035:AU1035)</f>
        <v>-5767187.3540278301</v>
      </c>
      <c r="AX1035" s="133">
        <f ca="1">+AW1035-'ROR-Model'!G1051</f>
        <v>0</v>
      </c>
    </row>
    <row r="1036" spans="1:50">
      <c r="A1036" s="102"/>
      <c r="B1036" s="102"/>
      <c r="C1036" s="102" t="s">
        <v>170</v>
      </c>
      <c r="D1036" s="102"/>
      <c r="E1036" s="331"/>
      <c r="F1036" s="116">
        <f ca="1">'Rate Base'!$AQ$101*$F$1</f>
        <v>-7631479.4082804173</v>
      </c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33"/>
      <c r="R1036" s="133"/>
      <c r="S1036" s="133"/>
      <c r="T1036" s="133">
        <f>'Optional Adjustment 2'!G1041*$T$1</f>
        <v>0</v>
      </c>
      <c r="U1036" s="133">
        <f>'Optional Adjustment 3'!G1041*$U$1</f>
        <v>0</v>
      </c>
      <c r="V1036" s="133">
        <f>'Optional Adjustment 4'!G1041*$V$1</f>
        <v>0</v>
      </c>
      <c r="W1036" s="133">
        <f>'Optional Adjustment 5'!G1041*$W$1</f>
        <v>0</v>
      </c>
      <c r="X1036" s="133">
        <f>'Optional Adjustment 6'!G1041*$X$1</f>
        <v>0</v>
      </c>
      <c r="Y1036" s="133">
        <f>'Optional Adjustment 7'!G1041*$Y$1</f>
        <v>0</v>
      </c>
      <c r="Z1036" s="133">
        <f>'Optional Adjustment 8'!G1041*$Z$1</f>
        <v>0</v>
      </c>
      <c r="AA1036" s="133">
        <f>'Optional Adjustment 9'!G1041*$AA$1</f>
        <v>0</v>
      </c>
      <c r="AB1036" s="133">
        <f>'Optional Adjustment 10'!G1041*$AB$1</f>
        <v>0</v>
      </c>
      <c r="AC1036" s="133">
        <f>'Optional Adjustment 11'!G1041*$AC$1</f>
        <v>0</v>
      </c>
      <c r="AD1036" s="133">
        <f>'Optional Adjustment 12'!G1041*$AD$1</f>
        <v>0</v>
      </c>
      <c r="AE1036" s="133">
        <f>'Optional Adjustment 13'!G1041*$AE$1</f>
        <v>0</v>
      </c>
      <c r="AF1036" s="133">
        <f>'Optional Adjustment 14'!G1041*$AF$1</f>
        <v>0</v>
      </c>
      <c r="AG1036" s="133">
        <f>'Optional Adjustment 15'!G1041*$AG$1</f>
        <v>0</v>
      </c>
      <c r="AH1036" s="133">
        <f>'Optional Adjustment 16'!G1041*$AH$1</f>
        <v>0</v>
      </c>
      <c r="AI1036" s="133">
        <f>'Optional Adjustment 17'!G1041*$AI$1</f>
        <v>0</v>
      </c>
      <c r="AJ1036" s="133">
        <f>'Optional Adjustment 18'!G1041*$AJ$1</f>
        <v>0</v>
      </c>
      <c r="AK1036" s="133">
        <f>'Optional Adjustment 19'!G1041*$AK$1</f>
        <v>0</v>
      </c>
      <c r="AL1036" s="133">
        <f>'Optional Adjustment 20'!G1041*$AL$1</f>
        <v>0</v>
      </c>
      <c r="AM1036" s="133">
        <f>'Optional Adjustment 21'!G1041*$AM$1</f>
        <v>0</v>
      </c>
      <c r="AN1036" s="133">
        <f>'Optional Adjustment 22'!G1041*$AN$1</f>
        <v>0</v>
      </c>
      <c r="AO1036" s="133">
        <f>'Optional Adjustment 23'!G1041*$AO$1</f>
        <v>0</v>
      </c>
      <c r="AP1036" s="133">
        <f>'Optional Adjustment 24'!G1041*$AP$1</f>
        <v>0</v>
      </c>
      <c r="AQ1036" s="133">
        <f>'Optional Adjustment 25'!G1041*$AQ$1</f>
        <v>0</v>
      </c>
      <c r="AR1036" s="133">
        <f>'Optional Adjustment 26'!G1041*$AR$1</f>
        <v>0</v>
      </c>
      <c r="AS1036" s="133">
        <f>'Optional Adjustment 27'!G1041*$AS$1</f>
        <v>0</v>
      </c>
      <c r="AT1036" s="133"/>
      <c r="AU1036" s="133">
        <f ca="1">SUM(F1036:AT1036)</f>
        <v>-7631479.4082804173</v>
      </c>
      <c r="AV1036" s="116"/>
      <c r="AW1036" s="133">
        <f ca="1">SUM(AU1036:AU1036)</f>
        <v>-7631479.4082804173</v>
      </c>
      <c r="AX1036" s="133">
        <f ca="1">+AW1036-'ROR-Model'!G1052</f>
        <v>0</v>
      </c>
    </row>
    <row r="1037" spans="1:50">
      <c r="A1037" s="102"/>
      <c r="B1037" s="102"/>
      <c r="C1037" s="102"/>
      <c r="D1037" s="102"/>
      <c r="E1037" s="331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33"/>
      <c r="R1037" s="133"/>
      <c r="S1037" s="133"/>
      <c r="T1037" s="133"/>
      <c r="U1037" s="133"/>
      <c r="V1037" s="133"/>
      <c r="W1037" s="133"/>
      <c r="X1037" s="133"/>
      <c r="Y1037" s="133"/>
      <c r="Z1037" s="133"/>
      <c r="AA1037" s="133"/>
      <c r="AB1037" s="133"/>
      <c r="AC1037" s="133"/>
      <c r="AD1037" s="133"/>
      <c r="AE1037" s="133"/>
      <c r="AF1037" s="133"/>
      <c r="AG1037" s="133"/>
      <c r="AH1037" s="133"/>
      <c r="AI1037" s="133"/>
      <c r="AJ1037" s="133"/>
      <c r="AK1037" s="133"/>
      <c r="AL1037" s="133"/>
      <c r="AM1037" s="133"/>
      <c r="AN1037" s="133"/>
      <c r="AO1037" s="133"/>
      <c r="AP1037" s="133"/>
      <c r="AQ1037" s="133"/>
      <c r="AR1037" s="133"/>
      <c r="AS1037" s="133"/>
      <c r="AT1037" s="133"/>
      <c r="AU1037" s="133"/>
      <c r="AV1037" s="116"/>
      <c r="AW1037" s="133"/>
      <c r="AX1037" s="133">
        <f>+AW1037-'ROR-Model'!G1053</f>
        <v>0</v>
      </c>
    </row>
    <row r="1038" spans="1:50">
      <c r="A1038" s="102" t="s">
        <v>262</v>
      </c>
      <c r="B1038" s="102" t="s">
        <v>263</v>
      </c>
      <c r="C1038" s="102"/>
      <c r="D1038" s="102"/>
      <c r="E1038" s="331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33"/>
      <c r="R1038" s="133"/>
      <c r="S1038" s="133"/>
      <c r="T1038" s="133"/>
      <c r="U1038" s="133"/>
      <c r="V1038" s="133"/>
      <c r="W1038" s="133"/>
      <c r="X1038" s="133"/>
      <c r="Y1038" s="133"/>
      <c r="Z1038" s="133"/>
      <c r="AA1038" s="133"/>
      <c r="AB1038" s="133"/>
      <c r="AC1038" s="133"/>
      <c r="AD1038" s="133"/>
      <c r="AE1038" s="133"/>
      <c r="AF1038" s="133"/>
      <c r="AG1038" s="133"/>
      <c r="AH1038" s="133"/>
      <c r="AI1038" s="133"/>
      <c r="AJ1038" s="133"/>
      <c r="AK1038" s="133"/>
      <c r="AL1038" s="133"/>
      <c r="AM1038" s="133"/>
      <c r="AN1038" s="133"/>
      <c r="AO1038" s="133"/>
      <c r="AP1038" s="133"/>
      <c r="AQ1038" s="133"/>
      <c r="AR1038" s="133"/>
      <c r="AS1038" s="133"/>
      <c r="AT1038" s="133"/>
      <c r="AU1038" s="133"/>
      <c r="AV1038" s="116"/>
      <c r="AW1038" s="133"/>
      <c r="AX1038" s="133">
        <f>+AW1038-'ROR-Model'!G1054</f>
        <v>0</v>
      </c>
    </row>
    <row r="1039" spans="1:50">
      <c r="A1039" s="102"/>
      <c r="B1039" s="102"/>
      <c r="C1039" s="102" t="s">
        <v>592</v>
      </c>
      <c r="D1039" s="102"/>
      <c r="E1039" s="331"/>
      <c r="F1039" s="116">
        <f ca="1">'Rate Base'!$AQ$104*$F$1</f>
        <v>102841.35844288161</v>
      </c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33"/>
      <c r="R1039" s="133"/>
      <c r="S1039" s="133"/>
      <c r="T1039" s="133">
        <f>'Optional Adjustment 2'!G1044*$T$1</f>
        <v>0</v>
      </c>
      <c r="U1039" s="133">
        <f>'Optional Adjustment 3'!G1044*$U$1</f>
        <v>0</v>
      </c>
      <c r="V1039" s="133">
        <f>'Optional Adjustment 4'!G1044*$V$1</f>
        <v>0</v>
      </c>
      <c r="W1039" s="133">
        <f>'Optional Adjustment 5'!G1044*$W$1</f>
        <v>0</v>
      </c>
      <c r="X1039" s="133">
        <f>'Optional Adjustment 6'!G1044*$X$1</f>
        <v>0</v>
      </c>
      <c r="Y1039" s="133">
        <f>'Optional Adjustment 7'!G1044*$Y$1</f>
        <v>0</v>
      </c>
      <c r="Z1039" s="133">
        <f>'Optional Adjustment 8'!G1044*$Z$1</f>
        <v>0</v>
      </c>
      <c r="AA1039" s="133">
        <f>'Optional Adjustment 9'!G1044*$AA$1</f>
        <v>0</v>
      </c>
      <c r="AB1039" s="133">
        <f>'Optional Adjustment 10'!G1044*$AB$1</f>
        <v>0</v>
      </c>
      <c r="AC1039" s="133">
        <f>'Optional Adjustment 11'!G1044*$AC$1</f>
        <v>0</v>
      </c>
      <c r="AD1039" s="133">
        <f>'Optional Adjustment 12'!G1044*$AD$1</f>
        <v>0</v>
      </c>
      <c r="AE1039" s="133">
        <f>'Optional Adjustment 13'!G1044*$AE$1</f>
        <v>0</v>
      </c>
      <c r="AF1039" s="133">
        <f>'Optional Adjustment 14'!G1044*$AF$1</f>
        <v>0</v>
      </c>
      <c r="AG1039" s="133">
        <f>'Optional Adjustment 15'!G1044*$AG$1</f>
        <v>0</v>
      </c>
      <c r="AH1039" s="133">
        <f>'Optional Adjustment 16'!G1044*$AH$1</f>
        <v>0</v>
      </c>
      <c r="AI1039" s="133">
        <f>'Optional Adjustment 17'!G1044*$AI$1</f>
        <v>0</v>
      </c>
      <c r="AJ1039" s="133">
        <f>'Optional Adjustment 18'!G1044*$AJ$1</f>
        <v>0</v>
      </c>
      <c r="AK1039" s="133">
        <f>'Optional Adjustment 19'!G1044*$AK$1</f>
        <v>0</v>
      </c>
      <c r="AL1039" s="133">
        <f>'Optional Adjustment 20'!G1044*$AL$1</f>
        <v>0</v>
      </c>
      <c r="AM1039" s="133">
        <f>'Optional Adjustment 21'!G1044*$AM$1</f>
        <v>0</v>
      </c>
      <c r="AN1039" s="133">
        <f>'Optional Adjustment 22'!G1044*$AN$1</f>
        <v>0</v>
      </c>
      <c r="AO1039" s="133">
        <f>'Optional Adjustment 23'!G1044*$AO$1</f>
        <v>0</v>
      </c>
      <c r="AP1039" s="133">
        <f>'Optional Adjustment 24'!G1044*$AP$1</f>
        <v>0</v>
      </c>
      <c r="AQ1039" s="133">
        <f>'Optional Adjustment 25'!G1044*$AQ$1</f>
        <v>0</v>
      </c>
      <c r="AR1039" s="133">
        <f>'Optional Adjustment 26'!G1044*$AR$1</f>
        <v>0</v>
      </c>
      <c r="AS1039" s="133">
        <f>'Optional Adjustment 27'!G1044*$AS$1</f>
        <v>0</v>
      </c>
      <c r="AT1039" s="133"/>
      <c r="AU1039" s="133">
        <f ca="1">SUM(F1039:AT1039)</f>
        <v>102841.35844288161</v>
      </c>
      <c r="AV1039" s="116"/>
      <c r="AW1039" s="133">
        <f ca="1">SUM(AU1039:AU1039)</f>
        <v>102841.35844288161</v>
      </c>
      <c r="AX1039" s="133">
        <f ca="1">+AW1039-'ROR-Model'!G1055</f>
        <v>0</v>
      </c>
    </row>
    <row r="1040" spans="1:50">
      <c r="A1040" s="102"/>
      <c r="B1040" s="102"/>
      <c r="C1040" s="102" t="s">
        <v>593</v>
      </c>
      <c r="D1040" s="102"/>
      <c r="E1040" s="331"/>
      <c r="F1040" s="116">
        <f ca="1">'Rate Base'!$AQ$105*$F$1</f>
        <v>1747794.8757701665</v>
      </c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33"/>
      <c r="R1040" s="133"/>
      <c r="S1040" s="133"/>
      <c r="T1040" s="133">
        <f>'Optional Adjustment 2'!G1045*$T$1</f>
        <v>0</v>
      </c>
      <c r="U1040" s="133">
        <f>'Optional Adjustment 3'!G1045*$U$1</f>
        <v>0</v>
      </c>
      <c r="V1040" s="133">
        <f>'Optional Adjustment 4'!G1045*$V$1</f>
        <v>0</v>
      </c>
      <c r="W1040" s="133">
        <f>'Optional Adjustment 5'!G1045*$W$1</f>
        <v>0</v>
      </c>
      <c r="X1040" s="133">
        <f>'Optional Adjustment 6'!G1045*$X$1</f>
        <v>0</v>
      </c>
      <c r="Y1040" s="133">
        <f>'Optional Adjustment 7'!G1045*$Y$1</f>
        <v>0</v>
      </c>
      <c r="Z1040" s="133">
        <f>'Optional Adjustment 8'!G1045*$Z$1</f>
        <v>0</v>
      </c>
      <c r="AA1040" s="133">
        <f>'Optional Adjustment 9'!G1045*$AA$1</f>
        <v>0</v>
      </c>
      <c r="AB1040" s="133">
        <f>'Optional Adjustment 10'!G1045*$AB$1</f>
        <v>0</v>
      </c>
      <c r="AC1040" s="133">
        <f>'Optional Adjustment 11'!G1045*$AC$1</f>
        <v>0</v>
      </c>
      <c r="AD1040" s="133">
        <f>'Optional Adjustment 12'!G1045*$AD$1</f>
        <v>0</v>
      </c>
      <c r="AE1040" s="133">
        <f>'Optional Adjustment 13'!G1045*$AE$1</f>
        <v>0</v>
      </c>
      <c r="AF1040" s="133">
        <f>'Optional Adjustment 14'!G1045*$AF$1</f>
        <v>0</v>
      </c>
      <c r="AG1040" s="133">
        <f>'Optional Adjustment 15'!G1045*$AG$1</f>
        <v>0</v>
      </c>
      <c r="AH1040" s="133">
        <f>'Optional Adjustment 16'!G1045*$AH$1</f>
        <v>0</v>
      </c>
      <c r="AI1040" s="133">
        <f>'Optional Adjustment 17'!G1045*$AI$1</f>
        <v>0</v>
      </c>
      <c r="AJ1040" s="133">
        <f>'Optional Adjustment 18'!G1045*$AJ$1</f>
        <v>0</v>
      </c>
      <c r="AK1040" s="133">
        <f>'Optional Adjustment 19'!G1045*$AK$1</f>
        <v>0</v>
      </c>
      <c r="AL1040" s="133">
        <f>'Optional Adjustment 20'!G1045*$AL$1</f>
        <v>0</v>
      </c>
      <c r="AM1040" s="133">
        <f>'Optional Adjustment 21'!G1045*$AM$1</f>
        <v>0</v>
      </c>
      <c r="AN1040" s="133">
        <f>'Optional Adjustment 22'!G1045*$AN$1</f>
        <v>0</v>
      </c>
      <c r="AO1040" s="133">
        <f>'Optional Adjustment 23'!G1045*$AO$1</f>
        <v>0</v>
      </c>
      <c r="AP1040" s="133">
        <f>'Optional Adjustment 24'!G1045*$AP$1</f>
        <v>0</v>
      </c>
      <c r="AQ1040" s="133">
        <f>'Optional Adjustment 25'!G1045*$AQ$1</f>
        <v>0</v>
      </c>
      <c r="AR1040" s="133">
        <f>'Optional Adjustment 26'!G1045*$AR$1</f>
        <v>0</v>
      </c>
      <c r="AS1040" s="133">
        <f>'Optional Adjustment 27'!G1045*$AS$1</f>
        <v>0</v>
      </c>
      <c r="AT1040" s="133"/>
      <c r="AU1040" s="133">
        <f ca="1">SUM(F1040:AT1040)</f>
        <v>1747794.8757701665</v>
      </c>
      <c r="AV1040" s="116"/>
      <c r="AW1040" s="133">
        <f ca="1">SUM(AU1040:AU1040)</f>
        <v>1747794.8757701665</v>
      </c>
      <c r="AX1040" s="133">
        <f ca="1">+AW1040-'ROR-Model'!G1056</f>
        <v>0</v>
      </c>
    </row>
    <row r="1041" spans="1:50">
      <c r="A1041" s="102"/>
      <c r="B1041" s="102"/>
      <c r="C1041" s="102" t="s">
        <v>595</v>
      </c>
      <c r="D1041" s="102"/>
      <c r="E1041" s="331"/>
      <c r="F1041" s="116">
        <f ca="1">'Rate Base'!$AQ$106*$F$1</f>
        <v>0</v>
      </c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33"/>
      <c r="R1041" s="133"/>
      <c r="S1041" s="133"/>
      <c r="T1041" s="133">
        <f>'Optional Adjustment 2'!G1046*$T$1</f>
        <v>0</v>
      </c>
      <c r="U1041" s="133">
        <f>'Optional Adjustment 3'!G1046*$U$1</f>
        <v>0</v>
      </c>
      <c r="V1041" s="133">
        <f>'Optional Adjustment 4'!G1046*$V$1</f>
        <v>0</v>
      </c>
      <c r="W1041" s="133">
        <f>'Optional Adjustment 5'!G1046*$W$1</f>
        <v>0</v>
      </c>
      <c r="X1041" s="133">
        <f>'Optional Adjustment 6'!G1046*$X$1</f>
        <v>0</v>
      </c>
      <c r="Y1041" s="133">
        <f>'Optional Adjustment 7'!G1046*$Y$1</f>
        <v>0</v>
      </c>
      <c r="Z1041" s="133">
        <f>'Optional Adjustment 8'!G1046*$Z$1</f>
        <v>0</v>
      </c>
      <c r="AA1041" s="133">
        <f>'Optional Adjustment 9'!G1046*$AA$1</f>
        <v>0</v>
      </c>
      <c r="AB1041" s="133">
        <f>'Optional Adjustment 10'!G1046*$AB$1</f>
        <v>0</v>
      </c>
      <c r="AC1041" s="133">
        <f>'Optional Adjustment 11'!G1046*$AC$1</f>
        <v>0</v>
      </c>
      <c r="AD1041" s="133">
        <f>'Optional Adjustment 12'!G1046*$AD$1</f>
        <v>0</v>
      </c>
      <c r="AE1041" s="133">
        <f>'Optional Adjustment 13'!G1046*$AE$1</f>
        <v>0</v>
      </c>
      <c r="AF1041" s="133">
        <f>'Optional Adjustment 14'!G1046*$AF$1</f>
        <v>0</v>
      </c>
      <c r="AG1041" s="133">
        <f>'Optional Adjustment 15'!G1046*$AG$1</f>
        <v>0</v>
      </c>
      <c r="AH1041" s="133">
        <f>'Optional Adjustment 16'!G1046*$AH$1</f>
        <v>0</v>
      </c>
      <c r="AI1041" s="133">
        <f>'Optional Adjustment 17'!G1046*$AI$1</f>
        <v>0</v>
      </c>
      <c r="AJ1041" s="133">
        <f>'Optional Adjustment 18'!G1046*$AJ$1</f>
        <v>0</v>
      </c>
      <c r="AK1041" s="133">
        <f>'Optional Adjustment 19'!G1046*$AK$1</f>
        <v>0</v>
      </c>
      <c r="AL1041" s="133">
        <f>'Optional Adjustment 20'!G1046*$AL$1</f>
        <v>0</v>
      </c>
      <c r="AM1041" s="133">
        <f>'Optional Adjustment 21'!G1046*$AM$1</f>
        <v>0</v>
      </c>
      <c r="AN1041" s="133">
        <f>'Optional Adjustment 22'!G1046*$AN$1</f>
        <v>0</v>
      </c>
      <c r="AO1041" s="133">
        <f>'Optional Adjustment 23'!G1046*$AO$1</f>
        <v>0</v>
      </c>
      <c r="AP1041" s="133">
        <f>'Optional Adjustment 24'!G1046*$AP$1</f>
        <v>0</v>
      </c>
      <c r="AQ1041" s="133">
        <f>'Optional Adjustment 25'!G1046*$AQ$1</f>
        <v>0</v>
      </c>
      <c r="AR1041" s="133">
        <f>'Optional Adjustment 26'!G1046*$AR$1</f>
        <v>0</v>
      </c>
      <c r="AS1041" s="133">
        <f>'Optional Adjustment 27'!G1046*$AS$1</f>
        <v>0</v>
      </c>
      <c r="AT1041" s="133"/>
      <c r="AU1041" s="133">
        <f ca="1">SUM(F1041:AT1041)</f>
        <v>0</v>
      </c>
      <c r="AV1041" s="116"/>
      <c r="AW1041" s="133">
        <f ca="1">SUM(AU1041:AU1041)</f>
        <v>0</v>
      </c>
      <c r="AX1041" s="133">
        <f ca="1">+AW1041-'ROR-Model'!G1057</f>
        <v>0</v>
      </c>
    </row>
    <row r="1042" spans="1:50">
      <c r="A1042" s="102"/>
      <c r="B1042" s="102"/>
      <c r="C1042" s="102" t="s">
        <v>170</v>
      </c>
      <c r="D1042" s="102"/>
      <c r="E1042" s="331"/>
      <c r="F1042" s="116">
        <f ca="1">'Rate Base'!$AQ$107*$F$1</f>
        <v>1850636.2342130467</v>
      </c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33"/>
      <c r="R1042" s="133"/>
      <c r="S1042" s="133"/>
      <c r="T1042" s="133">
        <f>'Optional Adjustment 2'!G1047*$T$1</f>
        <v>0</v>
      </c>
      <c r="U1042" s="133">
        <f>'Optional Adjustment 3'!G1047*$U$1</f>
        <v>0</v>
      </c>
      <c r="V1042" s="133">
        <f>'Optional Adjustment 4'!G1047*$V$1</f>
        <v>0</v>
      </c>
      <c r="W1042" s="133">
        <f>'Optional Adjustment 5'!G1047*$W$1</f>
        <v>0</v>
      </c>
      <c r="X1042" s="133">
        <f>'Optional Adjustment 6'!G1047*$X$1</f>
        <v>0</v>
      </c>
      <c r="Y1042" s="133">
        <f>'Optional Adjustment 7'!G1047*$Y$1</f>
        <v>0</v>
      </c>
      <c r="Z1042" s="133">
        <f>'Optional Adjustment 8'!G1047*$Z$1</f>
        <v>0</v>
      </c>
      <c r="AA1042" s="133">
        <f>'Optional Adjustment 9'!G1047*$AA$1</f>
        <v>0</v>
      </c>
      <c r="AB1042" s="133">
        <f>'Optional Adjustment 10'!G1047*$AB$1</f>
        <v>0</v>
      </c>
      <c r="AC1042" s="133">
        <f>'Optional Adjustment 11'!G1047*$AC$1</f>
        <v>0</v>
      </c>
      <c r="AD1042" s="133">
        <f>'Optional Adjustment 12'!G1047*$AD$1</f>
        <v>0</v>
      </c>
      <c r="AE1042" s="133">
        <f>'Optional Adjustment 13'!G1047*$AE$1</f>
        <v>0</v>
      </c>
      <c r="AF1042" s="133">
        <f>'Optional Adjustment 14'!G1047*$AF$1</f>
        <v>0</v>
      </c>
      <c r="AG1042" s="133">
        <f>'Optional Adjustment 15'!G1047*$AG$1</f>
        <v>0</v>
      </c>
      <c r="AH1042" s="133">
        <f>'Optional Adjustment 16'!G1047*$AH$1</f>
        <v>0</v>
      </c>
      <c r="AI1042" s="133">
        <f>'Optional Adjustment 17'!G1047*$AI$1</f>
        <v>0</v>
      </c>
      <c r="AJ1042" s="133">
        <f>'Optional Adjustment 18'!G1047*$AJ$1</f>
        <v>0</v>
      </c>
      <c r="AK1042" s="133">
        <f>'Optional Adjustment 19'!G1047*$AK$1</f>
        <v>0</v>
      </c>
      <c r="AL1042" s="133">
        <f>'Optional Adjustment 20'!G1047*$AL$1</f>
        <v>0</v>
      </c>
      <c r="AM1042" s="133">
        <f>'Optional Adjustment 21'!G1047*$AM$1</f>
        <v>0</v>
      </c>
      <c r="AN1042" s="133">
        <f>'Optional Adjustment 22'!G1047*$AN$1</f>
        <v>0</v>
      </c>
      <c r="AO1042" s="133">
        <f>'Optional Adjustment 23'!G1047*$AO$1</f>
        <v>0</v>
      </c>
      <c r="AP1042" s="133">
        <f>'Optional Adjustment 24'!G1047*$AP$1</f>
        <v>0</v>
      </c>
      <c r="AQ1042" s="133">
        <f>'Optional Adjustment 25'!G1047*$AQ$1</f>
        <v>0</v>
      </c>
      <c r="AR1042" s="133">
        <f>'Optional Adjustment 26'!G1047*$AR$1</f>
        <v>0</v>
      </c>
      <c r="AS1042" s="133">
        <f>'Optional Adjustment 27'!G1047*$AS$1</f>
        <v>0</v>
      </c>
      <c r="AT1042" s="133"/>
      <c r="AU1042" s="133">
        <f ca="1">SUM(F1042:AT1042)</f>
        <v>1850636.2342130467</v>
      </c>
      <c r="AV1042" s="116"/>
      <c r="AW1042" s="133">
        <f ca="1">SUM(AU1042:AU1042)</f>
        <v>1850636.2342130467</v>
      </c>
      <c r="AX1042" s="133">
        <f ca="1">+AW1042-'ROR-Model'!G1058</f>
        <v>0</v>
      </c>
    </row>
    <row r="1043" spans="1:50">
      <c r="A1043" s="102"/>
      <c r="B1043" s="102"/>
      <c r="C1043" s="102"/>
      <c r="D1043" s="102"/>
      <c r="E1043" s="331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33"/>
      <c r="R1043" s="133"/>
      <c r="S1043" s="133"/>
      <c r="T1043" s="133"/>
      <c r="U1043" s="133"/>
      <c r="V1043" s="133"/>
      <c r="W1043" s="133"/>
      <c r="X1043" s="133"/>
      <c r="Y1043" s="133"/>
      <c r="Z1043" s="133"/>
      <c r="AA1043" s="133"/>
      <c r="AB1043" s="133"/>
      <c r="AC1043" s="133"/>
      <c r="AD1043" s="133"/>
      <c r="AE1043" s="133"/>
      <c r="AF1043" s="133"/>
      <c r="AG1043" s="133"/>
      <c r="AH1043" s="133"/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116"/>
      <c r="AW1043" s="133"/>
      <c r="AX1043" s="133">
        <f>+AW1043-'ROR-Model'!G1059</f>
        <v>0</v>
      </c>
    </row>
    <row r="1044" spans="1:50">
      <c r="A1044" s="102" t="s">
        <v>264</v>
      </c>
      <c r="B1044" s="102" t="s">
        <v>265</v>
      </c>
      <c r="C1044" s="102"/>
      <c r="D1044" s="102"/>
      <c r="E1044" s="331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33"/>
      <c r="R1044" s="133"/>
      <c r="S1044" s="133"/>
      <c r="T1044" s="133"/>
      <c r="U1044" s="133"/>
      <c r="V1044" s="133"/>
      <c r="W1044" s="133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/>
      <c r="AH1044" s="133"/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116"/>
      <c r="AW1044" s="133"/>
      <c r="AX1044" s="133">
        <f>+AW1044-'ROR-Model'!G1060</f>
        <v>0</v>
      </c>
    </row>
    <row r="1045" spans="1:50">
      <c r="A1045" s="102"/>
      <c r="B1045" s="102"/>
      <c r="C1045" s="102" t="s">
        <v>592</v>
      </c>
      <c r="D1045" s="102"/>
      <c r="E1045" s="331"/>
      <c r="F1045" s="116">
        <f>'Rate Base'!$AQ$110*$F$1</f>
        <v>0</v>
      </c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33"/>
      <c r="R1045" s="133"/>
      <c r="S1045" s="133"/>
      <c r="T1045" s="133">
        <f>'Optional Adjustment 2'!G1050*$T$1</f>
        <v>0</v>
      </c>
      <c r="U1045" s="133">
        <f>'Optional Adjustment 3'!G1050*$U$1</f>
        <v>0</v>
      </c>
      <c r="V1045" s="133">
        <f>'Optional Adjustment 4'!G1050*$V$1</f>
        <v>0</v>
      </c>
      <c r="W1045" s="133">
        <f>'Optional Adjustment 5'!G1050*$W$1</f>
        <v>0</v>
      </c>
      <c r="X1045" s="133">
        <f>'Optional Adjustment 6'!G1050*$X$1</f>
        <v>0</v>
      </c>
      <c r="Y1045" s="133">
        <f>'Optional Adjustment 7'!G1050*$Y$1</f>
        <v>0</v>
      </c>
      <c r="Z1045" s="133">
        <f>'Optional Adjustment 8'!G1050*$Z$1</f>
        <v>0</v>
      </c>
      <c r="AA1045" s="133">
        <f>'Optional Adjustment 9'!G1050*$AA$1</f>
        <v>0</v>
      </c>
      <c r="AB1045" s="133">
        <f>'Optional Adjustment 10'!G1050*$AB$1</f>
        <v>0</v>
      </c>
      <c r="AC1045" s="133">
        <f>'Optional Adjustment 11'!G1050*$AC$1</f>
        <v>0</v>
      </c>
      <c r="AD1045" s="133">
        <f>'Optional Adjustment 12'!G1050*$AD$1</f>
        <v>0</v>
      </c>
      <c r="AE1045" s="133">
        <f>'Optional Adjustment 13'!G1050*$AE$1</f>
        <v>0</v>
      </c>
      <c r="AF1045" s="133">
        <f>'Optional Adjustment 14'!G1050*$AF$1</f>
        <v>0</v>
      </c>
      <c r="AG1045" s="133">
        <f>'Optional Adjustment 15'!G1050*$AG$1</f>
        <v>0</v>
      </c>
      <c r="AH1045" s="133">
        <f>'Optional Adjustment 16'!G1050*$AH$1</f>
        <v>0</v>
      </c>
      <c r="AI1045" s="133">
        <f>'Optional Adjustment 17'!G1050*$AI$1</f>
        <v>0</v>
      </c>
      <c r="AJ1045" s="133">
        <f>'Optional Adjustment 18'!G1050*$AJ$1</f>
        <v>0</v>
      </c>
      <c r="AK1045" s="133">
        <f>'Optional Adjustment 19'!G1050*$AK$1</f>
        <v>0</v>
      </c>
      <c r="AL1045" s="133">
        <f>'Optional Adjustment 20'!G1050*$AL$1</f>
        <v>0</v>
      </c>
      <c r="AM1045" s="133">
        <f>'Optional Adjustment 21'!G1050*$AM$1</f>
        <v>0</v>
      </c>
      <c r="AN1045" s="133">
        <f>'Optional Adjustment 22'!G1050*$AN$1</f>
        <v>0</v>
      </c>
      <c r="AO1045" s="133">
        <f>'Optional Adjustment 23'!G1050*$AO$1</f>
        <v>0</v>
      </c>
      <c r="AP1045" s="133">
        <f>'Optional Adjustment 24'!G1050*$AP$1</f>
        <v>0</v>
      </c>
      <c r="AQ1045" s="133">
        <f>'Optional Adjustment 25'!G1050*$AQ$1</f>
        <v>0</v>
      </c>
      <c r="AR1045" s="133">
        <f>'Optional Adjustment 26'!G1050*$AR$1</f>
        <v>0</v>
      </c>
      <c r="AS1045" s="133">
        <f>'Optional Adjustment 27'!G1050*$AS$1</f>
        <v>0</v>
      </c>
      <c r="AT1045" s="133"/>
      <c r="AU1045" s="133">
        <f>SUM(F1045:AT1045)</f>
        <v>0</v>
      </c>
      <c r="AV1045" s="116"/>
      <c r="AW1045" s="133">
        <f>SUM(AU1045:AU1045)</f>
        <v>0</v>
      </c>
      <c r="AX1045" s="133">
        <f>+AW1045-'ROR-Model'!G1061</f>
        <v>0</v>
      </c>
    </row>
    <row r="1046" spans="1:50">
      <c r="A1046" s="102"/>
      <c r="B1046" s="102"/>
      <c r="C1046" s="102" t="s">
        <v>593</v>
      </c>
      <c r="D1046" s="102"/>
      <c r="E1046" s="331"/>
      <c r="F1046" s="116">
        <f>'Rate Base'!$AQ$111*$F$1</f>
        <v>0</v>
      </c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33"/>
      <c r="R1046" s="133"/>
      <c r="S1046" s="133"/>
      <c r="T1046" s="133">
        <f>'Optional Adjustment 2'!G1051*$T$1</f>
        <v>0</v>
      </c>
      <c r="U1046" s="133">
        <f>'Optional Adjustment 3'!G1051*$U$1</f>
        <v>0</v>
      </c>
      <c r="V1046" s="133">
        <f>'Optional Adjustment 4'!G1051*$V$1</f>
        <v>0</v>
      </c>
      <c r="W1046" s="133">
        <f>'Optional Adjustment 5'!G1051*$W$1</f>
        <v>0</v>
      </c>
      <c r="X1046" s="133">
        <f>'Optional Adjustment 6'!G1051*$X$1</f>
        <v>0</v>
      </c>
      <c r="Y1046" s="133">
        <f>'Optional Adjustment 7'!G1051*$Y$1</f>
        <v>0</v>
      </c>
      <c r="Z1046" s="133">
        <f>'Optional Adjustment 8'!G1051*$Z$1</f>
        <v>0</v>
      </c>
      <c r="AA1046" s="133">
        <f>'Optional Adjustment 9'!G1051*$AA$1</f>
        <v>0</v>
      </c>
      <c r="AB1046" s="133">
        <f>'Optional Adjustment 10'!G1051*$AB$1</f>
        <v>0</v>
      </c>
      <c r="AC1046" s="133">
        <f>'Optional Adjustment 11'!G1051*$AC$1</f>
        <v>0</v>
      </c>
      <c r="AD1046" s="133">
        <f>'Optional Adjustment 12'!G1051*$AD$1</f>
        <v>0</v>
      </c>
      <c r="AE1046" s="133">
        <f>'Optional Adjustment 13'!G1051*$AE$1</f>
        <v>0</v>
      </c>
      <c r="AF1046" s="133">
        <f>'Optional Adjustment 14'!G1051*$AF$1</f>
        <v>0</v>
      </c>
      <c r="AG1046" s="133">
        <f>'Optional Adjustment 15'!G1051*$AG$1</f>
        <v>0</v>
      </c>
      <c r="AH1046" s="133">
        <f>'Optional Adjustment 16'!G1051*$AH$1</f>
        <v>0</v>
      </c>
      <c r="AI1046" s="133">
        <f>'Optional Adjustment 17'!G1051*$AI$1</f>
        <v>0</v>
      </c>
      <c r="AJ1046" s="133">
        <f>'Optional Adjustment 18'!G1051*$AJ$1</f>
        <v>0</v>
      </c>
      <c r="AK1046" s="133">
        <f>'Optional Adjustment 19'!G1051*$AK$1</f>
        <v>0</v>
      </c>
      <c r="AL1046" s="133">
        <f>'Optional Adjustment 20'!G1051*$AL$1</f>
        <v>0</v>
      </c>
      <c r="AM1046" s="133">
        <f>'Optional Adjustment 21'!G1051*$AM$1</f>
        <v>0</v>
      </c>
      <c r="AN1046" s="133">
        <f>'Optional Adjustment 22'!G1051*$AN$1</f>
        <v>0</v>
      </c>
      <c r="AO1046" s="133">
        <f>'Optional Adjustment 23'!G1051*$AO$1</f>
        <v>0</v>
      </c>
      <c r="AP1046" s="133">
        <f>'Optional Adjustment 24'!G1051*$AP$1</f>
        <v>0</v>
      </c>
      <c r="AQ1046" s="133">
        <f>'Optional Adjustment 25'!G1051*$AQ$1</f>
        <v>0</v>
      </c>
      <c r="AR1046" s="133">
        <f>'Optional Adjustment 26'!G1051*$AR$1</f>
        <v>0</v>
      </c>
      <c r="AS1046" s="133">
        <f>'Optional Adjustment 27'!G1051*$AS$1</f>
        <v>0</v>
      </c>
      <c r="AT1046" s="133"/>
      <c r="AU1046" s="133">
        <f>SUM(F1046:AT1046)</f>
        <v>0</v>
      </c>
      <c r="AV1046" s="116"/>
      <c r="AW1046" s="133">
        <f>SUM(AU1046:AU1046)</f>
        <v>0</v>
      </c>
      <c r="AX1046" s="133">
        <f>+AW1046-'ROR-Model'!G1062</f>
        <v>0</v>
      </c>
    </row>
    <row r="1047" spans="1:50">
      <c r="A1047" s="102"/>
      <c r="B1047" s="102"/>
      <c r="C1047" s="102" t="s">
        <v>170</v>
      </c>
      <c r="D1047" s="102"/>
      <c r="E1047" s="331"/>
      <c r="F1047" s="116">
        <f>'Rate Base'!$AQ$112*$F$1</f>
        <v>0</v>
      </c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33"/>
      <c r="R1047" s="133"/>
      <c r="S1047" s="133"/>
      <c r="T1047" s="133">
        <f>'Optional Adjustment 2'!G1052*$T$1</f>
        <v>0</v>
      </c>
      <c r="U1047" s="133">
        <f>'Optional Adjustment 3'!G1052*$U$1</f>
        <v>0</v>
      </c>
      <c r="V1047" s="133">
        <f>'Optional Adjustment 4'!G1052*$V$1</f>
        <v>0</v>
      </c>
      <c r="W1047" s="133">
        <f>'Optional Adjustment 5'!G1052*$W$1</f>
        <v>0</v>
      </c>
      <c r="X1047" s="133">
        <f>'Optional Adjustment 6'!G1052*$X$1</f>
        <v>0</v>
      </c>
      <c r="Y1047" s="133">
        <f>'Optional Adjustment 7'!G1052*$Y$1</f>
        <v>0</v>
      </c>
      <c r="Z1047" s="133">
        <f>'Optional Adjustment 8'!G1052*$Z$1</f>
        <v>0</v>
      </c>
      <c r="AA1047" s="133">
        <f>'Optional Adjustment 9'!G1052*$AA$1</f>
        <v>0</v>
      </c>
      <c r="AB1047" s="133">
        <f>'Optional Adjustment 10'!G1052*$AB$1</f>
        <v>0</v>
      </c>
      <c r="AC1047" s="133">
        <f>'Optional Adjustment 11'!G1052*$AC$1</f>
        <v>0</v>
      </c>
      <c r="AD1047" s="133">
        <f>'Optional Adjustment 12'!G1052*$AD$1</f>
        <v>0</v>
      </c>
      <c r="AE1047" s="133">
        <f>'Optional Adjustment 13'!G1052*$AE$1</f>
        <v>0</v>
      </c>
      <c r="AF1047" s="133">
        <f>'Optional Adjustment 14'!G1052*$AF$1</f>
        <v>0</v>
      </c>
      <c r="AG1047" s="133">
        <f>'Optional Adjustment 15'!G1052*$AG$1</f>
        <v>0</v>
      </c>
      <c r="AH1047" s="133">
        <f>'Optional Adjustment 16'!G1052*$AH$1</f>
        <v>0</v>
      </c>
      <c r="AI1047" s="133">
        <f>'Optional Adjustment 17'!G1052*$AI$1</f>
        <v>0</v>
      </c>
      <c r="AJ1047" s="133">
        <f>'Optional Adjustment 18'!G1052*$AJ$1</f>
        <v>0</v>
      </c>
      <c r="AK1047" s="133">
        <f>'Optional Adjustment 19'!G1052*$AK$1</f>
        <v>0</v>
      </c>
      <c r="AL1047" s="133">
        <f>'Optional Adjustment 20'!G1052*$AL$1</f>
        <v>0</v>
      </c>
      <c r="AM1047" s="133">
        <f>'Optional Adjustment 21'!G1052*$AM$1</f>
        <v>0</v>
      </c>
      <c r="AN1047" s="133">
        <f>'Optional Adjustment 22'!G1052*$AN$1</f>
        <v>0</v>
      </c>
      <c r="AO1047" s="133">
        <f>'Optional Adjustment 23'!G1052*$AO$1</f>
        <v>0</v>
      </c>
      <c r="AP1047" s="133">
        <f>'Optional Adjustment 24'!G1052*$AP$1</f>
        <v>0</v>
      </c>
      <c r="AQ1047" s="133">
        <f>'Optional Adjustment 25'!G1052*$AQ$1</f>
        <v>0</v>
      </c>
      <c r="AR1047" s="133">
        <f>'Optional Adjustment 26'!G1052*$AR$1</f>
        <v>0</v>
      </c>
      <c r="AS1047" s="133">
        <f>'Optional Adjustment 27'!G1052*$AS$1</f>
        <v>0</v>
      </c>
      <c r="AT1047" s="133"/>
      <c r="AU1047" s="133">
        <f>SUM(F1047:AT1047)</f>
        <v>0</v>
      </c>
      <c r="AV1047" s="116"/>
      <c r="AW1047" s="133">
        <f>SUM(AU1047:AU1047)</f>
        <v>0</v>
      </c>
      <c r="AX1047" s="133">
        <f>+AW1047-'ROR-Model'!G1063</f>
        <v>0</v>
      </c>
    </row>
    <row r="1048" spans="1:50">
      <c r="A1048" s="102"/>
      <c r="B1048" s="102"/>
      <c r="C1048" s="102"/>
      <c r="D1048" s="102"/>
      <c r="E1048" s="331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33"/>
      <c r="R1048" s="133"/>
      <c r="S1048" s="133"/>
      <c r="T1048" s="133"/>
      <c r="U1048" s="133"/>
      <c r="V1048" s="133"/>
      <c r="W1048" s="133"/>
      <c r="X1048" s="133"/>
      <c r="Y1048" s="133"/>
      <c r="Z1048" s="133"/>
      <c r="AA1048" s="133"/>
      <c r="AB1048" s="133"/>
      <c r="AC1048" s="133"/>
      <c r="AD1048" s="133"/>
      <c r="AE1048" s="133"/>
      <c r="AF1048" s="133"/>
      <c r="AG1048" s="133"/>
      <c r="AH1048" s="133"/>
      <c r="AI1048" s="133"/>
      <c r="AJ1048" s="133"/>
      <c r="AK1048" s="133"/>
      <c r="AL1048" s="133"/>
      <c r="AM1048" s="133"/>
      <c r="AN1048" s="133"/>
      <c r="AO1048" s="133"/>
      <c r="AP1048" s="133"/>
      <c r="AQ1048" s="133"/>
      <c r="AR1048" s="133"/>
      <c r="AS1048" s="133"/>
      <c r="AT1048" s="133"/>
      <c r="AU1048" s="133"/>
      <c r="AV1048" s="116"/>
      <c r="AW1048" s="133"/>
      <c r="AX1048" s="133">
        <f>+AW1048-'ROR-Model'!G1064</f>
        <v>0</v>
      </c>
    </row>
    <row r="1049" spans="1:50">
      <c r="A1049" s="102" t="s">
        <v>266</v>
      </c>
      <c r="B1049" s="102" t="s">
        <v>267</v>
      </c>
      <c r="C1049" s="102"/>
      <c r="D1049" s="102"/>
      <c r="E1049" s="331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33"/>
      <c r="R1049" s="133"/>
      <c r="S1049" s="133"/>
      <c r="T1049" s="133"/>
      <c r="U1049" s="133"/>
      <c r="V1049" s="133"/>
      <c r="W1049" s="133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/>
      <c r="AH1049" s="133"/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116"/>
      <c r="AW1049" s="133"/>
      <c r="AX1049" s="133">
        <f>+AW1049-'ROR-Model'!G1065</f>
        <v>0</v>
      </c>
    </row>
    <row r="1050" spans="1:50">
      <c r="A1050" s="102"/>
      <c r="B1050" s="102"/>
      <c r="C1050" s="102" t="s">
        <v>592</v>
      </c>
      <c r="D1050" s="102"/>
      <c r="E1050" s="331"/>
      <c r="F1050" s="116">
        <f ca="1">'Rate Base'!$AQ$115*$F$1</f>
        <v>647897.7660978213</v>
      </c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33"/>
      <c r="R1050" s="133"/>
      <c r="S1050" s="133"/>
      <c r="T1050" s="133">
        <f>'Optional Adjustment 2'!G1055*$T$1</f>
        <v>0</v>
      </c>
      <c r="U1050" s="133">
        <f>'Optional Adjustment 3'!G1055*$U$1</f>
        <v>0</v>
      </c>
      <c r="V1050" s="133">
        <f>'Optional Adjustment 4'!G1055*$V$1</f>
        <v>0</v>
      </c>
      <c r="W1050" s="133">
        <f>'Optional Adjustment 5'!G1055*$W$1</f>
        <v>0</v>
      </c>
      <c r="X1050" s="133">
        <f>'Optional Adjustment 6'!G1055*$X$1</f>
        <v>0</v>
      </c>
      <c r="Y1050" s="133">
        <f>'Optional Adjustment 7'!G1055*$Y$1</f>
        <v>0</v>
      </c>
      <c r="Z1050" s="133">
        <f>'Optional Adjustment 8'!G1055*$Z$1</f>
        <v>0</v>
      </c>
      <c r="AA1050" s="133">
        <f>'Optional Adjustment 9'!G1055*$AA$1</f>
        <v>0</v>
      </c>
      <c r="AB1050" s="133">
        <f>'Optional Adjustment 10'!G1055*$AB$1</f>
        <v>0</v>
      </c>
      <c r="AC1050" s="133">
        <f>'Optional Adjustment 11'!G1055*$AC$1</f>
        <v>0</v>
      </c>
      <c r="AD1050" s="133">
        <f>'Optional Adjustment 12'!G1055*$AD$1</f>
        <v>0</v>
      </c>
      <c r="AE1050" s="133">
        <f>'Optional Adjustment 13'!G1055*$AE$1</f>
        <v>0</v>
      </c>
      <c r="AF1050" s="133">
        <f>'Optional Adjustment 14'!G1055*$AF$1</f>
        <v>0</v>
      </c>
      <c r="AG1050" s="133">
        <f>'Optional Adjustment 15'!G1055*$AG$1</f>
        <v>0</v>
      </c>
      <c r="AH1050" s="133">
        <f>'Optional Adjustment 16'!G1055*$AH$1</f>
        <v>0</v>
      </c>
      <c r="AI1050" s="133">
        <f>'Optional Adjustment 17'!G1055*$AI$1</f>
        <v>0</v>
      </c>
      <c r="AJ1050" s="133">
        <f>'Optional Adjustment 18'!G1055*$AJ$1</f>
        <v>0</v>
      </c>
      <c r="AK1050" s="133">
        <f>'Optional Adjustment 19'!G1055*$AK$1</f>
        <v>0</v>
      </c>
      <c r="AL1050" s="133">
        <f>'Optional Adjustment 20'!G1055*$AL$1</f>
        <v>0</v>
      </c>
      <c r="AM1050" s="133">
        <f>'Optional Adjustment 21'!G1055*$AM$1</f>
        <v>0</v>
      </c>
      <c r="AN1050" s="133">
        <f>'Optional Adjustment 22'!G1055*$AN$1</f>
        <v>0</v>
      </c>
      <c r="AO1050" s="133">
        <f>'Optional Adjustment 23'!G1055*$AO$1</f>
        <v>0</v>
      </c>
      <c r="AP1050" s="133">
        <f>'Optional Adjustment 24'!G1055*$AP$1</f>
        <v>0</v>
      </c>
      <c r="AQ1050" s="133">
        <f>'Optional Adjustment 25'!G1055*$AQ$1</f>
        <v>0</v>
      </c>
      <c r="AR1050" s="133">
        <f>'Optional Adjustment 26'!G1055*$AR$1</f>
        <v>0</v>
      </c>
      <c r="AS1050" s="133">
        <f>'Optional Adjustment 27'!G1055*$AS$1</f>
        <v>0</v>
      </c>
      <c r="AT1050" s="133"/>
      <c r="AU1050" s="133">
        <f ca="1">SUM(F1050:AT1050)</f>
        <v>647897.7660978213</v>
      </c>
      <c r="AV1050" s="116"/>
      <c r="AW1050" s="133">
        <f ca="1">SUM(AU1050:AU1050)</f>
        <v>647897.7660978213</v>
      </c>
      <c r="AX1050" s="133">
        <f ca="1">+AW1050-'ROR-Model'!G1066</f>
        <v>0</v>
      </c>
    </row>
    <row r="1051" spans="1:50">
      <c r="A1051" s="102"/>
      <c r="B1051" s="102"/>
      <c r="C1051" s="102" t="s">
        <v>593</v>
      </c>
      <c r="D1051" s="102"/>
      <c r="E1051" s="331"/>
      <c r="F1051" s="116">
        <f ca="1">'Rate Base'!$AQ$116*$F$1</f>
        <v>7921947.5875260718</v>
      </c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33"/>
      <c r="R1051" s="133"/>
      <c r="S1051" s="133"/>
      <c r="T1051" s="133">
        <f>'Optional Adjustment 2'!G1056*$T$1</f>
        <v>0</v>
      </c>
      <c r="U1051" s="133">
        <f>'Optional Adjustment 3'!G1056*$U$1</f>
        <v>0</v>
      </c>
      <c r="V1051" s="133">
        <f>'Optional Adjustment 4'!G1056*$V$1</f>
        <v>0</v>
      </c>
      <c r="W1051" s="133">
        <f>'Optional Adjustment 5'!G1056*$W$1</f>
        <v>0</v>
      </c>
      <c r="X1051" s="133">
        <f>'Optional Adjustment 6'!G1056*$X$1</f>
        <v>0</v>
      </c>
      <c r="Y1051" s="133">
        <f>'Optional Adjustment 7'!G1056*$Y$1</f>
        <v>0</v>
      </c>
      <c r="Z1051" s="133">
        <f>'Optional Adjustment 8'!G1056*$Z$1</f>
        <v>0</v>
      </c>
      <c r="AA1051" s="133">
        <f>'Optional Adjustment 9'!G1056*$AA$1</f>
        <v>0</v>
      </c>
      <c r="AB1051" s="133">
        <f>'Optional Adjustment 10'!G1056*$AB$1</f>
        <v>0</v>
      </c>
      <c r="AC1051" s="133">
        <f>'Optional Adjustment 11'!G1056*$AC$1</f>
        <v>0</v>
      </c>
      <c r="AD1051" s="133">
        <f>'Optional Adjustment 12'!G1056*$AD$1</f>
        <v>0</v>
      </c>
      <c r="AE1051" s="133">
        <f>'Optional Adjustment 13'!G1056*$AE$1</f>
        <v>0</v>
      </c>
      <c r="AF1051" s="133">
        <f>'Optional Adjustment 14'!G1056*$AF$1</f>
        <v>0</v>
      </c>
      <c r="AG1051" s="133">
        <f>'Optional Adjustment 15'!G1056*$AG$1</f>
        <v>0</v>
      </c>
      <c r="AH1051" s="133">
        <f>'Optional Adjustment 16'!G1056*$AH$1</f>
        <v>0</v>
      </c>
      <c r="AI1051" s="133">
        <f>'Optional Adjustment 17'!G1056*$AI$1</f>
        <v>0</v>
      </c>
      <c r="AJ1051" s="133">
        <f>'Optional Adjustment 18'!G1056*$AJ$1</f>
        <v>0</v>
      </c>
      <c r="AK1051" s="133">
        <f>'Optional Adjustment 19'!G1056*$AK$1</f>
        <v>0</v>
      </c>
      <c r="AL1051" s="133">
        <f>'Optional Adjustment 20'!G1056*$AL$1</f>
        <v>0</v>
      </c>
      <c r="AM1051" s="133">
        <f>'Optional Adjustment 21'!G1056*$AM$1</f>
        <v>0</v>
      </c>
      <c r="AN1051" s="133">
        <f>'Optional Adjustment 22'!G1056*$AN$1</f>
        <v>0</v>
      </c>
      <c r="AO1051" s="133">
        <f>'Optional Adjustment 23'!G1056*$AO$1</f>
        <v>0</v>
      </c>
      <c r="AP1051" s="133">
        <f>'Optional Adjustment 24'!G1056*$AP$1</f>
        <v>0</v>
      </c>
      <c r="AQ1051" s="133">
        <f>'Optional Adjustment 25'!G1056*$AQ$1</f>
        <v>0</v>
      </c>
      <c r="AR1051" s="133">
        <f>'Optional Adjustment 26'!G1056*$AR$1</f>
        <v>0</v>
      </c>
      <c r="AS1051" s="133">
        <f>'Optional Adjustment 27'!G1056*$AS$1</f>
        <v>0</v>
      </c>
      <c r="AT1051" s="133"/>
      <c r="AU1051" s="133">
        <f ca="1">SUM(F1051:AT1051)</f>
        <v>7921947.5875260718</v>
      </c>
      <c r="AV1051" s="116"/>
      <c r="AW1051" s="133">
        <f ca="1">SUM(AU1051:AU1051)</f>
        <v>7921947.5875260718</v>
      </c>
      <c r="AX1051" s="133">
        <f ca="1">+AW1051-'ROR-Model'!G1067</f>
        <v>0</v>
      </c>
    </row>
    <row r="1052" spans="1:50">
      <c r="A1052" s="102"/>
      <c r="B1052" s="102"/>
      <c r="C1052" s="102" t="s">
        <v>595</v>
      </c>
      <c r="D1052" s="102"/>
      <c r="E1052" s="331"/>
      <c r="F1052" s="116">
        <f ca="1">'Rate Base'!$AQ$117*$F$1</f>
        <v>0</v>
      </c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33"/>
      <c r="R1052" s="133"/>
      <c r="S1052" s="133"/>
      <c r="T1052" s="133">
        <f>'Optional Adjustment 2'!G1057*$T$1</f>
        <v>0</v>
      </c>
      <c r="U1052" s="133">
        <f>'Optional Adjustment 3'!G1057*$U$1</f>
        <v>0</v>
      </c>
      <c r="V1052" s="133">
        <f>'Optional Adjustment 4'!G1057*$V$1</f>
        <v>0</v>
      </c>
      <c r="W1052" s="133">
        <f>'Optional Adjustment 5'!G1057*$W$1</f>
        <v>0</v>
      </c>
      <c r="X1052" s="133">
        <f>'Optional Adjustment 6'!G1057*$X$1</f>
        <v>0</v>
      </c>
      <c r="Y1052" s="133">
        <f>'Optional Adjustment 7'!G1057*$Y$1</f>
        <v>0</v>
      </c>
      <c r="Z1052" s="133">
        <f>'Optional Adjustment 8'!G1057*$Z$1</f>
        <v>0</v>
      </c>
      <c r="AA1052" s="133">
        <f>'Optional Adjustment 9'!G1057*$AA$1</f>
        <v>0</v>
      </c>
      <c r="AB1052" s="133">
        <f>'Optional Adjustment 10'!G1057*$AB$1</f>
        <v>0</v>
      </c>
      <c r="AC1052" s="133">
        <f>'Optional Adjustment 11'!G1057*$AC$1</f>
        <v>0</v>
      </c>
      <c r="AD1052" s="133">
        <f>'Optional Adjustment 12'!G1057*$AD$1</f>
        <v>0</v>
      </c>
      <c r="AE1052" s="133">
        <f>'Optional Adjustment 13'!G1057*$AE$1</f>
        <v>0</v>
      </c>
      <c r="AF1052" s="133">
        <f>'Optional Adjustment 14'!G1057*$AF$1</f>
        <v>0</v>
      </c>
      <c r="AG1052" s="133">
        <f>'Optional Adjustment 15'!G1057*$AG$1</f>
        <v>0</v>
      </c>
      <c r="AH1052" s="133">
        <f>'Optional Adjustment 16'!G1057*$AH$1</f>
        <v>0</v>
      </c>
      <c r="AI1052" s="133">
        <f>'Optional Adjustment 17'!G1057*$AI$1</f>
        <v>0</v>
      </c>
      <c r="AJ1052" s="133">
        <f>'Optional Adjustment 18'!G1057*$AJ$1</f>
        <v>0</v>
      </c>
      <c r="AK1052" s="133">
        <f>'Optional Adjustment 19'!G1057*$AK$1</f>
        <v>0</v>
      </c>
      <c r="AL1052" s="133">
        <f>'Optional Adjustment 20'!G1057*$AL$1</f>
        <v>0</v>
      </c>
      <c r="AM1052" s="133">
        <f>'Optional Adjustment 21'!G1057*$AM$1</f>
        <v>0</v>
      </c>
      <c r="AN1052" s="133">
        <f>'Optional Adjustment 22'!G1057*$AN$1</f>
        <v>0</v>
      </c>
      <c r="AO1052" s="133">
        <f>'Optional Adjustment 23'!G1057*$AO$1</f>
        <v>0</v>
      </c>
      <c r="AP1052" s="133">
        <f>'Optional Adjustment 24'!G1057*$AP$1</f>
        <v>0</v>
      </c>
      <c r="AQ1052" s="133">
        <f>'Optional Adjustment 25'!G1057*$AQ$1</f>
        <v>0</v>
      </c>
      <c r="AR1052" s="133">
        <f>'Optional Adjustment 26'!G1057*$AR$1</f>
        <v>0</v>
      </c>
      <c r="AS1052" s="133">
        <f>'Optional Adjustment 27'!G1057*$AS$1</f>
        <v>0</v>
      </c>
      <c r="AT1052" s="133"/>
      <c r="AU1052" s="133">
        <f ca="1">SUM(F1052:AT1052)</f>
        <v>0</v>
      </c>
      <c r="AV1052" s="116"/>
      <c r="AW1052" s="133">
        <f ca="1">SUM(AU1052:AU1052)</f>
        <v>0</v>
      </c>
      <c r="AX1052" s="133">
        <f ca="1">+AW1052-'ROR-Model'!G1068</f>
        <v>0</v>
      </c>
    </row>
    <row r="1053" spans="1:50">
      <c r="A1053" s="102"/>
      <c r="B1053" s="102"/>
      <c r="C1053" s="102" t="s">
        <v>170</v>
      </c>
      <c r="D1053" s="102"/>
      <c r="E1053" s="331"/>
      <c r="F1053" s="116">
        <f ca="1">'Rate Base'!$AQ$118*$F$1</f>
        <v>8569845.3536238968</v>
      </c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33"/>
      <c r="R1053" s="133"/>
      <c r="S1053" s="133"/>
      <c r="T1053" s="133">
        <f>'Optional Adjustment 2'!G1058*$T$1</f>
        <v>0</v>
      </c>
      <c r="U1053" s="133">
        <f>'Optional Adjustment 3'!G1058*$U$1</f>
        <v>0</v>
      </c>
      <c r="V1053" s="133">
        <f>'Optional Adjustment 4'!G1058*$V$1</f>
        <v>0</v>
      </c>
      <c r="W1053" s="133">
        <f>'Optional Adjustment 5'!G1058*$W$1</f>
        <v>0</v>
      </c>
      <c r="X1053" s="133">
        <f>'Optional Adjustment 6'!G1058*$X$1</f>
        <v>0</v>
      </c>
      <c r="Y1053" s="133">
        <f>'Optional Adjustment 7'!G1058*$Y$1</f>
        <v>0</v>
      </c>
      <c r="Z1053" s="133">
        <f>'Optional Adjustment 8'!G1058*$Z$1</f>
        <v>0</v>
      </c>
      <c r="AA1053" s="133">
        <f>'Optional Adjustment 9'!G1058*$AA$1</f>
        <v>0</v>
      </c>
      <c r="AB1053" s="133">
        <f>'Optional Adjustment 10'!G1058*$AB$1</f>
        <v>0</v>
      </c>
      <c r="AC1053" s="133">
        <f>'Optional Adjustment 11'!G1058*$AC$1</f>
        <v>0</v>
      </c>
      <c r="AD1053" s="133">
        <f>'Optional Adjustment 12'!G1058*$AD$1</f>
        <v>0</v>
      </c>
      <c r="AE1053" s="133">
        <f>'Optional Adjustment 13'!G1058*$AE$1</f>
        <v>0</v>
      </c>
      <c r="AF1053" s="133">
        <f>'Optional Adjustment 14'!G1058*$AF$1</f>
        <v>0</v>
      </c>
      <c r="AG1053" s="133">
        <f>'Optional Adjustment 15'!G1058*$AG$1</f>
        <v>0</v>
      </c>
      <c r="AH1053" s="133">
        <f>'Optional Adjustment 16'!G1058*$AH$1</f>
        <v>0</v>
      </c>
      <c r="AI1053" s="133">
        <f>'Optional Adjustment 17'!G1058*$AI$1</f>
        <v>0</v>
      </c>
      <c r="AJ1053" s="133">
        <f>'Optional Adjustment 18'!G1058*$AJ$1</f>
        <v>0</v>
      </c>
      <c r="AK1053" s="133">
        <f>'Optional Adjustment 19'!G1058*$AK$1</f>
        <v>0</v>
      </c>
      <c r="AL1053" s="133">
        <f>'Optional Adjustment 20'!G1058*$AL$1</f>
        <v>0</v>
      </c>
      <c r="AM1053" s="133">
        <f>'Optional Adjustment 21'!G1058*$AM$1</f>
        <v>0</v>
      </c>
      <c r="AN1053" s="133">
        <f>'Optional Adjustment 22'!G1058*$AN$1</f>
        <v>0</v>
      </c>
      <c r="AO1053" s="133">
        <f>'Optional Adjustment 23'!G1058*$AO$1</f>
        <v>0</v>
      </c>
      <c r="AP1053" s="133">
        <f>'Optional Adjustment 24'!G1058*$AP$1</f>
        <v>0</v>
      </c>
      <c r="AQ1053" s="133">
        <f>'Optional Adjustment 25'!G1058*$AQ$1</f>
        <v>0</v>
      </c>
      <c r="AR1053" s="133">
        <f>'Optional Adjustment 26'!G1058*$AR$1</f>
        <v>0</v>
      </c>
      <c r="AS1053" s="133">
        <f>'Optional Adjustment 27'!G1058*$AS$1</f>
        <v>0</v>
      </c>
      <c r="AT1053" s="133"/>
      <c r="AU1053" s="133">
        <f ca="1">SUM(F1053:AT1053)</f>
        <v>8569845.3536238968</v>
      </c>
      <c r="AV1053" s="116"/>
      <c r="AW1053" s="133">
        <f ca="1">SUM(AU1053:AU1053)</f>
        <v>8569845.3536238968</v>
      </c>
      <c r="AX1053" s="133">
        <f ca="1">+AW1053-'ROR-Model'!G1069</f>
        <v>0</v>
      </c>
    </row>
    <row r="1054" spans="1:50">
      <c r="A1054" s="102"/>
      <c r="B1054" s="102"/>
      <c r="C1054" s="102"/>
      <c r="D1054" s="102"/>
      <c r="E1054" s="331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33"/>
      <c r="R1054" s="133"/>
      <c r="S1054" s="133"/>
      <c r="T1054" s="133"/>
      <c r="U1054" s="133"/>
      <c r="V1054" s="133"/>
      <c r="W1054" s="133"/>
      <c r="X1054" s="133"/>
      <c r="Y1054" s="133"/>
      <c r="Z1054" s="133"/>
      <c r="AA1054" s="133"/>
      <c r="AB1054" s="133"/>
      <c r="AC1054" s="133"/>
      <c r="AD1054" s="133"/>
      <c r="AE1054" s="133"/>
      <c r="AF1054" s="133"/>
      <c r="AG1054" s="133"/>
      <c r="AH1054" s="133"/>
      <c r="AI1054" s="133"/>
      <c r="AJ1054" s="133"/>
      <c r="AK1054" s="133"/>
      <c r="AL1054" s="133"/>
      <c r="AM1054" s="133"/>
      <c r="AN1054" s="133"/>
      <c r="AO1054" s="133"/>
      <c r="AP1054" s="133"/>
      <c r="AQ1054" s="133"/>
      <c r="AR1054" s="133"/>
      <c r="AS1054" s="133"/>
      <c r="AT1054" s="133"/>
      <c r="AU1054" s="133"/>
      <c r="AV1054" s="116"/>
      <c r="AW1054" s="133"/>
      <c r="AX1054" s="133">
        <f>+AW1054-'ROR-Model'!G1070</f>
        <v>0</v>
      </c>
    </row>
    <row r="1055" spans="1:50">
      <c r="A1055" s="102" t="s">
        <v>268</v>
      </c>
      <c r="B1055" s="102" t="s">
        <v>269</v>
      </c>
      <c r="C1055" s="102"/>
      <c r="D1055" s="102"/>
      <c r="E1055" s="331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33"/>
      <c r="R1055" s="133"/>
      <c r="S1055" s="133"/>
      <c r="T1055" s="133"/>
      <c r="U1055" s="133"/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16"/>
      <c r="AW1055" s="133"/>
      <c r="AX1055" s="133">
        <f>+AW1055-'ROR-Model'!G1071</f>
        <v>0</v>
      </c>
    </row>
    <row r="1056" spans="1:50">
      <c r="A1056" s="102"/>
      <c r="B1056" s="102"/>
      <c r="C1056" s="102" t="s">
        <v>592</v>
      </c>
      <c r="D1056" s="102"/>
      <c r="E1056" s="331"/>
      <c r="F1056" s="116">
        <f>'Rate Base'!$AQ$121*$F$1</f>
        <v>0</v>
      </c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33"/>
      <c r="R1056" s="133"/>
      <c r="S1056" s="133"/>
      <c r="T1056" s="133">
        <f>'Optional Adjustment 2'!G1061*$T$1</f>
        <v>0</v>
      </c>
      <c r="U1056" s="133">
        <f>'Optional Adjustment 3'!G1061*$U$1</f>
        <v>0</v>
      </c>
      <c r="V1056" s="133">
        <f>'Optional Adjustment 4'!G1061*$V$1</f>
        <v>0</v>
      </c>
      <c r="W1056" s="133">
        <f>'Optional Adjustment 5'!G1061*$W$1</f>
        <v>0</v>
      </c>
      <c r="X1056" s="133">
        <f>'Optional Adjustment 6'!G1061*$X$1</f>
        <v>0</v>
      </c>
      <c r="Y1056" s="133">
        <f>'Optional Adjustment 7'!G1061*$Y$1</f>
        <v>0</v>
      </c>
      <c r="Z1056" s="133">
        <f>'Optional Adjustment 8'!G1061*$Z$1</f>
        <v>0</v>
      </c>
      <c r="AA1056" s="133">
        <f>'Optional Adjustment 9'!G1061*$AA$1</f>
        <v>0</v>
      </c>
      <c r="AB1056" s="133">
        <f>'Optional Adjustment 10'!G1061*$AB$1</f>
        <v>0</v>
      </c>
      <c r="AC1056" s="133">
        <f>'Optional Adjustment 11'!G1061*$AC$1</f>
        <v>0</v>
      </c>
      <c r="AD1056" s="133">
        <f>'Optional Adjustment 12'!G1061*$AD$1</f>
        <v>0</v>
      </c>
      <c r="AE1056" s="133">
        <f>'Optional Adjustment 13'!G1061*$AE$1</f>
        <v>0</v>
      </c>
      <c r="AF1056" s="133">
        <f>'Optional Adjustment 14'!G1061*$AF$1</f>
        <v>0</v>
      </c>
      <c r="AG1056" s="133">
        <f>'Optional Adjustment 15'!G1061*$AG$1</f>
        <v>0</v>
      </c>
      <c r="AH1056" s="133">
        <f>'Optional Adjustment 16'!G1061*$AH$1</f>
        <v>0</v>
      </c>
      <c r="AI1056" s="133">
        <f>'Optional Adjustment 17'!G1061*$AI$1</f>
        <v>0</v>
      </c>
      <c r="AJ1056" s="133">
        <f>'Optional Adjustment 18'!G1061*$AJ$1</f>
        <v>0</v>
      </c>
      <c r="AK1056" s="133">
        <f>'Optional Adjustment 19'!G1061*$AK$1</f>
        <v>0</v>
      </c>
      <c r="AL1056" s="133">
        <f>'Optional Adjustment 20'!G1061*$AL$1</f>
        <v>0</v>
      </c>
      <c r="AM1056" s="133">
        <f>'Optional Adjustment 21'!G1061*$AM$1</f>
        <v>0</v>
      </c>
      <c r="AN1056" s="133">
        <f>'Optional Adjustment 22'!G1061*$AN$1</f>
        <v>0</v>
      </c>
      <c r="AO1056" s="133">
        <f>'Optional Adjustment 23'!G1061*$AO$1</f>
        <v>0</v>
      </c>
      <c r="AP1056" s="133">
        <f>'Optional Adjustment 24'!G1061*$AP$1</f>
        <v>0</v>
      </c>
      <c r="AQ1056" s="133">
        <f>'Optional Adjustment 25'!G1061*$AQ$1</f>
        <v>0</v>
      </c>
      <c r="AR1056" s="133">
        <f>'Optional Adjustment 26'!G1061*$AR$1</f>
        <v>0</v>
      </c>
      <c r="AS1056" s="133">
        <f>'Optional Adjustment 27'!G1061*$AS$1</f>
        <v>0</v>
      </c>
      <c r="AT1056" s="133"/>
      <c r="AU1056" s="133">
        <f>SUM(F1056:AT1056)</f>
        <v>0</v>
      </c>
      <c r="AV1056" s="116"/>
      <c r="AW1056" s="133">
        <f>SUM(AU1056:AU1056)</f>
        <v>0</v>
      </c>
      <c r="AX1056" s="133">
        <f>+AW1056-'ROR-Model'!G1072</f>
        <v>0</v>
      </c>
    </row>
    <row r="1057" spans="1:50">
      <c r="A1057" s="102"/>
      <c r="B1057" s="102"/>
      <c r="C1057" s="102" t="s">
        <v>593</v>
      </c>
      <c r="D1057" s="102"/>
      <c r="E1057" s="331"/>
      <c r="F1057" s="116">
        <f>'Rate Base'!$AQ$122*$F$1</f>
        <v>0</v>
      </c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33"/>
      <c r="R1057" s="133"/>
      <c r="S1057" s="133"/>
      <c r="T1057" s="133">
        <f>'Optional Adjustment 2'!G1062*$T$1</f>
        <v>0</v>
      </c>
      <c r="U1057" s="133">
        <f>'Optional Adjustment 3'!G1062*$U$1</f>
        <v>0</v>
      </c>
      <c r="V1057" s="133">
        <f>'Optional Adjustment 4'!G1062*$V$1</f>
        <v>0</v>
      </c>
      <c r="W1057" s="133">
        <f>'Optional Adjustment 5'!G1062*$W$1</f>
        <v>0</v>
      </c>
      <c r="X1057" s="133">
        <f>'Optional Adjustment 6'!G1062*$X$1</f>
        <v>0</v>
      </c>
      <c r="Y1057" s="133">
        <f>'Optional Adjustment 7'!G1062*$Y$1</f>
        <v>0</v>
      </c>
      <c r="Z1057" s="133">
        <f>'Optional Adjustment 8'!G1062*$Z$1</f>
        <v>0</v>
      </c>
      <c r="AA1057" s="133">
        <f>'Optional Adjustment 9'!G1062*$AA$1</f>
        <v>0</v>
      </c>
      <c r="AB1057" s="133">
        <f>'Optional Adjustment 10'!G1062*$AB$1</f>
        <v>0</v>
      </c>
      <c r="AC1057" s="133">
        <f>'Optional Adjustment 11'!G1062*$AC$1</f>
        <v>0</v>
      </c>
      <c r="AD1057" s="133">
        <f>'Optional Adjustment 12'!G1062*$AD$1</f>
        <v>0</v>
      </c>
      <c r="AE1057" s="133">
        <f>'Optional Adjustment 13'!G1062*$AE$1</f>
        <v>0</v>
      </c>
      <c r="AF1057" s="133">
        <f>'Optional Adjustment 14'!G1062*$AF$1</f>
        <v>0</v>
      </c>
      <c r="AG1057" s="133">
        <f>'Optional Adjustment 15'!G1062*$AG$1</f>
        <v>0</v>
      </c>
      <c r="AH1057" s="133">
        <f>'Optional Adjustment 16'!G1062*$AH$1</f>
        <v>0</v>
      </c>
      <c r="AI1057" s="133">
        <f>'Optional Adjustment 17'!G1062*$AI$1</f>
        <v>0</v>
      </c>
      <c r="AJ1057" s="133">
        <f>'Optional Adjustment 18'!G1062*$AJ$1</f>
        <v>0</v>
      </c>
      <c r="AK1057" s="133">
        <f>'Optional Adjustment 19'!G1062*$AK$1</f>
        <v>0</v>
      </c>
      <c r="AL1057" s="133">
        <f>'Optional Adjustment 20'!G1062*$AL$1</f>
        <v>0</v>
      </c>
      <c r="AM1057" s="133">
        <f>'Optional Adjustment 21'!G1062*$AM$1</f>
        <v>0</v>
      </c>
      <c r="AN1057" s="133">
        <f>'Optional Adjustment 22'!G1062*$AN$1</f>
        <v>0</v>
      </c>
      <c r="AO1057" s="133">
        <f>'Optional Adjustment 23'!G1062*$AO$1</f>
        <v>0</v>
      </c>
      <c r="AP1057" s="133">
        <f>'Optional Adjustment 24'!G1062*$AP$1</f>
        <v>0</v>
      </c>
      <c r="AQ1057" s="133">
        <f>'Optional Adjustment 25'!G1062*$AQ$1</f>
        <v>0</v>
      </c>
      <c r="AR1057" s="133">
        <f>'Optional Adjustment 26'!G1062*$AR$1</f>
        <v>0</v>
      </c>
      <c r="AS1057" s="133">
        <f>'Optional Adjustment 27'!G1062*$AS$1</f>
        <v>0</v>
      </c>
      <c r="AT1057" s="133"/>
      <c r="AU1057" s="133">
        <f>SUM(F1057:AT1057)</f>
        <v>0</v>
      </c>
      <c r="AV1057" s="116"/>
      <c r="AW1057" s="133">
        <f>SUM(AU1057:AU1057)</f>
        <v>0</v>
      </c>
      <c r="AX1057" s="133">
        <f>+AW1057-'ROR-Model'!G1073</f>
        <v>0</v>
      </c>
    </row>
    <row r="1058" spans="1:50">
      <c r="A1058" s="102"/>
      <c r="B1058" s="102"/>
      <c r="C1058" s="102" t="s">
        <v>595</v>
      </c>
      <c r="D1058" s="102"/>
      <c r="E1058" s="331"/>
      <c r="F1058" s="116">
        <f>'Rate Base'!$AQ$123*$F$1</f>
        <v>0</v>
      </c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33"/>
      <c r="R1058" s="133"/>
      <c r="S1058" s="133"/>
      <c r="T1058" s="133">
        <f>'Optional Adjustment 2'!G1063*$T$1</f>
        <v>0</v>
      </c>
      <c r="U1058" s="133">
        <f>'Optional Adjustment 3'!G1063*$U$1</f>
        <v>0</v>
      </c>
      <c r="V1058" s="133">
        <f>'Optional Adjustment 4'!G1063*$V$1</f>
        <v>0</v>
      </c>
      <c r="W1058" s="133">
        <f>'Optional Adjustment 5'!G1063*$W$1</f>
        <v>0</v>
      </c>
      <c r="X1058" s="133">
        <f>'Optional Adjustment 6'!G1063*$X$1</f>
        <v>0</v>
      </c>
      <c r="Y1058" s="133">
        <f>'Optional Adjustment 7'!G1063*$Y$1</f>
        <v>0</v>
      </c>
      <c r="Z1058" s="133">
        <f>'Optional Adjustment 8'!G1063*$Z$1</f>
        <v>0</v>
      </c>
      <c r="AA1058" s="133">
        <f>'Optional Adjustment 9'!G1063*$AA$1</f>
        <v>0</v>
      </c>
      <c r="AB1058" s="133">
        <f>'Optional Adjustment 10'!G1063*$AB$1</f>
        <v>0</v>
      </c>
      <c r="AC1058" s="133">
        <f>'Optional Adjustment 11'!G1063*$AC$1</f>
        <v>0</v>
      </c>
      <c r="AD1058" s="133">
        <f>'Optional Adjustment 12'!G1063*$AD$1</f>
        <v>0</v>
      </c>
      <c r="AE1058" s="133">
        <f>'Optional Adjustment 13'!G1063*$AE$1</f>
        <v>0</v>
      </c>
      <c r="AF1058" s="133">
        <f>'Optional Adjustment 14'!G1063*$AF$1</f>
        <v>0</v>
      </c>
      <c r="AG1058" s="133">
        <f>'Optional Adjustment 15'!G1063*$AG$1</f>
        <v>0</v>
      </c>
      <c r="AH1058" s="133">
        <f>'Optional Adjustment 16'!G1063*$AH$1</f>
        <v>0</v>
      </c>
      <c r="AI1058" s="133">
        <f>'Optional Adjustment 17'!G1063*$AI$1</f>
        <v>0</v>
      </c>
      <c r="AJ1058" s="133">
        <f>'Optional Adjustment 18'!G1063*$AJ$1</f>
        <v>0</v>
      </c>
      <c r="AK1058" s="133">
        <f>'Optional Adjustment 19'!G1063*$AK$1</f>
        <v>0</v>
      </c>
      <c r="AL1058" s="133">
        <f>'Optional Adjustment 20'!G1063*$AL$1</f>
        <v>0</v>
      </c>
      <c r="AM1058" s="133">
        <f>'Optional Adjustment 21'!G1063*$AM$1</f>
        <v>0</v>
      </c>
      <c r="AN1058" s="133">
        <f>'Optional Adjustment 22'!G1063*$AN$1</f>
        <v>0</v>
      </c>
      <c r="AO1058" s="133">
        <f>'Optional Adjustment 23'!G1063*$AO$1</f>
        <v>0</v>
      </c>
      <c r="AP1058" s="133">
        <f>'Optional Adjustment 24'!G1063*$AP$1</f>
        <v>0</v>
      </c>
      <c r="AQ1058" s="133">
        <f>'Optional Adjustment 25'!G1063*$AQ$1</f>
        <v>0</v>
      </c>
      <c r="AR1058" s="133">
        <f>'Optional Adjustment 26'!G1063*$AR$1</f>
        <v>0</v>
      </c>
      <c r="AS1058" s="133">
        <f>'Optional Adjustment 27'!G1063*$AS$1</f>
        <v>0</v>
      </c>
      <c r="AT1058" s="133"/>
      <c r="AU1058" s="133">
        <f>SUM(F1058:AT1058)</f>
        <v>0</v>
      </c>
      <c r="AV1058" s="116"/>
      <c r="AW1058" s="133">
        <f>SUM(AU1058:AU1058)</f>
        <v>0</v>
      </c>
      <c r="AX1058" s="133">
        <f>+AW1058-'ROR-Model'!G1074</f>
        <v>0</v>
      </c>
    </row>
    <row r="1059" spans="1:50">
      <c r="A1059" s="102"/>
      <c r="B1059" s="102"/>
      <c r="C1059" s="102" t="s">
        <v>170</v>
      </c>
      <c r="D1059" s="102"/>
      <c r="E1059" s="331"/>
      <c r="F1059" s="116">
        <f>'Rate Base'!$AQ$124*$F$1</f>
        <v>0</v>
      </c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33"/>
      <c r="R1059" s="133"/>
      <c r="S1059" s="133"/>
      <c r="T1059" s="133">
        <f>'Optional Adjustment 2'!G1064*$T$1</f>
        <v>0</v>
      </c>
      <c r="U1059" s="133">
        <f>'Optional Adjustment 3'!G1064*$U$1</f>
        <v>0</v>
      </c>
      <c r="V1059" s="133">
        <f>'Optional Adjustment 4'!G1064*$V$1</f>
        <v>0</v>
      </c>
      <c r="W1059" s="133">
        <f>'Optional Adjustment 5'!G1064*$W$1</f>
        <v>0</v>
      </c>
      <c r="X1059" s="133">
        <f>'Optional Adjustment 6'!G1064*$X$1</f>
        <v>0</v>
      </c>
      <c r="Y1059" s="133">
        <f>'Optional Adjustment 7'!G1064*$Y$1</f>
        <v>0</v>
      </c>
      <c r="Z1059" s="133">
        <f>'Optional Adjustment 8'!G1064*$Z$1</f>
        <v>0</v>
      </c>
      <c r="AA1059" s="133">
        <f>'Optional Adjustment 9'!G1064*$AA$1</f>
        <v>0</v>
      </c>
      <c r="AB1059" s="133">
        <f>'Optional Adjustment 10'!G1064*$AB$1</f>
        <v>0</v>
      </c>
      <c r="AC1059" s="133">
        <f>'Optional Adjustment 11'!G1064*$AC$1</f>
        <v>0</v>
      </c>
      <c r="AD1059" s="133">
        <f>'Optional Adjustment 12'!G1064*$AD$1</f>
        <v>0</v>
      </c>
      <c r="AE1059" s="133">
        <f>'Optional Adjustment 13'!G1064*$AE$1</f>
        <v>0</v>
      </c>
      <c r="AF1059" s="133">
        <f>'Optional Adjustment 14'!G1064*$AF$1</f>
        <v>0</v>
      </c>
      <c r="AG1059" s="133">
        <f>'Optional Adjustment 15'!G1064*$AG$1</f>
        <v>0</v>
      </c>
      <c r="AH1059" s="133">
        <f>'Optional Adjustment 16'!G1064*$AH$1</f>
        <v>0</v>
      </c>
      <c r="AI1059" s="133">
        <f>'Optional Adjustment 17'!G1064*$AI$1</f>
        <v>0</v>
      </c>
      <c r="AJ1059" s="133">
        <f>'Optional Adjustment 18'!G1064*$AJ$1</f>
        <v>0</v>
      </c>
      <c r="AK1059" s="133">
        <f>'Optional Adjustment 19'!G1064*$AK$1</f>
        <v>0</v>
      </c>
      <c r="AL1059" s="133">
        <f>'Optional Adjustment 20'!G1064*$AL$1</f>
        <v>0</v>
      </c>
      <c r="AM1059" s="133">
        <f>'Optional Adjustment 21'!G1064*$AM$1</f>
        <v>0</v>
      </c>
      <c r="AN1059" s="133">
        <f>'Optional Adjustment 22'!G1064*$AN$1</f>
        <v>0</v>
      </c>
      <c r="AO1059" s="133">
        <f>'Optional Adjustment 23'!G1064*$AO$1</f>
        <v>0</v>
      </c>
      <c r="AP1059" s="133">
        <f>'Optional Adjustment 24'!G1064*$AP$1</f>
        <v>0</v>
      </c>
      <c r="AQ1059" s="133">
        <f>'Optional Adjustment 25'!G1064*$AQ$1</f>
        <v>0</v>
      </c>
      <c r="AR1059" s="133">
        <f>'Optional Adjustment 26'!G1064*$AR$1</f>
        <v>0</v>
      </c>
      <c r="AS1059" s="133">
        <f>'Optional Adjustment 27'!G1064*$AS$1</f>
        <v>0</v>
      </c>
      <c r="AT1059" s="133"/>
      <c r="AU1059" s="133">
        <f>SUM(F1059:AT1059)</f>
        <v>0</v>
      </c>
      <c r="AV1059" s="116"/>
      <c r="AW1059" s="133">
        <f>SUM(AU1059:AU1059)</f>
        <v>0</v>
      </c>
      <c r="AX1059" s="133">
        <f>+AW1059-'ROR-Model'!G1075</f>
        <v>0</v>
      </c>
    </row>
    <row r="1060" spans="1:50">
      <c r="A1060" s="102"/>
      <c r="B1060" s="102"/>
      <c r="C1060" s="102"/>
      <c r="D1060" s="102"/>
      <c r="E1060" s="331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33"/>
      <c r="R1060" s="133"/>
      <c r="S1060" s="133"/>
      <c r="T1060" s="133"/>
      <c r="U1060" s="133"/>
      <c r="V1060" s="133"/>
      <c r="W1060" s="133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/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116"/>
      <c r="AW1060" s="133"/>
      <c r="AX1060" s="133">
        <f>+AW1060-'ROR-Model'!G1076</f>
        <v>0</v>
      </c>
    </row>
    <row r="1061" spans="1:50">
      <c r="A1061" s="102" t="s">
        <v>270</v>
      </c>
      <c r="B1061" s="102" t="s">
        <v>271</v>
      </c>
      <c r="C1061" s="102"/>
      <c r="D1061" s="102"/>
      <c r="E1061" s="331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116"/>
      <c r="AW1061" s="133"/>
      <c r="AX1061" s="133">
        <f>+AW1061-'ROR-Model'!G1077</f>
        <v>0</v>
      </c>
    </row>
    <row r="1062" spans="1:50">
      <c r="A1062" s="102"/>
      <c r="B1062" s="102"/>
      <c r="C1062" s="102" t="s">
        <v>592</v>
      </c>
      <c r="D1062" s="102"/>
      <c r="E1062" s="331"/>
      <c r="F1062" s="116">
        <f>'Rate Base'!$AQ$127*$F$1</f>
        <v>0</v>
      </c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33"/>
      <c r="R1062" s="133"/>
      <c r="S1062" s="133"/>
      <c r="T1062" s="133">
        <f>'Optional Adjustment 2'!G1067*$T$1</f>
        <v>0</v>
      </c>
      <c r="U1062" s="133">
        <f>'Optional Adjustment 3'!G1067*$U$1</f>
        <v>0</v>
      </c>
      <c r="V1062" s="133">
        <f>'Optional Adjustment 4'!G1067*$V$1</f>
        <v>0</v>
      </c>
      <c r="W1062" s="133">
        <f>'Optional Adjustment 5'!G1067*$W$1</f>
        <v>0</v>
      </c>
      <c r="X1062" s="133">
        <f>'Optional Adjustment 6'!G1067*$X$1</f>
        <v>0</v>
      </c>
      <c r="Y1062" s="133">
        <f>'Optional Adjustment 7'!G1067*$Y$1</f>
        <v>0</v>
      </c>
      <c r="Z1062" s="133">
        <f>'Optional Adjustment 8'!G1067*$Z$1</f>
        <v>0</v>
      </c>
      <c r="AA1062" s="133">
        <f>'Optional Adjustment 9'!G1067*$AA$1</f>
        <v>0</v>
      </c>
      <c r="AB1062" s="133">
        <f>'Optional Adjustment 10'!G1067*$AB$1</f>
        <v>0</v>
      </c>
      <c r="AC1062" s="133">
        <f>'Optional Adjustment 11'!G1067*$AC$1</f>
        <v>0</v>
      </c>
      <c r="AD1062" s="133">
        <f>'Optional Adjustment 12'!G1067*$AD$1</f>
        <v>0</v>
      </c>
      <c r="AE1062" s="133">
        <f>'Optional Adjustment 13'!G1067*$AE$1</f>
        <v>0</v>
      </c>
      <c r="AF1062" s="133">
        <f>'Optional Adjustment 14'!G1067*$AF$1</f>
        <v>0</v>
      </c>
      <c r="AG1062" s="133">
        <f>'Optional Adjustment 15'!G1067*$AG$1</f>
        <v>0</v>
      </c>
      <c r="AH1062" s="133">
        <f>'Optional Adjustment 16'!G1067*$AH$1</f>
        <v>0</v>
      </c>
      <c r="AI1062" s="133">
        <f>'Optional Adjustment 17'!G1067*$AI$1</f>
        <v>0</v>
      </c>
      <c r="AJ1062" s="133">
        <f>'Optional Adjustment 18'!G1067*$AJ$1</f>
        <v>0</v>
      </c>
      <c r="AK1062" s="133">
        <f>'Optional Adjustment 19'!G1067*$AK$1</f>
        <v>0</v>
      </c>
      <c r="AL1062" s="133">
        <f>'Optional Adjustment 20'!G1067*$AL$1</f>
        <v>0</v>
      </c>
      <c r="AM1062" s="133">
        <f>'Optional Adjustment 21'!G1067*$AM$1</f>
        <v>0</v>
      </c>
      <c r="AN1062" s="133">
        <f>'Optional Adjustment 22'!G1067*$AN$1</f>
        <v>0</v>
      </c>
      <c r="AO1062" s="133">
        <f>'Optional Adjustment 23'!G1067*$AO$1</f>
        <v>0</v>
      </c>
      <c r="AP1062" s="133">
        <f>'Optional Adjustment 24'!G1067*$AP$1</f>
        <v>0</v>
      </c>
      <c r="AQ1062" s="133">
        <f>'Optional Adjustment 25'!G1067*$AQ$1</f>
        <v>0</v>
      </c>
      <c r="AR1062" s="133">
        <f>'Optional Adjustment 26'!G1067*$AR$1</f>
        <v>0</v>
      </c>
      <c r="AS1062" s="133">
        <f>'Optional Adjustment 27'!G1067*$AS$1</f>
        <v>0</v>
      </c>
      <c r="AT1062" s="133"/>
      <c r="AU1062" s="133">
        <f>SUM(F1062:AT1062)</f>
        <v>0</v>
      </c>
      <c r="AV1062" s="116"/>
      <c r="AW1062" s="133">
        <f>SUM(AU1062:AU1062)</f>
        <v>0</v>
      </c>
      <c r="AX1062" s="133">
        <f>+AW1062-'ROR-Model'!G1078</f>
        <v>0</v>
      </c>
    </row>
    <row r="1063" spans="1:50">
      <c r="A1063" s="102"/>
      <c r="B1063" s="102"/>
      <c r="C1063" s="102" t="s">
        <v>593</v>
      </c>
      <c r="D1063" s="102"/>
      <c r="E1063" s="331"/>
      <c r="F1063" s="116">
        <f>'Rate Base'!$AQ$128*$F$1</f>
        <v>0</v>
      </c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33"/>
      <c r="R1063" s="133"/>
      <c r="S1063" s="133"/>
      <c r="T1063" s="133">
        <f>'Optional Adjustment 2'!G1068*$T$1</f>
        <v>0</v>
      </c>
      <c r="U1063" s="133">
        <f>'Optional Adjustment 3'!G1068*$U$1</f>
        <v>0</v>
      </c>
      <c r="V1063" s="133">
        <f>'Optional Adjustment 4'!G1068*$V$1</f>
        <v>0</v>
      </c>
      <c r="W1063" s="133">
        <f>'Optional Adjustment 5'!G1068*$W$1</f>
        <v>0</v>
      </c>
      <c r="X1063" s="133">
        <f>'Optional Adjustment 6'!G1068*$X$1</f>
        <v>0</v>
      </c>
      <c r="Y1063" s="133">
        <f>'Optional Adjustment 7'!G1068*$Y$1</f>
        <v>0</v>
      </c>
      <c r="Z1063" s="133">
        <f>'Optional Adjustment 8'!G1068*$Z$1</f>
        <v>0</v>
      </c>
      <c r="AA1063" s="133">
        <f>'Optional Adjustment 9'!G1068*$AA$1</f>
        <v>0</v>
      </c>
      <c r="AB1063" s="133">
        <f>'Optional Adjustment 10'!G1068*$AB$1</f>
        <v>0</v>
      </c>
      <c r="AC1063" s="133">
        <f>'Optional Adjustment 11'!G1068*$AC$1</f>
        <v>0</v>
      </c>
      <c r="AD1063" s="133">
        <f>'Optional Adjustment 12'!G1068*$AD$1</f>
        <v>0</v>
      </c>
      <c r="AE1063" s="133">
        <f>'Optional Adjustment 13'!G1068*$AE$1</f>
        <v>0</v>
      </c>
      <c r="AF1063" s="133">
        <f>'Optional Adjustment 14'!G1068*$AF$1</f>
        <v>0</v>
      </c>
      <c r="AG1063" s="133">
        <f>'Optional Adjustment 15'!G1068*$AG$1</f>
        <v>0</v>
      </c>
      <c r="AH1063" s="133">
        <f>'Optional Adjustment 16'!G1068*$AH$1</f>
        <v>0</v>
      </c>
      <c r="AI1063" s="133">
        <f>'Optional Adjustment 17'!G1068*$AI$1</f>
        <v>0</v>
      </c>
      <c r="AJ1063" s="133">
        <f>'Optional Adjustment 18'!G1068*$AJ$1</f>
        <v>0</v>
      </c>
      <c r="AK1063" s="133">
        <f>'Optional Adjustment 19'!G1068*$AK$1</f>
        <v>0</v>
      </c>
      <c r="AL1063" s="133">
        <f>'Optional Adjustment 20'!G1068*$AL$1</f>
        <v>0</v>
      </c>
      <c r="AM1063" s="133">
        <f>'Optional Adjustment 21'!G1068*$AM$1</f>
        <v>0</v>
      </c>
      <c r="AN1063" s="133">
        <f>'Optional Adjustment 22'!G1068*$AN$1</f>
        <v>0</v>
      </c>
      <c r="AO1063" s="133">
        <f>'Optional Adjustment 23'!G1068*$AO$1</f>
        <v>0</v>
      </c>
      <c r="AP1063" s="133">
        <f>'Optional Adjustment 24'!G1068*$AP$1</f>
        <v>0</v>
      </c>
      <c r="AQ1063" s="133">
        <f>'Optional Adjustment 25'!G1068*$AQ$1</f>
        <v>0</v>
      </c>
      <c r="AR1063" s="133">
        <f>'Optional Adjustment 26'!G1068*$AR$1</f>
        <v>0</v>
      </c>
      <c r="AS1063" s="133">
        <f>'Optional Adjustment 27'!G1068*$AS$1</f>
        <v>0</v>
      </c>
      <c r="AT1063" s="133"/>
      <c r="AU1063" s="133">
        <f>SUM(F1063:AT1063)</f>
        <v>0</v>
      </c>
      <c r="AV1063" s="116"/>
      <c r="AW1063" s="133">
        <f>SUM(AU1063:AU1063)</f>
        <v>0</v>
      </c>
      <c r="AX1063" s="133">
        <f>+AW1063-'ROR-Model'!G1079</f>
        <v>0</v>
      </c>
    </row>
    <row r="1064" spans="1:50">
      <c r="A1064" s="102"/>
      <c r="B1064" s="102"/>
      <c r="C1064" s="102" t="s">
        <v>595</v>
      </c>
      <c r="D1064" s="102"/>
      <c r="E1064" s="331"/>
      <c r="F1064" s="116">
        <f>'Rate Base'!$AQ$129*$F$1</f>
        <v>0</v>
      </c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33"/>
      <c r="R1064" s="133"/>
      <c r="S1064" s="133"/>
      <c r="T1064" s="133">
        <f>'Optional Adjustment 2'!G1069*$T$1</f>
        <v>0</v>
      </c>
      <c r="U1064" s="133">
        <f>'Optional Adjustment 3'!G1069*$U$1</f>
        <v>0</v>
      </c>
      <c r="V1064" s="133">
        <f>'Optional Adjustment 4'!G1069*$V$1</f>
        <v>0</v>
      </c>
      <c r="W1064" s="133">
        <f>'Optional Adjustment 5'!G1069*$W$1</f>
        <v>0</v>
      </c>
      <c r="X1064" s="133">
        <f>'Optional Adjustment 6'!G1069*$X$1</f>
        <v>0</v>
      </c>
      <c r="Y1064" s="133">
        <f>'Optional Adjustment 7'!G1069*$Y$1</f>
        <v>0</v>
      </c>
      <c r="Z1064" s="133">
        <f>'Optional Adjustment 8'!G1069*$Z$1</f>
        <v>0</v>
      </c>
      <c r="AA1064" s="133">
        <f>'Optional Adjustment 9'!G1069*$AA$1</f>
        <v>0</v>
      </c>
      <c r="AB1064" s="133">
        <f>'Optional Adjustment 10'!G1069*$AB$1</f>
        <v>0</v>
      </c>
      <c r="AC1064" s="133">
        <f>'Optional Adjustment 11'!G1069*$AC$1</f>
        <v>0</v>
      </c>
      <c r="AD1064" s="133">
        <f>'Optional Adjustment 12'!G1069*$AD$1</f>
        <v>0</v>
      </c>
      <c r="AE1064" s="133">
        <f>'Optional Adjustment 13'!G1069*$AE$1</f>
        <v>0</v>
      </c>
      <c r="AF1064" s="133">
        <f>'Optional Adjustment 14'!G1069*$AF$1</f>
        <v>0</v>
      </c>
      <c r="AG1064" s="133">
        <f>'Optional Adjustment 15'!G1069*$AG$1</f>
        <v>0</v>
      </c>
      <c r="AH1064" s="133">
        <f>'Optional Adjustment 16'!G1069*$AH$1</f>
        <v>0</v>
      </c>
      <c r="AI1064" s="133">
        <f>'Optional Adjustment 17'!G1069*$AI$1</f>
        <v>0</v>
      </c>
      <c r="AJ1064" s="133">
        <f>'Optional Adjustment 18'!G1069*$AJ$1</f>
        <v>0</v>
      </c>
      <c r="AK1064" s="133">
        <f>'Optional Adjustment 19'!G1069*$AK$1</f>
        <v>0</v>
      </c>
      <c r="AL1064" s="133">
        <f>'Optional Adjustment 20'!G1069*$AL$1</f>
        <v>0</v>
      </c>
      <c r="AM1064" s="133">
        <f>'Optional Adjustment 21'!G1069*$AM$1</f>
        <v>0</v>
      </c>
      <c r="AN1064" s="133">
        <f>'Optional Adjustment 22'!G1069*$AN$1</f>
        <v>0</v>
      </c>
      <c r="AO1064" s="133">
        <f>'Optional Adjustment 23'!G1069*$AO$1</f>
        <v>0</v>
      </c>
      <c r="AP1064" s="133">
        <f>'Optional Adjustment 24'!G1069*$AP$1</f>
        <v>0</v>
      </c>
      <c r="AQ1064" s="133">
        <f>'Optional Adjustment 25'!G1069*$AQ$1</f>
        <v>0</v>
      </c>
      <c r="AR1064" s="133">
        <f>'Optional Adjustment 26'!G1069*$AR$1</f>
        <v>0</v>
      </c>
      <c r="AS1064" s="133">
        <f>'Optional Adjustment 27'!G1069*$AS$1</f>
        <v>0</v>
      </c>
      <c r="AT1064" s="133"/>
      <c r="AU1064" s="133">
        <f>SUM(F1064:AT1064)</f>
        <v>0</v>
      </c>
      <c r="AV1064" s="116"/>
      <c r="AW1064" s="133">
        <f>SUM(AU1064:AU1064)</f>
        <v>0</v>
      </c>
      <c r="AX1064" s="133">
        <f>+AW1064-'ROR-Model'!G1080</f>
        <v>0</v>
      </c>
    </row>
    <row r="1065" spans="1:50">
      <c r="A1065" s="102"/>
      <c r="B1065" s="102"/>
      <c r="C1065" s="102" t="s">
        <v>170</v>
      </c>
      <c r="D1065" s="102"/>
      <c r="E1065" s="331"/>
      <c r="F1065" s="116">
        <f>'Rate Base'!$AQ$130*$F$1</f>
        <v>0</v>
      </c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33"/>
      <c r="R1065" s="133"/>
      <c r="S1065" s="133"/>
      <c r="T1065" s="133">
        <f>'Optional Adjustment 2'!G1070*$T$1</f>
        <v>0</v>
      </c>
      <c r="U1065" s="133">
        <f>'Optional Adjustment 3'!G1070*$U$1</f>
        <v>0</v>
      </c>
      <c r="V1065" s="133">
        <f>'Optional Adjustment 4'!G1070*$V$1</f>
        <v>0</v>
      </c>
      <c r="W1065" s="133">
        <f>'Optional Adjustment 5'!G1070*$W$1</f>
        <v>0</v>
      </c>
      <c r="X1065" s="133">
        <f>'Optional Adjustment 6'!G1070*$X$1</f>
        <v>0</v>
      </c>
      <c r="Y1065" s="133">
        <f>'Optional Adjustment 7'!G1070*$Y$1</f>
        <v>0</v>
      </c>
      <c r="Z1065" s="133">
        <f>'Optional Adjustment 8'!G1070*$Z$1</f>
        <v>0</v>
      </c>
      <c r="AA1065" s="133">
        <f>'Optional Adjustment 9'!G1070*$AA$1</f>
        <v>0</v>
      </c>
      <c r="AB1065" s="133">
        <f>'Optional Adjustment 10'!G1070*$AB$1</f>
        <v>0</v>
      </c>
      <c r="AC1065" s="133">
        <f>'Optional Adjustment 11'!G1070*$AC$1</f>
        <v>0</v>
      </c>
      <c r="AD1065" s="133">
        <f>'Optional Adjustment 12'!G1070*$AD$1</f>
        <v>0</v>
      </c>
      <c r="AE1065" s="133">
        <f>'Optional Adjustment 13'!G1070*$AE$1</f>
        <v>0</v>
      </c>
      <c r="AF1065" s="133">
        <f>'Optional Adjustment 14'!G1070*$AF$1</f>
        <v>0</v>
      </c>
      <c r="AG1065" s="133">
        <f>'Optional Adjustment 15'!G1070*$AG$1</f>
        <v>0</v>
      </c>
      <c r="AH1065" s="133">
        <f>'Optional Adjustment 16'!G1070*$AH$1</f>
        <v>0</v>
      </c>
      <c r="AI1065" s="133">
        <f>'Optional Adjustment 17'!G1070*$AI$1</f>
        <v>0</v>
      </c>
      <c r="AJ1065" s="133">
        <f>'Optional Adjustment 18'!G1070*$AJ$1</f>
        <v>0</v>
      </c>
      <c r="AK1065" s="133">
        <f>'Optional Adjustment 19'!G1070*$AK$1</f>
        <v>0</v>
      </c>
      <c r="AL1065" s="133">
        <f>'Optional Adjustment 20'!G1070*$AL$1</f>
        <v>0</v>
      </c>
      <c r="AM1065" s="133">
        <f>'Optional Adjustment 21'!G1070*$AM$1</f>
        <v>0</v>
      </c>
      <c r="AN1065" s="133">
        <f>'Optional Adjustment 22'!G1070*$AN$1</f>
        <v>0</v>
      </c>
      <c r="AO1065" s="133">
        <f>'Optional Adjustment 23'!G1070*$AO$1</f>
        <v>0</v>
      </c>
      <c r="AP1065" s="133">
        <f>'Optional Adjustment 24'!G1070*$AP$1</f>
        <v>0</v>
      </c>
      <c r="AQ1065" s="133">
        <f>'Optional Adjustment 25'!G1070*$AQ$1</f>
        <v>0</v>
      </c>
      <c r="AR1065" s="133">
        <f>'Optional Adjustment 26'!G1070*$AR$1</f>
        <v>0</v>
      </c>
      <c r="AS1065" s="133">
        <f>'Optional Adjustment 27'!G1070*$AS$1</f>
        <v>0</v>
      </c>
      <c r="AT1065" s="133"/>
      <c r="AU1065" s="133">
        <f>SUM(F1065:AT1065)</f>
        <v>0</v>
      </c>
      <c r="AV1065" s="116"/>
      <c r="AW1065" s="133">
        <f>SUM(AU1065:AU1065)</f>
        <v>0</v>
      </c>
      <c r="AX1065" s="133">
        <f>+AW1065-'ROR-Model'!G1081</f>
        <v>0</v>
      </c>
    </row>
    <row r="1066" spans="1:50">
      <c r="A1066" s="102"/>
      <c r="B1066" s="102"/>
      <c r="C1066" s="102"/>
      <c r="D1066" s="102"/>
      <c r="E1066" s="331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33"/>
      <c r="R1066" s="133"/>
      <c r="S1066" s="133"/>
      <c r="T1066" s="133"/>
      <c r="U1066" s="133"/>
      <c r="V1066" s="133"/>
      <c r="W1066" s="133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/>
      <c r="AH1066" s="133"/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116"/>
      <c r="AW1066" s="133"/>
      <c r="AX1066" s="133">
        <f>+AW1066-'ROR-Model'!G1082</f>
        <v>0</v>
      </c>
    </row>
    <row r="1067" spans="1:50">
      <c r="A1067" s="102" t="s">
        <v>272</v>
      </c>
      <c r="B1067" s="102" t="s">
        <v>273</v>
      </c>
      <c r="C1067" s="102"/>
      <c r="D1067" s="102"/>
      <c r="E1067" s="331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33"/>
      <c r="R1067" s="133"/>
      <c r="S1067" s="133"/>
      <c r="T1067" s="133"/>
      <c r="U1067" s="133"/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116"/>
      <c r="AW1067" s="133"/>
      <c r="AX1067" s="133">
        <f>+AW1067-'ROR-Model'!G1083</f>
        <v>0</v>
      </c>
    </row>
    <row r="1068" spans="1:50">
      <c r="A1068" s="102"/>
      <c r="B1068" s="102"/>
      <c r="C1068" s="102" t="s">
        <v>592</v>
      </c>
      <c r="D1068" s="102"/>
      <c r="E1068" s="331"/>
      <c r="F1068" s="116">
        <f ca="1">'Rate Base'!$AQ$133*$F$1</f>
        <v>77173.175178299847</v>
      </c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33"/>
      <c r="R1068" s="133"/>
      <c r="S1068" s="133"/>
      <c r="T1068" s="133">
        <f>'Optional Adjustment 2'!G1073*$T$1</f>
        <v>0</v>
      </c>
      <c r="U1068" s="133">
        <f>'Optional Adjustment 3'!G1073*$U$1</f>
        <v>0</v>
      </c>
      <c r="V1068" s="133">
        <f>'Optional Adjustment 4'!G1073*$V$1</f>
        <v>0</v>
      </c>
      <c r="W1068" s="133">
        <f>'Optional Adjustment 5'!G1073*$W$1</f>
        <v>0</v>
      </c>
      <c r="X1068" s="133">
        <f>'Optional Adjustment 6'!G1073*$X$1</f>
        <v>0</v>
      </c>
      <c r="Y1068" s="133">
        <f>'Optional Adjustment 7'!G1073*$Y$1</f>
        <v>0</v>
      </c>
      <c r="Z1068" s="133">
        <f>'Optional Adjustment 8'!G1073*$Z$1</f>
        <v>0</v>
      </c>
      <c r="AA1068" s="133">
        <f>'Optional Adjustment 9'!G1073*$AA$1</f>
        <v>0</v>
      </c>
      <c r="AB1068" s="133">
        <f>'Optional Adjustment 10'!G1073*$AB$1</f>
        <v>0</v>
      </c>
      <c r="AC1068" s="133">
        <f>'Optional Adjustment 11'!G1073*$AC$1</f>
        <v>0</v>
      </c>
      <c r="AD1068" s="133">
        <f>'Optional Adjustment 12'!G1073*$AD$1</f>
        <v>0</v>
      </c>
      <c r="AE1068" s="133">
        <f>'Optional Adjustment 13'!G1073*$AE$1</f>
        <v>0</v>
      </c>
      <c r="AF1068" s="133">
        <f>'Optional Adjustment 14'!G1073*$AF$1</f>
        <v>0</v>
      </c>
      <c r="AG1068" s="133">
        <f>'Optional Adjustment 15'!G1073*$AG$1</f>
        <v>0</v>
      </c>
      <c r="AH1068" s="133">
        <f>'Optional Adjustment 16'!G1073*$AH$1</f>
        <v>0</v>
      </c>
      <c r="AI1068" s="133">
        <f>'Optional Adjustment 17'!G1073*$AI$1</f>
        <v>0</v>
      </c>
      <c r="AJ1068" s="133">
        <f>'Optional Adjustment 18'!G1073*$AJ$1</f>
        <v>0</v>
      </c>
      <c r="AK1068" s="133">
        <f>'Optional Adjustment 19'!G1073*$AK$1</f>
        <v>0</v>
      </c>
      <c r="AL1068" s="133">
        <f>'Optional Adjustment 20'!G1073*$AL$1</f>
        <v>0</v>
      </c>
      <c r="AM1068" s="133">
        <f>'Optional Adjustment 21'!G1073*$AM$1</f>
        <v>0</v>
      </c>
      <c r="AN1068" s="133">
        <f>'Optional Adjustment 22'!G1073*$AN$1</f>
        <v>0</v>
      </c>
      <c r="AO1068" s="133">
        <f>'Optional Adjustment 23'!G1073*$AO$1</f>
        <v>0</v>
      </c>
      <c r="AP1068" s="133">
        <f>'Optional Adjustment 24'!G1073*$AP$1</f>
        <v>0</v>
      </c>
      <c r="AQ1068" s="133">
        <f>'Optional Adjustment 25'!G1073*$AQ$1</f>
        <v>0</v>
      </c>
      <c r="AR1068" s="133">
        <f>'Optional Adjustment 26'!G1073*$AR$1</f>
        <v>0</v>
      </c>
      <c r="AS1068" s="133">
        <f>'Optional Adjustment 27'!G1073*$AS$1</f>
        <v>0</v>
      </c>
      <c r="AT1068" s="133"/>
      <c r="AU1068" s="133">
        <f ca="1">SUM(F1068:AT1068)</f>
        <v>77173.175178299847</v>
      </c>
      <c r="AV1068" s="116"/>
      <c r="AW1068" s="133">
        <f ca="1">SUM(AU1068:AU1068)</f>
        <v>77173.175178299847</v>
      </c>
      <c r="AX1068" s="133">
        <f ca="1">+AW1068-'ROR-Model'!G1084</f>
        <v>0</v>
      </c>
    </row>
    <row r="1069" spans="1:50">
      <c r="A1069" s="102"/>
      <c r="B1069" s="102"/>
      <c r="C1069" s="102" t="s">
        <v>593</v>
      </c>
      <c r="D1069" s="102"/>
      <c r="E1069" s="331"/>
      <c r="F1069" s="116">
        <f ca="1">'Rate Base'!$AQ$134*$F$1</f>
        <v>11635933.754591599</v>
      </c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33"/>
      <c r="R1069" s="133"/>
      <c r="S1069" s="133"/>
      <c r="T1069" s="133">
        <f>'Optional Adjustment 2'!G1074*$T$1</f>
        <v>0</v>
      </c>
      <c r="U1069" s="133">
        <f>'Optional Adjustment 3'!G1074*$U$1</f>
        <v>0</v>
      </c>
      <c r="V1069" s="133">
        <f>'Optional Adjustment 4'!G1074*$V$1</f>
        <v>0</v>
      </c>
      <c r="W1069" s="133">
        <f>'Optional Adjustment 5'!G1074*$W$1</f>
        <v>0</v>
      </c>
      <c r="X1069" s="133">
        <f>'Optional Adjustment 6'!G1074*$X$1</f>
        <v>0</v>
      </c>
      <c r="Y1069" s="133">
        <f>'Optional Adjustment 7'!G1074*$Y$1</f>
        <v>0</v>
      </c>
      <c r="Z1069" s="133">
        <f>'Optional Adjustment 8'!G1074*$Z$1</f>
        <v>0</v>
      </c>
      <c r="AA1069" s="133">
        <f>'Optional Adjustment 9'!G1074*$AA$1</f>
        <v>0</v>
      </c>
      <c r="AB1069" s="133">
        <f>'Optional Adjustment 10'!G1074*$AB$1</f>
        <v>0</v>
      </c>
      <c r="AC1069" s="133">
        <f>'Optional Adjustment 11'!G1074*$AC$1</f>
        <v>0</v>
      </c>
      <c r="AD1069" s="133">
        <f>'Optional Adjustment 12'!G1074*$AD$1</f>
        <v>0</v>
      </c>
      <c r="AE1069" s="133">
        <f>'Optional Adjustment 13'!G1074*$AE$1</f>
        <v>0</v>
      </c>
      <c r="AF1069" s="133">
        <f>'Optional Adjustment 14'!G1074*$AF$1</f>
        <v>0</v>
      </c>
      <c r="AG1069" s="133">
        <f>'Optional Adjustment 15'!G1074*$AG$1</f>
        <v>0</v>
      </c>
      <c r="AH1069" s="133">
        <f>'Optional Adjustment 16'!G1074*$AH$1</f>
        <v>0</v>
      </c>
      <c r="AI1069" s="133">
        <f>'Optional Adjustment 17'!G1074*$AI$1</f>
        <v>0</v>
      </c>
      <c r="AJ1069" s="133">
        <f>'Optional Adjustment 18'!G1074*$AJ$1</f>
        <v>0</v>
      </c>
      <c r="AK1069" s="133">
        <f>'Optional Adjustment 19'!G1074*$AK$1</f>
        <v>0</v>
      </c>
      <c r="AL1069" s="133">
        <f>'Optional Adjustment 20'!G1074*$AL$1</f>
        <v>0</v>
      </c>
      <c r="AM1069" s="133">
        <f>'Optional Adjustment 21'!G1074*$AM$1</f>
        <v>0</v>
      </c>
      <c r="AN1069" s="133">
        <f>'Optional Adjustment 22'!G1074*$AN$1</f>
        <v>0</v>
      </c>
      <c r="AO1069" s="133">
        <f>'Optional Adjustment 23'!G1074*$AO$1</f>
        <v>0</v>
      </c>
      <c r="AP1069" s="133">
        <f>'Optional Adjustment 24'!G1074*$AP$1</f>
        <v>0</v>
      </c>
      <c r="AQ1069" s="133">
        <f>'Optional Adjustment 25'!G1074*$AQ$1</f>
        <v>0</v>
      </c>
      <c r="AR1069" s="133">
        <f>'Optional Adjustment 26'!G1074*$AR$1</f>
        <v>0</v>
      </c>
      <c r="AS1069" s="133">
        <f>'Optional Adjustment 27'!G1074*$AS$1</f>
        <v>0</v>
      </c>
      <c r="AT1069" s="133"/>
      <c r="AU1069" s="133">
        <f ca="1">SUM(F1069:AT1069)</f>
        <v>11635933.754591599</v>
      </c>
      <c r="AV1069" s="116"/>
      <c r="AW1069" s="133">
        <f ca="1">SUM(AU1069:AU1069)</f>
        <v>11635933.754591599</v>
      </c>
      <c r="AX1069" s="133">
        <f ca="1">+AW1069-'ROR-Model'!G1085</f>
        <v>0</v>
      </c>
    </row>
    <row r="1070" spans="1:50">
      <c r="A1070" s="102"/>
      <c r="B1070" s="102"/>
      <c r="C1070" s="102" t="s">
        <v>170</v>
      </c>
      <c r="D1070" s="102"/>
      <c r="E1070" s="331"/>
      <c r="F1070" s="116">
        <f ca="1">'Rate Base'!$AQ$135*$F$1</f>
        <v>11713106.9297699</v>
      </c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33"/>
      <c r="R1070" s="133"/>
      <c r="S1070" s="133"/>
      <c r="T1070" s="133">
        <f>'Optional Adjustment 2'!G1075*$T$1</f>
        <v>0</v>
      </c>
      <c r="U1070" s="133">
        <f>'Optional Adjustment 3'!G1075*$U$1</f>
        <v>0</v>
      </c>
      <c r="V1070" s="133">
        <f>'Optional Adjustment 4'!G1075*$V$1</f>
        <v>0</v>
      </c>
      <c r="W1070" s="133">
        <f>'Optional Adjustment 5'!G1075*$W$1</f>
        <v>0</v>
      </c>
      <c r="X1070" s="133">
        <f>'Optional Adjustment 6'!G1075*$X$1</f>
        <v>0</v>
      </c>
      <c r="Y1070" s="133">
        <f>'Optional Adjustment 7'!G1075*$Y$1</f>
        <v>0</v>
      </c>
      <c r="Z1070" s="133">
        <f>'Optional Adjustment 8'!G1075*$Z$1</f>
        <v>0</v>
      </c>
      <c r="AA1070" s="133">
        <f>'Optional Adjustment 9'!G1075*$AA$1</f>
        <v>0</v>
      </c>
      <c r="AB1070" s="133">
        <f>'Optional Adjustment 10'!G1075*$AB$1</f>
        <v>0</v>
      </c>
      <c r="AC1070" s="133">
        <f>'Optional Adjustment 11'!G1075*$AC$1</f>
        <v>0</v>
      </c>
      <c r="AD1070" s="133">
        <f>'Optional Adjustment 12'!G1075*$AD$1</f>
        <v>0</v>
      </c>
      <c r="AE1070" s="133">
        <f>'Optional Adjustment 13'!G1075*$AE$1</f>
        <v>0</v>
      </c>
      <c r="AF1070" s="133">
        <f>'Optional Adjustment 14'!G1075*$AF$1</f>
        <v>0</v>
      </c>
      <c r="AG1070" s="133">
        <f>'Optional Adjustment 15'!G1075*$AG$1</f>
        <v>0</v>
      </c>
      <c r="AH1070" s="133">
        <f>'Optional Adjustment 16'!G1075*$AH$1</f>
        <v>0</v>
      </c>
      <c r="AI1070" s="133">
        <f>'Optional Adjustment 17'!G1075*$AI$1</f>
        <v>0</v>
      </c>
      <c r="AJ1070" s="133">
        <f>'Optional Adjustment 18'!G1075*$AJ$1</f>
        <v>0</v>
      </c>
      <c r="AK1070" s="133">
        <f>'Optional Adjustment 19'!G1075*$AK$1</f>
        <v>0</v>
      </c>
      <c r="AL1070" s="133">
        <f>'Optional Adjustment 20'!G1075*$AL$1</f>
        <v>0</v>
      </c>
      <c r="AM1070" s="133">
        <f>'Optional Adjustment 21'!G1075*$AM$1</f>
        <v>0</v>
      </c>
      <c r="AN1070" s="133">
        <f>'Optional Adjustment 22'!G1075*$AN$1</f>
        <v>0</v>
      </c>
      <c r="AO1070" s="133">
        <f>'Optional Adjustment 23'!G1075*$AO$1</f>
        <v>0</v>
      </c>
      <c r="AP1070" s="133">
        <f>'Optional Adjustment 24'!G1075*$AP$1</f>
        <v>0</v>
      </c>
      <c r="AQ1070" s="133">
        <f>'Optional Adjustment 25'!G1075*$AQ$1</f>
        <v>0</v>
      </c>
      <c r="AR1070" s="133">
        <f>'Optional Adjustment 26'!G1075*$AR$1</f>
        <v>0</v>
      </c>
      <c r="AS1070" s="133">
        <f>'Optional Adjustment 27'!G1075*$AS$1</f>
        <v>0</v>
      </c>
      <c r="AT1070" s="133"/>
      <c r="AU1070" s="133">
        <f ca="1">SUM(F1070:AT1070)</f>
        <v>11713106.9297699</v>
      </c>
      <c r="AV1070" s="116"/>
      <c r="AW1070" s="133">
        <f ca="1">SUM(AU1070:AU1070)</f>
        <v>11713106.9297699</v>
      </c>
      <c r="AX1070" s="133">
        <f ca="1">+AW1070-'ROR-Model'!G1086</f>
        <v>0</v>
      </c>
    </row>
    <row r="1071" spans="1:50">
      <c r="A1071" s="102"/>
      <c r="B1071" s="102"/>
      <c r="C1071" s="102"/>
      <c r="D1071" s="102"/>
      <c r="E1071" s="331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33"/>
      <c r="R1071" s="133"/>
      <c r="S1071" s="133"/>
      <c r="T1071" s="133"/>
      <c r="U1071" s="133"/>
      <c r="V1071" s="133"/>
      <c r="W1071" s="133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/>
      <c r="AH1071" s="133"/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116"/>
      <c r="AW1071" s="133"/>
      <c r="AX1071" s="133">
        <f>+AW1071-'ROR-Model'!G1087</f>
        <v>0</v>
      </c>
    </row>
    <row r="1072" spans="1:50">
      <c r="A1072" s="102" t="s">
        <v>274</v>
      </c>
      <c r="B1072" s="102" t="s">
        <v>275</v>
      </c>
      <c r="C1072" s="102"/>
      <c r="D1072" s="102"/>
      <c r="E1072" s="331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33"/>
      <c r="R1072" s="133"/>
      <c r="S1072" s="133"/>
      <c r="T1072" s="133"/>
      <c r="U1072" s="133"/>
      <c r="V1072" s="133"/>
      <c r="W1072" s="133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/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133"/>
      <c r="AS1072" s="133"/>
      <c r="AT1072" s="133"/>
      <c r="AU1072" s="133"/>
      <c r="AV1072" s="116"/>
      <c r="AW1072" s="133"/>
      <c r="AX1072" s="133">
        <f>+AW1072-'ROR-Model'!G1088</f>
        <v>0</v>
      </c>
    </row>
    <row r="1073" spans="1:50">
      <c r="A1073" s="102"/>
      <c r="B1073" s="102"/>
      <c r="C1073" s="102" t="s">
        <v>592</v>
      </c>
      <c r="D1073" s="102"/>
      <c r="E1073" s="331"/>
      <c r="F1073" s="116">
        <f>'Rate Base'!$AQ$138*$F$1</f>
        <v>-67.953872148960272</v>
      </c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33"/>
      <c r="R1073" s="133"/>
      <c r="S1073" s="133"/>
      <c r="T1073" s="133">
        <f>'Optional Adjustment 2'!G1078*$T$1</f>
        <v>0</v>
      </c>
      <c r="U1073" s="133">
        <f>'Optional Adjustment 3'!G1078*$U$1</f>
        <v>0</v>
      </c>
      <c r="V1073" s="133">
        <f>'Optional Adjustment 4'!G1078*$V$1</f>
        <v>0</v>
      </c>
      <c r="W1073" s="133">
        <f>'Optional Adjustment 5'!G1078*$W$1</f>
        <v>0</v>
      </c>
      <c r="X1073" s="133">
        <f>'Optional Adjustment 6'!G1078*$X$1</f>
        <v>0</v>
      </c>
      <c r="Y1073" s="133">
        <f>'Optional Adjustment 7'!G1078*$Y$1</f>
        <v>0</v>
      </c>
      <c r="Z1073" s="133">
        <f>'Optional Adjustment 8'!G1078*$Z$1</f>
        <v>0</v>
      </c>
      <c r="AA1073" s="133">
        <f>'Optional Adjustment 9'!G1078*$AA$1</f>
        <v>0</v>
      </c>
      <c r="AB1073" s="133">
        <f>'Optional Adjustment 10'!G1078*$AB$1</f>
        <v>0</v>
      </c>
      <c r="AC1073" s="133">
        <f>'Optional Adjustment 11'!G1078*$AC$1</f>
        <v>0</v>
      </c>
      <c r="AD1073" s="133">
        <f>'Optional Adjustment 12'!G1078*$AD$1</f>
        <v>0</v>
      </c>
      <c r="AE1073" s="133">
        <f>'Optional Adjustment 13'!G1078*$AE$1</f>
        <v>0</v>
      </c>
      <c r="AF1073" s="133">
        <f>'Optional Adjustment 14'!G1078*$AF$1</f>
        <v>0</v>
      </c>
      <c r="AG1073" s="133">
        <f>'Optional Adjustment 15'!G1078*$AG$1</f>
        <v>0</v>
      </c>
      <c r="AH1073" s="133">
        <f>'Optional Adjustment 16'!G1078*$AH$1</f>
        <v>0</v>
      </c>
      <c r="AI1073" s="133">
        <f>'Optional Adjustment 17'!G1078*$AI$1</f>
        <v>0</v>
      </c>
      <c r="AJ1073" s="133">
        <f>'Optional Adjustment 18'!G1078*$AJ$1</f>
        <v>0</v>
      </c>
      <c r="AK1073" s="133">
        <f>'Optional Adjustment 19'!G1078*$AK$1</f>
        <v>0</v>
      </c>
      <c r="AL1073" s="133">
        <f>'Optional Adjustment 20'!G1078*$AL$1</f>
        <v>0</v>
      </c>
      <c r="AM1073" s="133">
        <f>'Optional Adjustment 21'!G1078*$AM$1</f>
        <v>0</v>
      </c>
      <c r="AN1073" s="133">
        <f>'Optional Adjustment 22'!G1078*$AN$1</f>
        <v>0</v>
      </c>
      <c r="AO1073" s="133">
        <f>'Optional Adjustment 23'!G1078*$AO$1</f>
        <v>0</v>
      </c>
      <c r="AP1073" s="133">
        <f>'Optional Adjustment 24'!G1078*$AP$1</f>
        <v>0</v>
      </c>
      <c r="AQ1073" s="133">
        <f>'Optional Adjustment 25'!G1078*$AQ$1</f>
        <v>0</v>
      </c>
      <c r="AR1073" s="133">
        <f>'Optional Adjustment 26'!G1078*$AR$1</f>
        <v>0</v>
      </c>
      <c r="AS1073" s="133">
        <f>'Optional Adjustment 27'!G1078*$AS$1</f>
        <v>0</v>
      </c>
      <c r="AT1073" s="133"/>
      <c r="AU1073" s="133">
        <f>SUM(F1073:AT1073)</f>
        <v>-67.953872148960272</v>
      </c>
      <c r="AV1073" s="116"/>
      <c r="AW1073" s="133">
        <f>SUM(AU1073:AU1073)</f>
        <v>-67.953872148960272</v>
      </c>
      <c r="AX1073" s="133">
        <f>+AW1073-'ROR-Model'!G1089</f>
        <v>0</v>
      </c>
    </row>
    <row r="1074" spans="1:50">
      <c r="A1074" s="102"/>
      <c r="B1074" s="102"/>
      <c r="C1074" s="102" t="s">
        <v>593</v>
      </c>
      <c r="D1074" s="102"/>
      <c r="E1074" s="331"/>
      <c r="F1074" s="116">
        <f>'Rate Base'!$AQ$139*$F$1</f>
        <v>-5671.4608901219908</v>
      </c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33"/>
      <c r="R1074" s="133"/>
      <c r="S1074" s="133"/>
      <c r="T1074" s="133">
        <f>'Optional Adjustment 2'!G1079*$T$1</f>
        <v>0</v>
      </c>
      <c r="U1074" s="133">
        <f>'Optional Adjustment 3'!G1079*$U$1</f>
        <v>0</v>
      </c>
      <c r="V1074" s="133">
        <f>'Optional Adjustment 4'!G1079*$V$1</f>
        <v>0</v>
      </c>
      <c r="W1074" s="133">
        <f>'Optional Adjustment 5'!G1079*$W$1</f>
        <v>0</v>
      </c>
      <c r="X1074" s="133">
        <f>'Optional Adjustment 6'!G1079*$X$1</f>
        <v>0</v>
      </c>
      <c r="Y1074" s="133">
        <f>'Optional Adjustment 7'!G1079*$Y$1</f>
        <v>0</v>
      </c>
      <c r="Z1074" s="133">
        <f>'Optional Adjustment 8'!G1079*$Z$1</f>
        <v>0</v>
      </c>
      <c r="AA1074" s="133">
        <f>'Optional Adjustment 9'!G1079*$AA$1</f>
        <v>0</v>
      </c>
      <c r="AB1074" s="133">
        <f>'Optional Adjustment 10'!G1079*$AB$1</f>
        <v>0</v>
      </c>
      <c r="AC1074" s="133">
        <f>'Optional Adjustment 11'!G1079*$AC$1</f>
        <v>0</v>
      </c>
      <c r="AD1074" s="133">
        <f>'Optional Adjustment 12'!G1079*$AD$1</f>
        <v>0</v>
      </c>
      <c r="AE1074" s="133">
        <f>'Optional Adjustment 13'!G1079*$AE$1</f>
        <v>0</v>
      </c>
      <c r="AF1074" s="133">
        <f>'Optional Adjustment 14'!G1079*$AF$1</f>
        <v>0</v>
      </c>
      <c r="AG1074" s="133">
        <f>'Optional Adjustment 15'!G1079*$AG$1</f>
        <v>0</v>
      </c>
      <c r="AH1074" s="133">
        <f>'Optional Adjustment 16'!G1079*$AH$1</f>
        <v>0</v>
      </c>
      <c r="AI1074" s="133">
        <f>'Optional Adjustment 17'!G1079*$AI$1</f>
        <v>0</v>
      </c>
      <c r="AJ1074" s="133">
        <f>'Optional Adjustment 18'!G1079*$AJ$1</f>
        <v>0</v>
      </c>
      <c r="AK1074" s="133">
        <f>'Optional Adjustment 19'!G1079*$AK$1</f>
        <v>0</v>
      </c>
      <c r="AL1074" s="133">
        <f>'Optional Adjustment 20'!G1079*$AL$1</f>
        <v>0</v>
      </c>
      <c r="AM1074" s="133">
        <f>'Optional Adjustment 21'!G1079*$AM$1</f>
        <v>0</v>
      </c>
      <c r="AN1074" s="133">
        <f>'Optional Adjustment 22'!G1079*$AN$1</f>
        <v>0</v>
      </c>
      <c r="AO1074" s="133">
        <f>'Optional Adjustment 23'!G1079*$AO$1</f>
        <v>0</v>
      </c>
      <c r="AP1074" s="133">
        <f>'Optional Adjustment 24'!G1079*$AP$1</f>
        <v>0</v>
      </c>
      <c r="AQ1074" s="133">
        <f>'Optional Adjustment 25'!G1079*$AQ$1</f>
        <v>0</v>
      </c>
      <c r="AR1074" s="133">
        <f>'Optional Adjustment 26'!G1079*$AR$1</f>
        <v>0</v>
      </c>
      <c r="AS1074" s="133">
        <f>'Optional Adjustment 27'!G1079*$AS$1</f>
        <v>0</v>
      </c>
      <c r="AT1074" s="133"/>
      <c r="AU1074" s="133">
        <f>SUM(F1074:AT1074)</f>
        <v>-5671.4608901219908</v>
      </c>
      <c r="AV1074" s="116"/>
      <c r="AW1074" s="133">
        <f>SUM(AU1074:AU1074)</f>
        <v>-5671.4608901219908</v>
      </c>
      <c r="AX1074" s="133">
        <f>+AW1074-'ROR-Model'!G1090</f>
        <v>0</v>
      </c>
    </row>
    <row r="1075" spans="1:50">
      <c r="A1075" s="102"/>
      <c r="B1075" s="102"/>
      <c r="C1075" s="102" t="s">
        <v>595</v>
      </c>
      <c r="D1075" s="102"/>
      <c r="E1075" s="331"/>
      <c r="F1075" s="116">
        <f>'Rate Base'!$AQ$140*$F$1</f>
        <v>0</v>
      </c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33"/>
      <c r="R1075" s="133"/>
      <c r="S1075" s="133"/>
      <c r="T1075" s="133">
        <f>'Optional Adjustment 2'!G1080*$T$1</f>
        <v>0</v>
      </c>
      <c r="U1075" s="133">
        <f>'Optional Adjustment 3'!G1080*$U$1</f>
        <v>0</v>
      </c>
      <c r="V1075" s="133">
        <f>'Optional Adjustment 4'!G1080*$V$1</f>
        <v>0</v>
      </c>
      <c r="W1075" s="133">
        <f>'Optional Adjustment 5'!G1080*$W$1</f>
        <v>0</v>
      </c>
      <c r="X1075" s="133">
        <f>'Optional Adjustment 6'!G1080*$X$1</f>
        <v>0</v>
      </c>
      <c r="Y1075" s="133">
        <f>'Optional Adjustment 7'!G1080*$Y$1</f>
        <v>0</v>
      </c>
      <c r="Z1075" s="133">
        <f>'Optional Adjustment 8'!G1080*$Z$1</f>
        <v>0</v>
      </c>
      <c r="AA1075" s="133">
        <f>'Optional Adjustment 9'!G1080*$AA$1</f>
        <v>0</v>
      </c>
      <c r="AB1075" s="133">
        <f>'Optional Adjustment 10'!G1080*$AB$1</f>
        <v>0</v>
      </c>
      <c r="AC1075" s="133">
        <f>'Optional Adjustment 11'!G1080*$AC$1</f>
        <v>0</v>
      </c>
      <c r="AD1075" s="133">
        <f>'Optional Adjustment 12'!G1080*$AD$1</f>
        <v>0</v>
      </c>
      <c r="AE1075" s="133">
        <f>'Optional Adjustment 13'!G1080*$AE$1</f>
        <v>0</v>
      </c>
      <c r="AF1075" s="133">
        <f>'Optional Adjustment 14'!G1080*$AF$1</f>
        <v>0</v>
      </c>
      <c r="AG1075" s="133">
        <f>'Optional Adjustment 15'!G1080*$AG$1</f>
        <v>0</v>
      </c>
      <c r="AH1075" s="133">
        <f>'Optional Adjustment 16'!G1080*$AH$1</f>
        <v>0</v>
      </c>
      <c r="AI1075" s="133">
        <f>'Optional Adjustment 17'!G1080*$AI$1</f>
        <v>0</v>
      </c>
      <c r="AJ1075" s="133">
        <f>'Optional Adjustment 18'!G1080*$AJ$1</f>
        <v>0</v>
      </c>
      <c r="AK1075" s="133">
        <f>'Optional Adjustment 19'!G1080*$AK$1</f>
        <v>0</v>
      </c>
      <c r="AL1075" s="133">
        <f>'Optional Adjustment 20'!G1080*$AL$1</f>
        <v>0</v>
      </c>
      <c r="AM1075" s="133">
        <f>'Optional Adjustment 21'!G1080*$AM$1</f>
        <v>0</v>
      </c>
      <c r="AN1075" s="133">
        <f>'Optional Adjustment 22'!G1080*$AN$1</f>
        <v>0</v>
      </c>
      <c r="AO1075" s="133">
        <f>'Optional Adjustment 23'!G1080*$AO$1</f>
        <v>0</v>
      </c>
      <c r="AP1075" s="133">
        <f>'Optional Adjustment 24'!G1080*$AP$1</f>
        <v>0</v>
      </c>
      <c r="AQ1075" s="133">
        <f>'Optional Adjustment 25'!G1080*$AQ$1</f>
        <v>0</v>
      </c>
      <c r="AR1075" s="133">
        <f>'Optional Adjustment 26'!G1080*$AR$1</f>
        <v>0</v>
      </c>
      <c r="AS1075" s="133">
        <f>'Optional Adjustment 27'!G1080*$AS$1</f>
        <v>0</v>
      </c>
      <c r="AT1075" s="133"/>
      <c r="AU1075" s="133">
        <f>SUM(F1075:AT1075)</f>
        <v>0</v>
      </c>
      <c r="AV1075" s="116"/>
      <c r="AW1075" s="133">
        <f>SUM(AU1075:AU1075)</f>
        <v>0</v>
      </c>
      <c r="AX1075" s="133">
        <f>+AW1075-'ROR-Model'!G1091</f>
        <v>0</v>
      </c>
    </row>
    <row r="1076" spans="1:50">
      <c r="A1076" s="102"/>
      <c r="B1076" s="102"/>
      <c r="C1076" s="102" t="s">
        <v>170</v>
      </c>
      <c r="D1076" s="102"/>
      <c r="E1076" s="331"/>
      <c r="F1076" s="116">
        <f>'Rate Base'!$AQ$141*$F$1</f>
        <v>-5739.4147622709279</v>
      </c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33"/>
      <c r="R1076" s="133"/>
      <c r="S1076" s="133"/>
      <c r="T1076" s="133">
        <f>'Optional Adjustment 2'!G1081*$T$1</f>
        <v>0</v>
      </c>
      <c r="U1076" s="133">
        <f>'Optional Adjustment 3'!G1081*$U$1</f>
        <v>0</v>
      </c>
      <c r="V1076" s="133">
        <f>'Optional Adjustment 4'!G1081*$V$1</f>
        <v>0</v>
      </c>
      <c r="W1076" s="133">
        <f>'Optional Adjustment 5'!G1081*$W$1</f>
        <v>0</v>
      </c>
      <c r="X1076" s="133">
        <f>'Optional Adjustment 6'!G1081*$X$1</f>
        <v>0</v>
      </c>
      <c r="Y1076" s="133">
        <f>'Optional Adjustment 7'!G1081*$Y$1</f>
        <v>0</v>
      </c>
      <c r="Z1076" s="133">
        <f>'Optional Adjustment 8'!G1081*$Z$1</f>
        <v>0</v>
      </c>
      <c r="AA1076" s="133">
        <f>'Optional Adjustment 9'!G1081*$AA$1</f>
        <v>0</v>
      </c>
      <c r="AB1076" s="133">
        <f>'Optional Adjustment 10'!G1081*$AB$1</f>
        <v>0</v>
      </c>
      <c r="AC1076" s="133">
        <f>'Optional Adjustment 11'!G1081*$AC$1</f>
        <v>0</v>
      </c>
      <c r="AD1076" s="133">
        <f>'Optional Adjustment 12'!G1081*$AD$1</f>
        <v>0</v>
      </c>
      <c r="AE1076" s="133">
        <f>'Optional Adjustment 13'!G1081*$AE$1</f>
        <v>0</v>
      </c>
      <c r="AF1076" s="133">
        <f>'Optional Adjustment 14'!G1081*$AF$1</f>
        <v>0</v>
      </c>
      <c r="AG1076" s="133">
        <f>'Optional Adjustment 15'!G1081*$AG$1</f>
        <v>0</v>
      </c>
      <c r="AH1076" s="133">
        <f>'Optional Adjustment 16'!G1081*$AH$1</f>
        <v>0</v>
      </c>
      <c r="AI1076" s="133">
        <f>'Optional Adjustment 17'!G1081*$AI$1</f>
        <v>0</v>
      </c>
      <c r="AJ1076" s="133">
        <f>'Optional Adjustment 18'!G1081*$AJ$1</f>
        <v>0</v>
      </c>
      <c r="AK1076" s="133">
        <f>'Optional Adjustment 19'!G1081*$AK$1</f>
        <v>0</v>
      </c>
      <c r="AL1076" s="133">
        <f>'Optional Adjustment 20'!G1081*$AL$1</f>
        <v>0</v>
      </c>
      <c r="AM1076" s="133">
        <f>'Optional Adjustment 21'!G1081*$AM$1</f>
        <v>0</v>
      </c>
      <c r="AN1076" s="133">
        <f>'Optional Adjustment 22'!G1081*$AN$1</f>
        <v>0</v>
      </c>
      <c r="AO1076" s="133">
        <f>'Optional Adjustment 23'!G1081*$AO$1</f>
        <v>0</v>
      </c>
      <c r="AP1076" s="133">
        <f>'Optional Adjustment 24'!G1081*$AP$1</f>
        <v>0</v>
      </c>
      <c r="AQ1076" s="133">
        <f>'Optional Adjustment 25'!G1081*$AQ$1</f>
        <v>0</v>
      </c>
      <c r="AR1076" s="133">
        <f>'Optional Adjustment 26'!G1081*$AR$1</f>
        <v>0</v>
      </c>
      <c r="AS1076" s="133">
        <f>'Optional Adjustment 27'!G1081*$AS$1</f>
        <v>0</v>
      </c>
      <c r="AT1076" s="133"/>
      <c r="AU1076" s="133">
        <f>SUM(F1076:AT1076)</f>
        <v>-5739.4147622709279</v>
      </c>
      <c r="AV1076" s="116"/>
      <c r="AW1076" s="133">
        <f>SUM(AU1076:AU1076)</f>
        <v>-5739.4147622709279</v>
      </c>
      <c r="AX1076" s="133">
        <f>+AW1076-'ROR-Model'!G1092</f>
        <v>0</v>
      </c>
    </row>
    <row r="1077" spans="1:50">
      <c r="A1077" s="102"/>
      <c r="B1077" s="102"/>
      <c r="C1077" s="102"/>
      <c r="D1077" s="102"/>
      <c r="E1077" s="331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33"/>
      <c r="R1077" s="133"/>
      <c r="S1077" s="133"/>
      <c r="T1077" s="133"/>
      <c r="U1077" s="133"/>
      <c r="V1077" s="133"/>
      <c r="W1077" s="133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/>
      <c r="AH1077" s="133"/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116"/>
      <c r="AW1077" s="133"/>
      <c r="AX1077" s="133">
        <f>+AW1077-'ROR-Model'!G1093</f>
        <v>0</v>
      </c>
    </row>
    <row r="1078" spans="1:50">
      <c r="A1078" s="102"/>
      <c r="B1078" s="102" t="s">
        <v>276</v>
      </c>
      <c r="C1078" s="102"/>
      <c r="D1078" s="102"/>
      <c r="E1078" s="331"/>
      <c r="F1078" s="116">
        <f ca="1">(F1076+F1070+F1065+F1059+F1053+F1047+F1042+F1036+F1030+F1024)*F1</f>
        <v>26209123.887204401</v>
      </c>
      <c r="G1078" s="116">
        <f t="shared" ref="G1078:AS1078" si="1228">(G1076+G1070+G1065+G1059+G1053+G1047+G1042+G1036+G1030+G1024)*G1</f>
        <v>0</v>
      </c>
      <c r="H1078" s="116">
        <f t="shared" si="1228"/>
        <v>0</v>
      </c>
      <c r="I1078" s="116">
        <f t="shared" si="1228"/>
        <v>0</v>
      </c>
      <c r="J1078" s="116">
        <f t="shared" si="1228"/>
        <v>0</v>
      </c>
      <c r="K1078" s="116">
        <f t="shared" si="1228"/>
        <v>0</v>
      </c>
      <c r="L1078" s="116">
        <f t="shared" si="1228"/>
        <v>0</v>
      </c>
      <c r="M1078" s="116">
        <f t="shared" si="1228"/>
        <v>0</v>
      </c>
      <c r="N1078" s="116">
        <f t="shared" si="1228"/>
        <v>0</v>
      </c>
      <c r="O1078" s="116">
        <f t="shared" si="1228"/>
        <v>0</v>
      </c>
      <c r="P1078" s="116">
        <f t="shared" si="1228"/>
        <v>0</v>
      </c>
      <c r="Q1078" s="116">
        <f t="shared" si="1228"/>
        <v>0</v>
      </c>
      <c r="R1078" s="116">
        <f t="shared" si="1228"/>
        <v>0</v>
      </c>
      <c r="S1078" s="116"/>
      <c r="T1078" s="116">
        <f t="shared" si="1228"/>
        <v>0</v>
      </c>
      <c r="U1078" s="116">
        <f t="shared" si="1228"/>
        <v>0</v>
      </c>
      <c r="V1078" s="116">
        <f t="shared" si="1228"/>
        <v>0</v>
      </c>
      <c r="W1078" s="116">
        <f t="shared" si="1228"/>
        <v>0</v>
      </c>
      <c r="X1078" s="116">
        <f t="shared" si="1228"/>
        <v>0</v>
      </c>
      <c r="Y1078" s="116">
        <f t="shared" si="1228"/>
        <v>0</v>
      </c>
      <c r="Z1078" s="116">
        <f t="shared" si="1228"/>
        <v>0</v>
      </c>
      <c r="AA1078" s="116">
        <f t="shared" si="1228"/>
        <v>0</v>
      </c>
      <c r="AB1078" s="116">
        <f t="shared" si="1228"/>
        <v>0</v>
      </c>
      <c r="AC1078" s="116">
        <f t="shared" si="1228"/>
        <v>0</v>
      </c>
      <c r="AD1078" s="116">
        <f t="shared" si="1228"/>
        <v>0</v>
      </c>
      <c r="AE1078" s="116">
        <f t="shared" si="1228"/>
        <v>0</v>
      </c>
      <c r="AF1078" s="116">
        <f t="shared" si="1228"/>
        <v>0</v>
      </c>
      <c r="AG1078" s="116">
        <f t="shared" si="1228"/>
        <v>0</v>
      </c>
      <c r="AH1078" s="116">
        <f t="shared" si="1228"/>
        <v>0</v>
      </c>
      <c r="AI1078" s="116">
        <f t="shared" si="1228"/>
        <v>0</v>
      </c>
      <c r="AJ1078" s="116">
        <f t="shared" si="1228"/>
        <v>0</v>
      </c>
      <c r="AK1078" s="116">
        <f t="shared" si="1228"/>
        <v>0</v>
      </c>
      <c r="AL1078" s="116">
        <f t="shared" si="1228"/>
        <v>0</v>
      </c>
      <c r="AM1078" s="116">
        <f t="shared" si="1228"/>
        <v>0</v>
      </c>
      <c r="AN1078" s="116">
        <f t="shared" si="1228"/>
        <v>0</v>
      </c>
      <c r="AO1078" s="116">
        <f t="shared" si="1228"/>
        <v>0</v>
      </c>
      <c r="AP1078" s="116">
        <f t="shared" si="1228"/>
        <v>0</v>
      </c>
      <c r="AQ1078" s="116">
        <f t="shared" si="1228"/>
        <v>0</v>
      </c>
      <c r="AR1078" s="116">
        <f t="shared" si="1228"/>
        <v>0</v>
      </c>
      <c r="AS1078" s="116">
        <f t="shared" si="1228"/>
        <v>0</v>
      </c>
      <c r="AT1078" s="116"/>
      <c r="AU1078" s="133">
        <f ca="1">SUM(F1078:AT1078)</f>
        <v>26209123.887204401</v>
      </c>
      <c r="AV1078" s="116"/>
      <c r="AW1078" s="133">
        <f ca="1">SUM(AU1078:AU1078)</f>
        <v>26209123.887204401</v>
      </c>
      <c r="AX1078" s="133">
        <f ca="1">+AW1078-'ROR-Model'!G1094</f>
        <v>0</v>
      </c>
    </row>
    <row r="1079" spans="1:50">
      <c r="A1079" s="330"/>
      <c r="B1079" s="106"/>
      <c r="C1079" s="106"/>
      <c r="D1079" s="106"/>
      <c r="E1079" s="331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33"/>
      <c r="R1079" s="133"/>
      <c r="S1079" s="133"/>
      <c r="T1079" s="133"/>
      <c r="U1079" s="133"/>
      <c r="V1079" s="133"/>
      <c r="W1079" s="133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/>
      <c r="AH1079" s="133"/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116"/>
      <c r="AW1079" s="133"/>
      <c r="AX1079" s="133">
        <f>+AW1079-'ROR-Model'!G1095</f>
        <v>0</v>
      </c>
    </row>
    <row r="1080" spans="1:50">
      <c r="A1080" s="134">
        <v>101</v>
      </c>
      <c r="B1080" s="106" t="s">
        <v>660</v>
      </c>
      <c r="C1080" s="106"/>
      <c r="D1080" s="106"/>
      <c r="E1080" s="331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33"/>
      <c r="R1080" s="133"/>
      <c r="S1080" s="133"/>
      <c r="T1080" s="133"/>
      <c r="U1080" s="133"/>
      <c r="V1080" s="133"/>
      <c r="W1080" s="133"/>
      <c r="X1080" s="133"/>
      <c r="Y1080" s="133"/>
      <c r="Z1080" s="133"/>
      <c r="AA1080" s="133"/>
      <c r="AB1080" s="133"/>
      <c r="AC1080" s="133"/>
      <c r="AD1080" s="133"/>
      <c r="AE1080" s="133"/>
      <c r="AF1080" s="133"/>
      <c r="AG1080" s="133"/>
      <c r="AH1080" s="133"/>
      <c r="AI1080" s="133"/>
      <c r="AJ1080" s="133"/>
      <c r="AK1080" s="133"/>
      <c r="AL1080" s="133"/>
      <c r="AM1080" s="133"/>
      <c r="AN1080" s="133"/>
      <c r="AO1080" s="133"/>
      <c r="AP1080" s="133"/>
      <c r="AQ1080" s="133"/>
      <c r="AR1080" s="133"/>
      <c r="AS1080" s="133"/>
      <c r="AT1080" s="133"/>
      <c r="AU1080" s="133"/>
      <c r="AV1080" s="116"/>
      <c r="AW1080" s="133"/>
      <c r="AX1080" s="133">
        <f>+AW1080-'ROR-Model'!G1096</f>
        <v>0</v>
      </c>
    </row>
    <row r="1081" spans="1:50">
      <c r="A1081" s="134"/>
      <c r="B1081" s="106"/>
      <c r="C1081" s="106" t="s">
        <v>443</v>
      </c>
      <c r="D1081" s="106"/>
      <c r="E1081" s="331"/>
      <c r="F1081" s="116">
        <f>+F964*F1</f>
        <v>0</v>
      </c>
      <c r="G1081" s="116">
        <f t="shared" ref="G1081:AS1081" si="1229">+G964*G1</f>
        <v>0</v>
      </c>
      <c r="H1081" s="116">
        <f t="shared" si="1229"/>
        <v>0</v>
      </c>
      <c r="I1081" s="116">
        <f t="shared" si="1229"/>
        <v>0</v>
      </c>
      <c r="J1081" s="116">
        <f t="shared" si="1229"/>
        <v>-5037992.5680000009</v>
      </c>
      <c r="K1081" s="116">
        <f t="shared" si="1229"/>
        <v>0</v>
      </c>
      <c r="L1081" s="116">
        <f t="shared" si="1229"/>
        <v>0</v>
      </c>
      <c r="M1081" s="116">
        <f t="shared" si="1229"/>
        <v>0</v>
      </c>
      <c r="N1081" s="116">
        <f t="shared" si="1229"/>
        <v>0</v>
      </c>
      <c r="O1081" s="116">
        <f t="shared" si="1229"/>
        <v>0</v>
      </c>
      <c r="P1081" s="116">
        <f t="shared" si="1229"/>
        <v>0</v>
      </c>
      <c r="Q1081" s="116">
        <f t="shared" si="1229"/>
        <v>0</v>
      </c>
      <c r="R1081" s="116">
        <f t="shared" si="1229"/>
        <v>0</v>
      </c>
      <c r="S1081" s="116"/>
      <c r="T1081" s="116">
        <f t="shared" si="1229"/>
        <v>0</v>
      </c>
      <c r="U1081" s="116">
        <f t="shared" si="1229"/>
        <v>0</v>
      </c>
      <c r="V1081" s="116">
        <f t="shared" si="1229"/>
        <v>0</v>
      </c>
      <c r="W1081" s="116">
        <f t="shared" si="1229"/>
        <v>0</v>
      </c>
      <c r="X1081" s="116">
        <f t="shared" si="1229"/>
        <v>0</v>
      </c>
      <c r="Y1081" s="116">
        <f t="shared" si="1229"/>
        <v>0</v>
      </c>
      <c r="Z1081" s="116">
        <f t="shared" si="1229"/>
        <v>0</v>
      </c>
      <c r="AA1081" s="116">
        <f t="shared" si="1229"/>
        <v>0</v>
      </c>
      <c r="AB1081" s="116">
        <f t="shared" si="1229"/>
        <v>0</v>
      </c>
      <c r="AC1081" s="116">
        <f t="shared" si="1229"/>
        <v>0</v>
      </c>
      <c r="AD1081" s="116">
        <f t="shared" si="1229"/>
        <v>0</v>
      </c>
      <c r="AE1081" s="116">
        <f t="shared" si="1229"/>
        <v>0</v>
      </c>
      <c r="AF1081" s="116">
        <f t="shared" si="1229"/>
        <v>0</v>
      </c>
      <c r="AG1081" s="116">
        <f t="shared" si="1229"/>
        <v>0</v>
      </c>
      <c r="AH1081" s="116">
        <f t="shared" si="1229"/>
        <v>0</v>
      </c>
      <c r="AI1081" s="116">
        <f t="shared" si="1229"/>
        <v>0</v>
      </c>
      <c r="AJ1081" s="116">
        <f t="shared" si="1229"/>
        <v>0</v>
      </c>
      <c r="AK1081" s="116">
        <f t="shared" si="1229"/>
        <v>0</v>
      </c>
      <c r="AL1081" s="116">
        <f t="shared" si="1229"/>
        <v>0</v>
      </c>
      <c r="AM1081" s="116">
        <f t="shared" si="1229"/>
        <v>0</v>
      </c>
      <c r="AN1081" s="116">
        <f t="shared" si="1229"/>
        <v>0</v>
      </c>
      <c r="AO1081" s="116">
        <f t="shared" si="1229"/>
        <v>0</v>
      </c>
      <c r="AP1081" s="116">
        <f t="shared" si="1229"/>
        <v>0</v>
      </c>
      <c r="AQ1081" s="116">
        <f t="shared" si="1229"/>
        <v>0</v>
      </c>
      <c r="AR1081" s="116">
        <f t="shared" si="1229"/>
        <v>0</v>
      </c>
      <c r="AS1081" s="116">
        <f t="shared" si="1229"/>
        <v>0</v>
      </c>
      <c r="AT1081" s="116"/>
      <c r="AU1081" s="133">
        <f>SUM(F1081:AT1081)</f>
        <v>-5037992.5680000009</v>
      </c>
      <c r="AV1081" s="116"/>
      <c r="AW1081" s="133">
        <f>SUM(AU1081:AU1081)</f>
        <v>-5037992.5680000009</v>
      </c>
      <c r="AX1081" s="133">
        <f>+AW1081-'ROR-Model'!G1098</f>
        <v>0</v>
      </c>
    </row>
    <row r="1082" spans="1:50">
      <c r="A1082" s="134"/>
      <c r="B1082" s="106"/>
      <c r="C1082" s="106" t="s">
        <v>592</v>
      </c>
      <c r="D1082" s="106"/>
      <c r="E1082" s="331"/>
      <c r="F1082" s="116">
        <f ca="1">(+F950+F968+F973+F981+F989+F994+F999+F1004+F1009+F1014)*F1</f>
        <v>8923278.1687404402</v>
      </c>
      <c r="G1082" s="116">
        <f t="shared" ref="G1082:AS1082" si="1230">(+G950+G968+G973+G981+G989+G994+G999+G1004+G1009+G1014)*G1</f>
        <v>0</v>
      </c>
      <c r="H1082" s="116">
        <f t="shared" si="1230"/>
        <v>0</v>
      </c>
      <c r="I1082" s="116">
        <f t="shared" si="1230"/>
        <v>0</v>
      </c>
      <c r="J1082" s="116">
        <f t="shared" si="1230"/>
        <v>0</v>
      </c>
      <c r="K1082" s="116">
        <f t="shared" si="1230"/>
        <v>0</v>
      </c>
      <c r="L1082" s="116">
        <f t="shared" si="1230"/>
        <v>0</v>
      </c>
      <c r="M1082" s="116">
        <f t="shared" si="1230"/>
        <v>0</v>
      </c>
      <c r="N1082" s="116">
        <f t="shared" si="1230"/>
        <v>0</v>
      </c>
      <c r="O1082" s="116">
        <f t="shared" si="1230"/>
        <v>0</v>
      </c>
      <c r="P1082" s="116">
        <f t="shared" si="1230"/>
        <v>0</v>
      </c>
      <c r="Q1082" s="116">
        <f t="shared" si="1230"/>
        <v>0</v>
      </c>
      <c r="R1082" s="116">
        <f t="shared" si="1230"/>
        <v>0</v>
      </c>
      <c r="S1082" s="116"/>
      <c r="T1082" s="116">
        <f t="shared" si="1230"/>
        <v>0</v>
      </c>
      <c r="U1082" s="116">
        <f t="shared" si="1230"/>
        <v>0</v>
      </c>
      <c r="V1082" s="116">
        <f t="shared" si="1230"/>
        <v>0</v>
      </c>
      <c r="W1082" s="116">
        <f t="shared" si="1230"/>
        <v>0</v>
      </c>
      <c r="X1082" s="116">
        <f t="shared" si="1230"/>
        <v>0</v>
      </c>
      <c r="Y1082" s="116">
        <f t="shared" si="1230"/>
        <v>0</v>
      </c>
      <c r="Z1082" s="116">
        <f t="shared" si="1230"/>
        <v>0</v>
      </c>
      <c r="AA1082" s="116">
        <f t="shared" si="1230"/>
        <v>0</v>
      </c>
      <c r="AB1082" s="116">
        <f t="shared" si="1230"/>
        <v>0</v>
      </c>
      <c r="AC1082" s="116">
        <f t="shared" si="1230"/>
        <v>0</v>
      </c>
      <c r="AD1082" s="116">
        <f t="shared" si="1230"/>
        <v>0</v>
      </c>
      <c r="AE1082" s="116">
        <f t="shared" si="1230"/>
        <v>0</v>
      </c>
      <c r="AF1082" s="116">
        <f t="shared" si="1230"/>
        <v>0</v>
      </c>
      <c r="AG1082" s="116">
        <f t="shared" si="1230"/>
        <v>0</v>
      </c>
      <c r="AH1082" s="116">
        <f t="shared" si="1230"/>
        <v>0</v>
      </c>
      <c r="AI1082" s="116">
        <f t="shared" si="1230"/>
        <v>0</v>
      </c>
      <c r="AJ1082" s="116">
        <f t="shared" si="1230"/>
        <v>0</v>
      </c>
      <c r="AK1082" s="116">
        <f t="shared" si="1230"/>
        <v>0</v>
      </c>
      <c r="AL1082" s="116">
        <f t="shared" si="1230"/>
        <v>0</v>
      </c>
      <c r="AM1082" s="116">
        <f t="shared" si="1230"/>
        <v>0</v>
      </c>
      <c r="AN1082" s="116">
        <f t="shared" si="1230"/>
        <v>0</v>
      </c>
      <c r="AO1082" s="116">
        <f t="shared" si="1230"/>
        <v>0</v>
      </c>
      <c r="AP1082" s="116">
        <f t="shared" si="1230"/>
        <v>0</v>
      </c>
      <c r="AQ1082" s="116">
        <f t="shared" si="1230"/>
        <v>0</v>
      </c>
      <c r="AR1082" s="116">
        <f t="shared" si="1230"/>
        <v>0</v>
      </c>
      <c r="AS1082" s="116">
        <f t="shared" si="1230"/>
        <v>0</v>
      </c>
      <c r="AT1082" s="116"/>
      <c r="AU1082" s="133">
        <f ca="1">SUM(F1082:AT1082)</f>
        <v>8923278.1687404402</v>
      </c>
      <c r="AV1082" s="116"/>
      <c r="AW1082" s="133">
        <f ca="1">SUM(AU1082:AU1082)</f>
        <v>8923278.1687404402</v>
      </c>
      <c r="AX1082" s="133">
        <f ca="1">+AW1082-'ROR-Model'!G1099</f>
        <v>0</v>
      </c>
    </row>
    <row r="1083" spans="1:50">
      <c r="A1083" s="134"/>
      <c r="B1083" s="106"/>
      <c r="C1083" s="106" t="s">
        <v>593</v>
      </c>
      <c r="D1083" s="106"/>
      <c r="E1083" s="331"/>
      <c r="F1083" s="116">
        <f ca="1">(+F951+F969+F974+F985+F990+F995+F1000+F1005+F1010+F1015)*F1</f>
        <v>267605660.86333176</v>
      </c>
      <c r="G1083" s="116">
        <f t="shared" ref="G1083:AS1083" si="1231">(+G951+G969+G974+G985+G990+G995+G1000+G1005+G1010+G1015)*G1</f>
        <v>0</v>
      </c>
      <c r="H1083" s="116">
        <f t="shared" si="1231"/>
        <v>0</v>
      </c>
      <c r="I1083" s="116">
        <f t="shared" si="1231"/>
        <v>0</v>
      </c>
      <c r="J1083" s="116">
        <f t="shared" si="1231"/>
        <v>0</v>
      </c>
      <c r="K1083" s="116">
        <f t="shared" si="1231"/>
        <v>0</v>
      </c>
      <c r="L1083" s="116">
        <f t="shared" si="1231"/>
        <v>0</v>
      </c>
      <c r="M1083" s="116">
        <f t="shared" si="1231"/>
        <v>0</v>
      </c>
      <c r="N1083" s="116">
        <f t="shared" si="1231"/>
        <v>0</v>
      </c>
      <c r="O1083" s="116">
        <f t="shared" si="1231"/>
        <v>0</v>
      </c>
      <c r="P1083" s="116">
        <f t="shared" si="1231"/>
        <v>0</v>
      </c>
      <c r="Q1083" s="116">
        <f t="shared" si="1231"/>
        <v>0</v>
      </c>
      <c r="R1083" s="116">
        <f t="shared" si="1231"/>
        <v>0</v>
      </c>
      <c r="S1083" s="116"/>
      <c r="T1083" s="116">
        <f t="shared" si="1231"/>
        <v>0</v>
      </c>
      <c r="U1083" s="116">
        <f t="shared" si="1231"/>
        <v>0</v>
      </c>
      <c r="V1083" s="116">
        <f t="shared" si="1231"/>
        <v>0</v>
      </c>
      <c r="W1083" s="116">
        <f t="shared" si="1231"/>
        <v>0</v>
      </c>
      <c r="X1083" s="116">
        <f t="shared" si="1231"/>
        <v>0</v>
      </c>
      <c r="Y1083" s="116">
        <f t="shared" si="1231"/>
        <v>0</v>
      </c>
      <c r="Z1083" s="116">
        <f t="shared" si="1231"/>
        <v>0</v>
      </c>
      <c r="AA1083" s="116">
        <f t="shared" si="1231"/>
        <v>0</v>
      </c>
      <c r="AB1083" s="116">
        <f t="shared" si="1231"/>
        <v>0</v>
      </c>
      <c r="AC1083" s="116">
        <f t="shared" si="1231"/>
        <v>0</v>
      </c>
      <c r="AD1083" s="116">
        <f t="shared" si="1231"/>
        <v>0</v>
      </c>
      <c r="AE1083" s="116">
        <f t="shared" si="1231"/>
        <v>0</v>
      </c>
      <c r="AF1083" s="116">
        <f t="shared" si="1231"/>
        <v>0</v>
      </c>
      <c r="AG1083" s="116">
        <f t="shared" si="1231"/>
        <v>0</v>
      </c>
      <c r="AH1083" s="116">
        <f t="shared" si="1231"/>
        <v>0</v>
      </c>
      <c r="AI1083" s="116">
        <f t="shared" si="1231"/>
        <v>0</v>
      </c>
      <c r="AJ1083" s="116">
        <f t="shared" si="1231"/>
        <v>0</v>
      </c>
      <c r="AK1083" s="116">
        <f t="shared" si="1231"/>
        <v>0</v>
      </c>
      <c r="AL1083" s="116">
        <f t="shared" si="1231"/>
        <v>0</v>
      </c>
      <c r="AM1083" s="116">
        <f t="shared" si="1231"/>
        <v>0</v>
      </c>
      <c r="AN1083" s="116">
        <f t="shared" si="1231"/>
        <v>0</v>
      </c>
      <c r="AO1083" s="116">
        <f t="shared" si="1231"/>
        <v>0</v>
      </c>
      <c r="AP1083" s="116">
        <f t="shared" si="1231"/>
        <v>0</v>
      </c>
      <c r="AQ1083" s="116">
        <f t="shared" si="1231"/>
        <v>0</v>
      </c>
      <c r="AR1083" s="116">
        <f t="shared" si="1231"/>
        <v>0</v>
      </c>
      <c r="AS1083" s="116">
        <f t="shared" si="1231"/>
        <v>0</v>
      </c>
      <c r="AT1083" s="116"/>
      <c r="AU1083" s="133">
        <f ca="1">SUM(F1083:AT1083)</f>
        <v>267605660.86333176</v>
      </c>
      <c r="AV1083" s="116"/>
      <c r="AW1083" s="133">
        <f ca="1">SUM(AU1083:AU1083)</f>
        <v>267605660.86333176</v>
      </c>
      <c r="AX1083" s="133">
        <f ca="1">+AW1083-'ROR-Model'!G1100</f>
        <v>0</v>
      </c>
    </row>
    <row r="1084" spans="1:50">
      <c r="A1084" s="134"/>
      <c r="B1084" s="106"/>
      <c r="C1084" s="106" t="s">
        <v>595</v>
      </c>
      <c r="D1084" s="106"/>
      <c r="E1084" s="331"/>
      <c r="F1084" s="116">
        <f ca="1">+F1078*F1</f>
        <v>26209123.887204401</v>
      </c>
      <c r="G1084" s="116">
        <f t="shared" ref="G1084:AS1084" si="1232">+G1078*G1</f>
        <v>0</v>
      </c>
      <c r="H1084" s="116">
        <f t="shared" si="1232"/>
        <v>0</v>
      </c>
      <c r="I1084" s="116">
        <f t="shared" si="1232"/>
        <v>0</v>
      </c>
      <c r="J1084" s="116">
        <f t="shared" si="1232"/>
        <v>0</v>
      </c>
      <c r="K1084" s="116">
        <f t="shared" si="1232"/>
        <v>0</v>
      </c>
      <c r="L1084" s="116">
        <f t="shared" si="1232"/>
        <v>0</v>
      </c>
      <c r="M1084" s="116">
        <f t="shared" si="1232"/>
        <v>0</v>
      </c>
      <c r="N1084" s="116">
        <f t="shared" si="1232"/>
        <v>0</v>
      </c>
      <c r="O1084" s="116">
        <f t="shared" si="1232"/>
        <v>0</v>
      </c>
      <c r="P1084" s="116">
        <f t="shared" si="1232"/>
        <v>0</v>
      </c>
      <c r="Q1084" s="116">
        <f t="shared" si="1232"/>
        <v>0</v>
      </c>
      <c r="R1084" s="116">
        <f t="shared" si="1232"/>
        <v>0</v>
      </c>
      <c r="S1084" s="116"/>
      <c r="T1084" s="116">
        <f t="shared" si="1232"/>
        <v>0</v>
      </c>
      <c r="U1084" s="116">
        <f t="shared" si="1232"/>
        <v>0</v>
      </c>
      <c r="V1084" s="116">
        <f t="shared" si="1232"/>
        <v>0</v>
      </c>
      <c r="W1084" s="116">
        <f t="shared" si="1232"/>
        <v>0</v>
      </c>
      <c r="X1084" s="116">
        <f t="shared" si="1232"/>
        <v>0</v>
      </c>
      <c r="Y1084" s="116">
        <f t="shared" si="1232"/>
        <v>0</v>
      </c>
      <c r="Z1084" s="116">
        <f t="shared" si="1232"/>
        <v>0</v>
      </c>
      <c r="AA1084" s="116">
        <f t="shared" si="1232"/>
        <v>0</v>
      </c>
      <c r="AB1084" s="116">
        <f t="shared" si="1232"/>
        <v>0</v>
      </c>
      <c r="AC1084" s="116">
        <f t="shared" si="1232"/>
        <v>0</v>
      </c>
      <c r="AD1084" s="116">
        <f t="shared" si="1232"/>
        <v>0</v>
      </c>
      <c r="AE1084" s="116">
        <f t="shared" si="1232"/>
        <v>0</v>
      </c>
      <c r="AF1084" s="116">
        <f t="shared" si="1232"/>
        <v>0</v>
      </c>
      <c r="AG1084" s="116">
        <f t="shared" si="1232"/>
        <v>0</v>
      </c>
      <c r="AH1084" s="116">
        <f t="shared" si="1232"/>
        <v>0</v>
      </c>
      <c r="AI1084" s="116">
        <f t="shared" si="1232"/>
        <v>0</v>
      </c>
      <c r="AJ1084" s="116">
        <f t="shared" si="1232"/>
        <v>0</v>
      </c>
      <c r="AK1084" s="116">
        <f t="shared" si="1232"/>
        <v>0</v>
      </c>
      <c r="AL1084" s="116">
        <f t="shared" si="1232"/>
        <v>0</v>
      </c>
      <c r="AM1084" s="116">
        <f t="shared" si="1232"/>
        <v>0</v>
      </c>
      <c r="AN1084" s="116">
        <f t="shared" si="1232"/>
        <v>0</v>
      </c>
      <c r="AO1084" s="116">
        <f t="shared" si="1232"/>
        <v>0</v>
      </c>
      <c r="AP1084" s="116">
        <f t="shared" si="1232"/>
        <v>0</v>
      </c>
      <c r="AQ1084" s="116">
        <f t="shared" si="1232"/>
        <v>0</v>
      </c>
      <c r="AR1084" s="116">
        <f t="shared" si="1232"/>
        <v>0</v>
      </c>
      <c r="AS1084" s="116">
        <f t="shared" si="1232"/>
        <v>0</v>
      </c>
      <c r="AT1084" s="116"/>
      <c r="AU1084" s="133">
        <f ca="1">SUM(F1084:AT1084)</f>
        <v>26209123.887204401</v>
      </c>
      <c r="AV1084" s="116"/>
      <c r="AW1084" s="133">
        <f ca="1">SUM(AU1084:AU1084)</f>
        <v>26209123.887204401</v>
      </c>
      <c r="AX1084" s="133">
        <f ca="1">+AW1084-'ROR-Model'!G1101</f>
        <v>0</v>
      </c>
    </row>
    <row r="1085" spans="1:50">
      <c r="A1085" s="134"/>
      <c r="B1085" s="106"/>
      <c r="C1085" s="106" t="s">
        <v>660</v>
      </c>
      <c r="D1085" s="106"/>
      <c r="E1085" s="331"/>
      <c r="F1085" s="131">
        <f t="shared" ref="F1085" ca="1" si="1233">SUM(F1081:F1084)</f>
        <v>302738062.9192766</v>
      </c>
      <c r="G1085" s="131">
        <f t="shared" ref="G1085:AS1085" si="1234">SUM(G1081:G1084)</f>
        <v>0</v>
      </c>
      <c r="H1085" s="131">
        <f t="shared" si="1234"/>
        <v>0</v>
      </c>
      <c r="I1085" s="131">
        <f t="shared" si="1234"/>
        <v>0</v>
      </c>
      <c r="J1085" s="131">
        <f t="shared" si="1234"/>
        <v>-5037992.5680000009</v>
      </c>
      <c r="K1085" s="131">
        <f t="shared" si="1234"/>
        <v>0</v>
      </c>
      <c r="L1085" s="131">
        <f t="shared" si="1234"/>
        <v>0</v>
      </c>
      <c r="M1085" s="131">
        <f t="shared" si="1234"/>
        <v>0</v>
      </c>
      <c r="N1085" s="131">
        <f t="shared" si="1234"/>
        <v>0</v>
      </c>
      <c r="O1085" s="131">
        <f t="shared" si="1234"/>
        <v>0</v>
      </c>
      <c r="P1085" s="131">
        <f t="shared" si="1234"/>
        <v>0</v>
      </c>
      <c r="Q1085" s="131">
        <f t="shared" si="1234"/>
        <v>0</v>
      </c>
      <c r="R1085" s="131">
        <f t="shared" si="1234"/>
        <v>0</v>
      </c>
      <c r="S1085" s="550"/>
      <c r="T1085" s="550">
        <f t="shared" si="1234"/>
        <v>0</v>
      </c>
      <c r="U1085" s="550">
        <f t="shared" si="1234"/>
        <v>0</v>
      </c>
      <c r="V1085" s="550">
        <f t="shared" si="1234"/>
        <v>0</v>
      </c>
      <c r="W1085" s="550">
        <f t="shared" si="1234"/>
        <v>0</v>
      </c>
      <c r="X1085" s="550">
        <f t="shared" si="1234"/>
        <v>0</v>
      </c>
      <c r="Y1085" s="550">
        <f t="shared" si="1234"/>
        <v>0</v>
      </c>
      <c r="Z1085" s="550">
        <f t="shared" si="1234"/>
        <v>0</v>
      </c>
      <c r="AA1085" s="550">
        <f t="shared" si="1234"/>
        <v>0</v>
      </c>
      <c r="AB1085" s="550">
        <f t="shared" si="1234"/>
        <v>0</v>
      </c>
      <c r="AC1085" s="550">
        <f t="shared" si="1234"/>
        <v>0</v>
      </c>
      <c r="AD1085" s="550">
        <f t="shared" si="1234"/>
        <v>0</v>
      </c>
      <c r="AE1085" s="550">
        <f t="shared" si="1234"/>
        <v>0</v>
      </c>
      <c r="AF1085" s="550">
        <f t="shared" si="1234"/>
        <v>0</v>
      </c>
      <c r="AG1085" s="550">
        <f t="shared" si="1234"/>
        <v>0</v>
      </c>
      <c r="AH1085" s="550">
        <f t="shared" si="1234"/>
        <v>0</v>
      </c>
      <c r="AI1085" s="550">
        <f t="shared" si="1234"/>
        <v>0</v>
      </c>
      <c r="AJ1085" s="550">
        <f t="shared" si="1234"/>
        <v>0</v>
      </c>
      <c r="AK1085" s="550">
        <f t="shared" si="1234"/>
        <v>0</v>
      </c>
      <c r="AL1085" s="550">
        <f t="shared" si="1234"/>
        <v>0</v>
      </c>
      <c r="AM1085" s="550">
        <f t="shared" si="1234"/>
        <v>0</v>
      </c>
      <c r="AN1085" s="550">
        <f t="shared" si="1234"/>
        <v>0</v>
      </c>
      <c r="AO1085" s="550">
        <f t="shared" si="1234"/>
        <v>0</v>
      </c>
      <c r="AP1085" s="550">
        <f t="shared" si="1234"/>
        <v>0</v>
      </c>
      <c r="AQ1085" s="550">
        <f t="shared" si="1234"/>
        <v>0</v>
      </c>
      <c r="AR1085" s="550">
        <f t="shared" si="1234"/>
        <v>0</v>
      </c>
      <c r="AS1085" s="550">
        <f t="shared" si="1234"/>
        <v>0</v>
      </c>
      <c r="AT1085" s="550"/>
      <c r="AU1085" s="241">
        <f ca="1">SUM(AU1081:AU1084)</f>
        <v>297700070.35127664</v>
      </c>
      <c r="AV1085" s="131"/>
      <c r="AW1085" s="241">
        <f ca="1">SUM(AW1081:AW1084)</f>
        <v>297700070.35127664</v>
      </c>
      <c r="AX1085" s="241">
        <f ca="1">+AW1085-'ROR-Model'!G1102</f>
        <v>0</v>
      </c>
    </row>
    <row r="1086" spans="1:50">
      <c r="A1086" s="134"/>
      <c r="B1086" s="106"/>
      <c r="C1086" s="106"/>
      <c r="D1086" s="106"/>
      <c r="E1086" s="331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33"/>
      <c r="R1086" s="133"/>
      <c r="S1086" s="133"/>
      <c r="T1086" s="133"/>
      <c r="U1086" s="133"/>
      <c r="V1086" s="133"/>
      <c r="W1086" s="133"/>
      <c r="X1086" s="133"/>
      <c r="Y1086" s="133"/>
      <c r="Z1086" s="133"/>
      <c r="AA1086" s="133"/>
      <c r="AB1086" s="133"/>
      <c r="AC1086" s="133"/>
      <c r="AD1086" s="133"/>
      <c r="AE1086" s="133"/>
      <c r="AF1086" s="133"/>
      <c r="AG1086" s="133"/>
      <c r="AH1086" s="133"/>
      <c r="AI1086" s="133"/>
      <c r="AJ1086" s="133"/>
      <c r="AK1086" s="133"/>
      <c r="AL1086" s="133"/>
      <c r="AM1086" s="133"/>
      <c r="AN1086" s="133"/>
      <c r="AO1086" s="133"/>
      <c r="AP1086" s="133"/>
      <c r="AQ1086" s="133"/>
      <c r="AR1086" s="133"/>
      <c r="AS1086" s="133"/>
      <c r="AT1086" s="133"/>
      <c r="AU1086" s="133"/>
      <c r="AV1086" s="116"/>
      <c r="AW1086" s="133"/>
      <c r="AX1086" s="133">
        <f>+AW1086-'ROR-Model'!G1103</f>
        <v>0</v>
      </c>
    </row>
    <row r="1087" spans="1:50">
      <c r="A1087" s="134">
        <v>105</v>
      </c>
      <c r="B1087" s="106" t="s">
        <v>299</v>
      </c>
      <c r="C1087" s="106"/>
      <c r="D1087" s="10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33"/>
      <c r="R1087" s="133"/>
      <c r="S1087" s="133"/>
      <c r="T1087" s="133"/>
      <c r="U1087" s="133"/>
      <c r="V1087" s="133"/>
      <c r="W1087" s="133"/>
      <c r="X1087" s="133"/>
      <c r="Y1087" s="133"/>
      <c r="Z1087" s="133"/>
      <c r="AA1087" s="133"/>
      <c r="AB1087" s="133"/>
      <c r="AC1087" s="133"/>
      <c r="AD1087" s="133"/>
      <c r="AE1087" s="133"/>
      <c r="AF1087" s="133"/>
      <c r="AG1087" s="133"/>
      <c r="AH1087" s="133"/>
      <c r="AI1087" s="133"/>
      <c r="AJ1087" s="133"/>
      <c r="AK1087" s="133"/>
      <c r="AL1087" s="133"/>
      <c r="AM1087" s="133"/>
      <c r="AN1087" s="133"/>
      <c r="AO1087" s="133"/>
      <c r="AP1087" s="133"/>
      <c r="AQ1087" s="133"/>
      <c r="AR1087" s="133"/>
      <c r="AS1087" s="133"/>
      <c r="AT1087" s="133"/>
      <c r="AU1087" s="133"/>
      <c r="AV1087" s="116"/>
      <c r="AW1087" s="133"/>
      <c r="AX1087" s="133">
        <f>+AW1087-'ROR-Model'!G1104</f>
        <v>0</v>
      </c>
    </row>
    <row r="1088" spans="1:50">
      <c r="A1088" s="134"/>
      <c r="B1088" s="106"/>
      <c r="C1088" s="106" t="s">
        <v>593</v>
      </c>
      <c r="D1088" s="106"/>
      <c r="E1088" s="331"/>
      <c r="F1088" s="116">
        <f>'Rate Base'!$AQ$153*F1</f>
        <v>0</v>
      </c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33"/>
      <c r="R1088" s="133"/>
      <c r="S1088" s="133"/>
      <c r="T1088" s="133">
        <f>'Optional Adjustment 2'!G1098*$T$1</f>
        <v>0</v>
      </c>
      <c r="U1088" s="133">
        <f>'Optional Adjustment 3'!G1098*$U$1</f>
        <v>0</v>
      </c>
      <c r="V1088" s="133">
        <f>'Optional Adjustment 4'!G1098*$V$1</f>
        <v>0</v>
      </c>
      <c r="W1088" s="133">
        <f>'Optional Adjustment 5'!G1098*$W$1</f>
        <v>0</v>
      </c>
      <c r="X1088" s="133">
        <f>'Optional Adjustment 6'!G1098*$X$1</f>
        <v>0</v>
      </c>
      <c r="Y1088" s="133">
        <f>'Optional Adjustment 7'!G1098*$Y$1</f>
        <v>0</v>
      </c>
      <c r="Z1088" s="133">
        <f>'Optional Adjustment 8'!G1098*$Z$1</f>
        <v>0</v>
      </c>
      <c r="AA1088" s="133">
        <f>'Optional Adjustment 9'!G1098*$AA$1</f>
        <v>0</v>
      </c>
      <c r="AB1088" s="133">
        <f>'Optional Adjustment 10'!G1098*$AB$1</f>
        <v>0</v>
      </c>
      <c r="AC1088" s="133">
        <f>'Optional Adjustment 11'!G1098*$AC$1</f>
        <v>0</v>
      </c>
      <c r="AD1088" s="133">
        <f>'Optional Adjustment 12'!G1098*$AD$1</f>
        <v>0</v>
      </c>
      <c r="AE1088" s="133">
        <f>'Optional Adjustment 13'!G1098*$AE$1</f>
        <v>0</v>
      </c>
      <c r="AF1088" s="133">
        <f>'Optional Adjustment 14'!G1098*$AF$1</f>
        <v>0</v>
      </c>
      <c r="AG1088" s="133">
        <f>'Optional Adjustment 15'!G1098*$AG$1</f>
        <v>0</v>
      </c>
      <c r="AH1088" s="133">
        <f>'Optional Adjustment 16'!G1098*$AH$1</f>
        <v>0</v>
      </c>
      <c r="AI1088" s="133">
        <f>'Optional Adjustment 17'!G1098*$AI$1</f>
        <v>0</v>
      </c>
      <c r="AJ1088" s="133">
        <f>'Optional Adjustment 18'!G1098*$AJ$1</f>
        <v>0</v>
      </c>
      <c r="AK1088" s="133">
        <f>'Optional Adjustment 19'!G1098*$AK$1</f>
        <v>0</v>
      </c>
      <c r="AL1088" s="133">
        <f>'Optional Adjustment 20'!G1098*$AL$1</f>
        <v>0</v>
      </c>
      <c r="AM1088" s="133">
        <f>'Optional Adjustment 21'!G1098*$AM$1</f>
        <v>0</v>
      </c>
      <c r="AN1088" s="133">
        <f>'Optional Adjustment 22'!G1098*$AN$1</f>
        <v>0</v>
      </c>
      <c r="AO1088" s="133">
        <f>'Optional Adjustment 23'!G1098*$AO$1</f>
        <v>0</v>
      </c>
      <c r="AP1088" s="133">
        <f>'Optional Adjustment 24'!G1098*$AP$1</f>
        <v>0</v>
      </c>
      <c r="AQ1088" s="133">
        <f>'Optional Adjustment 25'!G1098*$AQ$1</f>
        <v>0</v>
      </c>
      <c r="AR1088" s="133">
        <f>'Optional Adjustment 26'!G1098*$AR$1</f>
        <v>0</v>
      </c>
      <c r="AS1088" s="133">
        <f>'Optional Adjustment 27'!G1098*$AS$1</f>
        <v>0</v>
      </c>
      <c r="AT1088" s="133"/>
      <c r="AU1088" s="133">
        <f>SUM(F1088:AT1088)</f>
        <v>0</v>
      </c>
      <c r="AV1088" s="116"/>
      <c r="AW1088" s="133">
        <f>SUM(AU1088:AU1088)</f>
        <v>0</v>
      </c>
      <c r="AX1088" s="133">
        <f>+AW1088-'ROR-Model'!G1105</f>
        <v>0</v>
      </c>
    </row>
    <row r="1089" spans="1:50">
      <c r="A1089" s="134"/>
      <c r="B1089" s="106"/>
      <c r="C1089" s="106" t="s">
        <v>170</v>
      </c>
      <c r="D1089" s="106"/>
      <c r="E1089" s="331"/>
      <c r="F1089" s="131">
        <f>SUM(F1088)</f>
        <v>0</v>
      </c>
      <c r="G1089" s="131"/>
      <c r="H1089" s="131"/>
      <c r="I1089" s="131">
        <f>SUM(I1088)</f>
        <v>0</v>
      </c>
      <c r="J1089" s="131">
        <f t="shared" ref="J1089:Q1089" si="1235">SUM(J1088)</f>
        <v>0</v>
      </c>
      <c r="K1089" s="131">
        <f t="shared" ref="K1089" si="1236">SUM(K1088)</f>
        <v>0</v>
      </c>
      <c r="L1089" s="131">
        <f t="shared" si="1235"/>
        <v>0</v>
      </c>
      <c r="M1089" s="131">
        <f t="shared" si="1235"/>
        <v>0</v>
      </c>
      <c r="N1089" s="131">
        <f t="shared" si="1235"/>
        <v>0</v>
      </c>
      <c r="O1089" s="131">
        <f t="shared" si="1235"/>
        <v>0</v>
      </c>
      <c r="P1089" s="131">
        <f t="shared" si="1235"/>
        <v>0</v>
      </c>
      <c r="Q1089" s="241">
        <f t="shared" si="1235"/>
        <v>0</v>
      </c>
      <c r="R1089" s="241">
        <f t="shared" ref="R1089" si="1237">SUM(R1088)</f>
        <v>0</v>
      </c>
      <c r="S1089" s="556"/>
      <c r="T1089" s="556">
        <f t="shared" ref="T1089:W1089" si="1238">SUM(T1088)</f>
        <v>0</v>
      </c>
      <c r="U1089" s="556">
        <f t="shared" si="1238"/>
        <v>0</v>
      </c>
      <c r="V1089" s="556">
        <f t="shared" si="1238"/>
        <v>0</v>
      </c>
      <c r="W1089" s="556">
        <f t="shared" si="1238"/>
        <v>0</v>
      </c>
      <c r="X1089" s="556">
        <f t="shared" ref="X1089:AG1089" si="1239">SUM(X1088)</f>
        <v>0</v>
      </c>
      <c r="Y1089" s="556">
        <f t="shared" si="1239"/>
        <v>0</v>
      </c>
      <c r="Z1089" s="556">
        <f t="shared" si="1239"/>
        <v>0</v>
      </c>
      <c r="AA1089" s="556">
        <f t="shared" si="1239"/>
        <v>0</v>
      </c>
      <c r="AB1089" s="556">
        <f t="shared" si="1239"/>
        <v>0</v>
      </c>
      <c r="AC1089" s="556">
        <f t="shared" si="1239"/>
        <v>0</v>
      </c>
      <c r="AD1089" s="556">
        <f t="shared" si="1239"/>
        <v>0</v>
      </c>
      <c r="AE1089" s="556">
        <f t="shared" si="1239"/>
        <v>0</v>
      </c>
      <c r="AF1089" s="556">
        <f t="shared" si="1239"/>
        <v>0</v>
      </c>
      <c r="AG1089" s="556">
        <f t="shared" si="1239"/>
        <v>0</v>
      </c>
      <c r="AH1089" s="556">
        <f t="shared" ref="AH1089:AK1089" si="1240">SUM(AH1088)</f>
        <v>0</v>
      </c>
      <c r="AI1089" s="556">
        <f t="shared" si="1240"/>
        <v>0</v>
      </c>
      <c r="AJ1089" s="556">
        <f t="shared" si="1240"/>
        <v>0</v>
      </c>
      <c r="AK1089" s="556">
        <f t="shared" si="1240"/>
        <v>0</v>
      </c>
      <c r="AL1089" s="556">
        <f t="shared" ref="AL1089:AP1089" si="1241">SUM(AL1088)</f>
        <v>0</v>
      </c>
      <c r="AM1089" s="556">
        <f t="shared" si="1241"/>
        <v>0</v>
      </c>
      <c r="AN1089" s="556">
        <f t="shared" si="1241"/>
        <v>0</v>
      </c>
      <c r="AO1089" s="556">
        <f t="shared" si="1241"/>
        <v>0</v>
      </c>
      <c r="AP1089" s="556">
        <f t="shared" si="1241"/>
        <v>0</v>
      </c>
      <c r="AQ1089" s="556">
        <f t="shared" ref="AQ1089:AS1089" si="1242">SUM(AQ1088)</f>
        <v>0</v>
      </c>
      <c r="AR1089" s="556">
        <f t="shared" si="1242"/>
        <v>0</v>
      </c>
      <c r="AS1089" s="556">
        <f t="shared" si="1242"/>
        <v>0</v>
      </c>
      <c r="AT1089" s="556"/>
      <c r="AU1089" s="241">
        <f>SUM(AU1088)</f>
        <v>0</v>
      </c>
      <c r="AV1089" s="131"/>
      <c r="AW1089" s="241">
        <f>SUM(AW1088)</f>
        <v>0</v>
      </c>
      <c r="AX1089" s="241">
        <f>+AW1089-'ROR-Model'!G1106</f>
        <v>0</v>
      </c>
    </row>
    <row r="1090" spans="1:50">
      <c r="A1090" s="134"/>
      <c r="B1090" s="106"/>
      <c r="C1090" s="106"/>
      <c r="D1090" s="106"/>
      <c r="E1090" s="331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33"/>
      <c r="R1090" s="133"/>
      <c r="S1090" s="133"/>
      <c r="T1090" s="133"/>
      <c r="U1090" s="133"/>
      <c r="V1090" s="133"/>
      <c r="W1090" s="133"/>
      <c r="X1090" s="133"/>
      <c r="Y1090" s="133"/>
      <c r="Z1090" s="133"/>
      <c r="AA1090" s="133"/>
      <c r="AB1090" s="133"/>
      <c r="AC1090" s="133"/>
      <c r="AD1090" s="133"/>
      <c r="AE1090" s="133"/>
      <c r="AF1090" s="133"/>
      <c r="AG1090" s="133"/>
      <c r="AH1090" s="133"/>
      <c r="AI1090" s="133"/>
      <c r="AJ1090" s="133"/>
      <c r="AK1090" s="133"/>
      <c r="AL1090" s="133"/>
      <c r="AM1090" s="133"/>
      <c r="AN1090" s="133"/>
      <c r="AO1090" s="133"/>
      <c r="AP1090" s="133"/>
      <c r="AQ1090" s="133"/>
      <c r="AR1090" s="133"/>
      <c r="AS1090" s="133"/>
      <c r="AT1090" s="133"/>
      <c r="AU1090" s="133"/>
      <c r="AV1090" s="116"/>
      <c r="AW1090" s="133"/>
      <c r="AX1090" s="133">
        <f>+AW1090-'ROR-Model'!G1107</f>
        <v>0</v>
      </c>
    </row>
    <row r="1091" spans="1:50">
      <c r="A1091" s="134">
        <v>106</v>
      </c>
      <c r="B1091" s="106" t="s">
        <v>661</v>
      </c>
      <c r="C1091" s="106"/>
      <c r="D1091" s="106"/>
      <c r="E1091" s="331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33"/>
      <c r="R1091" s="133"/>
      <c r="S1091" s="133"/>
      <c r="T1091" s="133"/>
      <c r="U1091" s="133"/>
      <c r="V1091" s="133"/>
      <c r="W1091" s="133"/>
      <c r="X1091" s="133"/>
      <c r="Y1091" s="133"/>
      <c r="Z1091" s="133"/>
      <c r="AA1091" s="133"/>
      <c r="AB1091" s="133"/>
      <c r="AC1091" s="133"/>
      <c r="AD1091" s="133"/>
      <c r="AE1091" s="133"/>
      <c r="AF1091" s="133"/>
      <c r="AG1091" s="133"/>
      <c r="AH1091" s="133"/>
      <c r="AI1091" s="133"/>
      <c r="AJ1091" s="133"/>
      <c r="AK1091" s="133"/>
      <c r="AL1091" s="133"/>
      <c r="AM1091" s="133"/>
      <c r="AN1091" s="133"/>
      <c r="AO1091" s="133"/>
      <c r="AP1091" s="133"/>
      <c r="AQ1091" s="133"/>
      <c r="AR1091" s="133"/>
      <c r="AS1091" s="133"/>
      <c r="AT1091" s="133"/>
      <c r="AU1091" s="133"/>
      <c r="AV1091" s="116"/>
      <c r="AW1091" s="133"/>
      <c r="AX1091" s="133">
        <f>+AW1091-'ROR-Model'!G1108</f>
        <v>0</v>
      </c>
    </row>
    <row r="1092" spans="1:50">
      <c r="A1092" s="134"/>
      <c r="B1092" s="106"/>
      <c r="C1092" s="106" t="s">
        <v>443</v>
      </c>
      <c r="D1092" s="106"/>
      <c r="E1092" s="331"/>
      <c r="F1092" s="116">
        <f>'Rate Base'!$AQ$157*F1</f>
        <v>0</v>
      </c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33"/>
      <c r="R1092" s="133"/>
      <c r="S1092" s="133"/>
      <c r="T1092" s="133">
        <f>'Optional Adjustment 2'!G1102*$T$1</f>
        <v>0</v>
      </c>
      <c r="U1092" s="133">
        <f>'Optional Adjustment 3'!G1102*$U$1</f>
        <v>0</v>
      </c>
      <c r="V1092" s="133">
        <f>'Optional Adjustment 4'!G1102*$V$1</f>
        <v>0</v>
      </c>
      <c r="W1092" s="133">
        <f>'Optional Adjustment 5'!G1102*$W$1</f>
        <v>0</v>
      </c>
      <c r="X1092" s="133">
        <f>'Optional Adjustment 6'!G1102*$X$1</f>
        <v>0</v>
      </c>
      <c r="Y1092" s="133">
        <f>'Optional Adjustment 7'!G1102*$Y$1</f>
        <v>0</v>
      </c>
      <c r="Z1092" s="133">
        <f>'Optional Adjustment 8'!G1102*$Z$1</f>
        <v>0</v>
      </c>
      <c r="AA1092" s="133">
        <f>'Optional Adjustment 9'!G1102*$AA$1</f>
        <v>0</v>
      </c>
      <c r="AB1092" s="133">
        <f>'Optional Adjustment 10'!G1102*$AB$1</f>
        <v>0</v>
      </c>
      <c r="AC1092" s="133">
        <f>'Optional Adjustment 11'!G1102*$AC$1</f>
        <v>0</v>
      </c>
      <c r="AD1092" s="133">
        <f>'Optional Adjustment 12'!G1102*$AD$1</f>
        <v>0</v>
      </c>
      <c r="AE1092" s="133">
        <f>'Optional Adjustment 13'!G1102*$AE$1</f>
        <v>0</v>
      </c>
      <c r="AF1092" s="133">
        <f>'Optional Adjustment 14'!G1102*$AF$1</f>
        <v>0</v>
      </c>
      <c r="AG1092" s="133">
        <f>'Optional Adjustment 15'!G1102*$AG$1</f>
        <v>0</v>
      </c>
      <c r="AH1092" s="133">
        <f>'Optional Adjustment 16'!G1102*$AH$1</f>
        <v>0</v>
      </c>
      <c r="AI1092" s="133">
        <f>'Optional Adjustment 17'!G1102*$AI$1</f>
        <v>0</v>
      </c>
      <c r="AJ1092" s="133">
        <f>'Optional Adjustment 18'!G1102*$AJ$1</f>
        <v>0</v>
      </c>
      <c r="AK1092" s="133">
        <f>'Optional Adjustment 19'!G1102*$AK$1</f>
        <v>0</v>
      </c>
      <c r="AL1092" s="133">
        <f>'Optional Adjustment 20'!G1102*$AL$1</f>
        <v>0</v>
      </c>
      <c r="AM1092" s="133">
        <f>'Optional Adjustment 21'!G1102*$AM$1</f>
        <v>0</v>
      </c>
      <c r="AN1092" s="133">
        <f>'Optional Adjustment 22'!G1102*$AN$1</f>
        <v>0</v>
      </c>
      <c r="AO1092" s="133">
        <f>'Optional Adjustment 23'!G1102*$AO$1</f>
        <v>0</v>
      </c>
      <c r="AP1092" s="133">
        <f>'Optional Adjustment 24'!G1102*$AP$1</f>
        <v>0</v>
      </c>
      <c r="AQ1092" s="133">
        <f>'Optional Adjustment 25'!G1102*$AQ$1</f>
        <v>0</v>
      </c>
      <c r="AR1092" s="133">
        <f>'Optional Adjustment 26'!G1102*$AR$1</f>
        <v>0</v>
      </c>
      <c r="AS1092" s="133">
        <f>'Optional Adjustment 27'!G1102*$AS$1</f>
        <v>0</v>
      </c>
      <c r="AT1092" s="133"/>
      <c r="AU1092" s="133">
        <f>SUM(F1092:AT1092)</f>
        <v>0</v>
      </c>
      <c r="AV1092" s="116"/>
      <c r="AW1092" s="133">
        <f>SUM(AU1092:AU1092)</f>
        <v>0</v>
      </c>
      <c r="AX1092" s="133">
        <f>+AW1092-'ROR-Model'!G1109</f>
        <v>0</v>
      </c>
    </row>
    <row r="1093" spans="1:50">
      <c r="A1093" s="134"/>
      <c r="B1093" s="106"/>
      <c r="C1093" s="106" t="s">
        <v>592</v>
      </c>
      <c r="D1093" s="106"/>
      <c r="E1093" s="331"/>
      <c r="F1093" s="116">
        <f>'Rate Base'!$AQ$158*F1</f>
        <v>0</v>
      </c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33"/>
      <c r="R1093" s="133"/>
      <c r="S1093" s="133"/>
      <c r="T1093" s="133">
        <f>'Optional Adjustment 2'!G1103*$T$1</f>
        <v>0</v>
      </c>
      <c r="U1093" s="133">
        <f>'Optional Adjustment 3'!G1103*$U$1</f>
        <v>0</v>
      </c>
      <c r="V1093" s="133">
        <f>'Optional Adjustment 4'!G1103*$V$1</f>
        <v>0</v>
      </c>
      <c r="W1093" s="133">
        <f>'Optional Adjustment 5'!G1103*$W$1</f>
        <v>0</v>
      </c>
      <c r="X1093" s="133">
        <f>'Optional Adjustment 6'!G1103*$X$1</f>
        <v>0</v>
      </c>
      <c r="Y1093" s="133">
        <f>'Optional Adjustment 7'!G1103*$Y$1</f>
        <v>0</v>
      </c>
      <c r="Z1093" s="133">
        <f>'Optional Adjustment 8'!G1103*$Z$1</f>
        <v>0</v>
      </c>
      <c r="AA1093" s="133">
        <f>'Optional Adjustment 9'!G1103*$AA$1</f>
        <v>0</v>
      </c>
      <c r="AB1093" s="133">
        <f>'Optional Adjustment 10'!G1103*$AB$1</f>
        <v>0</v>
      </c>
      <c r="AC1093" s="133">
        <f>'Optional Adjustment 11'!G1103*$AC$1</f>
        <v>0</v>
      </c>
      <c r="AD1093" s="133">
        <f>'Optional Adjustment 12'!G1103*$AD$1</f>
        <v>0</v>
      </c>
      <c r="AE1093" s="133">
        <f>'Optional Adjustment 13'!G1103*$AE$1</f>
        <v>0</v>
      </c>
      <c r="AF1093" s="133">
        <f>'Optional Adjustment 14'!G1103*$AF$1</f>
        <v>0</v>
      </c>
      <c r="AG1093" s="133">
        <f>'Optional Adjustment 15'!G1103*$AG$1</f>
        <v>0</v>
      </c>
      <c r="AH1093" s="133">
        <f>'Optional Adjustment 16'!G1103*$AH$1</f>
        <v>0</v>
      </c>
      <c r="AI1093" s="133">
        <f>'Optional Adjustment 17'!G1103*$AI$1</f>
        <v>0</v>
      </c>
      <c r="AJ1093" s="133">
        <f>'Optional Adjustment 18'!G1103*$AJ$1</f>
        <v>0</v>
      </c>
      <c r="AK1093" s="133">
        <f>'Optional Adjustment 19'!G1103*$AK$1</f>
        <v>0</v>
      </c>
      <c r="AL1093" s="133">
        <f>'Optional Adjustment 20'!G1103*$AL$1</f>
        <v>0</v>
      </c>
      <c r="AM1093" s="133">
        <f>'Optional Adjustment 21'!G1103*$AM$1</f>
        <v>0</v>
      </c>
      <c r="AN1093" s="133">
        <f>'Optional Adjustment 22'!G1103*$AN$1</f>
        <v>0</v>
      </c>
      <c r="AO1093" s="133">
        <f>'Optional Adjustment 23'!G1103*$AO$1</f>
        <v>0</v>
      </c>
      <c r="AP1093" s="133">
        <f>'Optional Adjustment 24'!G1103*$AP$1</f>
        <v>0</v>
      </c>
      <c r="AQ1093" s="133">
        <f>'Optional Adjustment 25'!G1103*$AQ$1</f>
        <v>0</v>
      </c>
      <c r="AR1093" s="133">
        <f>'Optional Adjustment 26'!G1103*$AR$1</f>
        <v>0</v>
      </c>
      <c r="AS1093" s="133">
        <f>'Optional Adjustment 27'!G1103*$AS$1</f>
        <v>0</v>
      </c>
      <c r="AT1093" s="133"/>
      <c r="AU1093" s="133">
        <f>SUM(F1093:AT1093)</f>
        <v>0</v>
      </c>
      <c r="AV1093" s="116"/>
      <c r="AW1093" s="133">
        <f>SUM(AU1093:AU1093)</f>
        <v>0</v>
      </c>
      <c r="AX1093" s="133">
        <f>+AW1093-'ROR-Model'!G1110</f>
        <v>0</v>
      </c>
    </row>
    <row r="1094" spans="1:50">
      <c r="A1094" s="134"/>
      <c r="B1094" s="106"/>
      <c r="C1094" s="106" t="s">
        <v>593</v>
      </c>
      <c r="D1094" s="106"/>
      <c r="E1094" s="331"/>
      <c r="F1094" s="116">
        <f>'Rate Base'!$AQ$159*F1</f>
        <v>0</v>
      </c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33"/>
      <c r="R1094" s="133"/>
      <c r="S1094" s="133"/>
      <c r="T1094" s="133">
        <f>'Optional Adjustment 2'!G1104*$T$1</f>
        <v>0</v>
      </c>
      <c r="U1094" s="133">
        <f>'Optional Adjustment 3'!G1104*$U$1</f>
        <v>0</v>
      </c>
      <c r="V1094" s="133">
        <f>'Optional Adjustment 4'!G1104*$V$1</f>
        <v>0</v>
      </c>
      <c r="W1094" s="133">
        <f>'Optional Adjustment 5'!G1104*$W$1</f>
        <v>0</v>
      </c>
      <c r="X1094" s="133">
        <f>'Optional Adjustment 6'!G1104*$X$1</f>
        <v>0</v>
      </c>
      <c r="Y1094" s="133">
        <f>'Optional Adjustment 7'!G1104*$Y$1</f>
        <v>0</v>
      </c>
      <c r="Z1094" s="133">
        <f>'Optional Adjustment 8'!G1104*$Z$1</f>
        <v>0</v>
      </c>
      <c r="AA1094" s="133">
        <f>'Optional Adjustment 9'!G1104*$AA$1</f>
        <v>0</v>
      </c>
      <c r="AB1094" s="133">
        <f>'Optional Adjustment 10'!G1104*$AB$1</f>
        <v>0</v>
      </c>
      <c r="AC1094" s="133">
        <f>'Optional Adjustment 11'!G1104*$AC$1</f>
        <v>0</v>
      </c>
      <c r="AD1094" s="133">
        <f>'Optional Adjustment 12'!G1104*$AD$1</f>
        <v>0</v>
      </c>
      <c r="AE1094" s="133">
        <f>'Optional Adjustment 13'!G1104*$AE$1</f>
        <v>0</v>
      </c>
      <c r="AF1094" s="133">
        <f>'Optional Adjustment 14'!G1104*$AF$1</f>
        <v>0</v>
      </c>
      <c r="AG1094" s="133">
        <f>'Optional Adjustment 15'!G1104*$AG$1</f>
        <v>0</v>
      </c>
      <c r="AH1094" s="133">
        <f>'Optional Adjustment 16'!G1104*$AH$1</f>
        <v>0</v>
      </c>
      <c r="AI1094" s="133">
        <f>'Optional Adjustment 17'!G1104*$AI$1</f>
        <v>0</v>
      </c>
      <c r="AJ1094" s="133">
        <f>'Optional Adjustment 18'!G1104*$AJ$1</f>
        <v>0</v>
      </c>
      <c r="AK1094" s="133">
        <f>'Optional Adjustment 19'!G1104*$AK$1</f>
        <v>0</v>
      </c>
      <c r="AL1094" s="133">
        <f>'Optional Adjustment 20'!G1104*$AL$1</f>
        <v>0</v>
      </c>
      <c r="AM1094" s="133">
        <f>'Optional Adjustment 21'!G1104*$AM$1</f>
        <v>0</v>
      </c>
      <c r="AN1094" s="133">
        <f>'Optional Adjustment 22'!G1104*$AN$1</f>
        <v>0</v>
      </c>
      <c r="AO1094" s="133">
        <f>'Optional Adjustment 23'!G1104*$AO$1</f>
        <v>0</v>
      </c>
      <c r="AP1094" s="133">
        <f>'Optional Adjustment 24'!G1104*$AP$1</f>
        <v>0</v>
      </c>
      <c r="AQ1094" s="133">
        <f>'Optional Adjustment 25'!G1104*$AQ$1</f>
        <v>0</v>
      </c>
      <c r="AR1094" s="133">
        <f>'Optional Adjustment 26'!G1104*$AR$1</f>
        <v>0</v>
      </c>
      <c r="AS1094" s="133">
        <f>'Optional Adjustment 27'!G1104*$AS$1</f>
        <v>0</v>
      </c>
      <c r="AT1094" s="133"/>
      <c r="AU1094" s="133">
        <f>SUM(F1094:AT1094)</f>
        <v>0</v>
      </c>
      <c r="AV1094" s="116"/>
      <c r="AW1094" s="133">
        <f>SUM(AU1094:AU1094)</f>
        <v>0</v>
      </c>
      <c r="AX1094" s="133">
        <f>+AW1094-'ROR-Model'!G1111</f>
        <v>0</v>
      </c>
    </row>
    <row r="1095" spans="1:50">
      <c r="A1095" s="134"/>
      <c r="B1095" s="106"/>
      <c r="C1095" s="106" t="s">
        <v>595</v>
      </c>
      <c r="D1095" s="106"/>
      <c r="E1095" s="331"/>
      <c r="F1095" s="116">
        <f>'Rate Base'!$AQ$160*F1</f>
        <v>0</v>
      </c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33"/>
      <c r="R1095" s="133"/>
      <c r="S1095" s="133"/>
      <c r="T1095" s="133">
        <f>'Optional Adjustment 2'!G1105*$T$1</f>
        <v>0</v>
      </c>
      <c r="U1095" s="133">
        <f>'Optional Adjustment 3'!G1105*$U$1</f>
        <v>0</v>
      </c>
      <c r="V1095" s="133">
        <f>'Optional Adjustment 4'!G1105*$V$1</f>
        <v>0</v>
      </c>
      <c r="W1095" s="133">
        <f>'Optional Adjustment 5'!G1105*$W$1</f>
        <v>0</v>
      </c>
      <c r="X1095" s="133">
        <f>'Optional Adjustment 6'!G1105*$X$1</f>
        <v>0</v>
      </c>
      <c r="Y1095" s="133">
        <f>'Optional Adjustment 7'!G1105*$Y$1</f>
        <v>0</v>
      </c>
      <c r="Z1095" s="133">
        <f>'Optional Adjustment 8'!G1105*$Z$1</f>
        <v>0</v>
      </c>
      <c r="AA1095" s="133">
        <f>'Optional Adjustment 9'!G1105*$AA$1</f>
        <v>0</v>
      </c>
      <c r="AB1095" s="133">
        <f>'Optional Adjustment 10'!G1105*$AB$1</f>
        <v>0</v>
      </c>
      <c r="AC1095" s="133">
        <f>'Optional Adjustment 11'!G1105*$AC$1</f>
        <v>0</v>
      </c>
      <c r="AD1095" s="133">
        <f>'Optional Adjustment 12'!G1105*$AD$1</f>
        <v>0</v>
      </c>
      <c r="AE1095" s="133">
        <f>'Optional Adjustment 13'!G1105*$AE$1</f>
        <v>0</v>
      </c>
      <c r="AF1095" s="133">
        <f>'Optional Adjustment 14'!G1105*$AF$1</f>
        <v>0</v>
      </c>
      <c r="AG1095" s="133">
        <f>'Optional Adjustment 15'!G1105*$AG$1</f>
        <v>0</v>
      </c>
      <c r="AH1095" s="133">
        <f>'Optional Adjustment 16'!G1105*$AH$1</f>
        <v>0</v>
      </c>
      <c r="AI1095" s="133">
        <f>'Optional Adjustment 17'!G1105*$AI$1</f>
        <v>0</v>
      </c>
      <c r="AJ1095" s="133">
        <f>'Optional Adjustment 18'!G1105*$AJ$1</f>
        <v>0</v>
      </c>
      <c r="AK1095" s="133">
        <f>'Optional Adjustment 19'!G1105*$AK$1</f>
        <v>0</v>
      </c>
      <c r="AL1095" s="133">
        <f>'Optional Adjustment 20'!G1105*$AL$1</f>
        <v>0</v>
      </c>
      <c r="AM1095" s="133">
        <f>'Optional Adjustment 21'!G1105*$AM$1</f>
        <v>0</v>
      </c>
      <c r="AN1095" s="133">
        <f>'Optional Adjustment 22'!G1105*$AN$1</f>
        <v>0</v>
      </c>
      <c r="AO1095" s="133">
        <f>'Optional Adjustment 23'!G1105*$AO$1</f>
        <v>0</v>
      </c>
      <c r="AP1095" s="133">
        <f>'Optional Adjustment 24'!G1105*$AP$1</f>
        <v>0</v>
      </c>
      <c r="AQ1095" s="133">
        <f>'Optional Adjustment 25'!G1105*$AQ$1</f>
        <v>0</v>
      </c>
      <c r="AR1095" s="133">
        <f>'Optional Adjustment 26'!G1105*$AR$1</f>
        <v>0</v>
      </c>
      <c r="AS1095" s="133">
        <f>'Optional Adjustment 27'!G1105*$AS$1</f>
        <v>0</v>
      </c>
      <c r="AT1095" s="133"/>
      <c r="AU1095" s="133">
        <f>SUM(F1095:AT1095)</f>
        <v>0</v>
      </c>
      <c r="AV1095" s="116"/>
      <c r="AW1095" s="133">
        <f>SUM(AU1095:AU1095)</f>
        <v>0</v>
      </c>
      <c r="AX1095" s="133">
        <f>+AW1095-'ROR-Model'!G1112</f>
        <v>0</v>
      </c>
    </row>
    <row r="1096" spans="1:50">
      <c r="A1096" s="134"/>
      <c r="B1096" s="106"/>
      <c r="C1096" s="106" t="s">
        <v>170</v>
      </c>
      <c r="D1096" s="106"/>
      <c r="E1096" s="331"/>
      <c r="F1096" s="131">
        <f>SUM(F1092:F1095)</f>
        <v>0</v>
      </c>
      <c r="G1096" s="131"/>
      <c r="H1096" s="131"/>
      <c r="I1096" s="131">
        <f>SUM(I1092:I1095)</f>
        <v>0</v>
      </c>
      <c r="J1096" s="131">
        <f t="shared" ref="J1096:Q1096" si="1243">SUM(J1092:J1095)</f>
        <v>0</v>
      </c>
      <c r="K1096" s="131">
        <f t="shared" si="1243"/>
        <v>0</v>
      </c>
      <c r="L1096" s="131">
        <f t="shared" si="1243"/>
        <v>0</v>
      </c>
      <c r="M1096" s="131">
        <f t="shared" si="1243"/>
        <v>0</v>
      </c>
      <c r="N1096" s="131">
        <f t="shared" si="1243"/>
        <v>0</v>
      </c>
      <c r="O1096" s="131">
        <f t="shared" si="1243"/>
        <v>0</v>
      </c>
      <c r="P1096" s="131">
        <f t="shared" si="1243"/>
        <v>0</v>
      </c>
      <c r="Q1096" s="241">
        <f t="shared" si="1243"/>
        <v>0</v>
      </c>
      <c r="R1096" s="241">
        <f t="shared" ref="R1096" si="1244">SUM(R1092:R1095)</f>
        <v>0</v>
      </c>
      <c r="S1096" s="556"/>
      <c r="T1096" s="556">
        <f t="shared" ref="T1096:W1096" si="1245">SUM(T1092:T1095)</f>
        <v>0</v>
      </c>
      <c r="U1096" s="556">
        <f t="shared" si="1245"/>
        <v>0</v>
      </c>
      <c r="V1096" s="556">
        <f t="shared" si="1245"/>
        <v>0</v>
      </c>
      <c r="W1096" s="556">
        <f t="shared" si="1245"/>
        <v>0</v>
      </c>
      <c r="X1096" s="556">
        <f t="shared" ref="X1096:AG1096" si="1246">SUM(X1092:X1095)</f>
        <v>0</v>
      </c>
      <c r="Y1096" s="556">
        <f t="shared" si="1246"/>
        <v>0</v>
      </c>
      <c r="Z1096" s="556">
        <f t="shared" si="1246"/>
        <v>0</v>
      </c>
      <c r="AA1096" s="556">
        <f t="shared" si="1246"/>
        <v>0</v>
      </c>
      <c r="AB1096" s="556">
        <f t="shared" si="1246"/>
        <v>0</v>
      </c>
      <c r="AC1096" s="556">
        <f t="shared" si="1246"/>
        <v>0</v>
      </c>
      <c r="AD1096" s="556">
        <f t="shared" si="1246"/>
        <v>0</v>
      </c>
      <c r="AE1096" s="556">
        <f t="shared" si="1246"/>
        <v>0</v>
      </c>
      <c r="AF1096" s="556">
        <f t="shared" si="1246"/>
        <v>0</v>
      </c>
      <c r="AG1096" s="556">
        <f t="shared" si="1246"/>
        <v>0</v>
      </c>
      <c r="AH1096" s="556">
        <f t="shared" ref="AH1096:AK1096" si="1247">SUM(AH1092:AH1095)</f>
        <v>0</v>
      </c>
      <c r="AI1096" s="556">
        <f t="shared" si="1247"/>
        <v>0</v>
      </c>
      <c r="AJ1096" s="556">
        <f t="shared" si="1247"/>
        <v>0</v>
      </c>
      <c r="AK1096" s="556">
        <f t="shared" si="1247"/>
        <v>0</v>
      </c>
      <c r="AL1096" s="556">
        <f t="shared" ref="AL1096:AP1096" si="1248">SUM(AL1092:AL1095)</f>
        <v>0</v>
      </c>
      <c r="AM1096" s="556">
        <f t="shared" si="1248"/>
        <v>0</v>
      </c>
      <c r="AN1096" s="556">
        <f t="shared" si="1248"/>
        <v>0</v>
      </c>
      <c r="AO1096" s="556">
        <f t="shared" si="1248"/>
        <v>0</v>
      </c>
      <c r="AP1096" s="556">
        <f t="shared" si="1248"/>
        <v>0</v>
      </c>
      <c r="AQ1096" s="556">
        <f t="shared" ref="AQ1096:AS1096" si="1249">SUM(AQ1092:AQ1095)</f>
        <v>0</v>
      </c>
      <c r="AR1096" s="556">
        <f t="shared" si="1249"/>
        <v>0</v>
      </c>
      <c r="AS1096" s="556">
        <f t="shared" si="1249"/>
        <v>0</v>
      </c>
      <c r="AT1096" s="556"/>
      <c r="AU1096" s="241">
        <f>SUM(AU1092:AU1095)</f>
        <v>0</v>
      </c>
      <c r="AV1096" s="131"/>
      <c r="AW1096" s="241">
        <f>SUM(AW1092:AW1095)</f>
        <v>0</v>
      </c>
      <c r="AX1096" s="241">
        <f>+AW1096-'ROR-Model'!G1113</f>
        <v>0</v>
      </c>
    </row>
    <row r="1097" spans="1:50">
      <c r="A1097" s="134"/>
      <c r="B1097" s="106"/>
      <c r="C1097" s="106"/>
      <c r="D1097" s="106"/>
      <c r="E1097" s="331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33"/>
      <c r="R1097" s="133"/>
      <c r="S1097" s="133"/>
      <c r="T1097" s="133"/>
      <c r="U1097" s="133"/>
      <c r="V1097" s="133"/>
      <c r="W1097" s="133"/>
      <c r="X1097" s="133"/>
      <c r="Y1097" s="133"/>
      <c r="Z1097" s="133"/>
      <c r="AA1097" s="133"/>
      <c r="AB1097" s="133"/>
      <c r="AC1097" s="133"/>
      <c r="AD1097" s="133"/>
      <c r="AE1097" s="133"/>
      <c r="AF1097" s="133"/>
      <c r="AG1097" s="133"/>
      <c r="AH1097" s="133"/>
      <c r="AI1097" s="133"/>
      <c r="AJ1097" s="133"/>
      <c r="AK1097" s="133"/>
      <c r="AL1097" s="133"/>
      <c r="AM1097" s="133"/>
      <c r="AN1097" s="133"/>
      <c r="AO1097" s="133"/>
      <c r="AP1097" s="133"/>
      <c r="AQ1097" s="133"/>
      <c r="AR1097" s="133"/>
      <c r="AS1097" s="133"/>
      <c r="AT1097" s="133"/>
      <c r="AU1097" s="133"/>
      <c r="AV1097" s="116"/>
      <c r="AW1097" s="133"/>
      <c r="AX1097" s="133">
        <f>+AW1097-'ROR-Model'!G1114</f>
        <v>0</v>
      </c>
    </row>
    <row r="1098" spans="1:50">
      <c r="A1098" s="134">
        <v>108</v>
      </c>
      <c r="B1098" s="106" t="s">
        <v>662</v>
      </c>
      <c r="C1098" s="106"/>
      <c r="D1098" s="106"/>
      <c r="E1098" s="331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33"/>
      <c r="R1098" s="133"/>
      <c r="S1098" s="133"/>
      <c r="T1098" s="133"/>
      <c r="U1098" s="133"/>
      <c r="V1098" s="133"/>
      <c r="W1098" s="133"/>
      <c r="X1098" s="133"/>
      <c r="Y1098" s="133"/>
      <c r="Z1098" s="133"/>
      <c r="AA1098" s="133"/>
      <c r="AB1098" s="133"/>
      <c r="AC1098" s="133"/>
      <c r="AD1098" s="133"/>
      <c r="AE1098" s="133"/>
      <c r="AF1098" s="133"/>
      <c r="AG1098" s="133"/>
      <c r="AH1098" s="133"/>
      <c r="AI1098" s="133"/>
      <c r="AJ1098" s="133"/>
      <c r="AK1098" s="133"/>
      <c r="AL1098" s="133"/>
      <c r="AM1098" s="133"/>
      <c r="AN1098" s="133"/>
      <c r="AO1098" s="133"/>
      <c r="AP1098" s="133"/>
      <c r="AQ1098" s="133"/>
      <c r="AR1098" s="133"/>
      <c r="AS1098" s="133"/>
      <c r="AT1098" s="133"/>
      <c r="AU1098" s="133"/>
      <c r="AV1098" s="116"/>
      <c r="AW1098" s="133"/>
      <c r="AX1098" s="133">
        <f>+AW1098-'ROR-Model'!G1115</f>
        <v>0</v>
      </c>
    </row>
    <row r="1099" spans="1:50">
      <c r="A1099" s="134"/>
      <c r="B1099" s="106"/>
      <c r="C1099" s="106" t="s">
        <v>443</v>
      </c>
      <c r="D1099" s="106"/>
      <c r="E1099" s="331"/>
      <c r="F1099" s="116">
        <f ca="1">'Rate Base'!$AQ$164*F1</f>
        <v>-900604.20544007421</v>
      </c>
      <c r="G1099" s="116"/>
      <c r="H1099" s="116"/>
      <c r="I1099" s="116"/>
      <c r="J1099" s="116">
        <f ca="1">WEX_ADJ_108_PROD*J1</f>
        <v>4440071.2995727248</v>
      </c>
      <c r="K1099" s="116"/>
      <c r="L1099" s="116"/>
      <c r="M1099" s="116"/>
      <c r="N1099" s="116"/>
      <c r="O1099" s="116"/>
      <c r="P1099" s="116"/>
      <c r="Q1099" s="133"/>
      <c r="R1099" s="133"/>
      <c r="S1099" s="133"/>
      <c r="T1099" s="133">
        <f>'Optional Adjustment 2'!G1109*$T$1</f>
        <v>0</v>
      </c>
      <c r="U1099" s="133">
        <f>'Optional Adjustment 3'!G1109*$U$1</f>
        <v>0</v>
      </c>
      <c r="V1099" s="133">
        <f>'Optional Adjustment 4'!G1109*$V$1</f>
        <v>0</v>
      </c>
      <c r="W1099" s="133">
        <f>'Optional Adjustment 5'!G1109*$W$1</f>
        <v>0</v>
      </c>
      <c r="X1099" s="133">
        <f>'Optional Adjustment 6'!G1109*$X$1</f>
        <v>0</v>
      </c>
      <c r="Y1099" s="133">
        <f>'Optional Adjustment 7'!G1109*$Y$1</f>
        <v>0</v>
      </c>
      <c r="Z1099" s="133">
        <f>'Optional Adjustment 8'!G1109*$Z$1</f>
        <v>0</v>
      </c>
      <c r="AA1099" s="133">
        <f>'Optional Adjustment 9'!G1109*$AA$1</f>
        <v>0</v>
      </c>
      <c r="AB1099" s="133">
        <f>'Optional Adjustment 10'!G1109*$AB$1</f>
        <v>0</v>
      </c>
      <c r="AC1099" s="133">
        <f>'Optional Adjustment 11'!G1109*$AC$1</f>
        <v>0</v>
      </c>
      <c r="AD1099" s="133">
        <f>'Optional Adjustment 12'!G1109*$AD$1</f>
        <v>0</v>
      </c>
      <c r="AE1099" s="133">
        <f>'Optional Adjustment 13'!G1109*$AE$1</f>
        <v>0</v>
      </c>
      <c r="AF1099" s="133">
        <f>'Optional Adjustment 14'!G1109*$AF$1</f>
        <v>0</v>
      </c>
      <c r="AG1099" s="133">
        <f>'Optional Adjustment 15'!G1109*$AG$1</f>
        <v>0</v>
      </c>
      <c r="AH1099" s="133">
        <f>'Optional Adjustment 16'!G1109*$AH$1</f>
        <v>0</v>
      </c>
      <c r="AI1099" s="133">
        <f>'Optional Adjustment 17'!G1109*$AI$1</f>
        <v>0</v>
      </c>
      <c r="AJ1099" s="133">
        <f>'Optional Adjustment 18'!G1109*$AJ$1</f>
        <v>0</v>
      </c>
      <c r="AK1099" s="133">
        <f>'Optional Adjustment 19'!G1109*$AK$1</f>
        <v>0</v>
      </c>
      <c r="AL1099" s="133">
        <f>'Optional Adjustment 20'!G1109*$AL$1</f>
        <v>0</v>
      </c>
      <c r="AM1099" s="133">
        <f>'Optional Adjustment 21'!G1109*$AM$1</f>
        <v>0</v>
      </c>
      <c r="AN1099" s="133">
        <f>'Optional Adjustment 22'!G1109*$AN$1</f>
        <v>0</v>
      </c>
      <c r="AO1099" s="133">
        <f>'Optional Adjustment 23'!G1109*$AO$1</f>
        <v>0</v>
      </c>
      <c r="AP1099" s="133">
        <f>'Optional Adjustment 24'!G1109*$AP$1</f>
        <v>0</v>
      </c>
      <c r="AQ1099" s="133">
        <f>'Optional Adjustment 25'!G1109*$AQ$1</f>
        <v>0</v>
      </c>
      <c r="AR1099" s="133">
        <f>'Optional Adjustment 26'!G1109*$AR$1</f>
        <v>0</v>
      </c>
      <c r="AS1099" s="133">
        <f>'Optional Adjustment 27'!G1109*$AS$1</f>
        <v>0</v>
      </c>
      <c r="AT1099" s="133"/>
      <c r="AU1099" s="133">
        <f ca="1">SUM(F1099:AT1099)</f>
        <v>3539467.0941326506</v>
      </c>
      <c r="AV1099" s="116"/>
      <c r="AW1099" s="133">
        <f ca="1">SUM(AU1099:AU1099)</f>
        <v>3539467.0941326506</v>
      </c>
      <c r="AX1099" s="133">
        <f ca="1">+AW1099-'ROR-Model'!G1116</f>
        <v>0</v>
      </c>
    </row>
    <row r="1100" spans="1:50">
      <c r="A1100" s="134"/>
      <c r="B1100" s="106"/>
      <c r="C1100" s="106" t="s">
        <v>592</v>
      </c>
      <c r="D1100" s="106"/>
      <c r="E1100" s="331"/>
      <c r="F1100" s="116">
        <f ca="1">'Rate Base'!$AQ$165*F1</f>
        <v>-353805.35916847363</v>
      </c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33"/>
      <c r="R1100" s="133"/>
      <c r="S1100" s="133"/>
      <c r="T1100" s="133">
        <f>'Optional Adjustment 2'!G1110*$T$1</f>
        <v>0</v>
      </c>
      <c r="U1100" s="133">
        <f>'Optional Adjustment 3'!G1110*$U$1</f>
        <v>0</v>
      </c>
      <c r="V1100" s="133">
        <f>'Optional Adjustment 4'!G1110*$V$1</f>
        <v>0</v>
      </c>
      <c r="W1100" s="133">
        <f>'Optional Adjustment 5'!G1110*$W$1</f>
        <v>0</v>
      </c>
      <c r="X1100" s="133">
        <f>'Optional Adjustment 6'!G1110*$X$1</f>
        <v>0</v>
      </c>
      <c r="Y1100" s="133">
        <f>'Optional Adjustment 7'!G1110*$Y$1</f>
        <v>0</v>
      </c>
      <c r="Z1100" s="133">
        <f>'Optional Adjustment 8'!G1110*$Z$1</f>
        <v>0</v>
      </c>
      <c r="AA1100" s="133">
        <f>'Optional Adjustment 9'!G1110*$AA$1</f>
        <v>0</v>
      </c>
      <c r="AB1100" s="133">
        <f>'Optional Adjustment 10'!G1110*$AB$1</f>
        <v>0</v>
      </c>
      <c r="AC1100" s="133">
        <f>'Optional Adjustment 11'!G1110*$AC$1</f>
        <v>0</v>
      </c>
      <c r="AD1100" s="133">
        <f>'Optional Adjustment 12'!G1110*$AD$1</f>
        <v>0</v>
      </c>
      <c r="AE1100" s="133">
        <f>'Optional Adjustment 13'!G1110*$AE$1</f>
        <v>0</v>
      </c>
      <c r="AF1100" s="133">
        <f>'Optional Adjustment 14'!G1110*$AF$1</f>
        <v>0</v>
      </c>
      <c r="AG1100" s="133">
        <f>'Optional Adjustment 15'!G1110*$AG$1</f>
        <v>0</v>
      </c>
      <c r="AH1100" s="133">
        <f>'Optional Adjustment 16'!G1110*$AH$1</f>
        <v>0</v>
      </c>
      <c r="AI1100" s="133">
        <f>'Optional Adjustment 17'!G1110*$AI$1</f>
        <v>0</v>
      </c>
      <c r="AJ1100" s="133">
        <f>'Optional Adjustment 18'!G1110*$AJ$1</f>
        <v>0</v>
      </c>
      <c r="AK1100" s="133">
        <f>'Optional Adjustment 19'!G1110*$AK$1</f>
        <v>0</v>
      </c>
      <c r="AL1100" s="133">
        <f>'Optional Adjustment 20'!G1110*$AL$1</f>
        <v>0</v>
      </c>
      <c r="AM1100" s="133">
        <f>'Optional Adjustment 21'!G1110*$AM$1</f>
        <v>0</v>
      </c>
      <c r="AN1100" s="133">
        <f>'Optional Adjustment 22'!G1110*$AN$1</f>
        <v>0</v>
      </c>
      <c r="AO1100" s="133">
        <f>'Optional Adjustment 23'!G1110*$AO$1</f>
        <v>0</v>
      </c>
      <c r="AP1100" s="133">
        <f>'Optional Adjustment 24'!G1110*$AP$1</f>
        <v>0</v>
      </c>
      <c r="AQ1100" s="133">
        <f>'Optional Adjustment 25'!G1110*$AQ$1</f>
        <v>0</v>
      </c>
      <c r="AR1100" s="133">
        <f>'Optional Adjustment 26'!G1110*$AR$1</f>
        <v>0</v>
      </c>
      <c r="AS1100" s="133">
        <f>'Optional Adjustment 27'!G1110*$AS$1</f>
        <v>0</v>
      </c>
      <c r="AT1100" s="133"/>
      <c r="AU1100" s="133">
        <f ca="1">SUM(F1100:AT1100)</f>
        <v>-353805.35916847363</v>
      </c>
      <c r="AV1100" s="116"/>
      <c r="AW1100" s="133">
        <f ca="1">SUM(AU1100:AU1100)</f>
        <v>-353805.35916847363</v>
      </c>
      <c r="AX1100" s="133">
        <f ca="1">+AW1100-'ROR-Model'!G1117</f>
        <v>0</v>
      </c>
    </row>
    <row r="1101" spans="1:50">
      <c r="A1101" s="134"/>
      <c r="B1101" s="106"/>
      <c r="C1101" s="106" t="s">
        <v>593</v>
      </c>
      <c r="D1101" s="106"/>
      <c r="E1101" s="331"/>
      <c r="F1101" s="116">
        <f ca="1">'Rate Base'!$AQ$166*F1</f>
        <v>-6639672.0206350088</v>
      </c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33"/>
      <c r="R1101" s="133"/>
      <c r="S1101" s="133"/>
      <c r="T1101" s="133">
        <f>'Optional Adjustment 2'!G1111*$T$1</f>
        <v>0</v>
      </c>
      <c r="U1101" s="133">
        <f>'Optional Adjustment 3'!G1111*$U$1</f>
        <v>0</v>
      </c>
      <c r="V1101" s="133">
        <f>'Optional Adjustment 4'!G1111*$V$1</f>
        <v>0</v>
      </c>
      <c r="W1101" s="133">
        <f>'Optional Adjustment 5'!G1111*$W$1</f>
        <v>0</v>
      </c>
      <c r="X1101" s="133">
        <f>'Optional Adjustment 6'!G1111*$X$1</f>
        <v>0</v>
      </c>
      <c r="Y1101" s="133">
        <f>'Optional Adjustment 7'!G1111*$Y$1</f>
        <v>0</v>
      </c>
      <c r="Z1101" s="133">
        <f>'Optional Adjustment 8'!G1111*$Z$1</f>
        <v>0</v>
      </c>
      <c r="AA1101" s="133">
        <f>'Optional Adjustment 9'!G1111*$AA$1</f>
        <v>0</v>
      </c>
      <c r="AB1101" s="133">
        <f>'Optional Adjustment 10'!G1111*$AB$1</f>
        <v>0</v>
      </c>
      <c r="AC1101" s="133">
        <f>'Optional Adjustment 11'!G1111*$AC$1</f>
        <v>0</v>
      </c>
      <c r="AD1101" s="133">
        <f>'Optional Adjustment 12'!G1111*$AD$1</f>
        <v>0</v>
      </c>
      <c r="AE1101" s="133">
        <f>'Optional Adjustment 13'!G1111*$AE$1</f>
        <v>0</v>
      </c>
      <c r="AF1101" s="133">
        <f>'Optional Adjustment 14'!G1111*$AF$1</f>
        <v>0</v>
      </c>
      <c r="AG1101" s="133">
        <f>'Optional Adjustment 15'!G1111*$AG$1</f>
        <v>0</v>
      </c>
      <c r="AH1101" s="133">
        <f>'Optional Adjustment 16'!G1111*$AH$1</f>
        <v>0</v>
      </c>
      <c r="AI1101" s="133">
        <f>'Optional Adjustment 17'!G1111*$AI$1</f>
        <v>0</v>
      </c>
      <c r="AJ1101" s="133">
        <f>'Optional Adjustment 18'!G1111*$AJ$1</f>
        <v>0</v>
      </c>
      <c r="AK1101" s="133">
        <f>'Optional Adjustment 19'!G1111*$AK$1</f>
        <v>0</v>
      </c>
      <c r="AL1101" s="133">
        <f>'Optional Adjustment 20'!G1111*$AL$1</f>
        <v>0</v>
      </c>
      <c r="AM1101" s="133">
        <f>'Optional Adjustment 21'!G1111*$AM$1</f>
        <v>0</v>
      </c>
      <c r="AN1101" s="133">
        <f>'Optional Adjustment 22'!G1111*$AN$1</f>
        <v>0</v>
      </c>
      <c r="AO1101" s="133">
        <f>'Optional Adjustment 23'!G1111*$AO$1</f>
        <v>0</v>
      </c>
      <c r="AP1101" s="133">
        <f>'Optional Adjustment 24'!G1111*$AP$1</f>
        <v>0</v>
      </c>
      <c r="AQ1101" s="133">
        <f>'Optional Adjustment 25'!G1111*$AQ$1</f>
        <v>0</v>
      </c>
      <c r="AR1101" s="133">
        <f>'Optional Adjustment 26'!G1111*$AR$1</f>
        <v>0</v>
      </c>
      <c r="AS1101" s="133">
        <f>'Optional Adjustment 27'!G1111*$AS$1</f>
        <v>0</v>
      </c>
      <c r="AT1101" s="133"/>
      <c r="AU1101" s="133">
        <f ca="1">SUM(F1101:AT1101)</f>
        <v>-6639672.0206350088</v>
      </c>
      <c r="AV1101" s="116"/>
      <c r="AW1101" s="133">
        <f ca="1">SUM(AU1101:AU1101)</f>
        <v>-6639672.0206350088</v>
      </c>
      <c r="AX1101" s="133">
        <f ca="1">+AW1101-'ROR-Model'!G1118</f>
        <v>0</v>
      </c>
    </row>
    <row r="1102" spans="1:50">
      <c r="A1102" s="134"/>
      <c r="B1102" s="106"/>
      <c r="C1102" s="106" t="s">
        <v>595</v>
      </c>
      <c r="D1102" s="106"/>
      <c r="E1102" s="331"/>
      <c r="F1102" s="116">
        <f ca="1">'Rate Base'!$AQ$167*F1</f>
        <v>-1667770.874233976</v>
      </c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33"/>
      <c r="R1102" s="133"/>
      <c r="S1102" s="133"/>
      <c r="T1102" s="133">
        <f>'Optional Adjustment 2'!G1112*$T$1</f>
        <v>0</v>
      </c>
      <c r="U1102" s="133">
        <f>'Optional Adjustment 3'!G1112*$U$1</f>
        <v>0</v>
      </c>
      <c r="V1102" s="133">
        <f>'Optional Adjustment 4'!G1112*$V$1</f>
        <v>0</v>
      </c>
      <c r="W1102" s="133">
        <f>'Optional Adjustment 5'!G1112*$W$1</f>
        <v>0</v>
      </c>
      <c r="X1102" s="133">
        <f>'Optional Adjustment 6'!G1112*$X$1</f>
        <v>0</v>
      </c>
      <c r="Y1102" s="133">
        <f>'Optional Adjustment 7'!G1112*$Y$1</f>
        <v>0</v>
      </c>
      <c r="Z1102" s="133">
        <f>'Optional Adjustment 8'!G1112*$Z$1</f>
        <v>0</v>
      </c>
      <c r="AA1102" s="133">
        <f>'Optional Adjustment 9'!G1112*$AA$1</f>
        <v>0</v>
      </c>
      <c r="AB1102" s="133">
        <f>'Optional Adjustment 10'!G1112*$AB$1</f>
        <v>0</v>
      </c>
      <c r="AC1102" s="133">
        <f>'Optional Adjustment 11'!G1112*$AC$1</f>
        <v>0</v>
      </c>
      <c r="AD1102" s="133">
        <f>'Optional Adjustment 12'!G1112*$AD$1</f>
        <v>0</v>
      </c>
      <c r="AE1102" s="133">
        <f>'Optional Adjustment 13'!G1112*$AE$1</f>
        <v>0</v>
      </c>
      <c r="AF1102" s="133">
        <f>'Optional Adjustment 14'!G1112*$AF$1</f>
        <v>0</v>
      </c>
      <c r="AG1102" s="133">
        <f>'Optional Adjustment 15'!G1112*$AG$1</f>
        <v>0</v>
      </c>
      <c r="AH1102" s="133">
        <f>'Optional Adjustment 16'!G1112*$AH$1</f>
        <v>0</v>
      </c>
      <c r="AI1102" s="133">
        <f>'Optional Adjustment 17'!G1112*$AI$1</f>
        <v>0</v>
      </c>
      <c r="AJ1102" s="133">
        <f>'Optional Adjustment 18'!G1112*$AJ$1</f>
        <v>0</v>
      </c>
      <c r="AK1102" s="133">
        <f>'Optional Adjustment 19'!G1112*$AK$1</f>
        <v>0</v>
      </c>
      <c r="AL1102" s="133">
        <f>'Optional Adjustment 20'!G1112*$AL$1</f>
        <v>0</v>
      </c>
      <c r="AM1102" s="133">
        <f>'Optional Adjustment 21'!G1112*$AM$1</f>
        <v>0</v>
      </c>
      <c r="AN1102" s="133">
        <f>'Optional Adjustment 22'!G1112*$AN$1</f>
        <v>0</v>
      </c>
      <c r="AO1102" s="133">
        <f>'Optional Adjustment 23'!G1112*$AO$1</f>
        <v>0</v>
      </c>
      <c r="AP1102" s="133">
        <f>'Optional Adjustment 24'!G1112*$AP$1</f>
        <v>0</v>
      </c>
      <c r="AQ1102" s="133">
        <f>'Optional Adjustment 25'!G1112*$AQ$1</f>
        <v>0</v>
      </c>
      <c r="AR1102" s="133">
        <f>'Optional Adjustment 26'!G1112*$AR$1</f>
        <v>0</v>
      </c>
      <c r="AS1102" s="133">
        <f>'Optional Adjustment 27'!G1112*$AS$1</f>
        <v>0</v>
      </c>
      <c r="AT1102" s="133"/>
      <c r="AU1102" s="133">
        <f ca="1">SUM(F1102:AT1102)</f>
        <v>-1667770.874233976</v>
      </c>
      <c r="AV1102" s="116"/>
      <c r="AW1102" s="133">
        <f ca="1">SUM(AU1102:AU1102)</f>
        <v>-1667770.874233976</v>
      </c>
      <c r="AX1102" s="133">
        <f ca="1">+AW1102-'ROR-Model'!G1119</f>
        <v>0</v>
      </c>
    </row>
    <row r="1103" spans="1:50">
      <c r="A1103" s="134"/>
      <c r="B1103" s="106"/>
      <c r="C1103" s="106" t="s">
        <v>170</v>
      </c>
      <c r="D1103" s="106"/>
      <c r="E1103" s="331"/>
      <c r="F1103" s="131">
        <f ca="1">SUM(F1099:F1102)</f>
        <v>-9561852.4594775327</v>
      </c>
      <c r="G1103" s="131">
        <f>G1*SUM(G1099:G1102)</f>
        <v>0</v>
      </c>
      <c r="H1103" s="131">
        <f>H1*SUM(H1099:H1102)</f>
        <v>0</v>
      </c>
      <c r="I1103" s="131">
        <f>SUM(I1099:I1102)</f>
        <v>0</v>
      </c>
      <c r="J1103" s="131">
        <f t="shared" ref="J1103:P1103" ca="1" si="1250">SUM(J1099:J1102)</f>
        <v>4440071.2995727248</v>
      </c>
      <c r="K1103" s="131">
        <f t="shared" si="1250"/>
        <v>0</v>
      </c>
      <c r="L1103" s="131">
        <f t="shared" si="1250"/>
        <v>0</v>
      </c>
      <c r="M1103" s="131">
        <f t="shared" si="1250"/>
        <v>0</v>
      </c>
      <c r="N1103" s="131">
        <f t="shared" si="1250"/>
        <v>0</v>
      </c>
      <c r="O1103" s="131">
        <f t="shared" si="1250"/>
        <v>0</v>
      </c>
      <c r="P1103" s="131">
        <f t="shared" si="1250"/>
        <v>0</v>
      </c>
      <c r="Q1103" s="241">
        <f t="shared" ref="Q1103:W1103" si="1251">SUM(Q1099:Q1102)</f>
        <v>0</v>
      </c>
      <c r="R1103" s="241">
        <f t="shared" si="1251"/>
        <v>0</v>
      </c>
      <c r="S1103" s="556"/>
      <c r="T1103" s="556">
        <f t="shared" si="1251"/>
        <v>0</v>
      </c>
      <c r="U1103" s="556">
        <f t="shared" si="1251"/>
        <v>0</v>
      </c>
      <c r="V1103" s="556">
        <f t="shared" si="1251"/>
        <v>0</v>
      </c>
      <c r="W1103" s="556">
        <f t="shared" si="1251"/>
        <v>0</v>
      </c>
      <c r="X1103" s="556">
        <f t="shared" ref="X1103:AG1103" si="1252">SUM(X1099:X1102)</f>
        <v>0</v>
      </c>
      <c r="Y1103" s="556">
        <f t="shared" si="1252"/>
        <v>0</v>
      </c>
      <c r="Z1103" s="556">
        <f t="shared" si="1252"/>
        <v>0</v>
      </c>
      <c r="AA1103" s="556">
        <f t="shared" si="1252"/>
        <v>0</v>
      </c>
      <c r="AB1103" s="556">
        <f t="shared" si="1252"/>
        <v>0</v>
      </c>
      <c r="AC1103" s="556">
        <f t="shared" si="1252"/>
        <v>0</v>
      </c>
      <c r="AD1103" s="556">
        <f t="shared" si="1252"/>
        <v>0</v>
      </c>
      <c r="AE1103" s="556">
        <f t="shared" si="1252"/>
        <v>0</v>
      </c>
      <c r="AF1103" s="556">
        <f t="shared" si="1252"/>
        <v>0</v>
      </c>
      <c r="AG1103" s="556">
        <f t="shared" si="1252"/>
        <v>0</v>
      </c>
      <c r="AH1103" s="556">
        <f t="shared" ref="AH1103:AK1103" si="1253">SUM(AH1099:AH1102)</f>
        <v>0</v>
      </c>
      <c r="AI1103" s="556">
        <f t="shared" si="1253"/>
        <v>0</v>
      </c>
      <c r="AJ1103" s="556">
        <f t="shared" si="1253"/>
        <v>0</v>
      </c>
      <c r="AK1103" s="556">
        <f t="shared" si="1253"/>
        <v>0</v>
      </c>
      <c r="AL1103" s="556">
        <f t="shared" ref="AL1103:AP1103" si="1254">SUM(AL1099:AL1102)</f>
        <v>0</v>
      </c>
      <c r="AM1103" s="556">
        <f t="shared" si="1254"/>
        <v>0</v>
      </c>
      <c r="AN1103" s="556">
        <f t="shared" si="1254"/>
        <v>0</v>
      </c>
      <c r="AO1103" s="556">
        <f t="shared" si="1254"/>
        <v>0</v>
      </c>
      <c r="AP1103" s="556">
        <f t="shared" si="1254"/>
        <v>0</v>
      </c>
      <c r="AQ1103" s="556">
        <f t="shared" ref="AQ1103:AS1103" si="1255">SUM(AQ1099:AQ1102)</f>
        <v>0</v>
      </c>
      <c r="AR1103" s="556">
        <f t="shared" si="1255"/>
        <v>0</v>
      </c>
      <c r="AS1103" s="556">
        <f t="shared" si="1255"/>
        <v>0</v>
      </c>
      <c r="AT1103" s="556"/>
      <c r="AU1103" s="241">
        <f ca="1">SUM(AU1099:AU1102)</f>
        <v>-5121781.1599048078</v>
      </c>
      <c r="AV1103" s="131"/>
      <c r="AW1103" s="241">
        <f ca="1">SUM(AW1099:AW1102)</f>
        <v>-5121781.1599048078</v>
      </c>
      <c r="AX1103" s="241">
        <f ca="1">+AW1103-'ROR-Model'!G1120</f>
        <v>0</v>
      </c>
    </row>
    <row r="1104" spans="1:50">
      <c r="A1104" s="134"/>
      <c r="B1104" s="106"/>
      <c r="C1104" s="106"/>
      <c r="D1104" s="106"/>
      <c r="E1104" s="331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33"/>
      <c r="R1104" s="133"/>
      <c r="S1104" s="133"/>
      <c r="T1104" s="133"/>
      <c r="U1104" s="133"/>
      <c r="V1104" s="133"/>
      <c r="W1104" s="133"/>
      <c r="X1104" s="133"/>
      <c r="Y1104" s="133"/>
      <c r="Z1104" s="133"/>
      <c r="AA1104" s="133"/>
      <c r="AB1104" s="133"/>
      <c r="AC1104" s="133"/>
      <c r="AD1104" s="133"/>
      <c r="AE1104" s="133"/>
      <c r="AF1104" s="133"/>
      <c r="AG1104" s="133"/>
      <c r="AH1104" s="133"/>
      <c r="AI1104" s="133"/>
      <c r="AJ1104" s="133"/>
      <c r="AK1104" s="133"/>
      <c r="AL1104" s="133"/>
      <c r="AM1104" s="133"/>
      <c r="AN1104" s="133"/>
      <c r="AO1104" s="133"/>
      <c r="AP1104" s="133"/>
      <c r="AQ1104" s="133"/>
      <c r="AR1104" s="133"/>
      <c r="AS1104" s="133"/>
      <c r="AT1104" s="133"/>
      <c r="AU1104" s="133"/>
      <c r="AV1104" s="116"/>
      <c r="AW1104" s="133"/>
      <c r="AX1104" s="133">
        <f>+AW1104-'ROR-Model'!G1121</f>
        <v>0</v>
      </c>
    </row>
    <row r="1105" spans="1:51">
      <c r="A1105" s="134">
        <v>111</v>
      </c>
      <c r="B1105" s="106" t="s">
        <v>300</v>
      </c>
      <c r="C1105" s="106"/>
      <c r="D1105" s="106"/>
      <c r="E1105" s="331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33"/>
      <c r="R1105" s="133"/>
      <c r="S1105" s="133"/>
      <c r="T1105" s="133"/>
      <c r="U1105" s="133"/>
      <c r="V1105" s="133"/>
      <c r="W1105" s="133"/>
      <c r="X1105" s="133"/>
      <c r="Y1105" s="133"/>
      <c r="Z1105" s="133"/>
      <c r="AA1105" s="133"/>
      <c r="AB1105" s="133"/>
      <c r="AC1105" s="133"/>
      <c r="AD1105" s="133"/>
      <c r="AE1105" s="133"/>
      <c r="AF1105" s="133"/>
      <c r="AG1105" s="133"/>
      <c r="AH1105" s="133"/>
      <c r="AI1105" s="133"/>
      <c r="AJ1105" s="133"/>
      <c r="AK1105" s="133"/>
      <c r="AL1105" s="133"/>
      <c r="AM1105" s="133"/>
      <c r="AN1105" s="133"/>
      <c r="AO1105" s="133"/>
      <c r="AP1105" s="133"/>
      <c r="AQ1105" s="133"/>
      <c r="AR1105" s="133"/>
      <c r="AS1105" s="133"/>
      <c r="AT1105" s="133"/>
      <c r="AU1105" s="133"/>
      <c r="AV1105" s="116"/>
      <c r="AW1105" s="133"/>
      <c r="AX1105" s="133">
        <f>+AW1105-'ROR-Model'!G1122</f>
        <v>0</v>
      </c>
    </row>
    <row r="1106" spans="1:51">
      <c r="A1106" s="330"/>
      <c r="B1106" s="106"/>
      <c r="C1106" s="106" t="s">
        <v>443</v>
      </c>
      <c r="D1106" s="106"/>
      <c r="E1106" s="331"/>
      <c r="F1106" s="116">
        <f>'Rate Base'!$AQ$171*F1</f>
        <v>0</v>
      </c>
      <c r="G1106" s="116"/>
      <c r="H1106" s="116"/>
      <c r="I1106" s="116"/>
      <c r="J1106" s="116">
        <f>WEX_ADJ_111_PROD*J1</f>
        <v>387467.42957999994</v>
      </c>
      <c r="K1106" s="116"/>
      <c r="L1106" s="116"/>
      <c r="M1106" s="116"/>
      <c r="N1106" s="116"/>
      <c r="O1106" s="116"/>
      <c r="P1106" s="116"/>
      <c r="Q1106" s="133"/>
      <c r="R1106" s="133"/>
      <c r="S1106" s="133"/>
      <c r="T1106" s="133">
        <f>'Optional Adjustment 2'!G1116*$T$1</f>
        <v>0</v>
      </c>
      <c r="U1106" s="133">
        <f>'Optional Adjustment 3'!G1116*$U$1</f>
        <v>0</v>
      </c>
      <c r="V1106" s="133">
        <f>'Optional Adjustment 4'!G1116*$V$1</f>
        <v>0</v>
      </c>
      <c r="W1106" s="133">
        <f>'Optional Adjustment 5'!G1116*$W$1</f>
        <v>0</v>
      </c>
      <c r="X1106" s="133">
        <f>'Optional Adjustment 6'!G1116*$X$1</f>
        <v>0</v>
      </c>
      <c r="Y1106" s="133">
        <f>'Optional Adjustment 7'!G1116*$Y$1</f>
        <v>0</v>
      </c>
      <c r="Z1106" s="133">
        <f>'Optional Adjustment 8'!G1116*$Z$1</f>
        <v>0</v>
      </c>
      <c r="AA1106" s="133">
        <f>'Optional Adjustment 9'!G1116*$AA$1</f>
        <v>0</v>
      </c>
      <c r="AB1106" s="133">
        <f>'Optional Adjustment 10'!G1116*$AB$1</f>
        <v>0</v>
      </c>
      <c r="AC1106" s="133">
        <f>'Optional Adjustment 11'!G1116*$AC$1</f>
        <v>0</v>
      </c>
      <c r="AD1106" s="133">
        <f>'Optional Adjustment 12'!G1116*$AD$1</f>
        <v>0</v>
      </c>
      <c r="AE1106" s="133">
        <f>'Optional Adjustment 13'!G1116*$AE$1</f>
        <v>0</v>
      </c>
      <c r="AF1106" s="133">
        <f>'Optional Adjustment 14'!G1116*$AF$1</f>
        <v>0</v>
      </c>
      <c r="AG1106" s="133">
        <f>'Optional Adjustment 15'!G1116*$AG$1</f>
        <v>0</v>
      </c>
      <c r="AH1106" s="133">
        <f>'Optional Adjustment 16'!G1116*$AH$1</f>
        <v>0</v>
      </c>
      <c r="AI1106" s="133">
        <f>'Optional Adjustment 17'!G1116*$AI$1</f>
        <v>0</v>
      </c>
      <c r="AJ1106" s="133">
        <f>'Optional Adjustment 18'!G1116*$AJ$1</f>
        <v>0</v>
      </c>
      <c r="AK1106" s="133">
        <f>'Optional Adjustment 19'!G1116*$AK$1</f>
        <v>0</v>
      </c>
      <c r="AL1106" s="133">
        <f>'Optional Adjustment 20'!G1116*$AL$1</f>
        <v>0</v>
      </c>
      <c r="AM1106" s="133">
        <f>'Optional Adjustment 21'!G1116*$AM$1</f>
        <v>0</v>
      </c>
      <c r="AN1106" s="133">
        <f>'Optional Adjustment 22'!G1116*$AN$1</f>
        <v>0</v>
      </c>
      <c r="AO1106" s="133">
        <f>'Optional Adjustment 23'!G1116*$AO$1</f>
        <v>0</v>
      </c>
      <c r="AP1106" s="133">
        <f>'Optional Adjustment 24'!G1116*$AP$1</f>
        <v>0</v>
      </c>
      <c r="AQ1106" s="133">
        <f>'Optional Adjustment 25'!G1116*$AQ$1</f>
        <v>0</v>
      </c>
      <c r="AR1106" s="133">
        <f>'Optional Adjustment 26'!G1116*$AR$1</f>
        <v>0</v>
      </c>
      <c r="AS1106" s="133">
        <f>'Optional Adjustment 27'!G1116*$AS$1</f>
        <v>0</v>
      </c>
      <c r="AT1106" s="133"/>
      <c r="AU1106" s="133">
        <f>SUM(F1106:AT1106)</f>
        <v>387467.42957999994</v>
      </c>
      <c r="AV1106" s="116"/>
      <c r="AW1106" s="133">
        <f>SUM(AU1106:AU1106)</f>
        <v>387467.42957999994</v>
      </c>
      <c r="AX1106" s="133">
        <f>+AW1106-'ROR-Model'!G1123</f>
        <v>0</v>
      </c>
    </row>
    <row r="1107" spans="1:51">
      <c r="A1107" s="330"/>
      <c r="B1107" s="106"/>
      <c r="C1107" s="106" t="s">
        <v>592</v>
      </c>
      <c r="D1107" s="106"/>
      <c r="E1107" s="331"/>
      <c r="F1107" s="116">
        <f>'Rate Base'!$AQ$172*F1</f>
        <v>0</v>
      </c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33"/>
      <c r="R1107" s="133"/>
      <c r="S1107" s="133"/>
      <c r="T1107" s="133">
        <f>'Optional Adjustment 2'!G1117*$T$1</f>
        <v>0</v>
      </c>
      <c r="U1107" s="133">
        <f>'Optional Adjustment 3'!G1117*$U$1</f>
        <v>0</v>
      </c>
      <c r="V1107" s="133">
        <f>'Optional Adjustment 4'!G1117*$V$1</f>
        <v>0</v>
      </c>
      <c r="W1107" s="133">
        <f>'Optional Adjustment 5'!G1117*$W$1</f>
        <v>0</v>
      </c>
      <c r="X1107" s="133">
        <f>'Optional Adjustment 6'!G1117*$X$1</f>
        <v>0</v>
      </c>
      <c r="Y1107" s="133">
        <f>'Optional Adjustment 7'!G1117*$Y$1</f>
        <v>0</v>
      </c>
      <c r="Z1107" s="133">
        <f>'Optional Adjustment 8'!G1117*$Z$1</f>
        <v>0</v>
      </c>
      <c r="AA1107" s="133">
        <f>'Optional Adjustment 9'!G1117*$AA$1</f>
        <v>0</v>
      </c>
      <c r="AB1107" s="133">
        <f>'Optional Adjustment 10'!G1117*$AB$1</f>
        <v>0</v>
      </c>
      <c r="AC1107" s="133">
        <f>'Optional Adjustment 11'!G1117*$AC$1</f>
        <v>0</v>
      </c>
      <c r="AD1107" s="133">
        <f>'Optional Adjustment 12'!G1117*$AD$1</f>
        <v>0</v>
      </c>
      <c r="AE1107" s="133">
        <f>'Optional Adjustment 13'!G1117*$AE$1</f>
        <v>0</v>
      </c>
      <c r="AF1107" s="133">
        <f>'Optional Adjustment 14'!G1117*$AF$1</f>
        <v>0</v>
      </c>
      <c r="AG1107" s="133">
        <f>'Optional Adjustment 15'!G1117*$AG$1</f>
        <v>0</v>
      </c>
      <c r="AH1107" s="133">
        <f>'Optional Adjustment 16'!G1117*$AH$1</f>
        <v>0</v>
      </c>
      <c r="AI1107" s="133">
        <f>'Optional Adjustment 17'!G1117*$AI$1</f>
        <v>0</v>
      </c>
      <c r="AJ1107" s="133">
        <f>'Optional Adjustment 18'!G1117*$AJ$1</f>
        <v>0</v>
      </c>
      <c r="AK1107" s="133">
        <f>'Optional Adjustment 19'!G1117*$AK$1</f>
        <v>0</v>
      </c>
      <c r="AL1107" s="133">
        <f>'Optional Adjustment 20'!G1117*$AL$1</f>
        <v>0</v>
      </c>
      <c r="AM1107" s="133">
        <f>'Optional Adjustment 21'!G1117*$AM$1</f>
        <v>0</v>
      </c>
      <c r="AN1107" s="133">
        <f>'Optional Adjustment 22'!G1117*$AN$1</f>
        <v>0</v>
      </c>
      <c r="AO1107" s="133">
        <f>'Optional Adjustment 23'!G1117*$AO$1</f>
        <v>0</v>
      </c>
      <c r="AP1107" s="133">
        <f>'Optional Adjustment 24'!G1117*$AP$1</f>
        <v>0</v>
      </c>
      <c r="AQ1107" s="133">
        <f>'Optional Adjustment 25'!G1117*$AQ$1</f>
        <v>0</v>
      </c>
      <c r="AR1107" s="133">
        <f>'Optional Adjustment 26'!G1117*$AR$1</f>
        <v>0</v>
      </c>
      <c r="AS1107" s="133">
        <f>'Optional Adjustment 27'!G1117*$AS$1</f>
        <v>0</v>
      </c>
      <c r="AT1107" s="133"/>
      <c r="AU1107" s="133">
        <f>SUM(F1107:AT1107)</f>
        <v>0</v>
      </c>
      <c r="AV1107" s="116"/>
      <c r="AW1107" s="133">
        <f>SUM(AU1107:AU1107)</f>
        <v>0</v>
      </c>
      <c r="AX1107" s="133">
        <f>+AW1107-'ROR-Model'!G1124</f>
        <v>0</v>
      </c>
    </row>
    <row r="1108" spans="1:51">
      <c r="A1108" s="330"/>
      <c r="B1108" s="106"/>
      <c r="C1108" s="106" t="s">
        <v>593</v>
      </c>
      <c r="D1108" s="106"/>
      <c r="E1108" s="331"/>
      <c r="F1108" s="116">
        <f>'Rate Base'!$AQ$173*F1</f>
        <v>0</v>
      </c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33"/>
      <c r="R1108" s="133"/>
      <c r="S1108" s="133"/>
      <c r="T1108" s="133">
        <f>'Optional Adjustment 2'!G1118*$T$1</f>
        <v>0</v>
      </c>
      <c r="U1108" s="133">
        <f>'Optional Adjustment 3'!G1118*$U$1</f>
        <v>0</v>
      </c>
      <c r="V1108" s="133">
        <f>'Optional Adjustment 4'!G1118*$V$1</f>
        <v>0</v>
      </c>
      <c r="W1108" s="133">
        <f>'Optional Adjustment 5'!G1118*$W$1</f>
        <v>0</v>
      </c>
      <c r="X1108" s="133">
        <f>'Optional Adjustment 6'!G1118*$X$1</f>
        <v>0</v>
      </c>
      <c r="Y1108" s="133">
        <f>'Optional Adjustment 7'!G1118*$Y$1</f>
        <v>0</v>
      </c>
      <c r="Z1108" s="133">
        <f>'Optional Adjustment 8'!G1118*$Z$1</f>
        <v>0</v>
      </c>
      <c r="AA1108" s="133">
        <f>'Optional Adjustment 9'!G1118*$AA$1</f>
        <v>0</v>
      </c>
      <c r="AB1108" s="133">
        <f>'Optional Adjustment 10'!G1118*$AB$1</f>
        <v>0</v>
      </c>
      <c r="AC1108" s="133">
        <f>'Optional Adjustment 11'!G1118*$AC$1</f>
        <v>0</v>
      </c>
      <c r="AD1108" s="133">
        <f>'Optional Adjustment 12'!G1118*$AD$1</f>
        <v>0</v>
      </c>
      <c r="AE1108" s="133">
        <f>'Optional Adjustment 13'!G1118*$AE$1</f>
        <v>0</v>
      </c>
      <c r="AF1108" s="133">
        <f>'Optional Adjustment 14'!G1118*$AF$1</f>
        <v>0</v>
      </c>
      <c r="AG1108" s="133">
        <f>'Optional Adjustment 15'!G1118*$AG$1</f>
        <v>0</v>
      </c>
      <c r="AH1108" s="133">
        <f>'Optional Adjustment 16'!G1118*$AH$1</f>
        <v>0</v>
      </c>
      <c r="AI1108" s="133">
        <f>'Optional Adjustment 17'!G1118*$AI$1</f>
        <v>0</v>
      </c>
      <c r="AJ1108" s="133">
        <f>'Optional Adjustment 18'!G1118*$AJ$1</f>
        <v>0</v>
      </c>
      <c r="AK1108" s="133">
        <f>'Optional Adjustment 19'!G1118*$AK$1</f>
        <v>0</v>
      </c>
      <c r="AL1108" s="133">
        <f>'Optional Adjustment 20'!G1118*$AL$1</f>
        <v>0</v>
      </c>
      <c r="AM1108" s="133">
        <f>'Optional Adjustment 21'!G1118*$AM$1</f>
        <v>0</v>
      </c>
      <c r="AN1108" s="133">
        <f>'Optional Adjustment 22'!G1118*$AN$1</f>
        <v>0</v>
      </c>
      <c r="AO1108" s="133">
        <f>'Optional Adjustment 23'!G1118*$AO$1</f>
        <v>0</v>
      </c>
      <c r="AP1108" s="133">
        <f>'Optional Adjustment 24'!G1118*$AP$1</f>
        <v>0</v>
      </c>
      <c r="AQ1108" s="133">
        <f>'Optional Adjustment 25'!G1118*$AQ$1</f>
        <v>0</v>
      </c>
      <c r="AR1108" s="133">
        <f>'Optional Adjustment 26'!G1118*$AR$1</f>
        <v>0</v>
      </c>
      <c r="AS1108" s="133">
        <f>'Optional Adjustment 27'!G1118*$AS$1</f>
        <v>0</v>
      </c>
      <c r="AT1108" s="133"/>
      <c r="AU1108" s="133">
        <f>SUM(F1108:AT1108)</f>
        <v>0</v>
      </c>
      <c r="AV1108" s="116"/>
      <c r="AW1108" s="133">
        <f>SUM(AU1108:AU1108)</f>
        <v>0</v>
      </c>
      <c r="AX1108" s="133">
        <f>+AW1108-'ROR-Model'!G1125</f>
        <v>0</v>
      </c>
    </row>
    <row r="1109" spans="1:51">
      <c r="A1109" s="330"/>
      <c r="B1109" s="106"/>
      <c r="C1109" s="106" t="s">
        <v>595</v>
      </c>
      <c r="D1109" s="106"/>
      <c r="E1109" s="331"/>
      <c r="F1109" s="116">
        <f>'Rate Base'!$AQ$174*F1</f>
        <v>0</v>
      </c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33"/>
      <c r="R1109" s="133"/>
      <c r="S1109" s="133"/>
      <c r="T1109" s="133">
        <f>'Optional Adjustment 2'!G1119*$T$1</f>
        <v>0</v>
      </c>
      <c r="U1109" s="133">
        <f>'Optional Adjustment 3'!G1119*$U$1</f>
        <v>0</v>
      </c>
      <c r="V1109" s="133">
        <f>'Optional Adjustment 4'!G1119*$V$1</f>
        <v>0</v>
      </c>
      <c r="W1109" s="133">
        <f>'Optional Adjustment 5'!G1119*$W$1</f>
        <v>0</v>
      </c>
      <c r="X1109" s="133">
        <f>'Optional Adjustment 6'!G1119*$X$1</f>
        <v>0</v>
      </c>
      <c r="Y1109" s="133">
        <f>'Optional Adjustment 7'!G1119*$Y$1</f>
        <v>0</v>
      </c>
      <c r="Z1109" s="133">
        <f>'Optional Adjustment 8'!G1119*$Z$1</f>
        <v>0</v>
      </c>
      <c r="AA1109" s="133">
        <f>'Optional Adjustment 9'!G1119*$AA$1</f>
        <v>0</v>
      </c>
      <c r="AB1109" s="133">
        <f>'Optional Adjustment 10'!G1119*$AB$1</f>
        <v>0</v>
      </c>
      <c r="AC1109" s="133">
        <f>'Optional Adjustment 11'!G1119*$AC$1</f>
        <v>0</v>
      </c>
      <c r="AD1109" s="133">
        <f>'Optional Adjustment 12'!G1119*$AD$1</f>
        <v>0</v>
      </c>
      <c r="AE1109" s="133">
        <f>'Optional Adjustment 13'!G1119*$AE$1</f>
        <v>0</v>
      </c>
      <c r="AF1109" s="133">
        <f>'Optional Adjustment 14'!G1119*$AF$1</f>
        <v>0</v>
      </c>
      <c r="AG1109" s="133">
        <f>'Optional Adjustment 15'!G1119*$AG$1</f>
        <v>0</v>
      </c>
      <c r="AH1109" s="133">
        <f>'Optional Adjustment 16'!G1119*$AH$1</f>
        <v>0</v>
      </c>
      <c r="AI1109" s="133">
        <f>'Optional Adjustment 17'!G1119*$AI$1</f>
        <v>0</v>
      </c>
      <c r="AJ1109" s="133">
        <f>'Optional Adjustment 18'!G1119*$AJ$1</f>
        <v>0</v>
      </c>
      <c r="AK1109" s="133">
        <f>'Optional Adjustment 19'!G1119*$AK$1</f>
        <v>0</v>
      </c>
      <c r="AL1109" s="133">
        <f>'Optional Adjustment 20'!G1119*$AL$1</f>
        <v>0</v>
      </c>
      <c r="AM1109" s="133">
        <f>'Optional Adjustment 21'!G1119*$AM$1</f>
        <v>0</v>
      </c>
      <c r="AN1109" s="133">
        <f>'Optional Adjustment 22'!G1119*$AN$1</f>
        <v>0</v>
      </c>
      <c r="AO1109" s="133">
        <f>'Optional Adjustment 23'!G1119*$AO$1</f>
        <v>0</v>
      </c>
      <c r="AP1109" s="133">
        <f>'Optional Adjustment 24'!G1119*$AP$1</f>
        <v>0</v>
      </c>
      <c r="AQ1109" s="133">
        <f>'Optional Adjustment 25'!G1119*$AQ$1</f>
        <v>0</v>
      </c>
      <c r="AR1109" s="133">
        <f>'Optional Adjustment 26'!G1119*$AR$1</f>
        <v>0</v>
      </c>
      <c r="AS1109" s="133">
        <f>'Optional Adjustment 27'!G1119*$AS$1</f>
        <v>0</v>
      </c>
      <c r="AT1109" s="133"/>
      <c r="AU1109" s="133">
        <f>SUM(F1109:AT1109)</f>
        <v>0</v>
      </c>
      <c r="AV1109" s="116"/>
      <c r="AW1109" s="133">
        <f>SUM(AU1109:AU1109)</f>
        <v>0</v>
      </c>
      <c r="AX1109" s="133">
        <f>+AW1109-'ROR-Model'!G1126</f>
        <v>0</v>
      </c>
    </row>
    <row r="1110" spans="1:51">
      <c r="A1110" s="330"/>
      <c r="B1110" s="106"/>
      <c r="C1110" s="106" t="s">
        <v>170</v>
      </c>
      <c r="D1110" s="106"/>
      <c r="E1110" s="331"/>
      <c r="F1110" s="131">
        <f>SUM(F1106:F1109)</f>
        <v>0</v>
      </c>
      <c r="G1110" s="131">
        <f>G1*SUM(G1106:G1109)</f>
        <v>0</v>
      </c>
      <c r="H1110" s="131">
        <f>H1*SUM(H1106:H1109)</f>
        <v>0</v>
      </c>
      <c r="I1110" s="131">
        <f>SUM(I1106:I1109)</f>
        <v>0</v>
      </c>
      <c r="J1110" s="131">
        <f t="shared" ref="J1110:P1110" si="1256">SUM(J1106:J1109)</f>
        <v>387467.42957999994</v>
      </c>
      <c r="K1110" s="131">
        <f t="shared" si="1256"/>
        <v>0</v>
      </c>
      <c r="L1110" s="131">
        <f t="shared" si="1256"/>
        <v>0</v>
      </c>
      <c r="M1110" s="131">
        <f t="shared" si="1256"/>
        <v>0</v>
      </c>
      <c r="N1110" s="131">
        <f t="shared" si="1256"/>
        <v>0</v>
      </c>
      <c r="O1110" s="131">
        <f t="shared" si="1256"/>
        <v>0</v>
      </c>
      <c r="P1110" s="131">
        <f t="shared" si="1256"/>
        <v>0</v>
      </c>
      <c r="Q1110" s="241">
        <f t="shared" ref="Q1110:W1110" si="1257">SUM(Q1106:Q1109)</f>
        <v>0</v>
      </c>
      <c r="R1110" s="241">
        <f t="shared" si="1257"/>
        <v>0</v>
      </c>
      <c r="S1110" s="556"/>
      <c r="T1110" s="556">
        <f t="shared" si="1257"/>
        <v>0</v>
      </c>
      <c r="U1110" s="556">
        <f t="shared" si="1257"/>
        <v>0</v>
      </c>
      <c r="V1110" s="556">
        <f t="shared" si="1257"/>
        <v>0</v>
      </c>
      <c r="W1110" s="556">
        <f t="shared" si="1257"/>
        <v>0</v>
      </c>
      <c r="X1110" s="556">
        <f t="shared" ref="X1110:AG1110" si="1258">SUM(X1106:X1109)</f>
        <v>0</v>
      </c>
      <c r="Y1110" s="556">
        <f t="shared" si="1258"/>
        <v>0</v>
      </c>
      <c r="Z1110" s="556">
        <f t="shared" si="1258"/>
        <v>0</v>
      </c>
      <c r="AA1110" s="556">
        <f t="shared" si="1258"/>
        <v>0</v>
      </c>
      <c r="AB1110" s="556">
        <f t="shared" si="1258"/>
        <v>0</v>
      </c>
      <c r="AC1110" s="556">
        <f t="shared" si="1258"/>
        <v>0</v>
      </c>
      <c r="AD1110" s="556">
        <f t="shared" si="1258"/>
        <v>0</v>
      </c>
      <c r="AE1110" s="556">
        <f t="shared" si="1258"/>
        <v>0</v>
      </c>
      <c r="AF1110" s="556">
        <f t="shared" si="1258"/>
        <v>0</v>
      </c>
      <c r="AG1110" s="556">
        <f t="shared" si="1258"/>
        <v>0</v>
      </c>
      <c r="AH1110" s="556">
        <f t="shared" ref="AH1110:AK1110" si="1259">SUM(AH1106:AH1109)</f>
        <v>0</v>
      </c>
      <c r="AI1110" s="556">
        <f t="shared" si="1259"/>
        <v>0</v>
      </c>
      <c r="AJ1110" s="556">
        <f t="shared" si="1259"/>
        <v>0</v>
      </c>
      <c r="AK1110" s="556">
        <f t="shared" si="1259"/>
        <v>0</v>
      </c>
      <c r="AL1110" s="556">
        <f t="shared" ref="AL1110:AP1110" si="1260">SUM(AL1106:AL1109)</f>
        <v>0</v>
      </c>
      <c r="AM1110" s="556">
        <f t="shared" si="1260"/>
        <v>0</v>
      </c>
      <c r="AN1110" s="556">
        <f t="shared" si="1260"/>
        <v>0</v>
      </c>
      <c r="AO1110" s="556">
        <f t="shared" si="1260"/>
        <v>0</v>
      </c>
      <c r="AP1110" s="556">
        <f t="shared" si="1260"/>
        <v>0</v>
      </c>
      <c r="AQ1110" s="556">
        <f t="shared" ref="AQ1110:AS1110" si="1261">SUM(AQ1106:AQ1109)</f>
        <v>0</v>
      </c>
      <c r="AR1110" s="556">
        <f t="shared" si="1261"/>
        <v>0</v>
      </c>
      <c r="AS1110" s="556">
        <f t="shared" si="1261"/>
        <v>0</v>
      </c>
      <c r="AT1110" s="556"/>
      <c r="AU1110" s="241">
        <f>SUM(AU1106:AU1109)</f>
        <v>387467.42957999994</v>
      </c>
      <c r="AV1110" s="131"/>
      <c r="AW1110" s="241">
        <f>SUM(AW1106:AW1109)</f>
        <v>387467.42957999994</v>
      </c>
      <c r="AX1110" s="241">
        <f>+AW1110-'ROR-Model'!G1127</f>
        <v>0</v>
      </c>
    </row>
    <row r="1111" spans="1:51">
      <c r="A1111" s="330"/>
      <c r="B1111" s="106"/>
      <c r="C1111" s="106"/>
      <c r="D1111" s="106"/>
      <c r="E1111" s="761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33"/>
      <c r="R1111" s="133"/>
      <c r="S1111" s="133"/>
      <c r="T1111" s="133"/>
      <c r="U1111" s="133"/>
      <c r="V1111" s="133"/>
      <c r="W1111" s="133"/>
      <c r="X1111" s="133"/>
      <c r="Y1111" s="133"/>
      <c r="Z1111" s="133"/>
      <c r="AA1111" s="133"/>
      <c r="AB1111" s="133"/>
      <c r="AC1111" s="133"/>
      <c r="AD1111" s="133"/>
      <c r="AE1111" s="133"/>
      <c r="AF1111" s="133"/>
      <c r="AG1111" s="133"/>
      <c r="AH1111" s="133"/>
      <c r="AI1111" s="133"/>
      <c r="AJ1111" s="133"/>
      <c r="AK1111" s="133"/>
      <c r="AL1111" s="133"/>
      <c r="AM1111" s="133"/>
      <c r="AN1111" s="133"/>
      <c r="AO1111" s="133"/>
      <c r="AP1111" s="133"/>
      <c r="AQ1111" s="133"/>
      <c r="AR1111" s="133"/>
      <c r="AS1111" s="133"/>
      <c r="AT1111" s="133"/>
      <c r="AU1111" s="133"/>
      <c r="AV1111" s="116"/>
      <c r="AW1111" s="133"/>
      <c r="AX1111" s="133"/>
    </row>
    <row r="1112" spans="1:51">
      <c r="A1112" s="134" t="s">
        <v>1134</v>
      </c>
      <c r="B1112" s="102" t="s">
        <v>1135</v>
      </c>
      <c r="C1112" s="106"/>
      <c r="D1112" s="106"/>
      <c r="E1112" s="761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33"/>
      <c r="R1112" s="133"/>
      <c r="S1112" s="133"/>
      <c r="T1112" s="133"/>
      <c r="U1112" s="133"/>
      <c r="V1112" s="133"/>
      <c r="W1112" s="133"/>
      <c r="X1112" s="133"/>
      <c r="Y1112" s="133"/>
      <c r="Z1112" s="133"/>
      <c r="AA1112" s="133"/>
      <c r="AB1112" s="133"/>
      <c r="AC1112" s="133"/>
      <c r="AD1112" s="133"/>
      <c r="AE1112" s="133"/>
      <c r="AF1112" s="133"/>
      <c r="AG1112" s="133"/>
      <c r="AH1112" s="133"/>
      <c r="AI1112" s="133"/>
      <c r="AJ1112" s="133"/>
      <c r="AK1112" s="133"/>
      <c r="AL1112" s="133"/>
      <c r="AM1112" s="133"/>
      <c r="AN1112" s="133"/>
      <c r="AO1112" s="133"/>
      <c r="AP1112" s="133"/>
      <c r="AQ1112" s="133"/>
      <c r="AR1112" s="133"/>
      <c r="AS1112" s="133"/>
      <c r="AT1112" s="133"/>
      <c r="AU1112" s="133"/>
      <c r="AV1112" s="116"/>
      <c r="AW1112" s="133"/>
      <c r="AX1112" s="133"/>
    </row>
    <row r="1113" spans="1:51">
      <c r="A1113" s="330"/>
      <c r="B1113" s="106"/>
      <c r="C1113" s="106" t="s">
        <v>443</v>
      </c>
      <c r="D1113" s="106"/>
      <c r="E1113" s="761"/>
      <c r="F1113" s="116">
        <f ca="1">'Rate Base'!$AQ$178*F6</f>
        <v>0</v>
      </c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33"/>
      <c r="R1113" s="133"/>
      <c r="S1113" s="133"/>
      <c r="T1113" s="133"/>
      <c r="U1113" s="133"/>
      <c r="V1113" s="133"/>
      <c r="W1113" s="133"/>
      <c r="X1113" s="133"/>
      <c r="Y1113" s="133"/>
      <c r="Z1113" s="133"/>
      <c r="AA1113" s="133"/>
      <c r="AB1113" s="133"/>
      <c r="AC1113" s="133"/>
      <c r="AD1113" s="133"/>
      <c r="AE1113" s="133"/>
      <c r="AF1113" s="133"/>
      <c r="AG1113" s="133"/>
      <c r="AH1113" s="133"/>
      <c r="AI1113" s="133"/>
      <c r="AJ1113" s="133"/>
      <c r="AK1113" s="133"/>
      <c r="AL1113" s="133"/>
      <c r="AM1113" s="133"/>
      <c r="AN1113" s="133"/>
      <c r="AO1113" s="133"/>
      <c r="AP1113" s="133"/>
      <c r="AQ1113" s="133"/>
      <c r="AR1113" s="133"/>
      <c r="AS1113" s="133"/>
      <c r="AT1113" s="133"/>
      <c r="AU1113" s="133">
        <f ca="1">SUM(F1113:AT1113)</f>
        <v>0</v>
      </c>
      <c r="AV1113" s="116"/>
      <c r="AW1113" s="133">
        <f ca="1">SUM(AU1113:AU1113)</f>
        <v>0</v>
      </c>
      <c r="AX1113" s="133"/>
    </row>
    <row r="1114" spans="1:51">
      <c r="A1114" s="330"/>
      <c r="B1114" s="106"/>
      <c r="C1114" s="106" t="s">
        <v>592</v>
      </c>
      <c r="D1114" s="106"/>
      <c r="E1114" s="761"/>
      <c r="F1114" s="116">
        <f ca="1">'Rate Base'!$AQ$179*F6</f>
        <v>15644.161227236502</v>
      </c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33"/>
      <c r="R1114" s="133"/>
      <c r="S1114" s="133"/>
      <c r="T1114" s="133"/>
      <c r="U1114" s="133"/>
      <c r="V1114" s="133"/>
      <c r="W1114" s="133"/>
      <c r="X1114" s="133"/>
      <c r="Y1114" s="133"/>
      <c r="Z1114" s="133"/>
      <c r="AA1114" s="133"/>
      <c r="AB1114" s="133"/>
      <c r="AC1114" s="133"/>
      <c r="AD1114" s="133"/>
      <c r="AE1114" s="133"/>
      <c r="AF1114" s="133"/>
      <c r="AG1114" s="133"/>
      <c r="AH1114" s="133"/>
      <c r="AI1114" s="133"/>
      <c r="AJ1114" s="133"/>
      <c r="AK1114" s="133"/>
      <c r="AL1114" s="133"/>
      <c r="AM1114" s="133"/>
      <c r="AN1114" s="133"/>
      <c r="AO1114" s="133"/>
      <c r="AP1114" s="133"/>
      <c r="AQ1114" s="133"/>
      <c r="AR1114" s="133"/>
      <c r="AS1114" s="133"/>
      <c r="AT1114" s="133"/>
      <c r="AU1114" s="133">
        <f ca="1">SUM(F1114:AT1114)</f>
        <v>15644.161227236502</v>
      </c>
      <c r="AV1114" s="116"/>
      <c r="AW1114" s="133">
        <f ca="1">SUM(AU1114:AU1114)</f>
        <v>15644.161227236502</v>
      </c>
      <c r="AX1114" s="133"/>
    </row>
    <row r="1115" spans="1:51">
      <c r="A1115" s="330"/>
      <c r="B1115" s="106"/>
      <c r="C1115" s="106" t="s">
        <v>593</v>
      </c>
      <c r="D1115" s="106"/>
      <c r="E1115" s="761"/>
      <c r="F1115" s="116">
        <f ca="1">'Rate Base'!$AQ$180*F6</f>
        <v>465862.8015242219</v>
      </c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33"/>
      <c r="R1115" s="133"/>
      <c r="S1115" s="133"/>
      <c r="T1115" s="133"/>
      <c r="U1115" s="133"/>
      <c r="V1115" s="133"/>
      <c r="W1115" s="133"/>
      <c r="X1115" s="133"/>
      <c r="Y1115" s="133"/>
      <c r="Z1115" s="133"/>
      <c r="AA1115" s="133"/>
      <c r="AB1115" s="133"/>
      <c r="AC1115" s="133"/>
      <c r="AD1115" s="133"/>
      <c r="AE1115" s="133"/>
      <c r="AF1115" s="133"/>
      <c r="AG1115" s="133"/>
      <c r="AH1115" s="133"/>
      <c r="AI1115" s="133"/>
      <c r="AJ1115" s="133"/>
      <c r="AK1115" s="133"/>
      <c r="AL1115" s="133"/>
      <c r="AM1115" s="133"/>
      <c r="AN1115" s="133"/>
      <c r="AO1115" s="133"/>
      <c r="AP1115" s="133"/>
      <c r="AQ1115" s="133"/>
      <c r="AR1115" s="133"/>
      <c r="AS1115" s="133"/>
      <c r="AT1115" s="133"/>
      <c r="AU1115" s="133">
        <f ca="1">SUM(F1115:AT1115)</f>
        <v>465862.8015242219</v>
      </c>
      <c r="AV1115" s="116"/>
      <c r="AW1115" s="133">
        <f ca="1">SUM(AU1115:AU1115)</f>
        <v>465862.8015242219</v>
      </c>
      <c r="AX1115" s="133"/>
    </row>
    <row r="1116" spans="1:51">
      <c r="A1116" s="330"/>
      <c r="B1116" s="106"/>
      <c r="C1116" s="106" t="s">
        <v>595</v>
      </c>
      <c r="D1116" s="106"/>
      <c r="E1116" s="761"/>
      <c r="F1116" s="116">
        <f ca="1">'Rate Base'!$AQ$181*F6</f>
        <v>602088.97257092595</v>
      </c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33"/>
      <c r="R1116" s="133"/>
      <c r="S1116" s="133"/>
      <c r="T1116" s="133"/>
      <c r="U1116" s="133"/>
      <c r="V1116" s="133"/>
      <c r="W1116" s="133"/>
      <c r="X1116" s="133"/>
      <c r="Y1116" s="133"/>
      <c r="Z1116" s="133"/>
      <c r="AA1116" s="133"/>
      <c r="AB1116" s="133"/>
      <c r="AC1116" s="133"/>
      <c r="AD1116" s="133"/>
      <c r="AE1116" s="133"/>
      <c r="AF1116" s="133"/>
      <c r="AG1116" s="133"/>
      <c r="AH1116" s="133"/>
      <c r="AI1116" s="133"/>
      <c r="AJ1116" s="133"/>
      <c r="AK1116" s="133"/>
      <c r="AL1116" s="133"/>
      <c r="AM1116" s="133"/>
      <c r="AN1116" s="133"/>
      <c r="AO1116" s="133"/>
      <c r="AP1116" s="133"/>
      <c r="AQ1116" s="133"/>
      <c r="AR1116" s="133"/>
      <c r="AS1116" s="133"/>
      <c r="AT1116" s="133"/>
      <c r="AU1116" s="133">
        <f ca="1">SUM(F1116:AT1116)</f>
        <v>602088.97257092595</v>
      </c>
      <c r="AV1116" s="116"/>
      <c r="AW1116" s="133">
        <f ca="1">SUM(AU1116:AU1116)</f>
        <v>602088.97257092595</v>
      </c>
      <c r="AX1116" s="133"/>
    </row>
    <row r="1117" spans="1:51">
      <c r="A1117" s="330"/>
      <c r="B1117" s="106"/>
      <c r="C1117" s="106" t="s">
        <v>170</v>
      </c>
      <c r="D1117" s="106"/>
      <c r="E1117" s="106"/>
      <c r="F1117" s="620">
        <f ca="1">SUM(F1113:F1116)</f>
        <v>1083595.9353223844</v>
      </c>
      <c r="G1117" s="620">
        <f t="shared" ref="G1117:AU1117" si="1262">SUM(G1113:G1116)</f>
        <v>0</v>
      </c>
      <c r="H1117" s="620">
        <f t="shared" si="1262"/>
        <v>0</v>
      </c>
      <c r="I1117" s="620">
        <f t="shared" si="1262"/>
        <v>0</v>
      </c>
      <c r="J1117" s="620">
        <f t="shared" si="1262"/>
        <v>0</v>
      </c>
      <c r="K1117" s="620">
        <f t="shared" si="1262"/>
        <v>0</v>
      </c>
      <c r="L1117" s="620">
        <f t="shared" si="1262"/>
        <v>0</v>
      </c>
      <c r="M1117" s="620">
        <f t="shared" si="1262"/>
        <v>0</v>
      </c>
      <c r="N1117" s="620">
        <f t="shared" si="1262"/>
        <v>0</v>
      </c>
      <c r="O1117" s="620">
        <f t="shared" si="1262"/>
        <v>0</v>
      </c>
      <c r="P1117" s="620">
        <f t="shared" si="1262"/>
        <v>0</v>
      </c>
      <c r="Q1117" s="620">
        <f t="shared" si="1262"/>
        <v>0</v>
      </c>
      <c r="R1117" s="620">
        <f t="shared" si="1262"/>
        <v>0</v>
      </c>
      <c r="S1117" s="620"/>
      <c r="T1117" s="620">
        <f t="shared" si="1262"/>
        <v>0</v>
      </c>
      <c r="U1117" s="620">
        <f t="shared" si="1262"/>
        <v>0</v>
      </c>
      <c r="V1117" s="620">
        <f t="shared" si="1262"/>
        <v>0</v>
      </c>
      <c r="W1117" s="620">
        <f t="shared" si="1262"/>
        <v>0</v>
      </c>
      <c r="X1117" s="620">
        <f t="shared" si="1262"/>
        <v>0</v>
      </c>
      <c r="Y1117" s="620">
        <f t="shared" si="1262"/>
        <v>0</v>
      </c>
      <c r="Z1117" s="620">
        <f t="shared" si="1262"/>
        <v>0</v>
      </c>
      <c r="AA1117" s="620">
        <f t="shared" si="1262"/>
        <v>0</v>
      </c>
      <c r="AB1117" s="620">
        <f t="shared" si="1262"/>
        <v>0</v>
      </c>
      <c r="AC1117" s="620">
        <f t="shared" si="1262"/>
        <v>0</v>
      </c>
      <c r="AD1117" s="620">
        <f t="shared" si="1262"/>
        <v>0</v>
      </c>
      <c r="AE1117" s="620">
        <f t="shared" si="1262"/>
        <v>0</v>
      </c>
      <c r="AF1117" s="620">
        <f t="shared" si="1262"/>
        <v>0</v>
      </c>
      <c r="AG1117" s="620">
        <f t="shared" si="1262"/>
        <v>0</v>
      </c>
      <c r="AH1117" s="620">
        <f t="shared" si="1262"/>
        <v>0</v>
      </c>
      <c r="AI1117" s="620">
        <f t="shared" si="1262"/>
        <v>0</v>
      </c>
      <c r="AJ1117" s="620">
        <f t="shared" si="1262"/>
        <v>0</v>
      </c>
      <c r="AK1117" s="620">
        <f t="shared" si="1262"/>
        <v>0</v>
      </c>
      <c r="AL1117" s="620">
        <f t="shared" si="1262"/>
        <v>0</v>
      </c>
      <c r="AM1117" s="620">
        <f t="shared" si="1262"/>
        <v>0</v>
      </c>
      <c r="AN1117" s="620">
        <f t="shared" si="1262"/>
        <v>0</v>
      </c>
      <c r="AO1117" s="620">
        <f t="shared" si="1262"/>
        <v>0</v>
      </c>
      <c r="AP1117" s="620">
        <f t="shared" si="1262"/>
        <v>0</v>
      </c>
      <c r="AQ1117" s="620">
        <f t="shared" si="1262"/>
        <v>0</v>
      </c>
      <c r="AR1117" s="620">
        <f t="shared" si="1262"/>
        <v>0</v>
      </c>
      <c r="AS1117" s="620">
        <f t="shared" si="1262"/>
        <v>0</v>
      </c>
      <c r="AT1117" s="620"/>
      <c r="AU1117" s="620">
        <f t="shared" ca="1" si="1262"/>
        <v>1083595.9353223844</v>
      </c>
      <c r="AV1117" s="620"/>
      <c r="AW1117" s="1047">
        <f ca="1">SUM(AW1113:AW1116)</f>
        <v>1083595.9353223844</v>
      </c>
      <c r="AX1117" s="1047">
        <f ca="1">+AW1117-'ROR-Model'!G1134</f>
        <v>0</v>
      </c>
    </row>
    <row r="1118" spans="1:51" ht="13.5" thickBot="1">
      <c r="A1118" s="330"/>
      <c r="B1118" s="106"/>
      <c r="C1118" s="106"/>
      <c r="D1118" s="106"/>
      <c r="E1118" s="331"/>
      <c r="F1118" s="235"/>
      <c r="G1118" s="235"/>
      <c r="H1118" s="235"/>
      <c r="I1118" s="235"/>
      <c r="J1118" s="235"/>
      <c r="K1118" s="235"/>
      <c r="L1118" s="235"/>
      <c r="M1118" s="235"/>
      <c r="N1118" s="235"/>
      <c r="O1118" s="235"/>
      <c r="P1118" s="235"/>
      <c r="Q1118" s="235"/>
      <c r="R1118" s="242"/>
      <c r="S1118" s="242"/>
      <c r="T1118" s="242"/>
      <c r="U1118" s="242"/>
      <c r="V1118" s="242"/>
      <c r="W1118" s="242"/>
      <c r="X1118" s="242"/>
      <c r="Y1118" s="242"/>
      <c r="Z1118" s="242"/>
      <c r="AA1118" s="242"/>
      <c r="AB1118" s="242"/>
      <c r="AC1118" s="242"/>
      <c r="AD1118" s="242"/>
      <c r="AE1118" s="242"/>
      <c r="AF1118" s="242"/>
      <c r="AG1118" s="242"/>
      <c r="AH1118" s="242"/>
      <c r="AI1118" s="242"/>
      <c r="AJ1118" s="242"/>
      <c r="AK1118" s="242"/>
      <c r="AL1118" s="242"/>
      <c r="AM1118" s="242"/>
      <c r="AN1118" s="242"/>
      <c r="AO1118" s="242"/>
      <c r="AP1118" s="242"/>
      <c r="AQ1118" s="242"/>
      <c r="AR1118" s="242"/>
      <c r="AS1118" s="242"/>
      <c r="AT1118" s="242"/>
      <c r="AU1118" s="242"/>
      <c r="AV1118" s="242"/>
      <c r="AW1118" s="235"/>
      <c r="AX1118" s="242">
        <f>+AW1118-'ROR-Model'!G1136</f>
        <v>0</v>
      </c>
      <c r="AY1118" s="133"/>
    </row>
    <row r="1119" spans="1:51" ht="13.5" thickTop="1">
      <c r="A1119" s="330"/>
      <c r="B1119" s="106"/>
      <c r="C1119" s="106"/>
      <c r="D1119" s="106"/>
      <c r="E1119" s="761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33"/>
      <c r="R1119" s="133"/>
      <c r="S1119" s="133"/>
      <c r="T1119" s="133"/>
      <c r="U1119" s="133"/>
      <c r="V1119" s="133"/>
      <c r="W1119" s="133"/>
      <c r="X1119" s="133"/>
      <c r="Y1119" s="133"/>
      <c r="Z1119" s="133"/>
      <c r="AA1119" s="133"/>
      <c r="AB1119" s="133"/>
      <c r="AC1119" s="133"/>
      <c r="AD1119" s="133"/>
      <c r="AE1119" s="133"/>
      <c r="AF1119" s="133"/>
      <c r="AG1119" s="133"/>
      <c r="AH1119" s="133"/>
      <c r="AI1119" s="133"/>
      <c r="AJ1119" s="133"/>
      <c r="AK1119" s="133"/>
      <c r="AL1119" s="133"/>
      <c r="AM1119" s="133"/>
      <c r="AN1119" s="133"/>
      <c r="AO1119" s="133"/>
      <c r="AP1119" s="133"/>
      <c r="AQ1119" s="133"/>
      <c r="AR1119" s="133"/>
      <c r="AS1119" s="133"/>
      <c r="AT1119" s="133"/>
      <c r="AU1119" s="133"/>
      <c r="AV1119" s="116"/>
      <c r="AW1119" s="133"/>
      <c r="AX1119" s="133"/>
    </row>
    <row r="1120" spans="1:51">
      <c r="A1120" s="59" t="s">
        <v>663</v>
      </c>
      <c r="B1120" s="106"/>
      <c r="C1120" s="106"/>
      <c r="D1120" s="106"/>
      <c r="E1120" s="331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33"/>
      <c r="R1120" s="133"/>
      <c r="S1120" s="133"/>
      <c r="T1120" s="133"/>
      <c r="U1120" s="133"/>
      <c r="V1120" s="133"/>
      <c r="W1120" s="133"/>
      <c r="X1120" s="133"/>
      <c r="Y1120" s="133"/>
      <c r="Z1120" s="133"/>
      <c r="AA1120" s="133"/>
      <c r="AB1120" s="133"/>
      <c r="AC1120" s="133"/>
      <c r="AD1120" s="133"/>
      <c r="AE1120" s="133"/>
      <c r="AF1120" s="133"/>
      <c r="AG1120" s="133"/>
      <c r="AH1120" s="133"/>
      <c r="AI1120" s="133"/>
      <c r="AJ1120" s="133"/>
      <c r="AK1120" s="133"/>
      <c r="AL1120" s="133"/>
      <c r="AM1120" s="133"/>
      <c r="AN1120" s="133"/>
      <c r="AO1120" s="133"/>
      <c r="AP1120" s="133"/>
      <c r="AQ1120" s="133"/>
      <c r="AR1120" s="133"/>
      <c r="AS1120" s="133"/>
      <c r="AT1120" s="133"/>
      <c r="AU1120" s="133"/>
      <c r="AV1120" s="116"/>
      <c r="AW1120" s="133"/>
      <c r="AX1120" s="133">
        <f>+AW1120-'ROR-Model'!G1137</f>
        <v>0</v>
      </c>
    </row>
    <row r="1121" spans="1:50">
      <c r="A1121" s="330"/>
      <c r="B1121" s="106" t="s">
        <v>443</v>
      </c>
      <c r="C1121" s="106"/>
      <c r="D1121" s="106"/>
      <c r="E1121" s="331"/>
      <c r="F1121" s="116">
        <f ca="1">F1081+F1092+F1099+F1106+F1113</f>
        <v>-900604.20544007421</v>
      </c>
      <c r="G1121" s="116">
        <f t="shared" ref="G1121:AS1124" si="1263">G1081+G1092+G1099+G1106+G1113</f>
        <v>0</v>
      </c>
      <c r="H1121" s="116">
        <f t="shared" si="1263"/>
        <v>0</v>
      </c>
      <c r="I1121" s="116">
        <f t="shared" si="1263"/>
        <v>0</v>
      </c>
      <c r="J1121" s="116">
        <f t="shared" ca="1" si="1263"/>
        <v>-210453.83884727611</v>
      </c>
      <c r="K1121" s="116">
        <f t="shared" si="1263"/>
        <v>0</v>
      </c>
      <c r="L1121" s="116">
        <f t="shared" si="1263"/>
        <v>0</v>
      </c>
      <c r="M1121" s="116">
        <f t="shared" si="1263"/>
        <v>0</v>
      </c>
      <c r="N1121" s="116">
        <f t="shared" si="1263"/>
        <v>0</v>
      </c>
      <c r="O1121" s="116">
        <f t="shared" si="1263"/>
        <v>0</v>
      </c>
      <c r="P1121" s="116">
        <f t="shared" si="1263"/>
        <v>0</v>
      </c>
      <c r="Q1121" s="116">
        <f t="shared" si="1263"/>
        <v>0</v>
      </c>
      <c r="R1121" s="116">
        <f t="shared" si="1263"/>
        <v>0</v>
      </c>
      <c r="S1121" s="116"/>
      <c r="T1121" s="116">
        <f t="shared" si="1263"/>
        <v>0</v>
      </c>
      <c r="U1121" s="116">
        <f t="shared" si="1263"/>
        <v>0</v>
      </c>
      <c r="V1121" s="116">
        <f t="shared" si="1263"/>
        <v>0</v>
      </c>
      <c r="W1121" s="116">
        <f t="shared" si="1263"/>
        <v>0</v>
      </c>
      <c r="X1121" s="116">
        <f t="shared" si="1263"/>
        <v>0</v>
      </c>
      <c r="Y1121" s="116">
        <f t="shared" si="1263"/>
        <v>0</v>
      </c>
      <c r="Z1121" s="116">
        <f t="shared" si="1263"/>
        <v>0</v>
      </c>
      <c r="AA1121" s="116">
        <f t="shared" si="1263"/>
        <v>0</v>
      </c>
      <c r="AB1121" s="116">
        <f t="shared" si="1263"/>
        <v>0</v>
      </c>
      <c r="AC1121" s="116">
        <f t="shared" si="1263"/>
        <v>0</v>
      </c>
      <c r="AD1121" s="116">
        <f t="shared" si="1263"/>
        <v>0</v>
      </c>
      <c r="AE1121" s="116">
        <f t="shared" si="1263"/>
        <v>0</v>
      </c>
      <c r="AF1121" s="116">
        <f t="shared" si="1263"/>
        <v>0</v>
      </c>
      <c r="AG1121" s="116">
        <f t="shared" si="1263"/>
        <v>0</v>
      </c>
      <c r="AH1121" s="116">
        <f t="shared" si="1263"/>
        <v>0</v>
      </c>
      <c r="AI1121" s="116">
        <f t="shared" si="1263"/>
        <v>0</v>
      </c>
      <c r="AJ1121" s="116">
        <f t="shared" si="1263"/>
        <v>0</v>
      </c>
      <c r="AK1121" s="116">
        <f t="shared" si="1263"/>
        <v>0</v>
      </c>
      <c r="AL1121" s="116">
        <f t="shared" si="1263"/>
        <v>0</v>
      </c>
      <c r="AM1121" s="116">
        <f t="shared" si="1263"/>
        <v>0</v>
      </c>
      <c r="AN1121" s="116">
        <f t="shared" si="1263"/>
        <v>0</v>
      </c>
      <c r="AO1121" s="116">
        <f t="shared" si="1263"/>
        <v>0</v>
      </c>
      <c r="AP1121" s="116">
        <f t="shared" si="1263"/>
        <v>0</v>
      </c>
      <c r="AQ1121" s="116">
        <f t="shared" si="1263"/>
        <v>0</v>
      </c>
      <c r="AR1121" s="116">
        <f t="shared" si="1263"/>
        <v>0</v>
      </c>
      <c r="AS1121" s="116">
        <f t="shared" si="1263"/>
        <v>0</v>
      </c>
      <c r="AT1121" s="116"/>
      <c r="AU1121" s="116">
        <f ca="1">AU1081+AU1092+AU1099+AU1106+AU1113</f>
        <v>-1111058.0442873503</v>
      </c>
      <c r="AV1121" s="116"/>
      <c r="AW1121" s="116">
        <f ca="1">AW1081+AW1092+AW1099+AW1106+AW1113</f>
        <v>-1111058.0442873503</v>
      </c>
      <c r="AX1121" s="133">
        <f ca="1">+AW1121-'ROR-Model'!G1138</f>
        <v>0</v>
      </c>
    </row>
    <row r="1122" spans="1:50">
      <c r="A1122" s="330"/>
      <c r="B1122" s="106" t="s">
        <v>592</v>
      </c>
      <c r="C1122" s="106"/>
      <c r="D1122" s="106"/>
      <c r="E1122" s="331"/>
      <c r="F1122" s="116">
        <f t="shared" ref="F1122:R1124" ca="1" si="1264">F1082+F1093+F1100+F1107+F1114</f>
        <v>8585116.970799204</v>
      </c>
      <c r="G1122" s="116">
        <f t="shared" si="1264"/>
        <v>0</v>
      </c>
      <c r="H1122" s="116">
        <f t="shared" si="1264"/>
        <v>0</v>
      </c>
      <c r="I1122" s="116">
        <f t="shared" si="1264"/>
        <v>0</v>
      </c>
      <c r="J1122" s="116">
        <f t="shared" si="1264"/>
        <v>0</v>
      </c>
      <c r="K1122" s="116">
        <f t="shared" si="1264"/>
        <v>0</v>
      </c>
      <c r="L1122" s="116">
        <f t="shared" si="1264"/>
        <v>0</v>
      </c>
      <c r="M1122" s="116">
        <f t="shared" si="1264"/>
        <v>0</v>
      </c>
      <c r="N1122" s="116">
        <f t="shared" si="1264"/>
        <v>0</v>
      </c>
      <c r="O1122" s="116">
        <f t="shared" si="1264"/>
        <v>0</v>
      </c>
      <c r="P1122" s="116">
        <f t="shared" si="1264"/>
        <v>0</v>
      </c>
      <c r="Q1122" s="116">
        <f t="shared" si="1264"/>
        <v>0</v>
      </c>
      <c r="R1122" s="116">
        <f t="shared" si="1264"/>
        <v>0</v>
      </c>
      <c r="S1122" s="116"/>
      <c r="T1122" s="116">
        <f t="shared" si="1263"/>
        <v>0</v>
      </c>
      <c r="U1122" s="116">
        <f t="shared" si="1263"/>
        <v>0</v>
      </c>
      <c r="V1122" s="116">
        <f t="shared" si="1263"/>
        <v>0</v>
      </c>
      <c r="W1122" s="116">
        <f t="shared" si="1263"/>
        <v>0</v>
      </c>
      <c r="X1122" s="116">
        <f t="shared" si="1263"/>
        <v>0</v>
      </c>
      <c r="Y1122" s="116">
        <f t="shared" si="1263"/>
        <v>0</v>
      </c>
      <c r="Z1122" s="116">
        <f t="shared" si="1263"/>
        <v>0</v>
      </c>
      <c r="AA1122" s="116">
        <f t="shared" si="1263"/>
        <v>0</v>
      </c>
      <c r="AB1122" s="116">
        <f t="shared" si="1263"/>
        <v>0</v>
      </c>
      <c r="AC1122" s="116">
        <f t="shared" si="1263"/>
        <v>0</v>
      </c>
      <c r="AD1122" s="116">
        <f t="shared" si="1263"/>
        <v>0</v>
      </c>
      <c r="AE1122" s="116">
        <f t="shared" si="1263"/>
        <v>0</v>
      </c>
      <c r="AF1122" s="116">
        <f t="shared" si="1263"/>
        <v>0</v>
      </c>
      <c r="AG1122" s="116">
        <f t="shared" si="1263"/>
        <v>0</v>
      </c>
      <c r="AH1122" s="116">
        <f t="shared" si="1263"/>
        <v>0</v>
      </c>
      <c r="AI1122" s="116">
        <f t="shared" si="1263"/>
        <v>0</v>
      </c>
      <c r="AJ1122" s="116">
        <f t="shared" si="1263"/>
        <v>0</v>
      </c>
      <c r="AK1122" s="116">
        <f t="shared" si="1263"/>
        <v>0</v>
      </c>
      <c r="AL1122" s="116">
        <f t="shared" si="1263"/>
        <v>0</v>
      </c>
      <c r="AM1122" s="116">
        <f t="shared" si="1263"/>
        <v>0</v>
      </c>
      <c r="AN1122" s="116">
        <f t="shared" si="1263"/>
        <v>0</v>
      </c>
      <c r="AO1122" s="116">
        <f t="shared" si="1263"/>
        <v>0</v>
      </c>
      <c r="AP1122" s="116">
        <f t="shared" si="1263"/>
        <v>0</v>
      </c>
      <c r="AQ1122" s="116">
        <f t="shared" si="1263"/>
        <v>0</v>
      </c>
      <c r="AR1122" s="116">
        <f t="shared" si="1263"/>
        <v>0</v>
      </c>
      <c r="AS1122" s="116">
        <f t="shared" si="1263"/>
        <v>0</v>
      </c>
      <c r="AT1122" s="116"/>
      <c r="AU1122" s="116">
        <f t="shared" ref="AU1122:AW1122" ca="1" si="1265">AU1082+AU1093+AU1100+AU1107+AU1114</f>
        <v>8585116.970799204</v>
      </c>
      <c r="AV1122" s="116"/>
      <c r="AW1122" s="116">
        <f t="shared" ca="1" si="1265"/>
        <v>8585116.970799204</v>
      </c>
      <c r="AX1122" s="133">
        <f ca="1">+AW1122-'ROR-Model'!G1139</f>
        <v>0</v>
      </c>
    </row>
    <row r="1123" spans="1:50">
      <c r="A1123" s="330"/>
      <c r="B1123" s="106" t="s">
        <v>593</v>
      </c>
      <c r="C1123" s="106"/>
      <c r="D1123" s="106"/>
      <c r="E1123" s="331"/>
      <c r="F1123" s="116">
        <f t="shared" ca="1" si="1264"/>
        <v>261431851.64422098</v>
      </c>
      <c r="G1123" s="116">
        <f t="shared" si="1263"/>
        <v>0</v>
      </c>
      <c r="H1123" s="116">
        <f t="shared" si="1263"/>
        <v>0</v>
      </c>
      <c r="I1123" s="116">
        <f t="shared" si="1263"/>
        <v>0</v>
      </c>
      <c r="J1123" s="116">
        <f t="shared" si="1263"/>
        <v>0</v>
      </c>
      <c r="K1123" s="116">
        <f t="shared" si="1263"/>
        <v>0</v>
      </c>
      <c r="L1123" s="116">
        <f t="shared" si="1263"/>
        <v>0</v>
      </c>
      <c r="M1123" s="116">
        <f t="shared" si="1263"/>
        <v>0</v>
      </c>
      <c r="N1123" s="116">
        <f t="shared" si="1263"/>
        <v>0</v>
      </c>
      <c r="O1123" s="116">
        <f t="shared" si="1263"/>
        <v>0</v>
      </c>
      <c r="P1123" s="116">
        <f t="shared" si="1263"/>
        <v>0</v>
      </c>
      <c r="Q1123" s="116">
        <f t="shared" si="1263"/>
        <v>0</v>
      </c>
      <c r="R1123" s="116">
        <f t="shared" si="1263"/>
        <v>0</v>
      </c>
      <c r="S1123" s="116"/>
      <c r="T1123" s="116">
        <f t="shared" si="1263"/>
        <v>0</v>
      </c>
      <c r="U1123" s="116">
        <f t="shared" si="1263"/>
        <v>0</v>
      </c>
      <c r="V1123" s="116">
        <f t="shared" si="1263"/>
        <v>0</v>
      </c>
      <c r="W1123" s="116">
        <f t="shared" si="1263"/>
        <v>0</v>
      </c>
      <c r="X1123" s="116">
        <f t="shared" si="1263"/>
        <v>0</v>
      </c>
      <c r="Y1123" s="116">
        <f t="shared" si="1263"/>
        <v>0</v>
      </c>
      <c r="Z1123" s="116">
        <f t="shared" si="1263"/>
        <v>0</v>
      </c>
      <c r="AA1123" s="116">
        <f t="shared" si="1263"/>
        <v>0</v>
      </c>
      <c r="AB1123" s="116">
        <f t="shared" si="1263"/>
        <v>0</v>
      </c>
      <c r="AC1123" s="116">
        <f t="shared" si="1263"/>
        <v>0</v>
      </c>
      <c r="AD1123" s="116">
        <f t="shared" si="1263"/>
        <v>0</v>
      </c>
      <c r="AE1123" s="116">
        <f t="shared" si="1263"/>
        <v>0</v>
      </c>
      <c r="AF1123" s="116">
        <f t="shared" si="1263"/>
        <v>0</v>
      </c>
      <c r="AG1123" s="116">
        <f t="shared" si="1263"/>
        <v>0</v>
      </c>
      <c r="AH1123" s="116">
        <f t="shared" si="1263"/>
        <v>0</v>
      </c>
      <c r="AI1123" s="116">
        <f t="shared" si="1263"/>
        <v>0</v>
      </c>
      <c r="AJ1123" s="116">
        <f t="shared" si="1263"/>
        <v>0</v>
      </c>
      <c r="AK1123" s="116">
        <f t="shared" si="1263"/>
        <v>0</v>
      </c>
      <c r="AL1123" s="116">
        <f t="shared" si="1263"/>
        <v>0</v>
      </c>
      <c r="AM1123" s="116">
        <f t="shared" si="1263"/>
        <v>0</v>
      </c>
      <c r="AN1123" s="116">
        <f t="shared" si="1263"/>
        <v>0</v>
      </c>
      <c r="AO1123" s="116">
        <f t="shared" si="1263"/>
        <v>0</v>
      </c>
      <c r="AP1123" s="116">
        <f t="shared" si="1263"/>
        <v>0</v>
      </c>
      <c r="AQ1123" s="116">
        <f t="shared" si="1263"/>
        <v>0</v>
      </c>
      <c r="AR1123" s="116">
        <f t="shared" si="1263"/>
        <v>0</v>
      </c>
      <c r="AS1123" s="116">
        <f t="shared" si="1263"/>
        <v>0</v>
      </c>
      <c r="AT1123" s="116"/>
      <c r="AU1123" s="116">
        <f t="shared" ref="AU1123:AW1123" ca="1" si="1266">AU1083+AU1094+AU1101+AU1108+AU1115</f>
        <v>261431851.64422098</v>
      </c>
      <c r="AV1123" s="116"/>
      <c r="AW1123" s="116">
        <f t="shared" ca="1" si="1266"/>
        <v>261431851.64422098</v>
      </c>
      <c r="AX1123" s="133">
        <f ca="1">+AW1123-'ROR-Model'!G1140</f>
        <v>0</v>
      </c>
    </row>
    <row r="1124" spans="1:50">
      <c r="A1124" s="330"/>
      <c r="B1124" s="106" t="s">
        <v>595</v>
      </c>
      <c r="C1124" s="106"/>
      <c r="D1124" s="106"/>
      <c r="E1124" s="331"/>
      <c r="F1124" s="116">
        <f t="shared" ca="1" si="1264"/>
        <v>25143441.985541351</v>
      </c>
      <c r="G1124" s="116">
        <f t="shared" si="1263"/>
        <v>0</v>
      </c>
      <c r="H1124" s="116">
        <f t="shared" si="1263"/>
        <v>0</v>
      </c>
      <c r="I1124" s="116">
        <f t="shared" si="1263"/>
        <v>0</v>
      </c>
      <c r="J1124" s="116">
        <f t="shared" si="1263"/>
        <v>0</v>
      </c>
      <c r="K1124" s="116">
        <f t="shared" si="1263"/>
        <v>0</v>
      </c>
      <c r="L1124" s="116">
        <f t="shared" si="1263"/>
        <v>0</v>
      </c>
      <c r="M1124" s="116">
        <f t="shared" si="1263"/>
        <v>0</v>
      </c>
      <c r="N1124" s="116">
        <f t="shared" si="1263"/>
        <v>0</v>
      </c>
      <c r="O1124" s="116">
        <f t="shared" si="1263"/>
        <v>0</v>
      </c>
      <c r="P1124" s="116">
        <f t="shared" si="1263"/>
        <v>0</v>
      </c>
      <c r="Q1124" s="116">
        <f t="shared" si="1263"/>
        <v>0</v>
      </c>
      <c r="R1124" s="116">
        <f t="shared" si="1263"/>
        <v>0</v>
      </c>
      <c r="S1124" s="116"/>
      <c r="T1124" s="116">
        <f t="shared" si="1263"/>
        <v>0</v>
      </c>
      <c r="U1124" s="116">
        <f t="shared" si="1263"/>
        <v>0</v>
      </c>
      <c r="V1124" s="116">
        <f t="shared" si="1263"/>
        <v>0</v>
      </c>
      <c r="W1124" s="116">
        <f t="shared" si="1263"/>
        <v>0</v>
      </c>
      <c r="X1124" s="116">
        <f t="shared" si="1263"/>
        <v>0</v>
      </c>
      <c r="Y1124" s="116">
        <f t="shared" si="1263"/>
        <v>0</v>
      </c>
      <c r="Z1124" s="116">
        <f t="shared" si="1263"/>
        <v>0</v>
      </c>
      <c r="AA1124" s="116">
        <f t="shared" si="1263"/>
        <v>0</v>
      </c>
      <c r="AB1124" s="116">
        <f t="shared" si="1263"/>
        <v>0</v>
      </c>
      <c r="AC1124" s="116">
        <f t="shared" si="1263"/>
        <v>0</v>
      </c>
      <c r="AD1124" s="116">
        <f t="shared" si="1263"/>
        <v>0</v>
      </c>
      <c r="AE1124" s="116">
        <f t="shared" si="1263"/>
        <v>0</v>
      </c>
      <c r="AF1124" s="116">
        <f t="shared" si="1263"/>
        <v>0</v>
      </c>
      <c r="AG1124" s="116">
        <f t="shared" si="1263"/>
        <v>0</v>
      </c>
      <c r="AH1124" s="116">
        <f t="shared" si="1263"/>
        <v>0</v>
      </c>
      <c r="AI1124" s="116">
        <f t="shared" si="1263"/>
        <v>0</v>
      </c>
      <c r="AJ1124" s="116">
        <f t="shared" si="1263"/>
        <v>0</v>
      </c>
      <c r="AK1124" s="116">
        <f t="shared" si="1263"/>
        <v>0</v>
      </c>
      <c r="AL1124" s="116">
        <f t="shared" si="1263"/>
        <v>0</v>
      </c>
      <c r="AM1124" s="116">
        <f t="shared" si="1263"/>
        <v>0</v>
      </c>
      <c r="AN1124" s="116">
        <f t="shared" si="1263"/>
        <v>0</v>
      </c>
      <c r="AO1124" s="116">
        <f t="shared" si="1263"/>
        <v>0</v>
      </c>
      <c r="AP1124" s="116">
        <f t="shared" si="1263"/>
        <v>0</v>
      </c>
      <c r="AQ1124" s="116">
        <f t="shared" si="1263"/>
        <v>0</v>
      </c>
      <c r="AR1124" s="116">
        <f t="shared" si="1263"/>
        <v>0</v>
      </c>
      <c r="AS1124" s="116">
        <f t="shared" si="1263"/>
        <v>0</v>
      </c>
      <c r="AT1124" s="116"/>
      <c r="AU1124" s="116">
        <f t="shared" ref="AU1124:AW1124" ca="1" si="1267">AU1084+AU1095+AU1102+AU1109+AU1116</f>
        <v>25143441.985541351</v>
      </c>
      <c r="AV1124" s="116"/>
      <c r="AW1124" s="116">
        <f t="shared" ca="1" si="1267"/>
        <v>25143441.985541351</v>
      </c>
      <c r="AX1124" s="133">
        <f ca="1">+AW1124-'ROR-Model'!G1141</f>
        <v>0</v>
      </c>
    </row>
    <row r="1125" spans="1:50" ht="13.5" thickBot="1">
      <c r="A1125" s="330"/>
      <c r="B1125" s="106"/>
      <c r="C1125" s="106"/>
      <c r="D1125" s="106"/>
      <c r="E1125" s="331"/>
      <c r="F1125" s="235"/>
      <c r="G1125" s="235"/>
      <c r="H1125" s="235"/>
      <c r="I1125" s="235"/>
      <c r="J1125" s="235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42">
        <f>+AW1125-'ROR-Model'!G1142</f>
        <v>0</v>
      </c>
    </row>
    <row r="1126" spans="1:50" ht="13.5" thickTop="1">
      <c r="A1126" s="330"/>
      <c r="B1126" s="106"/>
      <c r="C1126" s="106"/>
      <c r="D1126" s="106"/>
      <c r="E1126" s="331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6"/>
      <c r="AI1126" s="116"/>
      <c r="AJ1126" s="116"/>
      <c r="AK1126" s="116"/>
      <c r="AL1126" s="116"/>
      <c r="AM1126" s="116"/>
      <c r="AN1126" s="116"/>
      <c r="AO1126" s="116"/>
      <c r="AP1126" s="116"/>
      <c r="AQ1126" s="116"/>
      <c r="AR1126" s="116"/>
      <c r="AS1126" s="116"/>
      <c r="AT1126" s="116"/>
      <c r="AU1126" s="116"/>
      <c r="AV1126" s="116"/>
      <c r="AW1126" s="116"/>
      <c r="AX1126" s="133">
        <f>+AW1126-'ROR-Model'!G1143</f>
        <v>0</v>
      </c>
    </row>
    <row r="1127" spans="1:50">
      <c r="A1127" s="330"/>
      <c r="B1127" s="61" t="s">
        <v>663</v>
      </c>
      <c r="C1127" s="106"/>
      <c r="D1127" s="106"/>
      <c r="E1127" s="331"/>
      <c r="F1127" s="116">
        <f ca="1">F1085+F1089+F1096+F1103+F1110+F1117</f>
        <v>294259806.39512146</v>
      </c>
      <c r="G1127" s="116">
        <f t="shared" ref="G1127:AS1127" si="1268">G1085+G1089+G1096+G1103+G1110+G1117</f>
        <v>0</v>
      </c>
      <c r="H1127" s="116">
        <f t="shared" si="1268"/>
        <v>0</v>
      </c>
      <c r="I1127" s="116">
        <f t="shared" si="1268"/>
        <v>0</v>
      </c>
      <c r="J1127" s="116">
        <f t="shared" ca="1" si="1268"/>
        <v>-210453.83884727611</v>
      </c>
      <c r="K1127" s="116">
        <f t="shared" si="1268"/>
        <v>0</v>
      </c>
      <c r="L1127" s="116">
        <f t="shared" si="1268"/>
        <v>0</v>
      </c>
      <c r="M1127" s="116">
        <f t="shared" si="1268"/>
        <v>0</v>
      </c>
      <c r="N1127" s="116">
        <f t="shared" si="1268"/>
        <v>0</v>
      </c>
      <c r="O1127" s="116">
        <f t="shared" si="1268"/>
        <v>0</v>
      </c>
      <c r="P1127" s="116">
        <f t="shared" si="1268"/>
        <v>0</v>
      </c>
      <c r="Q1127" s="116">
        <f t="shared" si="1268"/>
        <v>0</v>
      </c>
      <c r="R1127" s="116">
        <f t="shared" si="1268"/>
        <v>0</v>
      </c>
      <c r="S1127" s="116"/>
      <c r="T1127" s="116">
        <f t="shared" si="1268"/>
        <v>0</v>
      </c>
      <c r="U1127" s="116">
        <f t="shared" si="1268"/>
        <v>0</v>
      </c>
      <c r="V1127" s="116">
        <f t="shared" si="1268"/>
        <v>0</v>
      </c>
      <c r="W1127" s="116">
        <f t="shared" si="1268"/>
        <v>0</v>
      </c>
      <c r="X1127" s="116">
        <f t="shared" si="1268"/>
        <v>0</v>
      </c>
      <c r="Y1127" s="116">
        <f t="shared" si="1268"/>
        <v>0</v>
      </c>
      <c r="Z1127" s="116">
        <f t="shared" si="1268"/>
        <v>0</v>
      </c>
      <c r="AA1127" s="116">
        <f t="shared" si="1268"/>
        <v>0</v>
      </c>
      <c r="AB1127" s="116">
        <f t="shared" si="1268"/>
        <v>0</v>
      </c>
      <c r="AC1127" s="116">
        <f t="shared" si="1268"/>
        <v>0</v>
      </c>
      <c r="AD1127" s="116">
        <f t="shared" si="1268"/>
        <v>0</v>
      </c>
      <c r="AE1127" s="116">
        <f t="shared" si="1268"/>
        <v>0</v>
      </c>
      <c r="AF1127" s="116">
        <f t="shared" si="1268"/>
        <v>0</v>
      </c>
      <c r="AG1127" s="116">
        <f t="shared" si="1268"/>
        <v>0</v>
      </c>
      <c r="AH1127" s="116">
        <f t="shared" si="1268"/>
        <v>0</v>
      </c>
      <c r="AI1127" s="116">
        <f t="shared" si="1268"/>
        <v>0</v>
      </c>
      <c r="AJ1127" s="116">
        <f t="shared" si="1268"/>
        <v>0</v>
      </c>
      <c r="AK1127" s="116">
        <f t="shared" si="1268"/>
        <v>0</v>
      </c>
      <c r="AL1127" s="116">
        <f t="shared" si="1268"/>
        <v>0</v>
      </c>
      <c r="AM1127" s="116">
        <f t="shared" si="1268"/>
        <v>0</v>
      </c>
      <c r="AN1127" s="116">
        <f t="shared" si="1268"/>
        <v>0</v>
      </c>
      <c r="AO1127" s="116">
        <f t="shared" si="1268"/>
        <v>0</v>
      </c>
      <c r="AP1127" s="116">
        <f t="shared" si="1268"/>
        <v>0</v>
      </c>
      <c r="AQ1127" s="116">
        <f t="shared" si="1268"/>
        <v>0</v>
      </c>
      <c r="AR1127" s="116">
        <f t="shared" si="1268"/>
        <v>0</v>
      </c>
      <c r="AS1127" s="116">
        <f t="shared" si="1268"/>
        <v>0</v>
      </c>
      <c r="AT1127" s="116"/>
      <c r="AU1127" s="116">
        <f ca="1">AU1085+AU1089+AU1096+AU1103+AU1110+AU1117</f>
        <v>294049352.55627418</v>
      </c>
      <c r="AV1127" s="116"/>
      <c r="AW1127" s="116">
        <f ca="1">AW1085+AW1089+AW1096+AW1103+AW1110+AW1117</f>
        <v>294049352.55627418</v>
      </c>
      <c r="AX1127" s="133">
        <f ca="1">+AW1127-'ROR-Model'!G1144</f>
        <v>0</v>
      </c>
    </row>
    <row r="1128" spans="1:50">
      <c r="A1128" s="330"/>
      <c r="B1128" s="106"/>
      <c r="C1128" s="106"/>
      <c r="D1128" s="106"/>
      <c r="E1128" s="331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33"/>
      <c r="R1128" s="133"/>
      <c r="S1128" s="133"/>
      <c r="T1128" s="133"/>
      <c r="U1128" s="133"/>
      <c r="V1128" s="133"/>
      <c r="W1128" s="133"/>
      <c r="X1128" s="133"/>
      <c r="Y1128" s="133"/>
      <c r="Z1128" s="133"/>
      <c r="AA1128" s="133"/>
      <c r="AB1128" s="133"/>
      <c r="AC1128" s="133"/>
      <c r="AD1128" s="133"/>
      <c r="AE1128" s="133"/>
      <c r="AF1128" s="133"/>
      <c r="AG1128" s="133"/>
      <c r="AH1128" s="133"/>
      <c r="AI1128" s="133"/>
      <c r="AJ1128" s="133"/>
      <c r="AK1128" s="133"/>
      <c r="AL1128" s="133"/>
      <c r="AM1128" s="133"/>
      <c r="AN1128" s="133"/>
      <c r="AO1128" s="133"/>
      <c r="AP1128" s="133"/>
      <c r="AQ1128" s="133"/>
      <c r="AR1128" s="133"/>
      <c r="AS1128" s="133"/>
      <c r="AT1128" s="133"/>
      <c r="AU1128" s="133"/>
      <c r="AV1128" s="116"/>
      <c r="AW1128" s="133"/>
      <c r="AX1128" s="133">
        <f>+AW1128-'ROR-Model'!G1145</f>
        <v>0</v>
      </c>
    </row>
    <row r="1129" spans="1:50">
      <c r="A1129" s="330"/>
      <c r="B1129" s="106"/>
      <c r="C1129" s="106"/>
      <c r="D1129" s="106"/>
      <c r="E1129" s="331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33"/>
      <c r="R1129" s="133"/>
      <c r="S1129" s="133"/>
      <c r="T1129" s="133"/>
      <c r="U1129" s="133"/>
      <c r="V1129" s="133"/>
      <c r="W1129" s="133"/>
      <c r="X1129" s="133"/>
      <c r="Y1129" s="133"/>
      <c r="Z1129" s="133"/>
      <c r="AA1129" s="133"/>
      <c r="AB1129" s="133"/>
      <c r="AC1129" s="133"/>
      <c r="AD1129" s="133"/>
      <c r="AE1129" s="133"/>
      <c r="AF1129" s="133"/>
      <c r="AG1129" s="133"/>
      <c r="AH1129" s="133"/>
      <c r="AI1129" s="133"/>
      <c r="AJ1129" s="133"/>
      <c r="AK1129" s="133"/>
      <c r="AL1129" s="133"/>
      <c r="AM1129" s="133"/>
      <c r="AN1129" s="133"/>
      <c r="AO1129" s="133"/>
      <c r="AP1129" s="133"/>
      <c r="AQ1129" s="133"/>
      <c r="AR1129" s="133"/>
      <c r="AS1129" s="133"/>
      <c r="AT1129" s="133"/>
      <c r="AU1129" s="133"/>
      <c r="AV1129" s="116"/>
      <c r="AW1129" s="133"/>
      <c r="AX1129" s="133">
        <f>+AW1129-'ROR-Model'!G1146</f>
        <v>0</v>
      </c>
    </row>
    <row r="1130" spans="1:50">
      <c r="A1130" s="59" t="s">
        <v>307</v>
      </c>
      <c r="B1130" s="106"/>
      <c r="C1130" s="106"/>
      <c r="D1130" s="106"/>
      <c r="E1130" s="331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33"/>
      <c r="R1130" s="133"/>
      <c r="S1130" s="133"/>
      <c r="T1130" s="133"/>
      <c r="U1130" s="133"/>
      <c r="V1130" s="133"/>
      <c r="W1130" s="133"/>
      <c r="X1130" s="133"/>
      <c r="Y1130" s="133"/>
      <c r="Z1130" s="133"/>
      <c r="AA1130" s="133"/>
      <c r="AB1130" s="133"/>
      <c r="AC1130" s="133"/>
      <c r="AD1130" s="133"/>
      <c r="AE1130" s="133"/>
      <c r="AF1130" s="133"/>
      <c r="AG1130" s="133"/>
      <c r="AH1130" s="133"/>
      <c r="AI1130" s="133"/>
      <c r="AJ1130" s="133"/>
      <c r="AK1130" s="133"/>
      <c r="AL1130" s="133"/>
      <c r="AM1130" s="133"/>
      <c r="AN1130" s="133"/>
      <c r="AO1130" s="133"/>
      <c r="AP1130" s="133"/>
      <c r="AQ1130" s="133"/>
      <c r="AR1130" s="133"/>
      <c r="AS1130" s="133"/>
      <c r="AT1130" s="133"/>
      <c r="AU1130" s="133"/>
      <c r="AV1130" s="116"/>
      <c r="AW1130" s="133"/>
      <c r="AX1130" s="133">
        <f>+AW1130-'ROR-Model'!G1147</f>
        <v>0</v>
      </c>
    </row>
    <row r="1131" spans="1:50">
      <c r="A1131" s="330"/>
      <c r="B1131" s="106"/>
      <c r="C1131" s="106"/>
      <c r="D1131" s="10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33"/>
      <c r="R1131" s="133"/>
      <c r="S1131" s="133"/>
      <c r="T1131" s="133"/>
      <c r="U1131" s="133"/>
      <c r="V1131" s="133"/>
      <c r="W1131" s="133"/>
      <c r="X1131" s="133"/>
      <c r="Y1131" s="133"/>
      <c r="Z1131" s="133"/>
      <c r="AA1131" s="133"/>
      <c r="AB1131" s="133"/>
      <c r="AC1131" s="133"/>
      <c r="AD1131" s="133"/>
      <c r="AE1131" s="133"/>
      <c r="AF1131" s="133"/>
      <c r="AG1131" s="133"/>
      <c r="AH1131" s="133"/>
      <c r="AI1131" s="133"/>
      <c r="AJ1131" s="133"/>
      <c r="AK1131" s="133"/>
      <c r="AL1131" s="133"/>
      <c r="AM1131" s="133"/>
      <c r="AN1131" s="133"/>
      <c r="AO1131" s="133"/>
      <c r="AP1131" s="133"/>
      <c r="AQ1131" s="133"/>
      <c r="AR1131" s="133"/>
      <c r="AS1131" s="133"/>
      <c r="AT1131" s="133"/>
      <c r="AU1131" s="133"/>
      <c r="AV1131" s="116"/>
      <c r="AW1131" s="133"/>
      <c r="AX1131" s="133">
        <f>+AW1131-'ROR-Model'!G1148</f>
        <v>0</v>
      </c>
    </row>
    <row r="1132" spans="1:50">
      <c r="A1132" s="134">
        <v>154</v>
      </c>
      <c r="B1132" s="106" t="s">
        <v>308</v>
      </c>
      <c r="C1132" s="106"/>
      <c r="D1132" s="10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33"/>
      <c r="R1132" s="133"/>
      <c r="S1132" s="133"/>
      <c r="T1132" s="133"/>
      <c r="U1132" s="133"/>
      <c r="V1132" s="133"/>
      <c r="W1132" s="133"/>
      <c r="X1132" s="133"/>
      <c r="Y1132" s="133"/>
      <c r="Z1132" s="133"/>
      <c r="AA1132" s="133"/>
      <c r="AB1132" s="133"/>
      <c r="AC1132" s="133"/>
      <c r="AD1132" s="133"/>
      <c r="AE1132" s="133"/>
      <c r="AF1132" s="133"/>
      <c r="AG1132" s="133"/>
      <c r="AH1132" s="133"/>
      <c r="AI1132" s="133"/>
      <c r="AJ1132" s="133"/>
      <c r="AK1132" s="133"/>
      <c r="AL1132" s="133"/>
      <c r="AM1132" s="133"/>
      <c r="AN1132" s="133"/>
      <c r="AO1132" s="133"/>
      <c r="AP1132" s="133"/>
      <c r="AQ1132" s="133"/>
      <c r="AR1132" s="133"/>
      <c r="AS1132" s="133"/>
      <c r="AT1132" s="133"/>
      <c r="AU1132" s="133"/>
      <c r="AV1132" s="116"/>
      <c r="AW1132" s="133"/>
      <c r="AX1132" s="133">
        <f>+AW1132-'ROR-Model'!G1149</f>
        <v>0</v>
      </c>
    </row>
    <row r="1133" spans="1:50">
      <c r="A1133" s="134"/>
      <c r="B1133" s="106"/>
      <c r="C1133" s="106" t="s">
        <v>592</v>
      </c>
      <c r="D1133" s="106"/>
      <c r="F1133" s="116">
        <f>'Rate Base'!$AQ$198*F1</f>
        <v>20995.793751930469</v>
      </c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33"/>
      <c r="R1133" s="133"/>
      <c r="S1133" s="133"/>
      <c r="T1133" s="133">
        <f>'Optional Adjustment 2'!G1136*$T$1</f>
        <v>0</v>
      </c>
      <c r="U1133" s="133">
        <f>'Optional Adjustment 3'!G1136*$U$1</f>
        <v>0</v>
      </c>
      <c r="V1133" s="133">
        <f>'Optional Adjustment 4'!G1136*$V$1</f>
        <v>0</v>
      </c>
      <c r="W1133" s="133">
        <f>'Optional Adjustment 5'!G1136*$W$1</f>
        <v>0</v>
      </c>
      <c r="X1133" s="133">
        <f>'Optional Adjustment 6'!G1136*$X$1</f>
        <v>0</v>
      </c>
      <c r="Y1133" s="133">
        <f>'Optional Adjustment 7'!G1136*$Y$1</f>
        <v>0</v>
      </c>
      <c r="Z1133" s="133">
        <f>'Optional Adjustment 8'!G1136*$Z$1</f>
        <v>0</v>
      </c>
      <c r="AA1133" s="133">
        <f>'Optional Adjustment 9'!G1136*$AA$1</f>
        <v>0</v>
      </c>
      <c r="AB1133" s="133">
        <f>'Optional Adjustment 10'!G1136*$AB$1</f>
        <v>0</v>
      </c>
      <c r="AC1133" s="133">
        <f>'Optional Adjustment 11'!G1136*$AC$1</f>
        <v>0</v>
      </c>
      <c r="AD1133" s="133">
        <f>'Optional Adjustment 12'!G1136*$AD$1</f>
        <v>0</v>
      </c>
      <c r="AE1133" s="133">
        <f>'Optional Adjustment 13'!G1136*$AE$1</f>
        <v>0</v>
      </c>
      <c r="AF1133" s="133">
        <f>'Optional Adjustment 14'!G1136*$AF$1</f>
        <v>0</v>
      </c>
      <c r="AG1133" s="133">
        <f>'Optional Adjustment 15'!G1136*$AG$1</f>
        <v>0</v>
      </c>
      <c r="AH1133" s="133">
        <f>'Optional Adjustment 16'!G1136*$AH$1</f>
        <v>0</v>
      </c>
      <c r="AI1133" s="133">
        <f>'Optional Adjustment 17'!G1136*$AI$1</f>
        <v>0</v>
      </c>
      <c r="AJ1133" s="133">
        <f>'Optional Adjustment 18'!G1136*$AJ$1</f>
        <v>0</v>
      </c>
      <c r="AK1133" s="133">
        <f>'Optional Adjustment 19'!G1136*$AK$1</f>
        <v>0</v>
      </c>
      <c r="AL1133" s="133">
        <f>'Optional Adjustment 20'!G1136*$AL$1</f>
        <v>0</v>
      </c>
      <c r="AM1133" s="133">
        <f>'Optional Adjustment 21'!G1136*$AM$1</f>
        <v>0</v>
      </c>
      <c r="AN1133" s="133">
        <f>'Optional Adjustment 22'!G1136*$AN$1</f>
        <v>0</v>
      </c>
      <c r="AO1133" s="133">
        <f>'Optional Adjustment 23'!G1136*$AO$1</f>
        <v>0</v>
      </c>
      <c r="AP1133" s="133">
        <f>'Optional Adjustment 24'!G1136*$AP$1</f>
        <v>0</v>
      </c>
      <c r="AQ1133" s="133">
        <f>'Optional Adjustment 25'!G1136*$AQ$1</f>
        <v>0</v>
      </c>
      <c r="AR1133" s="133">
        <f>'Optional Adjustment 26'!G1136*$AR$1</f>
        <v>0</v>
      </c>
      <c r="AS1133" s="133">
        <f>'Optional Adjustment 27'!G1136*$AS$1</f>
        <v>0</v>
      </c>
      <c r="AT1133" s="133"/>
      <c r="AU1133" s="133">
        <f>SUM(F1133:AT1133)</f>
        <v>20995.793751930469</v>
      </c>
      <c r="AV1133" s="116"/>
      <c r="AW1133" s="133">
        <f>SUM(AU1133:AU1133)</f>
        <v>20995.793751930469</v>
      </c>
      <c r="AX1133" s="133">
        <f>+AW1133-'ROR-Model'!G1150</f>
        <v>0</v>
      </c>
    </row>
    <row r="1134" spans="1:50">
      <c r="A1134" s="134"/>
      <c r="B1134" s="106"/>
      <c r="C1134" s="106" t="s">
        <v>593</v>
      </c>
      <c r="D1134" s="106"/>
      <c r="F1134" s="116">
        <f>'Rate Base'!$AQ$199*F1</f>
        <v>622678.77958139777</v>
      </c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33"/>
      <c r="R1134" s="133"/>
      <c r="S1134" s="133"/>
      <c r="T1134" s="133">
        <f>'Optional Adjustment 2'!G1137*$T$1</f>
        <v>0</v>
      </c>
      <c r="U1134" s="133">
        <f>'Optional Adjustment 3'!G1137*$U$1</f>
        <v>0</v>
      </c>
      <c r="V1134" s="133">
        <f>'Optional Adjustment 4'!G1137*$V$1</f>
        <v>0</v>
      </c>
      <c r="W1134" s="133">
        <f>'Optional Adjustment 5'!G1137*$W$1</f>
        <v>0</v>
      </c>
      <c r="X1134" s="133">
        <f>'Optional Adjustment 6'!G1137*$X$1</f>
        <v>0</v>
      </c>
      <c r="Y1134" s="133">
        <f>'Optional Adjustment 7'!G1137*$Y$1</f>
        <v>0</v>
      </c>
      <c r="Z1134" s="133">
        <f>'Optional Adjustment 8'!G1137*$Z$1</f>
        <v>0</v>
      </c>
      <c r="AA1134" s="133">
        <f>'Optional Adjustment 9'!G1137*$AA$1</f>
        <v>0</v>
      </c>
      <c r="AB1134" s="133">
        <f>'Optional Adjustment 10'!G1137*$AB$1</f>
        <v>0</v>
      </c>
      <c r="AC1134" s="133">
        <f>'Optional Adjustment 11'!G1137*$AC$1</f>
        <v>0</v>
      </c>
      <c r="AD1134" s="133">
        <f>'Optional Adjustment 12'!G1137*$AD$1</f>
        <v>0</v>
      </c>
      <c r="AE1134" s="133">
        <f>'Optional Adjustment 13'!G1137*$AE$1</f>
        <v>0</v>
      </c>
      <c r="AF1134" s="133">
        <f>'Optional Adjustment 14'!G1137*$AF$1</f>
        <v>0</v>
      </c>
      <c r="AG1134" s="133">
        <f>'Optional Adjustment 15'!G1137*$AG$1</f>
        <v>0</v>
      </c>
      <c r="AH1134" s="133">
        <f>'Optional Adjustment 16'!G1137*$AH$1</f>
        <v>0</v>
      </c>
      <c r="AI1134" s="133">
        <f>'Optional Adjustment 17'!G1137*$AI$1</f>
        <v>0</v>
      </c>
      <c r="AJ1134" s="133">
        <f>'Optional Adjustment 18'!G1137*$AJ$1</f>
        <v>0</v>
      </c>
      <c r="AK1134" s="133">
        <f>'Optional Adjustment 19'!G1137*$AK$1</f>
        <v>0</v>
      </c>
      <c r="AL1134" s="133">
        <f>'Optional Adjustment 20'!G1137*$AL$1</f>
        <v>0</v>
      </c>
      <c r="AM1134" s="133">
        <f>'Optional Adjustment 21'!G1137*$AM$1</f>
        <v>0</v>
      </c>
      <c r="AN1134" s="133">
        <f>'Optional Adjustment 22'!G1137*$AN$1</f>
        <v>0</v>
      </c>
      <c r="AO1134" s="133">
        <f>'Optional Adjustment 23'!G1137*$AO$1</f>
        <v>0</v>
      </c>
      <c r="AP1134" s="133">
        <f>'Optional Adjustment 24'!G1137*$AP$1</f>
        <v>0</v>
      </c>
      <c r="AQ1134" s="133">
        <f>'Optional Adjustment 25'!G1137*$AQ$1</f>
        <v>0</v>
      </c>
      <c r="AR1134" s="133">
        <f>'Optional Adjustment 26'!G1137*$AR$1</f>
        <v>0</v>
      </c>
      <c r="AS1134" s="133">
        <f>'Optional Adjustment 27'!G1137*$AS$1</f>
        <v>0</v>
      </c>
      <c r="AT1134" s="133"/>
      <c r="AU1134" s="133">
        <f>SUM(F1134:AT1134)</f>
        <v>622678.77958139777</v>
      </c>
      <c r="AV1134" s="116"/>
      <c r="AW1134" s="133">
        <f>SUM(AU1134:AU1134)</f>
        <v>622678.77958139777</v>
      </c>
      <c r="AX1134" s="133">
        <f>+AW1134-'ROR-Model'!G1151</f>
        <v>0</v>
      </c>
    </row>
    <row r="1135" spans="1:50">
      <c r="A1135" s="134"/>
      <c r="B1135" s="106"/>
      <c r="C1135" s="106" t="s">
        <v>170</v>
      </c>
      <c r="D1135" s="106"/>
      <c r="F1135" s="131">
        <f>SUM(F1133:F1134)</f>
        <v>643674.57333332824</v>
      </c>
      <c r="G1135" s="131">
        <f>G1*SUM(G1133:G1134)</f>
        <v>0</v>
      </c>
      <c r="H1135" s="131">
        <f>H1*SUM(H1133:H1134)</f>
        <v>0</v>
      </c>
      <c r="I1135" s="131">
        <f>SUM(I1133:I1134)</f>
        <v>0</v>
      </c>
      <c r="J1135" s="131">
        <f t="shared" ref="J1135:P1135" si="1269">SUM(J1133:J1134)</f>
        <v>0</v>
      </c>
      <c r="K1135" s="131">
        <f t="shared" si="1269"/>
        <v>0</v>
      </c>
      <c r="L1135" s="131">
        <f t="shared" si="1269"/>
        <v>0</v>
      </c>
      <c r="M1135" s="131">
        <f t="shared" si="1269"/>
        <v>0</v>
      </c>
      <c r="N1135" s="131">
        <f t="shared" si="1269"/>
        <v>0</v>
      </c>
      <c r="O1135" s="131">
        <f t="shared" si="1269"/>
        <v>0</v>
      </c>
      <c r="P1135" s="131">
        <f t="shared" si="1269"/>
        <v>0</v>
      </c>
      <c r="Q1135" s="241">
        <f t="shared" ref="Q1135:W1135" si="1270">SUM(Q1133:Q1134)</f>
        <v>0</v>
      </c>
      <c r="R1135" s="241">
        <f t="shared" si="1270"/>
        <v>0</v>
      </c>
      <c r="S1135" s="556"/>
      <c r="T1135" s="556">
        <f t="shared" si="1270"/>
        <v>0</v>
      </c>
      <c r="U1135" s="556">
        <f t="shared" si="1270"/>
        <v>0</v>
      </c>
      <c r="V1135" s="556">
        <f t="shared" si="1270"/>
        <v>0</v>
      </c>
      <c r="W1135" s="556">
        <f t="shared" si="1270"/>
        <v>0</v>
      </c>
      <c r="X1135" s="556">
        <f t="shared" ref="X1135:AG1135" si="1271">SUM(X1133:X1134)</f>
        <v>0</v>
      </c>
      <c r="Y1135" s="556">
        <f t="shared" si="1271"/>
        <v>0</v>
      </c>
      <c r="Z1135" s="556">
        <f t="shared" si="1271"/>
        <v>0</v>
      </c>
      <c r="AA1135" s="556">
        <f t="shared" si="1271"/>
        <v>0</v>
      </c>
      <c r="AB1135" s="556">
        <f t="shared" si="1271"/>
        <v>0</v>
      </c>
      <c r="AC1135" s="556">
        <f t="shared" si="1271"/>
        <v>0</v>
      </c>
      <c r="AD1135" s="556">
        <f t="shared" si="1271"/>
        <v>0</v>
      </c>
      <c r="AE1135" s="556">
        <f t="shared" si="1271"/>
        <v>0</v>
      </c>
      <c r="AF1135" s="556">
        <f t="shared" si="1271"/>
        <v>0</v>
      </c>
      <c r="AG1135" s="556">
        <f t="shared" si="1271"/>
        <v>0</v>
      </c>
      <c r="AH1135" s="556">
        <f t="shared" ref="AH1135:AK1135" si="1272">SUM(AH1133:AH1134)</f>
        <v>0</v>
      </c>
      <c r="AI1135" s="556">
        <f t="shared" si="1272"/>
        <v>0</v>
      </c>
      <c r="AJ1135" s="556">
        <f t="shared" si="1272"/>
        <v>0</v>
      </c>
      <c r="AK1135" s="556">
        <f t="shared" si="1272"/>
        <v>0</v>
      </c>
      <c r="AL1135" s="556">
        <f t="shared" ref="AL1135:AP1135" si="1273">SUM(AL1133:AL1134)</f>
        <v>0</v>
      </c>
      <c r="AM1135" s="556">
        <f t="shared" si="1273"/>
        <v>0</v>
      </c>
      <c r="AN1135" s="556">
        <f t="shared" si="1273"/>
        <v>0</v>
      </c>
      <c r="AO1135" s="556">
        <f t="shared" si="1273"/>
        <v>0</v>
      </c>
      <c r="AP1135" s="556">
        <f t="shared" si="1273"/>
        <v>0</v>
      </c>
      <c r="AQ1135" s="556">
        <f t="shared" ref="AQ1135:AS1135" si="1274">SUM(AQ1133:AQ1134)</f>
        <v>0</v>
      </c>
      <c r="AR1135" s="556">
        <f t="shared" si="1274"/>
        <v>0</v>
      </c>
      <c r="AS1135" s="556">
        <f t="shared" si="1274"/>
        <v>0</v>
      </c>
      <c r="AT1135" s="556"/>
      <c r="AU1135" s="241">
        <f>SUM(AU1133:AU1134)</f>
        <v>643674.57333332824</v>
      </c>
      <c r="AV1135" s="131"/>
      <c r="AW1135" s="241">
        <f>SUM(AW1133:AW1134)</f>
        <v>643674.57333332824</v>
      </c>
      <c r="AX1135" s="241">
        <f>+AW1135-'ROR-Model'!G1152</f>
        <v>0</v>
      </c>
    </row>
    <row r="1136" spans="1:50">
      <c r="A1136" s="134"/>
      <c r="B1136" s="106"/>
      <c r="C1136" s="106"/>
      <c r="D1136" s="10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33"/>
      <c r="R1136" s="133"/>
      <c r="S1136" s="133"/>
      <c r="T1136" s="133"/>
      <c r="U1136" s="133"/>
      <c r="V1136" s="133"/>
      <c r="W1136" s="133"/>
      <c r="X1136" s="133"/>
      <c r="Y1136" s="133"/>
      <c r="Z1136" s="133"/>
      <c r="AA1136" s="133"/>
      <c r="AB1136" s="133"/>
      <c r="AC1136" s="133"/>
      <c r="AD1136" s="133"/>
      <c r="AE1136" s="133"/>
      <c r="AF1136" s="133"/>
      <c r="AG1136" s="133"/>
      <c r="AH1136" s="133"/>
      <c r="AI1136" s="133"/>
      <c r="AJ1136" s="133"/>
      <c r="AK1136" s="133"/>
      <c r="AL1136" s="133"/>
      <c r="AM1136" s="133"/>
      <c r="AN1136" s="133"/>
      <c r="AO1136" s="133"/>
      <c r="AP1136" s="133"/>
      <c r="AQ1136" s="133"/>
      <c r="AR1136" s="133"/>
      <c r="AS1136" s="133"/>
      <c r="AT1136" s="133"/>
      <c r="AU1136" s="133"/>
      <c r="AV1136" s="116"/>
      <c r="AW1136" s="133"/>
      <c r="AX1136" s="133">
        <f>+AW1136-'ROR-Model'!G1153</f>
        <v>0</v>
      </c>
    </row>
    <row r="1137" spans="1:50">
      <c r="A1137" s="134">
        <v>1641</v>
      </c>
      <c r="B1137" s="106" t="s">
        <v>309</v>
      </c>
      <c r="C1137" s="106"/>
      <c r="D1137" s="10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33"/>
      <c r="R1137" s="133"/>
      <c r="S1137" s="133"/>
      <c r="T1137" s="133"/>
      <c r="U1137" s="133"/>
      <c r="V1137" s="133"/>
      <c r="W1137" s="133"/>
      <c r="X1137" s="133"/>
      <c r="Y1137" s="133"/>
      <c r="Z1137" s="133"/>
      <c r="AA1137" s="133"/>
      <c r="AB1137" s="133"/>
      <c r="AC1137" s="133"/>
      <c r="AD1137" s="133"/>
      <c r="AE1137" s="133"/>
      <c r="AF1137" s="133"/>
      <c r="AG1137" s="133"/>
      <c r="AH1137" s="133"/>
      <c r="AI1137" s="133"/>
      <c r="AJ1137" s="133"/>
      <c r="AK1137" s="133"/>
      <c r="AL1137" s="133"/>
      <c r="AM1137" s="133"/>
      <c r="AN1137" s="133"/>
      <c r="AO1137" s="133"/>
      <c r="AP1137" s="133"/>
      <c r="AQ1137" s="133"/>
      <c r="AR1137" s="133"/>
      <c r="AS1137" s="133"/>
      <c r="AT1137" s="133"/>
      <c r="AU1137" s="133"/>
      <c r="AV1137" s="116"/>
      <c r="AW1137" s="133"/>
      <c r="AX1137" s="133">
        <f>+AW1137-'ROR-Model'!G1154</f>
        <v>0</v>
      </c>
    </row>
    <row r="1138" spans="1:50">
      <c r="A1138" s="134"/>
      <c r="B1138" s="106"/>
      <c r="C1138" s="106" t="s">
        <v>443</v>
      </c>
      <c r="D1138" s="106"/>
      <c r="F1138" s="116">
        <f>'Rate Base'!$AQ$203*F1</f>
        <v>0</v>
      </c>
      <c r="G1138" s="116"/>
      <c r="H1138" s="116"/>
      <c r="I1138" s="116">
        <f>'Und Stor'!D26*Adjustments!I1</f>
        <v>-52891066.75</v>
      </c>
      <c r="J1138" s="116"/>
      <c r="K1138" s="116"/>
      <c r="L1138" s="116"/>
      <c r="M1138" s="116"/>
      <c r="N1138" s="116"/>
      <c r="O1138" s="116"/>
      <c r="P1138" s="116"/>
      <c r="Q1138" s="133"/>
      <c r="R1138" s="133"/>
      <c r="S1138" s="133"/>
      <c r="T1138" s="133">
        <f>'Optional Adjustment 2'!G1141*$T$1</f>
        <v>0</v>
      </c>
      <c r="U1138" s="133">
        <f>'Optional Adjustment 3'!G1141*$U$1</f>
        <v>0</v>
      </c>
      <c r="V1138" s="133">
        <f>'Optional Adjustment 4'!G1141*$V$1</f>
        <v>0</v>
      </c>
      <c r="W1138" s="133">
        <f>'Optional Adjustment 5'!G1141*$W$1</f>
        <v>0</v>
      </c>
      <c r="X1138" s="133">
        <f>'Optional Adjustment 6'!G1141*$X$1</f>
        <v>0</v>
      </c>
      <c r="Y1138" s="133">
        <f>'Optional Adjustment 7'!G1141*$Y$1</f>
        <v>0</v>
      </c>
      <c r="Z1138" s="133">
        <f>'Optional Adjustment 8'!G1141*$Z$1</f>
        <v>0</v>
      </c>
      <c r="AA1138" s="133">
        <f>'Optional Adjustment 9'!G1141*$AA$1</f>
        <v>0</v>
      </c>
      <c r="AB1138" s="133">
        <f>'Optional Adjustment 10'!G1141*$AB$1</f>
        <v>0</v>
      </c>
      <c r="AC1138" s="133">
        <f>'Optional Adjustment 11'!G1141*$AC$1</f>
        <v>0</v>
      </c>
      <c r="AD1138" s="133">
        <f>'Optional Adjustment 12'!G1141*$AD$1</f>
        <v>0</v>
      </c>
      <c r="AE1138" s="133">
        <f>'Optional Adjustment 13'!G1141*$AE$1</f>
        <v>0</v>
      </c>
      <c r="AF1138" s="133">
        <f>'Optional Adjustment 14'!G1141*$AF$1</f>
        <v>0</v>
      </c>
      <c r="AG1138" s="133">
        <f>'Optional Adjustment 15'!G1141*$AG$1</f>
        <v>0</v>
      </c>
      <c r="AH1138" s="133">
        <f>'Optional Adjustment 16'!G1141*$AH$1</f>
        <v>0</v>
      </c>
      <c r="AI1138" s="133">
        <f>'Optional Adjustment 17'!G1141*$AI$1</f>
        <v>0</v>
      </c>
      <c r="AJ1138" s="133">
        <f>'Optional Adjustment 18'!G1141*$AJ$1</f>
        <v>0</v>
      </c>
      <c r="AK1138" s="133">
        <f>'Optional Adjustment 19'!G1141*$AK$1</f>
        <v>0</v>
      </c>
      <c r="AL1138" s="133">
        <f>'Optional Adjustment 20'!G1141*$AL$1</f>
        <v>0</v>
      </c>
      <c r="AM1138" s="133">
        <f>'Optional Adjustment 21'!G1141*$AM$1</f>
        <v>0</v>
      </c>
      <c r="AN1138" s="133">
        <f>'Optional Adjustment 22'!G1141*$AN$1</f>
        <v>0</v>
      </c>
      <c r="AO1138" s="133">
        <f>'Optional Adjustment 23'!G1141*$AO$1</f>
        <v>0</v>
      </c>
      <c r="AP1138" s="133">
        <f>'Optional Adjustment 24'!G1141*$AP$1</f>
        <v>0</v>
      </c>
      <c r="AQ1138" s="133">
        <f>'Optional Adjustment 25'!G1141*$AQ$1</f>
        <v>0</v>
      </c>
      <c r="AR1138" s="133">
        <f>'Optional Adjustment 26'!G1141*$AR$1</f>
        <v>0</v>
      </c>
      <c r="AS1138" s="133">
        <f>'Optional Adjustment 27'!G1141*$AS$1</f>
        <v>0</v>
      </c>
      <c r="AT1138" s="133"/>
      <c r="AU1138" s="133">
        <f>SUM(F1138:AT1138)</f>
        <v>-52891066.75</v>
      </c>
      <c r="AV1138" s="116"/>
      <c r="AW1138" s="133">
        <f>SUM(AU1138:AU1138)</f>
        <v>-52891066.75</v>
      </c>
      <c r="AX1138" s="133">
        <f>+AW1138-'ROR-Model'!G1155</f>
        <v>0</v>
      </c>
    </row>
    <row r="1139" spans="1:50">
      <c r="A1139" s="134"/>
      <c r="B1139" s="106"/>
      <c r="C1139" s="106" t="s">
        <v>170</v>
      </c>
      <c r="D1139" s="106"/>
      <c r="F1139" s="131">
        <f>SUM(F1138)</f>
        <v>0</v>
      </c>
      <c r="G1139" s="131">
        <f>G1*SUM(G1138)</f>
        <v>0</v>
      </c>
      <c r="H1139" s="131">
        <f>H1*SUM(H1138)</f>
        <v>0</v>
      </c>
      <c r="I1139" s="131">
        <f>SUM(I1138)</f>
        <v>-52891066.75</v>
      </c>
      <c r="J1139" s="131">
        <f t="shared" ref="J1139:Q1139" si="1275">SUM(J1138)</f>
        <v>0</v>
      </c>
      <c r="K1139" s="131">
        <f t="shared" si="1275"/>
        <v>0</v>
      </c>
      <c r="L1139" s="131">
        <f t="shared" si="1275"/>
        <v>0</v>
      </c>
      <c r="M1139" s="131">
        <f t="shared" si="1275"/>
        <v>0</v>
      </c>
      <c r="N1139" s="131">
        <f t="shared" si="1275"/>
        <v>0</v>
      </c>
      <c r="O1139" s="131">
        <f t="shared" si="1275"/>
        <v>0</v>
      </c>
      <c r="P1139" s="131">
        <f t="shared" si="1275"/>
        <v>0</v>
      </c>
      <c r="Q1139" s="241">
        <f t="shared" si="1275"/>
        <v>0</v>
      </c>
      <c r="R1139" s="241">
        <f t="shared" ref="R1139" si="1276">SUM(R1138)</f>
        <v>0</v>
      </c>
      <c r="S1139" s="556"/>
      <c r="T1139" s="556">
        <f t="shared" ref="T1139:W1139" si="1277">SUM(T1138)</f>
        <v>0</v>
      </c>
      <c r="U1139" s="556">
        <f t="shared" si="1277"/>
        <v>0</v>
      </c>
      <c r="V1139" s="556">
        <f t="shared" si="1277"/>
        <v>0</v>
      </c>
      <c r="W1139" s="556">
        <f t="shared" si="1277"/>
        <v>0</v>
      </c>
      <c r="X1139" s="556">
        <f t="shared" ref="X1139:AG1139" si="1278">SUM(X1138)</f>
        <v>0</v>
      </c>
      <c r="Y1139" s="556">
        <f t="shared" si="1278"/>
        <v>0</v>
      </c>
      <c r="Z1139" s="556">
        <f t="shared" si="1278"/>
        <v>0</v>
      </c>
      <c r="AA1139" s="556">
        <f t="shared" si="1278"/>
        <v>0</v>
      </c>
      <c r="AB1139" s="556">
        <f t="shared" si="1278"/>
        <v>0</v>
      </c>
      <c r="AC1139" s="556">
        <f t="shared" si="1278"/>
        <v>0</v>
      </c>
      <c r="AD1139" s="556">
        <f t="shared" si="1278"/>
        <v>0</v>
      </c>
      <c r="AE1139" s="556">
        <f t="shared" si="1278"/>
        <v>0</v>
      </c>
      <c r="AF1139" s="556">
        <f t="shared" si="1278"/>
        <v>0</v>
      </c>
      <c r="AG1139" s="556">
        <f t="shared" si="1278"/>
        <v>0</v>
      </c>
      <c r="AH1139" s="556">
        <f t="shared" ref="AH1139:AK1139" si="1279">SUM(AH1138)</f>
        <v>0</v>
      </c>
      <c r="AI1139" s="556">
        <f t="shared" si="1279"/>
        <v>0</v>
      </c>
      <c r="AJ1139" s="556">
        <f t="shared" si="1279"/>
        <v>0</v>
      </c>
      <c r="AK1139" s="556">
        <f t="shared" si="1279"/>
        <v>0</v>
      </c>
      <c r="AL1139" s="556">
        <f t="shared" ref="AL1139:AP1139" si="1280">SUM(AL1138)</f>
        <v>0</v>
      </c>
      <c r="AM1139" s="556">
        <f t="shared" si="1280"/>
        <v>0</v>
      </c>
      <c r="AN1139" s="556">
        <f t="shared" si="1280"/>
        <v>0</v>
      </c>
      <c r="AO1139" s="556">
        <f t="shared" si="1280"/>
        <v>0</v>
      </c>
      <c r="AP1139" s="556">
        <f t="shared" si="1280"/>
        <v>0</v>
      </c>
      <c r="AQ1139" s="556">
        <f t="shared" ref="AQ1139:AS1139" si="1281">SUM(AQ1138)</f>
        <v>0</v>
      </c>
      <c r="AR1139" s="556">
        <f t="shared" si="1281"/>
        <v>0</v>
      </c>
      <c r="AS1139" s="556">
        <f t="shared" si="1281"/>
        <v>0</v>
      </c>
      <c r="AT1139" s="556"/>
      <c r="AU1139" s="241">
        <f>SUM(AU1138)</f>
        <v>-52891066.75</v>
      </c>
      <c r="AV1139" s="131"/>
      <c r="AW1139" s="241">
        <f>SUM(AW1138)</f>
        <v>-52891066.75</v>
      </c>
      <c r="AX1139" s="241">
        <f>+AW1139-'ROR-Model'!G1156</f>
        <v>0</v>
      </c>
    </row>
    <row r="1140" spans="1:50">
      <c r="A1140" s="134"/>
      <c r="B1140" s="106"/>
      <c r="C1140" s="106"/>
      <c r="D1140" s="10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33"/>
      <c r="R1140" s="133"/>
      <c r="S1140" s="133"/>
      <c r="T1140" s="133"/>
      <c r="U1140" s="133"/>
      <c r="V1140" s="133"/>
      <c r="W1140" s="133"/>
      <c r="X1140" s="133"/>
      <c r="Y1140" s="133"/>
      <c r="Z1140" s="133"/>
      <c r="AA1140" s="133"/>
      <c r="AB1140" s="133"/>
      <c r="AC1140" s="133"/>
      <c r="AD1140" s="133"/>
      <c r="AE1140" s="133"/>
      <c r="AF1140" s="133"/>
      <c r="AG1140" s="133"/>
      <c r="AH1140" s="133"/>
      <c r="AI1140" s="133"/>
      <c r="AJ1140" s="133"/>
      <c r="AK1140" s="133"/>
      <c r="AL1140" s="133"/>
      <c r="AM1140" s="133"/>
      <c r="AN1140" s="133"/>
      <c r="AO1140" s="133"/>
      <c r="AP1140" s="133"/>
      <c r="AQ1140" s="133"/>
      <c r="AR1140" s="133"/>
      <c r="AS1140" s="133"/>
      <c r="AT1140" s="133"/>
      <c r="AU1140" s="133"/>
      <c r="AV1140" s="116"/>
      <c r="AW1140" s="133"/>
      <c r="AX1140" s="133">
        <f>+AW1140-'ROR-Model'!G1157</f>
        <v>0</v>
      </c>
    </row>
    <row r="1141" spans="1:50">
      <c r="A1141" s="134">
        <v>165</v>
      </c>
      <c r="B1141" s="106" t="s">
        <v>310</v>
      </c>
      <c r="C1141" s="106"/>
      <c r="D1141" s="10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33"/>
      <c r="R1141" s="133"/>
      <c r="S1141" s="133"/>
      <c r="T1141" s="133"/>
      <c r="U1141" s="133"/>
      <c r="V1141" s="133"/>
      <c r="W1141" s="133"/>
      <c r="X1141" s="133"/>
      <c r="Y1141" s="133"/>
      <c r="Z1141" s="133"/>
      <c r="AA1141" s="133"/>
      <c r="AB1141" s="133"/>
      <c r="AC1141" s="133"/>
      <c r="AD1141" s="133"/>
      <c r="AE1141" s="133"/>
      <c r="AF1141" s="133"/>
      <c r="AG1141" s="133"/>
      <c r="AH1141" s="133"/>
      <c r="AI1141" s="133"/>
      <c r="AJ1141" s="133"/>
      <c r="AK1141" s="133"/>
      <c r="AL1141" s="133"/>
      <c r="AM1141" s="133"/>
      <c r="AN1141" s="133"/>
      <c r="AO1141" s="133"/>
      <c r="AP1141" s="133"/>
      <c r="AQ1141" s="133"/>
      <c r="AR1141" s="133"/>
      <c r="AS1141" s="133"/>
      <c r="AT1141" s="133"/>
      <c r="AU1141" s="133"/>
      <c r="AV1141" s="116"/>
      <c r="AW1141" s="133"/>
      <c r="AX1141" s="133">
        <f>+AW1141-'ROR-Model'!G1158</f>
        <v>0</v>
      </c>
    </row>
    <row r="1142" spans="1:50">
      <c r="A1142" s="134"/>
      <c r="B1142" s="106"/>
      <c r="C1142" s="106" t="s">
        <v>595</v>
      </c>
      <c r="D1142" s="106"/>
      <c r="F1142" s="116">
        <f>'Rate Base'!$AQ$207*F1</f>
        <v>-257724.94083333341</v>
      </c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33"/>
      <c r="R1142" s="133"/>
      <c r="S1142" s="133"/>
      <c r="T1142" s="133">
        <f>'Optional Adjustment 2'!G1145*$T$1</f>
        <v>0</v>
      </c>
      <c r="U1142" s="133">
        <f>'Optional Adjustment 3'!G1145*$U$1</f>
        <v>0</v>
      </c>
      <c r="V1142" s="133">
        <f>'Optional Adjustment 4'!G1145*$V$1</f>
        <v>0</v>
      </c>
      <c r="W1142" s="133">
        <f>'Optional Adjustment 5'!G1145*$W$1</f>
        <v>0</v>
      </c>
      <c r="X1142" s="133">
        <f>'Optional Adjustment 6'!G1145*$X$1</f>
        <v>0</v>
      </c>
      <c r="Y1142" s="133">
        <f>'Optional Adjustment 7'!G1145*$Y$1</f>
        <v>0</v>
      </c>
      <c r="Z1142" s="133">
        <f>'Optional Adjustment 8'!G1145*$Z$1</f>
        <v>0</v>
      </c>
      <c r="AA1142" s="133">
        <f>'Optional Adjustment 9'!G1145*$AA$1</f>
        <v>0</v>
      </c>
      <c r="AB1142" s="133">
        <f>'Optional Adjustment 10'!G1145*$AB$1</f>
        <v>0</v>
      </c>
      <c r="AC1142" s="133">
        <f>'Optional Adjustment 11'!G1145*$AC$1</f>
        <v>0</v>
      </c>
      <c r="AD1142" s="133">
        <f>'Optional Adjustment 12'!G1145*$AD$1</f>
        <v>0</v>
      </c>
      <c r="AE1142" s="133">
        <f>'Optional Adjustment 13'!G1145*$AE$1</f>
        <v>0</v>
      </c>
      <c r="AF1142" s="133">
        <f>'Optional Adjustment 14'!G1145*$AF$1</f>
        <v>0</v>
      </c>
      <c r="AG1142" s="133">
        <f>'Optional Adjustment 15'!G1145*$AG$1</f>
        <v>0</v>
      </c>
      <c r="AH1142" s="133">
        <f>'Optional Adjustment 16'!G1145*$AH$1</f>
        <v>0</v>
      </c>
      <c r="AI1142" s="133">
        <f>'Optional Adjustment 17'!G1145*$AI$1</f>
        <v>0</v>
      </c>
      <c r="AJ1142" s="133">
        <f>'Optional Adjustment 18'!G1145*$AJ$1</f>
        <v>0</v>
      </c>
      <c r="AK1142" s="133">
        <f>'Optional Adjustment 19'!G1145*$AK$1</f>
        <v>0</v>
      </c>
      <c r="AL1142" s="133">
        <f>'Optional Adjustment 20'!G1145*$AL$1</f>
        <v>0</v>
      </c>
      <c r="AM1142" s="133">
        <f>'Optional Adjustment 21'!G1145*$AM$1</f>
        <v>0</v>
      </c>
      <c r="AN1142" s="133">
        <f>'Optional Adjustment 22'!G1145*$AN$1</f>
        <v>0</v>
      </c>
      <c r="AO1142" s="133">
        <f>'Optional Adjustment 23'!G1145*$AO$1</f>
        <v>0</v>
      </c>
      <c r="AP1142" s="133">
        <f>'Optional Adjustment 24'!G1145*$AP$1</f>
        <v>0</v>
      </c>
      <c r="AQ1142" s="133">
        <f>'Optional Adjustment 25'!G1145*$AQ$1</f>
        <v>0</v>
      </c>
      <c r="AR1142" s="133">
        <f>'Optional Adjustment 26'!G1145*$AR$1</f>
        <v>0</v>
      </c>
      <c r="AS1142" s="133">
        <f>'Optional Adjustment 27'!G1145*$AS$1</f>
        <v>0</v>
      </c>
      <c r="AT1142" s="133"/>
      <c r="AU1142" s="133">
        <f>SUM(F1142:AT1142)</f>
        <v>-257724.94083333341</v>
      </c>
      <c r="AV1142" s="116"/>
      <c r="AW1142" s="133">
        <f>SUM(AU1142:AU1142)</f>
        <v>-257724.94083333341</v>
      </c>
      <c r="AX1142" s="133">
        <f>+AW1142-'ROR-Model'!G1159</f>
        <v>0</v>
      </c>
    </row>
    <row r="1143" spans="1:50">
      <c r="A1143" s="134"/>
      <c r="B1143" s="106"/>
      <c r="C1143" s="106" t="s">
        <v>170</v>
      </c>
      <c r="D1143" s="106"/>
      <c r="F1143" s="131">
        <f>SUM(F1142)</f>
        <v>-257724.94083333341</v>
      </c>
      <c r="G1143" s="131">
        <f>G1*SUM(G1142)</f>
        <v>0</v>
      </c>
      <c r="H1143" s="131">
        <f>H1*SUM(H1142)</f>
        <v>0</v>
      </c>
      <c r="I1143" s="131">
        <f>SUM(I1142)</f>
        <v>0</v>
      </c>
      <c r="J1143" s="131">
        <f t="shared" ref="J1143:Q1143" si="1282">SUM(J1142)</f>
        <v>0</v>
      </c>
      <c r="K1143" s="131">
        <f t="shared" si="1282"/>
        <v>0</v>
      </c>
      <c r="L1143" s="131">
        <f t="shared" si="1282"/>
        <v>0</v>
      </c>
      <c r="M1143" s="131">
        <f t="shared" si="1282"/>
        <v>0</v>
      </c>
      <c r="N1143" s="131">
        <f t="shared" si="1282"/>
        <v>0</v>
      </c>
      <c r="O1143" s="131">
        <f t="shared" si="1282"/>
        <v>0</v>
      </c>
      <c r="P1143" s="131">
        <f t="shared" si="1282"/>
        <v>0</v>
      </c>
      <c r="Q1143" s="241">
        <f t="shared" si="1282"/>
        <v>0</v>
      </c>
      <c r="R1143" s="241">
        <f t="shared" ref="R1143" si="1283">SUM(R1142)</f>
        <v>0</v>
      </c>
      <c r="S1143" s="556"/>
      <c r="T1143" s="556">
        <f t="shared" ref="T1143:W1143" si="1284">SUM(T1142)</f>
        <v>0</v>
      </c>
      <c r="U1143" s="556">
        <f t="shared" si="1284"/>
        <v>0</v>
      </c>
      <c r="V1143" s="556">
        <f t="shared" si="1284"/>
        <v>0</v>
      </c>
      <c r="W1143" s="556">
        <f t="shared" si="1284"/>
        <v>0</v>
      </c>
      <c r="X1143" s="556">
        <f t="shared" ref="X1143:AG1143" si="1285">SUM(X1142)</f>
        <v>0</v>
      </c>
      <c r="Y1143" s="556">
        <f t="shared" si="1285"/>
        <v>0</v>
      </c>
      <c r="Z1143" s="556">
        <f t="shared" si="1285"/>
        <v>0</v>
      </c>
      <c r="AA1143" s="556">
        <f t="shared" si="1285"/>
        <v>0</v>
      </c>
      <c r="AB1143" s="556">
        <f t="shared" si="1285"/>
        <v>0</v>
      </c>
      <c r="AC1143" s="556">
        <f t="shared" si="1285"/>
        <v>0</v>
      </c>
      <c r="AD1143" s="556">
        <f t="shared" si="1285"/>
        <v>0</v>
      </c>
      <c r="AE1143" s="556">
        <f t="shared" si="1285"/>
        <v>0</v>
      </c>
      <c r="AF1143" s="556">
        <f t="shared" si="1285"/>
        <v>0</v>
      </c>
      <c r="AG1143" s="556">
        <f t="shared" si="1285"/>
        <v>0</v>
      </c>
      <c r="AH1143" s="556">
        <f t="shared" ref="AH1143:AK1143" si="1286">SUM(AH1142)</f>
        <v>0</v>
      </c>
      <c r="AI1143" s="556">
        <f t="shared" si="1286"/>
        <v>0</v>
      </c>
      <c r="AJ1143" s="556">
        <f t="shared" si="1286"/>
        <v>0</v>
      </c>
      <c r="AK1143" s="556">
        <f t="shared" si="1286"/>
        <v>0</v>
      </c>
      <c r="AL1143" s="556">
        <f t="shared" ref="AL1143:AP1143" si="1287">SUM(AL1142)</f>
        <v>0</v>
      </c>
      <c r="AM1143" s="556">
        <f t="shared" si="1287"/>
        <v>0</v>
      </c>
      <c r="AN1143" s="556">
        <f t="shared" si="1287"/>
        <v>0</v>
      </c>
      <c r="AO1143" s="556">
        <f t="shared" si="1287"/>
        <v>0</v>
      </c>
      <c r="AP1143" s="556">
        <f t="shared" si="1287"/>
        <v>0</v>
      </c>
      <c r="AQ1143" s="556">
        <f t="shared" ref="AQ1143:AS1143" si="1288">SUM(AQ1142)</f>
        <v>0</v>
      </c>
      <c r="AR1143" s="556">
        <f t="shared" si="1288"/>
        <v>0</v>
      </c>
      <c r="AS1143" s="556">
        <f t="shared" si="1288"/>
        <v>0</v>
      </c>
      <c r="AT1143" s="556"/>
      <c r="AU1143" s="241">
        <f>SUM(AU1142)</f>
        <v>-257724.94083333341</v>
      </c>
      <c r="AV1143" s="131"/>
      <c r="AW1143" s="241">
        <f>SUM(AW1142)</f>
        <v>-257724.94083333341</v>
      </c>
      <c r="AX1143" s="241">
        <f>+AW1143-'ROR-Model'!G1160</f>
        <v>0</v>
      </c>
    </row>
    <row r="1144" spans="1:50">
      <c r="A1144" s="134"/>
      <c r="B1144" s="106"/>
      <c r="C1144" s="106"/>
      <c r="D1144" s="10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33"/>
      <c r="R1144" s="133"/>
      <c r="S1144" s="133"/>
      <c r="T1144" s="133"/>
      <c r="U1144" s="133"/>
      <c r="V1144" s="133"/>
      <c r="W1144" s="133"/>
      <c r="X1144" s="133"/>
      <c r="Y1144" s="133"/>
      <c r="Z1144" s="133"/>
      <c r="AA1144" s="133"/>
      <c r="AB1144" s="133"/>
      <c r="AC1144" s="133"/>
      <c r="AD1144" s="133"/>
      <c r="AE1144" s="133"/>
      <c r="AF1144" s="133"/>
      <c r="AG1144" s="133"/>
      <c r="AH1144" s="133"/>
      <c r="AI1144" s="133"/>
      <c r="AJ1144" s="133"/>
      <c r="AK1144" s="133"/>
      <c r="AL1144" s="133"/>
      <c r="AM1144" s="133"/>
      <c r="AN1144" s="133"/>
      <c r="AO1144" s="133"/>
      <c r="AP1144" s="133"/>
      <c r="AQ1144" s="133"/>
      <c r="AR1144" s="133"/>
      <c r="AS1144" s="133"/>
      <c r="AT1144" s="133"/>
      <c r="AU1144" s="133"/>
      <c r="AV1144" s="116"/>
      <c r="AW1144" s="133"/>
      <c r="AX1144" s="133">
        <f>+AW1144-'ROR-Model'!G1161</f>
        <v>0</v>
      </c>
    </row>
    <row r="1145" spans="1:50">
      <c r="A1145" s="238" t="s">
        <v>303</v>
      </c>
      <c r="B1145" s="119" t="s">
        <v>305</v>
      </c>
      <c r="C1145" s="102"/>
      <c r="D1145" s="102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33"/>
      <c r="R1145" s="133"/>
      <c r="S1145" s="133"/>
      <c r="T1145" s="133"/>
      <c r="U1145" s="133"/>
      <c r="V1145" s="133"/>
      <c r="W1145" s="133"/>
      <c r="X1145" s="133"/>
      <c r="Y1145" s="133"/>
      <c r="Z1145" s="133"/>
      <c r="AA1145" s="133"/>
      <c r="AB1145" s="133"/>
      <c r="AC1145" s="133"/>
      <c r="AD1145" s="133"/>
      <c r="AE1145" s="133"/>
      <c r="AF1145" s="133"/>
      <c r="AG1145" s="133"/>
      <c r="AH1145" s="133"/>
      <c r="AI1145" s="133"/>
      <c r="AJ1145" s="133"/>
      <c r="AK1145" s="133"/>
      <c r="AL1145" s="133"/>
      <c r="AM1145" s="133"/>
      <c r="AN1145" s="133"/>
      <c r="AO1145" s="133"/>
      <c r="AP1145" s="133"/>
      <c r="AQ1145" s="133"/>
      <c r="AR1145" s="133"/>
      <c r="AS1145" s="133"/>
      <c r="AT1145" s="133"/>
      <c r="AU1145" s="133"/>
      <c r="AV1145" s="116"/>
      <c r="AW1145" s="133"/>
      <c r="AX1145" s="133">
        <f>+AW1145-'ROR-Model'!G1162</f>
        <v>0</v>
      </c>
    </row>
    <row r="1146" spans="1:50">
      <c r="A1146" s="136"/>
      <c r="B1146" s="102"/>
      <c r="C1146" s="102" t="s">
        <v>443</v>
      </c>
      <c r="D1146" s="102"/>
      <c r="F1146" s="116">
        <f>'Rate Base'!$AQ$211*$F$1</f>
        <v>0</v>
      </c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33"/>
      <c r="R1146" s="133"/>
      <c r="S1146" s="133"/>
      <c r="T1146" s="133">
        <f>'Optional Adjustment 2'!G1149*$T$1</f>
        <v>0</v>
      </c>
      <c r="U1146" s="133">
        <f>'Optional Adjustment 3'!G1149*$U$1</f>
        <v>0</v>
      </c>
      <c r="V1146" s="133">
        <f>'Optional Adjustment 4'!G1149*$V$1</f>
        <v>0</v>
      </c>
      <c r="W1146" s="133">
        <f>'Optional Adjustment 5'!G1149*$W$1</f>
        <v>0</v>
      </c>
      <c r="X1146" s="133">
        <f>'Optional Adjustment 6'!G1149*$X$1</f>
        <v>0</v>
      </c>
      <c r="Y1146" s="133">
        <f>'Optional Adjustment 7'!G1149*$Y$1</f>
        <v>0</v>
      </c>
      <c r="Z1146" s="133">
        <f>'Optional Adjustment 8'!G1149*$Z$1</f>
        <v>0</v>
      </c>
      <c r="AA1146" s="133">
        <f>'Optional Adjustment 9'!G1149*$AA$1</f>
        <v>0</v>
      </c>
      <c r="AB1146" s="133">
        <f>'Optional Adjustment 10'!G1149*$AB$1</f>
        <v>0</v>
      </c>
      <c r="AC1146" s="133">
        <f>'Optional Adjustment 11'!G1149*$AC$1</f>
        <v>0</v>
      </c>
      <c r="AD1146" s="133">
        <f>'Optional Adjustment 12'!G1149*$AD$1</f>
        <v>0</v>
      </c>
      <c r="AE1146" s="133">
        <f>'Optional Adjustment 13'!G1149*$AE$1</f>
        <v>0</v>
      </c>
      <c r="AF1146" s="133">
        <f>'Optional Adjustment 14'!G1149*$AF$1</f>
        <v>0</v>
      </c>
      <c r="AG1146" s="133">
        <f>'Optional Adjustment 15'!G1149*$AG$1</f>
        <v>0</v>
      </c>
      <c r="AH1146" s="133">
        <f>'Optional Adjustment 16'!G1149*$AH$1</f>
        <v>0</v>
      </c>
      <c r="AI1146" s="133">
        <f>'Optional Adjustment 17'!G1149*$AI$1</f>
        <v>0</v>
      </c>
      <c r="AJ1146" s="133">
        <f>'Optional Adjustment 18'!G1149*$AJ$1</f>
        <v>0</v>
      </c>
      <c r="AK1146" s="133">
        <f>'Optional Adjustment 19'!G1149*$AK$1</f>
        <v>0</v>
      </c>
      <c r="AL1146" s="133">
        <f>'Optional Adjustment 20'!G1149*$AL$1</f>
        <v>0</v>
      </c>
      <c r="AM1146" s="133">
        <f>'Optional Adjustment 21'!G1149*$AM$1</f>
        <v>0</v>
      </c>
      <c r="AN1146" s="133">
        <f>'Optional Adjustment 22'!G1149*$AN$1</f>
        <v>0</v>
      </c>
      <c r="AO1146" s="133">
        <f>'Optional Adjustment 23'!G1149*$AO$1</f>
        <v>0</v>
      </c>
      <c r="AP1146" s="133">
        <f>'Optional Adjustment 24'!G1149*$AP$1</f>
        <v>0</v>
      </c>
      <c r="AQ1146" s="133">
        <f>'Optional Adjustment 25'!G1149*$AQ$1</f>
        <v>0</v>
      </c>
      <c r="AR1146" s="133">
        <f>'Optional Adjustment 26'!G1149*$AR$1</f>
        <v>0</v>
      </c>
      <c r="AS1146" s="133">
        <f>'Optional Adjustment 27'!G1149*$AS$1</f>
        <v>0</v>
      </c>
      <c r="AT1146" s="133"/>
      <c r="AU1146" s="133">
        <f>SUM(F1146:AT1146)</f>
        <v>0</v>
      </c>
      <c r="AV1146" s="116"/>
      <c r="AW1146" s="133">
        <f>SUM(AU1146:AU1146)</f>
        <v>0</v>
      </c>
      <c r="AX1146" s="133">
        <f>+AW1146-'ROR-Model'!G1163</f>
        <v>0</v>
      </c>
    </row>
    <row r="1147" spans="1:50">
      <c r="A1147" s="136"/>
      <c r="B1147" s="102"/>
      <c r="C1147" s="102" t="s">
        <v>592</v>
      </c>
      <c r="D1147" s="102"/>
      <c r="F1147" s="116">
        <f>'Rate Base'!$AQ$212*$F$1</f>
        <v>-1832178.8287000023</v>
      </c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33"/>
      <c r="R1147" s="133"/>
      <c r="S1147" s="133"/>
      <c r="T1147" s="133">
        <f>'Optional Adjustment 2'!G1150*$T$1</f>
        <v>0</v>
      </c>
      <c r="U1147" s="133">
        <f>'Optional Adjustment 3'!G1150*$U$1</f>
        <v>0</v>
      </c>
      <c r="V1147" s="133">
        <f>'Optional Adjustment 4'!G1150*$V$1</f>
        <v>0</v>
      </c>
      <c r="W1147" s="133">
        <f>'Optional Adjustment 5'!G1150*$W$1</f>
        <v>0</v>
      </c>
      <c r="X1147" s="133">
        <f>'Optional Adjustment 6'!G1150*$X$1</f>
        <v>0</v>
      </c>
      <c r="Y1147" s="133">
        <f>'Optional Adjustment 7'!G1150*$Y$1</f>
        <v>0</v>
      </c>
      <c r="Z1147" s="133">
        <f>'Optional Adjustment 8'!G1150*$Z$1</f>
        <v>0</v>
      </c>
      <c r="AA1147" s="133">
        <f>'Optional Adjustment 9'!G1150*$AA$1</f>
        <v>0</v>
      </c>
      <c r="AB1147" s="133">
        <f>'Optional Adjustment 10'!G1150*$AB$1</f>
        <v>0</v>
      </c>
      <c r="AC1147" s="133">
        <f>'Optional Adjustment 11'!G1150*$AC$1</f>
        <v>0</v>
      </c>
      <c r="AD1147" s="133">
        <f>'Optional Adjustment 12'!G1150*$AD$1</f>
        <v>0</v>
      </c>
      <c r="AE1147" s="133">
        <f>'Optional Adjustment 13'!G1150*$AE$1</f>
        <v>0</v>
      </c>
      <c r="AF1147" s="133">
        <f>'Optional Adjustment 14'!G1150*$AF$1</f>
        <v>0</v>
      </c>
      <c r="AG1147" s="133">
        <f>'Optional Adjustment 15'!G1150*$AG$1</f>
        <v>0</v>
      </c>
      <c r="AH1147" s="133">
        <f>'Optional Adjustment 16'!G1150*$AH$1</f>
        <v>0</v>
      </c>
      <c r="AI1147" s="133">
        <f>'Optional Adjustment 17'!G1150*$AI$1</f>
        <v>0</v>
      </c>
      <c r="AJ1147" s="133">
        <f>'Optional Adjustment 18'!G1150*$AJ$1</f>
        <v>0</v>
      </c>
      <c r="AK1147" s="133">
        <f>'Optional Adjustment 19'!G1150*$AK$1</f>
        <v>0</v>
      </c>
      <c r="AL1147" s="133">
        <f>'Optional Adjustment 20'!G1150*$AL$1</f>
        <v>0</v>
      </c>
      <c r="AM1147" s="133">
        <f>'Optional Adjustment 21'!G1150*$AM$1</f>
        <v>0</v>
      </c>
      <c r="AN1147" s="133">
        <f>'Optional Adjustment 22'!G1150*$AN$1</f>
        <v>0</v>
      </c>
      <c r="AO1147" s="133">
        <f>'Optional Adjustment 23'!G1150*$AO$1</f>
        <v>0</v>
      </c>
      <c r="AP1147" s="133">
        <f>'Optional Adjustment 24'!G1150*$AP$1</f>
        <v>0</v>
      </c>
      <c r="AQ1147" s="133">
        <f>'Optional Adjustment 25'!G1150*$AQ$1</f>
        <v>0</v>
      </c>
      <c r="AR1147" s="133">
        <f>'Optional Adjustment 26'!G1150*$AR$1</f>
        <v>0</v>
      </c>
      <c r="AS1147" s="133">
        <f>'Optional Adjustment 27'!G1150*$AS$1</f>
        <v>0</v>
      </c>
      <c r="AT1147" s="133"/>
      <c r="AU1147" s="133">
        <f>SUM(F1147:AT1147)</f>
        <v>-1832178.8287000023</v>
      </c>
      <c r="AV1147" s="116"/>
      <c r="AW1147" s="133">
        <f>SUM(AU1147:AU1147)</f>
        <v>-1832178.8287000023</v>
      </c>
      <c r="AX1147" s="133">
        <f>+AW1147-'ROR-Model'!G1164</f>
        <v>0</v>
      </c>
    </row>
    <row r="1148" spans="1:50">
      <c r="A1148" s="136"/>
      <c r="B1148" s="102"/>
      <c r="C1148" s="102" t="s">
        <v>593</v>
      </c>
      <c r="D1148" s="102"/>
      <c r="F1148" s="116">
        <f>'Rate Base'!$AQ$213*$F$1</f>
        <v>-55602894.171299994</v>
      </c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33"/>
      <c r="R1148" s="133"/>
      <c r="S1148" s="133"/>
      <c r="T1148" s="133">
        <f>'Optional Adjustment 2'!G1151*$T$1</f>
        <v>0</v>
      </c>
      <c r="U1148" s="133">
        <f>'Optional Adjustment 3'!G1151*$U$1</f>
        <v>0</v>
      </c>
      <c r="V1148" s="133">
        <f>'Optional Adjustment 4'!G1151*$V$1</f>
        <v>0</v>
      </c>
      <c r="W1148" s="133">
        <f>'Optional Adjustment 5'!G1151*$W$1</f>
        <v>0</v>
      </c>
      <c r="X1148" s="133">
        <f>'Optional Adjustment 6'!G1151*$X$1</f>
        <v>0</v>
      </c>
      <c r="Y1148" s="133">
        <f>'Optional Adjustment 7'!G1151*$Y$1</f>
        <v>0</v>
      </c>
      <c r="Z1148" s="133">
        <f>'Optional Adjustment 8'!G1151*$Z$1</f>
        <v>0</v>
      </c>
      <c r="AA1148" s="133">
        <f>'Optional Adjustment 9'!G1151*$AA$1</f>
        <v>0</v>
      </c>
      <c r="AB1148" s="133">
        <f>'Optional Adjustment 10'!G1151*$AB$1</f>
        <v>0</v>
      </c>
      <c r="AC1148" s="133">
        <f>'Optional Adjustment 11'!G1151*$AC$1</f>
        <v>0</v>
      </c>
      <c r="AD1148" s="133">
        <f>'Optional Adjustment 12'!G1151*$AD$1</f>
        <v>0</v>
      </c>
      <c r="AE1148" s="133">
        <f>'Optional Adjustment 13'!G1151*$AE$1</f>
        <v>0</v>
      </c>
      <c r="AF1148" s="133">
        <f>'Optional Adjustment 14'!G1151*$AF$1</f>
        <v>0</v>
      </c>
      <c r="AG1148" s="133">
        <f>'Optional Adjustment 15'!G1151*$AG$1</f>
        <v>0</v>
      </c>
      <c r="AH1148" s="133">
        <f>'Optional Adjustment 16'!G1151*$AH$1</f>
        <v>0</v>
      </c>
      <c r="AI1148" s="133">
        <f>'Optional Adjustment 17'!G1151*$AI$1</f>
        <v>0</v>
      </c>
      <c r="AJ1148" s="133">
        <f>'Optional Adjustment 18'!G1151*$AJ$1</f>
        <v>0</v>
      </c>
      <c r="AK1148" s="133">
        <f>'Optional Adjustment 19'!G1151*$AK$1</f>
        <v>0</v>
      </c>
      <c r="AL1148" s="133">
        <f>'Optional Adjustment 20'!G1151*$AL$1</f>
        <v>0</v>
      </c>
      <c r="AM1148" s="133">
        <f>'Optional Adjustment 21'!G1151*$AM$1</f>
        <v>0</v>
      </c>
      <c r="AN1148" s="133">
        <f>'Optional Adjustment 22'!G1151*$AN$1</f>
        <v>0</v>
      </c>
      <c r="AO1148" s="133">
        <f>'Optional Adjustment 23'!G1151*$AO$1</f>
        <v>0</v>
      </c>
      <c r="AP1148" s="133">
        <f>'Optional Adjustment 24'!G1151*$AP$1</f>
        <v>0</v>
      </c>
      <c r="AQ1148" s="133">
        <f>'Optional Adjustment 25'!G1151*$AQ$1</f>
        <v>0</v>
      </c>
      <c r="AR1148" s="133">
        <f>'Optional Adjustment 26'!G1151*$AR$1</f>
        <v>0</v>
      </c>
      <c r="AS1148" s="133">
        <f>'Optional Adjustment 27'!G1151*$AS$1</f>
        <v>0</v>
      </c>
      <c r="AT1148" s="133"/>
      <c r="AU1148" s="133">
        <f>SUM(F1148:AT1148)</f>
        <v>-55602894.171299994</v>
      </c>
      <c r="AV1148" s="116"/>
      <c r="AW1148" s="133">
        <f>SUM(AU1148:AU1148)</f>
        <v>-55602894.171299994</v>
      </c>
      <c r="AX1148" s="133">
        <f>+AW1148-'ROR-Model'!G1165</f>
        <v>0</v>
      </c>
    </row>
    <row r="1149" spans="1:50">
      <c r="A1149" s="136"/>
      <c r="B1149" s="102"/>
      <c r="C1149" s="102" t="s">
        <v>595</v>
      </c>
      <c r="D1149" s="102"/>
      <c r="F1149" s="116">
        <f>'Rate Base'!$AQ$214*$F$1</f>
        <v>0</v>
      </c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33"/>
      <c r="R1149" s="133"/>
      <c r="S1149" s="133"/>
      <c r="T1149" s="133">
        <f>'Optional Adjustment 2'!G1152*$T$1</f>
        <v>0</v>
      </c>
      <c r="U1149" s="133">
        <f>'Optional Adjustment 3'!G1152*$U$1</f>
        <v>0</v>
      </c>
      <c r="V1149" s="133">
        <f>'Optional Adjustment 4'!G1152*$V$1</f>
        <v>0</v>
      </c>
      <c r="W1149" s="133">
        <f>'Optional Adjustment 5'!G1152*$W$1</f>
        <v>0</v>
      </c>
      <c r="X1149" s="133">
        <f>'Optional Adjustment 6'!G1152*$X$1</f>
        <v>0</v>
      </c>
      <c r="Y1149" s="133">
        <f>'Optional Adjustment 7'!G1152*$Y$1</f>
        <v>0</v>
      </c>
      <c r="Z1149" s="133">
        <f>'Optional Adjustment 8'!G1152*$Z$1</f>
        <v>0</v>
      </c>
      <c r="AA1149" s="133">
        <f>'Optional Adjustment 9'!G1152*$AA$1</f>
        <v>0</v>
      </c>
      <c r="AB1149" s="133">
        <f>'Optional Adjustment 10'!G1152*$AB$1</f>
        <v>0</v>
      </c>
      <c r="AC1149" s="133">
        <f>'Optional Adjustment 11'!G1152*$AC$1</f>
        <v>0</v>
      </c>
      <c r="AD1149" s="133">
        <f>'Optional Adjustment 12'!G1152*$AD$1</f>
        <v>0</v>
      </c>
      <c r="AE1149" s="133">
        <f>'Optional Adjustment 13'!G1152*$AE$1</f>
        <v>0</v>
      </c>
      <c r="AF1149" s="133">
        <f>'Optional Adjustment 14'!G1152*$AF$1</f>
        <v>0</v>
      </c>
      <c r="AG1149" s="133">
        <f>'Optional Adjustment 15'!G1152*$AG$1</f>
        <v>0</v>
      </c>
      <c r="AH1149" s="133">
        <f>'Optional Adjustment 16'!G1152*$AH$1</f>
        <v>0</v>
      </c>
      <c r="AI1149" s="133">
        <f>'Optional Adjustment 17'!G1152*$AI$1</f>
        <v>0</v>
      </c>
      <c r="AJ1149" s="133">
        <f>'Optional Adjustment 18'!G1152*$AJ$1</f>
        <v>0</v>
      </c>
      <c r="AK1149" s="133">
        <f>'Optional Adjustment 19'!G1152*$AK$1</f>
        <v>0</v>
      </c>
      <c r="AL1149" s="133">
        <f>'Optional Adjustment 20'!G1152*$AL$1</f>
        <v>0</v>
      </c>
      <c r="AM1149" s="133">
        <f>'Optional Adjustment 21'!G1152*$AM$1</f>
        <v>0</v>
      </c>
      <c r="AN1149" s="133">
        <f>'Optional Adjustment 22'!G1152*$AN$1</f>
        <v>0</v>
      </c>
      <c r="AO1149" s="133">
        <f>'Optional Adjustment 23'!G1152*$AO$1</f>
        <v>0</v>
      </c>
      <c r="AP1149" s="133">
        <f>'Optional Adjustment 24'!G1152*$AP$1</f>
        <v>0</v>
      </c>
      <c r="AQ1149" s="133">
        <f>'Optional Adjustment 25'!G1152*$AQ$1</f>
        <v>0</v>
      </c>
      <c r="AR1149" s="133">
        <f>'Optional Adjustment 26'!G1152*$AR$1</f>
        <v>0</v>
      </c>
      <c r="AS1149" s="133">
        <f>'Optional Adjustment 27'!G1152*$AS$1</f>
        <v>0</v>
      </c>
      <c r="AT1149" s="133"/>
      <c r="AU1149" s="133">
        <f>SUM(F1149:AT1149)</f>
        <v>0</v>
      </c>
      <c r="AV1149" s="116"/>
      <c r="AW1149" s="133">
        <f>SUM(AU1149:AU1149)</f>
        <v>0</v>
      </c>
      <c r="AX1149" s="133">
        <f>+AW1149-'ROR-Model'!G1166</f>
        <v>0</v>
      </c>
    </row>
    <row r="1150" spans="1:50">
      <c r="A1150" s="136"/>
      <c r="B1150" s="102"/>
      <c r="C1150" s="102" t="s">
        <v>170</v>
      </c>
      <c r="D1150" s="102"/>
      <c r="F1150" s="131">
        <f>SUM(F1146:F1149)</f>
        <v>-57435073</v>
      </c>
      <c r="G1150" s="131">
        <f>G1*SUM(G1146:G1149)</f>
        <v>0</v>
      </c>
      <c r="H1150" s="131">
        <f>H1*SUM(H1146:H1149)</f>
        <v>0</v>
      </c>
      <c r="I1150" s="131">
        <f>SUM(I1146:I1149)</f>
        <v>0</v>
      </c>
      <c r="J1150" s="131">
        <f t="shared" ref="J1150:P1150" si="1289">SUM(J1146:J1149)</f>
        <v>0</v>
      </c>
      <c r="K1150" s="131">
        <f t="shared" si="1289"/>
        <v>0</v>
      </c>
      <c r="L1150" s="131">
        <f t="shared" si="1289"/>
        <v>0</v>
      </c>
      <c r="M1150" s="131">
        <f t="shared" si="1289"/>
        <v>0</v>
      </c>
      <c r="N1150" s="131">
        <f t="shared" si="1289"/>
        <v>0</v>
      </c>
      <c r="O1150" s="131">
        <f t="shared" si="1289"/>
        <v>0</v>
      </c>
      <c r="P1150" s="131">
        <f t="shared" si="1289"/>
        <v>0</v>
      </c>
      <c r="Q1150" s="241">
        <f t="shared" ref="Q1150:W1150" si="1290">SUM(Q1146:Q1149)</f>
        <v>0</v>
      </c>
      <c r="R1150" s="241">
        <f t="shared" si="1290"/>
        <v>0</v>
      </c>
      <c r="S1150" s="556"/>
      <c r="T1150" s="556">
        <f t="shared" si="1290"/>
        <v>0</v>
      </c>
      <c r="U1150" s="556">
        <f t="shared" si="1290"/>
        <v>0</v>
      </c>
      <c r="V1150" s="556">
        <f t="shared" si="1290"/>
        <v>0</v>
      </c>
      <c r="W1150" s="556">
        <f t="shared" si="1290"/>
        <v>0</v>
      </c>
      <c r="X1150" s="556">
        <f t="shared" ref="X1150:AG1150" si="1291">SUM(X1146:X1149)</f>
        <v>0</v>
      </c>
      <c r="Y1150" s="556">
        <f t="shared" si="1291"/>
        <v>0</v>
      </c>
      <c r="Z1150" s="556">
        <f t="shared" si="1291"/>
        <v>0</v>
      </c>
      <c r="AA1150" s="556">
        <f t="shared" si="1291"/>
        <v>0</v>
      </c>
      <c r="AB1150" s="556">
        <f t="shared" si="1291"/>
        <v>0</v>
      </c>
      <c r="AC1150" s="556">
        <f t="shared" si="1291"/>
        <v>0</v>
      </c>
      <c r="AD1150" s="556">
        <f t="shared" si="1291"/>
        <v>0</v>
      </c>
      <c r="AE1150" s="556">
        <f t="shared" si="1291"/>
        <v>0</v>
      </c>
      <c r="AF1150" s="556">
        <f t="shared" si="1291"/>
        <v>0</v>
      </c>
      <c r="AG1150" s="556">
        <f t="shared" si="1291"/>
        <v>0</v>
      </c>
      <c r="AH1150" s="556">
        <f t="shared" ref="AH1150:AK1150" si="1292">SUM(AH1146:AH1149)</f>
        <v>0</v>
      </c>
      <c r="AI1150" s="556">
        <f t="shared" si="1292"/>
        <v>0</v>
      </c>
      <c r="AJ1150" s="556">
        <f t="shared" si="1292"/>
        <v>0</v>
      </c>
      <c r="AK1150" s="556">
        <f t="shared" si="1292"/>
        <v>0</v>
      </c>
      <c r="AL1150" s="556">
        <f t="shared" ref="AL1150:AP1150" si="1293">SUM(AL1146:AL1149)</f>
        <v>0</v>
      </c>
      <c r="AM1150" s="556">
        <f t="shared" si="1293"/>
        <v>0</v>
      </c>
      <c r="AN1150" s="556">
        <f t="shared" si="1293"/>
        <v>0</v>
      </c>
      <c r="AO1150" s="556">
        <f t="shared" si="1293"/>
        <v>0</v>
      </c>
      <c r="AP1150" s="556">
        <f t="shared" si="1293"/>
        <v>0</v>
      </c>
      <c r="AQ1150" s="556">
        <f t="shared" ref="AQ1150:AS1150" si="1294">SUM(AQ1146:AQ1149)</f>
        <v>0</v>
      </c>
      <c r="AR1150" s="556">
        <f t="shared" si="1294"/>
        <v>0</v>
      </c>
      <c r="AS1150" s="556">
        <f t="shared" si="1294"/>
        <v>0</v>
      </c>
      <c r="AT1150" s="556"/>
      <c r="AU1150" s="241">
        <f>SUM(AU1146:AU1149)</f>
        <v>-57435073</v>
      </c>
      <c r="AV1150" s="131"/>
      <c r="AW1150" s="241">
        <f>SUM(AW1146:AW1149)</f>
        <v>-57435073</v>
      </c>
      <c r="AX1150" s="241">
        <f>+AW1150-'ROR-Model'!G1167</f>
        <v>0</v>
      </c>
    </row>
    <row r="1151" spans="1:50">
      <c r="A1151" s="136"/>
      <c r="B1151" s="102"/>
      <c r="C1151" s="102"/>
      <c r="D1151" s="102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33"/>
      <c r="R1151" s="133"/>
      <c r="S1151" s="133"/>
      <c r="T1151" s="133"/>
      <c r="U1151" s="133"/>
      <c r="V1151" s="133"/>
      <c r="W1151" s="133"/>
      <c r="X1151" s="133"/>
      <c r="Y1151" s="133"/>
      <c r="Z1151" s="133"/>
      <c r="AA1151" s="133"/>
      <c r="AB1151" s="133"/>
      <c r="AC1151" s="133"/>
      <c r="AD1151" s="133"/>
      <c r="AE1151" s="133"/>
      <c r="AF1151" s="133"/>
      <c r="AG1151" s="133"/>
      <c r="AH1151" s="133"/>
      <c r="AI1151" s="133"/>
      <c r="AJ1151" s="133"/>
      <c r="AK1151" s="133"/>
      <c r="AL1151" s="133"/>
      <c r="AM1151" s="133"/>
      <c r="AN1151" s="133"/>
      <c r="AO1151" s="133"/>
      <c r="AP1151" s="133"/>
      <c r="AQ1151" s="133"/>
      <c r="AR1151" s="133"/>
      <c r="AS1151" s="133"/>
      <c r="AT1151" s="133"/>
      <c r="AU1151" s="133"/>
      <c r="AV1151" s="116"/>
      <c r="AW1151" s="133"/>
      <c r="AX1151" s="133">
        <f>+AW1151-'ROR-Model'!G1168</f>
        <v>0</v>
      </c>
    </row>
    <row r="1152" spans="1:50">
      <c r="A1152" s="238" t="s">
        <v>304</v>
      </c>
      <c r="B1152" s="119" t="s">
        <v>306</v>
      </c>
      <c r="C1152" s="102"/>
      <c r="D1152" s="102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33"/>
      <c r="R1152" s="133"/>
      <c r="S1152" s="133"/>
      <c r="T1152" s="133"/>
      <c r="U1152" s="133"/>
      <c r="V1152" s="133"/>
      <c r="W1152" s="133"/>
      <c r="X1152" s="133"/>
      <c r="Y1152" s="133"/>
      <c r="Z1152" s="133"/>
      <c r="AA1152" s="133"/>
      <c r="AB1152" s="133"/>
      <c r="AC1152" s="133"/>
      <c r="AD1152" s="133"/>
      <c r="AE1152" s="133"/>
      <c r="AF1152" s="133"/>
      <c r="AG1152" s="133"/>
      <c r="AH1152" s="133"/>
      <c r="AI1152" s="133"/>
      <c r="AJ1152" s="133"/>
      <c r="AK1152" s="133"/>
      <c r="AL1152" s="133"/>
      <c r="AM1152" s="133"/>
      <c r="AN1152" s="133"/>
      <c r="AO1152" s="133"/>
      <c r="AP1152" s="133"/>
      <c r="AQ1152" s="133"/>
      <c r="AR1152" s="133"/>
      <c r="AS1152" s="133"/>
      <c r="AT1152" s="133"/>
      <c r="AU1152" s="133"/>
      <c r="AV1152" s="116"/>
      <c r="AW1152" s="133"/>
      <c r="AX1152" s="133">
        <f>+AW1152-'ROR-Model'!G1169</f>
        <v>0</v>
      </c>
    </row>
    <row r="1153" spans="1:50">
      <c r="A1153" s="136"/>
      <c r="B1153" s="102"/>
      <c r="C1153" s="102" t="s">
        <v>443</v>
      </c>
      <c r="D1153" s="102"/>
      <c r="F1153" s="116">
        <f>'Rate Base'!$AQ$218*$F$1</f>
        <v>0</v>
      </c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33"/>
      <c r="R1153" s="133"/>
      <c r="S1153" s="133"/>
      <c r="T1153" s="133">
        <f>'Optional Adjustment 2'!G1156*$T$1</f>
        <v>0</v>
      </c>
      <c r="U1153" s="133">
        <f>'Optional Adjustment 3'!G1156*$U$1</f>
        <v>0</v>
      </c>
      <c r="V1153" s="133">
        <f>'Optional Adjustment 4'!G1156*$V$1</f>
        <v>0</v>
      </c>
      <c r="W1153" s="133">
        <f>'Optional Adjustment 5'!G1156*$W$1</f>
        <v>0</v>
      </c>
      <c r="X1153" s="133">
        <f>'Optional Adjustment 6'!G1156*$X$1</f>
        <v>0</v>
      </c>
      <c r="Y1153" s="133">
        <f>'Optional Adjustment 7'!G1156*$Y$1</f>
        <v>0</v>
      </c>
      <c r="Z1153" s="133">
        <f>'Optional Adjustment 8'!G1156*$Z$1</f>
        <v>0</v>
      </c>
      <c r="AA1153" s="133">
        <f>'Optional Adjustment 9'!G1156*$AA$1</f>
        <v>0</v>
      </c>
      <c r="AB1153" s="133">
        <f>'Optional Adjustment 10'!G1156*$AB$1</f>
        <v>0</v>
      </c>
      <c r="AC1153" s="133">
        <f>'Optional Adjustment 11'!G1156*$AC$1</f>
        <v>0</v>
      </c>
      <c r="AD1153" s="133">
        <f>'Optional Adjustment 12'!G1156*$AD$1</f>
        <v>0</v>
      </c>
      <c r="AE1153" s="133">
        <f>'Optional Adjustment 13'!G1156*$AE$1</f>
        <v>0</v>
      </c>
      <c r="AF1153" s="133">
        <f>'Optional Adjustment 14'!G1156*$AF$1</f>
        <v>0</v>
      </c>
      <c r="AG1153" s="133">
        <f>'Optional Adjustment 15'!G1156*$AG$1</f>
        <v>0</v>
      </c>
      <c r="AH1153" s="133">
        <f>'Optional Adjustment 16'!G1156*$AH$1</f>
        <v>0</v>
      </c>
      <c r="AI1153" s="133">
        <f>'Optional Adjustment 17'!G1156*$AI$1</f>
        <v>0</v>
      </c>
      <c r="AJ1153" s="133">
        <f>'Optional Adjustment 18'!G1156*$AJ$1</f>
        <v>0</v>
      </c>
      <c r="AK1153" s="133">
        <f>'Optional Adjustment 19'!G1156*$AK$1</f>
        <v>0</v>
      </c>
      <c r="AL1153" s="133">
        <f>'Optional Adjustment 20'!G1156*$AL$1</f>
        <v>0</v>
      </c>
      <c r="AM1153" s="133">
        <f>'Optional Adjustment 21'!G1156*$AM$1</f>
        <v>0</v>
      </c>
      <c r="AN1153" s="133">
        <f>'Optional Adjustment 22'!G1156*$AN$1</f>
        <v>0</v>
      </c>
      <c r="AO1153" s="133">
        <f>'Optional Adjustment 23'!G1156*$AO$1</f>
        <v>0</v>
      </c>
      <c r="AP1153" s="133">
        <f>'Optional Adjustment 24'!G1156*$AP$1</f>
        <v>0</v>
      </c>
      <c r="AQ1153" s="133">
        <f>'Optional Adjustment 25'!G1156*$AQ$1</f>
        <v>0</v>
      </c>
      <c r="AR1153" s="133">
        <f>'Optional Adjustment 26'!G1156*$AR$1</f>
        <v>0</v>
      </c>
      <c r="AS1153" s="133">
        <f>'Optional Adjustment 27'!G1156*$AS$1</f>
        <v>0</v>
      </c>
      <c r="AT1153" s="133"/>
      <c r="AU1153" s="133">
        <f>SUM(F1153:AT1153)</f>
        <v>0</v>
      </c>
      <c r="AV1153" s="116"/>
      <c r="AW1153" s="133">
        <f>SUM(AU1153:AU1153)</f>
        <v>0</v>
      </c>
      <c r="AX1153" s="133">
        <f>+AW1153-'ROR-Model'!G1170</f>
        <v>0</v>
      </c>
    </row>
    <row r="1154" spans="1:50">
      <c r="A1154" s="136"/>
      <c r="B1154" s="102"/>
      <c r="C1154" s="102" t="s">
        <v>592</v>
      </c>
      <c r="D1154" s="102"/>
      <c r="F1154" s="116">
        <f>'Rate Base'!$AQ$219*$F$1</f>
        <v>0</v>
      </c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33"/>
      <c r="R1154" s="133"/>
      <c r="S1154" s="133"/>
      <c r="T1154" s="133">
        <f>'Optional Adjustment 2'!G1157*$T$1</f>
        <v>0</v>
      </c>
      <c r="U1154" s="133">
        <f>'Optional Adjustment 3'!G1157*$U$1</f>
        <v>0</v>
      </c>
      <c r="V1154" s="133">
        <f>'Optional Adjustment 4'!G1157*$V$1</f>
        <v>0</v>
      </c>
      <c r="W1154" s="133">
        <f>'Optional Adjustment 5'!G1157*$W$1</f>
        <v>0</v>
      </c>
      <c r="X1154" s="133">
        <f>'Optional Adjustment 6'!G1157*$X$1</f>
        <v>0</v>
      </c>
      <c r="Y1154" s="133">
        <f>'Optional Adjustment 7'!G1157*$Y$1</f>
        <v>0</v>
      </c>
      <c r="Z1154" s="133">
        <f>'Optional Adjustment 8'!G1157*$Z$1</f>
        <v>0</v>
      </c>
      <c r="AA1154" s="133">
        <f>'Optional Adjustment 9'!G1157*$AA$1</f>
        <v>0</v>
      </c>
      <c r="AB1154" s="133">
        <f>'Optional Adjustment 10'!G1157*$AB$1</f>
        <v>0</v>
      </c>
      <c r="AC1154" s="133">
        <f>'Optional Adjustment 11'!G1157*$AC$1</f>
        <v>0</v>
      </c>
      <c r="AD1154" s="133">
        <f>'Optional Adjustment 12'!G1157*$AD$1</f>
        <v>0</v>
      </c>
      <c r="AE1154" s="133">
        <f>'Optional Adjustment 13'!G1157*$AE$1</f>
        <v>0</v>
      </c>
      <c r="AF1154" s="133">
        <f>'Optional Adjustment 14'!G1157*$AF$1</f>
        <v>0</v>
      </c>
      <c r="AG1154" s="133">
        <f>'Optional Adjustment 15'!G1157*$AG$1</f>
        <v>0</v>
      </c>
      <c r="AH1154" s="133">
        <f>'Optional Adjustment 16'!G1157*$AH$1</f>
        <v>0</v>
      </c>
      <c r="AI1154" s="133">
        <f>'Optional Adjustment 17'!G1157*$AI$1</f>
        <v>0</v>
      </c>
      <c r="AJ1154" s="133">
        <f>'Optional Adjustment 18'!G1157*$AJ$1</f>
        <v>0</v>
      </c>
      <c r="AK1154" s="133">
        <f>'Optional Adjustment 19'!G1157*$AK$1</f>
        <v>0</v>
      </c>
      <c r="AL1154" s="133">
        <f>'Optional Adjustment 20'!G1157*$AL$1</f>
        <v>0</v>
      </c>
      <c r="AM1154" s="133">
        <f>'Optional Adjustment 21'!G1157*$AM$1</f>
        <v>0</v>
      </c>
      <c r="AN1154" s="133">
        <f>'Optional Adjustment 22'!G1157*$AN$1</f>
        <v>0</v>
      </c>
      <c r="AO1154" s="133">
        <f>'Optional Adjustment 23'!G1157*$AO$1</f>
        <v>0</v>
      </c>
      <c r="AP1154" s="133">
        <f>'Optional Adjustment 24'!G1157*$AP$1</f>
        <v>0</v>
      </c>
      <c r="AQ1154" s="133">
        <f>'Optional Adjustment 25'!G1157*$AQ$1</f>
        <v>0</v>
      </c>
      <c r="AR1154" s="133">
        <f>'Optional Adjustment 26'!G1157*$AR$1</f>
        <v>0</v>
      </c>
      <c r="AS1154" s="133">
        <f>'Optional Adjustment 27'!G1157*$AS$1</f>
        <v>0</v>
      </c>
      <c r="AT1154" s="133"/>
      <c r="AU1154" s="133">
        <f>SUM(F1154:AT1154)</f>
        <v>0</v>
      </c>
      <c r="AV1154" s="116"/>
      <c r="AW1154" s="133">
        <f>SUM(AU1154:AU1154)</f>
        <v>0</v>
      </c>
      <c r="AX1154" s="133">
        <f>+AW1154-'ROR-Model'!G1171</f>
        <v>0</v>
      </c>
    </row>
    <row r="1155" spans="1:50">
      <c r="A1155" s="136"/>
      <c r="B1155" s="102"/>
      <c r="C1155" s="102" t="s">
        <v>593</v>
      </c>
      <c r="D1155" s="102"/>
      <c r="F1155" s="116">
        <f>'Rate Base'!$AQ$220*$F$1</f>
        <v>-13135753</v>
      </c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33"/>
      <c r="R1155" s="133"/>
      <c r="S1155" s="133"/>
      <c r="T1155" s="133">
        <f>'Optional Adjustment 2'!G1158*$T$1</f>
        <v>0</v>
      </c>
      <c r="U1155" s="133">
        <f>'Optional Adjustment 3'!G1158*$U$1</f>
        <v>0</v>
      </c>
      <c r="V1155" s="133">
        <f>'Optional Adjustment 4'!G1158*$V$1</f>
        <v>0</v>
      </c>
      <c r="W1155" s="133">
        <f>'Optional Adjustment 5'!G1158*$W$1</f>
        <v>0</v>
      </c>
      <c r="X1155" s="133">
        <f>'Optional Adjustment 6'!G1158*$X$1</f>
        <v>0</v>
      </c>
      <c r="Y1155" s="133">
        <f>'Optional Adjustment 7'!G1158*$Y$1</f>
        <v>0</v>
      </c>
      <c r="Z1155" s="133">
        <f>'Optional Adjustment 8'!G1158*$Z$1</f>
        <v>0</v>
      </c>
      <c r="AA1155" s="133">
        <f>'Optional Adjustment 9'!G1158*$AA$1</f>
        <v>0</v>
      </c>
      <c r="AB1155" s="133">
        <f>'Optional Adjustment 10'!G1158*$AB$1</f>
        <v>0</v>
      </c>
      <c r="AC1155" s="133">
        <f>'Optional Adjustment 11'!G1158*$AC$1</f>
        <v>0</v>
      </c>
      <c r="AD1155" s="133">
        <f>'Optional Adjustment 12'!G1158*$AD$1</f>
        <v>0</v>
      </c>
      <c r="AE1155" s="133">
        <f>'Optional Adjustment 13'!G1158*$AE$1</f>
        <v>0</v>
      </c>
      <c r="AF1155" s="133">
        <f>'Optional Adjustment 14'!G1158*$AF$1</f>
        <v>0</v>
      </c>
      <c r="AG1155" s="133">
        <f>'Optional Adjustment 15'!G1158*$AG$1</f>
        <v>0</v>
      </c>
      <c r="AH1155" s="133">
        <f>'Optional Adjustment 16'!G1158*$AH$1</f>
        <v>0</v>
      </c>
      <c r="AI1155" s="133">
        <f>'Optional Adjustment 17'!G1158*$AI$1</f>
        <v>0</v>
      </c>
      <c r="AJ1155" s="133">
        <f>'Optional Adjustment 18'!G1158*$AJ$1</f>
        <v>0</v>
      </c>
      <c r="AK1155" s="133">
        <f>'Optional Adjustment 19'!G1158*$AK$1</f>
        <v>0</v>
      </c>
      <c r="AL1155" s="133">
        <f>'Optional Adjustment 20'!G1158*$AL$1</f>
        <v>0</v>
      </c>
      <c r="AM1155" s="133">
        <f>'Optional Adjustment 21'!G1158*$AM$1</f>
        <v>0</v>
      </c>
      <c r="AN1155" s="133">
        <f>'Optional Adjustment 22'!G1158*$AN$1</f>
        <v>0</v>
      </c>
      <c r="AO1155" s="133">
        <f>'Optional Adjustment 23'!G1158*$AO$1</f>
        <v>0</v>
      </c>
      <c r="AP1155" s="133">
        <f>'Optional Adjustment 24'!G1158*$AP$1</f>
        <v>0</v>
      </c>
      <c r="AQ1155" s="133">
        <f>'Optional Adjustment 25'!G1158*$AQ$1</f>
        <v>0</v>
      </c>
      <c r="AR1155" s="133">
        <f>'Optional Adjustment 26'!G1158*$AR$1</f>
        <v>0</v>
      </c>
      <c r="AS1155" s="133">
        <f>'Optional Adjustment 27'!G1158*$AS$1</f>
        <v>0</v>
      </c>
      <c r="AT1155" s="133"/>
      <c r="AU1155" s="133">
        <f>SUM(F1155:AT1155)</f>
        <v>-13135753</v>
      </c>
      <c r="AV1155" s="116"/>
      <c r="AW1155" s="133">
        <f>SUM(AU1155:AU1155)</f>
        <v>-13135753</v>
      </c>
      <c r="AX1155" s="133">
        <f>+AW1155-'ROR-Model'!G1172</f>
        <v>0</v>
      </c>
    </row>
    <row r="1156" spans="1:50">
      <c r="A1156" s="136"/>
      <c r="B1156" s="102"/>
      <c r="C1156" s="102" t="s">
        <v>595</v>
      </c>
      <c r="D1156" s="102"/>
      <c r="F1156" s="116">
        <f>'Rate Base'!$AQ$221*$F$1</f>
        <v>0</v>
      </c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33"/>
      <c r="R1156" s="133"/>
      <c r="S1156" s="133"/>
      <c r="T1156" s="133">
        <f>'Optional Adjustment 2'!G1159*$T$1</f>
        <v>0</v>
      </c>
      <c r="U1156" s="133">
        <f>'Optional Adjustment 3'!G1159*$U$1</f>
        <v>0</v>
      </c>
      <c r="V1156" s="133">
        <f>'Optional Adjustment 4'!G1159*$V$1</f>
        <v>0</v>
      </c>
      <c r="W1156" s="133">
        <f>'Optional Adjustment 5'!G1159*$W$1</f>
        <v>0</v>
      </c>
      <c r="X1156" s="133">
        <f>'Optional Adjustment 6'!G1159*$X$1</f>
        <v>0</v>
      </c>
      <c r="Y1156" s="133">
        <f>'Optional Adjustment 7'!G1159*$Y$1</f>
        <v>0</v>
      </c>
      <c r="Z1156" s="133">
        <f>'Optional Adjustment 8'!G1159*$Z$1</f>
        <v>0</v>
      </c>
      <c r="AA1156" s="133">
        <f>'Optional Adjustment 9'!G1159*$AA$1</f>
        <v>0</v>
      </c>
      <c r="AB1156" s="133">
        <f>'Optional Adjustment 10'!G1159*$AB$1</f>
        <v>0</v>
      </c>
      <c r="AC1156" s="133">
        <f>'Optional Adjustment 11'!G1159*$AC$1</f>
        <v>0</v>
      </c>
      <c r="AD1156" s="133">
        <f>'Optional Adjustment 12'!G1159*$AD$1</f>
        <v>0</v>
      </c>
      <c r="AE1156" s="133">
        <f>'Optional Adjustment 13'!G1159*$AE$1</f>
        <v>0</v>
      </c>
      <c r="AF1156" s="133">
        <f>'Optional Adjustment 14'!G1159*$AF$1</f>
        <v>0</v>
      </c>
      <c r="AG1156" s="133">
        <f>'Optional Adjustment 15'!G1159*$AG$1</f>
        <v>0</v>
      </c>
      <c r="AH1156" s="133">
        <f>'Optional Adjustment 16'!G1159*$AH$1</f>
        <v>0</v>
      </c>
      <c r="AI1156" s="133">
        <f>'Optional Adjustment 17'!G1159*$AI$1</f>
        <v>0</v>
      </c>
      <c r="AJ1156" s="133">
        <f>'Optional Adjustment 18'!G1159*$AJ$1</f>
        <v>0</v>
      </c>
      <c r="AK1156" s="133">
        <f>'Optional Adjustment 19'!G1159*$AK$1</f>
        <v>0</v>
      </c>
      <c r="AL1156" s="133">
        <f>'Optional Adjustment 20'!G1159*$AL$1</f>
        <v>0</v>
      </c>
      <c r="AM1156" s="133">
        <f>'Optional Adjustment 21'!G1159*$AM$1</f>
        <v>0</v>
      </c>
      <c r="AN1156" s="133">
        <f>'Optional Adjustment 22'!G1159*$AN$1</f>
        <v>0</v>
      </c>
      <c r="AO1156" s="133">
        <f>'Optional Adjustment 23'!G1159*$AO$1</f>
        <v>0</v>
      </c>
      <c r="AP1156" s="133">
        <f>'Optional Adjustment 24'!G1159*$AP$1</f>
        <v>0</v>
      </c>
      <c r="AQ1156" s="133">
        <f>'Optional Adjustment 25'!G1159*$AQ$1</f>
        <v>0</v>
      </c>
      <c r="AR1156" s="133">
        <f>'Optional Adjustment 26'!G1159*$AR$1</f>
        <v>0</v>
      </c>
      <c r="AS1156" s="133">
        <f>'Optional Adjustment 27'!G1159*$AS$1</f>
        <v>0</v>
      </c>
      <c r="AT1156" s="133"/>
      <c r="AU1156" s="133">
        <f>SUM(F1156:AT1156)</f>
        <v>0</v>
      </c>
      <c r="AV1156" s="116"/>
      <c r="AW1156" s="133">
        <f>SUM(AU1156:AU1156)</f>
        <v>0</v>
      </c>
      <c r="AX1156" s="133">
        <f>+AW1156-'ROR-Model'!G1173</f>
        <v>0</v>
      </c>
    </row>
    <row r="1157" spans="1:50">
      <c r="A1157" s="136"/>
      <c r="B1157" s="102"/>
      <c r="C1157" s="102" t="s">
        <v>170</v>
      </c>
      <c r="D1157" s="102"/>
      <c r="F1157" s="131">
        <f>SUM(F1153:F1156)</f>
        <v>-13135753</v>
      </c>
      <c r="G1157" s="131">
        <f>G1*SUM(G1153:G1156)</f>
        <v>0</v>
      </c>
      <c r="H1157" s="131">
        <f>H1*SUM(H1153:H1156)</f>
        <v>0</v>
      </c>
      <c r="I1157" s="131">
        <f>SUM(I1153:I1156)</f>
        <v>0</v>
      </c>
      <c r="J1157" s="131">
        <f t="shared" ref="J1157:P1157" si="1295">SUM(J1153:J1156)</f>
        <v>0</v>
      </c>
      <c r="K1157" s="131">
        <f t="shared" si="1295"/>
        <v>0</v>
      </c>
      <c r="L1157" s="131">
        <f t="shared" si="1295"/>
        <v>0</v>
      </c>
      <c r="M1157" s="131">
        <f t="shared" si="1295"/>
        <v>0</v>
      </c>
      <c r="N1157" s="131">
        <f t="shared" si="1295"/>
        <v>0</v>
      </c>
      <c r="O1157" s="131">
        <f t="shared" si="1295"/>
        <v>0</v>
      </c>
      <c r="P1157" s="131">
        <f t="shared" si="1295"/>
        <v>0</v>
      </c>
      <c r="Q1157" s="241">
        <f t="shared" ref="Q1157:W1157" si="1296">SUM(Q1153:Q1156)</f>
        <v>0</v>
      </c>
      <c r="R1157" s="241">
        <f t="shared" si="1296"/>
        <v>0</v>
      </c>
      <c r="S1157" s="556"/>
      <c r="T1157" s="556">
        <f t="shared" si="1296"/>
        <v>0</v>
      </c>
      <c r="U1157" s="556">
        <f t="shared" si="1296"/>
        <v>0</v>
      </c>
      <c r="V1157" s="556">
        <f t="shared" si="1296"/>
        <v>0</v>
      </c>
      <c r="W1157" s="556">
        <f t="shared" si="1296"/>
        <v>0</v>
      </c>
      <c r="X1157" s="556">
        <f t="shared" ref="X1157:AG1157" si="1297">SUM(X1153:X1156)</f>
        <v>0</v>
      </c>
      <c r="Y1157" s="556">
        <f t="shared" si="1297"/>
        <v>0</v>
      </c>
      <c r="Z1157" s="556">
        <f t="shared" si="1297"/>
        <v>0</v>
      </c>
      <c r="AA1157" s="556">
        <f t="shared" si="1297"/>
        <v>0</v>
      </c>
      <c r="AB1157" s="556">
        <f t="shared" si="1297"/>
        <v>0</v>
      </c>
      <c r="AC1157" s="556">
        <f t="shared" si="1297"/>
        <v>0</v>
      </c>
      <c r="AD1157" s="556">
        <f t="shared" si="1297"/>
        <v>0</v>
      </c>
      <c r="AE1157" s="556">
        <f t="shared" si="1297"/>
        <v>0</v>
      </c>
      <c r="AF1157" s="556">
        <f t="shared" si="1297"/>
        <v>0</v>
      </c>
      <c r="AG1157" s="556">
        <f t="shared" si="1297"/>
        <v>0</v>
      </c>
      <c r="AH1157" s="556">
        <f t="shared" ref="AH1157:AK1157" si="1298">SUM(AH1153:AH1156)</f>
        <v>0</v>
      </c>
      <c r="AI1157" s="556">
        <f t="shared" si="1298"/>
        <v>0</v>
      </c>
      <c r="AJ1157" s="556">
        <f t="shared" si="1298"/>
        <v>0</v>
      </c>
      <c r="AK1157" s="556">
        <f t="shared" si="1298"/>
        <v>0</v>
      </c>
      <c r="AL1157" s="556">
        <f t="shared" ref="AL1157:AP1157" si="1299">SUM(AL1153:AL1156)</f>
        <v>0</v>
      </c>
      <c r="AM1157" s="556">
        <f t="shared" si="1299"/>
        <v>0</v>
      </c>
      <c r="AN1157" s="556">
        <f t="shared" si="1299"/>
        <v>0</v>
      </c>
      <c r="AO1157" s="556">
        <f t="shared" si="1299"/>
        <v>0</v>
      </c>
      <c r="AP1157" s="556">
        <f t="shared" si="1299"/>
        <v>0</v>
      </c>
      <c r="AQ1157" s="556">
        <f t="shared" ref="AQ1157:AS1157" si="1300">SUM(AQ1153:AQ1156)</f>
        <v>0</v>
      </c>
      <c r="AR1157" s="556">
        <f t="shared" si="1300"/>
        <v>0</v>
      </c>
      <c r="AS1157" s="556">
        <f t="shared" si="1300"/>
        <v>0</v>
      </c>
      <c r="AT1157" s="556"/>
      <c r="AU1157" s="241">
        <f>SUM(AU1153:AU1156)</f>
        <v>-13135753</v>
      </c>
      <c r="AV1157" s="131"/>
      <c r="AW1157" s="241">
        <f>SUM(AW1153:AW1156)</f>
        <v>-13135753</v>
      </c>
      <c r="AX1157" s="241">
        <f>+AW1157-'ROR-Model'!G1174</f>
        <v>0</v>
      </c>
    </row>
    <row r="1158" spans="1:50">
      <c r="A1158" s="134"/>
      <c r="B1158" s="106"/>
      <c r="C1158" s="106"/>
      <c r="D1158" s="10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Q1158" s="133"/>
      <c r="R1158" s="133"/>
      <c r="S1158" s="133"/>
      <c r="T1158" s="133"/>
      <c r="U1158" s="133"/>
      <c r="V1158" s="133"/>
      <c r="W1158" s="133"/>
      <c r="X1158" s="133"/>
      <c r="Y1158" s="133"/>
      <c r="Z1158" s="133"/>
      <c r="AA1158" s="133"/>
      <c r="AB1158" s="133"/>
      <c r="AC1158" s="133"/>
      <c r="AD1158" s="133"/>
      <c r="AE1158" s="133"/>
      <c r="AF1158" s="133"/>
      <c r="AG1158" s="133"/>
      <c r="AH1158" s="133"/>
      <c r="AI1158" s="133"/>
      <c r="AJ1158" s="133"/>
      <c r="AK1158" s="133"/>
      <c r="AL1158" s="133"/>
      <c r="AM1158" s="133"/>
      <c r="AN1158" s="133"/>
      <c r="AO1158" s="133"/>
      <c r="AP1158" s="133"/>
      <c r="AQ1158" s="133"/>
      <c r="AR1158" s="133"/>
      <c r="AS1158" s="133"/>
      <c r="AT1158" s="133"/>
      <c r="AU1158" s="133"/>
      <c r="AV1158" s="116"/>
      <c r="AW1158" s="133"/>
      <c r="AX1158" s="133">
        <f>+AW1158-'ROR-Model'!G1175</f>
        <v>0</v>
      </c>
    </row>
    <row r="1159" spans="1:50">
      <c r="A1159" s="134">
        <v>2351</v>
      </c>
      <c r="B1159" s="114" t="s">
        <v>311</v>
      </c>
      <c r="C1159" s="106"/>
      <c r="D1159" s="10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Q1159" s="133"/>
      <c r="R1159" s="133"/>
      <c r="S1159" s="133"/>
      <c r="T1159" s="133"/>
      <c r="U1159" s="133"/>
      <c r="V1159" s="133"/>
      <c r="W1159" s="133"/>
      <c r="X1159" s="133"/>
      <c r="Y1159" s="133"/>
      <c r="Z1159" s="133"/>
      <c r="AA1159" s="133"/>
      <c r="AB1159" s="133"/>
      <c r="AC1159" s="133"/>
      <c r="AD1159" s="133"/>
      <c r="AE1159" s="133"/>
      <c r="AF1159" s="133"/>
      <c r="AG1159" s="133"/>
      <c r="AH1159" s="133"/>
      <c r="AI1159" s="133"/>
      <c r="AJ1159" s="133"/>
      <c r="AK1159" s="133"/>
      <c r="AL1159" s="133"/>
      <c r="AM1159" s="133"/>
      <c r="AN1159" s="133"/>
      <c r="AO1159" s="133"/>
      <c r="AP1159" s="133"/>
      <c r="AQ1159" s="133"/>
      <c r="AR1159" s="133"/>
      <c r="AS1159" s="133"/>
      <c r="AT1159" s="133"/>
      <c r="AU1159" s="133"/>
      <c r="AV1159" s="116"/>
      <c r="AW1159" s="133"/>
      <c r="AX1159" s="133">
        <f>+AW1159-'ROR-Model'!G1176</f>
        <v>0</v>
      </c>
    </row>
    <row r="1160" spans="1:50">
      <c r="A1160" s="134"/>
      <c r="B1160" s="106"/>
      <c r="C1160" s="106" t="s">
        <v>592</v>
      </c>
      <c r="D1160" s="106"/>
      <c r="F1160" s="116">
        <f>'Rate Base'!$AQ$225*F1</f>
        <v>-15151.681666666671</v>
      </c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Q1160" s="133"/>
      <c r="R1160" s="133"/>
      <c r="S1160" s="133"/>
      <c r="T1160" s="133">
        <f>'Optional Adjustment 2'!G1163*$T$1</f>
        <v>0</v>
      </c>
      <c r="U1160" s="133">
        <f>'Optional Adjustment 3'!G1163*$U$1</f>
        <v>0</v>
      </c>
      <c r="V1160" s="133">
        <f>'Optional Adjustment 4'!G1163*$V$1</f>
        <v>0</v>
      </c>
      <c r="W1160" s="133">
        <f>'Optional Adjustment 5'!G1163*$W$1</f>
        <v>0</v>
      </c>
      <c r="X1160" s="133">
        <f>'Optional Adjustment 6'!G1163*$X$1</f>
        <v>0</v>
      </c>
      <c r="Y1160" s="133">
        <f>'Optional Adjustment 7'!G1163*$Y$1</f>
        <v>0</v>
      </c>
      <c r="Z1160" s="133">
        <f>'Optional Adjustment 8'!G1163*$Z$1</f>
        <v>0</v>
      </c>
      <c r="AA1160" s="133">
        <f>'Optional Adjustment 9'!G1163*$AA$1</f>
        <v>0</v>
      </c>
      <c r="AB1160" s="133">
        <f>'Optional Adjustment 10'!G1163*$AB$1</f>
        <v>0</v>
      </c>
      <c r="AC1160" s="133">
        <f>'Optional Adjustment 11'!G1163*$AC$1</f>
        <v>0</v>
      </c>
      <c r="AD1160" s="133">
        <f>'Optional Adjustment 12'!G1163*$AD$1</f>
        <v>0</v>
      </c>
      <c r="AE1160" s="133">
        <f>'Optional Adjustment 13'!G1163*$AE$1</f>
        <v>0</v>
      </c>
      <c r="AF1160" s="133">
        <f>'Optional Adjustment 14'!G1163*$AF$1</f>
        <v>0</v>
      </c>
      <c r="AG1160" s="133">
        <f>'Optional Adjustment 15'!G1163*$AG$1</f>
        <v>0</v>
      </c>
      <c r="AH1160" s="133">
        <f>'Optional Adjustment 16'!G1163*$AH$1</f>
        <v>0</v>
      </c>
      <c r="AI1160" s="133">
        <f>'Optional Adjustment 17'!G1163*$AI$1</f>
        <v>0</v>
      </c>
      <c r="AJ1160" s="133">
        <f>'Optional Adjustment 18'!G1163*$AJ$1</f>
        <v>0</v>
      </c>
      <c r="AK1160" s="133">
        <f>'Optional Adjustment 19'!G1163*$AK$1</f>
        <v>0</v>
      </c>
      <c r="AL1160" s="133">
        <f>'Optional Adjustment 20'!G1163*$AL$1</f>
        <v>0</v>
      </c>
      <c r="AM1160" s="133">
        <f>'Optional Adjustment 21'!G1163*$AM$1</f>
        <v>0</v>
      </c>
      <c r="AN1160" s="133">
        <f>'Optional Adjustment 22'!G1163*$AN$1</f>
        <v>0</v>
      </c>
      <c r="AO1160" s="133">
        <f>'Optional Adjustment 23'!G1163*$AO$1</f>
        <v>0</v>
      </c>
      <c r="AP1160" s="133">
        <f>'Optional Adjustment 24'!G1163*$AP$1</f>
        <v>0</v>
      </c>
      <c r="AQ1160" s="133">
        <f>'Optional Adjustment 25'!G1163*$AQ$1</f>
        <v>0</v>
      </c>
      <c r="AR1160" s="133">
        <f>'Optional Adjustment 26'!G1163*$AR$1</f>
        <v>0</v>
      </c>
      <c r="AS1160" s="133">
        <f>'Optional Adjustment 27'!G1163*$AS$1</f>
        <v>0</v>
      </c>
      <c r="AT1160" s="133"/>
      <c r="AU1160" s="133">
        <f>SUM(F1160:AT1160)</f>
        <v>-15151.681666666671</v>
      </c>
      <c r="AV1160" s="116"/>
      <c r="AW1160" s="133">
        <f>SUM(AU1160:AU1160)</f>
        <v>-15151.681666666671</v>
      </c>
      <c r="AX1160" s="133">
        <f>+AW1160-'ROR-Model'!G1177</f>
        <v>0</v>
      </c>
    </row>
    <row r="1161" spans="1:50">
      <c r="A1161" s="134"/>
      <c r="B1161" s="106"/>
      <c r="C1161" s="106" t="s">
        <v>593</v>
      </c>
      <c r="D1161" s="106"/>
      <c r="F1161" s="116">
        <f>'Rate Base'!$AQ$226*F1</f>
        <v>-1105959.54</v>
      </c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Q1161" s="133"/>
      <c r="R1161" s="133"/>
      <c r="S1161" s="133"/>
      <c r="T1161" s="133">
        <f>'Optional Adjustment 2'!G1164*$T$1</f>
        <v>0</v>
      </c>
      <c r="U1161" s="133">
        <f>'Optional Adjustment 3'!G1164*$U$1</f>
        <v>0</v>
      </c>
      <c r="V1161" s="133">
        <f>'Optional Adjustment 4'!G1164*$V$1</f>
        <v>0</v>
      </c>
      <c r="W1161" s="133">
        <f>'Optional Adjustment 5'!G1164*$W$1</f>
        <v>0</v>
      </c>
      <c r="X1161" s="133">
        <f>'Optional Adjustment 6'!G1164*$X$1</f>
        <v>0</v>
      </c>
      <c r="Y1161" s="133">
        <f>'Optional Adjustment 7'!G1164*$Y$1</f>
        <v>0</v>
      </c>
      <c r="Z1161" s="133">
        <f>'Optional Adjustment 8'!G1164*$Z$1</f>
        <v>0</v>
      </c>
      <c r="AA1161" s="133">
        <f>'Optional Adjustment 9'!G1164*$AA$1</f>
        <v>0</v>
      </c>
      <c r="AB1161" s="133">
        <f>'Optional Adjustment 10'!G1164*$AB$1</f>
        <v>0</v>
      </c>
      <c r="AC1161" s="133">
        <f>'Optional Adjustment 11'!G1164*$AC$1</f>
        <v>0</v>
      </c>
      <c r="AD1161" s="133">
        <f>'Optional Adjustment 12'!G1164*$AD$1</f>
        <v>0</v>
      </c>
      <c r="AE1161" s="133">
        <f>'Optional Adjustment 13'!G1164*$AE$1</f>
        <v>0</v>
      </c>
      <c r="AF1161" s="133">
        <f>'Optional Adjustment 14'!G1164*$AF$1</f>
        <v>0</v>
      </c>
      <c r="AG1161" s="133">
        <f>'Optional Adjustment 15'!G1164*$AG$1</f>
        <v>0</v>
      </c>
      <c r="AH1161" s="133">
        <f>'Optional Adjustment 16'!G1164*$AH$1</f>
        <v>0</v>
      </c>
      <c r="AI1161" s="133">
        <f>'Optional Adjustment 17'!G1164*$AI$1</f>
        <v>0</v>
      </c>
      <c r="AJ1161" s="133">
        <f>'Optional Adjustment 18'!G1164*$AJ$1</f>
        <v>0</v>
      </c>
      <c r="AK1161" s="133">
        <f>'Optional Adjustment 19'!G1164*$AK$1</f>
        <v>0</v>
      </c>
      <c r="AL1161" s="133">
        <f>'Optional Adjustment 20'!G1164*$AL$1</f>
        <v>0</v>
      </c>
      <c r="AM1161" s="133">
        <f>'Optional Adjustment 21'!G1164*$AM$1</f>
        <v>0</v>
      </c>
      <c r="AN1161" s="133">
        <f>'Optional Adjustment 22'!G1164*$AN$1</f>
        <v>0</v>
      </c>
      <c r="AO1161" s="133">
        <f>'Optional Adjustment 23'!G1164*$AO$1</f>
        <v>0</v>
      </c>
      <c r="AP1161" s="133">
        <f>'Optional Adjustment 24'!G1164*$AP$1</f>
        <v>0</v>
      </c>
      <c r="AQ1161" s="133">
        <f>'Optional Adjustment 25'!G1164*$AQ$1</f>
        <v>0</v>
      </c>
      <c r="AR1161" s="133">
        <f>'Optional Adjustment 26'!G1164*$AR$1</f>
        <v>0</v>
      </c>
      <c r="AS1161" s="133">
        <f>'Optional Adjustment 27'!G1164*$AS$1</f>
        <v>0</v>
      </c>
      <c r="AT1161" s="133"/>
      <c r="AU1161" s="133">
        <f>SUM(F1161:AT1161)</f>
        <v>-1105959.54</v>
      </c>
      <c r="AV1161" s="116"/>
      <c r="AW1161" s="133">
        <f>SUM(AU1161:AU1161)</f>
        <v>-1105959.54</v>
      </c>
      <c r="AX1161" s="133">
        <f>+AW1161-'ROR-Model'!G1178</f>
        <v>0</v>
      </c>
    </row>
    <row r="1162" spans="1:50">
      <c r="A1162" s="134"/>
      <c r="B1162" s="106"/>
      <c r="C1162" s="106" t="s">
        <v>170</v>
      </c>
      <c r="D1162" s="106"/>
      <c r="F1162" s="131">
        <f>SUM(F1160:F1161)</f>
        <v>-1121111.2216666667</v>
      </c>
      <c r="G1162" s="131">
        <f>G1*SUM(G1160:G1161)</f>
        <v>0</v>
      </c>
      <c r="H1162" s="131">
        <f>H1*SUM(H1160:H1161)</f>
        <v>0</v>
      </c>
      <c r="I1162" s="131">
        <f>SUM(I1160:I1161)</f>
        <v>0</v>
      </c>
      <c r="J1162" s="131">
        <f t="shared" ref="J1162:P1162" si="1301">SUM(J1160:J1161)</f>
        <v>0</v>
      </c>
      <c r="K1162" s="131">
        <f t="shared" si="1301"/>
        <v>0</v>
      </c>
      <c r="L1162" s="131">
        <f t="shared" si="1301"/>
        <v>0</v>
      </c>
      <c r="M1162" s="131">
        <f t="shared" si="1301"/>
        <v>0</v>
      </c>
      <c r="N1162" s="131">
        <f t="shared" si="1301"/>
        <v>0</v>
      </c>
      <c r="O1162" s="131">
        <f t="shared" si="1301"/>
        <v>0</v>
      </c>
      <c r="P1162" s="131">
        <f t="shared" si="1301"/>
        <v>0</v>
      </c>
      <c r="Q1162" s="241">
        <f t="shared" ref="Q1162:W1162" si="1302">SUM(Q1160:Q1161)</f>
        <v>0</v>
      </c>
      <c r="R1162" s="241">
        <f t="shared" si="1302"/>
        <v>0</v>
      </c>
      <c r="S1162" s="556"/>
      <c r="T1162" s="556">
        <f t="shared" si="1302"/>
        <v>0</v>
      </c>
      <c r="U1162" s="556">
        <f t="shared" si="1302"/>
        <v>0</v>
      </c>
      <c r="V1162" s="556">
        <f t="shared" si="1302"/>
        <v>0</v>
      </c>
      <c r="W1162" s="556">
        <f t="shared" si="1302"/>
        <v>0</v>
      </c>
      <c r="X1162" s="556">
        <f t="shared" ref="X1162:AG1162" si="1303">SUM(X1160:X1161)</f>
        <v>0</v>
      </c>
      <c r="Y1162" s="556">
        <f t="shared" si="1303"/>
        <v>0</v>
      </c>
      <c r="Z1162" s="556">
        <f t="shared" si="1303"/>
        <v>0</v>
      </c>
      <c r="AA1162" s="556">
        <f t="shared" si="1303"/>
        <v>0</v>
      </c>
      <c r="AB1162" s="556">
        <f t="shared" si="1303"/>
        <v>0</v>
      </c>
      <c r="AC1162" s="556">
        <f t="shared" si="1303"/>
        <v>0</v>
      </c>
      <c r="AD1162" s="556">
        <f t="shared" si="1303"/>
        <v>0</v>
      </c>
      <c r="AE1162" s="556">
        <f t="shared" si="1303"/>
        <v>0</v>
      </c>
      <c r="AF1162" s="556">
        <f t="shared" si="1303"/>
        <v>0</v>
      </c>
      <c r="AG1162" s="556">
        <f t="shared" si="1303"/>
        <v>0</v>
      </c>
      <c r="AH1162" s="556">
        <f t="shared" ref="AH1162:AK1162" si="1304">SUM(AH1160:AH1161)</f>
        <v>0</v>
      </c>
      <c r="AI1162" s="556">
        <f t="shared" si="1304"/>
        <v>0</v>
      </c>
      <c r="AJ1162" s="556">
        <f t="shared" si="1304"/>
        <v>0</v>
      </c>
      <c r="AK1162" s="556">
        <f t="shared" si="1304"/>
        <v>0</v>
      </c>
      <c r="AL1162" s="556">
        <f t="shared" ref="AL1162:AP1162" si="1305">SUM(AL1160:AL1161)</f>
        <v>0</v>
      </c>
      <c r="AM1162" s="556">
        <f t="shared" si="1305"/>
        <v>0</v>
      </c>
      <c r="AN1162" s="556">
        <f t="shared" si="1305"/>
        <v>0</v>
      </c>
      <c r="AO1162" s="556">
        <f t="shared" si="1305"/>
        <v>0</v>
      </c>
      <c r="AP1162" s="556">
        <f t="shared" si="1305"/>
        <v>0</v>
      </c>
      <c r="AQ1162" s="556">
        <f t="shared" ref="AQ1162:AS1162" si="1306">SUM(AQ1160:AQ1161)</f>
        <v>0</v>
      </c>
      <c r="AR1162" s="556">
        <f t="shared" si="1306"/>
        <v>0</v>
      </c>
      <c r="AS1162" s="556">
        <f t="shared" si="1306"/>
        <v>0</v>
      </c>
      <c r="AT1162" s="556"/>
      <c r="AU1162" s="241">
        <f>SUM(AU1160:AU1161)</f>
        <v>-1121111.2216666667</v>
      </c>
      <c r="AV1162" s="131"/>
      <c r="AW1162" s="241">
        <f>SUM(AW1160:AW1161)</f>
        <v>-1121111.2216666667</v>
      </c>
      <c r="AX1162" s="241">
        <f>+AW1162-'ROR-Model'!G1179</f>
        <v>0</v>
      </c>
    </row>
    <row r="1163" spans="1:50">
      <c r="A1163" s="134"/>
      <c r="B1163" s="106"/>
      <c r="C1163" s="106"/>
      <c r="D1163" s="10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33"/>
      <c r="R1163" s="133"/>
      <c r="S1163" s="133"/>
      <c r="T1163" s="133"/>
      <c r="U1163" s="133"/>
      <c r="V1163" s="133"/>
      <c r="W1163" s="133"/>
      <c r="X1163" s="133"/>
      <c r="Y1163" s="133"/>
      <c r="Z1163" s="133"/>
      <c r="AA1163" s="133"/>
      <c r="AB1163" s="133"/>
      <c r="AC1163" s="133"/>
      <c r="AD1163" s="133"/>
      <c r="AE1163" s="133"/>
      <c r="AF1163" s="133"/>
      <c r="AG1163" s="133"/>
      <c r="AH1163" s="133"/>
      <c r="AI1163" s="133"/>
      <c r="AJ1163" s="133"/>
      <c r="AK1163" s="133"/>
      <c r="AL1163" s="133"/>
      <c r="AM1163" s="133"/>
      <c r="AN1163" s="133"/>
      <c r="AO1163" s="133"/>
      <c r="AP1163" s="133"/>
      <c r="AQ1163" s="133"/>
      <c r="AR1163" s="133"/>
      <c r="AS1163" s="133"/>
      <c r="AT1163" s="133"/>
      <c r="AU1163" s="133"/>
      <c r="AV1163" s="116"/>
      <c r="AW1163" s="133"/>
      <c r="AX1163" s="133">
        <f>+AW1163-'ROR-Model'!G1180</f>
        <v>0</v>
      </c>
    </row>
    <row r="1164" spans="1:50">
      <c r="A1164" s="212">
        <v>252</v>
      </c>
      <c r="B1164" s="114" t="s">
        <v>493</v>
      </c>
      <c r="C1164" s="102"/>
      <c r="D1164" s="102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Q1164" s="133"/>
      <c r="R1164" s="133"/>
      <c r="S1164" s="133"/>
      <c r="T1164" s="133"/>
      <c r="U1164" s="133"/>
      <c r="V1164" s="133"/>
      <c r="W1164" s="133"/>
      <c r="X1164" s="133"/>
      <c r="Y1164" s="133"/>
      <c r="Z1164" s="133"/>
      <c r="AA1164" s="133"/>
      <c r="AB1164" s="133"/>
      <c r="AC1164" s="133"/>
      <c r="AD1164" s="133"/>
      <c r="AE1164" s="133"/>
      <c r="AF1164" s="133"/>
      <c r="AG1164" s="133"/>
      <c r="AH1164" s="133"/>
      <c r="AI1164" s="133"/>
      <c r="AJ1164" s="133"/>
      <c r="AK1164" s="133"/>
      <c r="AL1164" s="133"/>
      <c r="AM1164" s="133"/>
      <c r="AN1164" s="133"/>
      <c r="AO1164" s="133"/>
      <c r="AP1164" s="133"/>
      <c r="AQ1164" s="133"/>
      <c r="AR1164" s="133"/>
      <c r="AS1164" s="133"/>
      <c r="AT1164" s="133"/>
      <c r="AU1164" s="133"/>
      <c r="AV1164" s="116"/>
      <c r="AW1164" s="133"/>
      <c r="AX1164" s="133">
        <f>+AW1164-'ROR-Model'!G1181</f>
        <v>0</v>
      </c>
    </row>
    <row r="1165" spans="1:50">
      <c r="A1165" s="212"/>
      <c r="B1165" s="114"/>
      <c r="C1165" s="106" t="s">
        <v>592</v>
      </c>
      <c r="D1165" s="102"/>
      <c r="F1165" s="116">
        <f>+'Rate Base'!AQ230*F1</f>
        <v>217843.33144290515</v>
      </c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33"/>
      <c r="R1165" s="133"/>
      <c r="S1165" s="133"/>
      <c r="T1165" s="133">
        <f>'Optional Adjustment 2'!G1168*$T$1</f>
        <v>0</v>
      </c>
      <c r="U1165" s="133">
        <f>'Optional Adjustment 3'!G1168*$U$1</f>
        <v>0</v>
      </c>
      <c r="V1165" s="133">
        <f>'Optional Adjustment 4'!G1168*$V$1</f>
        <v>0</v>
      </c>
      <c r="W1165" s="133">
        <f>'Optional Adjustment 5'!G1168*$W$1</f>
        <v>0</v>
      </c>
      <c r="X1165" s="133">
        <f>'Optional Adjustment 6'!G1168*$X$1</f>
        <v>0</v>
      </c>
      <c r="Y1165" s="133">
        <f>'Optional Adjustment 7'!G1168*$Y$1</f>
        <v>0</v>
      </c>
      <c r="Z1165" s="133">
        <f>'Optional Adjustment 8'!G1168*$Z$1</f>
        <v>0</v>
      </c>
      <c r="AA1165" s="133">
        <f>'Optional Adjustment 9'!G1168*$AA$1</f>
        <v>0</v>
      </c>
      <c r="AB1165" s="133">
        <f>'Optional Adjustment 10'!G1168*$AB$1</f>
        <v>0</v>
      </c>
      <c r="AC1165" s="133">
        <f>'Optional Adjustment 11'!G1168*$AC$1</f>
        <v>0</v>
      </c>
      <c r="AD1165" s="133">
        <f>'Optional Adjustment 12'!G1168*$AD$1</f>
        <v>0</v>
      </c>
      <c r="AE1165" s="133">
        <f>'Optional Adjustment 13'!G1168*$AE$1</f>
        <v>0</v>
      </c>
      <c r="AF1165" s="133">
        <f>'Optional Adjustment 14'!G1168*$AF$1</f>
        <v>0</v>
      </c>
      <c r="AG1165" s="133">
        <f>'Optional Adjustment 15'!G1168*$AG$1</f>
        <v>0</v>
      </c>
      <c r="AH1165" s="133">
        <f>'Optional Adjustment 16'!G1168*$AH$1</f>
        <v>0</v>
      </c>
      <c r="AI1165" s="133">
        <f>'Optional Adjustment 17'!G1168*$AI$1</f>
        <v>0</v>
      </c>
      <c r="AJ1165" s="133">
        <f>'Optional Adjustment 18'!G1168*$AJ$1</f>
        <v>0</v>
      </c>
      <c r="AK1165" s="133">
        <f>'Optional Adjustment 19'!G1168*$AK$1</f>
        <v>0</v>
      </c>
      <c r="AL1165" s="133">
        <f>'Optional Adjustment 20'!G1168*$AL$1</f>
        <v>0</v>
      </c>
      <c r="AM1165" s="133">
        <f>'Optional Adjustment 21'!G1168*$AM$1</f>
        <v>0</v>
      </c>
      <c r="AN1165" s="133">
        <f>'Optional Adjustment 22'!G1168*$AN$1</f>
        <v>0</v>
      </c>
      <c r="AO1165" s="133">
        <f>'Optional Adjustment 23'!G1168*$AO$1</f>
        <v>0</v>
      </c>
      <c r="AP1165" s="133">
        <f>'Optional Adjustment 24'!G1168*$AP$1</f>
        <v>0</v>
      </c>
      <c r="AQ1165" s="133">
        <f>'Optional Adjustment 25'!G1168*$AQ$1</f>
        <v>0</v>
      </c>
      <c r="AR1165" s="133">
        <f>'Optional Adjustment 26'!G1168*$AR$1</f>
        <v>0</v>
      </c>
      <c r="AS1165" s="133">
        <f>'Optional Adjustment 27'!G1168*$AS$1</f>
        <v>0</v>
      </c>
      <c r="AT1165" s="133"/>
      <c r="AU1165" s="133">
        <f>SUM(F1165:AT1165)</f>
        <v>217843.33144290515</v>
      </c>
      <c r="AV1165" s="116"/>
      <c r="AW1165" s="133">
        <f>SUM(AU1165:AU1165)</f>
        <v>217843.33144290515</v>
      </c>
      <c r="AX1165" s="133">
        <f>+AW1165-'ROR-Model'!G1182</f>
        <v>0</v>
      </c>
    </row>
    <row r="1166" spans="1:50">
      <c r="A1166" s="212"/>
      <c r="B1166" s="102"/>
      <c r="C1166" s="106" t="s">
        <v>593</v>
      </c>
      <c r="D1166" s="102"/>
      <c r="F1166" s="116">
        <f>+'Rate Base'!AQ231*F1</f>
        <v>6319566.515572683</v>
      </c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Q1166" s="133"/>
      <c r="R1166" s="133"/>
      <c r="S1166" s="133"/>
      <c r="T1166" s="133">
        <f>'Optional Adjustment 2'!G1169*$T$1</f>
        <v>0</v>
      </c>
      <c r="U1166" s="133">
        <f>'Optional Adjustment 3'!G1169*$U$1</f>
        <v>0</v>
      </c>
      <c r="V1166" s="133">
        <f>'Optional Adjustment 4'!G1169*$V$1</f>
        <v>0</v>
      </c>
      <c r="W1166" s="133">
        <f>'Optional Adjustment 5'!G1169*$W$1</f>
        <v>0</v>
      </c>
      <c r="X1166" s="133">
        <f>'Optional Adjustment 6'!G1169*$X$1</f>
        <v>0</v>
      </c>
      <c r="Y1166" s="133">
        <f>'Optional Adjustment 7'!G1169*$Y$1</f>
        <v>0</v>
      </c>
      <c r="Z1166" s="133">
        <f>'Optional Adjustment 8'!G1169*$Z$1</f>
        <v>0</v>
      </c>
      <c r="AA1166" s="133">
        <f>'Optional Adjustment 9'!G1169*$AA$1</f>
        <v>0</v>
      </c>
      <c r="AB1166" s="133">
        <f>'Optional Adjustment 10'!G1169*$AB$1</f>
        <v>0</v>
      </c>
      <c r="AC1166" s="133">
        <f>'Optional Adjustment 11'!G1169*$AC$1</f>
        <v>0</v>
      </c>
      <c r="AD1166" s="133">
        <f>'Optional Adjustment 12'!G1169*$AD$1</f>
        <v>0</v>
      </c>
      <c r="AE1166" s="133">
        <f>'Optional Adjustment 13'!G1169*$AE$1</f>
        <v>0</v>
      </c>
      <c r="AF1166" s="133">
        <f>'Optional Adjustment 14'!G1169*$AF$1</f>
        <v>0</v>
      </c>
      <c r="AG1166" s="133">
        <f>'Optional Adjustment 15'!G1169*$AG$1</f>
        <v>0</v>
      </c>
      <c r="AH1166" s="133">
        <f>'Optional Adjustment 16'!G1169*$AH$1</f>
        <v>0</v>
      </c>
      <c r="AI1166" s="133">
        <f>'Optional Adjustment 17'!G1169*$AI$1</f>
        <v>0</v>
      </c>
      <c r="AJ1166" s="133">
        <f>'Optional Adjustment 18'!G1169*$AJ$1</f>
        <v>0</v>
      </c>
      <c r="AK1166" s="133">
        <f>'Optional Adjustment 19'!G1169*$AK$1</f>
        <v>0</v>
      </c>
      <c r="AL1166" s="133">
        <f>'Optional Adjustment 20'!G1169*$AL$1</f>
        <v>0</v>
      </c>
      <c r="AM1166" s="133">
        <f>'Optional Adjustment 21'!G1169*$AM$1</f>
        <v>0</v>
      </c>
      <c r="AN1166" s="133">
        <f>'Optional Adjustment 22'!G1169*$AN$1</f>
        <v>0</v>
      </c>
      <c r="AO1166" s="133">
        <f>'Optional Adjustment 23'!G1169*$AO$1</f>
        <v>0</v>
      </c>
      <c r="AP1166" s="133">
        <f>'Optional Adjustment 24'!G1169*$AP$1</f>
        <v>0</v>
      </c>
      <c r="AQ1166" s="133">
        <f>'Optional Adjustment 25'!G1169*$AQ$1</f>
        <v>0</v>
      </c>
      <c r="AR1166" s="133">
        <f>'Optional Adjustment 26'!G1169*$AR$1</f>
        <v>0</v>
      </c>
      <c r="AS1166" s="133">
        <f>'Optional Adjustment 27'!G1169*$AS$1</f>
        <v>0</v>
      </c>
      <c r="AT1166" s="133"/>
      <c r="AU1166" s="133">
        <f>SUM(F1166:AT1166)</f>
        <v>6319566.515572683</v>
      </c>
      <c r="AV1166" s="116"/>
      <c r="AW1166" s="133">
        <f>SUM(AU1166:AU1166)</f>
        <v>6319566.515572683</v>
      </c>
      <c r="AX1166" s="133">
        <f>+AW1166-'ROR-Model'!G1183</f>
        <v>0</v>
      </c>
    </row>
    <row r="1167" spans="1:50">
      <c r="A1167" s="212"/>
      <c r="B1167" s="102"/>
      <c r="C1167" s="102" t="s">
        <v>170</v>
      </c>
      <c r="D1167" s="102"/>
      <c r="F1167" s="116">
        <f>SUM(F1165:F1166)</f>
        <v>6537409.8470155885</v>
      </c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Q1167" s="133"/>
      <c r="R1167" s="133"/>
      <c r="S1167" s="133"/>
      <c r="T1167" s="133">
        <f t="shared" ref="T1167:AG1167" si="1307">SUM(T1165:T1166)</f>
        <v>0</v>
      </c>
      <c r="U1167" s="133">
        <f t="shared" si="1307"/>
        <v>0</v>
      </c>
      <c r="V1167" s="133">
        <f t="shared" si="1307"/>
        <v>0</v>
      </c>
      <c r="W1167" s="133">
        <f t="shared" si="1307"/>
        <v>0</v>
      </c>
      <c r="X1167" s="133">
        <f t="shared" si="1307"/>
        <v>0</v>
      </c>
      <c r="Y1167" s="133">
        <f t="shared" si="1307"/>
        <v>0</v>
      </c>
      <c r="Z1167" s="133">
        <f t="shared" si="1307"/>
        <v>0</v>
      </c>
      <c r="AA1167" s="133">
        <f t="shared" si="1307"/>
        <v>0</v>
      </c>
      <c r="AB1167" s="133">
        <f t="shared" si="1307"/>
        <v>0</v>
      </c>
      <c r="AC1167" s="133">
        <f t="shared" si="1307"/>
        <v>0</v>
      </c>
      <c r="AD1167" s="133">
        <f t="shared" si="1307"/>
        <v>0</v>
      </c>
      <c r="AE1167" s="133">
        <f t="shared" si="1307"/>
        <v>0</v>
      </c>
      <c r="AF1167" s="133">
        <f t="shared" si="1307"/>
        <v>0</v>
      </c>
      <c r="AG1167" s="133">
        <f t="shared" si="1307"/>
        <v>0</v>
      </c>
      <c r="AH1167" s="133">
        <f t="shared" ref="AH1167:AK1167" si="1308">SUM(AH1165:AH1166)</f>
        <v>0</v>
      </c>
      <c r="AI1167" s="133">
        <f t="shared" si="1308"/>
        <v>0</v>
      </c>
      <c r="AJ1167" s="133">
        <f t="shared" si="1308"/>
        <v>0</v>
      </c>
      <c r="AK1167" s="133">
        <f t="shared" si="1308"/>
        <v>0</v>
      </c>
      <c r="AL1167" s="133">
        <f t="shared" ref="AL1167:AP1167" si="1309">SUM(AL1165:AL1166)</f>
        <v>0</v>
      </c>
      <c r="AM1167" s="133">
        <f t="shared" si="1309"/>
        <v>0</v>
      </c>
      <c r="AN1167" s="133">
        <f t="shared" si="1309"/>
        <v>0</v>
      </c>
      <c r="AO1167" s="133">
        <f t="shared" si="1309"/>
        <v>0</v>
      </c>
      <c r="AP1167" s="133">
        <f t="shared" si="1309"/>
        <v>0</v>
      </c>
      <c r="AQ1167" s="133">
        <f t="shared" ref="AQ1167:AS1167" si="1310">SUM(AQ1165:AQ1166)</f>
        <v>0</v>
      </c>
      <c r="AR1167" s="133">
        <f t="shared" si="1310"/>
        <v>0</v>
      </c>
      <c r="AS1167" s="133">
        <f t="shared" si="1310"/>
        <v>0</v>
      </c>
      <c r="AT1167" s="133"/>
      <c r="AU1167" s="133">
        <f>SUM(AU1165:AU1166)</f>
        <v>6537409.8470155885</v>
      </c>
      <c r="AV1167" s="116"/>
      <c r="AW1167" s="133">
        <f>SUM(AW1165:AW1166)</f>
        <v>6537409.8470155885</v>
      </c>
      <c r="AX1167" s="133">
        <f>+AW1167-'ROR-Model'!G1184</f>
        <v>0</v>
      </c>
    </row>
    <row r="1168" spans="1:50">
      <c r="A1168" s="212"/>
      <c r="B1168" s="102"/>
      <c r="C1168" s="102"/>
      <c r="D1168" s="102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Q1168" s="133"/>
      <c r="R1168" s="133"/>
      <c r="S1168" s="133"/>
      <c r="T1168" s="133"/>
      <c r="U1168" s="133"/>
      <c r="V1168" s="133"/>
      <c r="W1168" s="133"/>
      <c r="X1168" s="133"/>
      <c r="Y1168" s="133"/>
      <c r="Z1168" s="133"/>
      <c r="AA1168" s="133"/>
      <c r="AB1168" s="133"/>
      <c r="AC1168" s="133"/>
      <c r="AD1168" s="133"/>
      <c r="AE1168" s="133"/>
      <c r="AF1168" s="133"/>
      <c r="AG1168" s="133"/>
      <c r="AH1168" s="133"/>
      <c r="AI1168" s="133"/>
      <c r="AJ1168" s="133"/>
      <c r="AK1168" s="133"/>
      <c r="AL1168" s="133"/>
      <c r="AM1168" s="133"/>
      <c r="AN1168" s="133"/>
      <c r="AO1168" s="133"/>
      <c r="AP1168" s="133"/>
      <c r="AQ1168" s="133"/>
      <c r="AR1168" s="133"/>
      <c r="AS1168" s="133"/>
      <c r="AT1168" s="133"/>
      <c r="AU1168" s="133"/>
      <c r="AV1168" s="116"/>
      <c r="AW1168" s="133"/>
      <c r="AX1168" s="133">
        <f>+AW1168-'ROR-Model'!G1185</f>
        <v>0</v>
      </c>
    </row>
    <row r="1169" spans="1:50">
      <c r="A1169" s="134">
        <v>2531</v>
      </c>
      <c r="B1169" s="106" t="s">
        <v>312</v>
      </c>
      <c r="C1169" s="106"/>
      <c r="D1169" s="10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Q1169" s="133"/>
      <c r="R1169" s="133"/>
      <c r="S1169" s="133"/>
      <c r="T1169" s="133"/>
      <c r="U1169" s="133"/>
      <c r="V1169" s="133"/>
      <c r="W1169" s="133"/>
      <c r="X1169" s="133"/>
      <c r="Y1169" s="133"/>
      <c r="Z1169" s="133"/>
      <c r="AA1169" s="133"/>
      <c r="AB1169" s="133"/>
      <c r="AC1169" s="133"/>
      <c r="AD1169" s="133"/>
      <c r="AE1169" s="133"/>
      <c r="AF1169" s="133"/>
      <c r="AG1169" s="133"/>
      <c r="AH1169" s="133"/>
      <c r="AI1169" s="133"/>
      <c r="AJ1169" s="133"/>
      <c r="AK1169" s="133"/>
      <c r="AL1169" s="133"/>
      <c r="AM1169" s="133"/>
      <c r="AN1169" s="133"/>
      <c r="AO1169" s="133"/>
      <c r="AP1169" s="133"/>
      <c r="AQ1169" s="133"/>
      <c r="AR1169" s="133"/>
      <c r="AS1169" s="133"/>
      <c r="AT1169" s="133"/>
      <c r="AU1169" s="133"/>
      <c r="AV1169" s="116"/>
      <c r="AW1169" s="133"/>
      <c r="AX1169" s="133">
        <f>+AW1169-'ROR-Model'!G1186</f>
        <v>0</v>
      </c>
    </row>
    <row r="1170" spans="1:50">
      <c r="A1170" s="134"/>
      <c r="B1170" s="106"/>
      <c r="C1170" s="106" t="s">
        <v>595</v>
      </c>
      <c r="D1170" s="106"/>
      <c r="F1170" s="116">
        <f>'Rate Base'!$AQ$235*F1</f>
        <v>-6807.9666666666672</v>
      </c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33"/>
      <c r="R1170" s="133"/>
      <c r="S1170" s="133"/>
      <c r="T1170" s="133">
        <f>'Optional Adjustment 2'!G1173*$T$1</f>
        <v>0</v>
      </c>
      <c r="U1170" s="133">
        <f>'Optional Adjustment 3'!G1173*$U$1</f>
        <v>0</v>
      </c>
      <c r="V1170" s="133">
        <f>'Optional Adjustment 4'!G1173*$V$1</f>
        <v>0</v>
      </c>
      <c r="W1170" s="133">
        <f>'Optional Adjustment 5'!G1173*$W$1</f>
        <v>0</v>
      </c>
      <c r="X1170" s="133">
        <f>'Optional Adjustment 6'!G1173*$X$1</f>
        <v>0</v>
      </c>
      <c r="Y1170" s="133">
        <f>'Optional Adjustment 7'!G1173*$Y$1</f>
        <v>0</v>
      </c>
      <c r="Z1170" s="133">
        <f>'Optional Adjustment 8'!G1173*$Z$1</f>
        <v>0</v>
      </c>
      <c r="AA1170" s="133">
        <f>'Optional Adjustment 9'!G1173*$AA$1</f>
        <v>0</v>
      </c>
      <c r="AB1170" s="133">
        <f>'Optional Adjustment 10'!G1173*$AB$1</f>
        <v>0</v>
      </c>
      <c r="AC1170" s="133">
        <f>'Optional Adjustment 11'!G1173*$AC$1</f>
        <v>0</v>
      </c>
      <c r="AD1170" s="133">
        <f>'Optional Adjustment 12'!G1173*$AD$1</f>
        <v>0</v>
      </c>
      <c r="AE1170" s="133">
        <f>'Optional Adjustment 13'!G1173*$AE$1</f>
        <v>0</v>
      </c>
      <c r="AF1170" s="133">
        <f>'Optional Adjustment 14'!G1173*$AF$1</f>
        <v>0</v>
      </c>
      <c r="AG1170" s="133">
        <f>'Optional Adjustment 15'!G1173*$AG$1</f>
        <v>0</v>
      </c>
      <c r="AH1170" s="133">
        <f>'Optional Adjustment 16'!G1173*$AH$1</f>
        <v>0</v>
      </c>
      <c r="AI1170" s="133">
        <f>'Optional Adjustment 17'!G1173*$AI$1</f>
        <v>0</v>
      </c>
      <c r="AJ1170" s="133">
        <f>'Optional Adjustment 18'!G1173*$AJ$1</f>
        <v>0</v>
      </c>
      <c r="AK1170" s="133">
        <f>'Optional Adjustment 19'!G1173*$AK$1</f>
        <v>0</v>
      </c>
      <c r="AL1170" s="133">
        <f>'Optional Adjustment 20'!G1173*$AL$1</f>
        <v>0</v>
      </c>
      <c r="AM1170" s="133">
        <f>'Optional Adjustment 21'!G1173*$AM$1</f>
        <v>0</v>
      </c>
      <c r="AN1170" s="133">
        <f>'Optional Adjustment 22'!G1173*$AN$1</f>
        <v>0</v>
      </c>
      <c r="AO1170" s="133">
        <f>'Optional Adjustment 23'!G1173*$AO$1</f>
        <v>0</v>
      </c>
      <c r="AP1170" s="133">
        <f>'Optional Adjustment 24'!G1173*$AP$1</f>
        <v>0</v>
      </c>
      <c r="AQ1170" s="133">
        <f>'Optional Adjustment 25'!G1173*$AQ$1</f>
        <v>0</v>
      </c>
      <c r="AR1170" s="133">
        <f>'Optional Adjustment 26'!G1173*$AR$1</f>
        <v>0</v>
      </c>
      <c r="AS1170" s="133">
        <f>'Optional Adjustment 27'!G1173*$AS$1</f>
        <v>0</v>
      </c>
      <c r="AT1170" s="133"/>
      <c r="AU1170" s="133">
        <f>SUM(F1170:AT1170)</f>
        <v>-6807.9666666666672</v>
      </c>
      <c r="AV1170" s="116"/>
      <c r="AW1170" s="133">
        <f>SUM(AU1170:AU1170)</f>
        <v>-6807.9666666666672</v>
      </c>
      <c r="AX1170" s="133">
        <f>+AW1170-'ROR-Model'!G1187</f>
        <v>0</v>
      </c>
    </row>
    <row r="1171" spans="1:50">
      <c r="A1171" s="134"/>
      <c r="B1171" s="106"/>
      <c r="C1171" s="106" t="s">
        <v>170</v>
      </c>
      <c r="D1171" s="106"/>
      <c r="F1171" s="131">
        <f>SUM(F1170)</f>
        <v>-6807.9666666666672</v>
      </c>
      <c r="G1171" s="131">
        <f>G1*SUM(G1170)</f>
        <v>0</v>
      </c>
      <c r="H1171" s="131">
        <f>H1*SUM(H1170)</f>
        <v>0</v>
      </c>
      <c r="I1171" s="131">
        <f>SUM(I1170)</f>
        <v>0</v>
      </c>
      <c r="J1171" s="131">
        <f t="shared" ref="J1171:Q1171" si="1311">SUM(J1170)</f>
        <v>0</v>
      </c>
      <c r="K1171" s="131">
        <f t="shared" si="1311"/>
        <v>0</v>
      </c>
      <c r="L1171" s="131">
        <f t="shared" si="1311"/>
        <v>0</v>
      </c>
      <c r="M1171" s="131">
        <f t="shared" si="1311"/>
        <v>0</v>
      </c>
      <c r="N1171" s="131">
        <f t="shared" si="1311"/>
        <v>0</v>
      </c>
      <c r="O1171" s="131">
        <f t="shared" si="1311"/>
        <v>0</v>
      </c>
      <c r="P1171" s="131">
        <f t="shared" si="1311"/>
        <v>0</v>
      </c>
      <c r="Q1171" s="241">
        <f t="shared" si="1311"/>
        <v>0</v>
      </c>
      <c r="R1171" s="241">
        <f t="shared" ref="R1171" si="1312">SUM(R1170)</f>
        <v>0</v>
      </c>
      <c r="S1171" s="556"/>
      <c r="T1171" s="556">
        <f t="shared" ref="T1171:W1171" si="1313">SUM(T1170)</f>
        <v>0</v>
      </c>
      <c r="U1171" s="556">
        <f t="shared" si="1313"/>
        <v>0</v>
      </c>
      <c r="V1171" s="556">
        <f t="shared" si="1313"/>
        <v>0</v>
      </c>
      <c r="W1171" s="556">
        <f t="shared" si="1313"/>
        <v>0</v>
      </c>
      <c r="X1171" s="556">
        <f t="shared" ref="X1171:AG1171" si="1314">SUM(X1170)</f>
        <v>0</v>
      </c>
      <c r="Y1171" s="556">
        <f t="shared" si="1314"/>
        <v>0</v>
      </c>
      <c r="Z1171" s="556">
        <f t="shared" si="1314"/>
        <v>0</v>
      </c>
      <c r="AA1171" s="556">
        <f t="shared" si="1314"/>
        <v>0</v>
      </c>
      <c r="AB1171" s="556">
        <f t="shared" si="1314"/>
        <v>0</v>
      </c>
      <c r="AC1171" s="556">
        <f t="shared" si="1314"/>
        <v>0</v>
      </c>
      <c r="AD1171" s="556">
        <f t="shared" si="1314"/>
        <v>0</v>
      </c>
      <c r="AE1171" s="556">
        <f t="shared" si="1314"/>
        <v>0</v>
      </c>
      <c r="AF1171" s="556">
        <f t="shared" si="1314"/>
        <v>0</v>
      </c>
      <c r="AG1171" s="556">
        <f t="shared" si="1314"/>
        <v>0</v>
      </c>
      <c r="AH1171" s="556">
        <f t="shared" ref="AH1171:AK1171" si="1315">SUM(AH1170)</f>
        <v>0</v>
      </c>
      <c r="AI1171" s="556">
        <f t="shared" si="1315"/>
        <v>0</v>
      </c>
      <c r="AJ1171" s="556">
        <f t="shared" si="1315"/>
        <v>0</v>
      </c>
      <c r="AK1171" s="556">
        <f t="shared" si="1315"/>
        <v>0</v>
      </c>
      <c r="AL1171" s="556">
        <f t="shared" ref="AL1171:AP1171" si="1316">SUM(AL1170)</f>
        <v>0</v>
      </c>
      <c r="AM1171" s="556">
        <f t="shared" si="1316"/>
        <v>0</v>
      </c>
      <c r="AN1171" s="556">
        <f t="shared" si="1316"/>
        <v>0</v>
      </c>
      <c r="AO1171" s="556">
        <f t="shared" si="1316"/>
        <v>0</v>
      </c>
      <c r="AP1171" s="556">
        <f t="shared" si="1316"/>
        <v>0</v>
      </c>
      <c r="AQ1171" s="556">
        <f t="shared" ref="AQ1171:AS1171" si="1317">SUM(AQ1170)</f>
        <v>0</v>
      </c>
      <c r="AR1171" s="556">
        <f t="shared" si="1317"/>
        <v>0</v>
      </c>
      <c r="AS1171" s="556">
        <f t="shared" si="1317"/>
        <v>0</v>
      </c>
      <c r="AT1171" s="556"/>
      <c r="AU1171" s="241">
        <f>SUM(AU1170)</f>
        <v>-6807.9666666666672</v>
      </c>
      <c r="AV1171" s="131"/>
      <c r="AW1171" s="241">
        <f>SUM(AW1170)</f>
        <v>-6807.9666666666672</v>
      </c>
      <c r="AX1171" s="241">
        <f>+AW1171-'ROR-Model'!G1188</f>
        <v>0</v>
      </c>
    </row>
    <row r="1172" spans="1:50">
      <c r="A1172" s="134"/>
      <c r="B1172" s="106"/>
      <c r="C1172" s="106"/>
      <c r="D1172" s="10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Q1172" s="133"/>
      <c r="R1172" s="133"/>
      <c r="S1172" s="133"/>
      <c r="T1172" s="133"/>
      <c r="U1172" s="133"/>
      <c r="V1172" s="133"/>
      <c r="W1172" s="133"/>
      <c r="X1172" s="133"/>
      <c r="Y1172" s="133"/>
      <c r="Z1172" s="133"/>
      <c r="AA1172" s="133"/>
      <c r="AB1172" s="133"/>
      <c r="AC1172" s="133"/>
      <c r="AD1172" s="133"/>
      <c r="AE1172" s="133"/>
      <c r="AF1172" s="133"/>
      <c r="AG1172" s="133"/>
      <c r="AH1172" s="133"/>
      <c r="AI1172" s="133"/>
      <c r="AJ1172" s="133"/>
      <c r="AK1172" s="133"/>
      <c r="AL1172" s="133"/>
      <c r="AM1172" s="133"/>
      <c r="AN1172" s="133"/>
      <c r="AO1172" s="133"/>
      <c r="AP1172" s="133"/>
      <c r="AQ1172" s="133"/>
      <c r="AR1172" s="133"/>
      <c r="AS1172" s="133"/>
      <c r="AT1172" s="133"/>
      <c r="AU1172" s="133"/>
      <c r="AV1172" s="116"/>
      <c r="AW1172" s="133"/>
      <c r="AX1172" s="133">
        <f>+AW1172-'ROR-Model'!G1189</f>
        <v>0</v>
      </c>
    </row>
    <row r="1173" spans="1:50">
      <c r="A1173" s="134">
        <v>255</v>
      </c>
      <c r="B1173" s="106" t="s">
        <v>313</v>
      </c>
      <c r="C1173" s="106"/>
      <c r="D1173" s="10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Q1173" s="133"/>
      <c r="R1173" s="133"/>
      <c r="S1173" s="133"/>
      <c r="T1173" s="133"/>
      <c r="U1173" s="133"/>
      <c r="V1173" s="133"/>
      <c r="W1173" s="133"/>
      <c r="X1173" s="133"/>
      <c r="Y1173" s="133"/>
      <c r="Z1173" s="133"/>
      <c r="AA1173" s="133"/>
      <c r="AB1173" s="133"/>
      <c r="AC1173" s="133"/>
      <c r="AD1173" s="133"/>
      <c r="AE1173" s="133"/>
      <c r="AF1173" s="133"/>
      <c r="AG1173" s="133"/>
      <c r="AH1173" s="133"/>
      <c r="AI1173" s="133"/>
      <c r="AJ1173" s="133"/>
      <c r="AK1173" s="133"/>
      <c r="AL1173" s="133"/>
      <c r="AM1173" s="133"/>
      <c r="AN1173" s="133"/>
      <c r="AO1173" s="133"/>
      <c r="AP1173" s="133"/>
      <c r="AQ1173" s="133"/>
      <c r="AR1173" s="133"/>
      <c r="AS1173" s="133"/>
      <c r="AT1173" s="133"/>
      <c r="AU1173" s="133"/>
      <c r="AV1173" s="116"/>
      <c r="AW1173" s="133"/>
      <c r="AX1173" s="133">
        <f>+AW1173-'ROR-Model'!G1190</f>
        <v>0</v>
      </c>
    </row>
    <row r="1174" spans="1:50">
      <c r="A1174" s="134"/>
      <c r="B1174" s="106"/>
      <c r="C1174" s="106" t="s">
        <v>443</v>
      </c>
      <c r="D1174" s="106"/>
      <c r="F1174" s="116">
        <f>'Rate Base'!$AQ$239*F1</f>
        <v>1310.79</v>
      </c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Q1174" s="133"/>
      <c r="R1174" s="133"/>
      <c r="S1174" s="133"/>
      <c r="T1174" s="133">
        <f>'Optional Adjustment 2'!G1177*$T$1</f>
        <v>0</v>
      </c>
      <c r="U1174" s="133">
        <f>'Optional Adjustment 3'!G1177*$U$1</f>
        <v>0</v>
      </c>
      <c r="V1174" s="133">
        <f>'Optional Adjustment 4'!G1177*$V$1</f>
        <v>0</v>
      </c>
      <c r="W1174" s="133">
        <f>'Optional Adjustment 5'!G1177*$W$1</f>
        <v>0</v>
      </c>
      <c r="X1174" s="133">
        <f>'Optional Adjustment 6'!G1177*$X$1</f>
        <v>0</v>
      </c>
      <c r="Y1174" s="133">
        <f>'Optional Adjustment 7'!G1177*$Y$1</f>
        <v>0</v>
      </c>
      <c r="Z1174" s="133">
        <f>'Optional Adjustment 8'!G1177*$Z$1</f>
        <v>0</v>
      </c>
      <c r="AA1174" s="133">
        <f>'Optional Adjustment 9'!G1177*$AA$1</f>
        <v>0</v>
      </c>
      <c r="AB1174" s="133">
        <f>'Optional Adjustment 10'!G1177*$AB$1</f>
        <v>0</v>
      </c>
      <c r="AC1174" s="133">
        <f>'Optional Adjustment 11'!G1177*$AC$1</f>
        <v>0</v>
      </c>
      <c r="AD1174" s="133">
        <f>'Optional Adjustment 12'!G1177*$AD$1</f>
        <v>0</v>
      </c>
      <c r="AE1174" s="133">
        <f>'Optional Adjustment 13'!G1177*$AE$1</f>
        <v>0</v>
      </c>
      <c r="AF1174" s="133">
        <f>'Optional Adjustment 14'!G1177*$AF$1</f>
        <v>0</v>
      </c>
      <c r="AG1174" s="133">
        <f>'Optional Adjustment 15'!G1177*$AG$1</f>
        <v>0</v>
      </c>
      <c r="AH1174" s="133">
        <f>'Optional Adjustment 16'!G1177*$AH$1</f>
        <v>0</v>
      </c>
      <c r="AI1174" s="133">
        <f>'Optional Adjustment 17'!G1177*$AI$1</f>
        <v>0</v>
      </c>
      <c r="AJ1174" s="133">
        <f>'Optional Adjustment 18'!G1177*$AJ$1</f>
        <v>0</v>
      </c>
      <c r="AK1174" s="133">
        <f>'Optional Adjustment 19'!G1177*$AK$1</f>
        <v>0</v>
      </c>
      <c r="AL1174" s="133">
        <f>'Optional Adjustment 20'!G1177*$AL$1</f>
        <v>0</v>
      </c>
      <c r="AM1174" s="133">
        <f>'Optional Adjustment 21'!G1177*$AM$1</f>
        <v>0</v>
      </c>
      <c r="AN1174" s="133">
        <f>'Optional Adjustment 22'!G1177*$AN$1</f>
        <v>0</v>
      </c>
      <c r="AO1174" s="133">
        <f>'Optional Adjustment 23'!G1177*$AO$1</f>
        <v>0</v>
      </c>
      <c r="AP1174" s="133">
        <f>'Optional Adjustment 24'!G1177*$AP$1</f>
        <v>0</v>
      </c>
      <c r="AQ1174" s="133">
        <f>'Optional Adjustment 25'!G1177*$AQ$1</f>
        <v>0</v>
      </c>
      <c r="AR1174" s="133">
        <f>'Optional Adjustment 26'!G1177*$AR$1</f>
        <v>0</v>
      </c>
      <c r="AS1174" s="133">
        <f>'Optional Adjustment 27'!G1177*$AS$1</f>
        <v>0</v>
      </c>
      <c r="AT1174" s="133"/>
      <c r="AU1174" s="133">
        <f>SUM(F1174:AT1174)</f>
        <v>1310.79</v>
      </c>
      <c r="AV1174" s="116"/>
      <c r="AW1174" s="133">
        <f>SUM(AU1174:AU1174)</f>
        <v>1310.79</v>
      </c>
      <c r="AX1174" s="133">
        <f>+AW1174-'ROR-Model'!G1191</f>
        <v>0</v>
      </c>
    </row>
    <row r="1175" spans="1:50">
      <c r="A1175" s="134"/>
      <c r="B1175" s="106"/>
      <c r="C1175" s="106" t="s">
        <v>592</v>
      </c>
      <c r="D1175" s="106"/>
      <c r="F1175" s="116">
        <f>'Rate Base'!$AQ$240*F1</f>
        <v>854.65140200000099</v>
      </c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Q1175" s="133"/>
      <c r="R1175" s="133"/>
      <c r="S1175" s="133"/>
      <c r="T1175" s="133">
        <f>'Optional Adjustment 2'!G1178*$T$1</f>
        <v>0</v>
      </c>
      <c r="U1175" s="133">
        <f>'Optional Adjustment 3'!G1178*$U$1</f>
        <v>0</v>
      </c>
      <c r="V1175" s="133">
        <f>'Optional Adjustment 4'!G1178*$V$1</f>
        <v>0</v>
      </c>
      <c r="W1175" s="133">
        <f>'Optional Adjustment 5'!G1178*$W$1</f>
        <v>0</v>
      </c>
      <c r="X1175" s="133">
        <f>'Optional Adjustment 6'!G1178*$X$1</f>
        <v>0</v>
      </c>
      <c r="Y1175" s="133">
        <f>'Optional Adjustment 7'!G1178*$Y$1</f>
        <v>0</v>
      </c>
      <c r="Z1175" s="133">
        <f>'Optional Adjustment 8'!G1178*$Z$1</f>
        <v>0</v>
      </c>
      <c r="AA1175" s="133">
        <f>'Optional Adjustment 9'!G1178*$AA$1</f>
        <v>0</v>
      </c>
      <c r="AB1175" s="133">
        <f>'Optional Adjustment 10'!G1178*$AB$1</f>
        <v>0</v>
      </c>
      <c r="AC1175" s="133">
        <f>'Optional Adjustment 11'!G1178*$AC$1</f>
        <v>0</v>
      </c>
      <c r="AD1175" s="133">
        <f>'Optional Adjustment 12'!G1178*$AD$1</f>
        <v>0</v>
      </c>
      <c r="AE1175" s="133">
        <f>'Optional Adjustment 13'!G1178*$AE$1</f>
        <v>0</v>
      </c>
      <c r="AF1175" s="133">
        <f>'Optional Adjustment 14'!G1178*$AF$1</f>
        <v>0</v>
      </c>
      <c r="AG1175" s="133">
        <f>'Optional Adjustment 15'!G1178*$AG$1</f>
        <v>0</v>
      </c>
      <c r="AH1175" s="133">
        <f>'Optional Adjustment 16'!G1178*$AH$1</f>
        <v>0</v>
      </c>
      <c r="AI1175" s="133">
        <f>'Optional Adjustment 17'!G1178*$AI$1</f>
        <v>0</v>
      </c>
      <c r="AJ1175" s="133">
        <f>'Optional Adjustment 18'!G1178*$AJ$1</f>
        <v>0</v>
      </c>
      <c r="AK1175" s="133">
        <f>'Optional Adjustment 19'!G1178*$AK$1</f>
        <v>0</v>
      </c>
      <c r="AL1175" s="133">
        <f>'Optional Adjustment 20'!G1178*$AL$1</f>
        <v>0</v>
      </c>
      <c r="AM1175" s="133">
        <f>'Optional Adjustment 21'!G1178*$AM$1</f>
        <v>0</v>
      </c>
      <c r="AN1175" s="133">
        <f>'Optional Adjustment 22'!G1178*$AN$1</f>
        <v>0</v>
      </c>
      <c r="AO1175" s="133">
        <f>'Optional Adjustment 23'!G1178*$AO$1</f>
        <v>0</v>
      </c>
      <c r="AP1175" s="133">
        <f>'Optional Adjustment 24'!G1178*$AP$1</f>
        <v>0</v>
      </c>
      <c r="AQ1175" s="133">
        <f>'Optional Adjustment 25'!G1178*$AQ$1</f>
        <v>0</v>
      </c>
      <c r="AR1175" s="133">
        <f>'Optional Adjustment 26'!G1178*$AR$1</f>
        <v>0</v>
      </c>
      <c r="AS1175" s="133">
        <f>'Optional Adjustment 27'!G1178*$AS$1</f>
        <v>0</v>
      </c>
      <c r="AT1175" s="133"/>
      <c r="AU1175" s="133">
        <f>SUM(F1175:AT1175)</f>
        <v>854.65140200000099</v>
      </c>
      <c r="AV1175" s="116"/>
      <c r="AW1175" s="133">
        <f>SUM(AU1175:AU1175)</f>
        <v>854.65140200000099</v>
      </c>
      <c r="AX1175" s="133">
        <f>+AW1175-'ROR-Model'!G1192</f>
        <v>0</v>
      </c>
    </row>
    <row r="1176" spans="1:50">
      <c r="A1176" s="134"/>
      <c r="B1176" s="106"/>
      <c r="C1176" s="106" t="s">
        <v>593</v>
      </c>
      <c r="D1176" s="106"/>
      <c r="F1176" s="116">
        <f>'Rate Base'!$AQ$241*F1</f>
        <v>25936.928597999999</v>
      </c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Q1176" s="133"/>
      <c r="R1176" s="133"/>
      <c r="S1176" s="133"/>
      <c r="T1176" s="133">
        <f>'Optional Adjustment 2'!G1179*$T$1</f>
        <v>0</v>
      </c>
      <c r="U1176" s="133">
        <f>'Optional Adjustment 3'!G1179*$U$1</f>
        <v>0</v>
      </c>
      <c r="V1176" s="133">
        <f>'Optional Adjustment 4'!G1179*$V$1</f>
        <v>0</v>
      </c>
      <c r="W1176" s="133">
        <f>'Optional Adjustment 5'!G1179*$W$1</f>
        <v>0</v>
      </c>
      <c r="X1176" s="133">
        <f>'Optional Adjustment 6'!G1179*$X$1</f>
        <v>0</v>
      </c>
      <c r="Y1176" s="133">
        <f>'Optional Adjustment 7'!G1179*$Y$1</f>
        <v>0</v>
      </c>
      <c r="Z1176" s="133">
        <f>'Optional Adjustment 8'!G1179*$Z$1</f>
        <v>0</v>
      </c>
      <c r="AA1176" s="133">
        <f>'Optional Adjustment 9'!G1179*$AA$1</f>
        <v>0</v>
      </c>
      <c r="AB1176" s="133">
        <f>'Optional Adjustment 10'!G1179*$AB$1</f>
        <v>0</v>
      </c>
      <c r="AC1176" s="133">
        <f>'Optional Adjustment 11'!G1179*$AC$1</f>
        <v>0</v>
      </c>
      <c r="AD1176" s="133">
        <f>'Optional Adjustment 12'!G1179*$AD$1</f>
        <v>0</v>
      </c>
      <c r="AE1176" s="133">
        <f>'Optional Adjustment 13'!G1179*$AE$1</f>
        <v>0</v>
      </c>
      <c r="AF1176" s="133">
        <f>'Optional Adjustment 14'!G1179*$AF$1</f>
        <v>0</v>
      </c>
      <c r="AG1176" s="133">
        <f>'Optional Adjustment 15'!G1179*$AG$1</f>
        <v>0</v>
      </c>
      <c r="AH1176" s="133">
        <f>'Optional Adjustment 16'!G1179*$AH$1</f>
        <v>0</v>
      </c>
      <c r="AI1176" s="133">
        <f>'Optional Adjustment 17'!G1179*$AI$1</f>
        <v>0</v>
      </c>
      <c r="AJ1176" s="133">
        <f>'Optional Adjustment 18'!G1179*$AJ$1</f>
        <v>0</v>
      </c>
      <c r="AK1176" s="133">
        <f>'Optional Adjustment 19'!G1179*$AK$1</f>
        <v>0</v>
      </c>
      <c r="AL1176" s="133">
        <f>'Optional Adjustment 20'!G1179*$AL$1</f>
        <v>0</v>
      </c>
      <c r="AM1176" s="133">
        <f>'Optional Adjustment 21'!G1179*$AM$1</f>
        <v>0</v>
      </c>
      <c r="AN1176" s="133">
        <f>'Optional Adjustment 22'!G1179*$AN$1</f>
        <v>0</v>
      </c>
      <c r="AO1176" s="133">
        <f>'Optional Adjustment 23'!G1179*$AO$1</f>
        <v>0</v>
      </c>
      <c r="AP1176" s="133">
        <f>'Optional Adjustment 24'!G1179*$AP$1</f>
        <v>0</v>
      </c>
      <c r="AQ1176" s="133">
        <f>'Optional Adjustment 25'!G1179*$AQ$1</f>
        <v>0</v>
      </c>
      <c r="AR1176" s="133">
        <f>'Optional Adjustment 26'!G1179*$AR$1</f>
        <v>0</v>
      </c>
      <c r="AS1176" s="133">
        <f>'Optional Adjustment 27'!G1179*$AS$1</f>
        <v>0</v>
      </c>
      <c r="AT1176" s="133"/>
      <c r="AU1176" s="133">
        <f>SUM(F1176:AT1176)</f>
        <v>25936.928597999999</v>
      </c>
      <c r="AV1176" s="116"/>
      <c r="AW1176" s="133">
        <f>SUM(AU1176:AU1176)</f>
        <v>25936.928597999999</v>
      </c>
      <c r="AX1176" s="133">
        <f>+AW1176-'ROR-Model'!G1193</f>
        <v>0</v>
      </c>
    </row>
    <row r="1177" spans="1:50">
      <c r="A1177" s="134"/>
      <c r="B1177" s="106"/>
      <c r="C1177" s="106" t="s">
        <v>595</v>
      </c>
      <c r="D1177" s="106"/>
      <c r="F1177" s="116">
        <f>'Rate Base'!$AQ$242*F1</f>
        <v>527.25</v>
      </c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Q1177" s="133"/>
      <c r="R1177" s="133"/>
      <c r="S1177" s="133"/>
      <c r="T1177" s="133">
        <f>'Optional Adjustment 2'!G1180*$T$1</f>
        <v>0</v>
      </c>
      <c r="U1177" s="133">
        <f>'Optional Adjustment 3'!G1180*$U$1</f>
        <v>0</v>
      </c>
      <c r="V1177" s="133">
        <f>'Optional Adjustment 4'!G1180*$V$1</f>
        <v>0</v>
      </c>
      <c r="W1177" s="133">
        <f>'Optional Adjustment 5'!G1180*$W$1</f>
        <v>0</v>
      </c>
      <c r="X1177" s="133">
        <f>'Optional Adjustment 6'!G1180*$X$1</f>
        <v>0</v>
      </c>
      <c r="Y1177" s="133">
        <f>'Optional Adjustment 7'!G1180*$Y$1</f>
        <v>0</v>
      </c>
      <c r="Z1177" s="133">
        <f>'Optional Adjustment 8'!G1180*$Z$1</f>
        <v>0</v>
      </c>
      <c r="AA1177" s="133">
        <f>'Optional Adjustment 9'!G1180*$AA$1</f>
        <v>0</v>
      </c>
      <c r="AB1177" s="133">
        <f>'Optional Adjustment 10'!G1180*$AB$1</f>
        <v>0</v>
      </c>
      <c r="AC1177" s="133">
        <f>'Optional Adjustment 11'!G1180*$AC$1</f>
        <v>0</v>
      </c>
      <c r="AD1177" s="133">
        <f>'Optional Adjustment 12'!G1180*$AD$1</f>
        <v>0</v>
      </c>
      <c r="AE1177" s="133">
        <f>'Optional Adjustment 13'!G1180*$AE$1</f>
        <v>0</v>
      </c>
      <c r="AF1177" s="133">
        <f>'Optional Adjustment 14'!G1180*$AF$1</f>
        <v>0</v>
      </c>
      <c r="AG1177" s="133">
        <f>'Optional Adjustment 15'!G1180*$AG$1</f>
        <v>0</v>
      </c>
      <c r="AH1177" s="133">
        <f>'Optional Adjustment 16'!G1180*$AH$1</f>
        <v>0</v>
      </c>
      <c r="AI1177" s="133">
        <f>'Optional Adjustment 17'!G1180*$AI$1</f>
        <v>0</v>
      </c>
      <c r="AJ1177" s="133">
        <f>'Optional Adjustment 18'!G1180*$AJ$1</f>
        <v>0</v>
      </c>
      <c r="AK1177" s="133">
        <f>'Optional Adjustment 19'!G1180*$AK$1</f>
        <v>0</v>
      </c>
      <c r="AL1177" s="133">
        <f>'Optional Adjustment 20'!G1180*$AL$1</f>
        <v>0</v>
      </c>
      <c r="AM1177" s="133">
        <f>'Optional Adjustment 21'!G1180*$AM$1</f>
        <v>0</v>
      </c>
      <c r="AN1177" s="133">
        <f>'Optional Adjustment 22'!G1180*$AN$1</f>
        <v>0</v>
      </c>
      <c r="AO1177" s="133">
        <f>'Optional Adjustment 23'!G1180*$AO$1</f>
        <v>0</v>
      </c>
      <c r="AP1177" s="133">
        <f>'Optional Adjustment 24'!G1180*$AP$1</f>
        <v>0</v>
      </c>
      <c r="AQ1177" s="133">
        <f>'Optional Adjustment 25'!G1180*$AQ$1</f>
        <v>0</v>
      </c>
      <c r="AR1177" s="133">
        <f>'Optional Adjustment 26'!G1180*$AR$1</f>
        <v>0</v>
      </c>
      <c r="AS1177" s="133">
        <f>'Optional Adjustment 27'!G1180*$AS$1</f>
        <v>0</v>
      </c>
      <c r="AT1177" s="133"/>
      <c r="AU1177" s="133">
        <f>SUM(F1177:AT1177)</f>
        <v>527.25</v>
      </c>
      <c r="AV1177" s="116"/>
      <c r="AW1177" s="133">
        <f>SUM(AU1177:AU1177)</f>
        <v>527.25</v>
      </c>
      <c r="AX1177" s="133">
        <f>+AW1177-'ROR-Model'!G1194</f>
        <v>0</v>
      </c>
    </row>
    <row r="1178" spans="1:50">
      <c r="A1178" s="134"/>
      <c r="B1178" s="106"/>
      <c r="C1178" s="106" t="s">
        <v>170</v>
      </c>
      <c r="D1178" s="106"/>
      <c r="F1178" s="131">
        <f>SUM(F1174:F1177)</f>
        <v>28629.62</v>
      </c>
      <c r="G1178" s="131">
        <f>G1*SUM(G1174:G1177)</f>
        <v>0</v>
      </c>
      <c r="H1178" s="131">
        <f>H1*SUM(H1174:H1177)</f>
        <v>0</v>
      </c>
      <c r="I1178" s="131">
        <f>SUM(I1174:I1177)</f>
        <v>0</v>
      </c>
      <c r="J1178" s="131">
        <f t="shared" ref="J1178:P1178" si="1318">SUM(J1174:J1177)</f>
        <v>0</v>
      </c>
      <c r="K1178" s="131">
        <f t="shared" si="1318"/>
        <v>0</v>
      </c>
      <c r="L1178" s="131">
        <f t="shared" si="1318"/>
        <v>0</v>
      </c>
      <c r="M1178" s="131">
        <f t="shared" si="1318"/>
        <v>0</v>
      </c>
      <c r="N1178" s="131">
        <f t="shared" si="1318"/>
        <v>0</v>
      </c>
      <c r="O1178" s="131">
        <f t="shared" si="1318"/>
        <v>0</v>
      </c>
      <c r="P1178" s="131">
        <f t="shared" si="1318"/>
        <v>0</v>
      </c>
      <c r="Q1178" s="241">
        <f t="shared" ref="Q1178:W1178" si="1319">SUM(Q1174:Q1177)</f>
        <v>0</v>
      </c>
      <c r="R1178" s="241">
        <f t="shared" si="1319"/>
        <v>0</v>
      </c>
      <c r="S1178" s="556"/>
      <c r="T1178" s="556">
        <f t="shared" si="1319"/>
        <v>0</v>
      </c>
      <c r="U1178" s="556">
        <f t="shared" si="1319"/>
        <v>0</v>
      </c>
      <c r="V1178" s="556">
        <f t="shared" si="1319"/>
        <v>0</v>
      </c>
      <c r="W1178" s="556">
        <f t="shared" si="1319"/>
        <v>0</v>
      </c>
      <c r="X1178" s="556">
        <f t="shared" ref="X1178:AG1178" si="1320">SUM(X1174:X1177)</f>
        <v>0</v>
      </c>
      <c r="Y1178" s="556">
        <f t="shared" si="1320"/>
        <v>0</v>
      </c>
      <c r="Z1178" s="556">
        <f t="shared" si="1320"/>
        <v>0</v>
      </c>
      <c r="AA1178" s="556">
        <f t="shared" si="1320"/>
        <v>0</v>
      </c>
      <c r="AB1178" s="556">
        <f t="shared" si="1320"/>
        <v>0</v>
      </c>
      <c r="AC1178" s="556">
        <f t="shared" si="1320"/>
        <v>0</v>
      </c>
      <c r="AD1178" s="556">
        <f t="shared" si="1320"/>
        <v>0</v>
      </c>
      <c r="AE1178" s="556">
        <f t="shared" si="1320"/>
        <v>0</v>
      </c>
      <c r="AF1178" s="556">
        <f t="shared" si="1320"/>
        <v>0</v>
      </c>
      <c r="AG1178" s="556">
        <f t="shared" si="1320"/>
        <v>0</v>
      </c>
      <c r="AH1178" s="556">
        <f t="shared" ref="AH1178:AK1178" si="1321">SUM(AH1174:AH1177)</f>
        <v>0</v>
      </c>
      <c r="AI1178" s="556">
        <f t="shared" si="1321"/>
        <v>0</v>
      </c>
      <c r="AJ1178" s="556">
        <f t="shared" si="1321"/>
        <v>0</v>
      </c>
      <c r="AK1178" s="556">
        <f t="shared" si="1321"/>
        <v>0</v>
      </c>
      <c r="AL1178" s="556">
        <f t="shared" ref="AL1178:AP1178" si="1322">SUM(AL1174:AL1177)</f>
        <v>0</v>
      </c>
      <c r="AM1178" s="556">
        <f t="shared" si="1322"/>
        <v>0</v>
      </c>
      <c r="AN1178" s="556">
        <f t="shared" si="1322"/>
        <v>0</v>
      </c>
      <c r="AO1178" s="556">
        <f t="shared" si="1322"/>
        <v>0</v>
      </c>
      <c r="AP1178" s="556">
        <f t="shared" si="1322"/>
        <v>0</v>
      </c>
      <c r="AQ1178" s="556">
        <f t="shared" ref="AQ1178:AS1178" si="1323">SUM(AQ1174:AQ1177)</f>
        <v>0</v>
      </c>
      <c r="AR1178" s="556">
        <f t="shared" si="1323"/>
        <v>0</v>
      </c>
      <c r="AS1178" s="556">
        <f t="shared" si="1323"/>
        <v>0</v>
      </c>
      <c r="AT1178" s="556"/>
      <c r="AU1178" s="241">
        <f>SUM(AU1174:AU1177)</f>
        <v>28629.62</v>
      </c>
      <c r="AV1178" s="131"/>
      <c r="AW1178" s="241">
        <f>SUM(AW1174:AW1177)</f>
        <v>28629.62</v>
      </c>
      <c r="AX1178" s="241">
        <f>+AW1178-'ROR-Model'!G1195</f>
        <v>0</v>
      </c>
    </row>
    <row r="1179" spans="1:50">
      <c r="A1179" s="134"/>
      <c r="B1179" s="106"/>
      <c r="C1179" s="106"/>
      <c r="D1179" s="10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Q1179" s="133"/>
      <c r="R1179" s="133"/>
      <c r="S1179" s="133"/>
      <c r="T1179" s="133"/>
      <c r="U1179" s="133"/>
      <c r="V1179" s="133"/>
      <c r="W1179" s="133"/>
      <c r="X1179" s="133"/>
      <c r="Y1179" s="133"/>
      <c r="Z1179" s="133"/>
      <c r="AA1179" s="133"/>
      <c r="AB1179" s="133"/>
      <c r="AC1179" s="133"/>
      <c r="AD1179" s="133"/>
      <c r="AE1179" s="133"/>
      <c r="AF1179" s="133"/>
      <c r="AG1179" s="133"/>
      <c r="AH1179" s="133"/>
      <c r="AI1179" s="133"/>
      <c r="AJ1179" s="133"/>
      <c r="AK1179" s="133"/>
      <c r="AL1179" s="133"/>
      <c r="AM1179" s="133"/>
      <c r="AN1179" s="133"/>
      <c r="AO1179" s="133"/>
      <c r="AP1179" s="133"/>
      <c r="AQ1179" s="133"/>
      <c r="AR1179" s="133"/>
      <c r="AS1179" s="133"/>
      <c r="AT1179" s="133"/>
      <c r="AU1179" s="133"/>
      <c r="AV1179" s="116"/>
      <c r="AW1179" s="133"/>
      <c r="AX1179" s="133">
        <f>+AW1179-'ROR-Model'!G1196</f>
        <v>0</v>
      </c>
    </row>
    <row r="1180" spans="1:50">
      <c r="A1180" s="134">
        <v>2820</v>
      </c>
      <c r="B1180" s="106" t="s">
        <v>477</v>
      </c>
      <c r="C1180" s="106"/>
      <c r="D1180" s="10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Q1180" s="133"/>
      <c r="R1180" s="133"/>
      <c r="S1180" s="133"/>
      <c r="T1180" s="133"/>
      <c r="U1180" s="133"/>
      <c r="V1180" s="133"/>
      <c r="W1180" s="133"/>
      <c r="X1180" s="133"/>
      <c r="Y1180" s="133"/>
      <c r="Z1180" s="133"/>
      <c r="AA1180" s="133"/>
      <c r="AB1180" s="133"/>
      <c r="AC1180" s="133"/>
      <c r="AD1180" s="133"/>
      <c r="AE1180" s="133"/>
      <c r="AF1180" s="133"/>
      <c r="AG1180" s="133"/>
      <c r="AH1180" s="133"/>
      <c r="AI1180" s="133"/>
      <c r="AJ1180" s="133"/>
      <c r="AK1180" s="133"/>
      <c r="AL1180" s="133"/>
      <c r="AM1180" s="133"/>
      <c r="AN1180" s="133"/>
      <c r="AO1180" s="133"/>
      <c r="AP1180" s="133"/>
      <c r="AQ1180" s="133"/>
      <c r="AR1180" s="133"/>
      <c r="AS1180" s="133"/>
      <c r="AT1180" s="133"/>
      <c r="AU1180" s="133"/>
      <c r="AV1180" s="116"/>
      <c r="AW1180" s="133"/>
      <c r="AX1180" s="133">
        <f>+AW1180-'ROR-Model'!G1197</f>
        <v>0</v>
      </c>
    </row>
    <row r="1181" spans="1:50">
      <c r="A1181" s="134"/>
      <c r="B1181" s="106"/>
      <c r="C1181" s="106" t="s">
        <v>443</v>
      </c>
      <c r="D1181" s="106"/>
      <c r="F1181" s="116">
        <f>'Rate Base'!$AQ$246*F1</f>
        <v>-3941.1490184740396</v>
      </c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Q1181" s="133"/>
      <c r="R1181" s="133"/>
      <c r="S1181" s="133"/>
      <c r="T1181" s="133">
        <f>'Optional Adjustment 2'!G1184*$T$1</f>
        <v>0</v>
      </c>
      <c r="U1181" s="133">
        <f>'Optional Adjustment 3'!G1184*$U$1</f>
        <v>0</v>
      </c>
      <c r="V1181" s="133">
        <f>'Optional Adjustment 4'!G1184*$V$1</f>
        <v>0</v>
      </c>
      <c r="W1181" s="133">
        <f>'Optional Adjustment 5'!G1184*$W$1</f>
        <v>0</v>
      </c>
      <c r="X1181" s="133">
        <f>'Optional Adjustment 6'!G1184*$X$1</f>
        <v>0</v>
      </c>
      <c r="Y1181" s="133">
        <f>'Optional Adjustment 7'!G1184*$Y$1</f>
        <v>0</v>
      </c>
      <c r="Z1181" s="133">
        <f>'Optional Adjustment 8'!G1184*$Z$1</f>
        <v>0</v>
      </c>
      <c r="AA1181" s="133">
        <f>'Optional Adjustment 9'!G1184*$AA$1</f>
        <v>0</v>
      </c>
      <c r="AB1181" s="133">
        <f>'Optional Adjustment 10'!G1184*$AB$1</f>
        <v>0</v>
      </c>
      <c r="AC1181" s="133">
        <f>'Optional Adjustment 11'!G1184*$AC$1</f>
        <v>0</v>
      </c>
      <c r="AD1181" s="133">
        <f>'Optional Adjustment 12'!G1184*$AD$1</f>
        <v>0</v>
      </c>
      <c r="AE1181" s="133">
        <f>'Optional Adjustment 13'!G1184*$AE$1</f>
        <v>0</v>
      </c>
      <c r="AF1181" s="133">
        <f>'Optional Adjustment 14'!G1184*$AF$1</f>
        <v>0</v>
      </c>
      <c r="AG1181" s="133">
        <f>'Optional Adjustment 15'!G1184*$AG$1</f>
        <v>0</v>
      </c>
      <c r="AH1181" s="133">
        <f>'Optional Adjustment 16'!G1184*$AH$1</f>
        <v>0</v>
      </c>
      <c r="AI1181" s="133">
        <f>'Optional Adjustment 17'!G1184*$AI$1</f>
        <v>0</v>
      </c>
      <c r="AJ1181" s="133">
        <f>'Optional Adjustment 18'!G1184*$AJ$1</f>
        <v>0</v>
      </c>
      <c r="AK1181" s="133">
        <f>'Optional Adjustment 19'!G1184*$AK$1</f>
        <v>0</v>
      </c>
      <c r="AL1181" s="133">
        <f>'Optional Adjustment 20'!G1184*$AL$1</f>
        <v>0</v>
      </c>
      <c r="AM1181" s="133">
        <f>'Optional Adjustment 21'!G1184*$AM$1</f>
        <v>0</v>
      </c>
      <c r="AN1181" s="133">
        <f>'Optional Adjustment 22'!G1184*$AN$1</f>
        <v>0</v>
      </c>
      <c r="AO1181" s="133">
        <f>'Optional Adjustment 23'!G1184*$AO$1</f>
        <v>0</v>
      </c>
      <c r="AP1181" s="133">
        <f>'Optional Adjustment 24'!G1184*$AP$1</f>
        <v>0</v>
      </c>
      <c r="AQ1181" s="133">
        <f>'Optional Adjustment 25'!G1184*$AQ$1</f>
        <v>0</v>
      </c>
      <c r="AR1181" s="133">
        <f>'Optional Adjustment 26'!G1184*$AR$1</f>
        <v>0</v>
      </c>
      <c r="AS1181" s="133">
        <f>'Optional Adjustment 27'!G1184*$AS$1</f>
        <v>0</v>
      </c>
      <c r="AT1181" s="133"/>
      <c r="AU1181" s="133">
        <f>SUM(F1181:AT1181)</f>
        <v>-3941.1490184740396</v>
      </c>
      <c r="AV1181" s="116"/>
      <c r="AW1181" s="133">
        <f>SUM(AU1181:AU1181)</f>
        <v>-3941.1490184740396</v>
      </c>
      <c r="AX1181" s="133">
        <f>+AW1181-'ROR-Model'!G1198</f>
        <v>0</v>
      </c>
    </row>
    <row r="1182" spans="1:50">
      <c r="A1182" s="134"/>
      <c r="B1182" s="106"/>
      <c r="C1182" s="106" t="s">
        <v>592</v>
      </c>
      <c r="D1182" s="106"/>
      <c r="F1182" s="116">
        <f>'Rate Base'!$AQ$247*F1</f>
        <v>757644.39057443477</v>
      </c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Q1182" s="133"/>
      <c r="R1182" s="133"/>
      <c r="S1182" s="133"/>
      <c r="T1182" s="133">
        <f>'Optional Adjustment 2'!G1185*$T$1</f>
        <v>0</v>
      </c>
      <c r="U1182" s="133">
        <f>'Optional Adjustment 3'!G1185*$U$1</f>
        <v>0</v>
      </c>
      <c r="V1182" s="133">
        <f>'Optional Adjustment 4'!G1185*$V$1</f>
        <v>0</v>
      </c>
      <c r="W1182" s="133">
        <f>'Optional Adjustment 5'!G1185*$W$1</f>
        <v>0</v>
      </c>
      <c r="X1182" s="133">
        <f>'Optional Adjustment 6'!G1185*$X$1</f>
        <v>0</v>
      </c>
      <c r="Y1182" s="133">
        <f>'Optional Adjustment 7'!G1185*$Y$1</f>
        <v>0</v>
      </c>
      <c r="Z1182" s="133">
        <f>'Optional Adjustment 8'!G1185*$Z$1</f>
        <v>0</v>
      </c>
      <c r="AA1182" s="133">
        <f>'Optional Adjustment 9'!G1185*$AA$1</f>
        <v>0</v>
      </c>
      <c r="AB1182" s="133">
        <f>'Optional Adjustment 10'!G1185*$AB$1</f>
        <v>0</v>
      </c>
      <c r="AC1182" s="133">
        <f>'Optional Adjustment 11'!G1185*$AC$1</f>
        <v>0</v>
      </c>
      <c r="AD1182" s="133">
        <f>'Optional Adjustment 12'!G1185*$AD$1</f>
        <v>0</v>
      </c>
      <c r="AE1182" s="133">
        <f>'Optional Adjustment 13'!G1185*$AE$1</f>
        <v>0</v>
      </c>
      <c r="AF1182" s="133">
        <f>'Optional Adjustment 14'!G1185*$AF$1</f>
        <v>0</v>
      </c>
      <c r="AG1182" s="133">
        <f>'Optional Adjustment 15'!G1185*$AG$1</f>
        <v>0</v>
      </c>
      <c r="AH1182" s="133">
        <f>'Optional Adjustment 16'!G1185*$AH$1</f>
        <v>0</v>
      </c>
      <c r="AI1182" s="133">
        <f>'Optional Adjustment 17'!G1185*$AI$1</f>
        <v>0</v>
      </c>
      <c r="AJ1182" s="133">
        <f>'Optional Adjustment 18'!G1185*$AJ$1</f>
        <v>0</v>
      </c>
      <c r="AK1182" s="133">
        <f>'Optional Adjustment 19'!G1185*$AK$1</f>
        <v>0</v>
      </c>
      <c r="AL1182" s="133">
        <f>'Optional Adjustment 20'!G1185*$AL$1</f>
        <v>0</v>
      </c>
      <c r="AM1182" s="133">
        <f>'Optional Adjustment 21'!G1185*$AM$1</f>
        <v>0</v>
      </c>
      <c r="AN1182" s="133">
        <f>'Optional Adjustment 22'!G1185*$AN$1</f>
        <v>0</v>
      </c>
      <c r="AO1182" s="133">
        <f>'Optional Adjustment 23'!G1185*$AO$1</f>
        <v>0</v>
      </c>
      <c r="AP1182" s="133">
        <f>'Optional Adjustment 24'!G1185*$AP$1</f>
        <v>0</v>
      </c>
      <c r="AQ1182" s="133">
        <f>'Optional Adjustment 25'!G1185*$AQ$1</f>
        <v>0</v>
      </c>
      <c r="AR1182" s="133">
        <f>'Optional Adjustment 26'!G1185*$AR$1</f>
        <v>0</v>
      </c>
      <c r="AS1182" s="133">
        <f>'Optional Adjustment 27'!G1185*$AS$1</f>
        <v>0</v>
      </c>
      <c r="AT1182" s="133"/>
      <c r="AU1182" s="133">
        <f>SUM(F1182:AT1182)</f>
        <v>757644.39057443477</v>
      </c>
      <c r="AV1182" s="116"/>
      <c r="AW1182" s="133">
        <f>SUM(AU1182:AU1182)</f>
        <v>757644.39057443477</v>
      </c>
      <c r="AX1182" s="133">
        <f>+AW1182-'ROR-Model'!G1199</f>
        <v>0</v>
      </c>
    </row>
    <row r="1183" spans="1:50">
      <c r="A1183" s="134"/>
      <c r="B1183" s="106"/>
      <c r="C1183" s="106" t="s">
        <v>593</v>
      </c>
      <c r="D1183" s="106"/>
      <c r="F1183" s="116">
        <f>'Rate Base'!$AQ$248*F1</f>
        <v>22992963.464423597</v>
      </c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Q1183" s="133"/>
      <c r="R1183" s="133"/>
      <c r="S1183" s="133"/>
      <c r="T1183" s="133">
        <f>'Optional Adjustment 2'!G1186*$T$1</f>
        <v>0</v>
      </c>
      <c r="U1183" s="133">
        <f>'Optional Adjustment 3'!G1186*$U$1</f>
        <v>0</v>
      </c>
      <c r="V1183" s="133">
        <f>'Optional Adjustment 4'!G1186*$V$1</f>
        <v>0</v>
      </c>
      <c r="W1183" s="133">
        <f>'Optional Adjustment 5'!G1186*$W$1</f>
        <v>0</v>
      </c>
      <c r="X1183" s="133">
        <f>'Optional Adjustment 6'!G1186*$X$1</f>
        <v>0</v>
      </c>
      <c r="Y1183" s="133">
        <f>'Optional Adjustment 7'!G1186*$Y$1</f>
        <v>0</v>
      </c>
      <c r="Z1183" s="133">
        <f>'Optional Adjustment 8'!G1186*$Z$1</f>
        <v>0</v>
      </c>
      <c r="AA1183" s="133">
        <f>'Optional Adjustment 9'!G1186*$AA$1</f>
        <v>0</v>
      </c>
      <c r="AB1183" s="133">
        <f>'Optional Adjustment 10'!G1186*$AB$1</f>
        <v>0</v>
      </c>
      <c r="AC1183" s="133">
        <f>'Optional Adjustment 11'!G1186*$AC$1</f>
        <v>0</v>
      </c>
      <c r="AD1183" s="133">
        <f>'Optional Adjustment 12'!G1186*$AD$1</f>
        <v>0</v>
      </c>
      <c r="AE1183" s="133">
        <f>'Optional Adjustment 13'!G1186*$AE$1</f>
        <v>0</v>
      </c>
      <c r="AF1183" s="133">
        <f>'Optional Adjustment 14'!G1186*$AF$1</f>
        <v>0</v>
      </c>
      <c r="AG1183" s="133">
        <f>'Optional Adjustment 15'!G1186*$AG$1</f>
        <v>0</v>
      </c>
      <c r="AH1183" s="133">
        <f>'Optional Adjustment 16'!G1186*$AH$1</f>
        <v>0</v>
      </c>
      <c r="AI1183" s="133">
        <f>'Optional Adjustment 17'!G1186*$AI$1</f>
        <v>0</v>
      </c>
      <c r="AJ1183" s="133">
        <f>'Optional Adjustment 18'!G1186*$AJ$1</f>
        <v>0</v>
      </c>
      <c r="AK1183" s="133">
        <f>'Optional Adjustment 19'!G1186*$AK$1</f>
        <v>0</v>
      </c>
      <c r="AL1183" s="133">
        <f>'Optional Adjustment 20'!G1186*$AL$1</f>
        <v>0</v>
      </c>
      <c r="AM1183" s="133">
        <f>'Optional Adjustment 21'!G1186*$AM$1</f>
        <v>0</v>
      </c>
      <c r="AN1183" s="133">
        <f>'Optional Adjustment 22'!G1186*$AN$1</f>
        <v>0</v>
      </c>
      <c r="AO1183" s="133">
        <f>'Optional Adjustment 23'!G1186*$AO$1</f>
        <v>0</v>
      </c>
      <c r="AP1183" s="133">
        <f>'Optional Adjustment 24'!G1186*$AP$1</f>
        <v>0</v>
      </c>
      <c r="AQ1183" s="133">
        <f>'Optional Adjustment 25'!G1186*$AQ$1</f>
        <v>0</v>
      </c>
      <c r="AR1183" s="133">
        <f>'Optional Adjustment 26'!G1186*$AR$1</f>
        <v>0</v>
      </c>
      <c r="AS1183" s="133">
        <f>'Optional Adjustment 27'!G1186*$AS$1</f>
        <v>0</v>
      </c>
      <c r="AT1183" s="133"/>
      <c r="AU1183" s="133">
        <f>SUM(F1183:AT1183)</f>
        <v>22992963.464423597</v>
      </c>
      <c r="AV1183" s="116"/>
      <c r="AW1183" s="133">
        <f>SUM(AU1183:AU1183)</f>
        <v>22992963.464423597</v>
      </c>
      <c r="AX1183" s="133">
        <f>+AW1183-'ROR-Model'!G1200</f>
        <v>0</v>
      </c>
    </row>
    <row r="1184" spans="1:50">
      <c r="A1184" s="134"/>
      <c r="B1184" s="106"/>
      <c r="C1184" s="106" t="s">
        <v>595</v>
      </c>
      <c r="D1184" s="106"/>
      <c r="F1184" s="116">
        <f>'Rate Base'!$AQ$249*F1</f>
        <v>1144227.3016057033</v>
      </c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Q1184" s="133"/>
      <c r="R1184" s="133"/>
      <c r="S1184" s="133"/>
      <c r="T1184" s="133">
        <f>'Optional Adjustment 2'!G1187*$T$1</f>
        <v>0</v>
      </c>
      <c r="U1184" s="133">
        <f>'Optional Adjustment 3'!G1187*$U$1</f>
        <v>0</v>
      </c>
      <c r="V1184" s="133">
        <f>'Optional Adjustment 4'!G1187*$V$1</f>
        <v>0</v>
      </c>
      <c r="W1184" s="133">
        <f>'Optional Adjustment 5'!G1187*$W$1</f>
        <v>0</v>
      </c>
      <c r="X1184" s="133">
        <f>'Optional Adjustment 6'!G1187*$X$1</f>
        <v>0</v>
      </c>
      <c r="Y1184" s="133">
        <f>'Optional Adjustment 7'!G1187*$Y$1</f>
        <v>0</v>
      </c>
      <c r="Z1184" s="133">
        <f>'Optional Adjustment 8'!G1187*$Z$1</f>
        <v>0</v>
      </c>
      <c r="AA1184" s="133">
        <f>'Optional Adjustment 9'!G1187*$AA$1</f>
        <v>0</v>
      </c>
      <c r="AB1184" s="133">
        <f>'Optional Adjustment 10'!G1187*$AB$1</f>
        <v>0</v>
      </c>
      <c r="AC1184" s="133">
        <f>'Optional Adjustment 11'!G1187*$AC$1</f>
        <v>0</v>
      </c>
      <c r="AD1184" s="133">
        <f>'Optional Adjustment 12'!G1187*$AD$1</f>
        <v>0</v>
      </c>
      <c r="AE1184" s="133">
        <f>'Optional Adjustment 13'!G1187*$AE$1</f>
        <v>0</v>
      </c>
      <c r="AF1184" s="133">
        <f>'Optional Adjustment 14'!G1187*$AF$1</f>
        <v>0</v>
      </c>
      <c r="AG1184" s="133">
        <f>'Optional Adjustment 15'!G1187*$AG$1</f>
        <v>0</v>
      </c>
      <c r="AH1184" s="133">
        <f>'Optional Adjustment 16'!G1187*$AH$1</f>
        <v>0</v>
      </c>
      <c r="AI1184" s="133">
        <f>'Optional Adjustment 17'!G1187*$AI$1</f>
        <v>0</v>
      </c>
      <c r="AJ1184" s="133">
        <f>'Optional Adjustment 18'!G1187*$AJ$1</f>
        <v>0</v>
      </c>
      <c r="AK1184" s="133">
        <f>'Optional Adjustment 19'!G1187*$AK$1</f>
        <v>0</v>
      </c>
      <c r="AL1184" s="133">
        <f>'Optional Adjustment 20'!G1187*$AL$1</f>
        <v>0</v>
      </c>
      <c r="AM1184" s="133">
        <f>'Optional Adjustment 21'!G1187*$AM$1</f>
        <v>0</v>
      </c>
      <c r="AN1184" s="133">
        <f>'Optional Adjustment 22'!G1187*$AN$1</f>
        <v>0</v>
      </c>
      <c r="AO1184" s="133">
        <f>'Optional Adjustment 23'!G1187*$AO$1</f>
        <v>0</v>
      </c>
      <c r="AP1184" s="133">
        <f>'Optional Adjustment 24'!G1187*$AP$1</f>
        <v>0</v>
      </c>
      <c r="AQ1184" s="133">
        <f>'Optional Adjustment 25'!G1187*$AQ$1</f>
        <v>0</v>
      </c>
      <c r="AR1184" s="133">
        <f>'Optional Adjustment 26'!G1187*$AR$1</f>
        <v>0</v>
      </c>
      <c r="AS1184" s="133">
        <f>'Optional Adjustment 27'!G1187*$AS$1</f>
        <v>0</v>
      </c>
      <c r="AT1184" s="133"/>
      <c r="AU1184" s="133">
        <f>SUM(F1184:AT1184)</f>
        <v>1144227.3016057033</v>
      </c>
      <c r="AV1184" s="116"/>
      <c r="AW1184" s="133">
        <f>SUM(AU1184:AU1184)</f>
        <v>1144227.3016057033</v>
      </c>
      <c r="AX1184" s="133">
        <f>+AW1184-'ROR-Model'!G1201</f>
        <v>0</v>
      </c>
    </row>
    <row r="1185" spans="1:50">
      <c r="A1185" s="134"/>
      <c r="B1185" s="106"/>
      <c r="C1185" s="106" t="s">
        <v>170</v>
      </c>
      <c r="D1185" s="106"/>
      <c r="F1185" s="131">
        <f>SUM(F1181:F1184)</f>
        <v>24890894.007585257</v>
      </c>
      <c r="G1185" s="131">
        <f>G1*SUM(G1181:G1184)</f>
        <v>0</v>
      </c>
      <c r="H1185" s="131">
        <f>H1*SUM(H1181:H1184)</f>
        <v>0</v>
      </c>
      <c r="I1185" s="131">
        <f>SUM(I1181:I1184)</f>
        <v>0</v>
      </c>
      <c r="J1185" s="131">
        <f t="shared" ref="J1185:P1185" si="1324">SUM(J1181:J1184)</f>
        <v>0</v>
      </c>
      <c r="K1185" s="131">
        <f t="shared" si="1324"/>
        <v>0</v>
      </c>
      <c r="L1185" s="131">
        <f t="shared" si="1324"/>
        <v>0</v>
      </c>
      <c r="M1185" s="131">
        <f t="shared" si="1324"/>
        <v>0</v>
      </c>
      <c r="N1185" s="131">
        <f t="shared" si="1324"/>
        <v>0</v>
      </c>
      <c r="O1185" s="131">
        <f t="shared" si="1324"/>
        <v>0</v>
      </c>
      <c r="P1185" s="131">
        <f t="shared" si="1324"/>
        <v>0</v>
      </c>
      <c r="Q1185" s="241">
        <f t="shared" ref="Q1185:W1185" si="1325">SUM(Q1181:Q1184)</f>
        <v>0</v>
      </c>
      <c r="R1185" s="241">
        <f t="shared" si="1325"/>
        <v>0</v>
      </c>
      <c r="S1185" s="556"/>
      <c r="T1185" s="556">
        <f t="shared" si="1325"/>
        <v>0</v>
      </c>
      <c r="U1185" s="556">
        <f t="shared" si="1325"/>
        <v>0</v>
      </c>
      <c r="V1185" s="556">
        <f t="shared" si="1325"/>
        <v>0</v>
      </c>
      <c r="W1185" s="556">
        <f t="shared" si="1325"/>
        <v>0</v>
      </c>
      <c r="X1185" s="556">
        <f t="shared" ref="X1185:AG1185" si="1326">SUM(X1181:X1184)</f>
        <v>0</v>
      </c>
      <c r="Y1185" s="556">
        <f t="shared" si="1326"/>
        <v>0</v>
      </c>
      <c r="Z1185" s="556">
        <f t="shared" si="1326"/>
        <v>0</v>
      </c>
      <c r="AA1185" s="556">
        <f t="shared" si="1326"/>
        <v>0</v>
      </c>
      <c r="AB1185" s="556">
        <f t="shared" si="1326"/>
        <v>0</v>
      </c>
      <c r="AC1185" s="556">
        <f t="shared" si="1326"/>
        <v>0</v>
      </c>
      <c r="AD1185" s="556">
        <f t="shared" si="1326"/>
        <v>0</v>
      </c>
      <c r="AE1185" s="556">
        <f t="shared" si="1326"/>
        <v>0</v>
      </c>
      <c r="AF1185" s="556">
        <f t="shared" si="1326"/>
        <v>0</v>
      </c>
      <c r="AG1185" s="556">
        <f t="shared" si="1326"/>
        <v>0</v>
      </c>
      <c r="AH1185" s="556">
        <f t="shared" ref="AH1185:AK1185" si="1327">SUM(AH1181:AH1184)</f>
        <v>0</v>
      </c>
      <c r="AI1185" s="556">
        <f t="shared" si="1327"/>
        <v>0</v>
      </c>
      <c r="AJ1185" s="556">
        <f t="shared" si="1327"/>
        <v>0</v>
      </c>
      <c r="AK1185" s="556">
        <f t="shared" si="1327"/>
        <v>0</v>
      </c>
      <c r="AL1185" s="556">
        <f t="shared" ref="AL1185:AP1185" si="1328">SUM(AL1181:AL1184)</f>
        <v>0</v>
      </c>
      <c r="AM1185" s="556">
        <f t="shared" si="1328"/>
        <v>0</v>
      </c>
      <c r="AN1185" s="556">
        <f t="shared" si="1328"/>
        <v>0</v>
      </c>
      <c r="AO1185" s="556">
        <f t="shared" si="1328"/>
        <v>0</v>
      </c>
      <c r="AP1185" s="556">
        <f t="shared" si="1328"/>
        <v>0</v>
      </c>
      <c r="AQ1185" s="556">
        <f t="shared" ref="AQ1185:AS1185" si="1329">SUM(AQ1181:AQ1184)</f>
        <v>0</v>
      </c>
      <c r="AR1185" s="556">
        <f t="shared" si="1329"/>
        <v>0</v>
      </c>
      <c r="AS1185" s="556">
        <f t="shared" si="1329"/>
        <v>0</v>
      </c>
      <c r="AT1185" s="556"/>
      <c r="AU1185" s="241">
        <f>SUM(AU1181:AU1184)</f>
        <v>24890894.007585257</v>
      </c>
      <c r="AV1185" s="131"/>
      <c r="AW1185" s="241">
        <f>SUM(AW1181:AW1184)</f>
        <v>24890894.007585257</v>
      </c>
      <c r="AX1185" s="241">
        <f>+AW1185-'ROR-Model'!G1202</f>
        <v>0</v>
      </c>
    </row>
    <row r="1186" spans="1:50">
      <c r="A1186" s="134"/>
      <c r="B1186" s="106"/>
      <c r="C1186" s="106"/>
      <c r="D1186" s="10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Q1186" s="133"/>
      <c r="R1186" s="133"/>
      <c r="S1186" s="133"/>
      <c r="T1186" s="133"/>
      <c r="U1186" s="133"/>
      <c r="V1186" s="133"/>
      <c r="W1186" s="133"/>
      <c r="X1186" s="133"/>
      <c r="Y1186" s="133"/>
      <c r="Z1186" s="133"/>
      <c r="AA1186" s="133"/>
      <c r="AB1186" s="133"/>
      <c r="AC1186" s="133"/>
      <c r="AD1186" s="133"/>
      <c r="AE1186" s="133"/>
      <c r="AF1186" s="133"/>
      <c r="AG1186" s="133"/>
      <c r="AH1186" s="133"/>
      <c r="AI1186" s="133"/>
      <c r="AJ1186" s="133"/>
      <c r="AK1186" s="133"/>
      <c r="AL1186" s="133"/>
      <c r="AM1186" s="133"/>
      <c r="AN1186" s="133"/>
      <c r="AO1186" s="133"/>
      <c r="AP1186" s="133"/>
      <c r="AQ1186" s="133"/>
      <c r="AR1186" s="133"/>
      <c r="AS1186" s="133"/>
      <c r="AT1186" s="133"/>
      <c r="AU1186" s="133"/>
      <c r="AV1186" s="116"/>
      <c r="AW1186" s="133"/>
      <c r="AX1186" s="133">
        <f>+AW1186-'ROR-Model'!G1203</f>
        <v>0</v>
      </c>
    </row>
    <row r="1187" spans="1:50">
      <c r="A1187" s="134">
        <v>2821</v>
      </c>
      <c r="B1187" s="106" t="s">
        <v>478</v>
      </c>
      <c r="C1187" s="106"/>
      <c r="D1187" s="10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Q1187" s="133"/>
      <c r="R1187" s="133"/>
      <c r="S1187" s="133"/>
      <c r="T1187" s="133"/>
      <c r="U1187" s="133"/>
      <c r="V1187" s="133"/>
      <c r="W1187" s="133"/>
      <c r="X1187" s="133"/>
      <c r="Y1187" s="133"/>
      <c r="Z1187" s="133"/>
      <c r="AA1187" s="133"/>
      <c r="AB1187" s="133"/>
      <c r="AC1187" s="133"/>
      <c r="AD1187" s="133"/>
      <c r="AE1187" s="133"/>
      <c r="AF1187" s="133"/>
      <c r="AG1187" s="133"/>
      <c r="AH1187" s="133"/>
      <c r="AI1187" s="133"/>
      <c r="AJ1187" s="133"/>
      <c r="AK1187" s="133"/>
      <c r="AL1187" s="133"/>
      <c r="AM1187" s="133"/>
      <c r="AN1187" s="133"/>
      <c r="AO1187" s="133"/>
      <c r="AP1187" s="133"/>
      <c r="AQ1187" s="133"/>
      <c r="AR1187" s="133"/>
      <c r="AS1187" s="133"/>
      <c r="AT1187" s="133"/>
      <c r="AU1187" s="133"/>
      <c r="AV1187" s="116"/>
      <c r="AW1187" s="133"/>
      <c r="AX1187" s="133">
        <f>+AW1187-'ROR-Model'!G1204</f>
        <v>0</v>
      </c>
    </row>
    <row r="1188" spans="1:50">
      <c r="A1188" s="134"/>
      <c r="B1188" s="106"/>
      <c r="C1188" s="106" t="s">
        <v>443</v>
      </c>
      <c r="D1188" s="106"/>
      <c r="F1188" s="116">
        <f>'Rate Base'!$AQ$253*F1</f>
        <v>58693.613515745383</v>
      </c>
      <c r="I1188" s="116"/>
      <c r="J1188" s="116"/>
      <c r="K1188" s="116"/>
      <c r="L1188" s="116"/>
      <c r="M1188" s="116"/>
      <c r="N1188" s="116"/>
      <c r="O1188" s="116"/>
      <c r="P1188" s="116"/>
      <c r="Q1188" s="133"/>
      <c r="R1188" s="133"/>
      <c r="S1188" s="133"/>
      <c r="T1188" s="133">
        <f>'Optional Adjustment 2'!G1191*$T$1</f>
        <v>0</v>
      </c>
      <c r="U1188" s="133">
        <f>'Optional Adjustment 3'!G1191*$U$1</f>
        <v>0</v>
      </c>
      <c r="V1188" s="133">
        <f>'Optional Adjustment 4'!G1191*$V$1</f>
        <v>0</v>
      </c>
      <c r="W1188" s="133">
        <f>'Optional Adjustment 5'!G1191*$W$1</f>
        <v>0</v>
      </c>
      <c r="X1188" s="133">
        <f>'Optional Adjustment 6'!G1191*$X$1</f>
        <v>0</v>
      </c>
      <c r="Y1188" s="133">
        <f>'Optional Adjustment 7'!G1191*$Y$1</f>
        <v>0</v>
      </c>
      <c r="Z1188" s="133">
        <f>'Optional Adjustment 8'!G1191*$Z$1</f>
        <v>0</v>
      </c>
      <c r="AA1188" s="133">
        <f>'Optional Adjustment 9'!G1191*$AA$1</f>
        <v>0</v>
      </c>
      <c r="AB1188" s="133">
        <f>'Optional Adjustment 10'!G1191*$AB$1</f>
        <v>0</v>
      </c>
      <c r="AC1188" s="133">
        <f>'Optional Adjustment 11'!G1191*$AC$1</f>
        <v>0</v>
      </c>
      <c r="AD1188" s="133">
        <f>'Optional Adjustment 12'!G1191*$AD$1</f>
        <v>0</v>
      </c>
      <c r="AE1188" s="133">
        <f>'Optional Adjustment 13'!G1191*$AE$1</f>
        <v>0</v>
      </c>
      <c r="AF1188" s="133">
        <f>'Optional Adjustment 14'!G1191*$AF$1</f>
        <v>0</v>
      </c>
      <c r="AG1188" s="133">
        <f>'Optional Adjustment 15'!G1191*$AG$1</f>
        <v>0</v>
      </c>
      <c r="AH1188" s="133">
        <f>'Optional Adjustment 16'!G1191*$AH$1</f>
        <v>0</v>
      </c>
      <c r="AI1188" s="133">
        <f>'Optional Adjustment 17'!G1191*$AI$1</f>
        <v>0</v>
      </c>
      <c r="AJ1188" s="133">
        <f>'Optional Adjustment 18'!G1191*$AJ$1</f>
        <v>0</v>
      </c>
      <c r="AK1188" s="133">
        <f>'Optional Adjustment 19'!G1191*$AK$1</f>
        <v>0</v>
      </c>
      <c r="AL1188" s="133">
        <f>'Optional Adjustment 20'!G1191*$AL$1</f>
        <v>0</v>
      </c>
      <c r="AM1188" s="133">
        <f>'Optional Adjustment 21'!G1191*$AM$1</f>
        <v>0</v>
      </c>
      <c r="AN1188" s="133">
        <f>'Optional Adjustment 22'!G1191*$AN$1</f>
        <v>0</v>
      </c>
      <c r="AO1188" s="133">
        <f>'Optional Adjustment 23'!G1191*$AO$1</f>
        <v>0</v>
      </c>
      <c r="AP1188" s="133">
        <f>'Optional Adjustment 24'!G1191*$AP$1</f>
        <v>0</v>
      </c>
      <c r="AQ1188" s="133">
        <f>'Optional Adjustment 25'!G1191*$AQ$1</f>
        <v>0</v>
      </c>
      <c r="AR1188" s="133">
        <f>'Optional Adjustment 26'!G1191*$AR$1</f>
        <v>0</v>
      </c>
      <c r="AS1188" s="133">
        <f>'Optional Adjustment 27'!G1191*$AS$1</f>
        <v>0</v>
      </c>
      <c r="AT1188" s="133"/>
      <c r="AU1188" s="133">
        <f>SUM(F1188:AT1188)</f>
        <v>58693.613515745383</v>
      </c>
      <c r="AV1188" s="116"/>
      <c r="AW1188" s="133">
        <f>SUM(AU1188:AU1188)</f>
        <v>58693.613515745383</v>
      </c>
      <c r="AX1188" s="133">
        <f>+AW1188-'ROR-Model'!G1205</f>
        <v>0</v>
      </c>
    </row>
    <row r="1189" spans="1:50">
      <c r="A1189" s="134"/>
      <c r="B1189" s="106"/>
      <c r="C1189" s="106" t="s">
        <v>592</v>
      </c>
      <c r="D1189" s="106"/>
      <c r="F1189" s="116">
        <f>'Rate Base'!$AQ$254*F1</f>
        <v>0</v>
      </c>
      <c r="I1189" s="116"/>
      <c r="J1189" s="116"/>
      <c r="K1189" s="116"/>
      <c r="L1189" s="116"/>
      <c r="M1189" s="116"/>
      <c r="N1189" s="116"/>
      <c r="O1189" s="116"/>
      <c r="P1189" s="116"/>
      <c r="Q1189" s="133"/>
      <c r="R1189" s="133"/>
      <c r="S1189" s="133"/>
      <c r="T1189" s="133">
        <f>'Optional Adjustment 2'!G1192*$T$1</f>
        <v>0</v>
      </c>
      <c r="U1189" s="133">
        <f>'Optional Adjustment 3'!G1192*$U$1</f>
        <v>0</v>
      </c>
      <c r="V1189" s="133">
        <f>'Optional Adjustment 4'!G1192*$V$1</f>
        <v>0</v>
      </c>
      <c r="W1189" s="133">
        <f>'Optional Adjustment 5'!G1192*$W$1</f>
        <v>0</v>
      </c>
      <c r="X1189" s="133">
        <f>'Optional Adjustment 6'!G1192*$X$1</f>
        <v>0</v>
      </c>
      <c r="Y1189" s="133">
        <f>'Optional Adjustment 7'!G1192*$Y$1</f>
        <v>0</v>
      </c>
      <c r="Z1189" s="133">
        <f>'Optional Adjustment 8'!G1192*$Z$1</f>
        <v>0</v>
      </c>
      <c r="AA1189" s="133">
        <f>'Optional Adjustment 9'!G1192*$AA$1</f>
        <v>0</v>
      </c>
      <c r="AB1189" s="133">
        <f>'Optional Adjustment 10'!G1192*$AB$1</f>
        <v>0</v>
      </c>
      <c r="AC1189" s="133">
        <f>'Optional Adjustment 11'!G1192*$AC$1</f>
        <v>0</v>
      </c>
      <c r="AD1189" s="133">
        <f>'Optional Adjustment 12'!G1192*$AD$1</f>
        <v>0</v>
      </c>
      <c r="AE1189" s="133">
        <f>'Optional Adjustment 13'!G1192*$AE$1</f>
        <v>0</v>
      </c>
      <c r="AF1189" s="133">
        <f>'Optional Adjustment 14'!G1192*$AF$1</f>
        <v>0</v>
      </c>
      <c r="AG1189" s="133">
        <f>'Optional Adjustment 15'!G1192*$AG$1</f>
        <v>0</v>
      </c>
      <c r="AH1189" s="133">
        <f>'Optional Adjustment 16'!G1192*$AH$1</f>
        <v>0</v>
      </c>
      <c r="AI1189" s="133">
        <f>'Optional Adjustment 17'!G1192*$AI$1</f>
        <v>0</v>
      </c>
      <c r="AJ1189" s="133">
        <f>'Optional Adjustment 18'!G1192*$AJ$1</f>
        <v>0</v>
      </c>
      <c r="AK1189" s="133">
        <f>'Optional Adjustment 19'!G1192*$AK$1</f>
        <v>0</v>
      </c>
      <c r="AL1189" s="133">
        <f>'Optional Adjustment 20'!G1192*$AL$1</f>
        <v>0</v>
      </c>
      <c r="AM1189" s="133">
        <f>'Optional Adjustment 21'!G1192*$AM$1</f>
        <v>0</v>
      </c>
      <c r="AN1189" s="133">
        <f>'Optional Adjustment 22'!G1192*$AN$1</f>
        <v>0</v>
      </c>
      <c r="AO1189" s="133">
        <f>'Optional Adjustment 23'!G1192*$AO$1</f>
        <v>0</v>
      </c>
      <c r="AP1189" s="133">
        <f>'Optional Adjustment 24'!G1192*$AP$1</f>
        <v>0</v>
      </c>
      <c r="AQ1189" s="133">
        <f>'Optional Adjustment 25'!G1192*$AQ$1</f>
        <v>0</v>
      </c>
      <c r="AR1189" s="133">
        <f>'Optional Adjustment 26'!G1192*$AR$1</f>
        <v>0</v>
      </c>
      <c r="AS1189" s="133">
        <f>'Optional Adjustment 27'!G1192*$AS$1</f>
        <v>0</v>
      </c>
      <c r="AT1189" s="133"/>
      <c r="AU1189" s="133">
        <f>SUM(F1189:AT1189)</f>
        <v>0</v>
      </c>
      <c r="AV1189" s="116"/>
      <c r="AW1189" s="133">
        <f>SUM(AU1189:AU1189)</f>
        <v>0</v>
      </c>
      <c r="AX1189" s="133">
        <f>+AW1189-'ROR-Model'!G1206</f>
        <v>0</v>
      </c>
    </row>
    <row r="1190" spans="1:50">
      <c r="A1190" s="134"/>
      <c r="B1190" s="106"/>
      <c r="C1190" s="106" t="s">
        <v>593</v>
      </c>
      <c r="D1190" s="106"/>
      <c r="F1190" s="116">
        <f>'Rate Base'!$AQ$255*F1</f>
        <v>5366452.0939512625</v>
      </c>
      <c r="I1190" s="116"/>
      <c r="J1190" s="116"/>
      <c r="K1190" s="116"/>
      <c r="L1190" s="116"/>
      <c r="M1190" s="116"/>
      <c r="N1190" s="116"/>
      <c r="O1190" s="116"/>
      <c r="P1190" s="116"/>
      <c r="Q1190" s="133"/>
      <c r="R1190" s="133"/>
      <c r="S1190" s="133"/>
      <c r="T1190" s="133">
        <f>'Optional Adjustment 2'!G1193*$T$1</f>
        <v>0</v>
      </c>
      <c r="U1190" s="133">
        <f>'Optional Adjustment 3'!G1193*$U$1</f>
        <v>0</v>
      </c>
      <c r="V1190" s="133">
        <f>'Optional Adjustment 4'!G1193*$V$1</f>
        <v>0</v>
      </c>
      <c r="W1190" s="133">
        <f>'Optional Adjustment 5'!G1193*$W$1</f>
        <v>0</v>
      </c>
      <c r="X1190" s="133">
        <f>'Optional Adjustment 6'!G1193*$X$1</f>
        <v>0</v>
      </c>
      <c r="Y1190" s="133">
        <f>'Optional Adjustment 7'!G1193*$Y$1</f>
        <v>0</v>
      </c>
      <c r="Z1190" s="133">
        <f>'Optional Adjustment 8'!G1193*$Z$1</f>
        <v>0</v>
      </c>
      <c r="AA1190" s="133">
        <f>'Optional Adjustment 9'!G1193*$AA$1</f>
        <v>0</v>
      </c>
      <c r="AB1190" s="133">
        <f>'Optional Adjustment 10'!G1193*$AB$1</f>
        <v>0</v>
      </c>
      <c r="AC1190" s="133">
        <f>'Optional Adjustment 11'!G1193*$AC$1</f>
        <v>0</v>
      </c>
      <c r="AD1190" s="133">
        <f>'Optional Adjustment 12'!G1193*$AD$1</f>
        <v>0</v>
      </c>
      <c r="AE1190" s="133">
        <f>'Optional Adjustment 13'!G1193*$AE$1</f>
        <v>0</v>
      </c>
      <c r="AF1190" s="133">
        <f>'Optional Adjustment 14'!G1193*$AF$1</f>
        <v>0</v>
      </c>
      <c r="AG1190" s="133">
        <f>'Optional Adjustment 15'!G1193*$AG$1</f>
        <v>0</v>
      </c>
      <c r="AH1190" s="133">
        <f>'Optional Adjustment 16'!G1193*$AH$1</f>
        <v>0</v>
      </c>
      <c r="AI1190" s="133">
        <f>'Optional Adjustment 17'!G1193*$AI$1</f>
        <v>0</v>
      </c>
      <c r="AJ1190" s="133">
        <f>'Optional Adjustment 18'!G1193*$AJ$1</f>
        <v>0</v>
      </c>
      <c r="AK1190" s="133">
        <f>'Optional Adjustment 19'!G1193*$AK$1</f>
        <v>0</v>
      </c>
      <c r="AL1190" s="133">
        <f>'Optional Adjustment 20'!G1193*$AL$1</f>
        <v>0</v>
      </c>
      <c r="AM1190" s="133">
        <f>'Optional Adjustment 21'!G1193*$AM$1</f>
        <v>0</v>
      </c>
      <c r="AN1190" s="133">
        <f>'Optional Adjustment 22'!G1193*$AN$1</f>
        <v>0</v>
      </c>
      <c r="AO1190" s="133">
        <f>'Optional Adjustment 23'!G1193*$AO$1</f>
        <v>0</v>
      </c>
      <c r="AP1190" s="133">
        <f>'Optional Adjustment 24'!G1193*$AP$1</f>
        <v>0</v>
      </c>
      <c r="AQ1190" s="133">
        <f>'Optional Adjustment 25'!G1193*$AQ$1</f>
        <v>0</v>
      </c>
      <c r="AR1190" s="133">
        <f>'Optional Adjustment 26'!G1193*$AR$1</f>
        <v>0</v>
      </c>
      <c r="AS1190" s="133">
        <f>'Optional Adjustment 27'!G1193*$AS$1</f>
        <v>0</v>
      </c>
      <c r="AT1190" s="133"/>
      <c r="AU1190" s="133">
        <f>SUM(F1190:AT1190)</f>
        <v>5366452.0939512625</v>
      </c>
      <c r="AV1190" s="116"/>
      <c r="AW1190" s="133">
        <f>SUM(AU1190:AU1190)</f>
        <v>5366452.0939512625</v>
      </c>
      <c r="AX1190" s="133">
        <f>+AW1190-'ROR-Model'!G1207</f>
        <v>0</v>
      </c>
    </row>
    <row r="1191" spans="1:50">
      <c r="A1191" s="134"/>
      <c r="B1191" s="106"/>
      <c r="C1191" s="106" t="s">
        <v>595</v>
      </c>
      <c r="D1191" s="106"/>
      <c r="F1191" s="116">
        <f>'Rate Base'!$AQ$256*F1</f>
        <v>93728.266582864919</v>
      </c>
      <c r="I1191" s="116"/>
      <c r="J1191" s="116"/>
      <c r="K1191" s="116"/>
      <c r="L1191" s="116"/>
      <c r="M1191" s="116"/>
      <c r="N1191" s="116"/>
      <c r="O1191" s="116"/>
      <c r="P1191" s="116"/>
      <c r="Q1191" s="133"/>
      <c r="R1191" s="133"/>
      <c r="S1191" s="133"/>
      <c r="T1191" s="133">
        <f>'Optional Adjustment 2'!G1194*$T$1</f>
        <v>0</v>
      </c>
      <c r="U1191" s="133">
        <f>'Optional Adjustment 3'!G1194*$U$1</f>
        <v>0</v>
      </c>
      <c r="V1191" s="133">
        <f>'Optional Adjustment 4'!G1194*$V$1</f>
        <v>0</v>
      </c>
      <c r="W1191" s="133">
        <f>'Optional Adjustment 5'!G1194*$W$1</f>
        <v>0</v>
      </c>
      <c r="X1191" s="133">
        <f>'Optional Adjustment 6'!G1194*$X$1</f>
        <v>0</v>
      </c>
      <c r="Y1191" s="133">
        <f>'Optional Adjustment 7'!G1194*$Y$1</f>
        <v>0</v>
      </c>
      <c r="Z1191" s="133">
        <f>'Optional Adjustment 8'!G1194*$Z$1</f>
        <v>0</v>
      </c>
      <c r="AA1191" s="133">
        <f>'Optional Adjustment 9'!G1194*$AA$1</f>
        <v>0</v>
      </c>
      <c r="AB1191" s="133">
        <f>'Optional Adjustment 10'!G1194*$AB$1</f>
        <v>0</v>
      </c>
      <c r="AC1191" s="133">
        <f>'Optional Adjustment 11'!G1194*$AC$1</f>
        <v>0</v>
      </c>
      <c r="AD1191" s="133">
        <f>'Optional Adjustment 12'!G1194*$AD$1</f>
        <v>0</v>
      </c>
      <c r="AE1191" s="133">
        <f>'Optional Adjustment 13'!G1194*$AE$1</f>
        <v>0</v>
      </c>
      <c r="AF1191" s="133">
        <f>'Optional Adjustment 14'!G1194*$AF$1</f>
        <v>0</v>
      </c>
      <c r="AG1191" s="133">
        <f>'Optional Adjustment 15'!G1194*$AG$1</f>
        <v>0</v>
      </c>
      <c r="AH1191" s="133">
        <f>'Optional Adjustment 16'!G1194*$AH$1</f>
        <v>0</v>
      </c>
      <c r="AI1191" s="133">
        <f>'Optional Adjustment 17'!G1194*$AI$1</f>
        <v>0</v>
      </c>
      <c r="AJ1191" s="133">
        <f>'Optional Adjustment 18'!G1194*$AJ$1</f>
        <v>0</v>
      </c>
      <c r="AK1191" s="133">
        <f>'Optional Adjustment 19'!G1194*$AK$1</f>
        <v>0</v>
      </c>
      <c r="AL1191" s="133">
        <f>'Optional Adjustment 20'!G1194*$AL$1</f>
        <v>0</v>
      </c>
      <c r="AM1191" s="133">
        <f>'Optional Adjustment 21'!G1194*$AM$1</f>
        <v>0</v>
      </c>
      <c r="AN1191" s="133">
        <f>'Optional Adjustment 22'!G1194*$AN$1</f>
        <v>0</v>
      </c>
      <c r="AO1191" s="133">
        <f>'Optional Adjustment 23'!G1194*$AO$1</f>
        <v>0</v>
      </c>
      <c r="AP1191" s="133">
        <f>'Optional Adjustment 24'!G1194*$AP$1</f>
        <v>0</v>
      </c>
      <c r="AQ1191" s="133">
        <f>'Optional Adjustment 25'!G1194*$AQ$1</f>
        <v>0</v>
      </c>
      <c r="AR1191" s="133">
        <f>'Optional Adjustment 26'!G1194*$AR$1</f>
        <v>0</v>
      </c>
      <c r="AS1191" s="133">
        <f>'Optional Adjustment 27'!G1194*$AS$1</f>
        <v>0</v>
      </c>
      <c r="AT1191" s="133"/>
      <c r="AU1191" s="133">
        <f>SUM(F1191:AT1191)</f>
        <v>93728.266582864919</v>
      </c>
      <c r="AV1191" s="116"/>
      <c r="AW1191" s="133">
        <f>SUM(AU1191:AU1191)</f>
        <v>93728.266582864919</v>
      </c>
      <c r="AX1191" s="133">
        <f>+AW1191-'ROR-Model'!G1208</f>
        <v>0</v>
      </c>
    </row>
    <row r="1192" spans="1:50">
      <c r="A1192" s="134"/>
      <c r="B1192" s="106"/>
      <c r="C1192" s="106" t="s">
        <v>170</v>
      </c>
      <c r="D1192" s="106"/>
      <c r="F1192" s="131">
        <f>SUM(F1188:F1191)</f>
        <v>5518873.9740498737</v>
      </c>
      <c r="G1192" s="131">
        <f>G1*SUM(G1188:G1191)</f>
        <v>0</v>
      </c>
      <c r="H1192" s="131">
        <f>H1*SUM(H1188:H1191)</f>
        <v>0</v>
      </c>
      <c r="I1192" s="131">
        <f>SUM(I1188:I1191)</f>
        <v>0</v>
      </c>
      <c r="J1192" s="131">
        <f t="shared" ref="J1192:P1192" si="1330">SUM(J1188:J1191)</f>
        <v>0</v>
      </c>
      <c r="K1192" s="131">
        <f t="shared" si="1330"/>
        <v>0</v>
      </c>
      <c r="L1192" s="131">
        <f t="shared" si="1330"/>
        <v>0</v>
      </c>
      <c r="M1192" s="131">
        <f t="shared" si="1330"/>
        <v>0</v>
      </c>
      <c r="N1192" s="131">
        <f t="shared" si="1330"/>
        <v>0</v>
      </c>
      <c r="O1192" s="131">
        <f t="shared" si="1330"/>
        <v>0</v>
      </c>
      <c r="P1192" s="131">
        <f t="shared" si="1330"/>
        <v>0</v>
      </c>
      <c r="Q1192" s="241">
        <f t="shared" ref="Q1192:W1192" si="1331">SUM(Q1188:Q1191)</f>
        <v>0</v>
      </c>
      <c r="R1192" s="241">
        <f t="shared" si="1331"/>
        <v>0</v>
      </c>
      <c r="S1192" s="556"/>
      <c r="T1192" s="556">
        <f t="shared" si="1331"/>
        <v>0</v>
      </c>
      <c r="U1192" s="556">
        <f t="shared" si="1331"/>
        <v>0</v>
      </c>
      <c r="V1192" s="556">
        <f t="shared" si="1331"/>
        <v>0</v>
      </c>
      <c r="W1192" s="556">
        <f t="shared" si="1331"/>
        <v>0</v>
      </c>
      <c r="X1192" s="556">
        <f t="shared" ref="X1192:AG1192" si="1332">SUM(X1188:X1191)</f>
        <v>0</v>
      </c>
      <c r="Y1192" s="556">
        <f t="shared" si="1332"/>
        <v>0</v>
      </c>
      <c r="Z1192" s="556">
        <f t="shared" si="1332"/>
        <v>0</v>
      </c>
      <c r="AA1192" s="556">
        <f t="shared" si="1332"/>
        <v>0</v>
      </c>
      <c r="AB1192" s="556">
        <f t="shared" si="1332"/>
        <v>0</v>
      </c>
      <c r="AC1192" s="556">
        <f t="shared" si="1332"/>
        <v>0</v>
      </c>
      <c r="AD1192" s="556">
        <f t="shared" si="1332"/>
        <v>0</v>
      </c>
      <c r="AE1192" s="556">
        <f t="shared" si="1332"/>
        <v>0</v>
      </c>
      <c r="AF1192" s="556">
        <f t="shared" si="1332"/>
        <v>0</v>
      </c>
      <c r="AG1192" s="556">
        <f t="shared" si="1332"/>
        <v>0</v>
      </c>
      <c r="AH1192" s="556">
        <f t="shared" ref="AH1192:AK1192" si="1333">SUM(AH1188:AH1191)</f>
        <v>0</v>
      </c>
      <c r="AI1192" s="556">
        <f t="shared" si="1333"/>
        <v>0</v>
      </c>
      <c r="AJ1192" s="556">
        <f t="shared" si="1333"/>
        <v>0</v>
      </c>
      <c r="AK1192" s="556">
        <f t="shared" si="1333"/>
        <v>0</v>
      </c>
      <c r="AL1192" s="556">
        <f t="shared" ref="AL1192:AP1192" si="1334">SUM(AL1188:AL1191)</f>
        <v>0</v>
      </c>
      <c r="AM1192" s="556">
        <f t="shared" si="1334"/>
        <v>0</v>
      </c>
      <c r="AN1192" s="556">
        <f t="shared" si="1334"/>
        <v>0</v>
      </c>
      <c r="AO1192" s="556">
        <f t="shared" si="1334"/>
        <v>0</v>
      </c>
      <c r="AP1192" s="556">
        <f t="shared" si="1334"/>
        <v>0</v>
      </c>
      <c r="AQ1192" s="556">
        <f t="shared" ref="AQ1192:AS1192" si="1335">SUM(AQ1188:AQ1191)</f>
        <v>0</v>
      </c>
      <c r="AR1192" s="556">
        <f t="shared" si="1335"/>
        <v>0</v>
      </c>
      <c r="AS1192" s="556">
        <f t="shared" si="1335"/>
        <v>0</v>
      </c>
      <c r="AT1192" s="556"/>
      <c r="AU1192" s="241">
        <f>SUM(AU1188:AU1191)</f>
        <v>5518873.9740498737</v>
      </c>
      <c r="AV1192" s="131"/>
      <c r="AW1192" s="241">
        <f>SUM(AW1188:AW1191)</f>
        <v>5518873.9740498737</v>
      </c>
      <c r="AX1192" s="241">
        <f>+AW1192-'ROR-Model'!G1209</f>
        <v>0</v>
      </c>
    </row>
    <row r="1193" spans="1:50">
      <c r="A1193" s="134"/>
      <c r="B1193" s="106"/>
      <c r="C1193" s="106"/>
      <c r="D1193" s="10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Q1193" s="133"/>
      <c r="R1193" s="133"/>
      <c r="S1193" s="133"/>
      <c r="T1193" s="133"/>
      <c r="U1193" s="133"/>
      <c r="V1193" s="133"/>
      <c r="W1193" s="133"/>
      <c r="X1193" s="133"/>
      <c r="Y1193" s="133"/>
      <c r="Z1193" s="133"/>
      <c r="AA1193" s="133"/>
      <c r="AB1193" s="133"/>
      <c r="AC1193" s="133"/>
      <c r="AD1193" s="133"/>
      <c r="AE1193" s="133"/>
      <c r="AF1193" s="133"/>
      <c r="AG1193" s="133"/>
      <c r="AH1193" s="133"/>
      <c r="AI1193" s="133"/>
      <c r="AJ1193" s="133"/>
      <c r="AK1193" s="133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116"/>
      <c r="AW1193" s="133"/>
      <c r="AX1193" s="133">
        <f>+AW1193-'ROR-Model'!G1210</f>
        <v>0</v>
      </c>
    </row>
    <row r="1194" spans="1:50">
      <c r="A1194" s="388" t="s">
        <v>158</v>
      </c>
      <c r="B1194" s="119" t="s">
        <v>157</v>
      </c>
      <c r="C1194" s="106"/>
      <c r="D1194" s="10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Q1194" s="133"/>
      <c r="R1194" s="133"/>
      <c r="S1194" s="133"/>
      <c r="T1194" s="133"/>
      <c r="U1194" s="133"/>
      <c r="V1194" s="133"/>
      <c r="W1194" s="133"/>
      <c r="X1194" s="133"/>
      <c r="Y1194" s="133"/>
      <c r="Z1194" s="133"/>
      <c r="AA1194" s="133"/>
      <c r="AB1194" s="133"/>
      <c r="AC1194" s="133"/>
      <c r="AD1194" s="133"/>
      <c r="AE1194" s="133"/>
      <c r="AF1194" s="133"/>
      <c r="AG1194" s="133"/>
      <c r="AH1194" s="133"/>
      <c r="AI1194" s="133"/>
      <c r="AJ1194" s="133"/>
      <c r="AK1194" s="133"/>
      <c r="AL1194" s="133"/>
      <c r="AM1194" s="133"/>
      <c r="AN1194" s="133"/>
      <c r="AO1194" s="133"/>
      <c r="AP1194" s="133"/>
      <c r="AQ1194" s="133"/>
      <c r="AR1194" s="133"/>
      <c r="AS1194" s="133"/>
      <c r="AT1194" s="133"/>
      <c r="AU1194" s="133"/>
      <c r="AV1194" s="116"/>
      <c r="AW1194" s="133"/>
      <c r="AX1194" s="133">
        <f>+AW1194-'ROR-Model'!G1211</f>
        <v>0</v>
      </c>
    </row>
    <row r="1195" spans="1:50">
      <c r="A1195" s="330"/>
      <c r="B1195" s="106" t="s">
        <v>595</v>
      </c>
      <c r="C1195" s="106"/>
      <c r="D1195" s="106"/>
      <c r="F1195" s="116">
        <f>'Rate Base'!$AQ$260*F1</f>
        <v>0</v>
      </c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33"/>
      <c r="R1195" s="133"/>
      <c r="S1195" s="133"/>
      <c r="T1195" s="133">
        <f>'Optional Adjustment 2'!G1198*$T$1</f>
        <v>0</v>
      </c>
      <c r="U1195" s="133">
        <f>'Optional Adjustment 3'!G1198*$U$1</f>
        <v>0</v>
      </c>
      <c r="V1195" s="133">
        <f>'Optional Adjustment 4'!G1198*$V$1</f>
        <v>0</v>
      </c>
      <c r="W1195" s="133">
        <f>'Optional Adjustment 5'!G1198*$W$1</f>
        <v>0</v>
      </c>
      <c r="X1195" s="133">
        <f>'Optional Adjustment 6'!G1198*$X$1</f>
        <v>0</v>
      </c>
      <c r="Y1195" s="133">
        <f>'Optional Adjustment 7'!G1198*$Y$1</f>
        <v>0</v>
      </c>
      <c r="Z1195" s="133">
        <f>'Optional Adjustment 8'!G1198*$Z$1</f>
        <v>0</v>
      </c>
      <c r="AA1195" s="133">
        <f>'Optional Adjustment 9'!G1198*$AA$1</f>
        <v>0</v>
      </c>
      <c r="AB1195" s="133">
        <f>'Optional Adjustment 10'!G1198*$AB$1</f>
        <v>0</v>
      </c>
      <c r="AC1195" s="133">
        <f>'Optional Adjustment 11'!G1198*$AC$1</f>
        <v>0</v>
      </c>
      <c r="AD1195" s="133">
        <f>'Optional Adjustment 12'!G1198*$AD$1</f>
        <v>0</v>
      </c>
      <c r="AE1195" s="133">
        <f>'Optional Adjustment 13'!G1198*$AE$1</f>
        <v>0</v>
      </c>
      <c r="AF1195" s="133">
        <f>'Optional Adjustment 14'!G1198*$AF$1</f>
        <v>0</v>
      </c>
      <c r="AG1195" s="133">
        <f>'Optional Adjustment 15'!G1198*$AG$1</f>
        <v>0</v>
      </c>
      <c r="AH1195" s="133">
        <f>'Optional Adjustment 16'!G1198*$AH$1</f>
        <v>0</v>
      </c>
      <c r="AI1195" s="133">
        <f>'Optional Adjustment 17'!G1198*$AI$1</f>
        <v>0</v>
      </c>
      <c r="AJ1195" s="133">
        <f>'Optional Adjustment 18'!G1198*$AJ$1</f>
        <v>0</v>
      </c>
      <c r="AK1195" s="133">
        <f>'Optional Adjustment 19'!G1198*$AK$1</f>
        <v>0</v>
      </c>
      <c r="AL1195" s="133">
        <f>'Optional Adjustment 20'!G1198*$AL$1</f>
        <v>0</v>
      </c>
      <c r="AM1195" s="133">
        <f>'Optional Adjustment 21'!G1198*$AM$1</f>
        <v>0</v>
      </c>
      <c r="AN1195" s="133">
        <f>'Optional Adjustment 22'!G1198*$AN$1</f>
        <v>0</v>
      </c>
      <c r="AO1195" s="133">
        <f>'Optional Adjustment 23'!G1198*$AO$1</f>
        <v>0</v>
      </c>
      <c r="AP1195" s="133">
        <f>'Optional Adjustment 24'!G1198*$AP$1</f>
        <v>0</v>
      </c>
      <c r="AQ1195" s="133">
        <f>'Optional Adjustment 25'!G1198*$AQ$1</f>
        <v>0</v>
      </c>
      <c r="AR1195" s="133">
        <f>'Optional Adjustment 26'!G1198*$AR$1</f>
        <v>0</v>
      </c>
      <c r="AS1195" s="133">
        <f>'Optional Adjustment 27'!G1198*$AS$1</f>
        <v>0</v>
      </c>
      <c r="AT1195" s="133"/>
      <c r="AU1195" s="133">
        <f>SUM(F1195:AT1195)</f>
        <v>0</v>
      </c>
      <c r="AV1195" s="116"/>
      <c r="AW1195" s="133">
        <f>SUM(AU1195:AU1195)</f>
        <v>0</v>
      </c>
      <c r="AX1195" s="133">
        <f>+AW1195-'ROR-Model'!G1212</f>
        <v>0</v>
      </c>
    </row>
    <row r="1196" spans="1:50">
      <c r="A1196" s="330"/>
      <c r="B1196" s="106" t="s">
        <v>170</v>
      </c>
      <c r="C1196" s="106"/>
      <c r="D1196" s="106"/>
      <c r="F1196" s="131">
        <f>SUM(F1195)</f>
        <v>0</v>
      </c>
      <c r="G1196" s="131">
        <f>G1*SUM(G1195)</f>
        <v>0</v>
      </c>
      <c r="H1196" s="131">
        <f>H1*SUM(H1195)</f>
        <v>0</v>
      </c>
      <c r="I1196" s="131">
        <f>SUM(I1195)</f>
        <v>0</v>
      </c>
      <c r="J1196" s="131">
        <f t="shared" ref="J1196:Q1196" si="1336">SUM(J1195)</f>
        <v>0</v>
      </c>
      <c r="K1196" s="131">
        <f t="shared" si="1336"/>
        <v>0</v>
      </c>
      <c r="L1196" s="131">
        <f t="shared" si="1336"/>
        <v>0</v>
      </c>
      <c r="M1196" s="131">
        <f t="shared" si="1336"/>
        <v>0</v>
      </c>
      <c r="N1196" s="131">
        <f t="shared" si="1336"/>
        <v>0</v>
      </c>
      <c r="O1196" s="131">
        <f t="shared" si="1336"/>
        <v>0</v>
      </c>
      <c r="P1196" s="131">
        <f t="shared" si="1336"/>
        <v>0</v>
      </c>
      <c r="Q1196" s="241">
        <f t="shared" si="1336"/>
        <v>0</v>
      </c>
      <c r="R1196" s="241">
        <f t="shared" ref="R1196" si="1337">SUM(R1195)</f>
        <v>0</v>
      </c>
      <c r="S1196" s="556"/>
      <c r="T1196" s="556">
        <f t="shared" ref="T1196:W1196" si="1338">SUM(T1195)</f>
        <v>0</v>
      </c>
      <c r="U1196" s="556">
        <f t="shared" si="1338"/>
        <v>0</v>
      </c>
      <c r="V1196" s="556">
        <f t="shared" si="1338"/>
        <v>0</v>
      </c>
      <c r="W1196" s="556">
        <f t="shared" si="1338"/>
        <v>0</v>
      </c>
      <c r="X1196" s="556">
        <f t="shared" ref="X1196:AG1196" si="1339">SUM(X1195)</f>
        <v>0</v>
      </c>
      <c r="Y1196" s="556">
        <f t="shared" si="1339"/>
        <v>0</v>
      </c>
      <c r="Z1196" s="556">
        <f t="shared" si="1339"/>
        <v>0</v>
      </c>
      <c r="AA1196" s="556">
        <f t="shared" si="1339"/>
        <v>0</v>
      </c>
      <c r="AB1196" s="556">
        <f t="shared" si="1339"/>
        <v>0</v>
      </c>
      <c r="AC1196" s="556">
        <f t="shared" si="1339"/>
        <v>0</v>
      </c>
      <c r="AD1196" s="556">
        <f t="shared" si="1339"/>
        <v>0</v>
      </c>
      <c r="AE1196" s="556">
        <f t="shared" si="1339"/>
        <v>0</v>
      </c>
      <c r="AF1196" s="556">
        <f t="shared" si="1339"/>
        <v>0</v>
      </c>
      <c r="AG1196" s="556">
        <f t="shared" si="1339"/>
        <v>0</v>
      </c>
      <c r="AH1196" s="556">
        <f t="shared" ref="AH1196:AK1196" si="1340">SUM(AH1195)</f>
        <v>0</v>
      </c>
      <c r="AI1196" s="556">
        <f t="shared" si="1340"/>
        <v>0</v>
      </c>
      <c r="AJ1196" s="556">
        <f t="shared" si="1340"/>
        <v>0</v>
      </c>
      <c r="AK1196" s="556">
        <f t="shared" si="1340"/>
        <v>0</v>
      </c>
      <c r="AL1196" s="556">
        <f t="shared" ref="AL1196:AP1196" si="1341">SUM(AL1195)</f>
        <v>0</v>
      </c>
      <c r="AM1196" s="556">
        <f t="shared" si="1341"/>
        <v>0</v>
      </c>
      <c r="AN1196" s="556">
        <f t="shared" si="1341"/>
        <v>0</v>
      </c>
      <c r="AO1196" s="556">
        <f t="shared" si="1341"/>
        <v>0</v>
      </c>
      <c r="AP1196" s="556">
        <f t="shared" si="1341"/>
        <v>0</v>
      </c>
      <c r="AQ1196" s="556">
        <f t="shared" ref="AQ1196:AS1196" si="1342">SUM(AQ1195)</f>
        <v>0</v>
      </c>
      <c r="AR1196" s="556">
        <f t="shared" si="1342"/>
        <v>0</v>
      </c>
      <c r="AS1196" s="556">
        <f t="shared" si="1342"/>
        <v>0</v>
      </c>
      <c r="AT1196" s="556"/>
      <c r="AU1196" s="241">
        <f>SUM(AU1195)</f>
        <v>0</v>
      </c>
      <c r="AV1196" s="131"/>
      <c r="AW1196" s="241">
        <f>SUM(AW1195)</f>
        <v>0</v>
      </c>
      <c r="AX1196" s="241">
        <f>+AW1196-'ROR-Model'!G1213</f>
        <v>0</v>
      </c>
    </row>
    <row r="1197" spans="1:50" ht="13.5" thickBot="1">
      <c r="A1197" s="330"/>
      <c r="B1197" s="106"/>
      <c r="C1197" s="106"/>
      <c r="D1197" s="106"/>
      <c r="F1197" s="235"/>
      <c r="G1197" s="235"/>
      <c r="H1197" s="235"/>
      <c r="I1197" s="235"/>
      <c r="J1197" s="235"/>
      <c r="K1197" s="235"/>
      <c r="L1197" s="235"/>
      <c r="M1197" s="235"/>
      <c r="N1197" s="235"/>
      <c r="O1197" s="235"/>
      <c r="P1197" s="235"/>
      <c r="Q1197" s="242"/>
      <c r="R1197" s="242"/>
      <c r="S1197" s="242"/>
      <c r="T1197" s="242"/>
      <c r="U1197" s="242"/>
      <c r="V1197" s="242"/>
      <c r="W1197" s="242"/>
      <c r="X1197" s="242"/>
      <c r="Y1197" s="242"/>
      <c r="Z1197" s="242"/>
      <c r="AA1197" s="242"/>
      <c r="AB1197" s="242"/>
      <c r="AC1197" s="242"/>
      <c r="AD1197" s="242"/>
      <c r="AE1197" s="242"/>
      <c r="AF1197" s="242"/>
      <c r="AG1197" s="242"/>
      <c r="AH1197" s="242"/>
      <c r="AI1197" s="242"/>
      <c r="AJ1197" s="242"/>
      <c r="AK1197" s="242"/>
      <c r="AL1197" s="242"/>
      <c r="AM1197" s="242"/>
      <c r="AN1197" s="242"/>
      <c r="AO1197" s="242"/>
      <c r="AP1197" s="242"/>
      <c r="AQ1197" s="242"/>
      <c r="AR1197" s="242"/>
      <c r="AS1197" s="242"/>
      <c r="AT1197" s="242"/>
      <c r="AU1197" s="242"/>
      <c r="AV1197" s="235"/>
      <c r="AW1197" s="242"/>
      <c r="AX1197" s="242">
        <f>+AW1197-'ROR-Model'!G1214</f>
        <v>0</v>
      </c>
    </row>
    <row r="1198" spans="1:50" ht="13.5" thickTop="1">
      <c r="A1198" s="59" t="s">
        <v>664</v>
      </c>
      <c r="B1198" s="106"/>
      <c r="C1198" s="106"/>
      <c r="D1198" s="10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Q1198" s="133"/>
      <c r="R1198" s="133"/>
      <c r="S1198" s="133"/>
      <c r="T1198" s="133"/>
      <c r="U1198" s="133"/>
      <c r="V1198" s="133"/>
      <c r="W1198" s="133"/>
      <c r="X1198" s="133"/>
      <c r="Y1198" s="133"/>
      <c r="Z1198" s="133"/>
      <c r="AA1198" s="133"/>
      <c r="AB1198" s="133"/>
      <c r="AC1198" s="133"/>
      <c r="AD1198" s="133"/>
      <c r="AE1198" s="133"/>
      <c r="AF1198" s="133"/>
      <c r="AG1198" s="133"/>
      <c r="AH1198" s="133"/>
      <c r="AI1198" s="133"/>
      <c r="AJ1198" s="133"/>
      <c r="AK1198" s="133"/>
      <c r="AL1198" s="133"/>
      <c r="AM1198" s="133"/>
      <c r="AN1198" s="133"/>
      <c r="AO1198" s="133"/>
      <c r="AP1198" s="133"/>
      <c r="AQ1198" s="133"/>
      <c r="AR1198" s="133"/>
      <c r="AS1198" s="133"/>
      <c r="AT1198" s="133"/>
      <c r="AU1198" s="133"/>
      <c r="AV1198" s="116"/>
      <c r="AW1198" s="133"/>
      <c r="AX1198" s="133">
        <f>+AW1198-'ROR-Model'!G1215</f>
        <v>0</v>
      </c>
    </row>
    <row r="1199" spans="1:50">
      <c r="A1199" s="330"/>
      <c r="B1199" s="106" t="s">
        <v>443</v>
      </c>
      <c r="C1199" s="106"/>
      <c r="D1199" s="106"/>
      <c r="F1199" s="106">
        <f>F1138+F1146+F1153+F1174+F1181+F1188</f>
        <v>56063.254497271344</v>
      </c>
      <c r="G1199" s="106">
        <f t="shared" ref="G1199" si="1343">G1138+G1146+G1153+G1174+G1181+G1188</f>
        <v>0</v>
      </c>
      <c r="H1199" s="106">
        <f t="shared" ref="H1199:Q1199" si="1344">H1138+H1146+H1153+H1174+H1181+H1188</f>
        <v>0</v>
      </c>
      <c r="I1199" s="106">
        <f>I1138+I1146+I1153+I1174+I1181+I1188</f>
        <v>-52891066.75</v>
      </c>
      <c r="J1199" s="106">
        <f t="shared" si="1344"/>
        <v>0</v>
      </c>
      <c r="K1199" s="106">
        <f t="shared" si="1344"/>
        <v>0</v>
      </c>
      <c r="L1199" s="106">
        <f t="shared" si="1344"/>
        <v>0</v>
      </c>
      <c r="M1199" s="106">
        <f t="shared" si="1344"/>
        <v>0</v>
      </c>
      <c r="N1199" s="106">
        <f t="shared" si="1344"/>
        <v>0</v>
      </c>
      <c r="O1199" s="106">
        <f t="shared" si="1344"/>
        <v>0</v>
      </c>
      <c r="P1199" s="106">
        <f t="shared" si="1344"/>
        <v>0</v>
      </c>
      <c r="Q1199" s="106">
        <f t="shared" si="1344"/>
        <v>0</v>
      </c>
      <c r="R1199" s="106">
        <f t="shared" ref="R1199" si="1345">R1138+R1146+R1153+R1174+R1181+R1188</f>
        <v>0</v>
      </c>
      <c r="S1199" s="106"/>
      <c r="T1199" s="106">
        <f t="shared" ref="T1199:W1199" si="1346">T1138+T1146+T1153+T1174+T1181+T1188</f>
        <v>0</v>
      </c>
      <c r="U1199" s="106">
        <f t="shared" si="1346"/>
        <v>0</v>
      </c>
      <c r="V1199" s="106">
        <f t="shared" si="1346"/>
        <v>0</v>
      </c>
      <c r="W1199" s="106">
        <f t="shared" si="1346"/>
        <v>0</v>
      </c>
      <c r="X1199" s="106">
        <f t="shared" ref="X1199:AG1199" si="1347">X1138+X1146+X1153+X1174+X1181+X1188</f>
        <v>0</v>
      </c>
      <c r="Y1199" s="106">
        <f t="shared" si="1347"/>
        <v>0</v>
      </c>
      <c r="Z1199" s="106">
        <f t="shared" si="1347"/>
        <v>0</v>
      </c>
      <c r="AA1199" s="106">
        <f t="shared" si="1347"/>
        <v>0</v>
      </c>
      <c r="AB1199" s="106">
        <f t="shared" si="1347"/>
        <v>0</v>
      </c>
      <c r="AC1199" s="106">
        <f t="shared" si="1347"/>
        <v>0</v>
      </c>
      <c r="AD1199" s="106">
        <f t="shared" si="1347"/>
        <v>0</v>
      </c>
      <c r="AE1199" s="106">
        <f t="shared" si="1347"/>
        <v>0</v>
      </c>
      <c r="AF1199" s="106">
        <f t="shared" si="1347"/>
        <v>0</v>
      </c>
      <c r="AG1199" s="106">
        <f t="shared" si="1347"/>
        <v>0</v>
      </c>
      <c r="AH1199" s="106">
        <f t="shared" ref="AH1199:AK1199" si="1348">AH1138+AH1146+AH1153+AH1174+AH1181+AH1188</f>
        <v>0</v>
      </c>
      <c r="AI1199" s="106">
        <f t="shared" si="1348"/>
        <v>0</v>
      </c>
      <c r="AJ1199" s="106">
        <f t="shared" si="1348"/>
        <v>0</v>
      </c>
      <c r="AK1199" s="106">
        <f t="shared" si="1348"/>
        <v>0</v>
      </c>
      <c r="AL1199" s="106">
        <f t="shared" ref="AL1199:AP1199" si="1349">AL1138+AL1146+AL1153+AL1174+AL1181+AL1188</f>
        <v>0</v>
      </c>
      <c r="AM1199" s="106">
        <f t="shared" si="1349"/>
        <v>0</v>
      </c>
      <c r="AN1199" s="106">
        <f t="shared" si="1349"/>
        <v>0</v>
      </c>
      <c r="AO1199" s="106">
        <f t="shared" si="1349"/>
        <v>0</v>
      </c>
      <c r="AP1199" s="106">
        <f t="shared" si="1349"/>
        <v>0</v>
      </c>
      <c r="AQ1199" s="106">
        <f t="shared" ref="AQ1199:AS1199" si="1350">AQ1138+AQ1146+AQ1153+AQ1174+AQ1181+AQ1188</f>
        <v>0</v>
      </c>
      <c r="AR1199" s="106">
        <f t="shared" si="1350"/>
        <v>0</v>
      </c>
      <c r="AS1199" s="106">
        <f t="shared" si="1350"/>
        <v>0</v>
      </c>
      <c r="AT1199" s="106"/>
      <c r="AU1199" s="106">
        <f>AU1138+AU1146+AU1153+AU1174+AU1181+AU1188</f>
        <v>-52835003.495502733</v>
      </c>
      <c r="AV1199" s="106"/>
      <c r="AW1199" s="106">
        <f>AW1138+AW1146+AW1153+AW1174+AW1181+AW1188</f>
        <v>-52835003.495502733</v>
      </c>
      <c r="AX1199" s="106">
        <f>+AW1199-'ROR-Model'!G1216</f>
        <v>0</v>
      </c>
    </row>
    <row r="1200" spans="1:50">
      <c r="A1200" s="330"/>
      <c r="B1200" s="106" t="s">
        <v>592</v>
      </c>
      <c r="C1200" s="106"/>
      <c r="D1200" s="106"/>
      <c r="F1200" s="106">
        <f>F1133+F1147+F1154+F1160+F1175+F1182+F1189+F1165</f>
        <v>-849992.34319539857</v>
      </c>
      <c r="G1200" s="106">
        <f t="shared" ref="G1200" si="1351">G1133+G1147+G1154+G1160+G1175+G1182+G1189+G1165</f>
        <v>0</v>
      </c>
      <c r="H1200" s="106">
        <f t="shared" ref="H1200:Q1201" si="1352">H1133+H1147+H1154+H1160+H1175+H1182+H1189+H1165</f>
        <v>0</v>
      </c>
      <c r="I1200" s="106">
        <f>I1133+I1147+I1154+I1160+I1175+I1182+I1189+I1165</f>
        <v>0</v>
      </c>
      <c r="J1200" s="106">
        <f t="shared" si="1352"/>
        <v>0</v>
      </c>
      <c r="K1200" s="106">
        <f t="shared" si="1352"/>
        <v>0</v>
      </c>
      <c r="L1200" s="106">
        <f t="shared" si="1352"/>
        <v>0</v>
      </c>
      <c r="M1200" s="106">
        <f t="shared" si="1352"/>
        <v>0</v>
      </c>
      <c r="N1200" s="106">
        <f t="shared" si="1352"/>
        <v>0</v>
      </c>
      <c r="O1200" s="106">
        <f t="shared" si="1352"/>
        <v>0</v>
      </c>
      <c r="P1200" s="106">
        <f t="shared" si="1352"/>
        <v>0</v>
      </c>
      <c r="Q1200" s="106">
        <f t="shared" si="1352"/>
        <v>0</v>
      </c>
      <c r="R1200" s="106">
        <f t="shared" ref="R1200" si="1353">R1133+R1147+R1154+R1160+R1175+R1182+R1189+R1165</f>
        <v>0</v>
      </c>
      <c r="S1200" s="106"/>
      <c r="T1200" s="106">
        <f t="shared" ref="T1200:W1201" si="1354">T1133+T1147+T1154+T1160+T1175+T1182+T1189+T1165</f>
        <v>0</v>
      </c>
      <c r="U1200" s="106">
        <f t="shared" si="1354"/>
        <v>0</v>
      </c>
      <c r="V1200" s="106">
        <f t="shared" si="1354"/>
        <v>0</v>
      </c>
      <c r="W1200" s="106">
        <f t="shared" si="1354"/>
        <v>0</v>
      </c>
      <c r="X1200" s="106">
        <f t="shared" ref="X1200:AG1200" si="1355">X1133+X1147+X1154+X1160+X1175+X1182+X1189+X1165</f>
        <v>0</v>
      </c>
      <c r="Y1200" s="106">
        <f t="shared" si="1355"/>
        <v>0</v>
      </c>
      <c r="Z1200" s="106">
        <f t="shared" si="1355"/>
        <v>0</v>
      </c>
      <c r="AA1200" s="106">
        <f t="shared" si="1355"/>
        <v>0</v>
      </c>
      <c r="AB1200" s="106">
        <f t="shared" si="1355"/>
        <v>0</v>
      </c>
      <c r="AC1200" s="106">
        <f t="shared" si="1355"/>
        <v>0</v>
      </c>
      <c r="AD1200" s="106">
        <f t="shared" si="1355"/>
        <v>0</v>
      </c>
      <c r="AE1200" s="106">
        <f t="shared" si="1355"/>
        <v>0</v>
      </c>
      <c r="AF1200" s="106">
        <f t="shared" si="1355"/>
        <v>0</v>
      </c>
      <c r="AG1200" s="106">
        <f t="shared" si="1355"/>
        <v>0</v>
      </c>
      <c r="AH1200" s="106">
        <f t="shared" ref="AH1200:AK1200" si="1356">AH1133+AH1147+AH1154+AH1160+AH1175+AH1182+AH1189+AH1165</f>
        <v>0</v>
      </c>
      <c r="AI1200" s="106">
        <f t="shared" si="1356"/>
        <v>0</v>
      </c>
      <c r="AJ1200" s="106">
        <f t="shared" si="1356"/>
        <v>0</v>
      </c>
      <c r="AK1200" s="106">
        <f t="shared" si="1356"/>
        <v>0</v>
      </c>
      <c r="AL1200" s="106">
        <f t="shared" ref="AL1200:AP1200" si="1357">AL1133+AL1147+AL1154+AL1160+AL1175+AL1182+AL1189+AL1165</f>
        <v>0</v>
      </c>
      <c r="AM1200" s="106">
        <f t="shared" si="1357"/>
        <v>0</v>
      </c>
      <c r="AN1200" s="106">
        <f t="shared" si="1357"/>
        <v>0</v>
      </c>
      <c r="AO1200" s="106">
        <f t="shared" si="1357"/>
        <v>0</v>
      </c>
      <c r="AP1200" s="106">
        <f t="shared" si="1357"/>
        <v>0</v>
      </c>
      <c r="AQ1200" s="106">
        <f t="shared" ref="AQ1200:AS1200" si="1358">AQ1133+AQ1147+AQ1154+AQ1160+AQ1175+AQ1182+AQ1189+AQ1165</f>
        <v>0</v>
      </c>
      <c r="AR1200" s="106">
        <f t="shared" si="1358"/>
        <v>0</v>
      </c>
      <c r="AS1200" s="106">
        <f t="shared" si="1358"/>
        <v>0</v>
      </c>
      <c r="AT1200" s="106"/>
      <c r="AU1200" s="106">
        <f>AU1133+AU1147+AU1154+AU1160+AU1175+AU1182+AU1189+AU1165</f>
        <v>-849992.34319539857</v>
      </c>
      <c r="AV1200" s="106"/>
      <c r="AW1200" s="106">
        <f>AW1133+AW1147+AW1154+AW1160+AW1175+AW1182+AW1189+AW1165</f>
        <v>-849992.34319539857</v>
      </c>
      <c r="AX1200" s="106">
        <f>+AW1200-'ROR-Model'!G1217</f>
        <v>0</v>
      </c>
    </row>
    <row r="1201" spans="1:50">
      <c r="A1201" s="330"/>
      <c r="B1201" s="106" t="s">
        <v>593</v>
      </c>
      <c r="C1201" s="106"/>
      <c r="D1201" s="106"/>
      <c r="F1201" s="106">
        <f>F1134+F1148+F1155+F1161+F1176+F1183+F1190+F1166</f>
        <v>-34517008.92917306</v>
      </c>
      <c r="G1201" s="106">
        <f t="shared" ref="G1201" si="1359">G1134+G1148+G1155+G1161+G1176+G1183+G1190+G1166</f>
        <v>0</v>
      </c>
      <c r="H1201" s="106">
        <f t="shared" si="1352"/>
        <v>0</v>
      </c>
      <c r="I1201" s="106">
        <f>I1134+I1148+I1155+I1161+I1176+I1183+I1190+I1166</f>
        <v>0</v>
      </c>
      <c r="J1201" s="106">
        <f t="shared" si="1352"/>
        <v>0</v>
      </c>
      <c r="K1201" s="106">
        <f t="shared" si="1352"/>
        <v>0</v>
      </c>
      <c r="L1201" s="106">
        <f t="shared" si="1352"/>
        <v>0</v>
      </c>
      <c r="M1201" s="106">
        <f t="shared" si="1352"/>
        <v>0</v>
      </c>
      <c r="N1201" s="106">
        <f t="shared" si="1352"/>
        <v>0</v>
      </c>
      <c r="O1201" s="106">
        <f t="shared" si="1352"/>
        <v>0</v>
      </c>
      <c r="P1201" s="106">
        <f t="shared" si="1352"/>
        <v>0</v>
      </c>
      <c r="Q1201" s="106">
        <f t="shared" si="1352"/>
        <v>0</v>
      </c>
      <c r="R1201" s="106">
        <f t="shared" ref="R1201" si="1360">R1134+R1148+R1155+R1161+R1176+R1183+R1190+R1166</f>
        <v>0</v>
      </c>
      <c r="S1201" s="106"/>
      <c r="T1201" s="106">
        <f t="shared" si="1354"/>
        <v>0</v>
      </c>
      <c r="U1201" s="106">
        <f t="shared" si="1354"/>
        <v>0</v>
      </c>
      <c r="V1201" s="106">
        <f t="shared" si="1354"/>
        <v>0</v>
      </c>
      <c r="W1201" s="106">
        <f t="shared" si="1354"/>
        <v>0</v>
      </c>
      <c r="X1201" s="106">
        <f t="shared" ref="X1201:AG1201" si="1361">X1134+X1148+X1155+X1161+X1176+X1183+X1190+X1166</f>
        <v>0</v>
      </c>
      <c r="Y1201" s="106">
        <f t="shared" si="1361"/>
        <v>0</v>
      </c>
      <c r="Z1201" s="106">
        <f t="shared" si="1361"/>
        <v>0</v>
      </c>
      <c r="AA1201" s="106">
        <f t="shared" si="1361"/>
        <v>0</v>
      </c>
      <c r="AB1201" s="106">
        <f t="shared" si="1361"/>
        <v>0</v>
      </c>
      <c r="AC1201" s="106">
        <f t="shared" si="1361"/>
        <v>0</v>
      </c>
      <c r="AD1201" s="106">
        <f t="shared" si="1361"/>
        <v>0</v>
      </c>
      <c r="AE1201" s="106">
        <f t="shared" si="1361"/>
        <v>0</v>
      </c>
      <c r="AF1201" s="106">
        <f t="shared" si="1361"/>
        <v>0</v>
      </c>
      <c r="AG1201" s="106">
        <f t="shared" si="1361"/>
        <v>0</v>
      </c>
      <c r="AH1201" s="106">
        <f t="shared" ref="AH1201:AK1201" si="1362">AH1134+AH1148+AH1155+AH1161+AH1176+AH1183+AH1190+AH1166</f>
        <v>0</v>
      </c>
      <c r="AI1201" s="106">
        <f t="shared" si="1362"/>
        <v>0</v>
      </c>
      <c r="AJ1201" s="106">
        <f t="shared" si="1362"/>
        <v>0</v>
      </c>
      <c r="AK1201" s="106">
        <f t="shared" si="1362"/>
        <v>0</v>
      </c>
      <c r="AL1201" s="106">
        <f t="shared" ref="AL1201:AP1201" si="1363">AL1134+AL1148+AL1155+AL1161+AL1176+AL1183+AL1190+AL1166</f>
        <v>0</v>
      </c>
      <c r="AM1201" s="106">
        <f t="shared" si="1363"/>
        <v>0</v>
      </c>
      <c r="AN1201" s="106">
        <f t="shared" si="1363"/>
        <v>0</v>
      </c>
      <c r="AO1201" s="106">
        <f t="shared" si="1363"/>
        <v>0</v>
      </c>
      <c r="AP1201" s="106">
        <f t="shared" si="1363"/>
        <v>0</v>
      </c>
      <c r="AQ1201" s="106">
        <f t="shared" ref="AQ1201:AS1201" si="1364">AQ1134+AQ1148+AQ1155+AQ1161+AQ1176+AQ1183+AQ1190+AQ1166</f>
        <v>0</v>
      </c>
      <c r="AR1201" s="106">
        <f t="shared" si="1364"/>
        <v>0</v>
      </c>
      <c r="AS1201" s="106">
        <f t="shared" si="1364"/>
        <v>0</v>
      </c>
      <c r="AT1201" s="106"/>
      <c r="AU1201" s="106">
        <f>AU1134+AU1148+AU1155+AU1161+AU1176+AU1183+AU1190+AU1166</f>
        <v>-34517008.92917306</v>
      </c>
      <c r="AV1201" s="106"/>
      <c r="AW1201" s="106">
        <f>AW1134+AW1148+AW1155+AW1161+AW1176+AW1183+AW1190+AW1166</f>
        <v>-34517008.92917306</v>
      </c>
      <c r="AX1201" s="106">
        <f>+AW1201-'ROR-Model'!G1218</f>
        <v>0</v>
      </c>
    </row>
    <row r="1202" spans="1:50">
      <c r="A1202" s="330"/>
      <c r="B1202" s="106" t="s">
        <v>595</v>
      </c>
      <c r="C1202" s="106"/>
      <c r="D1202" s="106"/>
      <c r="F1202" s="106">
        <f>F1142+F1149+F1156+F1170+F1177+F1184+F1191+F1195</f>
        <v>973949.91068856814</v>
      </c>
      <c r="G1202" s="106">
        <f t="shared" ref="G1202" si="1365">G1142+G1149+G1156+G1170+G1177+G1184+G1191+G1195</f>
        <v>0</v>
      </c>
      <c r="H1202" s="106">
        <f t="shared" ref="H1202:Q1202" si="1366">H1142+H1149+H1156+H1170+H1177+H1184+H1191+H1195</f>
        <v>0</v>
      </c>
      <c r="I1202" s="106">
        <f>I1142+I1149+I1156+I1170+I1177+I1184+I1191+I1195</f>
        <v>0</v>
      </c>
      <c r="J1202" s="106">
        <f t="shared" si="1366"/>
        <v>0</v>
      </c>
      <c r="K1202" s="106">
        <f t="shared" si="1366"/>
        <v>0</v>
      </c>
      <c r="L1202" s="106">
        <f t="shared" si="1366"/>
        <v>0</v>
      </c>
      <c r="M1202" s="106">
        <f t="shared" si="1366"/>
        <v>0</v>
      </c>
      <c r="N1202" s="106">
        <f t="shared" si="1366"/>
        <v>0</v>
      </c>
      <c r="O1202" s="106">
        <f t="shared" si="1366"/>
        <v>0</v>
      </c>
      <c r="P1202" s="106">
        <f t="shared" si="1366"/>
        <v>0</v>
      </c>
      <c r="Q1202" s="106">
        <f t="shared" si="1366"/>
        <v>0</v>
      </c>
      <c r="R1202" s="106">
        <f t="shared" ref="R1202" si="1367">R1142+R1149+R1156+R1170+R1177+R1184+R1191+R1195</f>
        <v>0</v>
      </c>
      <c r="S1202" s="106"/>
      <c r="T1202" s="106">
        <f t="shared" ref="T1202:W1202" si="1368">T1142+T1149+T1156+T1170+T1177+T1184+T1191+T1195</f>
        <v>0</v>
      </c>
      <c r="U1202" s="106">
        <f t="shared" si="1368"/>
        <v>0</v>
      </c>
      <c r="V1202" s="106">
        <f t="shared" si="1368"/>
        <v>0</v>
      </c>
      <c r="W1202" s="106">
        <f t="shared" si="1368"/>
        <v>0</v>
      </c>
      <c r="X1202" s="106">
        <f t="shared" ref="X1202:AG1202" si="1369">X1142+X1149+X1156+X1170+X1177+X1184+X1191+X1195</f>
        <v>0</v>
      </c>
      <c r="Y1202" s="106">
        <f t="shared" si="1369"/>
        <v>0</v>
      </c>
      <c r="Z1202" s="106">
        <f t="shared" si="1369"/>
        <v>0</v>
      </c>
      <c r="AA1202" s="106">
        <f t="shared" si="1369"/>
        <v>0</v>
      </c>
      <c r="AB1202" s="106">
        <f t="shared" si="1369"/>
        <v>0</v>
      </c>
      <c r="AC1202" s="106">
        <f t="shared" si="1369"/>
        <v>0</v>
      </c>
      <c r="AD1202" s="106">
        <f t="shared" si="1369"/>
        <v>0</v>
      </c>
      <c r="AE1202" s="106">
        <f t="shared" si="1369"/>
        <v>0</v>
      </c>
      <c r="AF1202" s="106">
        <f t="shared" si="1369"/>
        <v>0</v>
      </c>
      <c r="AG1202" s="106">
        <f t="shared" si="1369"/>
        <v>0</v>
      </c>
      <c r="AH1202" s="106">
        <f t="shared" ref="AH1202:AK1202" si="1370">AH1142+AH1149+AH1156+AH1170+AH1177+AH1184+AH1191+AH1195</f>
        <v>0</v>
      </c>
      <c r="AI1202" s="106">
        <f t="shared" si="1370"/>
        <v>0</v>
      </c>
      <c r="AJ1202" s="106">
        <f t="shared" si="1370"/>
        <v>0</v>
      </c>
      <c r="AK1202" s="106">
        <f t="shared" si="1370"/>
        <v>0</v>
      </c>
      <c r="AL1202" s="106">
        <f t="shared" ref="AL1202:AP1202" si="1371">AL1142+AL1149+AL1156+AL1170+AL1177+AL1184+AL1191+AL1195</f>
        <v>0</v>
      </c>
      <c r="AM1202" s="106">
        <f t="shared" si="1371"/>
        <v>0</v>
      </c>
      <c r="AN1202" s="106">
        <f t="shared" si="1371"/>
        <v>0</v>
      </c>
      <c r="AO1202" s="106">
        <f t="shared" si="1371"/>
        <v>0</v>
      </c>
      <c r="AP1202" s="106">
        <f t="shared" si="1371"/>
        <v>0</v>
      </c>
      <c r="AQ1202" s="106">
        <f t="shared" ref="AQ1202:AS1202" si="1372">AQ1142+AQ1149+AQ1156+AQ1170+AQ1177+AQ1184+AQ1191+AQ1195</f>
        <v>0</v>
      </c>
      <c r="AR1202" s="106">
        <f t="shared" si="1372"/>
        <v>0</v>
      </c>
      <c r="AS1202" s="106">
        <f t="shared" si="1372"/>
        <v>0</v>
      </c>
      <c r="AT1202" s="106"/>
      <c r="AU1202" s="106">
        <f>AU1142+AU1149+AU1156+AU1170+AU1177+AU1184+AU1191+AU1195</f>
        <v>973949.91068856814</v>
      </c>
      <c r="AV1202" s="106"/>
      <c r="AW1202" s="106">
        <f>AW1142+AW1149+AW1156+AW1170+AW1177+AW1184+AW1191+AW1195</f>
        <v>973949.91068856814</v>
      </c>
      <c r="AX1202" s="106">
        <f>+AW1202-'ROR-Model'!G1219</f>
        <v>0</v>
      </c>
    </row>
    <row r="1203" spans="1:50" ht="13.5" thickBot="1">
      <c r="A1203" s="330"/>
      <c r="B1203" s="106"/>
      <c r="C1203" s="106"/>
      <c r="D1203" s="106"/>
      <c r="F1203" s="210"/>
      <c r="G1203" s="210"/>
      <c r="H1203" s="210"/>
      <c r="I1203" s="210"/>
      <c r="J1203" s="210"/>
      <c r="K1203" s="210"/>
      <c r="L1203" s="210"/>
      <c r="M1203" s="210"/>
      <c r="N1203" s="210"/>
      <c r="O1203" s="210"/>
      <c r="P1203" s="210"/>
      <c r="Q1203" s="263"/>
      <c r="R1203" s="263"/>
      <c r="S1203" s="263"/>
      <c r="T1203" s="263"/>
      <c r="U1203" s="263"/>
      <c r="V1203" s="263"/>
      <c r="W1203" s="263"/>
      <c r="X1203" s="263"/>
      <c r="Y1203" s="263"/>
      <c r="Z1203" s="263"/>
      <c r="AA1203" s="263"/>
      <c r="AB1203" s="263"/>
      <c r="AC1203" s="263"/>
      <c r="AD1203" s="263"/>
      <c r="AE1203" s="263"/>
      <c r="AF1203" s="263"/>
      <c r="AG1203" s="263"/>
      <c r="AH1203" s="263"/>
      <c r="AI1203" s="263"/>
      <c r="AJ1203" s="263"/>
      <c r="AK1203" s="263"/>
      <c r="AL1203" s="263"/>
      <c r="AM1203" s="263"/>
      <c r="AN1203" s="263"/>
      <c r="AO1203" s="263"/>
      <c r="AP1203" s="263"/>
      <c r="AQ1203" s="263"/>
      <c r="AR1203" s="263"/>
      <c r="AS1203" s="263"/>
      <c r="AT1203" s="263"/>
      <c r="AU1203" s="263"/>
      <c r="AV1203" s="210"/>
      <c r="AW1203" s="263"/>
      <c r="AX1203" s="263">
        <f>+AW1203-'ROR-Model'!G1220</f>
        <v>0</v>
      </c>
    </row>
    <row r="1204" spans="1:50" ht="13.5" thickTop="1">
      <c r="A1204" s="330"/>
      <c r="B1204" s="106"/>
      <c r="C1204" s="106"/>
      <c r="D1204" s="106"/>
      <c r="F1204" s="106"/>
      <c r="G1204" s="106"/>
      <c r="H1204" s="106"/>
      <c r="I1204" s="106"/>
      <c r="J1204" s="106"/>
      <c r="K1204" s="106"/>
      <c r="L1204" s="106"/>
      <c r="M1204" s="106"/>
      <c r="N1204" s="106"/>
      <c r="O1204" s="106"/>
      <c r="P1204" s="106"/>
      <c r="Q1204" s="243"/>
      <c r="R1204" s="243"/>
      <c r="S1204" s="243"/>
      <c r="T1204" s="243"/>
      <c r="U1204" s="243"/>
      <c r="V1204" s="243"/>
      <c r="W1204" s="243"/>
      <c r="X1204" s="243"/>
      <c r="Y1204" s="243"/>
      <c r="Z1204" s="243"/>
      <c r="AA1204" s="243"/>
      <c r="AB1204" s="243"/>
      <c r="AC1204" s="243"/>
      <c r="AD1204" s="243"/>
      <c r="AE1204" s="243"/>
      <c r="AF1204" s="243"/>
      <c r="AG1204" s="243"/>
      <c r="AH1204" s="243"/>
      <c r="AI1204" s="243"/>
      <c r="AJ1204" s="243"/>
      <c r="AK1204" s="243"/>
      <c r="AL1204" s="243"/>
      <c r="AM1204" s="243"/>
      <c r="AN1204" s="243"/>
      <c r="AO1204" s="243"/>
      <c r="AP1204" s="243"/>
      <c r="AQ1204" s="243"/>
      <c r="AR1204" s="243"/>
      <c r="AS1204" s="243"/>
      <c r="AT1204" s="243"/>
      <c r="AU1204" s="243"/>
      <c r="AV1204" s="106"/>
      <c r="AW1204" s="243"/>
      <c r="AX1204" s="243">
        <f>+AW1204-'ROR-Model'!G1221</f>
        <v>0</v>
      </c>
    </row>
    <row r="1205" spans="1:50">
      <c r="A1205" s="330"/>
      <c r="B1205" s="61" t="s">
        <v>664</v>
      </c>
      <c r="C1205" s="106"/>
      <c r="D1205" s="106"/>
      <c r="F1205" s="106">
        <f t="shared" ref="F1205:Q1205" si="1373">+F1135+F1139+F1143+F1150+F1157+F1162+F1167+F1171+F1178+F1185+F1192+F1196</f>
        <v>-34336988.107182622</v>
      </c>
      <c r="G1205" s="106">
        <f t="shared" ref="G1205" si="1374">+G1135+G1139+G1143+G1150+G1157+G1162+G1167+G1171+G1178+G1185+G1192+G1196</f>
        <v>0</v>
      </c>
      <c r="H1205" s="106">
        <f t="shared" si="1373"/>
        <v>0</v>
      </c>
      <c r="I1205" s="106">
        <f>+I1135+I1139+I1143+I1150+I1157+I1162+I1167+I1171+I1178+I1185+I1192+I1196</f>
        <v>-52891066.75</v>
      </c>
      <c r="J1205" s="106">
        <f t="shared" si="1373"/>
        <v>0</v>
      </c>
      <c r="K1205" s="106">
        <f t="shared" si="1373"/>
        <v>0</v>
      </c>
      <c r="L1205" s="106">
        <f t="shared" si="1373"/>
        <v>0</v>
      </c>
      <c r="M1205" s="106">
        <f t="shared" si="1373"/>
        <v>0</v>
      </c>
      <c r="N1205" s="106">
        <f t="shared" si="1373"/>
        <v>0</v>
      </c>
      <c r="O1205" s="106">
        <f t="shared" si="1373"/>
        <v>0</v>
      </c>
      <c r="P1205" s="106">
        <f t="shared" si="1373"/>
        <v>0</v>
      </c>
      <c r="Q1205" s="243">
        <f t="shared" si="1373"/>
        <v>0</v>
      </c>
      <c r="R1205" s="243">
        <f t="shared" ref="R1205" si="1375">+R1135+R1139+R1143+R1150+R1157+R1162+R1167+R1171+R1178+R1185+R1192+R1196</f>
        <v>0</v>
      </c>
      <c r="S1205" s="243"/>
      <c r="T1205" s="243">
        <f t="shared" ref="T1205" si="1376">+T1135+T1139+T1143+T1150+T1157+T1162+T1167+T1171+T1178+T1185+T1192+T1196</f>
        <v>0</v>
      </c>
      <c r="U1205" s="243">
        <f t="shared" ref="U1205:W1205" si="1377">+U1135+U1139+U1143+U1150+U1157+U1162+U1167+U1171+U1178+U1185+U1192+U1196</f>
        <v>0</v>
      </c>
      <c r="V1205" s="243">
        <f t="shared" ref="V1205" si="1378">+V1135+V1139+V1143+V1150+V1157+V1162+V1167+V1171+V1178+V1185+V1192+V1196</f>
        <v>0</v>
      </c>
      <c r="W1205" s="243">
        <f t="shared" si="1377"/>
        <v>0</v>
      </c>
      <c r="X1205" s="243">
        <f t="shared" ref="X1205:AG1205" si="1379">+X1135+X1139+X1143+X1150+X1157+X1162+X1167+X1171+X1178+X1185+X1192+X1196</f>
        <v>0</v>
      </c>
      <c r="Y1205" s="243">
        <f t="shared" si="1379"/>
        <v>0</v>
      </c>
      <c r="Z1205" s="243">
        <f t="shared" si="1379"/>
        <v>0</v>
      </c>
      <c r="AA1205" s="243">
        <f t="shared" si="1379"/>
        <v>0</v>
      </c>
      <c r="AB1205" s="243">
        <f t="shared" si="1379"/>
        <v>0</v>
      </c>
      <c r="AC1205" s="243">
        <f t="shared" si="1379"/>
        <v>0</v>
      </c>
      <c r="AD1205" s="243">
        <f t="shared" si="1379"/>
        <v>0</v>
      </c>
      <c r="AE1205" s="243">
        <f t="shared" si="1379"/>
        <v>0</v>
      </c>
      <c r="AF1205" s="243">
        <f t="shared" si="1379"/>
        <v>0</v>
      </c>
      <c r="AG1205" s="243">
        <f t="shared" si="1379"/>
        <v>0</v>
      </c>
      <c r="AH1205" s="243">
        <f t="shared" ref="AH1205:AK1205" si="1380">+AH1135+AH1139+AH1143+AH1150+AH1157+AH1162+AH1167+AH1171+AH1178+AH1185+AH1192+AH1196</f>
        <v>0</v>
      </c>
      <c r="AI1205" s="243">
        <f t="shared" si="1380"/>
        <v>0</v>
      </c>
      <c r="AJ1205" s="243">
        <f t="shared" si="1380"/>
        <v>0</v>
      </c>
      <c r="AK1205" s="243">
        <f t="shared" si="1380"/>
        <v>0</v>
      </c>
      <c r="AL1205" s="243">
        <f t="shared" ref="AL1205:AP1205" si="1381">+AL1135+AL1139+AL1143+AL1150+AL1157+AL1162+AL1167+AL1171+AL1178+AL1185+AL1192+AL1196</f>
        <v>0</v>
      </c>
      <c r="AM1205" s="243">
        <f t="shared" si="1381"/>
        <v>0</v>
      </c>
      <c r="AN1205" s="243">
        <f t="shared" si="1381"/>
        <v>0</v>
      </c>
      <c r="AO1205" s="243">
        <f t="shared" si="1381"/>
        <v>0</v>
      </c>
      <c r="AP1205" s="243">
        <f t="shared" si="1381"/>
        <v>0</v>
      </c>
      <c r="AQ1205" s="243">
        <f t="shared" ref="AQ1205:AS1205" si="1382">+AQ1135+AQ1139+AQ1143+AQ1150+AQ1157+AQ1162+AQ1167+AQ1171+AQ1178+AQ1185+AQ1192+AQ1196</f>
        <v>0</v>
      </c>
      <c r="AR1205" s="243">
        <f t="shared" si="1382"/>
        <v>0</v>
      </c>
      <c r="AS1205" s="243">
        <f t="shared" si="1382"/>
        <v>0</v>
      </c>
      <c r="AT1205" s="243"/>
      <c r="AU1205" s="243">
        <f>+AU1135+AU1139+AU1143+AU1150+AU1157+AU1162+AU1167+AU1171+AU1178+AU1185+AU1192+AU1196</f>
        <v>-87228054.857182622</v>
      </c>
      <c r="AV1205" s="106"/>
      <c r="AW1205" s="243">
        <f>+AW1135+AW1139+AW1143+AW1150+AW1157+AW1162+AW1167+AW1171+AW1178+AW1185+AW1192+AW1196</f>
        <v>-87228054.857182622</v>
      </c>
      <c r="AX1205" s="243">
        <f>+AW1205-'ROR-Model'!G1222</f>
        <v>0</v>
      </c>
    </row>
    <row r="1206" spans="1:50">
      <c r="A1206" s="330"/>
      <c r="B1206" s="106"/>
      <c r="C1206" s="106"/>
      <c r="D1206" s="10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33"/>
      <c r="R1206" s="133"/>
      <c r="S1206" s="133"/>
      <c r="T1206" s="133"/>
      <c r="U1206" s="133"/>
      <c r="V1206" s="133"/>
      <c r="W1206" s="133"/>
      <c r="X1206" s="133"/>
      <c r="Y1206" s="133"/>
      <c r="Z1206" s="133"/>
      <c r="AA1206" s="133"/>
      <c r="AB1206" s="133"/>
      <c r="AC1206" s="133"/>
      <c r="AD1206" s="133"/>
      <c r="AE1206" s="133"/>
      <c r="AF1206" s="133"/>
      <c r="AG1206" s="133"/>
      <c r="AH1206" s="133"/>
      <c r="AI1206" s="133"/>
      <c r="AJ1206" s="133"/>
      <c r="AK1206" s="133"/>
      <c r="AL1206" s="133"/>
      <c r="AM1206" s="133"/>
      <c r="AN1206" s="133"/>
      <c r="AO1206" s="133"/>
      <c r="AP1206" s="133"/>
      <c r="AQ1206" s="133"/>
      <c r="AR1206" s="133"/>
      <c r="AS1206" s="133"/>
      <c r="AT1206" s="133"/>
      <c r="AU1206" s="133"/>
      <c r="AV1206" s="116"/>
      <c r="AW1206" s="133"/>
      <c r="AX1206" s="133">
        <f>+AW1206-'ROR-Model'!G1223</f>
        <v>0</v>
      </c>
    </row>
    <row r="1207" spans="1:50">
      <c r="A1207" s="61" t="s">
        <v>687</v>
      </c>
      <c r="B1207" s="106"/>
      <c r="C1207" s="106"/>
      <c r="D1207" s="106"/>
      <c r="F1207" s="106"/>
      <c r="G1207" s="106"/>
      <c r="H1207" s="106"/>
      <c r="I1207" s="106"/>
      <c r="J1207" s="106"/>
      <c r="K1207" s="106"/>
      <c r="L1207" s="106"/>
      <c r="M1207" s="106"/>
      <c r="N1207" s="106"/>
      <c r="O1207" s="106"/>
      <c r="P1207" s="106"/>
      <c r="Q1207" s="243"/>
      <c r="R1207" s="243"/>
      <c r="S1207" s="243"/>
      <c r="T1207" s="243"/>
      <c r="U1207" s="243"/>
      <c r="V1207" s="243"/>
      <c r="W1207" s="243"/>
      <c r="X1207" s="243"/>
      <c r="Y1207" s="243"/>
      <c r="Z1207" s="243"/>
      <c r="AA1207" s="243"/>
      <c r="AB1207" s="243"/>
      <c r="AC1207" s="243"/>
      <c r="AD1207" s="243"/>
      <c r="AE1207" s="243"/>
      <c r="AF1207" s="243"/>
      <c r="AG1207" s="243"/>
      <c r="AH1207" s="243"/>
      <c r="AI1207" s="243"/>
      <c r="AJ1207" s="243"/>
      <c r="AK1207" s="243"/>
      <c r="AL1207" s="243"/>
      <c r="AM1207" s="243"/>
      <c r="AN1207" s="243"/>
      <c r="AO1207" s="243"/>
      <c r="AP1207" s="243"/>
      <c r="AQ1207" s="243"/>
      <c r="AR1207" s="243"/>
      <c r="AS1207" s="243"/>
      <c r="AT1207" s="243"/>
      <c r="AU1207" s="243"/>
      <c r="AV1207" s="106"/>
      <c r="AW1207" s="243"/>
      <c r="AX1207" s="243">
        <f>+AW1207-'ROR-Model'!G1224</f>
        <v>0</v>
      </c>
    </row>
    <row r="1208" spans="1:50">
      <c r="A1208" s="61"/>
      <c r="B1208" s="106" t="s">
        <v>443</v>
      </c>
      <c r="C1208" s="106"/>
      <c r="D1208" s="106"/>
      <c r="F1208" s="116">
        <f t="shared" ref="F1208:F1211" ca="1" si="1383">F1121+F1199</f>
        <v>-844540.95094280283</v>
      </c>
      <c r="G1208" s="116">
        <f>G1*G1121+G1199</f>
        <v>0</v>
      </c>
      <c r="H1208" s="116">
        <f>H1*H1121+H1199</f>
        <v>0</v>
      </c>
      <c r="I1208" s="116">
        <f>I1121+I1199</f>
        <v>-52891066.75</v>
      </c>
      <c r="J1208" s="116">
        <f t="shared" ref="J1208:Q1211" ca="1" si="1384">J1121+J1199</f>
        <v>-210453.83884727611</v>
      </c>
      <c r="K1208" s="116">
        <f t="shared" si="1384"/>
        <v>0</v>
      </c>
      <c r="L1208" s="116">
        <f t="shared" si="1384"/>
        <v>0</v>
      </c>
      <c r="M1208" s="116">
        <f t="shared" si="1384"/>
        <v>0</v>
      </c>
      <c r="N1208" s="116">
        <f t="shared" si="1384"/>
        <v>0</v>
      </c>
      <c r="O1208" s="116">
        <f t="shared" si="1384"/>
        <v>0</v>
      </c>
      <c r="P1208" s="116">
        <f t="shared" si="1384"/>
        <v>0</v>
      </c>
      <c r="Q1208" s="133">
        <f t="shared" si="1384"/>
        <v>0</v>
      </c>
      <c r="R1208" s="133">
        <f t="shared" ref="R1208" si="1385">R1121+R1199</f>
        <v>0</v>
      </c>
      <c r="S1208" s="133"/>
      <c r="T1208" s="133">
        <f t="shared" ref="T1208:U1208" si="1386">T1121+T1199</f>
        <v>0</v>
      </c>
      <c r="U1208" s="133">
        <f t="shared" si="1386"/>
        <v>0</v>
      </c>
      <c r="V1208" s="133">
        <f t="shared" ref="V1208" si="1387">V1121+V1199</f>
        <v>0</v>
      </c>
      <c r="W1208" s="133">
        <f t="shared" ref="W1208:X1208" si="1388">W1121+W1199</f>
        <v>0</v>
      </c>
      <c r="X1208" s="133">
        <f t="shared" si="1388"/>
        <v>0</v>
      </c>
      <c r="Y1208" s="133">
        <f t="shared" ref="Y1208:AG1208" si="1389">Y1121+Y1199</f>
        <v>0</v>
      </c>
      <c r="Z1208" s="133">
        <f t="shared" si="1389"/>
        <v>0</v>
      </c>
      <c r="AA1208" s="133">
        <f t="shared" si="1389"/>
        <v>0</v>
      </c>
      <c r="AB1208" s="133">
        <f t="shared" si="1389"/>
        <v>0</v>
      </c>
      <c r="AC1208" s="133">
        <f t="shared" si="1389"/>
        <v>0</v>
      </c>
      <c r="AD1208" s="133">
        <f t="shared" si="1389"/>
        <v>0</v>
      </c>
      <c r="AE1208" s="133">
        <f t="shared" si="1389"/>
        <v>0</v>
      </c>
      <c r="AF1208" s="133">
        <f t="shared" si="1389"/>
        <v>0</v>
      </c>
      <c r="AG1208" s="133">
        <f t="shared" si="1389"/>
        <v>0</v>
      </c>
      <c r="AH1208" s="133">
        <f t="shared" ref="AH1208:AK1208" si="1390">AH1121+AH1199</f>
        <v>0</v>
      </c>
      <c r="AI1208" s="133">
        <f t="shared" si="1390"/>
        <v>0</v>
      </c>
      <c r="AJ1208" s="133">
        <f t="shared" si="1390"/>
        <v>0</v>
      </c>
      <c r="AK1208" s="133">
        <f t="shared" si="1390"/>
        <v>0</v>
      </c>
      <c r="AL1208" s="133">
        <f t="shared" ref="AL1208:AP1208" si="1391">AL1121+AL1199</f>
        <v>0</v>
      </c>
      <c r="AM1208" s="133">
        <f t="shared" si="1391"/>
        <v>0</v>
      </c>
      <c r="AN1208" s="133">
        <f t="shared" si="1391"/>
        <v>0</v>
      </c>
      <c r="AO1208" s="133">
        <f t="shared" si="1391"/>
        <v>0</v>
      </c>
      <c r="AP1208" s="133">
        <f t="shared" si="1391"/>
        <v>0</v>
      </c>
      <c r="AQ1208" s="133">
        <f t="shared" ref="AQ1208:AS1208" si="1392">AQ1121+AQ1199</f>
        <v>0</v>
      </c>
      <c r="AR1208" s="133">
        <f t="shared" si="1392"/>
        <v>0</v>
      </c>
      <c r="AS1208" s="133">
        <f t="shared" si="1392"/>
        <v>0</v>
      </c>
      <c r="AT1208" s="133"/>
      <c r="AU1208" s="133">
        <f ca="1">AU1121+AU1199</f>
        <v>-53946061.539790086</v>
      </c>
      <c r="AV1208" s="116"/>
      <c r="AW1208" s="133">
        <f ca="1">AW1121+AW1199</f>
        <v>-53946061.539790086</v>
      </c>
      <c r="AX1208" s="133">
        <f ca="1">+AW1208-'ROR-Model'!G1225</f>
        <v>0</v>
      </c>
    </row>
    <row r="1209" spans="1:50">
      <c r="A1209" s="61"/>
      <c r="B1209" s="106" t="s">
        <v>592</v>
      </c>
      <c r="C1209" s="106"/>
      <c r="D1209" s="106"/>
      <c r="F1209" s="116">
        <f t="shared" ca="1" si="1383"/>
        <v>7735124.6276038056</v>
      </c>
      <c r="G1209" s="116">
        <f>G1*G1122+G1200</f>
        <v>0</v>
      </c>
      <c r="H1209" s="116">
        <f>H1*H1122+H1200</f>
        <v>0</v>
      </c>
      <c r="I1209" s="116">
        <f>I1122+I1200</f>
        <v>0</v>
      </c>
      <c r="J1209" s="116">
        <f t="shared" si="1384"/>
        <v>0</v>
      </c>
      <c r="K1209" s="116">
        <f t="shared" si="1384"/>
        <v>0</v>
      </c>
      <c r="L1209" s="116">
        <f t="shared" si="1384"/>
        <v>0</v>
      </c>
      <c r="M1209" s="116">
        <f t="shared" si="1384"/>
        <v>0</v>
      </c>
      <c r="N1209" s="116">
        <f t="shared" si="1384"/>
        <v>0</v>
      </c>
      <c r="O1209" s="116">
        <f t="shared" si="1384"/>
        <v>0</v>
      </c>
      <c r="P1209" s="116">
        <f t="shared" si="1384"/>
        <v>0</v>
      </c>
      <c r="Q1209" s="133">
        <f t="shared" ref="Q1209:R1211" si="1393">Q1122+Q1200</f>
        <v>0</v>
      </c>
      <c r="R1209" s="133">
        <f t="shared" si="1393"/>
        <v>0</v>
      </c>
      <c r="S1209" s="133"/>
      <c r="T1209" s="133">
        <f t="shared" ref="T1209:U1209" si="1394">T1122+T1200</f>
        <v>0</v>
      </c>
      <c r="U1209" s="133">
        <f t="shared" si="1394"/>
        <v>0</v>
      </c>
      <c r="V1209" s="133">
        <f t="shared" ref="V1209" si="1395">V1122+V1200</f>
        <v>0</v>
      </c>
      <c r="W1209" s="133">
        <f t="shared" ref="W1209:X1209" si="1396">W1122+W1200</f>
        <v>0</v>
      </c>
      <c r="X1209" s="133">
        <f t="shared" si="1396"/>
        <v>0</v>
      </c>
      <c r="Y1209" s="133">
        <f t="shared" ref="Y1209:AG1209" si="1397">Y1122+Y1200</f>
        <v>0</v>
      </c>
      <c r="Z1209" s="133">
        <f t="shared" si="1397"/>
        <v>0</v>
      </c>
      <c r="AA1209" s="133">
        <f t="shared" si="1397"/>
        <v>0</v>
      </c>
      <c r="AB1209" s="133">
        <f t="shared" si="1397"/>
        <v>0</v>
      </c>
      <c r="AC1209" s="133">
        <f t="shared" si="1397"/>
        <v>0</v>
      </c>
      <c r="AD1209" s="133">
        <f t="shared" si="1397"/>
        <v>0</v>
      </c>
      <c r="AE1209" s="133">
        <f t="shared" si="1397"/>
        <v>0</v>
      </c>
      <c r="AF1209" s="133">
        <f t="shared" si="1397"/>
        <v>0</v>
      </c>
      <c r="AG1209" s="133">
        <f t="shared" si="1397"/>
        <v>0</v>
      </c>
      <c r="AH1209" s="133">
        <f t="shared" ref="AH1209:AK1209" si="1398">AH1122+AH1200</f>
        <v>0</v>
      </c>
      <c r="AI1209" s="133">
        <f t="shared" si="1398"/>
        <v>0</v>
      </c>
      <c r="AJ1209" s="133">
        <f t="shared" si="1398"/>
        <v>0</v>
      </c>
      <c r="AK1209" s="133">
        <f t="shared" si="1398"/>
        <v>0</v>
      </c>
      <c r="AL1209" s="133">
        <f t="shared" ref="AL1209:AP1209" si="1399">AL1122+AL1200</f>
        <v>0</v>
      </c>
      <c r="AM1209" s="133">
        <f t="shared" si="1399"/>
        <v>0</v>
      </c>
      <c r="AN1209" s="133">
        <f t="shared" si="1399"/>
        <v>0</v>
      </c>
      <c r="AO1209" s="133">
        <f t="shared" si="1399"/>
        <v>0</v>
      </c>
      <c r="AP1209" s="133">
        <f t="shared" si="1399"/>
        <v>0</v>
      </c>
      <c r="AQ1209" s="133">
        <f t="shared" ref="AQ1209:AS1209" si="1400">AQ1122+AQ1200</f>
        <v>0</v>
      </c>
      <c r="AR1209" s="133">
        <f t="shared" si="1400"/>
        <v>0</v>
      </c>
      <c r="AS1209" s="133">
        <f t="shared" si="1400"/>
        <v>0</v>
      </c>
      <c r="AT1209" s="133"/>
      <c r="AU1209" s="133">
        <f ca="1">AU1122+AU1200</f>
        <v>7735124.6276038056</v>
      </c>
      <c r="AV1209" s="116"/>
      <c r="AW1209" s="133">
        <f ca="1">AW1122+AW1200</f>
        <v>7735124.6276038056</v>
      </c>
      <c r="AX1209" s="133">
        <f ca="1">+AW1209-'ROR-Model'!G1226</f>
        <v>0</v>
      </c>
    </row>
    <row r="1210" spans="1:50">
      <c r="A1210" s="61"/>
      <c r="B1210" s="106" t="s">
        <v>593</v>
      </c>
      <c r="C1210" s="106"/>
      <c r="D1210" s="106"/>
      <c r="F1210" s="116">
        <f t="shared" ca="1" si="1383"/>
        <v>226914842.71504793</v>
      </c>
      <c r="G1210" s="116">
        <f>G1*G1123+G1201</f>
        <v>0</v>
      </c>
      <c r="H1210" s="116">
        <f>H1*H1123+H1201</f>
        <v>0</v>
      </c>
      <c r="I1210" s="116">
        <f>I1123+I1201</f>
        <v>0</v>
      </c>
      <c r="J1210" s="116">
        <f t="shared" si="1384"/>
        <v>0</v>
      </c>
      <c r="K1210" s="116">
        <f t="shared" si="1384"/>
        <v>0</v>
      </c>
      <c r="L1210" s="116">
        <f t="shared" si="1384"/>
        <v>0</v>
      </c>
      <c r="M1210" s="116">
        <f t="shared" si="1384"/>
        <v>0</v>
      </c>
      <c r="N1210" s="116">
        <f t="shared" si="1384"/>
        <v>0</v>
      </c>
      <c r="O1210" s="116">
        <f t="shared" si="1384"/>
        <v>0</v>
      </c>
      <c r="P1210" s="116">
        <f t="shared" si="1384"/>
        <v>0</v>
      </c>
      <c r="Q1210" s="133">
        <f t="shared" si="1393"/>
        <v>0</v>
      </c>
      <c r="R1210" s="133">
        <f t="shared" si="1393"/>
        <v>0</v>
      </c>
      <c r="S1210" s="133"/>
      <c r="T1210" s="133">
        <f t="shared" ref="T1210:U1210" si="1401">T1123+T1201</f>
        <v>0</v>
      </c>
      <c r="U1210" s="133">
        <f t="shared" si="1401"/>
        <v>0</v>
      </c>
      <c r="V1210" s="133">
        <f t="shared" ref="V1210" si="1402">V1123+V1201</f>
        <v>0</v>
      </c>
      <c r="W1210" s="133">
        <f t="shared" ref="W1210:X1210" si="1403">W1123+W1201</f>
        <v>0</v>
      </c>
      <c r="X1210" s="133">
        <f t="shared" si="1403"/>
        <v>0</v>
      </c>
      <c r="Y1210" s="133">
        <f t="shared" ref="Y1210:AG1210" si="1404">Y1123+Y1201</f>
        <v>0</v>
      </c>
      <c r="Z1210" s="133">
        <f t="shared" si="1404"/>
        <v>0</v>
      </c>
      <c r="AA1210" s="133">
        <f t="shared" si="1404"/>
        <v>0</v>
      </c>
      <c r="AB1210" s="133">
        <f t="shared" si="1404"/>
        <v>0</v>
      </c>
      <c r="AC1210" s="133">
        <f t="shared" si="1404"/>
        <v>0</v>
      </c>
      <c r="AD1210" s="133">
        <f t="shared" si="1404"/>
        <v>0</v>
      </c>
      <c r="AE1210" s="133">
        <f t="shared" si="1404"/>
        <v>0</v>
      </c>
      <c r="AF1210" s="133">
        <f t="shared" si="1404"/>
        <v>0</v>
      </c>
      <c r="AG1210" s="133">
        <f t="shared" si="1404"/>
        <v>0</v>
      </c>
      <c r="AH1210" s="133">
        <f t="shared" ref="AH1210:AK1210" si="1405">AH1123+AH1201</f>
        <v>0</v>
      </c>
      <c r="AI1210" s="133">
        <f t="shared" si="1405"/>
        <v>0</v>
      </c>
      <c r="AJ1210" s="133">
        <f t="shared" si="1405"/>
        <v>0</v>
      </c>
      <c r="AK1210" s="133">
        <f t="shared" si="1405"/>
        <v>0</v>
      </c>
      <c r="AL1210" s="133">
        <f t="shared" ref="AL1210:AP1210" si="1406">AL1123+AL1201</f>
        <v>0</v>
      </c>
      <c r="AM1210" s="133">
        <f t="shared" si="1406"/>
        <v>0</v>
      </c>
      <c r="AN1210" s="133">
        <f t="shared" si="1406"/>
        <v>0</v>
      </c>
      <c r="AO1210" s="133">
        <f t="shared" si="1406"/>
        <v>0</v>
      </c>
      <c r="AP1210" s="133">
        <f t="shared" si="1406"/>
        <v>0</v>
      </c>
      <c r="AQ1210" s="133">
        <f t="shared" ref="AQ1210:AS1210" si="1407">AQ1123+AQ1201</f>
        <v>0</v>
      </c>
      <c r="AR1210" s="133">
        <f t="shared" si="1407"/>
        <v>0</v>
      </c>
      <c r="AS1210" s="133">
        <f t="shared" si="1407"/>
        <v>0</v>
      </c>
      <c r="AT1210" s="133"/>
      <c r="AU1210" s="133">
        <f ca="1">AU1123+AU1201</f>
        <v>226914842.71504793</v>
      </c>
      <c r="AV1210" s="116"/>
      <c r="AW1210" s="133">
        <f ca="1">AW1123+AW1201</f>
        <v>226914842.71504793</v>
      </c>
      <c r="AX1210" s="133">
        <f ca="1">+AW1210-'ROR-Model'!G1227</f>
        <v>0</v>
      </c>
    </row>
    <row r="1211" spans="1:50">
      <c r="A1211" s="61"/>
      <c r="B1211" s="106" t="s">
        <v>595</v>
      </c>
      <c r="C1211" s="106"/>
      <c r="D1211" s="106"/>
      <c r="F1211" s="116">
        <f t="shared" ca="1" si="1383"/>
        <v>26117391.896229919</v>
      </c>
      <c r="G1211" s="116">
        <f>G1*G1124+G1202</f>
        <v>0</v>
      </c>
      <c r="H1211" s="116">
        <f>H1*H1124+H1202</f>
        <v>0</v>
      </c>
      <c r="I1211" s="116">
        <f>I1124+I1202</f>
        <v>0</v>
      </c>
      <c r="J1211" s="116">
        <f t="shared" si="1384"/>
        <v>0</v>
      </c>
      <c r="K1211" s="116">
        <f t="shared" si="1384"/>
        <v>0</v>
      </c>
      <c r="L1211" s="116">
        <f t="shared" si="1384"/>
        <v>0</v>
      </c>
      <c r="M1211" s="116">
        <f t="shared" si="1384"/>
        <v>0</v>
      </c>
      <c r="N1211" s="116">
        <f t="shared" si="1384"/>
        <v>0</v>
      </c>
      <c r="O1211" s="116">
        <f t="shared" si="1384"/>
        <v>0</v>
      </c>
      <c r="P1211" s="116">
        <f t="shared" si="1384"/>
        <v>0</v>
      </c>
      <c r="Q1211" s="133">
        <f t="shared" si="1393"/>
        <v>0</v>
      </c>
      <c r="R1211" s="133">
        <f t="shared" si="1393"/>
        <v>0</v>
      </c>
      <c r="S1211" s="133"/>
      <c r="T1211" s="133">
        <f t="shared" ref="T1211:U1211" si="1408">T1124+T1202</f>
        <v>0</v>
      </c>
      <c r="U1211" s="133">
        <f t="shared" si="1408"/>
        <v>0</v>
      </c>
      <c r="V1211" s="133">
        <f t="shared" ref="V1211" si="1409">V1124+V1202</f>
        <v>0</v>
      </c>
      <c r="W1211" s="133">
        <f t="shared" ref="W1211:X1211" si="1410">W1124+W1202</f>
        <v>0</v>
      </c>
      <c r="X1211" s="133">
        <f t="shared" si="1410"/>
        <v>0</v>
      </c>
      <c r="Y1211" s="133">
        <f t="shared" ref="Y1211:AG1211" si="1411">Y1124+Y1202</f>
        <v>0</v>
      </c>
      <c r="Z1211" s="133">
        <f t="shared" si="1411"/>
        <v>0</v>
      </c>
      <c r="AA1211" s="133">
        <f t="shared" si="1411"/>
        <v>0</v>
      </c>
      <c r="AB1211" s="133">
        <f t="shared" si="1411"/>
        <v>0</v>
      </c>
      <c r="AC1211" s="133">
        <f t="shared" si="1411"/>
        <v>0</v>
      </c>
      <c r="AD1211" s="133">
        <f t="shared" si="1411"/>
        <v>0</v>
      </c>
      <c r="AE1211" s="133">
        <f t="shared" si="1411"/>
        <v>0</v>
      </c>
      <c r="AF1211" s="133">
        <f t="shared" si="1411"/>
        <v>0</v>
      </c>
      <c r="AG1211" s="133">
        <f t="shared" si="1411"/>
        <v>0</v>
      </c>
      <c r="AH1211" s="133">
        <f t="shared" ref="AH1211:AK1211" si="1412">AH1124+AH1202</f>
        <v>0</v>
      </c>
      <c r="AI1211" s="133">
        <f t="shared" si="1412"/>
        <v>0</v>
      </c>
      <c r="AJ1211" s="133">
        <f t="shared" si="1412"/>
        <v>0</v>
      </c>
      <c r="AK1211" s="133">
        <f t="shared" si="1412"/>
        <v>0</v>
      </c>
      <c r="AL1211" s="133">
        <f t="shared" ref="AL1211:AP1211" si="1413">AL1124+AL1202</f>
        <v>0</v>
      </c>
      <c r="AM1211" s="133">
        <f t="shared" si="1413"/>
        <v>0</v>
      </c>
      <c r="AN1211" s="133">
        <f t="shared" si="1413"/>
        <v>0</v>
      </c>
      <c r="AO1211" s="133">
        <f t="shared" si="1413"/>
        <v>0</v>
      </c>
      <c r="AP1211" s="133">
        <f t="shared" si="1413"/>
        <v>0</v>
      </c>
      <c r="AQ1211" s="133">
        <f t="shared" ref="AQ1211:AS1211" si="1414">AQ1124+AQ1202</f>
        <v>0</v>
      </c>
      <c r="AR1211" s="133">
        <f t="shared" si="1414"/>
        <v>0</v>
      </c>
      <c r="AS1211" s="133">
        <f t="shared" si="1414"/>
        <v>0</v>
      </c>
      <c r="AT1211" s="133"/>
      <c r="AU1211" s="133">
        <f ca="1">AU1124+AU1202</f>
        <v>26117391.896229919</v>
      </c>
      <c r="AV1211" s="116"/>
      <c r="AW1211" s="133">
        <f ca="1">AW1124+AW1202</f>
        <v>26117391.896229919</v>
      </c>
      <c r="AX1211" s="133">
        <f ca="1">+AW1211-'ROR-Model'!G1228</f>
        <v>0</v>
      </c>
    </row>
    <row r="1212" spans="1:50" ht="13.5" thickBot="1">
      <c r="A1212" s="61"/>
      <c r="B1212" s="106"/>
      <c r="C1212" s="106"/>
      <c r="D1212" s="106"/>
      <c r="F1212" s="235"/>
      <c r="G1212" s="235"/>
      <c r="H1212" s="235"/>
      <c r="I1212" s="235"/>
      <c r="J1212" s="235"/>
      <c r="K1212" s="235"/>
      <c r="L1212" s="235"/>
      <c r="M1212" s="235"/>
      <c r="N1212" s="235"/>
      <c r="O1212" s="235"/>
      <c r="P1212" s="235"/>
      <c r="Q1212" s="242"/>
      <c r="R1212" s="242"/>
      <c r="S1212" s="242"/>
      <c r="T1212" s="242"/>
      <c r="U1212" s="242"/>
      <c r="V1212" s="242"/>
      <c r="W1212" s="242"/>
      <c r="X1212" s="242"/>
      <c r="Y1212" s="242"/>
      <c r="Z1212" s="242"/>
      <c r="AA1212" s="242"/>
      <c r="AB1212" s="242"/>
      <c r="AC1212" s="242"/>
      <c r="AD1212" s="242"/>
      <c r="AE1212" s="242"/>
      <c r="AF1212" s="242"/>
      <c r="AG1212" s="242"/>
      <c r="AH1212" s="242"/>
      <c r="AI1212" s="242"/>
      <c r="AJ1212" s="242"/>
      <c r="AK1212" s="242"/>
      <c r="AL1212" s="242"/>
      <c r="AM1212" s="242"/>
      <c r="AN1212" s="242"/>
      <c r="AO1212" s="242"/>
      <c r="AP1212" s="242"/>
      <c r="AQ1212" s="242"/>
      <c r="AR1212" s="242"/>
      <c r="AS1212" s="242"/>
      <c r="AT1212" s="242"/>
      <c r="AU1212" s="242"/>
      <c r="AV1212" s="235"/>
      <c r="AW1212" s="242"/>
      <c r="AX1212" s="242">
        <f>+AW1212-'ROR-Model'!G1229</f>
        <v>0</v>
      </c>
    </row>
    <row r="1213" spans="1:50" ht="13.5" thickTop="1">
      <c r="A1213" s="61"/>
      <c r="B1213" s="106"/>
      <c r="C1213" s="106"/>
      <c r="D1213" s="10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33"/>
      <c r="R1213" s="133"/>
      <c r="S1213" s="133"/>
      <c r="T1213" s="133"/>
      <c r="U1213" s="133"/>
      <c r="V1213" s="133"/>
      <c r="W1213" s="133"/>
      <c r="X1213" s="133"/>
      <c r="Y1213" s="133"/>
      <c r="Z1213" s="133"/>
      <c r="AA1213" s="133"/>
      <c r="AB1213" s="133"/>
      <c r="AC1213" s="133"/>
      <c r="AD1213" s="133"/>
      <c r="AE1213" s="133"/>
      <c r="AF1213" s="133"/>
      <c r="AG1213" s="133"/>
      <c r="AH1213" s="133"/>
      <c r="AI1213" s="133"/>
      <c r="AJ1213" s="133"/>
      <c r="AK1213" s="133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116"/>
      <c r="AW1213" s="133"/>
      <c r="AX1213" s="133">
        <f>+AW1213-'ROR-Model'!G1230</f>
        <v>0</v>
      </c>
    </row>
    <row r="1214" spans="1:50">
      <c r="A1214" s="231"/>
      <c r="B1214" s="61" t="s">
        <v>687</v>
      </c>
      <c r="C1214" s="106"/>
      <c r="D1214" s="106"/>
      <c r="F1214" s="116">
        <f ca="1">F1127+F1205</f>
        <v>259922818.28793883</v>
      </c>
      <c r="G1214" s="116">
        <f>G1*G1127+G1205</f>
        <v>0</v>
      </c>
      <c r="H1214" s="116">
        <f>H1*H1127+H1205</f>
        <v>0</v>
      </c>
      <c r="I1214" s="116">
        <f>I1127+I1205</f>
        <v>-52891066.75</v>
      </c>
      <c r="J1214" s="116">
        <f ca="1">J1127+J1205</f>
        <v>-210453.83884727611</v>
      </c>
      <c r="K1214" s="116">
        <f>K1127+K1205</f>
        <v>0</v>
      </c>
      <c r="L1214" s="116">
        <f t="shared" ref="L1214:Q1214" si="1415">L1127+L1205</f>
        <v>0</v>
      </c>
      <c r="M1214" s="116">
        <f t="shared" si="1415"/>
        <v>0</v>
      </c>
      <c r="N1214" s="116">
        <f t="shared" si="1415"/>
        <v>0</v>
      </c>
      <c r="O1214" s="116">
        <f t="shared" si="1415"/>
        <v>0</v>
      </c>
      <c r="P1214" s="116">
        <f t="shared" si="1415"/>
        <v>0</v>
      </c>
      <c r="Q1214" s="133">
        <f t="shared" si="1415"/>
        <v>0</v>
      </c>
      <c r="R1214" s="133">
        <f t="shared" ref="R1214" si="1416">R1127+R1205</f>
        <v>0</v>
      </c>
      <c r="S1214" s="133"/>
      <c r="T1214" s="133">
        <f t="shared" ref="T1214:W1214" si="1417">T1127+T1205</f>
        <v>0</v>
      </c>
      <c r="U1214" s="133">
        <f t="shared" si="1417"/>
        <v>0</v>
      </c>
      <c r="V1214" s="133">
        <f t="shared" si="1417"/>
        <v>0</v>
      </c>
      <c r="W1214" s="133">
        <f t="shared" si="1417"/>
        <v>0</v>
      </c>
      <c r="X1214" s="133">
        <f t="shared" ref="X1214:AG1214" si="1418">X1127+X1205</f>
        <v>0</v>
      </c>
      <c r="Y1214" s="133">
        <f t="shared" si="1418"/>
        <v>0</v>
      </c>
      <c r="Z1214" s="133">
        <f t="shared" si="1418"/>
        <v>0</v>
      </c>
      <c r="AA1214" s="133">
        <f t="shared" si="1418"/>
        <v>0</v>
      </c>
      <c r="AB1214" s="133">
        <f t="shared" si="1418"/>
        <v>0</v>
      </c>
      <c r="AC1214" s="133">
        <f t="shared" si="1418"/>
        <v>0</v>
      </c>
      <c r="AD1214" s="133">
        <f t="shared" si="1418"/>
        <v>0</v>
      </c>
      <c r="AE1214" s="133">
        <f t="shared" si="1418"/>
        <v>0</v>
      </c>
      <c r="AF1214" s="133">
        <f t="shared" si="1418"/>
        <v>0</v>
      </c>
      <c r="AG1214" s="133">
        <f t="shared" si="1418"/>
        <v>0</v>
      </c>
      <c r="AH1214" s="133">
        <f t="shared" ref="AH1214:AK1214" si="1419">AH1127+AH1205</f>
        <v>0</v>
      </c>
      <c r="AI1214" s="133">
        <f t="shared" si="1419"/>
        <v>0</v>
      </c>
      <c r="AJ1214" s="133">
        <f t="shared" si="1419"/>
        <v>0</v>
      </c>
      <c r="AK1214" s="133">
        <f t="shared" si="1419"/>
        <v>0</v>
      </c>
      <c r="AL1214" s="133">
        <f t="shared" ref="AL1214:AP1214" si="1420">AL1127+AL1205</f>
        <v>0</v>
      </c>
      <c r="AM1214" s="133">
        <f t="shared" si="1420"/>
        <v>0</v>
      </c>
      <c r="AN1214" s="133">
        <f t="shared" si="1420"/>
        <v>0</v>
      </c>
      <c r="AO1214" s="133">
        <f t="shared" si="1420"/>
        <v>0</v>
      </c>
      <c r="AP1214" s="133">
        <f t="shared" si="1420"/>
        <v>0</v>
      </c>
      <c r="AQ1214" s="133">
        <f t="shared" ref="AQ1214:AS1214" si="1421">AQ1127+AQ1205</f>
        <v>0</v>
      </c>
      <c r="AR1214" s="133">
        <f t="shared" si="1421"/>
        <v>0</v>
      </c>
      <c r="AS1214" s="133">
        <f t="shared" si="1421"/>
        <v>0</v>
      </c>
      <c r="AT1214" s="133"/>
      <c r="AU1214" s="133">
        <f ca="1">AU1127+AU1205</f>
        <v>206821297.69909155</v>
      </c>
      <c r="AV1214" s="116"/>
      <c r="AW1214" s="133">
        <f ca="1">AW1127+AW1205</f>
        <v>206821297.69909155</v>
      </c>
      <c r="AX1214" s="133">
        <f ca="1">+AW1214-'ROR-Model'!G1231</f>
        <v>0</v>
      </c>
    </row>
    <row r="1215" spans="1:50">
      <c r="Q1215" s="551"/>
      <c r="R1215" s="551"/>
      <c r="S1215" s="551"/>
      <c r="T1215" s="551"/>
      <c r="U1215" s="551"/>
      <c r="V1215" s="551"/>
      <c r="W1215" s="551"/>
      <c r="X1215" s="551"/>
      <c r="Y1215" s="551"/>
      <c r="Z1215" s="551"/>
      <c r="AA1215" s="551"/>
      <c r="AB1215" s="551"/>
      <c r="AC1215" s="551"/>
      <c r="AD1215" s="551"/>
      <c r="AE1215" s="551"/>
      <c r="AF1215" s="551"/>
      <c r="AG1215" s="551"/>
      <c r="AH1215" s="551"/>
      <c r="AI1215" s="551"/>
      <c r="AJ1215" s="551"/>
      <c r="AK1215" s="551"/>
      <c r="AL1215" s="551"/>
      <c r="AM1215" s="551"/>
      <c r="AN1215" s="551"/>
      <c r="AO1215" s="551"/>
      <c r="AP1215" s="551"/>
      <c r="AQ1215" s="551"/>
      <c r="AR1215" s="551"/>
      <c r="AS1215" s="551"/>
      <c r="AT1215" s="551"/>
      <c r="AU1215" s="551"/>
      <c r="AW1215" s="551"/>
      <c r="AX1215" s="551">
        <f>+AW1215-'ROR-Model'!G1232</f>
        <v>0</v>
      </c>
    </row>
    <row r="1216" spans="1:50">
      <c r="A1216" s="61" t="s">
        <v>691</v>
      </c>
      <c r="B1216" s="106"/>
      <c r="C1216" s="106"/>
      <c r="D1216" s="10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Q1216" s="133"/>
      <c r="R1216" s="133"/>
      <c r="S1216" s="133"/>
      <c r="T1216" s="133"/>
      <c r="U1216" s="133"/>
      <c r="V1216" s="133"/>
      <c r="W1216" s="133"/>
      <c r="X1216" s="133"/>
      <c r="Y1216" s="133"/>
      <c r="Z1216" s="133"/>
      <c r="AA1216" s="133"/>
      <c r="AB1216" s="133"/>
      <c r="AC1216" s="133"/>
      <c r="AD1216" s="133"/>
      <c r="AE1216" s="133"/>
      <c r="AF1216" s="133"/>
      <c r="AG1216" s="133"/>
      <c r="AH1216" s="133"/>
      <c r="AI1216" s="133"/>
      <c r="AJ1216" s="133"/>
      <c r="AK1216" s="133"/>
      <c r="AL1216" s="133"/>
      <c r="AM1216" s="133"/>
      <c r="AN1216" s="133"/>
      <c r="AO1216" s="133"/>
      <c r="AP1216" s="133"/>
      <c r="AQ1216" s="133"/>
      <c r="AR1216" s="133"/>
      <c r="AS1216" s="133"/>
      <c r="AT1216" s="133"/>
      <c r="AU1216" s="133"/>
      <c r="AV1216" s="116"/>
      <c r="AW1216" s="133"/>
      <c r="AX1216" s="133">
        <f>+AW1216-'ROR-Model'!G1233</f>
        <v>0</v>
      </c>
    </row>
    <row r="1217" spans="1:50">
      <c r="A1217" s="231"/>
      <c r="B1217" s="106"/>
      <c r="C1217" s="106"/>
      <c r="D1217" s="10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Q1217" s="133"/>
      <c r="R1217" s="133"/>
      <c r="S1217" s="133"/>
      <c r="T1217" s="133"/>
      <c r="U1217" s="133"/>
      <c r="V1217" s="133"/>
      <c r="W1217" s="133"/>
      <c r="X1217" s="133"/>
      <c r="Y1217" s="133"/>
      <c r="Z1217" s="133"/>
      <c r="AA1217" s="133"/>
      <c r="AB1217" s="133"/>
      <c r="AC1217" s="133"/>
      <c r="AD1217" s="133"/>
      <c r="AE1217" s="133"/>
      <c r="AF1217" s="133"/>
      <c r="AG1217" s="133"/>
      <c r="AH1217" s="133"/>
      <c r="AI1217" s="133"/>
      <c r="AJ1217" s="133"/>
      <c r="AK1217" s="133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116"/>
      <c r="AW1217" s="133"/>
      <c r="AX1217" s="133">
        <f>+AW1217-'ROR-Model'!G1234</f>
        <v>0</v>
      </c>
    </row>
    <row r="1218" spans="1:50">
      <c r="A1218" s="231"/>
      <c r="B1218" s="33" t="s">
        <v>481</v>
      </c>
      <c r="C1218" s="106"/>
      <c r="D1218" s="10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Q1218" s="133"/>
      <c r="R1218" s="133"/>
      <c r="S1218" s="133"/>
      <c r="T1218" s="133"/>
      <c r="U1218" s="133"/>
      <c r="V1218" s="133"/>
      <c r="W1218" s="133"/>
      <c r="X1218" s="133"/>
      <c r="Y1218" s="133"/>
      <c r="Z1218" s="133"/>
      <c r="AA1218" s="133"/>
      <c r="AB1218" s="133"/>
      <c r="AC1218" s="133"/>
      <c r="AD1218" s="133"/>
      <c r="AE1218" s="133"/>
      <c r="AF1218" s="133"/>
      <c r="AG1218" s="133"/>
      <c r="AH1218" s="133"/>
      <c r="AI1218" s="133"/>
      <c r="AJ1218" s="133"/>
      <c r="AK1218" s="133"/>
      <c r="AL1218" s="133"/>
      <c r="AM1218" s="133"/>
      <c r="AN1218" s="133"/>
      <c r="AO1218" s="133"/>
      <c r="AP1218" s="133"/>
      <c r="AQ1218" s="133"/>
      <c r="AR1218" s="133"/>
      <c r="AS1218" s="133"/>
      <c r="AT1218" s="133"/>
      <c r="AU1218" s="133"/>
      <c r="AV1218" s="116"/>
      <c r="AW1218" s="133"/>
      <c r="AX1218" s="133">
        <f>+AW1218-'ROR-Model'!G1235</f>
        <v>0</v>
      </c>
    </row>
    <row r="1219" spans="1:50">
      <c r="A1219" s="231"/>
      <c r="B1219" s="106"/>
      <c r="C1219" s="106" t="s">
        <v>482</v>
      </c>
      <c r="D1219" s="106"/>
      <c r="F1219" s="116">
        <f>F639</f>
        <v>0</v>
      </c>
      <c r="G1219" s="116">
        <f>G1*G639</f>
        <v>0</v>
      </c>
      <c r="H1219" s="116">
        <f>H1*H639</f>
        <v>-11333156.903477758</v>
      </c>
      <c r="I1219" s="116">
        <f t="shared" ref="I1219:AT1219" si="1422">I639</f>
        <v>0</v>
      </c>
      <c r="J1219" s="116">
        <f t="shared" si="1422"/>
        <v>0</v>
      </c>
      <c r="K1219" s="116">
        <f t="shared" si="1422"/>
        <v>0</v>
      </c>
      <c r="L1219" s="116">
        <f t="shared" si="1422"/>
        <v>0</v>
      </c>
      <c r="M1219" s="116">
        <f t="shared" si="1422"/>
        <v>0</v>
      </c>
      <c r="N1219" s="116">
        <f t="shared" si="1422"/>
        <v>0</v>
      </c>
      <c r="O1219" s="116">
        <f t="shared" si="1422"/>
        <v>0</v>
      </c>
      <c r="P1219" s="116">
        <f t="shared" si="1422"/>
        <v>0</v>
      </c>
      <c r="Q1219" s="133">
        <f t="shared" si="1422"/>
        <v>0</v>
      </c>
      <c r="R1219" s="133">
        <f t="shared" si="1422"/>
        <v>0</v>
      </c>
      <c r="S1219" s="133">
        <f t="shared" si="1422"/>
        <v>0</v>
      </c>
      <c r="T1219" s="133">
        <f t="shared" si="1422"/>
        <v>0</v>
      </c>
      <c r="U1219" s="133">
        <f t="shared" si="1422"/>
        <v>0</v>
      </c>
      <c r="V1219" s="133">
        <f t="shared" si="1422"/>
        <v>0</v>
      </c>
      <c r="W1219" s="133">
        <f t="shared" si="1422"/>
        <v>0</v>
      </c>
      <c r="X1219" s="133">
        <f t="shared" si="1422"/>
        <v>0</v>
      </c>
      <c r="Y1219" s="133">
        <f t="shared" si="1422"/>
        <v>0</v>
      </c>
      <c r="Z1219" s="133">
        <f t="shared" si="1422"/>
        <v>0</v>
      </c>
      <c r="AA1219" s="133">
        <f t="shared" si="1422"/>
        <v>0</v>
      </c>
      <c r="AB1219" s="133">
        <f t="shared" si="1422"/>
        <v>0</v>
      </c>
      <c r="AC1219" s="133">
        <f t="shared" si="1422"/>
        <v>0</v>
      </c>
      <c r="AD1219" s="133">
        <f t="shared" si="1422"/>
        <v>0</v>
      </c>
      <c r="AE1219" s="133">
        <f t="shared" si="1422"/>
        <v>0</v>
      </c>
      <c r="AF1219" s="133">
        <f t="shared" si="1422"/>
        <v>0</v>
      </c>
      <c r="AG1219" s="133">
        <f t="shared" si="1422"/>
        <v>0</v>
      </c>
      <c r="AH1219" s="133">
        <f t="shared" si="1422"/>
        <v>0</v>
      </c>
      <c r="AI1219" s="133">
        <f t="shared" si="1422"/>
        <v>0</v>
      </c>
      <c r="AJ1219" s="133">
        <f t="shared" si="1422"/>
        <v>0</v>
      </c>
      <c r="AK1219" s="133">
        <f t="shared" si="1422"/>
        <v>0</v>
      </c>
      <c r="AL1219" s="133">
        <f t="shared" si="1422"/>
        <v>0</v>
      </c>
      <c r="AM1219" s="133">
        <f t="shared" si="1422"/>
        <v>0</v>
      </c>
      <c r="AN1219" s="133">
        <f t="shared" si="1422"/>
        <v>0</v>
      </c>
      <c r="AO1219" s="133">
        <f t="shared" si="1422"/>
        <v>0</v>
      </c>
      <c r="AP1219" s="133">
        <f t="shared" si="1422"/>
        <v>0</v>
      </c>
      <c r="AQ1219" s="133">
        <f t="shared" si="1422"/>
        <v>0</v>
      </c>
      <c r="AR1219" s="133">
        <f t="shared" si="1422"/>
        <v>0</v>
      </c>
      <c r="AS1219" s="133">
        <f t="shared" si="1422"/>
        <v>0</v>
      </c>
      <c r="AT1219" s="133">
        <f t="shared" si="1422"/>
        <v>0</v>
      </c>
      <c r="AU1219" s="133">
        <f t="shared" ref="AU1219:AU1227" si="1423">SUM(F1219:AT1219)</f>
        <v>-11333156.903477758</v>
      </c>
      <c r="AV1219" s="116"/>
      <c r="AW1219" s="133">
        <f t="shared" ref="AW1219:AW1227" si="1424">SUM(AU1219:AU1219)</f>
        <v>-11333156.903477758</v>
      </c>
      <c r="AX1219" s="133">
        <f>+AW1219-'ROR-Model'!G1236</f>
        <v>0</v>
      </c>
    </row>
    <row r="1220" spans="1:50">
      <c r="A1220" s="231"/>
      <c r="B1220" s="106"/>
      <c r="C1220" s="106" t="s">
        <v>483</v>
      </c>
      <c r="D1220" s="106"/>
      <c r="F1220" s="116">
        <f>F892</f>
        <v>0</v>
      </c>
      <c r="G1220" s="116">
        <f>G1*G892</f>
        <v>-836835.59626013134</v>
      </c>
      <c r="H1220" s="116">
        <f>H1*H892</f>
        <v>0</v>
      </c>
      <c r="I1220" s="116">
        <f t="shared" ref="I1220:AT1220" si="1425">I892</f>
        <v>0</v>
      </c>
      <c r="J1220" s="116">
        <f t="shared" si="1425"/>
        <v>0</v>
      </c>
      <c r="K1220" s="116">
        <f t="shared" si="1425"/>
        <v>-21561267.808700245</v>
      </c>
      <c r="L1220" s="116">
        <f t="shared" si="1425"/>
        <v>-1025539.3107736245</v>
      </c>
      <c r="M1220" s="116">
        <f t="shared" ca="1" si="1425"/>
        <v>-909590.87949212652</v>
      </c>
      <c r="N1220" s="116">
        <f t="shared" ca="1" si="1425"/>
        <v>0</v>
      </c>
      <c r="O1220" s="116">
        <f t="shared" ca="1" si="1425"/>
        <v>-6014.8620221724987</v>
      </c>
      <c r="P1220" s="116">
        <f t="shared" ca="1" si="1425"/>
        <v>-191860.84957415925</v>
      </c>
      <c r="Q1220" s="133">
        <f t="shared" ca="1" si="1425"/>
        <v>147611.48652999999</v>
      </c>
      <c r="R1220" s="133">
        <f t="shared" si="1425"/>
        <v>14610178.593437593</v>
      </c>
      <c r="S1220" s="133">
        <f t="shared" si="1425"/>
        <v>0</v>
      </c>
      <c r="T1220" s="133">
        <f t="shared" si="1425"/>
        <v>0</v>
      </c>
      <c r="U1220" s="133">
        <f t="shared" si="1425"/>
        <v>0</v>
      </c>
      <c r="V1220" s="133">
        <f t="shared" si="1425"/>
        <v>0</v>
      </c>
      <c r="W1220" s="133">
        <f t="shared" si="1425"/>
        <v>0</v>
      </c>
      <c r="X1220" s="133">
        <f t="shared" si="1425"/>
        <v>0</v>
      </c>
      <c r="Y1220" s="133">
        <f t="shared" si="1425"/>
        <v>0</v>
      </c>
      <c r="Z1220" s="133">
        <f t="shared" si="1425"/>
        <v>0</v>
      </c>
      <c r="AA1220" s="133">
        <f t="shared" si="1425"/>
        <v>0</v>
      </c>
      <c r="AB1220" s="133">
        <f t="shared" si="1425"/>
        <v>0</v>
      </c>
      <c r="AC1220" s="133">
        <f t="shared" si="1425"/>
        <v>0</v>
      </c>
      <c r="AD1220" s="133">
        <f t="shared" si="1425"/>
        <v>0</v>
      </c>
      <c r="AE1220" s="133">
        <f t="shared" si="1425"/>
        <v>0</v>
      </c>
      <c r="AF1220" s="133">
        <f t="shared" si="1425"/>
        <v>0</v>
      </c>
      <c r="AG1220" s="133">
        <f t="shared" si="1425"/>
        <v>0</v>
      </c>
      <c r="AH1220" s="133">
        <f t="shared" si="1425"/>
        <v>0</v>
      </c>
      <c r="AI1220" s="133">
        <f t="shared" si="1425"/>
        <v>0</v>
      </c>
      <c r="AJ1220" s="133">
        <f t="shared" si="1425"/>
        <v>0</v>
      </c>
      <c r="AK1220" s="133">
        <f t="shared" si="1425"/>
        <v>0</v>
      </c>
      <c r="AL1220" s="133">
        <f t="shared" si="1425"/>
        <v>0</v>
      </c>
      <c r="AM1220" s="133">
        <f t="shared" si="1425"/>
        <v>0</v>
      </c>
      <c r="AN1220" s="133">
        <f t="shared" si="1425"/>
        <v>0</v>
      </c>
      <c r="AO1220" s="133">
        <f t="shared" si="1425"/>
        <v>0</v>
      </c>
      <c r="AP1220" s="133">
        <f t="shared" si="1425"/>
        <v>0</v>
      </c>
      <c r="AQ1220" s="133">
        <f t="shared" si="1425"/>
        <v>0</v>
      </c>
      <c r="AR1220" s="133">
        <f t="shared" si="1425"/>
        <v>0</v>
      </c>
      <c r="AS1220" s="133">
        <f t="shared" si="1425"/>
        <v>0</v>
      </c>
      <c r="AT1220" s="133">
        <f t="shared" si="1425"/>
        <v>0</v>
      </c>
      <c r="AU1220" s="133">
        <f t="shared" ca="1" si="1423"/>
        <v>-9773319.2268548682</v>
      </c>
      <c r="AV1220" s="116"/>
      <c r="AW1220" s="133">
        <f t="shared" ca="1" si="1424"/>
        <v>-9773319.2268548682</v>
      </c>
      <c r="AX1220" s="133">
        <f ca="1">+AW1220-'ROR-Model'!G1237</f>
        <v>0</v>
      </c>
    </row>
    <row r="1221" spans="1:50">
      <c r="A1221" s="231"/>
      <c r="B1221" s="106"/>
      <c r="C1221" s="106" t="s">
        <v>665</v>
      </c>
      <c r="D1221" s="106"/>
      <c r="F1221" s="116">
        <v>0</v>
      </c>
      <c r="G1221" s="116">
        <v>0</v>
      </c>
      <c r="H1221" s="116">
        <v>0</v>
      </c>
      <c r="I1221" s="116">
        <v>0</v>
      </c>
      <c r="J1221" s="116">
        <v>0</v>
      </c>
      <c r="K1221" s="116">
        <v>0</v>
      </c>
      <c r="L1221" s="116">
        <v>0</v>
      </c>
      <c r="M1221" s="116">
        <v>0</v>
      </c>
      <c r="N1221" s="116">
        <v>0</v>
      </c>
      <c r="O1221" s="116">
        <v>0</v>
      </c>
      <c r="P1221" s="116">
        <v>0</v>
      </c>
      <c r="Q1221" s="133">
        <v>0</v>
      </c>
      <c r="R1221" s="133">
        <v>0</v>
      </c>
      <c r="S1221" s="133">
        <v>0</v>
      </c>
      <c r="T1221" s="133">
        <v>0</v>
      </c>
      <c r="U1221" s="133">
        <v>0</v>
      </c>
      <c r="V1221" s="133">
        <v>0</v>
      </c>
      <c r="W1221" s="133">
        <v>0</v>
      </c>
      <c r="X1221" s="133">
        <v>0</v>
      </c>
      <c r="Y1221" s="133">
        <v>0</v>
      </c>
      <c r="Z1221" s="133">
        <v>0</v>
      </c>
      <c r="AA1221" s="133">
        <v>0</v>
      </c>
      <c r="AB1221" s="133">
        <v>0</v>
      </c>
      <c r="AC1221" s="133">
        <v>0</v>
      </c>
      <c r="AD1221" s="133">
        <v>0</v>
      </c>
      <c r="AE1221" s="133">
        <v>0</v>
      </c>
      <c r="AF1221" s="133">
        <v>0</v>
      </c>
      <c r="AG1221" s="133">
        <v>0</v>
      </c>
      <c r="AH1221" s="133">
        <v>0</v>
      </c>
      <c r="AI1221" s="133">
        <v>0</v>
      </c>
      <c r="AJ1221" s="133">
        <v>0</v>
      </c>
      <c r="AK1221" s="133">
        <v>0</v>
      </c>
      <c r="AL1221" s="133">
        <v>0</v>
      </c>
      <c r="AM1221" s="133">
        <v>0</v>
      </c>
      <c r="AN1221" s="133">
        <v>0</v>
      </c>
      <c r="AO1221" s="133">
        <v>0</v>
      </c>
      <c r="AP1221" s="133">
        <v>0</v>
      </c>
      <c r="AQ1221" s="133">
        <v>0</v>
      </c>
      <c r="AR1221" s="133">
        <v>0</v>
      </c>
      <c r="AS1221" s="133">
        <v>0</v>
      </c>
      <c r="AT1221" s="133">
        <v>0</v>
      </c>
      <c r="AU1221" s="133">
        <f t="shared" si="1423"/>
        <v>0</v>
      </c>
      <c r="AV1221" s="116"/>
      <c r="AW1221" s="133">
        <f t="shared" si="1424"/>
        <v>0</v>
      </c>
      <c r="AX1221" s="133">
        <f>+AW1221-'ROR-Model'!G1238</f>
        <v>0</v>
      </c>
    </row>
    <row r="1222" spans="1:50">
      <c r="A1222" s="231"/>
      <c r="B1222" s="106"/>
      <c r="C1222" s="106" t="s">
        <v>484</v>
      </c>
      <c r="D1222" s="106"/>
      <c r="F1222" s="116">
        <f>F921</f>
        <v>0</v>
      </c>
      <c r="G1222" s="116">
        <f>G1*G921</f>
        <v>2342699.9424766232</v>
      </c>
      <c r="H1222" s="116">
        <f>H1*H921</f>
        <v>0</v>
      </c>
      <c r="I1222" s="116">
        <f t="shared" ref="I1222:AT1222" si="1426">I921</f>
        <v>0</v>
      </c>
      <c r="J1222" s="116">
        <f t="shared" si="1426"/>
        <v>0</v>
      </c>
      <c r="K1222" s="116">
        <f t="shared" si="1426"/>
        <v>0</v>
      </c>
      <c r="L1222" s="116">
        <f t="shared" si="1426"/>
        <v>0</v>
      </c>
      <c r="M1222" s="116">
        <f t="shared" si="1426"/>
        <v>0</v>
      </c>
      <c r="N1222" s="116">
        <f t="shared" si="1426"/>
        <v>0</v>
      </c>
      <c r="O1222" s="116">
        <f t="shared" si="1426"/>
        <v>0</v>
      </c>
      <c r="P1222" s="116">
        <f t="shared" si="1426"/>
        <v>0</v>
      </c>
      <c r="Q1222" s="133">
        <f t="shared" si="1426"/>
        <v>0</v>
      </c>
      <c r="R1222" s="133">
        <f t="shared" si="1426"/>
        <v>0</v>
      </c>
      <c r="S1222" s="133">
        <f t="shared" si="1426"/>
        <v>0</v>
      </c>
      <c r="T1222" s="133">
        <f t="shared" si="1426"/>
        <v>0</v>
      </c>
      <c r="U1222" s="133">
        <f t="shared" si="1426"/>
        <v>0</v>
      </c>
      <c r="V1222" s="133">
        <f t="shared" si="1426"/>
        <v>0</v>
      </c>
      <c r="W1222" s="133">
        <f t="shared" si="1426"/>
        <v>0</v>
      </c>
      <c r="X1222" s="133">
        <f t="shared" si="1426"/>
        <v>0</v>
      </c>
      <c r="Y1222" s="133">
        <f t="shared" si="1426"/>
        <v>0</v>
      </c>
      <c r="Z1222" s="133">
        <f t="shared" si="1426"/>
        <v>0</v>
      </c>
      <c r="AA1222" s="133">
        <f t="shared" si="1426"/>
        <v>0</v>
      </c>
      <c r="AB1222" s="133">
        <f t="shared" si="1426"/>
        <v>0</v>
      </c>
      <c r="AC1222" s="133">
        <f t="shared" si="1426"/>
        <v>0</v>
      </c>
      <c r="AD1222" s="133">
        <f t="shared" si="1426"/>
        <v>0</v>
      </c>
      <c r="AE1222" s="133">
        <f t="shared" si="1426"/>
        <v>0</v>
      </c>
      <c r="AF1222" s="133">
        <f t="shared" si="1426"/>
        <v>0</v>
      </c>
      <c r="AG1222" s="133">
        <f t="shared" si="1426"/>
        <v>0</v>
      </c>
      <c r="AH1222" s="133">
        <f t="shared" si="1426"/>
        <v>0</v>
      </c>
      <c r="AI1222" s="133">
        <f t="shared" si="1426"/>
        <v>0</v>
      </c>
      <c r="AJ1222" s="133">
        <f t="shared" si="1426"/>
        <v>0</v>
      </c>
      <c r="AK1222" s="133">
        <f t="shared" si="1426"/>
        <v>0</v>
      </c>
      <c r="AL1222" s="133">
        <f t="shared" si="1426"/>
        <v>0</v>
      </c>
      <c r="AM1222" s="133">
        <f t="shared" si="1426"/>
        <v>0</v>
      </c>
      <c r="AN1222" s="133">
        <f t="shared" si="1426"/>
        <v>0</v>
      </c>
      <c r="AO1222" s="133">
        <f t="shared" si="1426"/>
        <v>0</v>
      </c>
      <c r="AP1222" s="133">
        <f t="shared" si="1426"/>
        <v>0</v>
      </c>
      <c r="AQ1222" s="133">
        <f t="shared" si="1426"/>
        <v>0</v>
      </c>
      <c r="AR1222" s="133">
        <f t="shared" si="1426"/>
        <v>0</v>
      </c>
      <c r="AS1222" s="133">
        <f t="shared" si="1426"/>
        <v>0</v>
      </c>
      <c r="AT1222" s="133">
        <f t="shared" si="1426"/>
        <v>0</v>
      </c>
      <c r="AU1222" s="133">
        <f t="shared" si="1423"/>
        <v>2342699.9424766232</v>
      </c>
      <c r="AV1222" s="116"/>
      <c r="AW1222" s="133">
        <f t="shared" si="1424"/>
        <v>2342699.9424766232</v>
      </c>
      <c r="AX1222" s="133">
        <f>+AW1222-'ROR-Model'!G1239</f>
        <v>0</v>
      </c>
    </row>
    <row r="1223" spans="1:50">
      <c r="A1223" s="231"/>
      <c r="B1223" s="106"/>
      <c r="C1223" s="106" t="s">
        <v>485</v>
      </c>
      <c r="D1223" s="106"/>
      <c r="F1223" s="116">
        <f>F923+F925+F927</f>
        <v>0</v>
      </c>
      <c r="G1223" s="116">
        <f ca="1">G1*G923+G925+G927</f>
        <v>-2253965.2451780713</v>
      </c>
      <c r="H1223" s="116">
        <f>H1*H923+H925+H927</f>
        <v>-1476796.9550693939</v>
      </c>
      <c r="I1223" s="116">
        <f t="shared" ref="I1223:AT1223" si="1427">I923+I925+I927</f>
        <v>0</v>
      </c>
      <c r="J1223" s="116">
        <f t="shared" si="1427"/>
        <v>0</v>
      </c>
      <c r="K1223" s="116">
        <f t="shared" si="1427"/>
        <v>5337465.5197357507</v>
      </c>
      <c r="L1223" s="116">
        <f t="shared" si="1427"/>
        <v>253871.00419851224</v>
      </c>
      <c r="M1223" s="116">
        <f t="shared" ca="1" si="1427"/>
        <v>225168.11160781202</v>
      </c>
      <c r="N1223" s="116">
        <f t="shared" ca="1" si="1427"/>
        <v>0</v>
      </c>
      <c r="O1223" s="116">
        <f t="shared" ca="1" si="1427"/>
        <v>1488.9717494422728</v>
      </c>
      <c r="P1223" s="116">
        <f t="shared" ca="1" si="1427"/>
        <v>47494.919049985787</v>
      </c>
      <c r="Q1223" s="133">
        <f t="shared" ca="1" si="1427"/>
        <v>-36541.043256876445</v>
      </c>
      <c r="R1223" s="133">
        <f t="shared" si="1427"/>
        <v>-3616731.8717774134</v>
      </c>
      <c r="S1223" s="133">
        <f t="shared" si="1427"/>
        <v>0</v>
      </c>
      <c r="T1223" s="133">
        <f t="shared" si="1427"/>
        <v>0</v>
      </c>
      <c r="U1223" s="133">
        <f t="shared" si="1427"/>
        <v>0</v>
      </c>
      <c r="V1223" s="133">
        <f t="shared" si="1427"/>
        <v>0</v>
      </c>
      <c r="W1223" s="133">
        <f t="shared" si="1427"/>
        <v>0</v>
      </c>
      <c r="X1223" s="133">
        <f t="shared" si="1427"/>
        <v>0</v>
      </c>
      <c r="Y1223" s="133">
        <f t="shared" si="1427"/>
        <v>0</v>
      </c>
      <c r="Z1223" s="133">
        <f t="shared" si="1427"/>
        <v>0</v>
      </c>
      <c r="AA1223" s="133">
        <f t="shared" si="1427"/>
        <v>0</v>
      </c>
      <c r="AB1223" s="133">
        <f t="shared" si="1427"/>
        <v>0</v>
      </c>
      <c r="AC1223" s="133">
        <f t="shared" si="1427"/>
        <v>0</v>
      </c>
      <c r="AD1223" s="133">
        <f t="shared" si="1427"/>
        <v>0</v>
      </c>
      <c r="AE1223" s="133">
        <f t="shared" si="1427"/>
        <v>0</v>
      </c>
      <c r="AF1223" s="133">
        <f t="shared" si="1427"/>
        <v>0</v>
      </c>
      <c r="AG1223" s="133">
        <f t="shared" si="1427"/>
        <v>0</v>
      </c>
      <c r="AH1223" s="133">
        <f t="shared" si="1427"/>
        <v>0</v>
      </c>
      <c r="AI1223" s="133">
        <f t="shared" si="1427"/>
        <v>0</v>
      </c>
      <c r="AJ1223" s="133">
        <f t="shared" si="1427"/>
        <v>0</v>
      </c>
      <c r="AK1223" s="133">
        <f t="shared" si="1427"/>
        <v>0</v>
      </c>
      <c r="AL1223" s="133">
        <f t="shared" si="1427"/>
        <v>0</v>
      </c>
      <c r="AM1223" s="133">
        <f t="shared" si="1427"/>
        <v>0</v>
      </c>
      <c r="AN1223" s="133">
        <f t="shared" si="1427"/>
        <v>0</v>
      </c>
      <c r="AO1223" s="133">
        <f t="shared" si="1427"/>
        <v>0</v>
      </c>
      <c r="AP1223" s="133">
        <f t="shared" si="1427"/>
        <v>0</v>
      </c>
      <c r="AQ1223" s="133">
        <f t="shared" si="1427"/>
        <v>0</v>
      </c>
      <c r="AR1223" s="133">
        <f t="shared" si="1427"/>
        <v>0</v>
      </c>
      <c r="AS1223" s="133">
        <f t="shared" si="1427"/>
        <v>0</v>
      </c>
      <c r="AT1223" s="133">
        <f t="shared" si="1427"/>
        <v>0</v>
      </c>
      <c r="AU1223" s="133">
        <f t="shared" ca="1" si="1423"/>
        <v>-1518546.5889402521</v>
      </c>
      <c r="AV1223" s="116"/>
      <c r="AW1223" s="133">
        <f t="shared" ca="1" si="1424"/>
        <v>-1518546.5889402521</v>
      </c>
      <c r="AX1223" s="133">
        <f ca="1">+AW1223-'ROR-Model'!G1240</f>
        <v>0</v>
      </c>
    </row>
    <row r="1224" spans="1:50">
      <c r="A1224" s="231"/>
      <c r="B1224" s="106"/>
      <c r="C1224" s="106" t="s">
        <v>605</v>
      </c>
      <c r="D1224" s="106"/>
      <c r="F1224" s="116">
        <v>0</v>
      </c>
      <c r="G1224" s="116">
        <v>0</v>
      </c>
      <c r="H1224" s="116">
        <v>0</v>
      </c>
      <c r="I1224" s="116">
        <v>0</v>
      </c>
      <c r="J1224" s="116">
        <v>0</v>
      </c>
      <c r="K1224" s="116">
        <v>0</v>
      </c>
      <c r="L1224" s="116">
        <v>0</v>
      </c>
      <c r="M1224" s="116">
        <v>0</v>
      </c>
      <c r="N1224" s="116">
        <v>0</v>
      </c>
      <c r="O1224" s="116">
        <v>0</v>
      </c>
      <c r="P1224" s="116">
        <v>0</v>
      </c>
      <c r="Q1224" s="133">
        <v>0</v>
      </c>
      <c r="R1224" s="133">
        <v>0</v>
      </c>
      <c r="S1224" s="133">
        <v>0</v>
      </c>
      <c r="T1224" s="133">
        <v>0</v>
      </c>
      <c r="U1224" s="133">
        <v>0</v>
      </c>
      <c r="V1224" s="133">
        <v>0</v>
      </c>
      <c r="W1224" s="133">
        <v>0</v>
      </c>
      <c r="X1224" s="133">
        <v>0</v>
      </c>
      <c r="Y1224" s="133">
        <v>0</v>
      </c>
      <c r="Z1224" s="133">
        <v>0</v>
      </c>
      <c r="AA1224" s="133">
        <v>0</v>
      </c>
      <c r="AB1224" s="133">
        <v>0</v>
      </c>
      <c r="AC1224" s="133">
        <v>0</v>
      </c>
      <c r="AD1224" s="133">
        <v>0</v>
      </c>
      <c r="AE1224" s="133">
        <v>0</v>
      </c>
      <c r="AF1224" s="133">
        <v>0</v>
      </c>
      <c r="AG1224" s="133">
        <v>0</v>
      </c>
      <c r="AH1224" s="133">
        <v>0</v>
      </c>
      <c r="AI1224" s="133">
        <v>0</v>
      </c>
      <c r="AJ1224" s="133">
        <v>0</v>
      </c>
      <c r="AK1224" s="133">
        <v>0</v>
      </c>
      <c r="AL1224" s="133">
        <v>0</v>
      </c>
      <c r="AM1224" s="133">
        <v>0</v>
      </c>
      <c r="AN1224" s="133">
        <v>0</v>
      </c>
      <c r="AO1224" s="133">
        <v>0</v>
      </c>
      <c r="AP1224" s="133">
        <v>0</v>
      </c>
      <c r="AQ1224" s="133">
        <v>0</v>
      </c>
      <c r="AR1224" s="133">
        <v>0</v>
      </c>
      <c r="AS1224" s="133">
        <v>0</v>
      </c>
      <c r="AT1224" s="133">
        <v>0</v>
      </c>
      <c r="AU1224" s="133">
        <f t="shared" si="1423"/>
        <v>0</v>
      </c>
      <c r="AV1224" s="116"/>
      <c r="AW1224" s="133">
        <f t="shared" si="1424"/>
        <v>0</v>
      </c>
      <c r="AX1224" s="133">
        <f>+AW1224-'ROR-Model'!G1241</f>
        <v>0</v>
      </c>
    </row>
    <row r="1225" spans="1:50">
      <c r="A1225" s="231"/>
      <c r="B1225" s="106"/>
      <c r="C1225" s="106" t="s">
        <v>606</v>
      </c>
      <c r="D1225" s="106"/>
      <c r="F1225" s="116">
        <v>0</v>
      </c>
      <c r="G1225" s="116">
        <v>0</v>
      </c>
      <c r="H1225" s="116">
        <v>0</v>
      </c>
      <c r="I1225" s="116">
        <v>0</v>
      </c>
      <c r="J1225" s="116">
        <v>0</v>
      </c>
      <c r="K1225" s="116">
        <v>0</v>
      </c>
      <c r="L1225" s="116">
        <v>0</v>
      </c>
      <c r="M1225" s="116">
        <v>0</v>
      </c>
      <c r="N1225" s="116">
        <v>0</v>
      </c>
      <c r="O1225" s="116">
        <v>0</v>
      </c>
      <c r="P1225" s="116">
        <v>0</v>
      </c>
      <c r="Q1225" s="133">
        <v>0</v>
      </c>
      <c r="R1225" s="133">
        <v>0</v>
      </c>
      <c r="S1225" s="133">
        <v>0</v>
      </c>
      <c r="T1225" s="133">
        <v>0</v>
      </c>
      <c r="U1225" s="133">
        <v>0</v>
      </c>
      <c r="V1225" s="133">
        <v>0</v>
      </c>
      <c r="W1225" s="133">
        <v>0</v>
      </c>
      <c r="X1225" s="133">
        <v>0</v>
      </c>
      <c r="Y1225" s="133">
        <v>0</v>
      </c>
      <c r="Z1225" s="133">
        <v>0</v>
      </c>
      <c r="AA1225" s="133">
        <v>0</v>
      </c>
      <c r="AB1225" s="133">
        <v>0</v>
      </c>
      <c r="AC1225" s="133">
        <v>0</v>
      </c>
      <c r="AD1225" s="133">
        <v>0</v>
      </c>
      <c r="AE1225" s="133">
        <v>0</v>
      </c>
      <c r="AF1225" s="133">
        <v>0</v>
      </c>
      <c r="AG1225" s="133">
        <v>0</v>
      </c>
      <c r="AH1225" s="133">
        <v>0</v>
      </c>
      <c r="AI1225" s="133">
        <v>0</v>
      </c>
      <c r="AJ1225" s="133">
        <v>0</v>
      </c>
      <c r="AK1225" s="133">
        <v>0</v>
      </c>
      <c r="AL1225" s="133">
        <v>0</v>
      </c>
      <c r="AM1225" s="133">
        <v>0</v>
      </c>
      <c r="AN1225" s="133">
        <v>0</v>
      </c>
      <c r="AO1225" s="133">
        <v>0</v>
      </c>
      <c r="AP1225" s="133">
        <v>0</v>
      </c>
      <c r="AQ1225" s="133">
        <v>0</v>
      </c>
      <c r="AR1225" s="133">
        <v>0</v>
      </c>
      <c r="AS1225" s="133">
        <v>0</v>
      </c>
      <c r="AT1225" s="133">
        <v>0</v>
      </c>
      <c r="AU1225" s="133">
        <f t="shared" si="1423"/>
        <v>0</v>
      </c>
      <c r="AV1225" s="116"/>
      <c r="AW1225" s="133">
        <f t="shared" si="1424"/>
        <v>0</v>
      </c>
      <c r="AX1225" s="133">
        <f>+AW1225-'ROR-Model'!G1242</f>
        <v>0</v>
      </c>
    </row>
    <row r="1226" spans="1:50" ht="13.5" thickBot="1">
      <c r="A1226" s="231"/>
      <c r="B1226" s="106"/>
      <c r="C1226" s="106"/>
      <c r="D1226" s="106"/>
      <c r="F1226" s="236"/>
      <c r="G1226" s="236"/>
      <c r="H1226" s="236"/>
      <c r="I1226" s="236"/>
      <c r="J1226" s="236"/>
      <c r="K1226" s="236"/>
      <c r="L1226" s="236"/>
      <c r="M1226" s="236"/>
      <c r="N1226" s="236"/>
      <c r="O1226" s="236"/>
      <c r="P1226" s="236"/>
      <c r="Q1226" s="262"/>
      <c r="R1226" s="262"/>
      <c r="S1226" s="558"/>
      <c r="T1226" s="558"/>
      <c r="U1226" s="558"/>
      <c r="V1226" s="558"/>
      <c r="W1226" s="558"/>
      <c r="X1226" s="558"/>
      <c r="Y1226" s="558"/>
      <c r="Z1226" s="558"/>
      <c r="AA1226" s="558"/>
      <c r="AB1226" s="558"/>
      <c r="AC1226" s="558"/>
      <c r="AD1226" s="558"/>
      <c r="AE1226" s="558"/>
      <c r="AF1226" s="558"/>
      <c r="AG1226" s="558"/>
      <c r="AH1226" s="558"/>
      <c r="AI1226" s="558"/>
      <c r="AJ1226" s="558"/>
      <c r="AK1226" s="558"/>
      <c r="AL1226" s="558"/>
      <c r="AM1226" s="558"/>
      <c r="AN1226" s="558"/>
      <c r="AO1226" s="558"/>
      <c r="AP1226" s="558"/>
      <c r="AQ1226" s="558"/>
      <c r="AR1226" s="558"/>
      <c r="AS1226" s="558"/>
      <c r="AT1226" s="558"/>
      <c r="AU1226" s="262">
        <f t="shared" si="1423"/>
        <v>0</v>
      </c>
      <c r="AV1226" s="236"/>
      <c r="AW1226" s="262">
        <f t="shared" si="1424"/>
        <v>0</v>
      </c>
      <c r="AX1226" s="262">
        <f>+AW1226-'ROR-Model'!G1243</f>
        <v>0</v>
      </c>
    </row>
    <row r="1227" spans="1:50">
      <c r="A1227" s="231"/>
      <c r="B1227" s="106"/>
      <c r="C1227" s="33" t="s">
        <v>481</v>
      </c>
      <c r="D1227" s="106"/>
      <c r="F1227" s="116">
        <f>SUM(F1219:F1225)</f>
        <v>0</v>
      </c>
      <c r="G1227" s="116">
        <f ca="1">G1*SUM(G1219:G1225)</f>
        <v>-748100.89896157943</v>
      </c>
      <c r="H1227" s="116">
        <f>H1*SUM(H1219:H1225)</f>
        <v>-12809953.858547151</v>
      </c>
      <c r="I1227" s="116">
        <f>SUM(I1219:I1225)</f>
        <v>0</v>
      </c>
      <c r="J1227" s="116">
        <f t="shared" ref="J1227:Q1227" si="1428">SUM(J1219:J1225)</f>
        <v>0</v>
      </c>
      <c r="K1227" s="116">
        <f t="shared" si="1428"/>
        <v>-16223802.288964495</v>
      </c>
      <c r="L1227" s="116">
        <f t="shared" si="1428"/>
        <v>-771668.30657511228</v>
      </c>
      <c r="M1227" s="116">
        <f t="shared" ca="1" si="1428"/>
        <v>-684422.76788431453</v>
      </c>
      <c r="N1227" s="116">
        <f t="shared" ca="1" si="1428"/>
        <v>0</v>
      </c>
      <c r="O1227" s="116">
        <f t="shared" ca="1" si="1428"/>
        <v>-4525.8902727302257</v>
      </c>
      <c r="P1227" s="116">
        <f t="shared" ca="1" si="1428"/>
        <v>-144365.93052417345</v>
      </c>
      <c r="Q1227" s="133">
        <f t="shared" ca="1" si="1428"/>
        <v>111070.44327312356</v>
      </c>
      <c r="R1227" s="133">
        <f t="shared" ref="R1227" si="1429">SUM(R1219:R1225)</f>
        <v>10993446.72166018</v>
      </c>
      <c r="S1227" s="133">
        <f t="shared" ref="S1227:W1227" si="1430">SUM(S1219:S1225)</f>
        <v>0</v>
      </c>
      <c r="T1227" s="133">
        <f t="shared" si="1430"/>
        <v>0</v>
      </c>
      <c r="U1227" s="133">
        <f t="shared" si="1430"/>
        <v>0</v>
      </c>
      <c r="V1227" s="133">
        <f t="shared" si="1430"/>
        <v>0</v>
      </c>
      <c r="W1227" s="133">
        <f t="shared" si="1430"/>
        <v>0</v>
      </c>
      <c r="X1227" s="133">
        <f t="shared" ref="X1227:AG1227" si="1431">SUM(X1219:X1225)</f>
        <v>0</v>
      </c>
      <c r="Y1227" s="133">
        <f t="shared" si="1431"/>
        <v>0</v>
      </c>
      <c r="Z1227" s="133">
        <f t="shared" si="1431"/>
        <v>0</v>
      </c>
      <c r="AA1227" s="133">
        <f t="shared" si="1431"/>
        <v>0</v>
      </c>
      <c r="AB1227" s="133">
        <f t="shared" si="1431"/>
        <v>0</v>
      </c>
      <c r="AC1227" s="133">
        <f t="shared" si="1431"/>
        <v>0</v>
      </c>
      <c r="AD1227" s="133">
        <f t="shared" si="1431"/>
        <v>0</v>
      </c>
      <c r="AE1227" s="133">
        <f t="shared" si="1431"/>
        <v>0</v>
      </c>
      <c r="AF1227" s="133">
        <f t="shared" si="1431"/>
        <v>0</v>
      </c>
      <c r="AG1227" s="133">
        <f t="shared" si="1431"/>
        <v>0</v>
      </c>
      <c r="AH1227" s="133">
        <f t="shared" ref="AH1227:AK1227" si="1432">SUM(AH1219:AH1225)</f>
        <v>0</v>
      </c>
      <c r="AI1227" s="133">
        <f t="shared" si="1432"/>
        <v>0</v>
      </c>
      <c r="AJ1227" s="133">
        <f t="shared" si="1432"/>
        <v>0</v>
      </c>
      <c r="AK1227" s="133">
        <f t="shared" si="1432"/>
        <v>0</v>
      </c>
      <c r="AL1227" s="133">
        <f t="shared" ref="AL1227:AP1227" si="1433">SUM(AL1219:AL1225)</f>
        <v>0</v>
      </c>
      <c r="AM1227" s="133">
        <f t="shared" si="1433"/>
        <v>0</v>
      </c>
      <c r="AN1227" s="133">
        <f t="shared" si="1433"/>
        <v>0</v>
      </c>
      <c r="AO1227" s="133">
        <f t="shared" si="1433"/>
        <v>0</v>
      </c>
      <c r="AP1227" s="133">
        <f t="shared" si="1433"/>
        <v>0</v>
      </c>
      <c r="AQ1227" s="133">
        <f t="shared" ref="AQ1227:AT1227" si="1434">SUM(AQ1219:AQ1225)</f>
        <v>0</v>
      </c>
      <c r="AR1227" s="133">
        <f t="shared" si="1434"/>
        <v>0</v>
      </c>
      <c r="AS1227" s="133">
        <f t="shared" si="1434"/>
        <v>0</v>
      </c>
      <c r="AT1227" s="133">
        <f t="shared" si="1434"/>
        <v>0</v>
      </c>
      <c r="AU1227" s="133">
        <f t="shared" ca="1" si="1423"/>
        <v>-20282322.776796252</v>
      </c>
      <c r="AV1227" s="116"/>
      <c r="AW1227" s="133">
        <f t="shared" ca="1" si="1424"/>
        <v>-20282322.776796252</v>
      </c>
      <c r="AX1227" s="133">
        <f ca="1">+AW1227-'ROR-Model'!G1246</f>
        <v>0</v>
      </c>
    </row>
    <row r="1228" spans="1:50">
      <c r="A1228" s="231"/>
      <c r="B1228" s="106"/>
      <c r="C1228" s="33"/>
      <c r="D1228" s="10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Q1228" s="133"/>
      <c r="R1228" s="133"/>
      <c r="S1228" s="133"/>
      <c r="T1228" s="133"/>
      <c r="U1228" s="133"/>
      <c r="V1228" s="133"/>
      <c r="W1228" s="133"/>
      <c r="X1228" s="133"/>
      <c r="Y1228" s="133"/>
      <c r="Z1228" s="133"/>
      <c r="AA1228" s="133"/>
      <c r="AB1228" s="133"/>
      <c r="AC1228" s="133"/>
      <c r="AD1228" s="133"/>
      <c r="AE1228" s="133"/>
      <c r="AF1228" s="133"/>
      <c r="AG1228" s="133"/>
      <c r="AH1228" s="133"/>
      <c r="AI1228" s="133"/>
      <c r="AJ1228" s="133"/>
      <c r="AK1228" s="133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116"/>
      <c r="AW1228" s="133"/>
      <c r="AX1228" s="133">
        <f>+AW1228-'ROR-Model'!G1247</f>
        <v>0</v>
      </c>
    </row>
    <row r="1229" spans="1:50">
      <c r="A1229" s="231"/>
      <c r="B1229" s="106"/>
      <c r="C1229" s="33" t="s">
        <v>671</v>
      </c>
      <c r="D1229" s="106"/>
      <c r="F1229" s="116">
        <f>+F1227/365</f>
        <v>0</v>
      </c>
      <c r="G1229" s="116">
        <f t="shared" ref="G1229" ca="1" si="1435">+G1227/365</f>
        <v>-2049.5915040043274</v>
      </c>
      <c r="H1229" s="116">
        <f t="shared" ref="H1229:Q1229" si="1436">+H1227/365</f>
        <v>-35095.763996019596</v>
      </c>
      <c r="I1229" s="116">
        <f>+I1227/365</f>
        <v>0</v>
      </c>
      <c r="J1229" s="116">
        <f t="shared" si="1436"/>
        <v>0</v>
      </c>
      <c r="K1229" s="116">
        <f t="shared" si="1436"/>
        <v>-44448.773394423275</v>
      </c>
      <c r="L1229" s="116">
        <f t="shared" si="1436"/>
        <v>-2114.1597440414034</v>
      </c>
      <c r="M1229" s="116">
        <f t="shared" ca="1" si="1436"/>
        <v>-1875.1308709159302</v>
      </c>
      <c r="N1229" s="116">
        <f t="shared" ca="1" si="1436"/>
        <v>0</v>
      </c>
      <c r="O1229" s="116">
        <f t="shared" ca="1" si="1436"/>
        <v>-12.399699377343085</v>
      </c>
      <c r="P1229" s="116">
        <f t="shared" ca="1" si="1436"/>
        <v>-395.52309732650264</v>
      </c>
      <c r="Q1229" s="116">
        <f t="shared" ca="1" si="1436"/>
        <v>304.30258430992757</v>
      </c>
      <c r="R1229" s="116">
        <f t="shared" ref="R1229" si="1437">+R1227/365</f>
        <v>30119.032114137481</v>
      </c>
      <c r="S1229" s="116">
        <f t="shared" ref="S1229:W1229" si="1438">+S1227/365</f>
        <v>0</v>
      </c>
      <c r="T1229" s="116">
        <f t="shared" si="1438"/>
        <v>0</v>
      </c>
      <c r="U1229" s="116">
        <f t="shared" si="1438"/>
        <v>0</v>
      </c>
      <c r="V1229" s="116">
        <f t="shared" si="1438"/>
        <v>0</v>
      </c>
      <c r="W1229" s="116">
        <f t="shared" si="1438"/>
        <v>0</v>
      </c>
      <c r="X1229" s="116">
        <f t="shared" ref="X1229:AG1229" si="1439">+X1227/365</f>
        <v>0</v>
      </c>
      <c r="Y1229" s="116">
        <f t="shared" si="1439"/>
        <v>0</v>
      </c>
      <c r="Z1229" s="116">
        <f t="shared" si="1439"/>
        <v>0</v>
      </c>
      <c r="AA1229" s="116">
        <f t="shared" si="1439"/>
        <v>0</v>
      </c>
      <c r="AB1229" s="116">
        <f t="shared" si="1439"/>
        <v>0</v>
      </c>
      <c r="AC1229" s="116">
        <f t="shared" si="1439"/>
        <v>0</v>
      </c>
      <c r="AD1229" s="116">
        <f t="shared" si="1439"/>
        <v>0</v>
      </c>
      <c r="AE1229" s="116">
        <f t="shared" si="1439"/>
        <v>0</v>
      </c>
      <c r="AF1229" s="116">
        <f t="shared" si="1439"/>
        <v>0</v>
      </c>
      <c r="AG1229" s="116">
        <f t="shared" si="1439"/>
        <v>0</v>
      </c>
      <c r="AH1229" s="116">
        <f t="shared" ref="AH1229:AK1229" si="1440">+AH1227/365</f>
        <v>0</v>
      </c>
      <c r="AI1229" s="116">
        <f t="shared" si="1440"/>
        <v>0</v>
      </c>
      <c r="AJ1229" s="116">
        <f t="shared" si="1440"/>
        <v>0</v>
      </c>
      <c r="AK1229" s="116">
        <f t="shared" si="1440"/>
        <v>0</v>
      </c>
      <c r="AL1229" s="116">
        <f t="shared" ref="AL1229:AP1229" si="1441">+AL1227/365</f>
        <v>0</v>
      </c>
      <c r="AM1229" s="116">
        <f t="shared" si="1441"/>
        <v>0</v>
      </c>
      <c r="AN1229" s="116">
        <f t="shared" si="1441"/>
        <v>0</v>
      </c>
      <c r="AO1229" s="116">
        <f t="shared" si="1441"/>
        <v>0</v>
      </c>
      <c r="AP1229" s="116">
        <f t="shared" si="1441"/>
        <v>0</v>
      </c>
      <c r="AQ1229" s="116">
        <f t="shared" ref="AQ1229:AT1229" si="1442">+AQ1227/365</f>
        <v>0</v>
      </c>
      <c r="AR1229" s="116">
        <f t="shared" si="1442"/>
        <v>0</v>
      </c>
      <c r="AS1229" s="116">
        <f t="shared" si="1442"/>
        <v>0</v>
      </c>
      <c r="AT1229" s="116">
        <f t="shared" si="1442"/>
        <v>0</v>
      </c>
      <c r="AU1229" s="133">
        <f ca="1">SUM(F1229:AT1229)</f>
        <v>-55568.007607660977</v>
      </c>
      <c r="AV1229" s="116"/>
      <c r="AW1229" s="133">
        <f ca="1">SUM(AU1229:AU1229)</f>
        <v>-55568.007607660977</v>
      </c>
      <c r="AX1229" s="133">
        <f ca="1">+AW1229-'ROR-Model'!G1248</f>
        <v>0</v>
      </c>
    </row>
    <row r="1230" spans="1:50">
      <c r="A1230" s="231"/>
      <c r="B1230" s="106"/>
      <c r="C1230" s="106"/>
      <c r="D1230" s="106"/>
      <c r="E1230" s="331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Q1230" s="133"/>
      <c r="R1230" s="133"/>
      <c r="S1230" s="133"/>
      <c r="T1230" s="133"/>
      <c r="U1230" s="133"/>
      <c r="V1230" s="133"/>
      <c r="W1230" s="133"/>
      <c r="X1230" s="133"/>
      <c r="Y1230" s="133"/>
      <c r="Z1230" s="133"/>
      <c r="AA1230" s="133"/>
      <c r="AB1230" s="133"/>
      <c r="AC1230" s="133"/>
      <c r="AD1230" s="133"/>
      <c r="AE1230" s="133"/>
      <c r="AF1230" s="133"/>
      <c r="AG1230" s="133"/>
      <c r="AH1230" s="133"/>
      <c r="AI1230" s="133"/>
      <c r="AJ1230" s="133"/>
      <c r="AK1230" s="133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116"/>
      <c r="AW1230" s="133"/>
      <c r="AX1230" s="133">
        <f>+AW1230-'ROR-Model'!G1249</f>
        <v>0</v>
      </c>
    </row>
    <row r="1231" spans="1:50">
      <c r="A1231" s="231"/>
      <c r="B1231" s="33" t="s">
        <v>486</v>
      </c>
      <c r="C1231" s="106"/>
      <c r="D1231" s="106"/>
      <c r="E1231" s="331"/>
      <c r="F1231" s="244">
        <f>'Control Panel'!$F$21</f>
        <v>1.0149999999999999</v>
      </c>
      <c r="G1231" s="244">
        <f>'Control Panel'!$F$21</f>
        <v>1.0149999999999999</v>
      </c>
      <c r="H1231" s="244">
        <f>'Control Panel'!$F$21</f>
        <v>1.0149999999999999</v>
      </c>
      <c r="I1231" s="244">
        <f>'Control Panel'!$F$21</f>
        <v>1.0149999999999999</v>
      </c>
      <c r="J1231" s="244">
        <f>'Control Panel'!$F$21</f>
        <v>1.0149999999999999</v>
      </c>
      <c r="K1231" s="244">
        <f>'Control Panel'!$F$21</f>
        <v>1.0149999999999999</v>
      </c>
      <c r="L1231" s="244">
        <f>'Control Panel'!$F$21</f>
        <v>1.0149999999999999</v>
      </c>
      <c r="M1231" s="244">
        <f>'Control Panel'!$F$21</f>
        <v>1.0149999999999999</v>
      </c>
      <c r="N1231" s="244">
        <f>'Control Panel'!$F$21</f>
        <v>1.0149999999999999</v>
      </c>
      <c r="O1231" s="244">
        <f>'Control Panel'!$F$21</f>
        <v>1.0149999999999999</v>
      </c>
      <c r="P1231" s="244">
        <f>'Control Panel'!$F$21</f>
        <v>1.0149999999999999</v>
      </c>
      <c r="Q1231" s="244">
        <f>'Control Panel'!$F$21</f>
        <v>1.0149999999999999</v>
      </c>
      <c r="R1231" s="244">
        <f>'Control Panel'!$F$21</f>
        <v>1.0149999999999999</v>
      </c>
      <c r="S1231" s="244">
        <f>'Control Panel'!$F$21</f>
        <v>1.0149999999999999</v>
      </c>
      <c r="T1231" s="244">
        <f>'Control Panel'!$F$21</f>
        <v>1.0149999999999999</v>
      </c>
      <c r="U1231" s="244">
        <f>'Control Panel'!$F$21</f>
        <v>1.0149999999999999</v>
      </c>
      <c r="V1231" s="244">
        <f>'Control Panel'!$F$21</f>
        <v>1.0149999999999999</v>
      </c>
      <c r="W1231" s="244">
        <f>'Control Panel'!$F$21</f>
        <v>1.0149999999999999</v>
      </c>
      <c r="X1231" s="244">
        <f>'Control Panel'!$F$21</f>
        <v>1.0149999999999999</v>
      </c>
      <c r="Y1231" s="244">
        <f>'Control Panel'!$F$21</f>
        <v>1.0149999999999999</v>
      </c>
      <c r="Z1231" s="244">
        <f>'Control Panel'!$F$21</f>
        <v>1.0149999999999999</v>
      </c>
      <c r="AA1231" s="244">
        <f>'Control Panel'!$F$21</f>
        <v>1.0149999999999999</v>
      </c>
      <c r="AB1231" s="244">
        <f>'Control Panel'!$F$21</f>
        <v>1.0149999999999999</v>
      </c>
      <c r="AC1231" s="244">
        <f>'Control Panel'!$F$21</f>
        <v>1.0149999999999999</v>
      </c>
      <c r="AD1231" s="244">
        <f>'Control Panel'!$F$21</f>
        <v>1.0149999999999999</v>
      </c>
      <c r="AE1231" s="244">
        <f>'Control Panel'!$F$21</f>
        <v>1.0149999999999999</v>
      </c>
      <c r="AF1231" s="244">
        <f>'Control Panel'!$F$21</f>
        <v>1.0149999999999999</v>
      </c>
      <c r="AG1231" s="244">
        <f>'Control Panel'!$F$21</f>
        <v>1.0149999999999999</v>
      </c>
      <c r="AH1231" s="244">
        <f>'Control Panel'!$F$21</f>
        <v>1.0149999999999999</v>
      </c>
      <c r="AI1231" s="244">
        <f>'Control Panel'!$F$21</f>
        <v>1.0149999999999999</v>
      </c>
      <c r="AJ1231" s="244">
        <f>'Control Panel'!$F$21</f>
        <v>1.0149999999999999</v>
      </c>
      <c r="AK1231" s="244">
        <f>'Control Panel'!$F$21</f>
        <v>1.0149999999999999</v>
      </c>
      <c r="AL1231" s="244">
        <f>'Control Panel'!$F$21</f>
        <v>1.0149999999999999</v>
      </c>
      <c r="AM1231" s="244">
        <f>'Control Panel'!$F$21</f>
        <v>1.0149999999999999</v>
      </c>
      <c r="AN1231" s="244">
        <f>'Control Panel'!$F$21</f>
        <v>1.0149999999999999</v>
      </c>
      <c r="AO1231" s="244">
        <f>'Control Panel'!$F$21</f>
        <v>1.0149999999999999</v>
      </c>
      <c r="AP1231" s="244">
        <f>'Control Panel'!$F$21</f>
        <v>1.0149999999999999</v>
      </c>
      <c r="AQ1231" s="244">
        <f>'Control Panel'!$F$21</f>
        <v>1.0149999999999999</v>
      </c>
      <c r="AR1231" s="244">
        <f>'Control Panel'!$F$21</f>
        <v>1.0149999999999999</v>
      </c>
      <c r="AS1231" s="244">
        <f>'Control Panel'!$F$21</f>
        <v>1.0149999999999999</v>
      </c>
      <c r="AT1231" s="244">
        <f>'Control Panel'!$F$21</f>
        <v>1.0149999999999999</v>
      </c>
      <c r="AU1231" s="244">
        <f>'Control Panel'!$F$21</f>
        <v>1.0149999999999999</v>
      </c>
      <c r="AV1231" s="244"/>
      <c r="AW1231" s="244">
        <f>'Control Panel'!$F$21</f>
        <v>1.0149999999999999</v>
      </c>
      <c r="AX1231" s="133">
        <f>+AW1231-'ROR-Model'!G1250</f>
        <v>0</v>
      </c>
    </row>
    <row r="1232" spans="1:50" ht="13.5" thickBot="1">
      <c r="A1232" s="231"/>
      <c r="B1232" s="106"/>
      <c r="C1232" s="106"/>
      <c r="D1232" s="106"/>
      <c r="E1232" s="331"/>
      <c r="F1232" s="235"/>
      <c r="G1232" s="235"/>
      <c r="H1232" s="235"/>
      <c r="I1232" s="235"/>
      <c r="J1232" s="235"/>
      <c r="K1232" s="235"/>
      <c r="L1232" s="235"/>
      <c r="M1232" s="235"/>
      <c r="N1232" s="235"/>
      <c r="O1232" s="235"/>
      <c r="P1232" s="235"/>
      <c r="Q1232" s="242"/>
      <c r="R1232" s="242"/>
      <c r="S1232" s="242"/>
      <c r="T1232" s="242"/>
      <c r="U1232" s="242"/>
      <c r="V1232" s="242"/>
      <c r="W1232" s="242"/>
      <c r="X1232" s="242"/>
      <c r="Y1232" s="242"/>
      <c r="Z1232" s="242"/>
      <c r="AA1232" s="242"/>
      <c r="AB1232" s="242"/>
      <c r="AC1232" s="242"/>
      <c r="AD1232" s="242"/>
      <c r="AE1232" s="242"/>
      <c r="AF1232" s="242"/>
      <c r="AG1232" s="242"/>
      <c r="AH1232" s="242"/>
      <c r="AI1232" s="242"/>
      <c r="AJ1232" s="242"/>
      <c r="AK1232" s="242"/>
      <c r="AL1232" s="242"/>
      <c r="AM1232" s="242"/>
      <c r="AN1232" s="242"/>
      <c r="AO1232" s="242"/>
      <c r="AP1232" s="242"/>
      <c r="AQ1232" s="242"/>
      <c r="AR1232" s="242"/>
      <c r="AS1232" s="242"/>
      <c r="AT1232" s="242"/>
      <c r="AU1232" s="242"/>
      <c r="AV1232" s="235"/>
      <c r="AW1232" s="242"/>
      <c r="AX1232" s="242"/>
    </row>
    <row r="1233" spans="1:50" ht="13.5" thickTop="1">
      <c r="A1233" s="231"/>
      <c r="B1233" s="106"/>
      <c r="C1233" s="106"/>
      <c r="D1233" s="106"/>
      <c r="E1233" s="632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Q1233" s="133"/>
      <c r="R1233" s="133"/>
      <c r="S1233" s="133"/>
      <c r="T1233" s="133"/>
      <c r="U1233" s="133"/>
      <c r="V1233" s="133"/>
      <c r="W1233" s="133"/>
      <c r="X1233" s="133"/>
      <c r="Y1233" s="133"/>
      <c r="Z1233" s="133"/>
      <c r="AA1233" s="133"/>
      <c r="AB1233" s="133"/>
      <c r="AC1233" s="133"/>
      <c r="AD1233" s="133"/>
      <c r="AE1233" s="133"/>
      <c r="AF1233" s="133"/>
      <c r="AG1233" s="133"/>
      <c r="AH1233" s="133"/>
      <c r="AI1233" s="133"/>
      <c r="AJ1233" s="133"/>
      <c r="AK1233" s="133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116"/>
      <c r="AW1233" s="133"/>
      <c r="AX1233" s="133">
        <f>+AW1233-'ROR-Model'!G1252</f>
        <v>0</v>
      </c>
    </row>
    <row r="1234" spans="1:50">
      <c r="A1234" s="231"/>
      <c r="B1234" s="61" t="s">
        <v>691</v>
      </c>
      <c r="C1234" s="106"/>
      <c r="D1234" s="106"/>
      <c r="E1234" s="632"/>
      <c r="F1234" s="116">
        <f>F1229*F1231</f>
        <v>0</v>
      </c>
      <c r="G1234" s="116">
        <f ca="1">G1*G1229*G1231</f>
        <v>-2080.3353765643919</v>
      </c>
      <c r="H1234" s="116">
        <f>H1*H1229*H1231</f>
        <v>-35622.200455959886</v>
      </c>
      <c r="I1234" s="116">
        <f>I1229*I1231</f>
        <v>0</v>
      </c>
      <c r="J1234" s="116">
        <f>J1229*J1231</f>
        <v>0</v>
      </c>
      <c r="K1234" s="116">
        <f>K1229*K1231</f>
        <v>-45115.504995339623</v>
      </c>
      <c r="L1234" s="116">
        <f t="shared" ref="L1234:Q1234" si="1443">L1229*L1231</f>
        <v>-2145.8721402020242</v>
      </c>
      <c r="M1234" s="116">
        <f t="shared" ca="1" si="1443"/>
        <v>-1903.2578339796689</v>
      </c>
      <c r="N1234" s="116">
        <f t="shared" ca="1" si="1443"/>
        <v>0</v>
      </c>
      <c r="O1234" s="116">
        <f t="shared" ca="1" si="1443"/>
        <v>-12.58569486800323</v>
      </c>
      <c r="P1234" s="116">
        <f t="shared" ca="1" si="1443"/>
        <v>-401.45594378640016</v>
      </c>
      <c r="Q1234" s="133">
        <f t="shared" ca="1" si="1443"/>
        <v>308.86712307457645</v>
      </c>
      <c r="R1234" s="133">
        <f t="shared" ref="R1234" si="1444">R1229*R1231</f>
        <v>30570.817595849541</v>
      </c>
      <c r="S1234" s="133">
        <f t="shared" ref="S1234:W1234" si="1445">S1229*S1231</f>
        <v>0</v>
      </c>
      <c r="T1234" s="133">
        <f t="shared" si="1445"/>
        <v>0</v>
      </c>
      <c r="U1234" s="133">
        <f t="shared" si="1445"/>
        <v>0</v>
      </c>
      <c r="V1234" s="133">
        <f t="shared" si="1445"/>
        <v>0</v>
      </c>
      <c r="W1234" s="133">
        <f t="shared" si="1445"/>
        <v>0</v>
      </c>
      <c r="X1234" s="133">
        <f t="shared" ref="X1234:AG1234" si="1446">X1229*X1231</f>
        <v>0</v>
      </c>
      <c r="Y1234" s="133">
        <f t="shared" si="1446"/>
        <v>0</v>
      </c>
      <c r="Z1234" s="133">
        <f t="shared" si="1446"/>
        <v>0</v>
      </c>
      <c r="AA1234" s="133">
        <f t="shared" si="1446"/>
        <v>0</v>
      </c>
      <c r="AB1234" s="133">
        <f t="shared" si="1446"/>
        <v>0</v>
      </c>
      <c r="AC1234" s="133">
        <f>AC1229*AC1231</f>
        <v>0</v>
      </c>
      <c r="AD1234" s="133">
        <f t="shared" si="1446"/>
        <v>0</v>
      </c>
      <c r="AE1234" s="133">
        <f t="shared" si="1446"/>
        <v>0</v>
      </c>
      <c r="AF1234" s="133">
        <f t="shared" si="1446"/>
        <v>0</v>
      </c>
      <c r="AG1234" s="133">
        <f t="shared" si="1446"/>
        <v>0</v>
      </c>
      <c r="AH1234" s="133">
        <f t="shared" ref="AH1234:AK1234" si="1447">AH1229*AH1231</f>
        <v>0</v>
      </c>
      <c r="AI1234" s="133">
        <f t="shared" si="1447"/>
        <v>0</v>
      </c>
      <c r="AJ1234" s="133">
        <f t="shared" si="1447"/>
        <v>0</v>
      </c>
      <c r="AK1234" s="133">
        <f t="shared" si="1447"/>
        <v>0</v>
      </c>
      <c r="AL1234" s="133">
        <f t="shared" ref="AL1234:AP1234" si="1448">AL1229*AL1231</f>
        <v>0</v>
      </c>
      <c r="AM1234" s="133">
        <f t="shared" si="1448"/>
        <v>0</v>
      </c>
      <c r="AN1234" s="133">
        <f t="shared" si="1448"/>
        <v>0</v>
      </c>
      <c r="AO1234" s="133">
        <f t="shared" si="1448"/>
        <v>0</v>
      </c>
      <c r="AP1234" s="133">
        <f t="shared" si="1448"/>
        <v>0</v>
      </c>
      <c r="AQ1234" s="133">
        <f t="shared" ref="AQ1234:AT1234" si="1449">AQ1229*AQ1231</f>
        <v>0</v>
      </c>
      <c r="AR1234" s="133">
        <f t="shared" si="1449"/>
        <v>0</v>
      </c>
      <c r="AS1234" s="133">
        <f t="shared" si="1449"/>
        <v>0</v>
      </c>
      <c r="AT1234" s="133">
        <f t="shared" si="1449"/>
        <v>0</v>
      </c>
      <c r="AU1234" s="133">
        <f ca="1">SUM(F1234:AG1234)</f>
        <v>-56401.527721775885</v>
      </c>
      <c r="AV1234" s="116"/>
      <c r="AW1234" s="133">
        <f ca="1">SUM(AU1234:AU1234)</f>
        <v>-56401.527721775885</v>
      </c>
      <c r="AX1234" s="133">
        <f ca="1">+AW1234-'ROR-Model'!G1253</f>
        <v>0</v>
      </c>
    </row>
    <row r="1235" spans="1:50" ht="13.5" thickBot="1">
      <c r="A1235" s="231"/>
      <c r="B1235" s="106"/>
      <c r="C1235" s="106"/>
      <c r="D1235" s="106"/>
      <c r="E1235" s="632"/>
      <c r="F1235" s="235"/>
      <c r="G1235" s="235"/>
      <c r="H1235" s="235"/>
      <c r="I1235" s="235"/>
      <c r="J1235" s="235"/>
      <c r="K1235" s="235"/>
      <c r="L1235" s="235"/>
      <c r="M1235" s="235"/>
      <c r="N1235" s="235"/>
      <c r="O1235" s="235"/>
      <c r="P1235" s="235"/>
      <c r="Q1235" s="242"/>
      <c r="R1235" s="242"/>
      <c r="S1235" s="242"/>
      <c r="T1235" s="242"/>
      <c r="U1235" s="242"/>
      <c r="V1235" s="242"/>
      <c r="W1235" s="242"/>
      <c r="X1235" s="242"/>
      <c r="Y1235" s="242"/>
      <c r="Z1235" s="242"/>
      <c r="AA1235" s="242"/>
      <c r="AB1235" s="242"/>
      <c r="AC1235" s="242"/>
      <c r="AD1235" s="242"/>
      <c r="AE1235" s="242"/>
      <c r="AF1235" s="242"/>
      <c r="AG1235" s="242"/>
      <c r="AH1235" s="242"/>
      <c r="AI1235" s="242"/>
      <c r="AJ1235" s="242"/>
      <c r="AK1235" s="242"/>
      <c r="AL1235" s="242"/>
      <c r="AM1235" s="242"/>
      <c r="AN1235" s="242"/>
      <c r="AO1235" s="242"/>
      <c r="AP1235" s="242"/>
      <c r="AQ1235" s="242"/>
      <c r="AR1235" s="242"/>
      <c r="AS1235" s="242"/>
      <c r="AT1235" s="242"/>
      <c r="AU1235" s="242">
        <f ca="1">AU1231*AU1229</f>
        <v>-56401.527721775885</v>
      </c>
      <c r="AV1235" s="242"/>
      <c r="AW1235" s="242">
        <f t="shared" ref="AW1235" ca="1" si="1450">AW1231*AW1229</f>
        <v>-56401.527721775885</v>
      </c>
      <c r="AX1235" s="242">
        <f ca="1">+AW1235-'ROR-Model'!G1254</f>
        <v>0</v>
      </c>
    </row>
    <row r="1236" spans="1:50" ht="13.5" thickTop="1">
      <c r="A1236" s="231"/>
      <c r="B1236" s="106"/>
      <c r="C1236" s="106"/>
      <c r="D1236" s="106"/>
      <c r="E1236" s="632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Q1236" s="133"/>
      <c r="R1236" s="133"/>
      <c r="S1236" s="133"/>
      <c r="T1236" s="133"/>
      <c r="U1236" s="133"/>
      <c r="V1236" s="133"/>
      <c r="W1236" s="133"/>
      <c r="X1236" s="133"/>
      <c r="Y1236" s="133"/>
      <c r="Z1236" s="133"/>
      <c r="AA1236" s="133"/>
      <c r="AB1236" s="133"/>
      <c r="AC1236" s="133"/>
      <c r="AD1236" s="133"/>
      <c r="AE1236" s="133"/>
      <c r="AF1236" s="133"/>
      <c r="AG1236" s="133"/>
      <c r="AH1236" s="133"/>
      <c r="AI1236" s="133"/>
      <c r="AJ1236" s="133"/>
      <c r="AK1236" s="133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116"/>
      <c r="AW1236" s="133"/>
      <c r="AX1236" s="133">
        <f>+AW1236-'ROR-Model'!G1255</f>
        <v>0</v>
      </c>
    </row>
    <row r="1237" spans="1:50">
      <c r="A1237" s="61" t="s">
        <v>284</v>
      </c>
      <c r="B1237" s="106"/>
      <c r="C1237" s="106"/>
      <c r="D1237" s="106"/>
      <c r="E1237" s="632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33"/>
      <c r="R1237" s="133"/>
      <c r="S1237" s="133"/>
      <c r="T1237" s="133"/>
      <c r="U1237" s="133"/>
      <c r="V1237" s="133"/>
      <c r="W1237" s="133"/>
      <c r="X1237" s="133"/>
      <c r="Y1237" s="133"/>
      <c r="Z1237" s="133"/>
      <c r="AA1237" s="133"/>
      <c r="AB1237" s="133"/>
      <c r="AC1237" s="133"/>
      <c r="AD1237" s="133"/>
      <c r="AE1237" s="133"/>
      <c r="AF1237" s="133"/>
      <c r="AG1237" s="133"/>
      <c r="AH1237" s="133"/>
      <c r="AI1237" s="133"/>
      <c r="AJ1237" s="133"/>
      <c r="AK1237" s="133"/>
      <c r="AL1237" s="133"/>
      <c r="AM1237" s="133"/>
      <c r="AN1237" s="133"/>
      <c r="AO1237" s="133"/>
      <c r="AP1237" s="133"/>
      <c r="AQ1237" s="133"/>
      <c r="AR1237" s="133"/>
      <c r="AS1237" s="133"/>
      <c r="AT1237" s="133"/>
      <c r="AU1237" s="133"/>
      <c r="AV1237" s="116"/>
      <c r="AW1237" s="133"/>
      <c r="AX1237" s="133">
        <f>+AW1237-'ROR-Model'!G1256</f>
        <v>0</v>
      </c>
    </row>
    <row r="1238" spans="1:50">
      <c r="A1238" s="61"/>
      <c r="B1238" s="106" t="s">
        <v>443</v>
      </c>
      <c r="C1238" s="106"/>
      <c r="D1238" s="106"/>
      <c r="E1238" s="632"/>
      <c r="F1238" s="116">
        <f t="shared" ref="F1238:F1240" ca="1" si="1451">F1208</f>
        <v>-844540.95094280283</v>
      </c>
      <c r="G1238" s="116">
        <f>G1*G1208</f>
        <v>0</v>
      </c>
      <c r="H1238" s="116">
        <f>H1*H1208</f>
        <v>0</v>
      </c>
      <c r="I1238" s="116">
        <f>I1208</f>
        <v>-52891066.75</v>
      </c>
      <c r="J1238" s="116">
        <f t="shared" ref="J1238:Q1240" ca="1" si="1452">J1208</f>
        <v>-210453.83884727611</v>
      </c>
      <c r="K1238" s="116">
        <f t="shared" si="1452"/>
        <v>0</v>
      </c>
      <c r="L1238" s="116">
        <f t="shared" si="1452"/>
        <v>0</v>
      </c>
      <c r="M1238" s="116">
        <f t="shared" si="1452"/>
        <v>0</v>
      </c>
      <c r="N1238" s="116">
        <f t="shared" si="1452"/>
        <v>0</v>
      </c>
      <c r="O1238" s="116">
        <f t="shared" si="1452"/>
        <v>0</v>
      </c>
      <c r="P1238" s="116">
        <f t="shared" si="1452"/>
        <v>0</v>
      </c>
      <c r="Q1238" s="133">
        <f t="shared" si="1452"/>
        <v>0</v>
      </c>
      <c r="R1238" s="133">
        <f t="shared" ref="R1238" si="1453">R1208</f>
        <v>0</v>
      </c>
      <c r="S1238" s="133">
        <f t="shared" ref="S1238:S1240" si="1454">S1208</f>
        <v>0</v>
      </c>
      <c r="T1238" s="133">
        <f t="shared" ref="T1238:U1238" si="1455">T1208</f>
        <v>0</v>
      </c>
      <c r="U1238" s="133">
        <f t="shared" si="1455"/>
        <v>0</v>
      </c>
      <c r="V1238" s="133">
        <f t="shared" ref="V1238" si="1456">V1208</f>
        <v>0</v>
      </c>
      <c r="W1238" s="133">
        <f t="shared" ref="W1238:X1238" si="1457">W1208</f>
        <v>0</v>
      </c>
      <c r="X1238" s="133">
        <f t="shared" si="1457"/>
        <v>0</v>
      </c>
      <c r="Y1238" s="133">
        <f t="shared" ref="Y1238:AG1238" si="1458">Y1208</f>
        <v>0</v>
      </c>
      <c r="Z1238" s="133">
        <f t="shared" si="1458"/>
        <v>0</v>
      </c>
      <c r="AA1238" s="133">
        <f t="shared" si="1458"/>
        <v>0</v>
      </c>
      <c r="AB1238" s="133">
        <f t="shared" si="1458"/>
        <v>0</v>
      </c>
      <c r="AC1238" s="133">
        <f t="shared" si="1458"/>
        <v>0</v>
      </c>
      <c r="AD1238" s="133">
        <f t="shared" si="1458"/>
        <v>0</v>
      </c>
      <c r="AE1238" s="133">
        <f t="shared" si="1458"/>
        <v>0</v>
      </c>
      <c r="AF1238" s="133">
        <f t="shared" si="1458"/>
        <v>0</v>
      </c>
      <c r="AG1238" s="133">
        <f t="shared" si="1458"/>
        <v>0</v>
      </c>
      <c r="AH1238" s="133">
        <f t="shared" ref="AH1238:AK1238" si="1459">AH1208</f>
        <v>0</v>
      </c>
      <c r="AI1238" s="133">
        <f t="shared" si="1459"/>
        <v>0</v>
      </c>
      <c r="AJ1238" s="133">
        <f t="shared" si="1459"/>
        <v>0</v>
      </c>
      <c r="AK1238" s="133">
        <f t="shared" si="1459"/>
        <v>0</v>
      </c>
      <c r="AL1238" s="133">
        <f t="shared" ref="AL1238:AP1238" si="1460">AL1208</f>
        <v>0</v>
      </c>
      <c r="AM1238" s="133">
        <f t="shared" si="1460"/>
        <v>0</v>
      </c>
      <c r="AN1238" s="133">
        <f t="shared" si="1460"/>
        <v>0</v>
      </c>
      <c r="AO1238" s="133">
        <f t="shared" si="1460"/>
        <v>0</v>
      </c>
      <c r="AP1238" s="133">
        <f t="shared" si="1460"/>
        <v>0</v>
      </c>
      <c r="AQ1238" s="133">
        <f t="shared" ref="AQ1238:AS1238" si="1461">AQ1208</f>
        <v>0</v>
      </c>
      <c r="AR1238" s="133">
        <f t="shared" si="1461"/>
        <v>0</v>
      </c>
      <c r="AS1238" s="133">
        <f t="shared" si="1461"/>
        <v>0</v>
      </c>
      <c r="AT1238" s="133">
        <f>AT1208</f>
        <v>0</v>
      </c>
      <c r="AU1238" s="133">
        <f ca="1">SUM(F1238:AG1238)</f>
        <v>-53946061.539790079</v>
      </c>
      <c r="AV1238" s="116"/>
      <c r="AW1238" s="133">
        <f ca="1">SUM(AU1238:AU1238)</f>
        <v>-53946061.539790079</v>
      </c>
      <c r="AX1238" s="133">
        <f ca="1">+AW1238-'ROR-Model'!G1257</f>
        <v>0</v>
      </c>
    </row>
    <row r="1239" spans="1:50">
      <c r="A1239" s="61"/>
      <c r="B1239" s="106" t="s">
        <v>592</v>
      </c>
      <c r="C1239" s="106"/>
      <c r="D1239" s="106"/>
      <c r="E1239" s="632"/>
      <c r="F1239" s="116">
        <f t="shared" ca="1" si="1451"/>
        <v>7735124.6276038056</v>
      </c>
      <c r="G1239" s="116">
        <f>G1*G1209</f>
        <v>0</v>
      </c>
      <c r="H1239" s="116">
        <f>H1*H1209</f>
        <v>0</v>
      </c>
      <c r="I1239" s="116">
        <f>I1209</f>
        <v>0</v>
      </c>
      <c r="J1239" s="116">
        <f t="shared" si="1452"/>
        <v>0</v>
      </c>
      <c r="K1239" s="116">
        <f t="shared" si="1452"/>
        <v>0</v>
      </c>
      <c r="L1239" s="116">
        <f t="shared" si="1452"/>
        <v>0</v>
      </c>
      <c r="M1239" s="116">
        <f t="shared" si="1452"/>
        <v>0</v>
      </c>
      <c r="N1239" s="116">
        <f t="shared" si="1452"/>
        <v>0</v>
      </c>
      <c r="O1239" s="116">
        <f t="shared" si="1452"/>
        <v>0</v>
      </c>
      <c r="P1239" s="116">
        <f t="shared" si="1452"/>
        <v>0</v>
      </c>
      <c r="Q1239" s="133">
        <f t="shared" si="1452"/>
        <v>0</v>
      </c>
      <c r="R1239" s="133">
        <f t="shared" ref="R1239" si="1462">R1209</f>
        <v>0</v>
      </c>
      <c r="S1239" s="133">
        <f t="shared" si="1454"/>
        <v>0</v>
      </c>
      <c r="T1239" s="133">
        <f t="shared" ref="T1239:U1239" si="1463">T1209</f>
        <v>0</v>
      </c>
      <c r="U1239" s="133">
        <f t="shared" si="1463"/>
        <v>0</v>
      </c>
      <c r="V1239" s="133">
        <f t="shared" ref="V1239" si="1464">V1209</f>
        <v>0</v>
      </c>
      <c r="W1239" s="133">
        <f t="shared" ref="W1239:X1239" si="1465">W1209</f>
        <v>0</v>
      </c>
      <c r="X1239" s="133">
        <f t="shared" si="1465"/>
        <v>0</v>
      </c>
      <c r="Y1239" s="133">
        <f t="shared" ref="Y1239:AG1239" si="1466">Y1209</f>
        <v>0</v>
      </c>
      <c r="Z1239" s="133">
        <f t="shared" si="1466"/>
        <v>0</v>
      </c>
      <c r="AA1239" s="133">
        <f t="shared" si="1466"/>
        <v>0</v>
      </c>
      <c r="AB1239" s="133">
        <f t="shared" si="1466"/>
        <v>0</v>
      </c>
      <c r="AC1239" s="133">
        <f t="shared" si="1466"/>
        <v>0</v>
      </c>
      <c r="AD1239" s="133">
        <f t="shared" si="1466"/>
        <v>0</v>
      </c>
      <c r="AE1239" s="133">
        <f t="shared" si="1466"/>
        <v>0</v>
      </c>
      <c r="AF1239" s="133">
        <f t="shared" si="1466"/>
        <v>0</v>
      </c>
      <c r="AG1239" s="133">
        <f t="shared" si="1466"/>
        <v>0</v>
      </c>
      <c r="AH1239" s="133">
        <f t="shared" ref="AH1239:AK1239" si="1467">AH1209</f>
        <v>0</v>
      </c>
      <c r="AI1239" s="133">
        <f t="shared" si="1467"/>
        <v>0</v>
      </c>
      <c r="AJ1239" s="133">
        <f t="shared" si="1467"/>
        <v>0</v>
      </c>
      <c r="AK1239" s="133">
        <f t="shared" si="1467"/>
        <v>0</v>
      </c>
      <c r="AL1239" s="133">
        <f t="shared" ref="AL1239:AP1239" si="1468">AL1209</f>
        <v>0</v>
      </c>
      <c r="AM1239" s="133">
        <f t="shared" si="1468"/>
        <v>0</v>
      </c>
      <c r="AN1239" s="133">
        <f t="shared" si="1468"/>
        <v>0</v>
      </c>
      <c r="AO1239" s="133">
        <f t="shared" si="1468"/>
        <v>0</v>
      </c>
      <c r="AP1239" s="133">
        <f t="shared" si="1468"/>
        <v>0</v>
      </c>
      <c r="AQ1239" s="133">
        <f t="shared" ref="AQ1239:AT1239" si="1469">AQ1209</f>
        <v>0</v>
      </c>
      <c r="AR1239" s="133">
        <f t="shared" si="1469"/>
        <v>0</v>
      </c>
      <c r="AS1239" s="133">
        <f t="shared" si="1469"/>
        <v>0</v>
      </c>
      <c r="AT1239" s="133">
        <f t="shared" si="1469"/>
        <v>0</v>
      </c>
      <c r="AU1239" s="133">
        <f ca="1">SUM(F1239:AG1239)</f>
        <v>7735124.6276038056</v>
      </c>
      <c r="AV1239" s="116"/>
      <c r="AW1239" s="133">
        <f ca="1">SUM(AU1239:AU1239)</f>
        <v>7735124.6276038056</v>
      </c>
      <c r="AX1239" s="133">
        <f ca="1">+AW1239-'ROR-Model'!G1258</f>
        <v>0</v>
      </c>
    </row>
    <row r="1240" spans="1:50">
      <c r="A1240" s="61"/>
      <c r="B1240" s="106" t="s">
        <v>593</v>
      </c>
      <c r="C1240" s="106"/>
      <c r="D1240" s="106"/>
      <c r="E1240" s="632"/>
      <c r="F1240" s="116">
        <f t="shared" ca="1" si="1451"/>
        <v>226914842.71504793</v>
      </c>
      <c r="G1240" s="116">
        <f>G1*G1210</f>
        <v>0</v>
      </c>
      <c r="H1240" s="116">
        <f>H1*H1210</f>
        <v>0</v>
      </c>
      <c r="I1240" s="116">
        <f>I1210</f>
        <v>0</v>
      </c>
      <c r="J1240" s="116">
        <f t="shared" si="1452"/>
        <v>0</v>
      </c>
      <c r="K1240" s="116">
        <f t="shared" si="1452"/>
        <v>0</v>
      </c>
      <c r="L1240" s="116">
        <f t="shared" si="1452"/>
        <v>0</v>
      </c>
      <c r="M1240" s="116">
        <f t="shared" si="1452"/>
        <v>0</v>
      </c>
      <c r="N1240" s="116">
        <f t="shared" si="1452"/>
        <v>0</v>
      </c>
      <c r="O1240" s="116">
        <f t="shared" si="1452"/>
        <v>0</v>
      </c>
      <c r="P1240" s="116">
        <f t="shared" si="1452"/>
        <v>0</v>
      </c>
      <c r="Q1240" s="133">
        <f t="shared" si="1452"/>
        <v>0</v>
      </c>
      <c r="R1240" s="133">
        <f t="shared" ref="R1240" si="1470">R1210</f>
        <v>0</v>
      </c>
      <c r="S1240" s="133">
        <f t="shared" si="1454"/>
        <v>0</v>
      </c>
      <c r="T1240" s="133">
        <f t="shared" ref="T1240:U1240" si="1471">T1210</f>
        <v>0</v>
      </c>
      <c r="U1240" s="133">
        <f t="shared" si="1471"/>
        <v>0</v>
      </c>
      <c r="V1240" s="133">
        <f t="shared" ref="V1240" si="1472">V1210</f>
        <v>0</v>
      </c>
      <c r="W1240" s="133">
        <f t="shared" ref="W1240:X1240" si="1473">W1210</f>
        <v>0</v>
      </c>
      <c r="X1240" s="133">
        <f t="shared" si="1473"/>
        <v>0</v>
      </c>
      <c r="Y1240" s="133">
        <f t="shared" ref="Y1240:AG1240" si="1474">Y1210</f>
        <v>0</v>
      </c>
      <c r="Z1240" s="133">
        <f t="shared" si="1474"/>
        <v>0</v>
      </c>
      <c r="AA1240" s="133">
        <f t="shared" si="1474"/>
        <v>0</v>
      </c>
      <c r="AB1240" s="133">
        <f t="shared" si="1474"/>
        <v>0</v>
      </c>
      <c r="AC1240" s="133">
        <f t="shared" si="1474"/>
        <v>0</v>
      </c>
      <c r="AD1240" s="133">
        <f t="shared" si="1474"/>
        <v>0</v>
      </c>
      <c r="AE1240" s="133">
        <f t="shared" si="1474"/>
        <v>0</v>
      </c>
      <c r="AF1240" s="133">
        <f t="shared" si="1474"/>
        <v>0</v>
      </c>
      <c r="AG1240" s="133">
        <f t="shared" si="1474"/>
        <v>0</v>
      </c>
      <c r="AH1240" s="133">
        <f t="shared" ref="AH1240:AK1240" si="1475">AH1210</f>
        <v>0</v>
      </c>
      <c r="AI1240" s="133">
        <f t="shared" si="1475"/>
        <v>0</v>
      </c>
      <c r="AJ1240" s="133">
        <f t="shared" si="1475"/>
        <v>0</v>
      </c>
      <c r="AK1240" s="133">
        <f t="shared" si="1475"/>
        <v>0</v>
      </c>
      <c r="AL1240" s="133">
        <f t="shared" ref="AL1240:AP1240" si="1476">AL1210</f>
        <v>0</v>
      </c>
      <c r="AM1240" s="133">
        <f t="shared" si="1476"/>
        <v>0</v>
      </c>
      <c r="AN1240" s="133">
        <f t="shared" si="1476"/>
        <v>0</v>
      </c>
      <c r="AO1240" s="133">
        <f t="shared" si="1476"/>
        <v>0</v>
      </c>
      <c r="AP1240" s="133">
        <f t="shared" si="1476"/>
        <v>0</v>
      </c>
      <c r="AQ1240" s="133">
        <f t="shared" ref="AQ1240:AT1240" si="1477">AQ1210</f>
        <v>0</v>
      </c>
      <c r="AR1240" s="133">
        <f t="shared" si="1477"/>
        <v>0</v>
      </c>
      <c r="AS1240" s="133">
        <f t="shared" si="1477"/>
        <v>0</v>
      </c>
      <c r="AT1240" s="133">
        <f t="shared" si="1477"/>
        <v>0</v>
      </c>
      <c r="AU1240" s="133">
        <f ca="1">SUM(F1240:AG1240)</f>
        <v>226914842.71504793</v>
      </c>
      <c r="AV1240" s="116"/>
      <c r="AW1240" s="133">
        <f ca="1">SUM(AU1240:AU1240)</f>
        <v>226914842.71504793</v>
      </c>
      <c r="AX1240" s="133">
        <f ca="1">+AW1240-'ROR-Model'!G1259</f>
        <v>0</v>
      </c>
    </row>
    <row r="1241" spans="1:50">
      <c r="A1241" s="61"/>
      <c r="B1241" s="106" t="s">
        <v>595</v>
      </c>
      <c r="C1241" s="106"/>
      <c r="D1241" s="106"/>
      <c r="E1241" s="632"/>
      <c r="F1241" s="116">
        <f ca="1">F1211+F1234</f>
        <v>26117391.896229919</v>
      </c>
      <c r="G1241" s="116">
        <f ca="1">G1*G1211+G1234</f>
        <v>-2080.3353765643919</v>
      </c>
      <c r="H1241" s="116">
        <f>H1*H1211+H1234</f>
        <v>-35622.200455959886</v>
      </c>
      <c r="I1241" s="116">
        <f>I1211+I1234</f>
        <v>0</v>
      </c>
      <c r="J1241" s="116">
        <f t="shared" ref="J1241:Q1241" si="1478">J1211+J1234</f>
        <v>0</v>
      </c>
      <c r="K1241" s="116">
        <f t="shared" si="1478"/>
        <v>-45115.504995339623</v>
      </c>
      <c r="L1241" s="116">
        <f t="shared" si="1478"/>
        <v>-2145.8721402020242</v>
      </c>
      <c r="M1241" s="116">
        <f t="shared" ca="1" si="1478"/>
        <v>-1903.2578339796689</v>
      </c>
      <c r="N1241" s="116">
        <f t="shared" ca="1" si="1478"/>
        <v>0</v>
      </c>
      <c r="O1241" s="116">
        <f t="shared" ca="1" si="1478"/>
        <v>-12.58569486800323</v>
      </c>
      <c r="P1241" s="116">
        <f t="shared" ca="1" si="1478"/>
        <v>-401.45594378640016</v>
      </c>
      <c r="Q1241" s="133">
        <f t="shared" ca="1" si="1478"/>
        <v>308.86712307457645</v>
      </c>
      <c r="R1241" s="133">
        <f t="shared" ref="R1241" si="1479">R1211+R1234</f>
        <v>30570.817595849541</v>
      </c>
      <c r="S1241" s="133">
        <f t="shared" ref="S1241:W1241" si="1480">S1211+S1234</f>
        <v>0</v>
      </c>
      <c r="T1241" s="133">
        <f t="shared" si="1480"/>
        <v>0</v>
      </c>
      <c r="U1241" s="133">
        <f t="shared" si="1480"/>
        <v>0</v>
      </c>
      <c r="V1241" s="133">
        <f t="shared" si="1480"/>
        <v>0</v>
      </c>
      <c r="W1241" s="133">
        <f t="shared" si="1480"/>
        <v>0</v>
      </c>
      <c r="X1241" s="133">
        <f t="shared" ref="X1241:AG1241" si="1481">X1211+X1234</f>
        <v>0</v>
      </c>
      <c r="Y1241" s="133">
        <f t="shared" si="1481"/>
        <v>0</v>
      </c>
      <c r="Z1241" s="133">
        <f t="shared" si="1481"/>
        <v>0</v>
      </c>
      <c r="AA1241" s="133">
        <f t="shared" si="1481"/>
        <v>0</v>
      </c>
      <c r="AB1241" s="133">
        <f t="shared" si="1481"/>
        <v>0</v>
      </c>
      <c r="AC1241" s="133">
        <f t="shared" si="1481"/>
        <v>0</v>
      </c>
      <c r="AD1241" s="133">
        <f t="shared" si="1481"/>
        <v>0</v>
      </c>
      <c r="AE1241" s="133">
        <f t="shared" si="1481"/>
        <v>0</v>
      </c>
      <c r="AF1241" s="133">
        <f t="shared" si="1481"/>
        <v>0</v>
      </c>
      <c r="AG1241" s="133">
        <f t="shared" si="1481"/>
        <v>0</v>
      </c>
      <c r="AH1241" s="133">
        <f t="shared" ref="AH1241:AK1241" si="1482">AH1211+AH1234</f>
        <v>0</v>
      </c>
      <c r="AI1241" s="133">
        <f t="shared" si="1482"/>
        <v>0</v>
      </c>
      <c r="AJ1241" s="133">
        <f t="shared" si="1482"/>
        <v>0</v>
      </c>
      <c r="AK1241" s="133">
        <f t="shared" si="1482"/>
        <v>0</v>
      </c>
      <c r="AL1241" s="133">
        <f t="shared" ref="AL1241:AP1241" si="1483">AL1211+AL1234</f>
        <v>0</v>
      </c>
      <c r="AM1241" s="133">
        <f t="shared" si="1483"/>
        <v>0</v>
      </c>
      <c r="AN1241" s="133">
        <f t="shared" si="1483"/>
        <v>0</v>
      </c>
      <c r="AO1241" s="133">
        <f t="shared" si="1483"/>
        <v>0</v>
      </c>
      <c r="AP1241" s="133">
        <f t="shared" si="1483"/>
        <v>0</v>
      </c>
      <c r="AQ1241" s="133">
        <f t="shared" ref="AQ1241:AT1241" si="1484">AQ1211+AQ1234</f>
        <v>0</v>
      </c>
      <c r="AR1241" s="133">
        <f t="shared" si="1484"/>
        <v>0</v>
      </c>
      <c r="AS1241" s="133">
        <f t="shared" si="1484"/>
        <v>0</v>
      </c>
      <c r="AT1241" s="133">
        <f t="shared" si="1484"/>
        <v>0</v>
      </c>
      <c r="AU1241" s="133">
        <f ca="1">AU1211+AU1234</f>
        <v>26060990.368508141</v>
      </c>
      <c r="AV1241" s="116"/>
      <c r="AW1241" s="133">
        <f ca="1">AW1211+AW1234</f>
        <v>26060990.368508141</v>
      </c>
      <c r="AX1241" s="133">
        <f ca="1">+AW1241-'ROR-Model'!G1260</f>
        <v>0</v>
      </c>
    </row>
    <row r="1242" spans="1:50" ht="13.5" thickBot="1">
      <c r="A1242" s="61"/>
      <c r="B1242" s="106"/>
      <c r="C1242" s="106"/>
      <c r="D1242" s="106"/>
      <c r="E1242" s="632"/>
      <c r="F1242" s="235"/>
      <c r="G1242" s="235"/>
      <c r="H1242" s="235"/>
      <c r="I1242" s="235"/>
      <c r="J1242" s="235"/>
      <c r="K1242" s="235"/>
      <c r="L1242" s="235"/>
      <c r="M1242" s="235"/>
      <c r="N1242" s="235"/>
      <c r="O1242" s="235"/>
      <c r="P1242" s="235"/>
      <c r="Q1242" s="242"/>
      <c r="R1242" s="242"/>
      <c r="S1242" s="242"/>
      <c r="T1242" s="242"/>
      <c r="U1242" s="242"/>
      <c r="V1242" s="242"/>
      <c r="W1242" s="242"/>
      <c r="X1242" s="242"/>
      <c r="Y1242" s="242"/>
      <c r="Z1242" s="242"/>
      <c r="AA1242" s="242"/>
      <c r="AB1242" s="242"/>
      <c r="AC1242" s="242"/>
      <c r="AD1242" s="242"/>
      <c r="AE1242" s="242"/>
      <c r="AF1242" s="242"/>
      <c r="AG1242" s="242"/>
      <c r="AH1242" s="242"/>
      <c r="AI1242" s="242"/>
      <c r="AJ1242" s="242"/>
      <c r="AK1242" s="242"/>
      <c r="AL1242" s="242"/>
      <c r="AM1242" s="242"/>
      <c r="AN1242" s="242"/>
      <c r="AO1242" s="242"/>
      <c r="AP1242" s="242"/>
      <c r="AQ1242" s="242"/>
      <c r="AR1242" s="242"/>
      <c r="AS1242" s="242"/>
      <c r="AT1242" s="242"/>
      <c r="AU1242" s="242">
        <f>SUM(F1242:AG1242)</f>
        <v>0</v>
      </c>
      <c r="AV1242" s="235"/>
      <c r="AW1242" s="242">
        <f>SUM(AU1242:AU1242)</f>
        <v>0</v>
      </c>
      <c r="AX1242" s="242">
        <f>+AW1242-'ROR-Model'!G1261</f>
        <v>0</v>
      </c>
    </row>
    <row r="1243" spans="1:50" ht="13.5" thickTop="1">
      <c r="A1243" s="61"/>
      <c r="B1243" s="106"/>
      <c r="C1243" s="106"/>
      <c r="D1243" s="106"/>
      <c r="E1243" s="632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Q1243" s="133"/>
      <c r="R1243" s="133"/>
      <c r="S1243" s="133"/>
      <c r="T1243" s="133"/>
      <c r="U1243" s="133"/>
      <c r="V1243" s="133"/>
      <c r="W1243" s="133"/>
      <c r="X1243" s="133"/>
      <c r="Y1243" s="133"/>
      <c r="Z1243" s="133"/>
      <c r="AA1243" s="133"/>
      <c r="AB1243" s="133"/>
      <c r="AC1243" s="133"/>
      <c r="AD1243" s="133"/>
      <c r="AE1243" s="133"/>
      <c r="AF1243" s="133"/>
      <c r="AG1243" s="133"/>
      <c r="AH1243" s="133"/>
      <c r="AI1243" s="133"/>
      <c r="AJ1243" s="133"/>
      <c r="AK1243" s="133"/>
      <c r="AL1243" s="133"/>
      <c r="AM1243" s="133"/>
      <c r="AN1243" s="133"/>
      <c r="AO1243" s="133"/>
      <c r="AP1243" s="133"/>
      <c r="AQ1243" s="133"/>
      <c r="AR1243" s="133"/>
      <c r="AS1243" s="133"/>
      <c r="AT1243" s="133"/>
      <c r="AU1243" s="133">
        <f>SUM(F1243:AG1243)</f>
        <v>0</v>
      </c>
      <c r="AV1243" s="116"/>
      <c r="AW1243" s="133">
        <f>SUM(AU1243:AU1243)</f>
        <v>0</v>
      </c>
      <c r="AX1243" s="133">
        <f>+AW1243-'ROR-Model'!G1262</f>
        <v>0</v>
      </c>
    </row>
    <row r="1244" spans="1:50">
      <c r="A1244" s="231"/>
      <c r="B1244" s="61" t="s">
        <v>284</v>
      </c>
      <c r="C1244" s="106"/>
      <c r="D1244" s="106"/>
      <c r="E1244" s="632"/>
      <c r="F1244" s="116">
        <f ca="1">F1214+F1234</f>
        <v>259922818.28793883</v>
      </c>
      <c r="G1244" s="116">
        <f ca="1">G1*G1214+G1234</f>
        <v>-2080.3353765643919</v>
      </c>
      <c r="H1244" s="116">
        <f>H1*H1214+H1234</f>
        <v>-35622.200455959886</v>
      </c>
      <c r="I1244" s="116">
        <f>I1214+I1234</f>
        <v>-52891066.75</v>
      </c>
      <c r="J1244" s="116">
        <f t="shared" ref="J1244:Q1244" ca="1" si="1485">J1214+J1234</f>
        <v>-210453.83884727611</v>
      </c>
      <c r="K1244" s="116">
        <f t="shared" si="1485"/>
        <v>-45115.504995339623</v>
      </c>
      <c r="L1244" s="116">
        <f t="shared" si="1485"/>
        <v>-2145.8721402020242</v>
      </c>
      <c r="M1244" s="116">
        <f t="shared" ca="1" si="1485"/>
        <v>-1903.2578339796689</v>
      </c>
      <c r="N1244" s="116">
        <f t="shared" ca="1" si="1485"/>
        <v>0</v>
      </c>
      <c r="O1244" s="116">
        <f t="shared" ca="1" si="1485"/>
        <v>-12.58569486800323</v>
      </c>
      <c r="P1244" s="116">
        <f t="shared" ca="1" si="1485"/>
        <v>-401.45594378640016</v>
      </c>
      <c r="Q1244" s="133">
        <f t="shared" ca="1" si="1485"/>
        <v>308.86712307457645</v>
      </c>
      <c r="R1244" s="133">
        <f t="shared" ref="R1244" si="1486">R1214+R1234</f>
        <v>30570.817595849541</v>
      </c>
      <c r="S1244" s="133">
        <f t="shared" ref="S1244:W1244" si="1487">S1214+S1234</f>
        <v>0</v>
      </c>
      <c r="T1244" s="133">
        <f t="shared" si="1487"/>
        <v>0</v>
      </c>
      <c r="U1244" s="133">
        <f t="shared" si="1487"/>
        <v>0</v>
      </c>
      <c r="V1244" s="133">
        <f t="shared" si="1487"/>
        <v>0</v>
      </c>
      <c r="W1244" s="133">
        <f t="shared" si="1487"/>
        <v>0</v>
      </c>
      <c r="X1244" s="133">
        <f t="shared" ref="X1244:AG1244" si="1488">X1214+X1234</f>
        <v>0</v>
      </c>
      <c r="Y1244" s="133">
        <f t="shared" si="1488"/>
        <v>0</v>
      </c>
      <c r="Z1244" s="133">
        <f t="shared" si="1488"/>
        <v>0</v>
      </c>
      <c r="AA1244" s="133">
        <f t="shared" si="1488"/>
        <v>0</v>
      </c>
      <c r="AB1244" s="133">
        <f t="shared" si="1488"/>
        <v>0</v>
      </c>
      <c r="AC1244" s="133">
        <f t="shared" si="1488"/>
        <v>0</v>
      </c>
      <c r="AD1244" s="133">
        <f t="shared" si="1488"/>
        <v>0</v>
      </c>
      <c r="AE1244" s="133">
        <f t="shared" si="1488"/>
        <v>0</v>
      </c>
      <c r="AF1244" s="133">
        <f t="shared" si="1488"/>
        <v>0</v>
      </c>
      <c r="AG1244" s="133">
        <f t="shared" si="1488"/>
        <v>0</v>
      </c>
      <c r="AH1244" s="133">
        <f t="shared" ref="AH1244:AK1244" si="1489">AH1214+AH1234</f>
        <v>0</v>
      </c>
      <c r="AI1244" s="133">
        <f t="shared" si="1489"/>
        <v>0</v>
      </c>
      <c r="AJ1244" s="133">
        <f t="shared" si="1489"/>
        <v>0</v>
      </c>
      <c r="AK1244" s="133">
        <f t="shared" si="1489"/>
        <v>0</v>
      </c>
      <c r="AL1244" s="133">
        <f t="shared" ref="AL1244:AP1244" si="1490">AL1214+AL1234</f>
        <v>0</v>
      </c>
      <c r="AM1244" s="133">
        <f t="shared" si="1490"/>
        <v>0</v>
      </c>
      <c r="AN1244" s="133">
        <f t="shared" si="1490"/>
        <v>0</v>
      </c>
      <c r="AO1244" s="133">
        <f t="shared" si="1490"/>
        <v>0</v>
      </c>
      <c r="AP1244" s="133">
        <f t="shared" si="1490"/>
        <v>0</v>
      </c>
      <c r="AQ1244" s="133">
        <f t="shared" ref="AQ1244:AT1244" si="1491">AQ1214+AQ1234</f>
        <v>0</v>
      </c>
      <c r="AR1244" s="133">
        <f t="shared" si="1491"/>
        <v>0</v>
      </c>
      <c r="AS1244" s="133">
        <f t="shared" si="1491"/>
        <v>0</v>
      </c>
      <c r="AT1244" s="133">
        <f t="shared" si="1491"/>
        <v>0</v>
      </c>
      <c r="AU1244" s="133">
        <f ca="1">SUM(F1244:AG1244)</f>
        <v>206764896.17136973</v>
      </c>
      <c r="AV1244" s="116"/>
      <c r="AW1244" s="133">
        <f ca="1">SUM(AU1244:AU1244)</f>
        <v>206764896.17136973</v>
      </c>
      <c r="AX1244" s="133">
        <f ca="1">+AW1244-'ROR-Model'!G1263</f>
        <v>0</v>
      </c>
    </row>
    <row r="1245" spans="1:50">
      <c r="A1245" s="231"/>
      <c r="B1245" s="61"/>
      <c r="C1245" s="106"/>
      <c r="D1245" s="106"/>
      <c r="E1245" s="632"/>
      <c r="F1245" s="116"/>
      <c r="G1245" s="116"/>
      <c r="H1245" s="116"/>
      <c r="I1245" s="116"/>
      <c r="J1245" s="116"/>
      <c r="L1245" s="116"/>
      <c r="M1245" s="116"/>
      <c r="N1245" s="116"/>
      <c r="O1245" s="116"/>
      <c r="P1245" s="116"/>
      <c r="Q1245" s="133"/>
      <c r="R1245" s="133"/>
      <c r="S1245" s="133"/>
      <c r="T1245" s="133"/>
      <c r="U1245" s="133"/>
      <c r="V1245" s="133"/>
      <c r="W1245" s="133"/>
      <c r="X1245" s="133"/>
      <c r="Y1245" s="133"/>
      <c r="Z1245" s="133"/>
      <c r="AA1245" s="133"/>
      <c r="AB1245" s="133"/>
      <c r="AC1245" s="133"/>
      <c r="AD1245" s="133"/>
      <c r="AE1245" s="133"/>
      <c r="AF1245" s="133"/>
      <c r="AG1245" s="133"/>
      <c r="AH1245" s="133"/>
      <c r="AI1245" s="133"/>
      <c r="AJ1245" s="133"/>
      <c r="AK1245" s="133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116"/>
      <c r="AW1245" s="133"/>
      <c r="AX1245" s="133"/>
    </row>
    <row r="1765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5</xdr:row>
                    <xdr:rowOff>47625</xdr:rowOff>
                  </from>
                  <to>
                    <xdr:col>1</xdr:col>
                    <xdr:colOff>238125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1762</xdr:row>
                    <xdr:rowOff>47625</xdr:rowOff>
                  </from>
                  <to>
                    <xdr:col>1</xdr:col>
                    <xdr:colOff>238125</xdr:colOff>
                    <xdr:row>1763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1762</xdr:row>
                    <xdr:rowOff>47625</xdr:rowOff>
                  </from>
                  <to>
                    <xdr:col>1</xdr:col>
                    <xdr:colOff>238125</xdr:colOff>
                    <xdr:row>1763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29825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826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827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828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0849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850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851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852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1873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874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875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876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2897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898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899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900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3921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922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923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924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4945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946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947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948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5969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970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971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972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6993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994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995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996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5" t="str">
        <f>'Control Panel'!$B$1</f>
        <v>Dominion Energy</v>
      </c>
    </row>
    <row r="2" spans="1:7">
      <c r="A2" s="955" t="str">
        <f>'Control Panel'!$B$2</f>
        <v>Utah - DEC 2019 Adjusted Avg  Results</v>
      </c>
      <c r="B2" s="116"/>
      <c r="C2" s="116"/>
    </row>
    <row r="3" spans="1:7">
      <c r="A3" s="955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38017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018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019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020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8" width="9.140625" style="221"/>
    <col min="9" max="9" width="20.85546875" style="221" customWidth="1"/>
    <col min="10" max="10" width="3.28515625" style="221" customWidth="1"/>
    <col min="11" max="11" width="24" style="221" customWidth="1"/>
    <col min="12" max="12" width="13.5703125" style="221" bestFit="1" customWidth="1"/>
    <col min="13" max="13" width="9.140625" style="221"/>
    <col min="14" max="14" width="17.28515625" style="221" customWidth="1"/>
    <col min="15" max="16384" width="9.140625" style="221"/>
  </cols>
  <sheetData>
    <row r="1" spans="1:7">
      <c r="A1" s="957" t="str">
        <f>'Control Panel'!$B$1</f>
        <v>Dominion Energy</v>
      </c>
    </row>
    <row r="2" spans="1:7">
      <c r="A2" s="957" t="str">
        <f>'Control Panel'!$B$2</f>
        <v>Utah - DEC 2019 Adjusted Avg  Results</v>
      </c>
      <c r="B2" s="116"/>
      <c r="C2" s="116"/>
    </row>
    <row r="3" spans="1:7">
      <c r="A3" s="957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14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14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14">
      <c r="A1171" s="212"/>
      <c r="B1171" s="102"/>
      <c r="C1171" s="102"/>
      <c r="G1171" s="133"/>
    </row>
    <row r="1172" spans="1:14">
      <c r="A1172" s="134">
        <v>2531</v>
      </c>
      <c r="B1172" s="106" t="s">
        <v>312</v>
      </c>
      <c r="C1172" s="106"/>
      <c r="G1172" s="133"/>
    </row>
    <row r="1173" spans="1:14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14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14">
      <c r="A1175" s="134"/>
      <c r="B1175" s="106"/>
      <c r="C1175" s="106"/>
      <c r="G1175" s="133"/>
    </row>
    <row r="1176" spans="1:14">
      <c r="A1176" s="134">
        <v>255</v>
      </c>
      <c r="B1176" s="106" t="s">
        <v>313</v>
      </c>
      <c r="C1176" s="106"/>
      <c r="G1176" s="133"/>
    </row>
    <row r="1177" spans="1:14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14">
      <c r="A1178" s="134"/>
      <c r="B1178" s="106"/>
      <c r="C1178" s="106" t="s">
        <v>592</v>
      </c>
      <c r="G1178" s="133">
        <f>SUM(E1178:E1178)</f>
        <v>0</v>
      </c>
    </row>
    <row r="1179" spans="1:14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14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14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14">
      <c r="A1182" s="134"/>
      <c r="B1182" s="106"/>
      <c r="C1182" s="106"/>
      <c r="G1182" s="133"/>
    </row>
    <row r="1183" spans="1:14">
      <c r="A1183" s="134">
        <v>2820</v>
      </c>
      <c r="B1183" s="106" t="s">
        <v>477</v>
      </c>
      <c r="C1183" s="106"/>
      <c r="G1183" s="133"/>
      <c r="I1183" s="951" t="s">
        <v>1227</v>
      </c>
      <c r="K1183" s="951" t="s">
        <v>1228</v>
      </c>
      <c r="L1183" s="951" t="s">
        <v>856</v>
      </c>
    </row>
    <row r="1184" spans="1:14" ht="15">
      <c r="A1184" s="134"/>
      <c r="B1184" s="106"/>
      <c r="C1184" s="106" t="s">
        <v>443</v>
      </c>
      <c r="E1184" s="928"/>
      <c r="G1184" s="133">
        <f>SUM(E1184:E1184)</f>
        <v>0</v>
      </c>
      <c r="N1184" s="948"/>
    </row>
    <row r="1185" spans="1:14">
      <c r="A1185" s="134"/>
      <c r="B1185" s="106"/>
      <c r="C1185" s="106" t="s">
        <v>592</v>
      </c>
      <c r="G1185" s="133">
        <f>SUM(E1185:E1185)</f>
        <v>0</v>
      </c>
      <c r="N1185" s="948"/>
    </row>
    <row r="1186" spans="1:14" ht="15">
      <c r="A1186" s="134"/>
      <c r="B1186" s="106"/>
      <c r="C1186" s="106" t="s">
        <v>593</v>
      </c>
      <c r="E1186" s="928"/>
      <c r="G1186" s="133">
        <f>SUM(E1186:E1186)</f>
        <v>0</v>
      </c>
      <c r="I1186" s="962">
        <f>-(11505279+3475420)</f>
        <v>-14980699</v>
      </c>
      <c r="K1186" s="501">
        <v>-3079812.6830380452</v>
      </c>
      <c r="L1186" s="962">
        <f>K1186-I1186</f>
        <v>11900886.316961955</v>
      </c>
      <c r="N1186" s="948"/>
    </row>
    <row r="1187" spans="1:14" ht="15">
      <c r="A1187" s="134"/>
      <c r="B1187" s="106"/>
      <c r="C1187" s="106" t="s">
        <v>595</v>
      </c>
      <c r="E1187" s="928"/>
      <c r="G1187" s="133">
        <f>SUM(E1187:E1187)</f>
        <v>0</v>
      </c>
      <c r="I1187" s="961"/>
      <c r="N1187" s="948"/>
    </row>
    <row r="1188" spans="1:14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  <c r="I1188" s="950">
        <f ca="1">Report!L13</f>
        <v>368380057.14234984</v>
      </c>
      <c r="N1188" s="948"/>
    </row>
    <row r="1189" spans="1:14">
      <c r="A1189" s="134"/>
      <c r="B1189" s="106"/>
      <c r="C1189" s="106"/>
      <c r="G1189" s="133"/>
      <c r="N1189" s="948"/>
    </row>
    <row r="1190" spans="1:14">
      <c r="A1190" s="134">
        <v>2821</v>
      </c>
      <c r="B1190" s="106" t="s">
        <v>478</v>
      </c>
      <c r="C1190" s="106"/>
      <c r="G1190" s="133"/>
      <c r="N1190" s="948"/>
    </row>
    <row r="1191" spans="1:14" ht="15">
      <c r="A1191" s="134"/>
      <c r="B1191" s="106"/>
      <c r="C1191" s="106" t="s">
        <v>443</v>
      </c>
      <c r="E1191" s="928"/>
      <c r="G1191" s="133">
        <f>SUM(E1191:E1191)</f>
        <v>0</v>
      </c>
      <c r="I1191" s="960"/>
      <c r="N1191" s="948"/>
    </row>
    <row r="1192" spans="1:14">
      <c r="A1192" s="134"/>
      <c r="B1192" s="106"/>
      <c r="C1192" s="106" t="s">
        <v>592</v>
      </c>
      <c r="G1192" s="133">
        <f>SUM(E1192:E1192)</f>
        <v>0</v>
      </c>
      <c r="N1192" s="948"/>
    </row>
    <row r="1193" spans="1:14" ht="15">
      <c r="A1193" s="134"/>
      <c r="B1193" s="106"/>
      <c r="C1193" s="106" t="s">
        <v>593</v>
      </c>
      <c r="E1193" s="928"/>
      <c r="G1193" s="133">
        <f>SUM(E1193:E1193)</f>
        <v>0</v>
      </c>
      <c r="N1193" s="948"/>
    </row>
    <row r="1194" spans="1:14" ht="15">
      <c r="A1194" s="134"/>
      <c r="B1194" s="106"/>
      <c r="C1194" s="106" t="s">
        <v>595</v>
      </c>
      <c r="E1194" s="928"/>
      <c r="G1194" s="133">
        <f>SUM(E1194:E1194)</f>
        <v>0</v>
      </c>
      <c r="I1194" s="948"/>
      <c r="L1194" s="948"/>
      <c r="N1194" s="948"/>
    </row>
    <row r="1195" spans="1:14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  <c r="N1195" s="948"/>
    </row>
    <row r="1196" spans="1:14">
      <c r="A1196" s="134"/>
      <c r="B1196" s="106"/>
      <c r="C1196" s="106"/>
      <c r="G1196" s="133"/>
    </row>
    <row r="1197" spans="1:14">
      <c r="A1197" s="388" t="s">
        <v>158</v>
      </c>
      <c r="B1197" s="119" t="s">
        <v>157</v>
      </c>
      <c r="C1197" s="106"/>
      <c r="G1197" s="133"/>
      <c r="N1197" s="948"/>
    </row>
    <row r="1198" spans="1:14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14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  <c r="N1199" s="960"/>
    </row>
    <row r="1200" spans="1:14" ht="13.5" thickBot="1">
      <c r="A1200" s="330"/>
      <c r="B1200" s="106"/>
      <c r="C1200" s="106"/>
      <c r="G1200" s="242"/>
    </row>
    <row r="1201" spans="1:14" ht="13.5" thickTop="1">
      <c r="A1201" s="59" t="s">
        <v>664</v>
      </c>
      <c r="B1201" s="106"/>
      <c r="C1201" s="106"/>
      <c r="G1201" s="133"/>
      <c r="N1201" s="960"/>
    </row>
    <row r="1202" spans="1:14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14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  <c r="N1203" s="960"/>
    </row>
    <row r="1204" spans="1:14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14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14" ht="13.5" thickBot="1">
      <c r="A1206" s="330"/>
      <c r="B1206" s="106"/>
      <c r="C1206" s="106"/>
      <c r="G1206" s="263"/>
    </row>
    <row r="1207" spans="1:14" ht="13.5" thickTop="1">
      <c r="A1207" s="330"/>
      <c r="B1207" s="106"/>
      <c r="C1207" s="106"/>
      <c r="G1207" s="243"/>
    </row>
    <row r="1208" spans="1:14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14">
      <c r="A1209" s="330"/>
      <c r="B1209" s="106"/>
      <c r="C1209" s="106"/>
      <c r="G1209" s="133"/>
    </row>
    <row r="1210" spans="1:14">
      <c r="A1210" s="61" t="s">
        <v>687</v>
      </c>
      <c r="B1210" s="106"/>
      <c r="C1210" s="106"/>
      <c r="G1210" s="243"/>
    </row>
    <row r="1211" spans="1:14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14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14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14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14" ht="13.5" thickBot="1">
      <c r="A1215" s="61"/>
      <c r="B1215" s="106"/>
      <c r="C1215" s="106"/>
      <c r="G1215" s="242"/>
    </row>
    <row r="1216" spans="1:14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49281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282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283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284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P284"/>
  <sheetViews>
    <sheetView topLeftCell="AO1" workbookViewId="0">
      <selection activeCell="AZ11" sqref="AZ11"/>
    </sheetView>
  </sheetViews>
  <sheetFormatPr defaultRowHeight="12.75"/>
  <cols>
    <col min="1" max="1" width="7.42578125" style="15" hidden="1" customWidth="1"/>
    <col min="2" max="2" width="11.28515625" style="15" customWidth="1"/>
    <col min="3" max="3" width="8.85546875" style="15" customWidth="1"/>
    <col min="4" max="4" width="5.7109375" style="15" customWidth="1"/>
    <col min="5" max="5" width="17.42578125" style="15" customWidth="1"/>
    <col min="6" max="7" width="19.28515625" style="15" hidden="1" customWidth="1"/>
    <col min="8" max="31" width="14" style="15" bestFit="1" customWidth="1"/>
    <col min="32" max="32" width="1.42578125" style="15" customWidth="1"/>
    <col min="33" max="33" width="14" style="551" bestFit="1" customWidth="1"/>
    <col min="34" max="34" width="4.7109375" style="15" customWidth="1"/>
    <col min="35" max="35" width="16.140625" style="551" customWidth="1"/>
    <col min="36" max="37" width="17.28515625" style="551" bestFit="1" customWidth="1"/>
    <col min="38" max="38" width="18.5703125" style="551" customWidth="1"/>
    <col min="39" max="39" width="17.85546875" style="551" bestFit="1" customWidth="1"/>
    <col min="40" max="40" width="16.5703125" style="551" bestFit="1" customWidth="1"/>
    <col min="41" max="41" width="11.7109375" style="15" bestFit="1" customWidth="1"/>
    <col min="42" max="42" width="20.7109375" style="551" bestFit="1" customWidth="1"/>
    <col min="43" max="43" width="18" style="269" customWidth="1"/>
    <col min="44" max="44" width="7.140625" style="15" customWidth="1"/>
    <col min="45" max="45" width="0.42578125" style="15" hidden="1" customWidth="1"/>
    <col min="46" max="46" width="22.42578125" style="15" customWidth="1"/>
    <col min="47" max="47" width="13.42578125" style="15" customWidth="1"/>
    <col min="48" max="49" width="5.7109375" style="15" customWidth="1"/>
    <col min="50" max="50" width="30.28515625" style="15" customWidth="1"/>
    <col min="51" max="51" width="13.42578125" style="15" bestFit="1" customWidth="1"/>
    <col min="52" max="52" width="20.42578125" style="15" customWidth="1"/>
    <col min="53" max="53" width="15.140625" style="15" bestFit="1" customWidth="1"/>
    <col min="54" max="54" width="26.5703125" style="15" customWidth="1"/>
    <col min="55" max="55" width="15" style="15" bestFit="1" customWidth="1"/>
    <col min="56" max="56" width="15.5703125" style="15" bestFit="1" customWidth="1"/>
    <col min="57" max="57" width="16" style="15" customWidth="1"/>
    <col min="58" max="58" width="8.42578125" style="15" customWidth="1"/>
    <col min="59" max="59" width="16.5703125" style="15" bestFit="1" customWidth="1"/>
    <col min="60" max="60" width="13.7109375" style="15" customWidth="1"/>
    <col min="61" max="61" width="16.5703125" style="15" customWidth="1"/>
    <col min="62" max="62" width="13.7109375" style="15" customWidth="1"/>
    <col min="63" max="63" width="13.85546875" style="15" customWidth="1"/>
    <col min="64" max="64" width="12" style="15" customWidth="1"/>
    <col min="65" max="75" width="5.7109375" style="15" customWidth="1"/>
    <col min="76" max="85" width="12.7109375" style="15" customWidth="1"/>
    <col min="86" max="107" width="5.7109375" style="15" customWidth="1"/>
    <col min="108" max="16384" width="9.140625" style="15"/>
  </cols>
  <sheetData>
    <row r="1" spans="1:54">
      <c r="B1" s="1059" t="s">
        <v>874</v>
      </c>
      <c r="C1" s="34"/>
      <c r="D1" s="14"/>
      <c r="E1" s="14"/>
      <c r="F1" s="14"/>
      <c r="G1" s="14"/>
      <c r="AR1" s="4"/>
      <c r="AS1" s="4"/>
      <c r="AT1" s="4"/>
      <c r="AV1" s="34"/>
      <c r="AW1" s="14"/>
      <c r="AX1" s="14"/>
      <c r="AY1" s="35"/>
      <c r="AZ1" s="12"/>
      <c r="BA1" s="12"/>
    </row>
    <row r="2" spans="1:54">
      <c r="B2" s="1059" t="str">
        <f>'Control Panel'!$B$1</f>
        <v>Dominion Energy</v>
      </c>
      <c r="C2" s="114"/>
      <c r="D2" s="114"/>
      <c r="E2" s="14"/>
      <c r="F2" s="14"/>
      <c r="G2" s="14"/>
      <c r="AR2" s="4"/>
      <c r="AS2" s="4"/>
      <c r="AT2" s="4"/>
      <c r="AU2" s="578" t="s">
        <v>874</v>
      </c>
      <c r="AV2" s="114"/>
      <c r="AW2" s="114"/>
      <c r="AX2" s="14"/>
      <c r="AY2" s="579" t="s">
        <v>796</v>
      </c>
      <c r="AZ2" s="579" t="s">
        <v>797</v>
      </c>
      <c r="BA2" s="579" t="s">
        <v>550</v>
      </c>
      <c r="BB2" s="574"/>
    </row>
    <row r="3" spans="1:54">
      <c r="B3" s="1059" t="str">
        <f>'Control Panel'!$B$2</f>
        <v>Utah - DEC 2019 Adjusted Avg  Results</v>
      </c>
      <c r="C3" s="114"/>
      <c r="D3" s="114"/>
      <c r="E3" s="77"/>
      <c r="F3" s="77"/>
      <c r="G3" s="77"/>
      <c r="H3" s="1256"/>
      <c r="I3" s="1256"/>
      <c r="J3" s="1256"/>
      <c r="K3" s="1256"/>
      <c r="L3" s="1256"/>
      <c r="M3" s="1256"/>
      <c r="N3" s="1256"/>
      <c r="O3" s="1256"/>
      <c r="P3" s="1256"/>
      <c r="Q3" s="1256"/>
      <c r="R3" s="1256"/>
      <c r="S3" s="1256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100"/>
      <c r="AP3" s="100"/>
      <c r="AQ3" s="258"/>
      <c r="AR3" s="4"/>
      <c r="AS3" s="4"/>
      <c r="AT3" s="4"/>
      <c r="AU3" s="578" t="str">
        <f>'Control Panel'!$B$1</f>
        <v>Dominion Energy</v>
      </c>
      <c r="AV3" s="114"/>
      <c r="AW3" s="114"/>
      <c r="AX3" s="77"/>
      <c r="AY3" s="582"/>
      <c r="AZ3" s="582"/>
      <c r="BA3" s="582"/>
    </row>
    <row r="4" spans="1:54">
      <c r="B4" s="1059" t="str">
        <f>'Control Panel'!$B$3</f>
        <v>12 Months Ended : Dec-2019</v>
      </c>
      <c r="C4" s="114"/>
      <c r="D4" s="114"/>
      <c r="E4" s="77"/>
      <c r="F4" s="77"/>
      <c r="G4" s="77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100"/>
      <c r="AP4" s="100"/>
      <c r="AQ4" s="258"/>
      <c r="AR4" s="4"/>
      <c r="AS4" s="4"/>
      <c r="AT4" s="4"/>
      <c r="AU4" s="578" t="str">
        <f>'Control Panel'!$B$2</f>
        <v>Utah - DEC 2019 Adjusted Avg  Results</v>
      </c>
      <c r="AV4" s="114"/>
      <c r="AW4" s="114"/>
      <c r="AX4" s="77"/>
      <c r="AY4" s="582"/>
      <c r="AZ4" s="582"/>
      <c r="BA4" s="582"/>
    </row>
    <row r="5" spans="1:54">
      <c r="A5" s="8"/>
      <c r="B5" s="114"/>
      <c r="C5" s="114"/>
      <c r="D5" s="114"/>
      <c r="E5" s="114"/>
      <c r="F5" s="114"/>
      <c r="G5" s="114"/>
      <c r="H5" s="1256"/>
      <c r="I5" s="1256"/>
      <c r="J5" s="1256"/>
      <c r="K5" s="1256"/>
      <c r="L5" s="1256"/>
      <c r="M5" s="1256"/>
      <c r="N5" s="1256"/>
      <c r="O5" s="1256"/>
      <c r="P5" s="1256"/>
      <c r="Q5" s="1256"/>
      <c r="R5" s="1256"/>
      <c r="S5" s="1256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582"/>
      <c r="AE5" s="582"/>
      <c r="AF5" s="582"/>
      <c r="AG5" s="972" t="s">
        <v>720</v>
      </c>
      <c r="AI5" s="100"/>
      <c r="AJ5" s="100"/>
      <c r="AK5" s="100"/>
      <c r="AL5" s="100"/>
      <c r="AM5" s="100"/>
      <c r="AN5" s="100"/>
      <c r="AP5" s="100"/>
      <c r="AQ5" s="258"/>
      <c r="AR5" s="4"/>
      <c r="AS5" s="4"/>
      <c r="AT5" s="4"/>
      <c r="AU5" s="578" t="str">
        <f>'Control Panel'!$B$3</f>
        <v>12 Months Ended : Dec-2019</v>
      </c>
      <c r="AV5" s="114"/>
      <c r="AW5" s="114"/>
      <c r="AX5" s="114"/>
      <c r="AY5" s="582"/>
      <c r="BA5" s="582"/>
    </row>
    <row r="6" spans="1:54">
      <c r="A6" s="118"/>
      <c r="B6" s="114"/>
      <c r="C6" s="114"/>
      <c r="D6" s="114"/>
      <c r="E6" s="114"/>
      <c r="F6" s="114"/>
      <c r="G6" s="114"/>
      <c r="H6" s="1256"/>
      <c r="I6" s="1256"/>
      <c r="J6" s="1256"/>
      <c r="K6" s="1256"/>
      <c r="L6" s="1256"/>
      <c r="M6" s="1256"/>
      <c r="N6" s="1256"/>
      <c r="O6" s="1256"/>
      <c r="P6" s="1256"/>
      <c r="Q6" s="1256"/>
      <c r="R6" s="1256"/>
      <c r="S6" s="1256"/>
      <c r="T6" s="582"/>
      <c r="U6" s="582"/>
      <c r="V6" s="582"/>
      <c r="W6" s="582"/>
      <c r="X6" s="582"/>
      <c r="Y6" s="582"/>
      <c r="Z6" s="582"/>
      <c r="AA6" s="582"/>
      <c r="AB6" s="582"/>
      <c r="AC6" s="582"/>
      <c r="AD6" s="582"/>
      <c r="AE6" s="582"/>
      <c r="AF6" s="582"/>
      <c r="AG6" s="972" t="s">
        <v>719</v>
      </c>
      <c r="AP6" s="100"/>
      <c r="AQ6" s="258"/>
      <c r="AR6" s="4"/>
      <c r="AS6" s="4"/>
      <c r="AT6" s="4"/>
      <c r="AU6" s="114"/>
      <c r="AV6" s="114"/>
      <c r="AW6" s="114"/>
      <c r="AX6" s="114"/>
      <c r="AY6" s="582"/>
      <c r="AZ6" s="582" t="s">
        <v>720</v>
      </c>
      <c r="BA6" s="582"/>
    </row>
    <row r="7" spans="1:54">
      <c r="A7" s="118"/>
      <c r="B7" s="36"/>
      <c r="C7" s="14"/>
      <c r="D7" s="14"/>
      <c r="E7" s="14"/>
      <c r="F7" s="14"/>
      <c r="G7" s="14"/>
      <c r="H7" s="1256"/>
      <c r="I7" s="1256"/>
      <c r="J7" s="1256"/>
      <c r="K7" s="1256"/>
      <c r="L7" s="1256"/>
      <c r="M7" s="1256"/>
      <c r="N7" s="1256"/>
      <c r="O7" s="1256"/>
      <c r="P7" s="1256"/>
      <c r="Q7" s="1256"/>
      <c r="R7" s="1256"/>
      <c r="S7" s="1256"/>
      <c r="T7" s="582"/>
      <c r="U7" s="582"/>
      <c r="V7" s="582"/>
      <c r="W7" s="582"/>
      <c r="X7" s="582"/>
      <c r="Y7" s="582"/>
      <c r="Z7" s="582"/>
      <c r="AA7" s="582"/>
      <c r="AB7" s="582"/>
      <c r="AC7" s="582"/>
      <c r="AD7" s="582"/>
      <c r="AE7" s="582"/>
      <c r="AF7" s="582"/>
      <c r="AG7" s="972" t="s">
        <v>832</v>
      </c>
      <c r="AI7" s="100"/>
      <c r="AJ7" s="100"/>
      <c r="AK7" s="100"/>
      <c r="AL7" s="100"/>
      <c r="AM7" s="100"/>
      <c r="AN7" s="100"/>
      <c r="AQ7" s="258" t="s">
        <v>768</v>
      </c>
      <c r="AR7" s="4"/>
      <c r="AS7" s="4"/>
      <c r="AT7" s="4"/>
      <c r="AU7" s="36"/>
      <c r="AV7" s="14"/>
      <c r="AW7" s="14"/>
      <c r="AX7" s="14"/>
      <c r="AY7" s="194"/>
      <c r="AZ7" s="582" t="s">
        <v>719</v>
      </c>
      <c r="BA7" s="582" t="s">
        <v>720</v>
      </c>
    </row>
    <row r="8" spans="1:54" ht="13.5" customHeight="1" thickBot="1">
      <c r="A8" s="118"/>
      <c r="B8" s="36"/>
      <c r="C8" s="14"/>
      <c r="D8" s="14"/>
      <c r="E8" s="14"/>
      <c r="F8" s="14"/>
      <c r="G8" s="14"/>
      <c r="H8" s="1256"/>
      <c r="I8" s="1256"/>
      <c r="J8" s="1256"/>
      <c r="K8" s="1256"/>
      <c r="L8" s="1256"/>
      <c r="M8" s="1256"/>
      <c r="N8" s="1256"/>
      <c r="O8" s="1256"/>
      <c r="P8" s="1256"/>
      <c r="Q8" s="1256"/>
      <c r="R8" s="1256"/>
      <c r="S8" s="1256"/>
      <c r="T8" s="582"/>
      <c r="U8" s="582"/>
      <c r="V8" s="582"/>
      <c r="W8" s="582"/>
      <c r="X8" s="582"/>
      <c r="Y8" s="582"/>
      <c r="Z8" s="582"/>
      <c r="AA8" s="582"/>
      <c r="AB8" s="582"/>
      <c r="AC8" s="582"/>
      <c r="AD8" s="582"/>
      <c r="AE8" s="582"/>
      <c r="AF8" s="582"/>
      <c r="AG8" s="6">
        <f>+AE9</f>
        <v>43085</v>
      </c>
      <c r="AI8" s="1044" t="s">
        <v>1277</v>
      </c>
      <c r="AJ8" s="1044" t="s">
        <v>1276</v>
      </c>
      <c r="AK8" s="1044" t="s">
        <v>1375</v>
      </c>
      <c r="AL8" s="1044" t="s">
        <v>1376</v>
      </c>
      <c r="AM8" s="1044" t="s">
        <v>1397</v>
      </c>
      <c r="AN8" s="1044" t="s">
        <v>1398</v>
      </c>
      <c r="AP8" s="201" t="str">
        <f>+'Control Panel'!B27</f>
        <v>AVG RB DEC 2019</v>
      </c>
      <c r="AQ8" s="258"/>
      <c r="AR8" s="225">
        <v>1</v>
      </c>
      <c r="AS8" s="225">
        <v>1</v>
      </c>
      <c r="AT8" s="194"/>
      <c r="AU8" s="36"/>
      <c r="AV8" s="14"/>
      <c r="AW8" s="14"/>
      <c r="AX8" s="14"/>
      <c r="AY8" s="139" t="s">
        <v>339</v>
      </c>
      <c r="AZ8" s="582" t="s">
        <v>832</v>
      </c>
      <c r="BA8" s="139" t="s">
        <v>719</v>
      </c>
    </row>
    <row r="9" spans="1:54" ht="14.25" customHeight="1" thickBot="1">
      <c r="A9" s="118"/>
      <c r="B9" s="47" t="s">
        <v>841</v>
      </c>
      <c r="C9" s="48"/>
      <c r="D9" s="1552" t="s">
        <v>842</v>
      </c>
      <c r="E9" s="1552"/>
      <c r="F9" s="1058"/>
      <c r="G9" s="1058"/>
      <c r="H9" s="6">
        <v>42390</v>
      </c>
      <c r="I9" s="6">
        <v>42420</v>
      </c>
      <c r="J9" s="6">
        <v>42450</v>
      </c>
      <c r="K9" s="6">
        <v>42480</v>
      </c>
      <c r="L9" s="6">
        <v>42510</v>
      </c>
      <c r="M9" s="6">
        <v>42540</v>
      </c>
      <c r="N9" s="6">
        <v>42570</v>
      </c>
      <c r="O9" s="6">
        <v>42600</v>
      </c>
      <c r="P9" s="6">
        <v>42630</v>
      </c>
      <c r="Q9" s="6">
        <v>42660</v>
      </c>
      <c r="R9" s="6">
        <v>42690</v>
      </c>
      <c r="S9" s="6">
        <v>42720</v>
      </c>
      <c r="T9" s="6">
        <v>42756</v>
      </c>
      <c r="U9" s="6">
        <v>42786</v>
      </c>
      <c r="V9" s="6">
        <v>42815</v>
      </c>
      <c r="W9" s="6">
        <v>42845</v>
      </c>
      <c r="X9" s="6">
        <v>42875</v>
      </c>
      <c r="Y9" s="6">
        <v>42905</v>
      </c>
      <c r="Z9" s="6">
        <v>42935</v>
      </c>
      <c r="AA9" s="6">
        <v>42965</v>
      </c>
      <c r="AB9" s="6">
        <v>42995</v>
      </c>
      <c r="AC9" s="6">
        <v>43025</v>
      </c>
      <c r="AD9" s="6">
        <v>43055</v>
      </c>
      <c r="AE9" s="6">
        <v>43085</v>
      </c>
      <c r="AF9" s="6"/>
      <c r="AG9" s="1045"/>
      <c r="AI9" s="1045"/>
      <c r="AJ9" s="1045"/>
      <c r="AK9" s="1045"/>
      <c r="AL9" s="1045"/>
      <c r="AM9" s="1045"/>
      <c r="AN9" s="1045"/>
      <c r="AP9" s="1045"/>
      <c r="AQ9" s="605" t="s">
        <v>42</v>
      </c>
      <c r="AR9" s="225">
        <f>+AR8+1</f>
        <v>2</v>
      </c>
      <c r="AS9" s="225">
        <f>+AS8+1</f>
        <v>2</v>
      </c>
      <c r="AT9" s="194"/>
      <c r="AU9" s="47" t="s">
        <v>841</v>
      </c>
      <c r="AV9" s="48"/>
      <c r="AW9" s="1552" t="s">
        <v>842</v>
      </c>
      <c r="AX9" s="1552"/>
      <c r="AY9" s="96">
        <f>AE9</f>
        <v>43085</v>
      </c>
      <c r="AZ9" s="96" t="str">
        <f>+'Control Panel'!B27</f>
        <v>AVG RB DEC 2019</v>
      </c>
      <c r="BA9" s="96" t="s">
        <v>42</v>
      </c>
    </row>
    <row r="10" spans="1:54">
      <c r="A10" s="250">
        <v>939</v>
      </c>
      <c r="B10" s="1550" t="s">
        <v>1157</v>
      </c>
      <c r="C10" s="1550"/>
      <c r="D10" s="1550"/>
      <c r="E10" s="1550"/>
      <c r="F10" s="1057"/>
      <c r="G10" s="1057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797"/>
      <c r="AI10" s="797"/>
      <c r="AJ10" s="797"/>
      <c r="AK10" s="797"/>
      <c r="AL10" s="797"/>
      <c r="AM10" s="797"/>
      <c r="AN10" s="797"/>
      <c r="AP10" s="797"/>
      <c r="AQ10" s="271"/>
      <c r="AR10" s="225">
        <v>3</v>
      </c>
      <c r="AS10" s="225">
        <v>3</v>
      </c>
      <c r="AT10" s="194"/>
      <c r="AU10" s="1550" t="s">
        <v>297</v>
      </c>
      <c r="AV10" s="1550"/>
      <c r="AW10" s="1550"/>
      <c r="AX10" s="1550"/>
      <c r="AY10" s="194"/>
      <c r="AZ10" s="194"/>
      <c r="BA10" s="194"/>
    </row>
    <row r="11" spans="1:54">
      <c r="A11" s="250">
        <f t="shared" ref="A11:A50" si="0">+A10+1</f>
        <v>940</v>
      </c>
      <c r="B11" s="36" t="s">
        <v>1158</v>
      </c>
      <c r="C11" s="102"/>
      <c r="D11" s="102"/>
      <c r="E11" s="102"/>
      <c r="F11" s="102"/>
      <c r="G11" s="102"/>
      <c r="H11" s="1312"/>
      <c r="I11" s="1312"/>
      <c r="J11" s="1312"/>
      <c r="K11" s="1312"/>
      <c r="L11" s="1312"/>
      <c r="M11" s="1312"/>
      <c r="N11" s="1312"/>
      <c r="O11" s="1312"/>
      <c r="P11" s="1312"/>
      <c r="Q11" s="1312"/>
      <c r="R11" s="1312"/>
      <c r="S11" s="1312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260"/>
      <c r="AI11" s="260"/>
      <c r="AJ11" s="260"/>
      <c r="AK11" s="260"/>
      <c r="AL11" s="260"/>
      <c r="AM11" s="260"/>
      <c r="AN11" s="260"/>
      <c r="AP11" s="260"/>
      <c r="AQ11" s="259"/>
      <c r="AR11" s="225">
        <f t="shared" ref="AR11:AS46" si="1">+AR10+1</f>
        <v>4</v>
      </c>
      <c r="AS11" s="225">
        <f t="shared" si="1"/>
        <v>4</v>
      </c>
      <c r="AT11" s="194"/>
      <c r="AU11" s="36" t="s">
        <v>302</v>
      </c>
      <c r="AV11" s="102"/>
      <c r="AW11" s="102"/>
      <c r="AX11" s="102"/>
      <c r="AY11" s="579"/>
      <c r="AZ11" s="579"/>
      <c r="BA11" s="579"/>
    </row>
    <row r="12" spans="1:54">
      <c r="A12" s="250">
        <f>+A11+1</f>
        <v>941</v>
      </c>
      <c r="B12" s="102" t="s">
        <v>867</v>
      </c>
      <c r="C12" s="102"/>
      <c r="D12" s="102"/>
      <c r="E12" s="102"/>
      <c r="F12" s="102"/>
      <c r="G12" s="10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33"/>
      <c r="AI12" s="133"/>
      <c r="AJ12" s="133"/>
      <c r="AK12" s="133"/>
      <c r="AL12" s="133"/>
      <c r="AM12" s="133"/>
      <c r="AN12" s="133"/>
      <c r="AP12" s="133"/>
      <c r="AQ12" s="606"/>
      <c r="AR12" s="225">
        <f t="shared" si="1"/>
        <v>5</v>
      </c>
      <c r="AS12" s="225">
        <f t="shared" si="1"/>
        <v>5</v>
      </c>
      <c r="AT12" s="194"/>
      <c r="AU12" s="102" t="s">
        <v>867</v>
      </c>
      <c r="AV12" s="102"/>
      <c r="AW12" s="102"/>
      <c r="AX12" s="102"/>
      <c r="AY12" s="579"/>
      <c r="AZ12" s="579"/>
      <c r="BA12" s="579"/>
    </row>
    <row r="13" spans="1:54">
      <c r="A13" s="250">
        <f t="shared" si="0"/>
        <v>942</v>
      </c>
      <c r="B13" s="253"/>
      <c r="C13" s="102" t="s">
        <v>217</v>
      </c>
      <c r="D13" s="102"/>
      <c r="E13" s="102"/>
      <c r="F13" s="102"/>
      <c r="G13" s="102"/>
      <c r="H13" s="1312"/>
      <c r="I13" s="1312"/>
      <c r="J13" s="1312"/>
      <c r="K13" s="1312"/>
      <c r="L13" s="1312"/>
      <c r="M13" s="1312"/>
      <c r="N13" s="1312"/>
      <c r="O13" s="1312"/>
      <c r="P13" s="1312"/>
      <c r="Q13" s="1312"/>
      <c r="R13" s="1312"/>
      <c r="S13" s="1312"/>
      <c r="T13" s="579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79"/>
      <c r="AF13" s="579"/>
      <c r="AG13" s="260"/>
      <c r="AI13" s="260"/>
      <c r="AJ13" s="260"/>
      <c r="AK13" s="260"/>
      <c r="AL13" s="260"/>
      <c r="AM13" s="260"/>
      <c r="AN13" s="260"/>
      <c r="AP13" s="260"/>
      <c r="AQ13" s="259"/>
      <c r="AR13" s="225">
        <f t="shared" si="1"/>
        <v>6</v>
      </c>
      <c r="AS13" s="225">
        <f t="shared" si="1"/>
        <v>6</v>
      </c>
      <c r="AT13" s="194"/>
      <c r="AU13" s="253"/>
      <c r="AV13" s="102" t="s">
        <v>217</v>
      </c>
      <c r="AW13" s="102"/>
      <c r="AX13" s="102"/>
      <c r="AY13" s="579"/>
      <c r="AZ13" s="579"/>
      <c r="BA13" s="579"/>
    </row>
    <row r="14" spans="1:54">
      <c r="A14" s="250">
        <f t="shared" si="0"/>
        <v>943</v>
      </c>
      <c r="B14" s="102" t="s">
        <v>218</v>
      </c>
      <c r="C14" s="102" t="s">
        <v>219</v>
      </c>
      <c r="D14" s="102"/>
      <c r="E14" s="102"/>
      <c r="F14" s="102"/>
      <c r="G14" s="102"/>
      <c r="H14" s="1312"/>
      <c r="I14" s="1312"/>
      <c r="J14" s="1312"/>
      <c r="K14" s="1312"/>
      <c r="L14" s="1312"/>
      <c r="M14" s="1312"/>
      <c r="N14" s="1312"/>
      <c r="O14" s="1312"/>
      <c r="P14" s="1312"/>
      <c r="Q14" s="1312"/>
      <c r="R14" s="1312"/>
      <c r="S14" s="1312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9"/>
      <c r="AG14" s="260"/>
      <c r="AI14" s="260"/>
      <c r="AJ14" s="260"/>
      <c r="AK14" s="260"/>
      <c r="AL14" s="260"/>
      <c r="AM14" s="260"/>
      <c r="AN14" s="260"/>
      <c r="AP14" s="260"/>
      <c r="AQ14" s="259"/>
      <c r="AR14" s="225">
        <f t="shared" si="1"/>
        <v>7</v>
      </c>
      <c r="AS14" s="225">
        <f t="shared" si="1"/>
        <v>7</v>
      </c>
      <c r="AT14" s="194"/>
      <c r="AU14" s="102" t="s">
        <v>218</v>
      </c>
      <c r="AV14" s="102" t="s">
        <v>219</v>
      </c>
      <c r="AW14" s="102"/>
      <c r="AX14" s="102"/>
      <c r="AY14" s="579"/>
      <c r="AZ14" s="579"/>
      <c r="BA14" s="579"/>
    </row>
    <row r="15" spans="1:54">
      <c r="A15" s="250">
        <f t="shared" si="0"/>
        <v>944</v>
      </c>
      <c r="B15" s="102"/>
      <c r="C15" s="102" t="s">
        <v>592</v>
      </c>
      <c r="D15" s="102"/>
      <c r="E15" s="102"/>
      <c r="F15" s="102"/>
      <c r="G15" s="102"/>
      <c r="H15" s="116">
        <v>10883.08</v>
      </c>
      <c r="I15" s="116">
        <v>10883.08</v>
      </c>
      <c r="J15" s="116">
        <v>10883.08</v>
      </c>
      <c r="K15" s="116">
        <v>10883.08</v>
      </c>
      <c r="L15" s="116">
        <v>10883.08</v>
      </c>
      <c r="M15" s="116">
        <v>10883.08</v>
      </c>
      <c r="N15" s="116">
        <v>10883.08</v>
      </c>
      <c r="O15" s="116">
        <v>10883.08</v>
      </c>
      <c r="P15" s="116">
        <v>10883.08</v>
      </c>
      <c r="Q15" s="116">
        <v>10883.08</v>
      </c>
      <c r="R15" s="116">
        <v>10883.08</v>
      </c>
      <c r="S15" s="116">
        <v>10883.08</v>
      </c>
      <c r="T15" s="116">
        <v>10883.08</v>
      </c>
      <c r="U15" s="116">
        <v>10883.08</v>
      </c>
      <c r="V15" s="116">
        <v>10883.08</v>
      </c>
      <c r="W15" s="116">
        <v>10883.08</v>
      </c>
      <c r="X15" s="116">
        <v>10883.08</v>
      </c>
      <c r="Y15" s="116">
        <v>10883.08</v>
      </c>
      <c r="Z15" s="116">
        <v>10883.08</v>
      </c>
      <c r="AA15" s="116">
        <v>10883.08</v>
      </c>
      <c r="AB15" s="116">
        <v>10883.08</v>
      </c>
      <c r="AC15" s="116">
        <v>10883.08</v>
      </c>
      <c r="AD15" s="116">
        <v>10883.08</v>
      </c>
      <c r="AE15" s="116">
        <v>10883.08</v>
      </c>
      <c r="AF15" s="116"/>
      <c r="AG15" s="133">
        <f>(SUM(T15:AD15)+(0.5*AE15)+(0.5*S15))/12</f>
        <v>10883.08</v>
      </c>
      <c r="AI15" s="133">
        <f>AE15</f>
        <v>10883.08</v>
      </c>
      <c r="AJ15" s="133">
        <f>AG15</f>
        <v>10883.08</v>
      </c>
      <c r="AK15" s="133">
        <f>+'RB FORECAST'!AJ17</f>
        <v>10883.08</v>
      </c>
      <c r="AL15" s="133">
        <f>+'RB FORECAST'!AG17</f>
        <v>10883.08</v>
      </c>
      <c r="AM15" s="133">
        <f>+'RB FORECAST'!BA17</f>
        <v>10883.08</v>
      </c>
      <c r="AN15" s="133">
        <f>+'RB FORECAST'!AW17</f>
        <v>10883.08</v>
      </c>
      <c r="AP15" s="133">
        <f>HLOOKUP($AP$8,RateBaseScenarios,AR15,FALSE)</f>
        <v>10883.08</v>
      </c>
      <c r="AQ15" s="606">
        <f>AP15-AE15</f>
        <v>0</v>
      </c>
      <c r="AR15" s="225">
        <f t="shared" si="1"/>
        <v>8</v>
      </c>
      <c r="AS15" s="225">
        <v>3</v>
      </c>
      <c r="AT15" s="186"/>
      <c r="AU15" s="102"/>
      <c r="AV15" s="102" t="s">
        <v>592</v>
      </c>
      <c r="AW15" s="102"/>
      <c r="AX15" s="102"/>
      <c r="AY15" s="116">
        <f>+AE15</f>
        <v>10883.08</v>
      </c>
      <c r="AZ15" s="95">
        <f>AP15</f>
        <v>10883.08</v>
      </c>
      <c r="BA15" s="95">
        <f>AZ15-AY15</f>
        <v>0</v>
      </c>
    </row>
    <row r="16" spans="1:54">
      <c r="A16" s="250">
        <f t="shared" si="0"/>
        <v>945</v>
      </c>
      <c r="B16" s="102"/>
      <c r="C16" s="102" t="s">
        <v>593</v>
      </c>
      <c r="D16" s="102"/>
      <c r="E16" s="102"/>
      <c r="F16" s="102"/>
      <c r="G16" s="102"/>
      <c r="H16" s="116">
        <v>58742.880000000005</v>
      </c>
      <c r="I16" s="116">
        <v>58742.880000000005</v>
      </c>
      <c r="J16" s="116">
        <v>58742.880000000005</v>
      </c>
      <c r="K16" s="116">
        <v>58742.880000000005</v>
      </c>
      <c r="L16" s="116">
        <v>58742.880000000005</v>
      </c>
      <c r="M16" s="116">
        <v>58742.880000000005</v>
      </c>
      <c r="N16" s="116">
        <v>58742.880000000005</v>
      </c>
      <c r="O16" s="116">
        <v>58742.880000000005</v>
      </c>
      <c r="P16" s="116">
        <v>58742.880000000005</v>
      </c>
      <c r="Q16" s="116">
        <v>58742.880000000005</v>
      </c>
      <c r="R16" s="116">
        <v>58742.880000000005</v>
      </c>
      <c r="S16" s="116">
        <v>58742.880000000005</v>
      </c>
      <c r="T16" s="116">
        <v>58742.880000000005</v>
      </c>
      <c r="U16" s="116">
        <v>58742.880000000005</v>
      </c>
      <c r="V16" s="116">
        <v>58742.880000000005</v>
      </c>
      <c r="W16" s="116">
        <v>58742.880000000005</v>
      </c>
      <c r="X16" s="116">
        <v>58742.880000000005</v>
      </c>
      <c r="Y16" s="116">
        <v>58742.880000000005</v>
      </c>
      <c r="Z16" s="116">
        <v>58742.880000000005</v>
      </c>
      <c r="AA16" s="116">
        <v>58742.880000000005</v>
      </c>
      <c r="AB16" s="116">
        <v>58742.880000000005</v>
      </c>
      <c r="AC16" s="116">
        <v>58742.880000000005</v>
      </c>
      <c r="AD16" s="116">
        <v>58742.880000000005</v>
      </c>
      <c r="AE16" s="116">
        <v>58742.880000000005</v>
      </c>
      <c r="AF16" s="116"/>
      <c r="AG16" s="133">
        <f>(SUM(T16:AD16)+(0.5*AE16)+(0.5*S16))/12</f>
        <v>58742.880000000005</v>
      </c>
      <c r="AI16" s="133">
        <f>AE16</f>
        <v>58742.880000000005</v>
      </c>
      <c r="AJ16" s="133">
        <f>AG16</f>
        <v>58742.880000000005</v>
      </c>
      <c r="AK16" s="133">
        <f>+'RB FORECAST'!AJ18</f>
        <v>58742.879999999983</v>
      </c>
      <c r="AL16" s="133">
        <f>+'RB FORECAST'!AG18</f>
        <v>58742.879999999997</v>
      </c>
      <c r="AM16" s="133">
        <f>+'RB FORECAST'!BA18</f>
        <v>58742.879999999983</v>
      </c>
      <c r="AN16" s="133">
        <f>+'RB FORECAST'!AW18</f>
        <v>58742.879999999997</v>
      </c>
      <c r="AP16" s="133">
        <f>HLOOKUP($AP$8,RateBaseScenarios,AR16,FALSE)</f>
        <v>58742.879999999983</v>
      </c>
      <c r="AQ16" s="606">
        <f>AP16-AE16</f>
        <v>0</v>
      </c>
      <c r="AR16" s="225">
        <f t="shared" si="1"/>
        <v>9</v>
      </c>
      <c r="AS16" s="225">
        <f t="shared" si="1"/>
        <v>4</v>
      </c>
      <c r="AT16" s="186"/>
      <c r="AU16" s="102"/>
      <c r="AV16" s="102" t="s">
        <v>593</v>
      </c>
      <c r="AW16" s="102"/>
      <c r="AX16" s="102"/>
      <c r="AY16" s="116">
        <f>+AE16</f>
        <v>58742.880000000005</v>
      </c>
      <c r="AZ16" s="95">
        <f>AP16</f>
        <v>58742.879999999983</v>
      </c>
      <c r="BA16" s="95">
        <f>AZ16-AY16</f>
        <v>0</v>
      </c>
    </row>
    <row r="17" spans="1:53">
      <c r="A17" s="250">
        <f t="shared" si="0"/>
        <v>946</v>
      </c>
      <c r="B17" s="14"/>
      <c r="C17" s="102"/>
      <c r="D17" s="102"/>
      <c r="E17" s="102"/>
      <c r="F17" s="102"/>
      <c r="G17" s="102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174"/>
      <c r="AI17" s="174"/>
      <c r="AJ17" s="174"/>
      <c r="AK17" s="174"/>
      <c r="AL17" s="174"/>
      <c r="AM17" s="174"/>
      <c r="AN17" s="174"/>
      <c r="AP17" s="174"/>
      <c r="AQ17" s="607"/>
      <c r="AR17" s="225">
        <f t="shared" si="1"/>
        <v>10</v>
      </c>
      <c r="AS17" s="225">
        <f t="shared" si="1"/>
        <v>5</v>
      </c>
      <c r="AT17" s="186"/>
      <c r="AU17" s="14"/>
      <c r="AV17" s="102"/>
      <c r="AW17" s="102"/>
      <c r="AX17" s="102"/>
      <c r="AY17" s="579"/>
    </row>
    <row r="18" spans="1:53">
      <c r="A18" s="250">
        <f t="shared" si="0"/>
        <v>947</v>
      </c>
      <c r="B18" s="102"/>
      <c r="C18" s="102" t="s">
        <v>220</v>
      </c>
      <c r="D18" s="102"/>
      <c r="E18" s="102"/>
      <c r="F18" s="102"/>
      <c r="G18" s="102"/>
      <c r="H18" s="116">
        <v>69625.960000000006</v>
      </c>
      <c r="I18" s="116">
        <v>69625.960000000006</v>
      </c>
      <c r="J18" s="116">
        <v>69625.960000000006</v>
      </c>
      <c r="K18" s="116">
        <v>69625.960000000006</v>
      </c>
      <c r="L18" s="116">
        <v>69625.960000000006</v>
      </c>
      <c r="M18" s="116">
        <v>69625.960000000006</v>
      </c>
      <c r="N18" s="116">
        <v>69625.960000000006</v>
      </c>
      <c r="O18" s="116">
        <v>69625.960000000006</v>
      </c>
      <c r="P18" s="116">
        <v>69625.960000000006</v>
      </c>
      <c r="Q18" s="116">
        <v>69625.960000000006</v>
      </c>
      <c r="R18" s="116">
        <v>69625.960000000006</v>
      </c>
      <c r="S18" s="116">
        <v>69625.960000000006</v>
      </c>
      <c r="T18" s="116">
        <v>69625.960000000006</v>
      </c>
      <c r="U18" s="116">
        <v>69625.960000000006</v>
      </c>
      <c r="V18" s="116">
        <v>69625.960000000006</v>
      </c>
      <c r="W18" s="116">
        <v>69625.960000000006</v>
      </c>
      <c r="X18" s="116">
        <v>69625.960000000006</v>
      </c>
      <c r="Y18" s="116">
        <v>69625.960000000006</v>
      </c>
      <c r="Z18" s="116">
        <v>69625.960000000006</v>
      </c>
      <c r="AA18" s="116">
        <v>69625.960000000006</v>
      </c>
      <c r="AB18" s="116">
        <v>69625.960000000006</v>
      </c>
      <c r="AC18" s="116">
        <v>69625.960000000006</v>
      </c>
      <c r="AD18" s="116">
        <v>69625.960000000006</v>
      </c>
      <c r="AE18" s="116">
        <v>69625.960000000006</v>
      </c>
      <c r="AF18" s="116"/>
      <c r="AG18" s="133">
        <f>SUM(AG15:AG16)</f>
        <v>69625.960000000006</v>
      </c>
      <c r="AI18" s="133">
        <f>AE18</f>
        <v>69625.960000000006</v>
      </c>
      <c r="AJ18" s="133">
        <f>AG18</f>
        <v>69625.960000000006</v>
      </c>
      <c r="AK18" s="133">
        <f>SUM(AK15:AK17)</f>
        <v>69625.959999999977</v>
      </c>
      <c r="AL18" s="133">
        <f>SUM(AL15:AL17)</f>
        <v>69625.959999999992</v>
      </c>
      <c r="AM18" s="133">
        <f t="shared" ref="AM18:AN18" si="2">SUM(AM15:AM17)</f>
        <v>69625.959999999977</v>
      </c>
      <c r="AN18" s="133">
        <f t="shared" si="2"/>
        <v>69625.959999999992</v>
      </c>
      <c r="AP18" s="133">
        <f t="shared" ref="AP18:AP76" si="3">HLOOKUP($AP$8,RateBaseScenarios,AR18,FALSE)</f>
        <v>69625.959999999977</v>
      </c>
      <c r="AQ18" s="606">
        <f>SUM(AQ15:AQ17)</f>
        <v>0</v>
      </c>
      <c r="AR18" s="225">
        <f t="shared" si="1"/>
        <v>11</v>
      </c>
      <c r="AS18" s="225">
        <f t="shared" si="1"/>
        <v>6</v>
      </c>
      <c r="AT18" s="186"/>
      <c r="AU18" s="102"/>
      <c r="AV18" s="102" t="s">
        <v>220</v>
      </c>
      <c r="AW18" s="102"/>
      <c r="AX18" s="102"/>
      <c r="AY18" s="116">
        <f>AI18</f>
        <v>69625.960000000006</v>
      </c>
      <c r="AZ18" s="116">
        <f>AJ18</f>
        <v>69625.960000000006</v>
      </c>
      <c r="BA18" s="95">
        <f>AZ18-AY18</f>
        <v>0</v>
      </c>
    </row>
    <row r="19" spans="1:53">
      <c r="A19" s="250">
        <f t="shared" si="0"/>
        <v>948</v>
      </c>
      <c r="B19" s="102"/>
      <c r="C19" s="102"/>
      <c r="D19" s="102"/>
      <c r="E19" s="102"/>
      <c r="F19" s="102"/>
      <c r="G19" s="102"/>
      <c r="AR19" s="225">
        <f t="shared" si="1"/>
        <v>12</v>
      </c>
      <c r="AS19" s="225">
        <f t="shared" si="1"/>
        <v>7</v>
      </c>
      <c r="AT19" s="186"/>
      <c r="AU19" s="102"/>
      <c r="AV19" s="102"/>
      <c r="AW19" s="102"/>
      <c r="AX19" s="102"/>
      <c r="AY19" s="579"/>
    </row>
    <row r="20" spans="1:53">
      <c r="A20" s="250">
        <f t="shared" si="0"/>
        <v>949</v>
      </c>
      <c r="B20" s="253"/>
      <c r="C20" s="102" t="s">
        <v>221</v>
      </c>
      <c r="D20" s="102"/>
      <c r="E20" s="102"/>
      <c r="F20" s="102"/>
      <c r="G20" s="102"/>
      <c r="AR20" s="225">
        <f t="shared" si="1"/>
        <v>13</v>
      </c>
      <c r="AS20" s="225">
        <f t="shared" si="1"/>
        <v>8</v>
      </c>
      <c r="AT20" s="186"/>
      <c r="AU20" s="253"/>
      <c r="AV20" s="102" t="s">
        <v>221</v>
      </c>
      <c r="AW20" s="102"/>
      <c r="AX20" s="102"/>
      <c r="AY20" s="579"/>
    </row>
    <row r="21" spans="1:53">
      <c r="A21" s="250">
        <f t="shared" si="0"/>
        <v>950</v>
      </c>
      <c r="B21" s="253" t="s">
        <v>222</v>
      </c>
      <c r="C21" s="102" t="s">
        <v>223</v>
      </c>
      <c r="D21" s="102"/>
      <c r="E21" s="102"/>
      <c r="F21" s="102"/>
      <c r="G21" s="102"/>
      <c r="H21" s="116">
        <v>6266900.6900000004</v>
      </c>
      <c r="I21" s="116">
        <v>6266900.6900000004</v>
      </c>
      <c r="J21" s="116">
        <v>6266900.6900000004</v>
      </c>
      <c r="K21" s="116">
        <v>6266900.6900000004</v>
      </c>
      <c r="L21" s="116">
        <v>6266900.6900000004</v>
      </c>
      <c r="M21" s="116">
        <v>6266900.6900000004</v>
      </c>
      <c r="N21" s="116">
        <v>6266900.6900000004</v>
      </c>
      <c r="O21" s="116">
        <v>6266900.6900000004</v>
      </c>
      <c r="P21" s="116">
        <v>6266900.6900000004</v>
      </c>
      <c r="Q21" s="116">
        <v>6266900.6900000004</v>
      </c>
      <c r="R21" s="116">
        <v>6266900.6900000004</v>
      </c>
      <c r="S21" s="116">
        <v>6266900.6900000004</v>
      </c>
      <c r="T21" s="116">
        <v>6266900.6900000004</v>
      </c>
      <c r="U21" s="116">
        <v>6266900.6900000004</v>
      </c>
      <c r="V21" s="116">
        <v>6266900.6900000004</v>
      </c>
      <c r="W21" s="116">
        <v>6266900.6900000004</v>
      </c>
      <c r="X21" s="116">
        <v>6266900.6900000004</v>
      </c>
      <c r="Y21" s="116">
        <v>6266900.6900000004</v>
      </c>
      <c r="Z21" s="116">
        <v>6266900.6900000004</v>
      </c>
      <c r="AA21" s="116">
        <v>6266900.6900000004</v>
      </c>
      <c r="AB21" s="116">
        <v>6266900.6900000004</v>
      </c>
      <c r="AC21" s="116">
        <v>6266900.6900000004</v>
      </c>
      <c r="AD21" s="116">
        <v>6266900.6900000004</v>
      </c>
      <c r="AE21" s="116">
        <v>6266900.6900000004</v>
      </c>
      <c r="AF21" s="116"/>
      <c r="AG21" s="133">
        <f>(SUM(T21:AD21)+(0.5*AE21)+(0.5*S21))/12</f>
        <v>6266900.6899999985</v>
      </c>
      <c r="AI21" s="133">
        <f t="shared" ref="AI21:AI27" si="4">AE21</f>
        <v>6266900.6900000004</v>
      </c>
      <c r="AJ21" s="133">
        <f t="shared" ref="AJ21:AJ27" si="5">AG21</f>
        <v>6266900.6899999985</v>
      </c>
      <c r="AK21" s="133">
        <f>+'RB FORECAST'!AJ23</f>
        <v>6266900.6899999985</v>
      </c>
      <c r="AL21" s="133">
        <f>+'RB FORECAST'!AG23</f>
        <v>6266900.6899999995</v>
      </c>
      <c r="AM21" s="133">
        <f>+'RB FORECAST'!BA23</f>
        <v>6266900.6899999985</v>
      </c>
      <c r="AN21" s="133">
        <f>+'RB FORECAST'!AW23</f>
        <v>6266900.6899999995</v>
      </c>
      <c r="AP21" s="133">
        <f t="shared" si="3"/>
        <v>6266900.6899999985</v>
      </c>
      <c r="AQ21" s="606">
        <f t="shared" ref="AQ21:AQ27" si="6">AP21-AE21</f>
        <v>0</v>
      </c>
      <c r="AR21" s="225">
        <f t="shared" si="1"/>
        <v>14</v>
      </c>
      <c r="AS21" s="225">
        <f t="shared" si="1"/>
        <v>9</v>
      </c>
      <c r="AT21" s="186"/>
      <c r="AU21" s="253" t="s">
        <v>222</v>
      </c>
      <c r="AV21" s="102" t="s">
        <v>223</v>
      </c>
      <c r="AW21" s="102"/>
      <c r="AX21" s="102"/>
      <c r="AY21" s="116">
        <f t="shared" ref="AY21:AY27" si="7">+AE21</f>
        <v>6266900.6900000004</v>
      </c>
      <c r="AZ21" s="95">
        <f t="shared" ref="AZ21:AZ27" si="8">AP21</f>
        <v>6266900.6899999985</v>
      </c>
      <c r="BA21" s="95">
        <f t="shared" ref="BA21:BA27" si="9">AZ21-AY21</f>
        <v>0</v>
      </c>
    </row>
    <row r="22" spans="1:53">
      <c r="A22" s="250">
        <f t="shared" si="0"/>
        <v>951</v>
      </c>
      <c r="B22" s="253" t="s">
        <v>224</v>
      </c>
      <c r="C22" s="102" t="s">
        <v>225</v>
      </c>
      <c r="D22" s="102"/>
      <c r="E22" s="102"/>
      <c r="F22" s="102"/>
      <c r="G22" s="102"/>
      <c r="H22" s="116">
        <v>1437567.99</v>
      </c>
      <c r="I22" s="116">
        <v>1437567.99</v>
      </c>
      <c r="J22" s="116">
        <v>1437567.99</v>
      </c>
      <c r="K22" s="116">
        <v>1437567.99</v>
      </c>
      <c r="L22" s="116">
        <v>1437567.99</v>
      </c>
      <c r="M22" s="116">
        <v>1437567.99</v>
      </c>
      <c r="N22" s="116">
        <v>1437567.99</v>
      </c>
      <c r="O22" s="116">
        <v>1437567.99</v>
      </c>
      <c r="P22" s="116">
        <v>1437567.99</v>
      </c>
      <c r="Q22" s="116">
        <v>1437567.99</v>
      </c>
      <c r="R22" s="116">
        <v>1437567.99</v>
      </c>
      <c r="S22" s="116">
        <v>1437567.99</v>
      </c>
      <c r="T22" s="116">
        <v>1437567.99</v>
      </c>
      <c r="U22" s="116">
        <v>1437567.99</v>
      </c>
      <c r="V22" s="116">
        <v>1437567.99</v>
      </c>
      <c r="W22" s="116">
        <v>1437567.99</v>
      </c>
      <c r="X22" s="116">
        <v>1437567.99</v>
      </c>
      <c r="Y22" s="116">
        <v>1437567.99</v>
      </c>
      <c r="Z22" s="116">
        <v>1437567.99</v>
      </c>
      <c r="AA22" s="116">
        <v>1437567.99</v>
      </c>
      <c r="AB22" s="116">
        <v>1437567.99</v>
      </c>
      <c r="AC22" s="116">
        <v>1437567.99</v>
      </c>
      <c r="AD22" s="116">
        <v>1437567.99</v>
      </c>
      <c r="AE22" s="116">
        <v>1437567.99</v>
      </c>
      <c r="AF22" s="116"/>
      <c r="AG22" s="133">
        <f t="shared" ref="AG22:AG27" si="10">(SUM(T22:AD22)+(0.5*AE22)+(0.5*S22))/12</f>
        <v>1437567.99</v>
      </c>
      <c r="AI22" s="133">
        <f>AE22</f>
        <v>1437567.99</v>
      </c>
      <c r="AJ22" s="133">
        <f>AG22</f>
        <v>1437567.99</v>
      </c>
      <c r="AK22" s="133">
        <f>+'RB FORECAST'!AJ24</f>
        <v>1437567.99</v>
      </c>
      <c r="AL22" s="133">
        <f>+'RB FORECAST'!AG24</f>
        <v>1437567.99</v>
      </c>
      <c r="AM22" s="133">
        <f>+'RB FORECAST'!BA24</f>
        <v>1437567.99</v>
      </c>
      <c r="AN22" s="133">
        <f>+'RB FORECAST'!AW24</f>
        <v>1437567.99</v>
      </c>
      <c r="AP22" s="133">
        <f t="shared" si="3"/>
        <v>1437567.99</v>
      </c>
      <c r="AQ22" s="606">
        <f t="shared" si="6"/>
        <v>0</v>
      </c>
      <c r="AR22" s="225">
        <f t="shared" si="1"/>
        <v>15</v>
      </c>
      <c r="AS22" s="225">
        <f t="shared" si="1"/>
        <v>10</v>
      </c>
      <c r="AT22" s="186"/>
      <c r="AU22" s="253" t="s">
        <v>224</v>
      </c>
      <c r="AV22" s="102" t="s">
        <v>225</v>
      </c>
      <c r="AW22" s="102"/>
      <c r="AX22" s="102"/>
      <c r="AY22" s="116">
        <f t="shared" si="7"/>
        <v>1437567.99</v>
      </c>
      <c r="AZ22" s="95">
        <f t="shared" si="8"/>
        <v>1437567.99</v>
      </c>
      <c r="BA22" s="95">
        <f t="shared" si="9"/>
        <v>0</v>
      </c>
    </row>
    <row r="23" spans="1:53">
      <c r="A23" s="250">
        <f t="shared" si="0"/>
        <v>952</v>
      </c>
      <c r="B23" s="253" t="s">
        <v>226</v>
      </c>
      <c r="C23" s="102" t="s">
        <v>227</v>
      </c>
      <c r="D23" s="102"/>
      <c r="E23" s="102"/>
      <c r="F23" s="102"/>
      <c r="G23" s="102"/>
      <c r="H23" s="116">
        <v>52175293.810000002</v>
      </c>
      <c r="I23" s="116">
        <v>52175293.810000002</v>
      </c>
      <c r="J23" s="116">
        <v>52175293.810000002</v>
      </c>
      <c r="K23" s="116">
        <v>52175293.810000002</v>
      </c>
      <c r="L23" s="116">
        <v>52175293.810000002</v>
      </c>
      <c r="M23" s="116">
        <v>52175293.810000002</v>
      </c>
      <c r="N23" s="116">
        <v>52175293.810000002</v>
      </c>
      <c r="O23" s="116">
        <v>52175293.810000002</v>
      </c>
      <c r="P23" s="116">
        <v>52175293.810000002</v>
      </c>
      <c r="Q23" s="116">
        <v>52175293.810000002</v>
      </c>
      <c r="R23" s="116">
        <v>52175293.810000002</v>
      </c>
      <c r="S23" s="116">
        <v>52175293.810000002</v>
      </c>
      <c r="T23" s="116">
        <v>52175293.810000002</v>
      </c>
      <c r="U23" s="116">
        <v>52175293.810000002</v>
      </c>
      <c r="V23" s="116">
        <v>52175293.810000002</v>
      </c>
      <c r="W23" s="116">
        <v>52175293.810000002</v>
      </c>
      <c r="X23" s="116">
        <v>52175293.810000002</v>
      </c>
      <c r="Y23" s="116">
        <v>52175293.810000002</v>
      </c>
      <c r="Z23" s="116">
        <v>52175293.810000002</v>
      </c>
      <c r="AA23" s="116">
        <v>52175293.810000002</v>
      </c>
      <c r="AB23" s="116">
        <v>52175293.810000002</v>
      </c>
      <c r="AC23" s="116">
        <v>52175293.810000002</v>
      </c>
      <c r="AD23" s="116">
        <v>52175293.810000002</v>
      </c>
      <c r="AE23" s="116">
        <v>52175293.810000002</v>
      </c>
      <c r="AF23" s="116"/>
      <c r="AG23" s="133">
        <f>(SUM(T23:AD23)+(0.5*AE23)+(0.5*S23))/12</f>
        <v>52175293.810000002</v>
      </c>
      <c r="AI23" s="133">
        <f t="shared" si="4"/>
        <v>52175293.810000002</v>
      </c>
      <c r="AJ23" s="133">
        <f t="shared" si="5"/>
        <v>52175293.810000002</v>
      </c>
      <c r="AK23" s="133">
        <f>+'RB FORECAST'!AJ25</f>
        <v>52175293.810000002</v>
      </c>
      <c r="AL23" s="133">
        <f>+'RB FORECAST'!AG25</f>
        <v>52175293.810000002</v>
      </c>
      <c r="AM23" s="133">
        <f>+'RB FORECAST'!BA25</f>
        <v>52175293.810000002</v>
      </c>
      <c r="AN23" s="133">
        <f>+'RB FORECAST'!AW25</f>
        <v>52175293.810000002</v>
      </c>
      <c r="AP23" s="133">
        <f t="shared" si="3"/>
        <v>52175293.810000002</v>
      </c>
      <c r="AQ23" s="606">
        <f t="shared" si="6"/>
        <v>0</v>
      </c>
      <c r="AR23" s="225">
        <f t="shared" si="1"/>
        <v>16</v>
      </c>
      <c r="AS23" s="225">
        <f t="shared" si="1"/>
        <v>11</v>
      </c>
      <c r="AT23" s="186"/>
      <c r="AU23" s="253" t="s">
        <v>226</v>
      </c>
      <c r="AV23" s="102" t="s">
        <v>227</v>
      </c>
      <c r="AW23" s="102"/>
      <c r="AX23" s="102"/>
      <c r="AY23" s="116">
        <f t="shared" si="7"/>
        <v>52175293.810000002</v>
      </c>
      <c r="AZ23" s="95">
        <f t="shared" si="8"/>
        <v>52175293.810000002</v>
      </c>
      <c r="BA23" s="95">
        <f t="shared" si="9"/>
        <v>0</v>
      </c>
    </row>
    <row r="24" spans="1:53">
      <c r="A24" s="250">
        <f t="shared" si="0"/>
        <v>953</v>
      </c>
      <c r="B24" s="253" t="s">
        <v>228</v>
      </c>
      <c r="C24" s="102" t="s">
        <v>229</v>
      </c>
      <c r="D24" s="102"/>
      <c r="E24" s="102"/>
      <c r="F24" s="102"/>
      <c r="G24" s="102"/>
      <c r="H24" s="116">
        <v>17216356.050000001</v>
      </c>
      <c r="I24" s="116">
        <v>17216356.050000001</v>
      </c>
      <c r="J24" s="116">
        <v>17216356.050000001</v>
      </c>
      <c r="K24" s="116">
        <v>17216356.050000001</v>
      </c>
      <c r="L24" s="116">
        <v>17216356.050000001</v>
      </c>
      <c r="M24" s="116">
        <v>17216356.050000001</v>
      </c>
      <c r="N24" s="116">
        <v>17216356.050000001</v>
      </c>
      <c r="O24" s="116">
        <v>17216356.050000001</v>
      </c>
      <c r="P24" s="116">
        <v>17216356.050000001</v>
      </c>
      <c r="Q24" s="116">
        <v>17216356.050000001</v>
      </c>
      <c r="R24" s="116">
        <v>17216356.050000001</v>
      </c>
      <c r="S24" s="116">
        <v>17216356.050000001</v>
      </c>
      <c r="T24" s="116">
        <v>17216356.050000001</v>
      </c>
      <c r="U24" s="116">
        <v>17216356.050000001</v>
      </c>
      <c r="V24" s="116">
        <v>17216356.050000001</v>
      </c>
      <c r="W24" s="116">
        <v>17216356.050000001</v>
      </c>
      <c r="X24" s="116">
        <v>17216356.050000001</v>
      </c>
      <c r="Y24" s="116">
        <v>17216356.050000001</v>
      </c>
      <c r="Z24" s="116">
        <v>17216356.050000001</v>
      </c>
      <c r="AA24" s="116">
        <v>17216356.050000001</v>
      </c>
      <c r="AB24" s="116">
        <v>17216356.050000001</v>
      </c>
      <c r="AC24" s="116">
        <v>17216356.050000001</v>
      </c>
      <c r="AD24" s="116">
        <v>17216356.050000001</v>
      </c>
      <c r="AE24" s="116">
        <v>17216356.050000001</v>
      </c>
      <c r="AF24" s="116"/>
      <c r="AG24" s="133">
        <f t="shared" si="10"/>
        <v>17216356.050000004</v>
      </c>
      <c r="AI24" s="133">
        <f t="shared" si="4"/>
        <v>17216356.050000001</v>
      </c>
      <c r="AJ24" s="133">
        <f t="shared" si="5"/>
        <v>17216356.050000004</v>
      </c>
      <c r="AK24" s="133">
        <f>+'RB FORECAST'!AJ26</f>
        <v>17216356.050000004</v>
      </c>
      <c r="AL24" s="133">
        <f>+'RB FORECAST'!AG26</f>
        <v>17216356.050000001</v>
      </c>
      <c r="AM24" s="133">
        <f>+'RB FORECAST'!BA26</f>
        <v>17216356.050000004</v>
      </c>
      <c r="AN24" s="133">
        <f>+'RB FORECAST'!AW26</f>
        <v>17216356.050000001</v>
      </c>
      <c r="AP24" s="133">
        <f t="shared" si="3"/>
        <v>17216356.050000004</v>
      </c>
      <c r="AQ24" s="606">
        <f t="shared" si="6"/>
        <v>0</v>
      </c>
      <c r="AR24" s="225">
        <f t="shared" si="1"/>
        <v>17</v>
      </c>
      <c r="AS24" s="225">
        <f t="shared" si="1"/>
        <v>12</v>
      </c>
      <c r="AT24" s="186"/>
      <c r="AU24" s="253" t="s">
        <v>228</v>
      </c>
      <c r="AV24" s="102" t="s">
        <v>229</v>
      </c>
      <c r="AW24" s="102"/>
      <c r="AX24" s="102"/>
      <c r="AY24" s="116">
        <f t="shared" si="7"/>
        <v>17216356.050000001</v>
      </c>
      <c r="AZ24" s="95">
        <f t="shared" si="8"/>
        <v>17216356.050000004</v>
      </c>
      <c r="BA24" s="95">
        <f t="shared" si="9"/>
        <v>0</v>
      </c>
    </row>
    <row r="25" spans="1:53">
      <c r="A25" s="250">
        <f t="shared" si="0"/>
        <v>954</v>
      </c>
      <c r="B25" s="253" t="s">
        <v>230</v>
      </c>
      <c r="C25" s="102" t="s">
        <v>231</v>
      </c>
      <c r="D25" s="102"/>
      <c r="E25" s="102"/>
      <c r="F25" s="102"/>
      <c r="G25" s="102"/>
      <c r="H25" s="116">
        <v>2693816.12</v>
      </c>
      <c r="I25" s="116">
        <v>2693816.12</v>
      </c>
      <c r="J25" s="116">
        <v>2693816.12</v>
      </c>
      <c r="K25" s="116">
        <v>2693816.12</v>
      </c>
      <c r="L25" s="116">
        <v>2693816.12</v>
      </c>
      <c r="M25" s="116">
        <v>2693816.12</v>
      </c>
      <c r="N25" s="116">
        <v>2693816.12</v>
      </c>
      <c r="O25" s="116">
        <v>2693816.12</v>
      </c>
      <c r="P25" s="116">
        <v>2693816.12</v>
      </c>
      <c r="Q25" s="116">
        <v>2693816.12</v>
      </c>
      <c r="R25" s="116">
        <v>2693816.12</v>
      </c>
      <c r="S25" s="116">
        <v>2693816.12</v>
      </c>
      <c r="T25" s="116">
        <v>2693816.12</v>
      </c>
      <c r="U25" s="116">
        <v>2693816.12</v>
      </c>
      <c r="V25" s="116">
        <v>2693816.12</v>
      </c>
      <c r="W25" s="116">
        <v>2693816.12</v>
      </c>
      <c r="X25" s="116">
        <v>2693816.12</v>
      </c>
      <c r="Y25" s="116">
        <v>2693816.12</v>
      </c>
      <c r="Z25" s="116">
        <v>2693816.12</v>
      </c>
      <c r="AA25" s="116">
        <v>2693816.12</v>
      </c>
      <c r="AB25" s="116">
        <v>2693816.12</v>
      </c>
      <c r="AC25" s="116">
        <v>2693816.12</v>
      </c>
      <c r="AD25" s="116">
        <v>2693816.12</v>
      </c>
      <c r="AE25" s="116">
        <v>2693816.12</v>
      </c>
      <c r="AF25" s="116"/>
      <c r="AG25" s="133">
        <f t="shared" si="10"/>
        <v>2693816.1200000006</v>
      </c>
      <c r="AI25" s="133">
        <f t="shared" si="4"/>
        <v>2693816.12</v>
      </c>
      <c r="AJ25" s="133">
        <f t="shared" si="5"/>
        <v>2693816.1200000006</v>
      </c>
      <c r="AK25" s="133">
        <f>+'RB FORECAST'!AJ27</f>
        <v>2693816.1200000006</v>
      </c>
      <c r="AL25" s="133">
        <f>+'RB FORECAST'!AG27</f>
        <v>2693816.12</v>
      </c>
      <c r="AM25" s="133">
        <f>+'RB FORECAST'!BA27</f>
        <v>2693816.1200000006</v>
      </c>
      <c r="AN25" s="133">
        <f>+'RB FORECAST'!AW27</f>
        <v>2693816.12</v>
      </c>
      <c r="AP25" s="133">
        <f t="shared" si="3"/>
        <v>2693816.1200000006</v>
      </c>
      <c r="AQ25" s="606">
        <f t="shared" si="6"/>
        <v>0</v>
      </c>
      <c r="AR25" s="225">
        <f t="shared" si="1"/>
        <v>18</v>
      </c>
      <c r="AS25" s="225">
        <f t="shared" si="1"/>
        <v>13</v>
      </c>
      <c r="AT25" s="186"/>
      <c r="AU25" s="253" t="s">
        <v>230</v>
      </c>
      <c r="AV25" s="102" t="s">
        <v>231</v>
      </c>
      <c r="AW25" s="102"/>
      <c r="AX25" s="102"/>
      <c r="AY25" s="116">
        <f t="shared" si="7"/>
        <v>2693816.12</v>
      </c>
      <c r="AZ25" s="95">
        <f t="shared" si="8"/>
        <v>2693816.1200000006</v>
      </c>
      <c r="BA25" s="95">
        <f t="shared" si="9"/>
        <v>0</v>
      </c>
    </row>
    <row r="26" spans="1:53">
      <c r="A26" s="250">
        <f t="shared" si="0"/>
        <v>955</v>
      </c>
      <c r="B26" s="253" t="s">
        <v>232</v>
      </c>
      <c r="C26" s="102" t="s">
        <v>233</v>
      </c>
      <c r="D26" s="102"/>
      <c r="E26" s="102"/>
      <c r="F26" s="102"/>
      <c r="G26" s="102"/>
      <c r="H26" s="116">
        <v>57014.71</v>
      </c>
      <c r="I26" s="116">
        <v>57014.71</v>
      </c>
      <c r="J26" s="116">
        <v>57014.71</v>
      </c>
      <c r="K26" s="116">
        <v>57014.71</v>
      </c>
      <c r="L26" s="116">
        <v>57014.71</v>
      </c>
      <c r="M26" s="116">
        <v>57014.71</v>
      </c>
      <c r="N26" s="116">
        <v>57014.71</v>
      </c>
      <c r="O26" s="116">
        <v>57014.71</v>
      </c>
      <c r="P26" s="116">
        <v>57014.71</v>
      </c>
      <c r="Q26" s="116">
        <v>57014.71</v>
      </c>
      <c r="R26" s="116">
        <v>57014.71</v>
      </c>
      <c r="S26" s="116">
        <v>57014.71</v>
      </c>
      <c r="T26" s="116">
        <v>57014.71</v>
      </c>
      <c r="U26" s="116">
        <v>57014.71</v>
      </c>
      <c r="V26" s="116">
        <v>57014.71</v>
      </c>
      <c r="W26" s="116">
        <v>57014.71</v>
      </c>
      <c r="X26" s="116">
        <v>57014.71</v>
      </c>
      <c r="Y26" s="116">
        <v>57014.71</v>
      </c>
      <c r="Z26" s="116">
        <v>57014.71</v>
      </c>
      <c r="AA26" s="116">
        <v>57014.71</v>
      </c>
      <c r="AB26" s="116">
        <v>57014.71</v>
      </c>
      <c r="AC26" s="116">
        <v>57014.71</v>
      </c>
      <c r="AD26" s="116">
        <v>57014.71</v>
      </c>
      <c r="AE26" s="116">
        <v>57014.71</v>
      </c>
      <c r="AF26" s="116"/>
      <c r="AG26" s="133">
        <f t="shared" si="10"/>
        <v>57014.71</v>
      </c>
      <c r="AI26" s="133">
        <f t="shared" si="4"/>
        <v>57014.71</v>
      </c>
      <c r="AJ26" s="133">
        <f t="shared" si="5"/>
        <v>57014.71</v>
      </c>
      <c r="AK26" s="133">
        <f>+'RB FORECAST'!AJ28</f>
        <v>57014.71</v>
      </c>
      <c r="AL26" s="133">
        <f>+'RB FORECAST'!AG28</f>
        <v>57014.71</v>
      </c>
      <c r="AM26" s="133">
        <f>+'RB FORECAST'!BA28</f>
        <v>57014.71</v>
      </c>
      <c r="AN26" s="133">
        <f>+'RB FORECAST'!AW28</f>
        <v>57014.71</v>
      </c>
      <c r="AP26" s="133">
        <f t="shared" si="3"/>
        <v>57014.71</v>
      </c>
      <c r="AQ26" s="606">
        <f t="shared" si="6"/>
        <v>0</v>
      </c>
      <c r="AR26" s="225">
        <f t="shared" si="1"/>
        <v>19</v>
      </c>
      <c r="AS26" s="225">
        <f t="shared" si="1"/>
        <v>14</v>
      </c>
      <c r="AT26" s="186"/>
      <c r="AU26" s="253" t="s">
        <v>232</v>
      </c>
      <c r="AV26" s="102" t="s">
        <v>233</v>
      </c>
      <c r="AW26" s="102"/>
      <c r="AX26" s="102"/>
      <c r="AY26" s="116">
        <f t="shared" si="7"/>
        <v>57014.71</v>
      </c>
      <c r="AZ26" s="95">
        <f t="shared" si="8"/>
        <v>57014.71</v>
      </c>
      <c r="BA26" s="95">
        <f t="shared" si="9"/>
        <v>0</v>
      </c>
    </row>
    <row r="27" spans="1:53">
      <c r="A27" s="250">
        <f t="shared" si="0"/>
        <v>956</v>
      </c>
      <c r="B27" s="102" t="s">
        <v>234</v>
      </c>
      <c r="C27" s="102" t="s">
        <v>235</v>
      </c>
      <c r="D27" s="102"/>
      <c r="E27" s="102"/>
      <c r="F27" s="102"/>
      <c r="G27" s="102"/>
      <c r="H27" s="116">
        <v>121186.63</v>
      </c>
      <c r="I27" s="116">
        <v>121186.63</v>
      </c>
      <c r="J27" s="116">
        <v>121186.63</v>
      </c>
      <c r="K27" s="116">
        <v>121186.63</v>
      </c>
      <c r="L27" s="116">
        <v>121186.63</v>
      </c>
      <c r="M27" s="116">
        <v>121186.63</v>
      </c>
      <c r="N27" s="116">
        <v>121186.63</v>
      </c>
      <c r="O27" s="116">
        <v>121186.63</v>
      </c>
      <c r="P27" s="116">
        <v>121186.63</v>
      </c>
      <c r="Q27" s="116">
        <v>121186.63</v>
      </c>
      <c r="R27" s="116">
        <v>121186.63</v>
      </c>
      <c r="S27" s="116">
        <v>121186.63</v>
      </c>
      <c r="T27" s="116">
        <v>121186.63</v>
      </c>
      <c r="U27" s="116">
        <v>121186.63</v>
      </c>
      <c r="V27" s="116">
        <v>121186.63</v>
      </c>
      <c r="W27" s="116">
        <v>121186.63</v>
      </c>
      <c r="X27" s="116">
        <v>121186.63</v>
      </c>
      <c r="Y27" s="116">
        <v>121186.63</v>
      </c>
      <c r="Z27" s="116">
        <v>121186.63</v>
      </c>
      <c r="AA27" s="116">
        <v>121186.63</v>
      </c>
      <c r="AB27" s="116">
        <v>121186.63</v>
      </c>
      <c r="AC27" s="116">
        <v>121186.63</v>
      </c>
      <c r="AD27" s="116">
        <v>121186.63</v>
      </c>
      <c r="AE27" s="116">
        <v>121186.63</v>
      </c>
      <c r="AF27" s="116"/>
      <c r="AG27" s="133">
        <f t="shared" si="10"/>
        <v>121186.62999999996</v>
      </c>
      <c r="AI27" s="133">
        <f t="shared" si="4"/>
        <v>121186.63</v>
      </c>
      <c r="AJ27" s="133">
        <f t="shared" si="5"/>
        <v>121186.62999999996</v>
      </c>
      <c r="AK27" s="133">
        <f>+'RB FORECAST'!AJ29</f>
        <v>121186.62999999996</v>
      </c>
      <c r="AL27" s="133">
        <f>+'RB FORECAST'!AG29</f>
        <v>121186.62999999999</v>
      </c>
      <c r="AM27" s="133">
        <f>+'RB FORECAST'!BA29</f>
        <v>121186.62999999996</v>
      </c>
      <c r="AN27" s="133">
        <f>+'RB FORECAST'!AW29</f>
        <v>121186.62999999999</v>
      </c>
      <c r="AP27" s="133">
        <f t="shared" si="3"/>
        <v>121186.62999999996</v>
      </c>
      <c r="AQ27" s="606">
        <f t="shared" si="6"/>
        <v>0</v>
      </c>
      <c r="AR27" s="225">
        <f t="shared" si="1"/>
        <v>20</v>
      </c>
      <c r="AS27" s="225">
        <f t="shared" si="1"/>
        <v>15</v>
      </c>
      <c r="AT27" s="186"/>
      <c r="AU27" s="102" t="s">
        <v>234</v>
      </c>
      <c r="AV27" s="102" t="s">
        <v>235</v>
      </c>
      <c r="AW27" s="102"/>
      <c r="AX27" s="102"/>
      <c r="AY27" s="116">
        <f t="shared" si="7"/>
        <v>121186.63</v>
      </c>
      <c r="AZ27" s="95">
        <f t="shared" si="8"/>
        <v>121186.62999999996</v>
      </c>
      <c r="BA27" s="95">
        <f t="shared" si="9"/>
        <v>0</v>
      </c>
    </row>
    <row r="28" spans="1:53">
      <c r="A28" s="250">
        <f t="shared" si="0"/>
        <v>957</v>
      </c>
      <c r="B28" s="14"/>
      <c r="C28" s="102"/>
      <c r="D28" s="102"/>
      <c r="E28" s="102"/>
      <c r="F28" s="102"/>
      <c r="G28" s="102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174"/>
      <c r="AI28" s="174"/>
      <c r="AJ28" s="174"/>
      <c r="AK28" s="174"/>
      <c r="AL28" s="174"/>
      <c r="AM28" s="174"/>
      <c r="AN28" s="174"/>
      <c r="AP28" s="174"/>
      <c r="AQ28" s="607"/>
      <c r="AR28" s="225">
        <f t="shared" si="1"/>
        <v>21</v>
      </c>
      <c r="AS28" s="225">
        <f t="shared" si="1"/>
        <v>16</v>
      </c>
      <c r="AT28" s="186"/>
      <c r="AU28" s="14"/>
      <c r="AV28" s="102"/>
      <c r="AW28" s="102"/>
      <c r="AX28" s="102"/>
      <c r="AY28" s="579"/>
    </row>
    <row r="29" spans="1:53">
      <c r="A29" s="250">
        <f t="shared" si="0"/>
        <v>958</v>
      </c>
      <c r="B29" s="102"/>
      <c r="C29" s="102" t="s">
        <v>236</v>
      </c>
      <c r="D29" s="102"/>
      <c r="E29" s="102"/>
      <c r="F29" s="102"/>
      <c r="G29" s="102"/>
      <c r="H29" s="254">
        <v>79968136</v>
      </c>
      <c r="I29" s="254">
        <v>79968136</v>
      </c>
      <c r="J29" s="254">
        <v>79968136</v>
      </c>
      <c r="K29" s="254">
        <v>79968136</v>
      </c>
      <c r="L29" s="254">
        <v>79968136</v>
      </c>
      <c r="M29" s="254">
        <v>79968136</v>
      </c>
      <c r="N29" s="254">
        <v>79968136</v>
      </c>
      <c r="O29" s="254">
        <v>79968136</v>
      </c>
      <c r="P29" s="254">
        <v>79968136</v>
      </c>
      <c r="Q29" s="254">
        <v>79968136</v>
      </c>
      <c r="R29" s="254">
        <v>79968136</v>
      </c>
      <c r="S29" s="254">
        <v>79968136</v>
      </c>
      <c r="T29" s="254">
        <v>79968136</v>
      </c>
      <c r="U29" s="254">
        <v>79968136</v>
      </c>
      <c r="V29" s="254">
        <v>79968136</v>
      </c>
      <c r="W29" s="254">
        <v>79968136</v>
      </c>
      <c r="X29" s="254">
        <v>79968136</v>
      </c>
      <c r="Y29" s="254">
        <v>79968136</v>
      </c>
      <c r="Z29" s="254">
        <v>79968136</v>
      </c>
      <c r="AA29" s="254">
        <v>79968136</v>
      </c>
      <c r="AB29" s="254">
        <v>79968136</v>
      </c>
      <c r="AC29" s="254">
        <v>79968136</v>
      </c>
      <c r="AD29" s="254">
        <v>79968136</v>
      </c>
      <c r="AE29" s="254">
        <v>79968136</v>
      </c>
      <c r="AF29" s="254"/>
      <c r="AG29" s="229">
        <f>SUM(AG21:AG27)</f>
        <v>79968136</v>
      </c>
      <c r="AI29" s="229">
        <f>AE29</f>
        <v>79968136</v>
      </c>
      <c r="AJ29" s="229">
        <f>AG29</f>
        <v>79968136</v>
      </c>
      <c r="AK29" s="229">
        <f>SUM(AK21:AK27)</f>
        <v>79968136</v>
      </c>
      <c r="AL29" s="229">
        <f>SUM(AL21:AL27)</f>
        <v>79968136</v>
      </c>
      <c r="AM29" s="229">
        <f t="shared" ref="AM29:AN29" si="11">SUM(AM21:AM27)</f>
        <v>79968136</v>
      </c>
      <c r="AN29" s="229">
        <f t="shared" si="11"/>
        <v>79968136</v>
      </c>
      <c r="AP29" s="229">
        <f t="shared" si="3"/>
        <v>79968136</v>
      </c>
      <c r="AQ29" s="608">
        <f>SUM(AQ21:AQ27)</f>
        <v>0</v>
      </c>
      <c r="AR29" s="225">
        <f t="shared" si="1"/>
        <v>22</v>
      </c>
      <c r="AS29" s="225">
        <f t="shared" si="1"/>
        <v>17</v>
      </c>
      <c r="AT29" s="186"/>
      <c r="AU29" s="102"/>
      <c r="AV29" s="102" t="s">
        <v>236</v>
      </c>
      <c r="AW29" s="102"/>
      <c r="AX29" s="102"/>
      <c r="AY29" s="116">
        <f>AI29</f>
        <v>79968136</v>
      </c>
      <c r="AZ29" s="116">
        <f>AJ29</f>
        <v>79968136</v>
      </c>
      <c r="BA29" s="95">
        <f>AZ29-AY29</f>
        <v>0</v>
      </c>
    </row>
    <row r="30" spans="1:53">
      <c r="A30" s="250">
        <f t="shared" si="0"/>
        <v>959</v>
      </c>
      <c r="B30" s="102"/>
      <c r="C30" s="102"/>
      <c r="D30" s="102"/>
      <c r="E30" s="102"/>
      <c r="F30" s="102"/>
      <c r="G30" s="102"/>
      <c r="AR30" s="225">
        <f t="shared" si="1"/>
        <v>23</v>
      </c>
      <c r="AS30" s="225">
        <f t="shared" si="1"/>
        <v>18</v>
      </c>
      <c r="AT30" s="186"/>
      <c r="AU30" s="102"/>
      <c r="AV30" s="102"/>
      <c r="AW30" s="102"/>
      <c r="AX30" s="102"/>
      <c r="AY30" s="579"/>
    </row>
    <row r="31" spans="1:53">
      <c r="A31" s="250">
        <f t="shared" si="0"/>
        <v>960</v>
      </c>
      <c r="B31" s="102"/>
      <c r="C31" s="102" t="s">
        <v>237</v>
      </c>
      <c r="D31" s="102"/>
      <c r="E31" s="102"/>
      <c r="F31" s="102"/>
      <c r="G31" s="102"/>
      <c r="AR31" s="225">
        <f t="shared" si="1"/>
        <v>24</v>
      </c>
      <c r="AS31" s="225">
        <f t="shared" si="1"/>
        <v>19</v>
      </c>
      <c r="AT31" s="186"/>
      <c r="AU31" s="102"/>
      <c r="AV31" s="102" t="s">
        <v>237</v>
      </c>
      <c r="AW31" s="102"/>
      <c r="AX31" s="102"/>
      <c r="AY31" s="579"/>
    </row>
    <row r="32" spans="1:53">
      <c r="A32" s="250">
        <f t="shared" si="0"/>
        <v>961</v>
      </c>
      <c r="B32" s="102" t="s">
        <v>238</v>
      </c>
      <c r="C32" s="102" t="s">
        <v>223</v>
      </c>
      <c r="D32" s="102"/>
      <c r="E32" s="102"/>
      <c r="F32" s="102"/>
      <c r="G32" s="102"/>
      <c r="H32" s="1312"/>
      <c r="I32" s="1312"/>
      <c r="J32" s="1312"/>
      <c r="K32" s="1312"/>
      <c r="L32" s="1312"/>
      <c r="M32" s="1312"/>
      <c r="N32" s="1312"/>
      <c r="O32" s="1312"/>
      <c r="P32" s="1312"/>
      <c r="Q32" s="1312"/>
      <c r="R32" s="1312"/>
      <c r="S32" s="1312"/>
      <c r="T32" s="579"/>
      <c r="U32" s="579"/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579"/>
      <c r="AG32" s="260"/>
      <c r="AI32" s="260"/>
      <c r="AJ32" s="260"/>
      <c r="AK32" s="260"/>
      <c r="AL32" s="260"/>
      <c r="AM32" s="260"/>
      <c r="AN32" s="260"/>
      <c r="AP32" s="260"/>
      <c r="AQ32" s="259"/>
      <c r="AR32" s="225">
        <f t="shared" si="1"/>
        <v>25</v>
      </c>
      <c r="AS32" s="225">
        <f t="shared" si="1"/>
        <v>20</v>
      </c>
      <c r="AT32" s="186"/>
      <c r="AU32" s="102" t="s">
        <v>238</v>
      </c>
      <c r="AV32" s="102" t="s">
        <v>223</v>
      </c>
      <c r="AW32" s="102"/>
      <c r="AX32" s="102"/>
      <c r="AY32" s="579"/>
    </row>
    <row r="33" spans="1:53">
      <c r="A33" s="250">
        <f t="shared" si="0"/>
        <v>962</v>
      </c>
      <c r="B33" s="102"/>
      <c r="C33" s="102"/>
      <c r="D33" s="102" t="s">
        <v>24</v>
      </c>
      <c r="E33" s="102"/>
      <c r="F33" s="102"/>
      <c r="G33" s="102"/>
      <c r="H33" s="116">
        <v>400188.28</v>
      </c>
      <c r="I33" s="116">
        <v>400188.28</v>
      </c>
      <c r="J33" s="116">
        <v>400188.28</v>
      </c>
      <c r="K33" s="116">
        <v>400188.28</v>
      </c>
      <c r="L33" s="116">
        <v>400188.28</v>
      </c>
      <c r="M33" s="116">
        <v>400188.28</v>
      </c>
      <c r="N33" s="116">
        <v>400188.28</v>
      </c>
      <c r="O33" s="116">
        <v>400188.28</v>
      </c>
      <c r="P33" s="116">
        <v>400188.28</v>
      </c>
      <c r="Q33" s="116">
        <v>400188.28</v>
      </c>
      <c r="R33" s="116">
        <v>400188.28</v>
      </c>
      <c r="S33" s="116">
        <v>400188.28</v>
      </c>
      <c r="T33" s="116">
        <v>400188.28</v>
      </c>
      <c r="U33" s="116">
        <v>400188.28</v>
      </c>
      <c r="V33" s="116">
        <v>400188.28</v>
      </c>
      <c r="W33" s="116">
        <v>434507.8</v>
      </c>
      <c r="X33" s="116">
        <v>434507.8</v>
      </c>
      <c r="Y33" s="116">
        <v>434507.8</v>
      </c>
      <c r="Z33" s="116">
        <v>434507.8</v>
      </c>
      <c r="AA33" s="116">
        <v>434507.8</v>
      </c>
      <c r="AB33" s="116">
        <v>434507.8</v>
      </c>
      <c r="AC33" s="116">
        <v>434507.8</v>
      </c>
      <c r="AD33" s="116">
        <v>434507.8</v>
      </c>
      <c r="AE33" s="116">
        <v>434011.18</v>
      </c>
      <c r="AF33" s="116"/>
      <c r="AG33" s="133">
        <f>(SUM(T33:AD33)+(0.5*AE33)+(0.5*S33))/12</f>
        <v>424477.24749999988</v>
      </c>
      <c r="AI33" s="133">
        <f>AE33</f>
        <v>434011.18</v>
      </c>
      <c r="AJ33" s="133">
        <f>AG33</f>
        <v>424477.24749999988</v>
      </c>
      <c r="AK33" s="133">
        <f>+'RB FORECAST'!AJ35</f>
        <v>433982.9844577848</v>
      </c>
      <c r="AL33" s="133">
        <f>+'RB FORECAST'!AG35</f>
        <v>433973.61389030138</v>
      </c>
      <c r="AM33" s="133">
        <f>+'RB FORECAST'!BA35</f>
        <v>433973.61389030138</v>
      </c>
      <c r="AN33" s="133">
        <f>+'RB FORECAST'!AW35</f>
        <v>433973.61389030138</v>
      </c>
      <c r="AP33" s="133">
        <f t="shared" si="3"/>
        <v>433973.61389030138</v>
      </c>
      <c r="AQ33" s="606">
        <f>AP33-AE33</f>
        <v>-37.566109698615037</v>
      </c>
      <c r="AR33" s="225">
        <f t="shared" si="1"/>
        <v>26</v>
      </c>
      <c r="AS33" s="225">
        <f t="shared" si="1"/>
        <v>21</v>
      </c>
      <c r="AT33" s="186"/>
      <c r="AU33" s="102"/>
      <c r="AV33" s="102"/>
      <c r="AW33" s="102" t="s">
        <v>24</v>
      </c>
      <c r="AX33" s="102"/>
      <c r="AY33" s="116">
        <f>+AE33</f>
        <v>434011.18</v>
      </c>
      <c r="AZ33" s="95">
        <f>AP33</f>
        <v>433973.61389030138</v>
      </c>
      <c r="BA33" s="95">
        <f t="shared" ref="BA33:BA35" si="12">AZ33-AY33</f>
        <v>-37.566109698615037</v>
      </c>
    </row>
    <row r="34" spans="1:53">
      <c r="A34" s="250">
        <f t="shared" si="0"/>
        <v>963</v>
      </c>
      <c r="B34" s="102"/>
      <c r="C34" s="102"/>
      <c r="D34" s="102" t="s">
        <v>14</v>
      </c>
      <c r="E34" s="102"/>
      <c r="F34" s="102"/>
      <c r="G34" s="102"/>
      <c r="H34" s="116">
        <v>17574435.459999997</v>
      </c>
      <c r="I34" s="116">
        <v>17568137.459999997</v>
      </c>
      <c r="J34" s="116">
        <v>17557234.299999997</v>
      </c>
      <c r="K34" s="116">
        <v>18039023.919999998</v>
      </c>
      <c r="L34" s="116">
        <v>18039023.919999998</v>
      </c>
      <c r="M34" s="116">
        <v>18014023.919999998</v>
      </c>
      <c r="N34" s="116">
        <v>17969078.140000001</v>
      </c>
      <c r="O34" s="116">
        <v>18294430.879999999</v>
      </c>
      <c r="P34" s="116">
        <v>18418181.009999998</v>
      </c>
      <c r="Q34" s="116">
        <v>18418181.009999998</v>
      </c>
      <c r="R34" s="116">
        <v>18418031.009999998</v>
      </c>
      <c r="S34" s="116">
        <v>18477460.699999999</v>
      </c>
      <c r="T34" s="116">
        <v>18477460.699999999</v>
      </c>
      <c r="U34" s="116">
        <v>18477460.699999999</v>
      </c>
      <c r="V34" s="116">
        <v>19326879.5</v>
      </c>
      <c r="W34" s="116">
        <v>20027866.07</v>
      </c>
      <c r="X34" s="116">
        <v>20028667.969999999</v>
      </c>
      <c r="Y34" s="116">
        <v>20028996.870000001</v>
      </c>
      <c r="Z34" s="116">
        <v>20028996.870000001</v>
      </c>
      <c r="AA34" s="116">
        <v>20034792.789999999</v>
      </c>
      <c r="AB34" s="116">
        <v>20034792.789999999</v>
      </c>
      <c r="AC34" s="116">
        <v>20034792.789999999</v>
      </c>
      <c r="AD34" s="116">
        <v>20036829.949999999</v>
      </c>
      <c r="AE34" s="116">
        <v>20037679.300000001</v>
      </c>
      <c r="AF34" s="116"/>
      <c r="AG34" s="133">
        <f>(SUM(T34:AD34)+(0.5*AE34)+(0.5*S34))/12</f>
        <v>19649592.249999996</v>
      </c>
      <c r="AI34" s="395">
        <f>AE34</f>
        <v>20037679.300000001</v>
      </c>
      <c r="AJ34" s="395">
        <f>AG34</f>
        <v>19649592.249999996</v>
      </c>
      <c r="AK34" s="133">
        <f>+'RB FORECAST'!AJ36</f>
        <v>20036377.55189158</v>
      </c>
      <c r="AL34" s="133">
        <f>+'RB FORECAST'!AG36</f>
        <v>20035944.926109701</v>
      </c>
      <c r="AM34" s="133">
        <f>+'RB FORECAST'!BA36</f>
        <v>20035944.926109701</v>
      </c>
      <c r="AN34" s="133">
        <f>+'RB FORECAST'!AW36</f>
        <v>20035944.926109701</v>
      </c>
      <c r="AP34" s="395">
        <f t="shared" si="3"/>
        <v>20035944.926109701</v>
      </c>
      <c r="AQ34" s="609">
        <f>AP34-AE34</f>
        <v>-1734.37389029935</v>
      </c>
      <c r="AR34" s="225">
        <f t="shared" si="1"/>
        <v>27</v>
      </c>
      <c r="AS34" s="225">
        <f t="shared" si="1"/>
        <v>22</v>
      </c>
      <c r="AT34" s="186"/>
      <c r="AU34" s="102"/>
      <c r="AV34" s="102"/>
      <c r="AW34" s="102" t="s">
        <v>14</v>
      </c>
      <c r="AX34" s="102"/>
      <c r="AY34" s="116">
        <f>+AE34</f>
        <v>20037679.300000001</v>
      </c>
      <c r="AZ34" s="95">
        <f>AP34</f>
        <v>20035944.926109701</v>
      </c>
      <c r="BA34" s="95">
        <f t="shared" si="12"/>
        <v>-1734.37389029935</v>
      </c>
    </row>
    <row r="35" spans="1:53">
      <c r="A35" s="250">
        <f t="shared" si="0"/>
        <v>964</v>
      </c>
      <c r="B35" s="102"/>
      <c r="C35" s="102"/>
      <c r="D35" s="102" t="s">
        <v>170</v>
      </c>
      <c r="E35" s="102"/>
      <c r="F35" s="102"/>
      <c r="G35" s="102"/>
      <c r="H35" s="1043">
        <v>17974623.739999998</v>
      </c>
      <c r="I35" s="1043">
        <v>17968325.739999998</v>
      </c>
      <c r="J35" s="1043">
        <v>17957422.579999998</v>
      </c>
      <c r="K35" s="1043">
        <v>18439212.199999999</v>
      </c>
      <c r="L35" s="1043">
        <v>18439212.199999999</v>
      </c>
      <c r="M35" s="1043">
        <v>18414212.199999999</v>
      </c>
      <c r="N35" s="1043">
        <v>18369266.420000002</v>
      </c>
      <c r="O35" s="1043">
        <v>18694619.16</v>
      </c>
      <c r="P35" s="1043">
        <v>18818369.289999999</v>
      </c>
      <c r="Q35" s="1043">
        <v>18818369.289999999</v>
      </c>
      <c r="R35" s="1043">
        <v>18818219.289999999</v>
      </c>
      <c r="S35" s="1043">
        <v>18877648.98</v>
      </c>
      <c r="T35" s="1043">
        <v>18877648.98</v>
      </c>
      <c r="U35" s="1043">
        <v>18877648.98</v>
      </c>
      <c r="V35" s="1043">
        <v>19727067.780000001</v>
      </c>
      <c r="W35" s="1043">
        <v>20462373.870000001</v>
      </c>
      <c r="X35" s="1043">
        <v>20463175.77</v>
      </c>
      <c r="Y35" s="1043">
        <v>20463504.670000002</v>
      </c>
      <c r="Z35" s="1043">
        <v>20463504.670000002</v>
      </c>
      <c r="AA35" s="1043">
        <v>20469300.59</v>
      </c>
      <c r="AB35" s="1043">
        <v>20469300.59</v>
      </c>
      <c r="AC35" s="1043">
        <v>20469300.59</v>
      </c>
      <c r="AD35" s="1043">
        <v>20471337.75</v>
      </c>
      <c r="AE35" s="1043">
        <v>20471690.48</v>
      </c>
      <c r="AF35" s="1043"/>
      <c r="AG35" s="1046">
        <f>SUM(AG33:AG34)</f>
        <v>20074069.497499995</v>
      </c>
      <c r="AI35" s="1046">
        <f>AE35</f>
        <v>20471690.48</v>
      </c>
      <c r="AJ35" s="1046">
        <f>AG35</f>
        <v>20074069.497499995</v>
      </c>
      <c r="AK35" s="1046">
        <f>SUM(AK33:AK34)</f>
        <v>20470360.536349364</v>
      </c>
      <c r="AL35" s="1046">
        <f>SUM(AL33:AL34)</f>
        <v>20469918.540000003</v>
      </c>
      <c r="AM35" s="1046">
        <f t="shared" ref="AM35:AN35" si="13">SUM(AM33:AM34)</f>
        <v>20469918.540000003</v>
      </c>
      <c r="AN35" s="1046">
        <f t="shared" si="13"/>
        <v>20469918.540000003</v>
      </c>
      <c r="AP35" s="229">
        <f t="shared" si="3"/>
        <v>20469918.540000003</v>
      </c>
      <c r="AQ35" s="608">
        <f>SUM(AQ33:AQ34)</f>
        <v>-1771.9399999979651</v>
      </c>
      <c r="AR35" s="225">
        <f t="shared" si="1"/>
        <v>28</v>
      </c>
      <c r="AS35" s="225">
        <f t="shared" si="1"/>
        <v>23</v>
      </c>
      <c r="AT35" s="186"/>
      <c r="AU35" s="102"/>
      <c r="AV35" s="102"/>
      <c r="AW35" s="102" t="s">
        <v>170</v>
      </c>
      <c r="AX35" s="102"/>
      <c r="AY35" s="116">
        <f>AI35</f>
        <v>20471690.48</v>
      </c>
      <c r="AZ35" s="116">
        <f>AJ35</f>
        <v>20074069.497499995</v>
      </c>
      <c r="BA35" s="95">
        <f t="shared" si="12"/>
        <v>-397620.98250000551</v>
      </c>
    </row>
    <row r="36" spans="1:53">
      <c r="A36" s="250">
        <f t="shared" si="0"/>
        <v>965</v>
      </c>
      <c r="B36" s="102"/>
      <c r="C36" s="102"/>
      <c r="D36" s="102"/>
      <c r="E36" s="102"/>
      <c r="F36" s="102"/>
      <c r="G36" s="102"/>
      <c r="AR36" s="225">
        <f t="shared" si="1"/>
        <v>29</v>
      </c>
      <c r="AS36" s="225">
        <f t="shared" si="1"/>
        <v>24</v>
      </c>
      <c r="AT36" s="186"/>
      <c r="AU36" s="102"/>
      <c r="AV36" s="102"/>
      <c r="AW36" s="102"/>
      <c r="AX36" s="102"/>
      <c r="AY36" s="116"/>
    </row>
    <row r="37" spans="1:53">
      <c r="A37" s="250">
        <f t="shared" si="0"/>
        <v>966</v>
      </c>
      <c r="B37" s="102" t="s">
        <v>239</v>
      </c>
      <c r="C37" s="102" t="s">
        <v>868</v>
      </c>
      <c r="D37" s="102"/>
      <c r="E37" s="102"/>
      <c r="F37" s="102"/>
      <c r="G37" s="102"/>
      <c r="AR37" s="225">
        <f t="shared" si="1"/>
        <v>30</v>
      </c>
      <c r="AS37" s="225">
        <f t="shared" si="1"/>
        <v>25</v>
      </c>
      <c r="AT37" s="186"/>
      <c r="AU37" s="102" t="s">
        <v>239</v>
      </c>
      <c r="AV37" s="102" t="s">
        <v>868</v>
      </c>
      <c r="AW37" s="102"/>
      <c r="AX37" s="102"/>
      <c r="AY37" s="116"/>
    </row>
    <row r="38" spans="1:53">
      <c r="A38" s="250">
        <f t="shared" si="0"/>
        <v>967</v>
      </c>
      <c r="B38" s="102"/>
      <c r="C38" s="102"/>
      <c r="D38" s="102" t="s">
        <v>24</v>
      </c>
      <c r="E38" s="102"/>
      <c r="F38" s="102"/>
      <c r="G38" s="102"/>
      <c r="H38" s="116">
        <v>982959.23</v>
      </c>
      <c r="I38" s="116">
        <v>982959.23</v>
      </c>
      <c r="J38" s="116">
        <v>982959.23</v>
      </c>
      <c r="K38" s="116">
        <v>982959.23</v>
      </c>
      <c r="L38" s="116">
        <v>982959.23</v>
      </c>
      <c r="M38" s="116">
        <v>982959.23</v>
      </c>
      <c r="N38" s="116">
        <v>982959.23</v>
      </c>
      <c r="O38" s="116">
        <v>982959.23</v>
      </c>
      <c r="P38" s="116">
        <v>982959.23</v>
      </c>
      <c r="Q38" s="116">
        <v>982959.23</v>
      </c>
      <c r="R38" s="116">
        <v>982959.23</v>
      </c>
      <c r="S38" s="116">
        <v>982959.23</v>
      </c>
      <c r="T38" s="116">
        <v>982959.23</v>
      </c>
      <c r="U38" s="116">
        <v>1006934.23</v>
      </c>
      <c r="V38" s="116">
        <v>1006934.23</v>
      </c>
      <c r="W38" s="116">
        <v>1006934.23</v>
      </c>
      <c r="X38" s="116">
        <v>1006934.23</v>
      </c>
      <c r="Y38" s="116">
        <v>1006934.23</v>
      </c>
      <c r="Z38" s="116">
        <v>1006934.23</v>
      </c>
      <c r="AA38" s="116">
        <v>1006934.23</v>
      </c>
      <c r="AB38" s="116">
        <v>1006934.23</v>
      </c>
      <c r="AC38" s="116">
        <v>1006934.23</v>
      </c>
      <c r="AD38" s="116">
        <v>1006934.23</v>
      </c>
      <c r="AE38" s="116">
        <v>1004474.53</v>
      </c>
      <c r="AF38" s="116"/>
      <c r="AG38" s="133">
        <f>(SUM(T38:AD38)+(0.5*AE38)+(0.5*S38))/12</f>
        <v>1003834.8675000003</v>
      </c>
      <c r="AI38" s="133">
        <f>AE38</f>
        <v>1004474.53</v>
      </c>
      <c r="AJ38" s="133">
        <f>AG38</f>
        <v>1003834.8675000003</v>
      </c>
      <c r="AK38" s="133">
        <f>+'RB FORECAST'!AJ40</f>
        <v>966918.45144402748</v>
      </c>
      <c r="AL38" s="133">
        <f>+'RB FORECAST'!AG40</f>
        <v>965576.27057473909</v>
      </c>
      <c r="AM38" s="133">
        <f>+'RB FORECAST'!BA40</f>
        <v>965576.27057473885</v>
      </c>
      <c r="AN38" s="133">
        <f>+'RB FORECAST'!AW40</f>
        <v>965576.27057473909</v>
      </c>
      <c r="AP38" s="133">
        <f t="shared" si="3"/>
        <v>965576.27057473885</v>
      </c>
      <c r="AQ38" s="606">
        <f>AP38-AE38</f>
        <v>-38898.259425261174</v>
      </c>
      <c r="AR38" s="225">
        <f t="shared" si="1"/>
        <v>31</v>
      </c>
      <c r="AS38" s="225">
        <f t="shared" si="1"/>
        <v>26</v>
      </c>
      <c r="AT38" s="186"/>
      <c r="AU38" s="102"/>
      <c r="AV38" s="102"/>
      <c r="AW38" s="102" t="s">
        <v>24</v>
      </c>
      <c r="AX38" s="102"/>
      <c r="AY38" s="116">
        <f>+AE38</f>
        <v>1004474.53</v>
      </c>
      <c r="AZ38" s="95">
        <f>AP38</f>
        <v>965576.27057473885</v>
      </c>
      <c r="BA38" s="95">
        <f t="shared" ref="BA38:BA40" si="14">AZ38-AY38</f>
        <v>-38898.259425261174</v>
      </c>
    </row>
    <row r="39" spans="1:53">
      <c r="A39" s="250">
        <f t="shared" si="0"/>
        <v>968</v>
      </c>
      <c r="B39" s="102"/>
      <c r="C39" s="102"/>
      <c r="D39" s="102" t="s">
        <v>14</v>
      </c>
      <c r="E39" s="102"/>
      <c r="F39" s="102"/>
      <c r="G39" s="102"/>
      <c r="H39" s="116">
        <v>15164181</v>
      </c>
      <c r="I39" s="116">
        <v>15164181</v>
      </c>
      <c r="J39" s="116">
        <v>15182931.65</v>
      </c>
      <c r="K39" s="116">
        <v>15222781.65</v>
      </c>
      <c r="L39" s="116">
        <v>15222781.65</v>
      </c>
      <c r="M39" s="116">
        <v>15222781.65</v>
      </c>
      <c r="N39" s="116">
        <v>15227467.48</v>
      </c>
      <c r="O39" s="116">
        <v>15308202.85</v>
      </c>
      <c r="P39" s="116">
        <v>15682663.449999999</v>
      </c>
      <c r="Q39" s="116">
        <v>15720786.76</v>
      </c>
      <c r="R39" s="116">
        <v>15719204.08</v>
      </c>
      <c r="S39" s="116">
        <v>15717299.49</v>
      </c>
      <c r="T39" s="116">
        <v>15717299.49</v>
      </c>
      <c r="U39" s="116">
        <v>15963930.390000001</v>
      </c>
      <c r="V39" s="116">
        <v>15376216.299999999</v>
      </c>
      <c r="W39" s="116">
        <v>15404847.799999999</v>
      </c>
      <c r="X39" s="116">
        <v>15421744.869999999</v>
      </c>
      <c r="Y39" s="116">
        <v>15421744.869999999</v>
      </c>
      <c r="Z39" s="116">
        <v>15421744.869999999</v>
      </c>
      <c r="AA39" s="116">
        <v>15420355.25</v>
      </c>
      <c r="AB39" s="116">
        <v>15420355.25</v>
      </c>
      <c r="AC39" s="116">
        <v>15410995.889999999</v>
      </c>
      <c r="AD39" s="116">
        <v>15512582.9</v>
      </c>
      <c r="AE39" s="116">
        <v>15501057.690000001</v>
      </c>
      <c r="AF39" s="256"/>
      <c r="AG39" s="395">
        <f>(SUM(T39:AD39)+(0.5*AE39)+(0.5*S39))/12</f>
        <v>15508416.372500001</v>
      </c>
      <c r="AI39" s="395">
        <f>AE39</f>
        <v>15501057.690000001</v>
      </c>
      <c r="AJ39" s="395">
        <f>AG39</f>
        <v>15508416.372500001</v>
      </c>
      <c r="AK39" s="133">
        <f>+'RB FORECAST'!AJ41</f>
        <v>14921492.033610182</v>
      </c>
      <c r="AL39" s="133">
        <f>+'RB FORECAST'!AG41</f>
        <v>14900779.489425264</v>
      </c>
      <c r="AM39" s="133">
        <f>+'RB FORECAST'!BA41</f>
        <v>14900779.489425266</v>
      </c>
      <c r="AN39" s="133">
        <f>+'RB FORECAST'!AW41</f>
        <v>14900779.489425264</v>
      </c>
      <c r="AP39" s="395">
        <f t="shared" si="3"/>
        <v>14900779.489425266</v>
      </c>
      <c r="AQ39" s="609">
        <f>AP39-AE39</f>
        <v>-600278.20057473518</v>
      </c>
      <c r="AR39" s="225">
        <f t="shared" si="1"/>
        <v>32</v>
      </c>
      <c r="AS39" s="225">
        <f t="shared" si="1"/>
        <v>27</v>
      </c>
      <c r="AT39" s="186"/>
      <c r="AU39" s="102"/>
      <c r="AV39" s="102"/>
      <c r="AW39" s="102" t="s">
        <v>14</v>
      </c>
      <c r="AX39" s="102"/>
      <c r="AY39" s="116">
        <f>+AE39</f>
        <v>15501057.690000001</v>
      </c>
      <c r="AZ39" s="95">
        <f>AP39</f>
        <v>14900779.489425266</v>
      </c>
      <c r="BA39" s="95">
        <f t="shared" si="14"/>
        <v>-600278.20057473518</v>
      </c>
    </row>
    <row r="40" spans="1:53">
      <c r="A40" s="250">
        <f t="shared" si="0"/>
        <v>969</v>
      </c>
      <c r="B40" s="102"/>
      <c r="C40" s="102"/>
      <c r="D40" s="102" t="s">
        <v>170</v>
      </c>
      <c r="E40" s="102"/>
      <c r="F40" s="102"/>
      <c r="G40" s="102"/>
      <c r="H40" s="1043">
        <v>16147140.23</v>
      </c>
      <c r="I40" s="1043">
        <v>16147140.23</v>
      </c>
      <c r="J40" s="1043">
        <v>16165890.880000001</v>
      </c>
      <c r="K40" s="1043">
        <v>16205740.880000001</v>
      </c>
      <c r="L40" s="1043">
        <v>16205740.880000001</v>
      </c>
      <c r="M40" s="1043">
        <v>16205740.880000001</v>
      </c>
      <c r="N40" s="1043">
        <v>16210426.710000001</v>
      </c>
      <c r="O40" s="1043">
        <v>16291162.08</v>
      </c>
      <c r="P40" s="1043">
        <v>16665622.68</v>
      </c>
      <c r="Q40" s="1043">
        <v>16703745.99</v>
      </c>
      <c r="R40" s="1043">
        <v>16702163.310000001</v>
      </c>
      <c r="S40" s="1043">
        <v>16700258.720000001</v>
      </c>
      <c r="T40" s="1043">
        <v>16700258.720000001</v>
      </c>
      <c r="U40" s="1043">
        <v>16970864.620000001</v>
      </c>
      <c r="V40" s="1043">
        <v>16383150.529999999</v>
      </c>
      <c r="W40" s="1043">
        <v>16411782.029999999</v>
      </c>
      <c r="X40" s="1043">
        <v>16428679.1</v>
      </c>
      <c r="Y40" s="1043">
        <v>16428679.1</v>
      </c>
      <c r="Z40" s="1043">
        <v>16428679.1</v>
      </c>
      <c r="AA40" s="1043">
        <v>16427289.48</v>
      </c>
      <c r="AB40" s="1043">
        <v>16427289.48</v>
      </c>
      <c r="AC40" s="1043">
        <v>16417930.119999999</v>
      </c>
      <c r="AD40" s="1043">
        <v>16519517.130000001</v>
      </c>
      <c r="AE40" s="1043">
        <v>16505532.220000001</v>
      </c>
      <c r="AF40" s="1043"/>
      <c r="AG40" s="1046">
        <f>SUM(AG38:AG39)</f>
        <v>16512251.24</v>
      </c>
      <c r="AI40" s="1046">
        <f>AE40</f>
        <v>16505532.220000001</v>
      </c>
      <c r="AJ40" s="1046">
        <f>AG40</f>
        <v>16512251.24</v>
      </c>
      <c r="AK40" s="1046">
        <f>SUM(AK38:AK39)</f>
        <v>15888410.48505421</v>
      </c>
      <c r="AL40" s="1046">
        <f>SUM(AL38:AL39)</f>
        <v>15866355.760000004</v>
      </c>
      <c r="AM40" s="1046">
        <f t="shared" ref="AM40:AN40" si="15">SUM(AM38:AM39)</f>
        <v>15866355.760000005</v>
      </c>
      <c r="AN40" s="1046">
        <f t="shared" si="15"/>
        <v>15866355.760000004</v>
      </c>
      <c r="AP40" s="133">
        <f t="shared" si="3"/>
        <v>15866355.760000005</v>
      </c>
      <c r="AQ40" s="606">
        <f>SUM(AQ38:AQ39)</f>
        <v>-639176.45999999635</v>
      </c>
      <c r="AR40" s="225">
        <f t="shared" si="1"/>
        <v>33</v>
      </c>
      <c r="AS40" s="225">
        <f t="shared" si="1"/>
        <v>28</v>
      </c>
      <c r="AT40" s="186"/>
      <c r="AU40" s="102"/>
      <c r="AV40" s="102"/>
      <c r="AW40" s="102" t="s">
        <v>170</v>
      </c>
      <c r="AX40" s="102"/>
      <c r="AY40" s="116">
        <f>AI40</f>
        <v>16505532.220000001</v>
      </c>
      <c r="AZ40" s="116">
        <f>AJ40</f>
        <v>16512251.24</v>
      </c>
      <c r="BA40" s="95">
        <f t="shared" si="14"/>
        <v>6719.019999999553</v>
      </c>
    </row>
    <row r="41" spans="1:53">
      <c r="A41" s="250">
        <f t="shared" si="0"/>
        <v>970</v>
      </c>
      <c r="B41" s="102"/>
      <c r="C41" s="102"/>
      <c r="D41" s="102"/>
      <c r="E41" s="102"/>
      <c r="F41" s="102"/>
      <c r="G41" s="102"/>
      <c r="AR41" s="225">
        <f t="shared" si="1"/>
        <v>34</v>
      </c>
      <c r="AS41" s="225">
        <f t="shared" si="1"/>
        <v>29</v>
      </c>
      <c r="AT41" s="186"/>
      <c r="AU41" s="102"/>
      <c r="AV41" s="102"/>
      <c r="AW41" s="102"/>
      <c r="AX41" s="102"/>
      <c r="AY41" s="116"/>
    </row>
    <row r="42" spans="1:53">
      <c r="A42" s="250">
        <f t="shared" si="0"/>
        <v>971</v>
      </c>
      <c r="B42" s="102" t="s">
        <v>244</v>
      </c>
      <c r="C42" s="102" t="s">
        <v>245</v>
      </c>
      <c r="D42" s="102"/>
      <c r="E42" s="102"/>
      <c r="F42" s="102"/>
      <c r="G42" s="102"/>
      <c r="AR42" s="225">
        <f t="shared" si="1"/>
        <v>35</v>
      </c>
      <c r="AS42" s="225">
        <f t="shared" si="1"/>
        <v>30</v>
      </c>
      <c r="AT42" s="186"/>
      <c r="AU42" s="102" t="s">
        <v>244</v>
      </c>
      <c r="AV42" s="102" t="s">
        <v>245</v>
      </c>
      <c r="AW42" s="102"/>
      <c r="AX42" s="102"/>
      <c r="AY42" s="116"/>
    </row>
    <row r="43" spans="1:53">
      <c r="A43" s="250">
        <f t="shared" si="0"/>
        <v>972</v>
      </c>
      <c r="B43" s="102"/>
      <c r="C43" s="102"/>
      <c r="D43" s="102" t="s">
        <v>57</v>
      </c>
      <c r="E43" s="102"/>
      <c r="F43" s="102"/>
      <c r="G43" s="102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33"/>
      <c r="AI43" s="133"/>
      <c r="AJ43" s="133"/>
      <c r="AK43" s="133"/>
      <c r="AL43" s="133"/>
      <c r="AM43" s="133"/>
      <c r="AN43" s="133"/>
      <c r="AP43" s="133">
        <f t="shared" si="3"/>
        <v>0</v>
      </c>
      <c r="AQ43" s="606"/>
      <c r="AR43" s="225">
        <f t="shared" si="1"/>
        <v>36</v>
      </c>
      <c r="AS43" s="225">
        <f t="shared" si="1"/>
        <v>31</v>
      </c>
      <c r="AT43" s="186"/>
      <c r="AU43" s="102"/>
      <c r="AV43" s="102" t="s">
        <v>57</v>
      </c>
      <c r="AW43" s="102"/>
      <c r="AX43" s="102"/>
      <c r="AY43" s="116"/>
    </row>
    <row r="44" spans="1:53">
      <c r="A44" s="250">
        <f t="shared" si="0"/>
        <v>973</v>
      </c>
      <c r="B44" s="102"/>
      <c r="C44" s="102"/>
      <c r="D44" s="102" t="s">
        <v>532</v>
      </c>
      <c r="E44" s="102"/>
      <c r="F44" s="102"/>
      <c r="G44" s="102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33"/>
      <c r="AI44" s="133"/>
      <c r="AJ44" s="133"/>
      <c r="AK44" s="133"/>
      <c r="AL44" s="133"/>
      <c r="AM44" s="133"/>
      <c r="AN44" s="133"/>
      <c r="AP44" s="133">
        <f t="shared" si="3"/>
        <v>0</v>
      </c>
      <c r="AQ44" s="606"/>
      <c r="AR44" s="225">
        <f t="shared" si="1"/>
        <v>37</v>
      </c>
      <c r="AS44" s="225">
        <f t="shared" si="1"/>
        <v>32</v>
      </c>
      <c r="AT44" s="186"/>
      <c r="AU44" s="102"/>
      <c r="AV44" s="102" t="s">
        <v>532</v>
      </c>
      <c r="AW44" s="102"/>
      <c r="AX44" s="102"/>
      <c r="AY44" s="116"/>
    </row>
    <row r="45" spans="1:53">
      <c r="A45" s="250">
        <f t="shared" si="0"/>
        <v>974</v>
      </c>
      <c r="B45" s="102"/>
      <c r="C45" s="102"/>
      <c r="D45" s="102" t="s">
        <v>533</v>
      </c>
      <c r="E45" s="102"/>
      <c r="F45" s="102"/>
      <c r="G45" s="102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33"/>
      <c r="AI45" s="133"/>
      <c r="AJ45" s="133"/>
      <c r="AK45" s="133"/>
      <c r="AL45" s="133"/>
      <c r="AM45" s="133"/>
      <c r="AN45" s="133"/>
      <c r="AP45" s="133">
        <f t="shared" si="3"/>
        <v>0</v>
      </c>
      <c r="AQ45" s="606"/>
      <c r="AR45" s="225">
        <f t="shared" si="1"/>
        <v>38</v>
      </c>
      <c r="AS45" s="225">
        <f t="shared" si="1"/>
        <v>33</v>
      </c>
      <c r="AT45" s="186"/>
      <c r="AU45" s="102"/>
      <c r="AV45" s="102" t="s">
        <v>533</v>
      </c>
      <c r="AW45" s="102"/>
      <c r="AX45" s="102"/>
      <c r="AY45" s="116"/>
    </row>
    <row r="46" spans="1:53">
      <c r="A46" s="250">
        <f t="shared" si="0"/>
        <v>975</v>
      </c>
      <c r="B46" s="102"/>
      <c r="C46" s="102"/>
      <c r="D46" s="102" t="s">
        <v>534</v>
      </c>
      <c r="E46" s="102"/>
      <c r="F46" s="102"/>
      <c r="G46" s="102"/>
      <c r="H46" s="116">
        <v>37368409.469999999</v>
      </c>
      <c r="I46" s="116">
        <v>37099379.259999998</v>
      </c>
      <c r="J46" s="116">
        <v>37572570.119999997</v>
      </c>
      <c r="K46" s="116">
        <v>37336653.140000001</v>
      </c>
      <c r="L46" s="116">
        <v>37203417.109999999</v>
      </c>
      <c r="M46" s="116">
        <v>37386319.950000003</v>
      </c>
      <c r="N46" s="116">
        <v>37424582.140000001</v>
      </c>
      <c r="O46" s="116">
        <v>37816474.769999996</v>
      </c>
      <c r="P46" s="116">
        <v>37827950.850000001</v>
      </c>
      <c r="Q46" s="116">
        <v>37934373.75</v>
      </c>
      <c r="R46" s="116">
        <v>38402677.700000003</v>
      </c>
      <c r="S46" s="116">
        <v>39044359.799999997</v>
      </c>
      <c r="T46" s="116">
        <v>39090198.479999997</v>
      </c>
      <c r="U46" s="116">
        <v>39250212.109999999</v>
      </c>
      <c r="V46" s="116">
        <v>39192146.390000001</v>
      </c>
      <c r="W46" s="116">
        <v>39229270.780000001</v>
      </c>
      <c r="X46" s="116">
        <v>39231919.189999998</v>
      </c>
      <c r="Y46" s="116">
        <v>39235900.380000003</v>
      </c>
      <c r="Z46" s="116">
        <v>39238064.979999997</v>
      </c>
      <c r="AA46" s="116">
        <v>39357142.270000003</v>
      </c>
      <c r="AB46" s="116">
        <v>39357142.270000003</v>
      </c>
      <c r="AC46" s="116">
        <v>40238540.549999997</v>
      </c>
      <c r="AD46" s="116">
        <v>40419135.759999998</v>
      </c>
      <c r="AE46" s="116">
        <v>41533025.009999998</v>
      </c>
      <c r="AF46" s="116"/>
      <c r="AG46" s="133">
        <f>(SUM(T46:AD46)+(0.5*AE46)+(0.5*S46))/12</f>
        <v>39510697.130416662</v>
      </c>
      <c r="AI46" s="133">
        <f>AE46</f>
        <v>41533025.009999998</v>
      </c>
      <c r="AJ46" s="133">
        <f>AG46</f>
        <v>39510697.130416662</v>
      </c>
      <c r="AK46" s="133">
        <f ca="1">+'RB FORECAST'!AJ48</f>
        <v>43034954.38446077</v>
      </c>
      <c r="AL46" s="133">
        <f ca="1">+'RB FORECAST'!AG48</f>
        <v>45140094.047994956</v>
      </c>
      <c r="AM46" s="133">
        <f ca="1">+'RB FORECAST'!BA48</f>
        <v>46695894.718536623</v>
      </c>
      <c r="AN46" s="133">
        <f ca="1">+'RB FORECAST'!AW48</f>
        <v>48876541.662262745</v>
      </c>
      <c r="AP46" s="133">
        <f t="shared" ca="1" si="3"/>
        <v>46695894.718536623</v>
      </c>
      <c r="AQ46" s="606">
        <f ca="1">AP46-AE46</f>
        <v>5162869.7085366249</v>
      </c>
      <c r="AR46" s="225">
        <f t="shared" si="1"/>
        <v>39</v>
      </c>
      <c r="AS46" s="225">
        <f t="shared" si="1"/>
        <v>34</v>
      </c>
      <c r="AT46" s="186"/>
      <c r="AU46" s="102"/>
      <c r="AV46" s="102" t="s">
        <v>534</v>
      </c>
      <c r="AW46" s="102" t="s">
        <v>24</v>
      </c>
      <c r="AX46" s="102"/>
      <c r="AY46" s="116">
        <f>+AE46</f>
        <v>41533025.009999998</v>
      </c>
      <c r="AZ46" s="95">
        <f ca="1">AP46</f>
        <v>46695894.718536623</v>
      </c>
      <c r="BA46" s="95">
        <f ca="1">AZ46-AY46</f>
        <v>5162869.7085366249</v>
      </c>
    </row>
    <row r="47" spans="1:53">
      <c r="A47" s="250">
        <f>+A46+1</f>
        <v>976</v>
      </c>
      <c r="B47" s="102"/>
      <c r="C47" s="102"/>
      <c r="D47" s="102" t="s">
        <v>535</v>
      </c>
      <c r="E47" s="102"/>
      <c r="F47" s="102"/>
      <c r="G47" s="102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33"/>
      <c r="AI47" s="133"/>
      <c r="AJ47" s="133"/>
      <c r="AK47" s="133"/>
      <c r="AL47" s="133"/>
      <c r="AM47" s="133"/>
      <c r="AN47" s="133"/>
      <c r="AP47" s="133">
        <f t="shared" si="3"/>
        <v>0</v>
      </c>
      <c r="AQ47" s="606"/>
      <c r="AR47" s="225">
        <f t="shared" ref="AR47:AR106" si="16">+AR46+1</f>
        <v>40</v>
      </c>
      <c r="AS47" s="225">
        <f t="shared" ref="AS47:AS106" si="17">+AS46+1</f>
        <v>35</v>
      </c>
      <c r="AT47" s="186"/>
      <c r="AU47" s="102"/>
      <c r="AV47" s="102" t="s">
        <v>535</v>
      </c>
      <c r="AW47" s="102"/>
      <c r="AX47" s="102"/>
      <c r="AY47" s="116"/>
    </row>
    <row r="48" spans="1:53">
      <c r="A48" s="250">
        <f t="shared" si="0"/>
        <v>977</v>
      </c>
      <c r="B48" s="102"/>
      <c r="C48" s="102"/>
      <c r="D48" s="102" t="s">
        <v>536</v>
      </c>
      <c r="E48" s="102"/>
      <c r="F48" s="102"/>
      <c r="G48" s="102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33"/>
      <c r="AI48" s="133"/>
      <c r="AJ48" s="133"/>
      <c r="AK48" s="133"/>
      <c r="AL48" s="133"/>
      <c r="AM48" s="133"/>
      <c r="AN48" s="133"/>
      <c r="AP48" s="133">
        <f t="shared" si="3"/>
        <v>0</v>
      </c>
      <c r="AQ48" s="606"/>
      <c r="AR48" s="225">
        <f t="shared" si="16"/>
        <v>41</v>
      </c>
      <c r="AS48" s="225">
        <f t="shared" si="17"/>
        <v>36</v>
      </c>
      <c r="AT48" s="186"/>
      <c r="AU48" s="102"/>
      <c r="AV48" s="102" t="s">
        <v>536</v>
      </c>
      <c r="AW48" s="102"/>
      <c r="AX48" s="102"/>
      <c r="AY48" s="116"/>
    </row>
    <row r="49" spans="1:53">
      <c r="A49" s="250">
        <f t="shared" si="0"/>
        <v>978</v>
      </c>
      <c r="B49" s="102"/>
      <c r="C49" s="102"/>
      <c r="D49" s="102" t="s">
        <v>537</v>
      </c>
      <c r="E49" s="102"/>
      <c r="F49" s="102"/>
      <c r="G49" s="102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33"/>
      <c r="AI49" s="133"/>
      <c r="AJ49" s="133"/>
      <c r="AK49" s="133"/>
      <c r="AL49" s="133"/>
      <c r="AM49" s="133"/>
      <c r="AN49" s="133"/>
      <c r="AP49" s="133">
        <f t="shared" si="3"/>
        <v>0</v>
      </c>
      <c r="AQ49" s="606"/>
      <c r="AR49" s="225">
        <f t="shared" si="16"/>
        <v>42</v>
      </c>
      <c r="AS49" s="225">
        <f t="shared" si="17"/>
        <v>37</v>
      </c>
      <c r="AT49" s="186"/>
      <c r="AU49" s="102"/>
      <c r="AV49" s="102" t="s">
        <v>537</v>
      </c>
      <c r="AW49" s="102"/>
      <c r="AX49" s="102"/>
      <c r="AY49" s="116"/>
    </row>
    <row r="50" spans="1:53">
      <c r="A50" s="250">
        <f t="shared" si="0"/>
        <v>979</v>
      </c>
      <c r="B50" s="102"/>
      <c r="C50" s="102"/>
      <c r="D50" s="102" t="s">
        <v>538</v>
      </c>
      <c r="E50" s="102"/>
      <c r="F50" s="102"/>
      <c r="G50" s="102"/>
      <c r="H50" s="116">
        <v>1318449052.8299999</v>
      </c>
      <c r="I50" s="116">
        <v>1329882536.4400001</v>
      </c>
      <c r="J50" s="116">
        <v>1332949767.3300002</v>
      </c>
      <c r="K50" s="116">
        <v>1338520356.0599999</v>
      </c>
      <c r="L50" s="116">
        <v>1341191216.5400002</v>
      </c>
      <c r="M50" s="116">
        <v>1343267144.0599999</v>
      </c>
      <c r="N50" s="116">
        <v>1348136796.9699998</v>
      </c>
      <c r="O50" s="116">
        <v>1362940251.9200001</v>
      </c>
      <c r="P50" s="116">
        <v>1412065207.9000001</v>
      </c>
      <c r="Q50" s="116">
        <v>1434797260.78</v>
      </c>
      <c r="R50" s="116">
        <v>1439989573.2</v>
      </c>
      <c r="S50" s="116">
        <v>1447530588.71</v>
      </c>
      <c r="T50" s="116">
        <v>1449459876.51</v>
      </c>
      <c r="U50" s="116">
        <v>1450999382.7700002</v>
      </c>
      <c r="V50" s="116">
        <v>1461271901.6499999</v>
      </c>
      <c r="W50" s="116">
        <v>1475408774.5599999</v>
      </c>
      <c r="X50" s="116">
        <v>1476524363.8699999</v>
      </c>
      <c r="Y50" s="116">
        <v>1480318381.7299998</v>
      </c>
      <c r="Z50" s="116">
        <v>1480556610.52</v>
      </c>
      <c r="AA50" s="116">
        <v>1522276861.23</v>
      </c>
      <c r="AB50" s="116">
        <v>1523217908.1600001</v>
      </c>
      <c r="AC50" s="116">
        <v>1544971823.96</v>
      </c>
      <c r="AD50" s="116">
        <v>1549562102.5699999</v>
      </c>
      <c r="AE50" s="116">
        <v>1555365511.3599999</v>
      </c>
      <c r="AF50" s="256"/>
      <c r="AG50" s="395">
        <f>(SUM(T50:AD50)+(0.5*AE50)+(0.5*S50))/12</f>
        <v>1493001336.4637499</v>
      </c>
      <c r="AI50" s="395">
        <f>AE50</f>
        <v>1555365511.3599999</v>
      </c>
      <c r="AJ50" s="395">
        <f>AG50</f>
        <v>1493001336.4637499</v>
      </c>
      <c r="AK50" s="133">
        <f ca="1">+'RB FORECAST'!AJ52</f>
        <v>1611611093.0139329</v>
      </c>
      <c r="AL50" s="133">
        <f ca="1">+'RB FORECAST'!AG52</f>
        <v>1690446227.908844</v>
      </c>
      <c r="AM50" s="133">
        <f ca="1">+'RB FORECAST'!BA52</f>
        <v>1748709229.5786879</v>
      </c>
      <c r="AN50" s="133">
        <f ca="1">+'RB FORECAST'!AW52</f>
        <v>1830372027.9880881</v>
      </c>
      <c r="AP50" s="395">
        <f t="shared" ca="1" si="3"/>
        <v>1748709229.5786879</v>
      </c>
      <c r="AQ50" s="609">
        <f ca="1">AP50-AE50</f>
        <v>193343718.21868801</v>
      </c>
      <c r="AR50" s="225">
        <f t="shared" si="16"/>
        <v>43</v>
      </c>
      <c r="AS50" s="225">
        <f t="shared" si="17"/>
        <v>38</v>
      </c>
      <c r="AT50" s="186"/>
      <c r="AU50" s="102"/>
      <c r="AV50" s="102" t="s">
        <v>538</v>
      </c>
      <c r="AW50" s="102"/>
      <c r="AX50" s="102"/>
      <c r="AY50" s="116">
        <f>+AE50</f>
        <v>1555365511.3599999</v>
      </c>
      <c r="AZ50" s="95">
        <f ca="1">AP50</f>
        <v>1748709229.5786879</v>
      </c>
      <c r="BA50" s="95">
        <f ca="1">AZ50-AY50</f>
        <v>193343718.21868801</v>
      </c>
    </row>
    <row r="51" spans="1:53">
      <c r="A51" s="250">
        <f>+A50+1</f>
        <v>980</v>
      </c>
      <c r="B51" s="102"/>
      <c r="C51" s="102"/>
      <c r="D51" s="102" t="s">
        <v>170</v>
      </c>
      <c r="E51" s="102"/>
      <c r="F51" s="102"/>
      <c r="G51" s="102"/>
      <c r="H51" s="1043">
        <v>1355817462.3</v>
      </c>
      <c r="I51" s="1043">
        <v>1366981915.7</v>
      </c>
      <c r="J51" s="1043">
        <v>1370522337.45</v>
      </c>
      <c r="K51" s="1043">
        <v>1375857009.2</v>
      </c>
      <c r="L51" s="1043">
        <v>1378394633.6500001</v>
      </c>
      <c r="M51" s="1043">
        <v>1380653464.01</v>
      </c>
      <c r="N51" s="1043">
        <v>1385561379.1099999</v>
      </c>
      <c r="O51" s="1043">
        <v>1400756726.6900001</v>
      </c>
      <c r="P51" s="1043">
        <v>1449893158.75</v>
      </c>
      <c r="Q51" s="1043">
        <v>1472731634.53</v>
      </c>
      <c r="R51" s="1043">
        <v>1478392250.9000001</v>
      </c>
      <c r="S51" s="1043">
        <v>1486574948.51</v>
      </c>
      <c r="T51" s="1043">
        <v>1488550074.99</v>
      </c>
      <c r="U51" s="1043">
        <v>1490249594.8800001</v>
      </c>
      <c r="V51" s="1043">
        <v>1500464048.04</v>
      </c>
      <c r="W51" s="1043">
        <v>1514638045.3399999</v>
      </c>
      <c r="X51" s="1043">
        <v>1515756283.0599999</v>
      </c>
      <c r="Y51" s="1043">
        <v>1519554282.1099999</v>
      </c>
      <c r="Z51" s="1043">
        <v>1519794675.5</v>
      </c>
      <c r="AA51" s="1043">
        <v>1561634003.5</v>
      </c>
      <c r="AB51" s="1043">
        <v>1562575050.4300001</v>
      </c>
      <c r="AC51" s="1043">
        <v>1585210364.51</v>
      </c>
      <c r="AD51" s="1043">
        <v>1589981238.3299999</v>
      </c>
      <c r="AE51" s="1043">
        <v>1596898536.3699999</v>
      </c>
      <c r="AF51" s="1043"/>
      <c r="AG51" s="1046">
        <f>SUM(AG46:AG50)</f>
        <v>1532512033.5941665</v>
      </c>
      <c r="AI51" s="1046">
        <f>AE51</f>
        <v>1596898536.3699999</v>
      </c>
      <c r="AJ51" s="1046">
        <f>AG51</f>
        <v>1532512033.5941665</v>
      </c>
      <c r="AK51" s="1046">
        <f ca="1">SUM(AK46:AK50)</f>
        <v>1654646047.3983936</v>
      </c>
      <c r="AL51" s="1046">
        <f ca="1">SUM(AL46:AL50)</f>
        <v>1735586321.9568388</v>
      </c>
      <c r="AM51" s="1046">
        <f t="shared" ref="AM51:AN51" ca="1" si="18">SUM(AM46:AM50)</f>
        <v>1795405124.2972245</v>
      </c>
      <c r="AN51" s="1046">
        <f t="shared" ca="1" si="18"/>
        <v>1879248569.6503508</v>
      </c>
      <c r="AP51" s="133">
        <f t="shared" ca="1" si="3"/>
        <v>1795405124.2972245</v>
      </c>
      <c r="AQ51" s="606">
        <f ca="1">AQ50+AQ46</f>
        <v>198506587.92722464</v>
      </c>
      <c r="AR51" s="225">
        <f t="shared" si="16"/>
        <v>44</v>
      </c>
      <c r="AS51" s="225">
        <f t="shared" si="17"/>
        <v>39</v>
      </c>
      <c r="AT51" s="186"/>
      <c r="AU51" s="102"/>
      <c r="AV51" s="102"/>
      <c r="AW51" s="102" t="s">
        <v>170</v>
      </c>
      <c r="AX51" s="102"/>
      <c r="AY51" s="116">
        <f>AI51</f>
        <v>1596898536.3699999</v>
      </c>
      <c r="AZ51" s="116">
        <f>AJ51</f>
        <v>1532512033.5941665</v>
      </c>
      <c r="BA51" s="95">
        <f>AZ51-AY51</f>
        <v>-64386502.775833368</v>
      </c>
    </row>
    <row r="52" spans="1:53">
      <c r="A52" s="250">
        <f t="shared" ref="A52:A110" si="19">+A51+1</f>
        <v>981</v>
      </c>
      <c r="B52" s="102"/>
      <c r="C52" s="102"/>
      <c r="D52" s="102"/>
      <c r="E52" s="102"/>
      <c r="F52" s="102"/>
      <c r="G52" s="102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33"/>
      <c r="AI52" s="133"/>
      <c r="AJ52" s="133"/>
      <c r="AK52" s="133"/>
      <c r="AL52" s="133"/>
      <c r="AM52" s="133"/>
      <c r="AN52" s="133"/>
      <c r="AP52" s="133"/>
      <c r="AQ52" s="606"/>
      <c r="AR52" s="225">
        <f t="shared" si="16"/>
        <v>45</v>
      </c>
      <c r="AS52" s="225">
        <f t="shared" si="17"/>
        <v>40</v>
      </c>
      <c r="AT52" s="186"/>
      <c r="AU52" s="102"/>
      <c r="AV52" s="102"/>
      <c r="AW52" s="102"/>
      <c r="AX52" s="102"/>
      <c r="AY52" s="116"/>
    </row>
    <row r="53" spans="1:53">
      <c r="A53" s="250">
        <f t="shared" si="19"/>
        <v>982</v>
      </c>
      <c r="B53" s="102" t="s">
        <v>246</v>
      </c>
      <c r="C53" s="102" t="s">
        <v>248</v>
      </c>
      <c r="D53" s="102"/>
      <c r="E53" s="102"/>
      <c r="F53" s="102"/>
      <c r="G53" s="102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33"/>
      <c r="AI53" s="133"/>
      <c r="AJ53" s="133"/>
      <c r="AK53" s="133"/>
      <c r="AL53" s="133"/>
      <c r="AM53" s="133"/>
      <c r="AN53" s="133"/>
      <c r="AP53" s="133"/>
      <c r="AQ53" s="606"/>
      <c r="AR53" s="225">
        <f t="shared" si="16"/>
        <v>46</v>
      </c>
      <c r="AS53" s="225">
        <f t="shared" si="17"/>
        <v>41</v>
      </c>
      <c r="AT53" s="186"/>
      <c r="AU53" s="102" t="s">
        <v>246</v>
      </c>
      <c r="AV53" s="102" t="s">
        <v>248</v>
      </c>
      <c r="AW53" s="102"/>
      <c r="AX53" s="102"/>
      <c r="AY53" s="116"/>
    </row>
    <row r="54" spans="1:53">
      <c r="A54" s="250">
        <f t="shared" si="19"/>
        <v>983</v>
      </c>
      <c r="B54" s="102"/>
      <c r="C54" s="102"/>
      <c r="D54" s="102" t="s">
        <v>24</v>
      </c>
      <c r="E54" s="102"/>
      <c r="F54" s="102"/>
      <c r="G54" s="102"/>
      <c r="H54" s="116">
        <v>0</v>
      </c>
      <c r="I54" s="116">
        <v>0</v>
      </c>
      <c r="J54" s="116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v>0</v>
      </c>
      <c r="R54" s="116">
        <v>0</v>
      </c>
      <c r="S54" s="116">
        <v>0</v>
      </c>
      <c r="T54" s="116">
        <v>0</v>
      </c>
      <c r="U54" s="116">
        <v>0</v>
      </c>
      <c r="V54" s="116">
        <v>0</v>
      </c>
      <c r="W54" s="116">
        <v>0</v>
      </c>
      <c r="X54" s="116">
        <v>0</v>
      </c>
      <c r="Y54" s="116">
        <v>0</v>
      </c>
      <c r="Z54" s="116">
        <v>0</v>
      </c>
      <c r="AA54" s="116">
        <v>0</v>
      </c>
      <c r="AB54" s="116">
        <v>0</v>
      </c>
      <c r="AC54" s="116">
        <v>0</v>
      </c>
      <c r="AD54" s="116">
        <v>0</v>
      </c>
      <c r="AE54" s="116">
        <v>0</v>
      </c>
      <c r="AF54" s="116"/>
      <c r="AG54" s="133">
        <f>(SUM(T54:AD54)+(0.5*AE54)+(0.5*S54))/12</f>
        <v>0</v>
      </c>
      <c r="AI54" s="133"/>
      <c r="AJ54" s="133"/>
      <c r="AK54" s="133">
        <f ca="1">+'RB FORECAST'!AJ56</f>
        <v>0</v>
      </c>
      <c r="AL54" s="133">
        <f ca="1">+'RB FORECAST'!AG56</f>
        <v>0</v>
      </c>
      <c r="AM54" s="133">
        <f ca="1">+'RB FORECAST'!BA56</f>
        <v>0</v>
      </c>
      <c r="AN54" s="133">
        <f ca="1">+'RB FORECAST'!AW56</f>
        <v>0</v>
      </c>
      <c r="AP54" s="133">
        <f t="shared" ca="1" si="3"/>
        <v>0</v>
      </c>
      <c r="AQ54" s="606"/>
      <c r="AR54" s="225">
        <f t="shared" si="16"/>
        <v>47</v>
      </c>
      <c r="AS54" s="225">
        <f t="shared" si="17"/>
        <v>42</v>
      </c>
      <c r="AT54" s="186"/>
      <c r="AU54" s="102"/>
      <c r="AV54" s="102"/>
      <c r="AW54" s="102" t="s">
        <v>24</v>
      </c>
      <c r="AX54" s="102"/>
      <c r="AY54" s="116">
        <f>+AE54</f>
        <v>0</v>
      </c>
      <c r="AZ54" s="95">
        <f ca="1">AP54</f>
        <v>0</v>
      </c>
      <c r="BA54" s="95">
        <f ca="1">AZ54-AY54</f>
        <v>0</v>
      </c>
    </row>
    <row r="55" spans="1:53">
      <c r="A55" s="250">
        <f t="shared" si="19"/>
        <v>984</v>
      </c>
      <c r="B55" s="102"/>
      <c r="C55" s="102"/>
      <c r="D55" s="102" t="s">
        <v>14</v>
      </c>
      <c r="E55" s="102"/>
      <c r="F55" s="102"/>
      <c r="G55" s="102"/>
      <c r="H55" s="116">
        <v>18242697.75</v>
      </c>
      <c r="I55" s="116">
        <v>18242697.75</v>
      </c>
      <c r="J55" s="116">
        <v>18247797</v>
      </c>
      <c r="K55" s="116">
        <v>18298163.77</v>
      </c>
      <c r="L55" s="116">
        <v>18299037.550000001</v>
      </c>
      <c r="M55" s="116">
        <v>18299037.550000001</v>
      </c>
      <c r="N55" s="116">
        <v>18299037.550000001</v>
      </c>
      <c r="O55" s="116">
        <v>18299037.550000001</v>
      </c>
      <c r="P55" s="116">
        <v>18299037.550000001</v>
      </c>
      <c r="Q55" s="116">
        <v>18299037.550000001</v>
      </c>
      <c r="R55" s="116">
        <v>18299037.550000001</v>
      </c>
      <c r="S55" s="116">
        <v>18299037.550000001</v>
      </c>
      <c r="T55" s="116">
        <v>18299037.550000001</v>
      </c>
      <c r="U55" s="116">
        <v>18299037.550000001</v>
      </c>
      <c r="V55" s="116">
        <v>14286566.039999999</v>
      </c>
      <c r="W55" s="116">
        <v>14286566.039999999</v>
      </c>
      <c r="X55" s="116">
        <v>14286566.039999999</v>
      </c>
      <c r="Y55" s="116">
        <v>14286566.039999999</v>
      </c>
      <c r="Z55" s="116">
        <v>14286566.039999999</v>
      </c>
      <c r="AA55" s="116">
        <v>14286566.039999999</v>
      </c>
      <c r="AB55" s="116">
        <v>14286566.039999999</v>
      </c>
      <c r="AC55" s="116">
        <v>14286566.039999999</v>
      </c>
      <c r="AD55" s="116">
        <v>14286566.039999999</v>
      </c>
      <c r="AE55" s="116">
        <v>14286566.039999999</v>
      </c>
      <c r="AF55" s="256"/>
      <c r="AG55" s="395">
        <f>(SUM(T55:AD55)+(0.5*AE55)+(0.5*S55))/12</f>
        <v>15122497.60458333</v>
      </c>
      <c r="AI55" s="395">
        <f>AE55</f>
        <v>14286566.039999999</v>
      </c>
      <c r="AJ55" s="395">
        <f>AG55</f>
        <v>15122497.60458333</v>
      </c>
      <c r="AK55" s="133">
        <f ca="1">+'RB FORECAST'!AJ57</f>
        <v>11076052.630000001</v>
      </c>
      <c r="AL55" s="133">
        <f ca="1">+'RB FORECAST'!AG57</f>
        <v>10231180.68</v>
      </c>
      <c r="AM55" s="133">
        <f ca="1">+'RB FORECAST'!BA57</f>
        <v>7305234.9440095425</v>
      </c>
      <c r="AN55" s="133">
        <f ca="1">+'RB FORECAST'!AW57</f>
        <v>6535249.2240120526</v>
      </c>
      <c r="AP55" s="395">
        <f t="shared" ca="1" si="3"/>
        <v>7305234.9440095425</v>
      </c>
      <c r="AQ55" s="609">
        <f ca="1">AP55-AE55</f>
        <v>-6981331.0959904566</v>
      </c>
      <c r="AR55" s="225">
        <f t="shared" si="16"/>
        <v>48</v>
      </c>
      <c r="AS55" s="225">
        <f t="shared" si="17"/>
        <v>43</v>
      </c>
      <c r="AT55" s="186"/>
      <c r="AU55" s="102"/>
      <c r="AV55" s="102"/>
      <c r="AW55" s="102" t="s">
        <v>14</v>
      </c>
      <c r="AX55" s="102"/>
      <c r="AY55" s="116">
        <f>+AE55</f>
        <v>14286566.039999999</v>
      </c>
      <c r="AZ55" s="95">
        <f ca="1">AP55</f>
        <v>7305234.9440095425</v>
      </c>
      <c r="BA55" s="95">
        <f ca="1">AZ55-AY55</f>
        <v>-6981331.0959904566</v>
      </c>
    </row>
    <row r="56" spans="1:53">
      <c r="A56" s="250">
        <f t="shared" si="19"/>
        <v>985</v>
      </c>
      <c r="B56" s="102"/>
      <c r="C56" s="102"/>
      <c r="D56" s="102" t="s">
        <v>170</v>
      </c>
      <c r="E56" s="102"/>
      <c r="F56" s="102"/>
      <c r="G56" s="102"/>
      <c r="H56" s="1043">
        <v>18242697.75</v>
      </c>
      <c r="I56" s="1043">
        <v>18242697.75</v>
      </c>
      <c r="J56" s="1043">
        <v>18247797</v>
      </c>
      <c r="K56" s="1043">
        <v>18298163.77</v>
      </c>
      <c r="L56" s="1043">
        <v>18299037.550000001</v>
      </c>
      <c r="M56" s="1043">
        <v>18299037.550000001</v>
      </c>
      <c r="N56" s="1043">
        <v>18299037.550000001</v>
      </c>
      <c r="O56" s="1043">
        <v>18299037.550000001</v>
      </c>
      <c r="P56" s="1043">
        <v>18299037.550000001</v>
      </c>
      <c r="Q56" s="1043">
        <v>18299037.550000001</v>
      </c>
      <c r="R56" s="1043">
        <v>18299037.550000001</v>
      </c>
      <c r="S56" s="1043">
        <v>18299037.550000001</v>
      </c>
      <c r="T56" s="1043">
        <v>18299037.550000001</v>
      </c>
      <c r="U56" s="1043">
        <v>18299037.550000001</v>
      </c>
      <c r="V56" s="1043">
        <v>14286566.039999999</v>
      </c>
      <c r="W56" s="1043">
        <v>14286566.039999999</v>
      </c>
      <c r="X56" s="1043">
        <v>14286566.039999999</v>
      </c>
      <c r="Y56" s="1043">
        <v>14286566.039999999</v>
      </c>
      <c r="Z56" s="1043">
        <v>14286566.039999999</v>
      </c>
      <c r="AA56" s="1043">
        <v>14286566.039999999</v>
      </c>
      <c r="AB56" s="1043">
        <v>14286566.039999999</v>
      </c>
      <c r="AC56" s="1043">
        <v>14286566.039999999</v>
      </c>
      <c r="AD56" s="1043">
        <v>14286566.039999999</v>
      </c>
      <c r="AE56" s="1043">
        <v>14286566.039999999</v>
      </c>
      <c r="AF56" s="1043"/>
      <c r="AG56" s="1046">
        <f>SUM(AG54:AG55)</f>
        <v>15122497.60458333</v>
      </c>
      <c r="AI56" s="1046">
        <f>AE56</f>
        <v>14286566.039999999</v>
      </c>
      <c r="AJ56" s="1046">
        <f>AG56</f>
        <v>15122497.60458333</v>
      </c>
      <c r="AK56" s="1046">
        <f ca="1">SUM(AK54:AK55)</f>
        <v>11076052.630000001</v>
      </c>
      <c r="AL56" s="1046">
        <f ca="1">SUM(AL54:AL55)</f>
        <v>10231180.68</v>
      </c>
      <c r="AM56" s="1046">
        <f t="shared" ref="AM56:AN56" ca="1" si="20">SUM(AM54:AM55)</f>
        <v>7305234.9440095425</v>
      </c>
      <c r="AN56" s="1046">
        <f t="shared" ca="1" si="20"/>
        <v>6535249.2240120526</v>
      </c>
      <c r="AP56" s="133">
        <f t="shared" ca="1" si="3"/>
        <v>7305234.9440095425</v>
      </c>
      <c r="AQ56" s="606">
        <f ca="1">SUM(AQ54:AQ55)</f>
        <v>-6981331.0959904566</v>
      </c>
      <c r="AR56" s="225">
        <f t="shared" si="16"/>
        <v>49</v>
      </c>
      <c r="AS56" s="225">
        <f t="shared" si="17"/>
        <v>44</v>
      </c>
      <c r="AT56" s="186"/>
      <c r="AU56" s="102"/>
      <c r="AV56" s="102"/>
      <c r="AW56" s="102" t="s">
        <v>170</v>
      </c>
      <c r="AX56" s="102"/>
      <c r="AY56" s="116">
        <f>AI56</f>
        <v>14286566.039999999</v>
      </c>
      <c r="AZ56" s="116">
        <f>AJ56</f>
        <v>15122497.60458333</v>
      </c>
      <c r="BA56" s="95">
        <f>AZ56-AY56</f>
        <v>835931.56458333135</v>
      </c>
    </row>
    <row r="57" spans="1:53">
      <c r="A57" s="250">
        <f t="shared" si="19"/>
        <v>986</v>
      </c>
      <c r="B57" s="102"/>
      <c r="C57" s="102"/>
      <c r="D57" s="102"/>
      <c r="E57" s="102"/>
      <c r="F57" s="102"/>
      <c r="G57" s="102"/>
      <c r="AR57" s="225">
        <f t="shared" si="16"/>
        <v>50</v>
      </c>
      <c r="AS57" s="225">
        <f t="shared" si="17"/>
        <v>45</v>
      </c>
      <c r="AT57" s="186"/>
      <c r="AU57" s="102"/>
      <c r="AV57" s="102"/>
      <c r="AW57" s="102"/>
      <c r="AX57" s="102"/>
      <c r="AY57" s="116"/>
    </row>
    <row r="58" spans="1:53">
      <c r="A58" s="250">
        <f t="shared" si="19"/>
        <v>987</v>
      </c>
      <c r="B58" s="102" t="s">
        <v>249</v>
      </c>
      <c r="C58" s="102" t="s">
        <v>250</v>
      </c>
      <c r="D58" s="102"/>
      <c r="E58" s="102"/>
      <c r="F58" s="102"/>
      <c r="G58" s="102"/>
      <c r="AR58" s="225">
        <f t="shared" si="16"/>
        <v>51</v>
      </c>
      <c r="AS58" s="225">
        <f t="shared" si="17"/>
        <v>46</v>
      </c>
      <c r="AT58" s="186"/>
      <c r="AU58" s="102" t="s">
        <v>249</v>
      </c>
      <c r="AV58" s="102" t="s">
        <v>250</v>
      </c>
      <c r="AW58" s="102"/>
      <c r="AX58" s="102"/>
      <c r="AY58" s="116"/>
    </row>
    <row r="59" spans="1:53">
      <c r="A59" s="250">
        <f t="shared" si="19"/>
        <v>988</v>
      </c>
      <c r="B59" s="102"/>
      <c r="C59" s="102"/>
      <c r="D59" s="102" t="s">
        <v>24</v>
      </c>
      <c r="E59" s="102"/>
      <c r="F59" s="102"/>
      <c r="G59" s="102"/>
      <c r="H59" s="116">
        <v>6604886.0199999996</v>
      </c>
      <c r="I59" s="116">
        <v>6886122.0199999996</v>
      </c>
      <c r="J59" s="116">
        <v>6954759.6100000003</v>
      </c>
      <c r="K59" s="116">
        <v>6947275.6500000004</v>
      </c>
      <c r="L59" s="116">
        <v>6951320.9000000004</v>
      </c>
      <c r="M59" s="116">
        <v>6952141.2199999997</v>
      </c>
      <c r="N59" s="116">
        <v>6952282.3200000003</v>
      </c>
      <c r="O59" s="116">
        <v>6952282.3200000003</v>
      </c>
      <c r="P59" s="116">
        <v>6952282.3200000003</v>
      </c>
      <c r="Q59" s="116">
        <v>7247108.5700000003</v>
      </c>
      <c r="R59" s="116">
        <v>7409635.5899999999</v>
      </c>
      <c r="S59" s="116">
        <v>7415821.6100000003</v>
      </c>
      <c r="T59" s="116">
        <v>7415821.6100000003</v>
      </c>
      <c r="U59" s="116">
        <v>7610196.4800000004</v>
      </c>
      <c r="V59" s="116">
        <v>7652724.2199999997</v>
      </c>
      <c r="W59" s="116">
        <v>7657526.3700000001</v>
      </c>
      <c r="X59" s="116">
        <v>7657526.3700000001</v>
      </c>
      <c r="Y59" s="116">
        <v>7657526.3700000001</v>
      </c>
      <c r="Z59" s="116">
        <v>7657526.3700000001</v>
      </c>
      <c r="AA59" s="116">
        <v>7657082.8099999996</v>
      </c>
      <c r="AB59" s="116">
        <v>7657082.8099999996</v>
      </c>
      <c r="AC59" s="116">
        <v>7657082.8099999996</v>
      </c>
      <c r="AD59" s="116">
        <v>7657082.8099999996</v>
      </c>
      <c r="AE59" s="116">
        <v>7646803.6600000001</v>
      </c>
      <c r="AF59" s="116"/>
      <c r="AG59" s="133">
        <f>(SUM(T59:AD59)+(0.5*AE59)+(0.5*S59))/12</f>
        <v>7622374.3054166669</v>
      </c>
      <c r="AI59" s="133">
        <f>AE59</f>
        <v>7646803.6600000001</v>
      </c>
      <c r="AJ59" s="133">
        <f>AG59</f>
        <v>7622374.3054166669</v>
      </c>
      <c r="AK59" s="133">
        <f ca="1">+'RB FORECAST'!AJ61</f>
        <v>8241799.8829919389</v>
      </c>
      <c r="AL59" s="133">
        <f ca="1">+'RB FORECAST'!AG61</f>
        <v>8902345.9236790296</v>
      </c>
      <c r="AM59" s="133">
        <f ca="1">+'RB FORECAST'!BA61</f>
        <v>9213822.3381012511</v>
      </c>
      <c r="AN59" s="133">
        <f ca="1">+'RB FORECAST'!AW61</f>
        <v>9559613.629480252</v>
      </c>
      <c r="AP59" s="133">
        <f t="shared" ca="1" si="3"/>
        <v>9213822.3381012511</v>
      </c>
      <c r="AQ59" s="606">
        <f ca="1">AP59-AE59</f>
        <v>1567018.6781012509</v>
      </c>
      <c r="AR59" s="225">
        <f t="shared" si="16"/>
        <v>52</v>
      </c>
      <c r="AS59" s="225">
        <f t="shared" si="17"/>
        <v>47</v>
      </c>
      <c r="AT59" s="186"/>
      <c r="AU59" s="102"/>
      <c r="AV59" s="102"/>
      <c r="AW59" s="102" t="s">
        <v>24</v>
      </c>
      <c r="AX59" s="102"/>
      <c r="AY59" s="116">
        <f>+AE59</f>
        <v>7646803.6600000001</v>
      </c>
      <c r="AZ59" s="95">
        <f ca="1">AP59</f>
        <v>9213822.3381012511</v>
      </c>
      <c r="BA59" s="95">
        <f ca="1">AZ59-AY59</f>
        <v>1567018.6781012509</v>
      </c>
    </row>
    <row r="60" spans="1:53">
      <c r="A60" s="250">
        <f t="shared" si="19"/>
        <v>989</v>
      </c>
      <c r="B60" s="102"/>
      <c r="C60" s="102"/>
      <c r="D60" s="102" t="s">
        <v>14</v>
      </c>
      <c r="E60" s="102"/>
      <c r="F60" s="102"/>
      <c r="G60" s="102"/>
      <c r="H60" s="116">
        <v>83854448.040000007</v>
      </c>
      <c r="I60" s="116">
        <v>83839175.590000004</v>
      </c>
      <c r="J60" s="116">
        <v>85544246.769999996</v>
      </c>
      <c r="K60" s="116">
        <v>85714816.079999998</v>
      </c>
      <c r="L60" s="116">
        <v>85856424.569999993</v>
      </c>
      <c r="M60" s="116">
        <v>85904406.329999998</v>
      </c>
      <c r="N60" s="116">
        <v>86483750.340000004</v>
      </c>
      <c r="O60" s="116">
        <v>87291009.360000014</v>
      </c>
      <c r="P60" s="116">
        <v>88313327.060000002</v>
      </c>
      <c r="Q60" s="116">
        <v>88231416.189999998</v>
      </c>
      <c r="R60" s="116">
        <v>88640085.129999995</v>
      </c>
      <c r="S60" s="116">
        <v>93390624.239999995</v>
      </c>
      <c r="T60" s="116">
        <v>94192625.209999993</v>
      </c>
      <c r="U60" s="116">
        <v>95777520.839999989</v>
      </c>
      <c r="V60" s="116">
        <v>96119085.320000008</v>
      </c>
      <c r="W60" s="116">
        <v>96486034.219999999</v>
      </c>
      <c r="X60" s="116">
        <v>96749881.659999996</v>
      </c>
      <c r="Y60" s="116">
        <v>96905219.439999998</v>
      </c>
      <c r="Z60" s="116">
        <v>96905219.439999998</v>
      </c>
      <c r="AA60" s="116">
        <v>97518669.980000004</v>
      </c>
      <c r="AB60" s="116">
        <v>97518669.980000004</v>
      </c>
      <c r="AC60" s="116">
        <v>98129123.530000001</v>
      </c>
      <c r="AD60" s="116">
        <v>100532052.25999999</v>
      </c>
      <c r="AE60" s="116">
        <v>101237991.53</v>
      </c>
      <c r="AF60" s="256"/>
      <c r="AG60" s="395">
        <f>(SUM(T60:AD60)+(0.5*AE60)+(0.5*S60))/12</f>
        <v>97012367.48041667</v>
      </c>
      <c r="AI60" s="395">
        <f>AE60</f>
        <v>101237991.53</v>
      </c>
      <c r="AJ60" s="395">
        <f>AG60</f>
        <v>97012367.48041667</v>
      </c>
      <c r="AK60" s="133">
        <f ca="1">+'RB FORECAST'!AJ62</f>
        <v>109115298.86806233</v>
      </c>
      <c r="AL60" s="133">
        <f ca="1">+'RB FORECAST'!AG62</f>
        <v>117860437.02586024</v>
      </c>
      <c r="AM60" s="133">
        <f ca="1">+'RB FORECAST'!BA62</f>
        <v>121984153.02631415</v>
      </c>
      <c r="AN60" s="133">
        <f ca="1">+'RB FORECAST'!AW62</f>
        <v>126562172.46872459</v>
      </c>
      <c r="AP60" s="395">
        <f t="shared" ca="1" si="3"/>
        <v>121984153.02631415</v>
      </c>
      <c r="AQ60" s="609">
        <f ca="1">AP60-AE60</f>
        <v>20746161.496314153</v>
      </c>
      <c r="AR60" s="225">
        <f t="shared" si="16"/>
        <v>53</v>
      </c>
      <c r="AS60" s="225">
        <f t="shared" si="17"/>
        <v>48</v>
      </c>
      <c r="AT60" s="186"/>
      <c r="AU60" s="102"/>
      <c r="AV60" s="102"/>
      <c r="AW60" s="102" t="s">
        <v>14</v>
      </c>
      <c r="AX60" s="102"/>
      <c r="AY60" s="116">
        <f>+AE60</f>
        <v>101237991.53</v>
      </c>
      <c r="AZ60" s="95">
        <f ca="1">AP60</f>
        <v>121984153.02631415</v>
      </c>
      <c r="BA60" s="95">
        <f ca="1">AZ60-AY60</f>
        <v>20746161.496314153</v>
      </c>
    </row>
    <row r="61" spans="1:53">
      <c r="A61" s="250">
        <f t="shared" si="19"/>
        <v>990</v>
      </c>
      <c r="B61" s="102"/>
      <c r="C61" s="102"/>
      <c r="D61" s="102" t="s">
        <v>170</v>
      </c>
      <c r="E61" s="102"/>
      <c r="F61" s="102"/>
      <c r="G61" s="102"/>
      <c r="H61" s="1043">
        <v>90459334.060000002</v>
      </c>
      <c r="I61" s="1043">
        <v>90725297.609999999</v>
      </c>
      <c r="J61" s="1043">
        <v>92499006.379999995</v>
      </c>
      <c r="K61" s="1043">
        <v>92662091.730000004</v>
      </c>
      <c r="L61" s="1043">
        <v>92807745.469999999</v>
      </c>
      <c r="M61" s="1043">
        <v>92856547.549999997</v>
      </c>
      <c r="N61" s="1043">
        <v>93436032.659999996</v>
      </c>
      <c r="O61" s="1043">
        <v>94243291.680000007</v>
      </c>
      <c r="P61" s="1043">
        <v>95265609.379999995</v>
      </c>
      <c r="Q61" s="1043">
        <v>95478524.75999999</v>
      </c>
      <c r="R61" s="1043">
        <v>96049720.719999999</v>
      </c>
      <c r="S61" s="1043">
        <v>100806445.84999999</v>
      </c>
      <c r="T61" s="1043">
        <v>101608446.81999999</v>
      </c>
      <c r="U61" s="1043">
        <v>103387717.31999999</v>
      </c>
      <c r="V61" s="1043">
        <v>103771809.54000001</v>
      </c>
      <c r="W61" s="1043">
        <v>104143560.59</v>
      </c>
      <c r="X61" s="1043">
        <v>104407408.03</v>
      </c>
      <c r="Y61" s="1043">
        <v>104562745.81</v>
      </c>
      <c r="Z61" s="1043">
        <v>104562745.81</v>
      </c>
      <c r="AA61" s="1043">
        <v>105175752.79000001</v>
      </c>
      <c r="AB61" s="1043">
        <v>105175752.79000001</v>
      </c>
      <c r="AC61" s="1043">
        <v>105786206.34</v>
      </c>
      <c r="AD61" s="1043">
        <v>108189135.06999999</v>
      </c>
      <c r="AE61" s="1043">
        <v>108884795.19</v>
      </c>
      <c r="AF61" s="1043"/>
      <c r="AG61" s="1046">
        <f>SUM(AG59:AG60)</f>
        <v>104634741.78583334</v>
      </c>
      <c r="AI61" s="133">
        <f>AE61</f>
        <v>108884795.19</v>
      </c>
      <c r="AJ61" s="133">
        <f>AG61</f>
        <v>104634741.78583334</v>
      </c>
      <c r="AK61" s="133">
        <f ca="1">SUM(AK59:AK60)</f>
        <v>117357098.75105427</v>
      </c>
      <c r="AL61" s="133">
        <f ca="1">SUM(AL59:AL60)</f>
        <v>126762782.94953926</v>
      </c>
      <c r="AM61" s="133">
        <f t="shared" ref="AM61:AN61" ca="1" si="21">SUM(AM59:AM60)</f>
        <v>131197975.36441541</v>
      </c>
      <c r="AN61" s="133">
        <f t="shared" ca="1" si="21"/>
        <v>136121786.09820485</v>
      </c>
      <c r="AP61" s="133">
        <f t="shared" ca="1" si="3"/>
        <v>131197975.36441541</v>
      </c>
      <c r="AQ61" s="606">
        <f ca="1">SUM(AQ59:AQ60)</f>
        <v>22313180.174415402</v>
      </c>
      <c r="AR61" s="225">
        <f t="shared" si="16"/>
        <v>54</v>
      </c>
      <c r="AS61" s="225">
        <f t="shared" si="17"/>
        <v>49</v>
      </c>
      <c r="AT61" s="186"/>
      <c r="AU61" s="102"/>
      <c r="AV61" s="102"/>
      <c r="AW61" s="102" t="s">
        <v>170</v>
      </c>
      <c r="AX61" s="102"/>
      <c r="AY61" s="116">
        <f>AI61</f>
        <v>108884795.19</v>
      </c>
      <c r="AZ61" s="116">
        <f>AJ61</f>
        <v>104634741.78583334</v>
      </c>
      <c r="BA61" s="95">
        <f>AZ61-AY61</f>
        <v>-4250053.4041666538</v>
      </c>
    </row>
    <row r="62" spans="1:53">
      <c r="A62" s="250">
        <f t="shared" si="19"/>
        <v>991</v>
      </c>
      <c r="B62" s="102"/>
      <c r="C62" s="102"/>
      <c r="D62" s="102"/>
      <c r="E62" s="102"/>
      <c r="F62" s="102"/>
      <c r="G62" s="102"/>
      <c r="AR62" s="225">
        <f t="shared" si="16"/>
        <v>55</v>
      </c>
      <c r="AS62" s="225">
        <f t="shared" si="17"/>
        <v>50</v>
      </c>
      <c r="AT62" s="186"/>
      <c r="AU62" s="102"/>
      <c r="AV62" s="102"/>
      <c r="AW62" s="102"/>
      <c r="AX62" s="102"/>
      <c r="AY62" s="116"/>
    </row>
    <row r="63" spans="1:53">
      <c r="A63" s="250">
        <f t="shared" si="19"/>
        <v>992</v>
      </c>
      <c r="B63" s="102" t="s">
        <v>251</v>
      </c>
      <c r="C63" s="102" t="s">
        <v>869</v>
      </c>
      <c r="D63" s="102"/>
      <c r="E63" s="102"/>
      <c r="F63" s="102"/>
      <c r="G63" s="102"/>
      <c r="AR63" s="225">
        <f t="shared" si="16"/>
        <v>56</v>
      </c>
      <c r="AS63" s="225">
        <f t="shared" si="17"/>
        <v>51</v>
      </c>
      <c r="AT63" s="186"/>
      <c r="AU63" s="102" t="s">
        <v>251</v>
      </c>
      <c r="AV63" s="102" t="s">
        <v>869</v>
      </c>
      <c r="AW63" s="102"/>
      <c r="AX63" s="102"/>
      <c r="AY63" s="116"/>
    </row>
    <row r="64" spans="1:53">
      <c r="A64" s="250">
        <f t="shared" si="19"/>
        <v>993</v>
      </c>
      <c r="B64" s="102"/>
      <c r="C64" s="102"/>
      <c r="D64" s="102" t="s">
        <v>24</v>
      </c>
      <c r="E64" s="102"/>
      <c r="F64" s="102"/>
      <c r="G64" s="102"/>
      <c r="H64" s="116">
        <v>17893131.039999999</v>
      </c>
      <c r="I64" s="116">
        <v>17927120.41</v>
      </c>
      <c r="J64" s="116">
        <v>18239187.18</v>
      </c>
      <c r="K64" s="116">
        <v>18233034.969999999</v>
      </c>
      <c r="L64" s="116">
        <v>18123587.379999999</v>
      </c>
      <c r="M64" s="116">
        <v>18134111.319999997</v>
      </c>
      <c r="N64" s="116">
        <v>18240645.219999999</v>
      </c>
      <c r="O64" s="116">
        <v>18369697.889999997</v>
      </c>
      <c r="P64" s="116">
        <v>18403908.259999998</v>
      </c>
      <c r="Q64" s="116">
        <v>18453966.59</v>
      </c>
      <c r="R64" s="116">
        <v>18485667.209999997</v>
      </c>
      <c r="S64" s="116">
        <v>18560613.77</v>
      </c>
      <c r="T64" s="116">
        <v>18615215.960000001</v>
      </c>
      <c r="U64" s="116">
        <v>18615281.229999997</v>
      </c>
      <c r="V64" s="116">
        <v>18704577.069999997</v>
      </c>
      <c r="W64" s="116">
        <v>18761099.129999999</v>
      </c>
      <c r="X64" s="116">
        <v>18761510.43</v>
      </c>
      <c r="Y64" s="116">
        <v>18814962.66</v>
      </c>
      <c r="Z64" s="116">
        <v>18975847.969999999</v>
      </c>
      <c r="AA64" s="116">
        <v>19365906.030000001</v>
      </c>
      <c r="AB64" s="116">
        <v>19365906.029999997</v>
      </c>
      <c r="AC64" s="116">
        <v>20048852.029999997</v>
      </c>
      <c r="AD64" s="116">
        <v>20063771.109999999</v>
      </c>
      <c r="AE64" s="116">
        <v>20117572.069999997</v>
      </c>
      <c r="AF64" s="116"/>
      <c r="AG64" s="133">
        <f>(SUM(T64:AD64)+(0.5*AE64)+(0.5*S64))/12</f>
        <v>19119335.214166664</v>
      </c>
      <c r="AI64" s="133">
        <f>AE64</f>
        <v>20117572.069999997</v>
      </c>
      <c r="AJ64" s="133">
        <f>AG64</f>
        <v>19119335.214166664</v>
      </c>
      <c r="AK64" s="133">
        <f ca="1">+'RB FORECAST'!AJ66</f>
        <v>20352935.09392463</v>
      </c>
      <c r="AL64" s="133">
        <f ca="1">+'RB FORECAST'!AG66</f>
        <v>20560718.011990003</v>
      </c>
      <c r="AM64" s="133">
        <f ca="1">+'RB FORECAST'!BA66</f>
        <v>20917644.280263633</v>
      </c>
      <c r="AN64" s="133">
        <f ca="1">+'RB FORECAST'!AW66</f>
        <v>21232745.523948468</v>
      </c>
      <c r="AP64" s="133">
        <f t="shared" ca="1" si="3"/>
        <v>20917644.280263633</v>
      </c>
      <c r="AQ64" s="606">
        <f ca="1">AP64-AE64</f>
        <v>800072.21026363596</v>
      </c>
      <c r="AR64" s="225">
        <f t="shared" si="16"/>
        <v>57</v>
      </c>
      <c r="AS64" s="225">
        <f t="shared" si="17"/>
        <v>52</v>
      </c>
      <c r="AT64" s="186"/>
      <c r="AU64" s="102"/>
      <c r="AV64" s="102"/>
      <c r="AW64" s="102" t="s">
        <v>24</v>
      </c>
      <c r="AX64" s="102"/>
      <c r="AY64" s="116">
        <f>+AE64</f>
        <v>20117572.069999997</v>
      </c>
      <c r="AZ64" s="95">
        <f ca="1">AP64</f>
        <v>20917644.280263633</v>
      </c>
      <c r="BA64" s="95">
        <f ca="1">AZ64-AY64</f>
        <v>800072.21026363596</v>
      </c>
    </row>
    <row r="65" spans="1:53">
      <c r="A65" s="250">
        <f t="shared" si="19"/>
        <v>994</v>
      </c>
      <c r="B65" s="102"/>
      <c r="C65" s="102"/>
      <c r="D65" s="102" t="s">
        <v>14</v>
      </c>
      <c r="E65" s="102"/>
      <c r="F65" s="102"/>
      <c r="G65" s="102"/>
      <c r="H65" s="116">
        <v>357403044.31999999</v>
      </c>
      <c r="I65" s="116">
        <v>359786913.02999997</v>
      </c>
      <c r="J65" s="116">
        <v>361237518.64999998</v>
      </c>
      <c r="K65" s="116">
        <v>363394613.37</v>
      </c>
      <c r="L65" s="116">
        <v>363759151.93000001</v>
      </c>
      <c r="M65" s="116">
        <v>364751208.11000001</v>
      </c>
      <c r="N65" s="116">
        <v>367014146.35000002</v>
      </c>
      <c r="O65" s="116">
        <v>368134610.12</v>
      </c>
      <c r="P65" s="116">
        <v>369704194.25999999</v>
      </c>
      <c r="Q65" s="116">
        <v>370916976.03000003</v>
      </c>
      <c r="R65" s="116">
        <v>372168730.12</v>
      </c>
      <c r="S65" s="116">
        <v>372177276.20000005</v>
      </c>
      <c r="T65" s="116">
        <v>375791949.81</v>
      </c>
      <c r="U65" s="116">
        <v>375812269.87</v>
      </c>
      <c r="V65" s="116">
        <v>381276386.12</v>
      </c>
      <c r="W65" s="116">
        <v>382741454.23000002</v>
      </c>
      <c r="X65" s="116">
        <v>383336380.83999997</v>
      </c>
      <c r="Y65" s="116">
        <v>384402788.77999997</v>
      </c>
      <c r="Z65" s="116">
        <v>385396869.39999998</v>
      </c>
      <c r="AA65" s="116">
        <v>386742438.70000005</v>
      </c>
      <c r="AB65" s="116">
        <v>386742438.70000005</v>
      </c>
      <c r="AC65" s="116">
        <v>388790955.36000001</v>
      </c>
      <c r="AD65" s="116">
        <v>390273497.38</v>
      </c>
      <c r="AE65" s="116">
        <v>393312976.35000002</v>
      </c>
      <c r="AF65" s="256"/>
      <c r="AG65" s="395">
        <f>(SUM(T65:AD65)+(0.5*AE65)+(0.5*S65))/12</f>
        <v>383671046.28874999</v>
      </c>
      <c r="AI65" s="395">
        <f>AE65</f>
        <v>393312976.35000002</v>
      </c>
      <c r="AJ65" s="395">
        <f>AG65</f>
        <v>383671046.28874999</v>
      </c>
      <c r="AK65" s="133">
        <f ca="1">+'RB FORECAST'!AJ67</f>
        <v>397914492.43456668</v>
      </c>
      <c r="AL65" s="133">
        <f ca="1">+'RB FORECAST'!AG67</f>
        <v>401976797.64985889</v>
      </c>
      <c r="AM65" s="133">
        <f ca="1">+'RB FORECAST'!BA67</f>
        <v>408954962.43155956</v>
      </c>
      <c r="AN65" s="133">
        <f ca="1">+'RB FORECAST'!AW67</f>
        <v>415115417.95641303</v>
      </c>
      <c r="AP65" s="395">
        <f t="shared" ca="1" si="3"/>
        <v>408954962.43155956</v>
      </c>
      <c r="AQ65" s="609">
        <f ca="1">AP65-AE65</f>
        <v>15641986.081559539</v>
      </c>
      <c r="AR65" s="225">
        <f t="shared" si="16"/>
        <v>58</v>
      </c>
      <c r="AS65" s="225">
        <f t="shared" si="17"/>
        <v>53</v>
      </c>
      <c r="AT65" s="186"/>
      <c r="AU65" s="102"/>
      <c r="AV65" s="102"/>
      <c r="AW65" s="102" t="s">
        <v>14</v>
      </c>
      <c r="AX65" s="102"/>
      <c r="AY65" s="116">
        <f>+AE65</f>
        <v>393312976.35000002</v>
      </c>
      <c r="AZ65" s="95">
        <f ca="1">AP65</f>
        <v>408954962.43155956</v>
      </c>
      <c r="BA65" s="95">
        <f ca="1">AZ65-AY65</f>
        <v>15641986.081559539</v>
      </c>
    </row>
    <row r="66" spans="1:53">
      <c r="A66" s="250">
        <f t="shared" si="19"/>
        <v>995</v>
      </c>
      <c r="B66" s="102"/>
      <c r="C66" s="102"/>
      <c r="D66" s="102" t="s">
        <v>170</v>
      </c>
      <c r="E66" s="102"/>
      <c r="F66" s="102"/>
      <c r="G66" s="102"/>
      <c r="H66" s="1043">
        <v>375296175.36000001</v>
      </c>
      <c r="I66" s="1043">
        <v>377714033.44</v>
      </c>
      <c r="J66" s="1043">
        <v>379476705.82999998</v>
      </c>
      <c r="K66" s="1043">
        <v>381627648.34000003</v>
      </c>
      <c r="L66" s="1043">
        <v>381882739.31</v>
      </c>
      <c r="M66" s="1043">
        <v>382885319.43000001</v>
      </c>
      <c r="N66" s="1043">
        <v>385254791.57000005</v>
      </c>
      <c r="O66" s="1043">
        <v>386504308.00999999</v>
      </c>
      <c r="P66" s="1043">
        <v>388108102.51999998</v>
      </c>
      <c r="Q66" s="1043">
        <v>389370942.62</v>
      </c>
      <c r="R66" s="1043">
        <v>390654397.32999998</v>
      </c>
      <c r="S66" s="1043">
        <v>390737889.97000003</v>
      </c>
      <c r="T66" s="1043">
        <v>394407165.76999998</v>
      </c>
      <c r="U66" s="1043">
        <v>394427551.10000002</v>
      </c>
      <c r="V66" s="1043">
        <v>399980963.19</v>
      </c>
      <c r="W66" s="1043">
        <v>401502553.36000001</v>
      </c>
      <c r="X66" s="1043">
        <v>402097891.26999998</v>
      </c>
      <c r="Y66" s="1043">
        <v>403217751.44</v>
      </c>
      <c r="Z66" s="1043">
        <v>404372717.37</v>
      </c>
      <c r="AA66" s="1043">
        <v>406108344.73000002</v>
      </c>
      <c r="AB66" s="1043">
        <v>406108344.73000002</v>
      </c>
      <c r="AC66" s="1043">
        <v>408839807.38999999</v>
      </c>
      <c r="AD66" s="1043">
        <v>410337268.49000001</v>
      </c>
      <c r="AE66" s="1043">
        <v>413430548.42000002</v>
      </c>
      <c r="AF66" s="1043"/>
      <c r="AG66" s="1046">
        <f>SUM(AG64:AG65)</f>
        <v>402790381.50291663</v>
      </c>
      <c r="AI66" s="1046">
        <f>AE66</f>
        <v>413430548.42000002</v>
      </c>
      <c r="AJ66" s="1046">
        <f>AG66</f>
        <v>402790381.50291663</v>
      </c>
      <c r="AK66" s="1046">
        <f ca="1">SUM(AK64:AK65)</f>
        <v>418267427.52849132</v>
      </c>
      <c r="AL66" s="1046">
        <f ca="1">SUM(AL64:AL65)</f>
        <v>422537515.6618489</v>
      </c>
      <c r="AM66" s="1046">
        <f t="shared" ref="AM66:AN66" ca="1" si="22">SUM(AM64:AM65)</f>
        <v>429872606.71182323</v>
      </c>
      <c r="AN66" s="1046">
        <f t="shared" ca="1" si="22"/>
        <v>436348163.48036152</v>
      </c>
      <c r="AP66" s="133">
        <f t="shared" ca="1" si="3"/>
        <v>429872606.71182323</v>
      </c>
      <c r="AQ66" s="606">
        <f ca="1">SUM(AQ64:AQ65)</f>
        <v>16442058.291823175</v>
      </c>
      <c r="AR66" s="225">
        <f t="shared" si="16"/>
        <v>59</v>
      </c>
      <c r="AS66" s="225">
        <f t="shared" si="17"/>
        <v>54</v>
      </c>
      <c r="AT66" s="186"/>
      <c r="AU66" s="102"/>
      <c r="AV66" s="102"/>
      <c r="AW66" s="102" t="s">
        <v>170</v>
      </c>
      <c r="AX66" s="102"/>
      <c r="AY66" s="116">
        <f>AI66</f>
        <v>413430548.42000002</v>
      </c>
      <c r="AZ66" s="116">
        <f>AJ66</f>
        <v>402790381.50291663</v>
      </c>
      <c r="BA66" s="95">
        <f>AZ66-AY66</f>
        <v>-10640166.917083383</v>
      </c>
    </row>
    <row r="67" spans="1:53">
      <c r="A67" s="250">
        <f t="shared" si="19"/>
        <v>996</v>
      </c>
      <c r="B67" s="102"/>
      <c r="C67" s="102"/>
      <c r="D67" s="102"/>
      <c r="E67" s="102"/>
      <c r="F67" s="102"/>
      <c r="G67" s="102"/>
      <c r="AR67" s="225">
        <f t="shared" si="16"/>
        <v>60</v>
      </c>
      <c r="AS67" s="225">
        <f t="shared" si="17"/>
        <v>55</v>
      </c>
      <c r="AT67" s="186"/>
      <c r="AU67" s="102"/>
      <c r="AV67" s="102"/>
      <c r="AW67" s="102"/>
      <c r="AX67" s="102"/>
      <c r="AY67" s="116"/>
    </row>
    <row r="68" spans="1:53">
      <c r="A68" s="250">
        <f t="shared" si="19"/>
        <v>997</v>
      </c>
      <c r="B68" s="102" t="s">
        <v>252</v>
      </c>
      <c r="C68" s="102" t="s">
        <v>253</v>
      </c>
      <c r="D68" s="102"/>
      <c r="E68" s="102"/>
      <c r="F68" s="102"/>
      <c r="G68" s="102"/>
      <c r="AR68" s="225">
        <f t="shared" si="16"/>
        <v>61</v>
      </c>
      <c r="AS68" s="225">
        <f t="shared" si="17"/>
        <v>56</v>
      </c>
      <c r="AT68" s="186"/>
      <c r="AU68" s="102" t="s">
        <v>252</v>
      </c>
      <c r="AV68" s="102" t="s">
        <v>253</v>
      </c>
      <c r="AW68" s="102"/>
      <c r="AX68" s="102"/>
      <c r="AY68" s="116"/>
    </row>
    <row r="69" spans="1:53">
      <c r="A69" s="250">
        <f t="shared" si="19"/>
        <v>998</v>
      </c>
      <c r="B69" s="102"/>
      <c r="C69" s="102"/>
      <c r="D69" s="102" t="s">
        <v>24</v>
      </c>
      <c r="E69" s="102"/>
      <c r="F69" s="102"/>
      <c r="G69" s="102"/>
      <c r="H69" s="116">
        <v>9087898.4839999992</v>
      </c>
      <c r="I69" s="116">
        <v>9118247.3640000001</v>
      </c>
      <c r="J69" s="116">
        <v>9160312.2939999998</v>
      </c>
      <c r="K69" s="116">
        <v>9174815.5040000007</v>
      </c>
      <c r="L69" s="116">
        <v>9195404.1339999996</v>
      </c>
      <c r="M69" s="116">
        <v>9161503.2639999986</v>
      </c>
      <c r="N69" s="116">
        <v>9177139.9840000011</v>
      </c>
      <c r="O69" s="116">
        <v>9228368.074000001</v>
      </c>
      <c r="P69" s="116">
        <v>9238832.493999999</v>
      </c>
      <c r="Q69" s="116">
        <v>9402561.1640000008</v>
      </c>
      <c r="R69" s="116">
        <v>9683422.6640000008</v>
      </c>
      <c r="S69" s="116">
        <v>9680436.6140000001</v>
      </c>
      <c r="T69" s="116">
        <v>9728463.6699999999</v>
      </c>
      <c r="U69" s="116">
        <v>9742610.5539999995</v>
      </c>
      <c r="V69" s="116">
        <v>9790277.074000001</v>
      </c>
      <c r="W69" s="116">
        <v>9815017.6140000001</v>
      </c>
      <c r="X69" s="116">
        <v>9826048.4539999999</v>
      </c>
      <c r="Y69" s="116">
        <v>9804010.2139999997</v>
      </c>
      <c r="Z69" s="116">
        <v>9190454.1940000001</v>
      </c>
      <c r="AA69" s="116">
        <v>10744765.4</v>
      </c>
      <c r="AB69" s="116">
        <v>10737602.813999999</v>
      </c>
      <c r="AC69" s="116">
        <v>10421673.044</v>
      </c>
      <c r="AD69" s="116">
        <v>10438278.604</v>
      </c>
      <c r="AE69" s="116">
        <v>10480480.653999999</v>
      </c>
      <c r="AF69" s="116"/>
      <c r="AG69" s="133">
        <f>(SUM(T69:AD69)+(0.5*AE69)+(0.5*S69))/12</f>
        <v>10026638.355833333</v>
      </c>
      <c r="AI69" s="133">
        <f>AE69</f>
        <v>10480480.653999999</v>
      </c>
      <c r="AJ69" s="133">
        <f>AG69</f>
        <v>10026638.355833333</v>
      </c>
      <c r="AK69" s="133">
        <f ca="1">+'RB FORECAST'!AJ71</f>
        <v>10989113.060815779</v>
      </c>
      <c r="AL69" s="133">
        <f ca="1">+'RB FORECAST'!AG71</f>
        <v>11598300.827468775</v>
      </c>
      <c r="AM69" s="133">
        <f ca="1">+'RB FORECAST'!BA71</f>
        <v>11919499.499637453</v>
      </c>
      <c r="AN69" s="133">
        <f ca="1">+'RB FORECAST'!AW71</f>
        <v>12304198.349196227</v>
      </c>
      <c r="AP69" s="133">
        <f t="shared" ca="1" si="3"/>
        <v>11919499.499637453</v>
      </c>
      <c r="AQ69" s="606">
        <f ca="1">AP69-AE69</f>
        <v>1439018.8456374537</v>
      </c>
      <c r="AR69" s="225">
        <f t="shared" si="16"/>
        <v>62</v>
      </c>
      <c r="AS69" s="225">
        <f t="shared" si="17"/>
        <v>57</v>
      </c>
      <c r="AT69" s="186"/>
      <c r="AU69" s="102"/>
      <c r="AV69" s="102"/>
      <c r="AW69" s="102" t="s">
        <v>24</v>
      </c>
      <c r="AX69" s="102"/>
      <c r="AY69" s="116">
        <f>+AE69</f>
        <v>10480480.653999999</v>
      </c>
      <c r="AZ69" s="95">
        <f ca="1">AP69</f>
        <v>11919499.499637453</v>
      </c>
      <c r="BA69" s="95">
        <f ca="1">AZ69-AY69</f>
        <v>1439018.8456374537</v>
      </c>
    </row>
    <row r="70" spans="1:53">
      <c r="A70" s="250">
        <f t="shared" si="19"/>
        <v>999</v>
      </c>
      <c r="B70" s="102"/>
      <c r="C70" s="102"/>
      <c r="D70" s="102" t="s">
        <v>14</v>
      </c>
      <c r="E70" s="102"/>
      <c r="F70" s="102"/>
      <c r="G70" s="102"/>
      <c r="H70" s="116">
        <v>287454142.43599993</v>
      </c>
      <c r="I70" s="116">
        <v>288333804.21600002</v>
      </c>
      <c r="J70" s="116">
        <v>288932644.81599998</v>
      </c>
      <c r="K70" s="116">
        <v>288539446.58600003</v>
      </c>
      <c r="L70" s="116">
        <v>294967528.55599999</v>
      </c>
      <c r="M70" s="116">
        <v>297986914.10600001</v>
      </c>
      <c r="N70" s="116">
        <v>297964825.71599996</v>
      </c>
      <c r="O70" s="116">
        <v>297975146.43599999</v>
      </c>
      <c r="P70" s="116">
        <v>300844765.19599998</v>
      </c>
      <c r="Q70" s="116">
        <v>301291237.39600003</v>
      </c>
      <c r="R70" s="116">
        <v>302880516.62599999</v>
      </c>
      <c r="S70" s="116">
        <v>302623091.46600002</v>
      </c>
      <c r="T70" s="116">
        <v>305777058.38</v>
      </c>
      <c r="U70" s="116">
        <v>307526144.426</v>
      </c>
      <c r="V70" s="116">
        <v>309189993.39600003</v>
      </c>
      <c r="W70" s="116">
        <v>310696462.85599995</v>
      </c>
      <c r="X70" s="116">
        <v>314409978.90600002</v>
      </c>
      <c r="Y70" s="116">
        <v>315385351.39600003</v>
      </c>
      <c r="Z70" s="116">
        <v>319532399.56599998</v>
      </c>
      <c r="AA70" s="116">
        <v>320756390.40000004</v>
      </c>
      <c r="AB70" s="116">
        <v>320596593.14600003</v>
      </c>
      <c r="AC70" s="116">
        <v>323928831.48599994</v>
      </c>
      <c r="AD70" s="116">
        <v>326833946.07600003</v>
      </c>
      <c r="AE70" s="116">
        <v>331969358.31600004</v>
      </c>
      <c r="AF70" s="256"/>
      <c r="AG70" s="395">
        <f>(SUM(T70:AD70)+(0.5*AE70)+(0.5*S70))/12</f>
        <v>315994114.57708335</v>
      </c>
      <c r="AI70" s="395">
        <f>AE70</f>
        <v>331969358.31600004</v>
      </c>
      <c r="AJ70" s="395">
        <f>AG70</f>
        <v>315994114.57708335</v>
      </c>
      <c r="AK70" s="133">
        <f ca="1">+'RB FORECAST'!AJ72</f>
        <v>348080296.28571171</v>
      </c>
      <c r="AL70" s="133">
        <f ca="1">+'RB FORECAST'!AG72</f>
        <v>367376326.56010252</v>
      </c>
      <c r="AM70" s="133">
        <f ca="1">+'RB FORECAST'!BA72</f>
        <v>377550298.5955444</v>
      </c>
      <c r="AN70" s="133">
        <f ca="1">+'RB FORECAST'!AW72</f>
        <v>389735639.55929005</v>
      </c>
      <c r="AP70" s="395">
        <f t="shared" ca="1" si="3"/>
        <v>377550298.5955444</v>
      </c>
      <c r="AQ70" s="609">
        <f ca="1">AP70-AE70</f>
        <v>45580940.279544353</v>
      </c>
      <c r="AR70" s="225">
        <f t="shared" si="16"/>
        <v>63</v>
      </c>
      <c r="AS70" s="225">
        <f t="shared" si="17"/>
        <v>58</v>
      </c>
      <c r="AT70" s="186"/>
      <c r="AU70" s="102"/>
      <c r="AV70" s="102"/>
      <c r="AW70" s="102" t="s">
        <v>14</v>
      </c>
      <c r="AX70" s="102"/>
      <c r="AY70" s="116">
        <f>+AE70</f>
        <v>331969358.31600004</v>
      </c>
      <c r="AZ70" s="95">
        <f ca="1">AP70</f>
        <v>377550298.5955444</v>
      </c>
      <c r="BA70" s="95">
        <f ca="1">AZ70-AY70</f>
        <v>45580940.279544353</v>
      </c>
    </row>
    <row r="71" spans="1:53">
      <c r="A71" s="250">
        <f t="shared" si="19"/>
        <v>1000</v>
      </c>
      <c r="B71" s="102"/>
      <c r="C71" s="102"/>
      <c r="D71" s="102" t="s">
        <v>170</v>
      </c>
      <c r="E71" s="102"/>
      <c r="F71" s="102"/>
      <c r="G71" s="102"/>
      <c r="H71" s="1043">
        <v>296542040.91999996</v>
      </c>
      <c r="I71" s="1043">
        <v>297452051.58000004</v>
      </c>
      <c r="J71" s="1043">
        <v>298092957.11000001</v>
      </c>
      <c r="K71" s="1043">
        <v>297714262.09000003</v>
      </c>
      <c r="L71" s="1043">
        <v>304162932.69</v>
      </c>
      <c r="M71" s="1043">
        <v>307148417.37</v>
      </c>
      <c r="N71" s="1043">
        <v>307141965.69999999</v>
      </c>
      <c r="O71" s="1043">
        <v>307203514.50999999</v>
      </c>
      <c r="P71" s="1043">
        <v>310083597.69</v>
      </c>
      <c r="Q71" s="1043">
        <v>310693798.56</v>
      </c>
      <c r="R71" s="1043">
        <v>312563939.28999996</v>
      </c>
      <c r="S71" s="1043">
        <v>312303528.08000004</v>
      </c>
      <c r="T71" s="1043">
        <v>315505522.05000001</v>
      </c>
      <c r="U71" s="1043">
        <v>317268754.98000002</v>
      </c>
      <c r="V71" s="1043">
        <v>318980270.47000003</v>
      </c>
      <c r="W71" s="1043">
        <v>320511480.46999997</v>
      </c>
      <c r="X71" s="1043">
        <v>324236027.36000001</v>
      </c>
      <c r="Y71" s="1043">
        <v>325189361.61000001</v>
      </c>
      <c r="Z71" s="1043">
        <v>328722853.75999999</v>
      </c>
      <c r="AA71" s="1043">
        <v>331501155.80000001</v>
      </c>
      <c r="AB71" s="1043">
        <v>331334195.96000004</v>
      </c>
      <c r="AC71" s="1043">
        <v>334350504.52999997</v>
      </c>
      <c r="AD71" s="1043">
        <v>337272224.68000001</v>
      </c>
      <c r="AE71" s="1043">
        <v>342449838.97000003</v>
      </c>
      <c r="AF71" s="1043"/>
      <c r="AG71" s="1046">
        <f>SUM(AG69:AG70)</f>
        <v>326020752.9329167</v>
      </c>
      <c r="AI71" s="1046">
        <f>AE71</f>
        <v>342449838.97000003</v>
      </c>
      <c r="AJ71" s="1046">
        <f>AG71</f>
        <v>326020752.9329167</v>
      </c>
      <c r="AK71" s="1046">
        <f ca="1">SUM(AK69:AK70)</f>
        <v>359069409.34652746</v>
      </c>
      <c r="AL71" s="1046">
        <f ca="1">SUM(AL69:AL70)</f>
        <v>378974627.38757128</v>
      </c>
      <c r="AM71" s="1046">
        <f t="shared" ref="AM71:AN71" ca="1" si="23">SUM(AM69:AM70)</f>
        <v>389469798.09518182</v>
      </c>
      <c r="AN71" s="1046">
        <f t="shared" ca="1" si="23"/>
        <v>402039837.90848631</v>
      </c>
      <c r="AP71" s="133">
        <f t="shared" ca="1" si="3"/>
        <v>389469798.09518182</v>
      </c>
      <c r="AQ71" s="606">
        <f ca="1">SUM(AQ69:AQ70)</f>
        <v>47019959.125181809</v>
      </c>
      <c r="AR71" s="225">
        <f t="shared" si="16"/>
        <v>64</v>
      </c>
      <c r="AS71" s="225">
        <f t="shared" si="17"/>
        <v>59</v>
      </c>
      <c r="AT71" s="186"/>
      <c r="AU71" s="102"/>
      <c r="AV71" s="102"/>
      <c r="AW71" s="102" t="s">
        <v>170</v>
      </c>
      <c r="AX71" s="102"/>
      <c r="AY71" s="116">
        <f>AI71</f>
        <v>342449838.97000003</v>
      </c>
      <c r="AZ71" s="116">
        <f>AJ71</f>
        <v>326020752.9329167</v>
      </c>
      <c r="BA71" s="95">
        <f>AZ71-AY71</f>
        <v>-16429086.037083328</v>
      </c>
    </row>
    <row r="72" spans="1:53">
      <c r="A72" s="250">
        <f t="shared" si="19"/>
        <v>1001</v>
      </c>
      <c r="B72" s="102"/>
      <c r="C72" s="102"/>
      <c r="D72" s="102"/>
      <c r="E72" s="102"/>
      <c r="F72" s="102"/>
      <c r="G72" s="102"/>
      <c r="AR72" s="225">
        <f t="shared" si="16"/>
        <v>65</v>
      </c>
      <c r="AS72" s="225">
        <f t="shared" si="17"/>
        <v>60</v>
      </c>
      <c r="AT72" s="186"/>
      <c r="AU72" s="102"/>
      <c r="AV72" s="102"/>
      <c r="AW72" s="102"/>
      <c r="AX72" s="102"/>
      <c r="AY72" s="116"/>
    </row>
    <row r="73" spans="1:53">
      <c r="A73" s="250">
        <f t="shared" si="19"/>
        <v>1002</v>
      </c>
      <c r="B73" s="102" t="s">
        <v>254</v>
      </c>
      <c r="C73" s="102" t="s">
        <v>255</v>
      </c>
      <c r="D73" s="102"/>
      <c r="E73" s="102"/>
      <c r="F73" s="102"/>
      <c r="G73" s="102"/>
      <c r="AR73" s="225">
        <f t="shared" si="16"/>
        <v>66</v>
      </c>
      <c r="AS73" s="225">
        <f t="shared" si="17"/>
        <v>61</v>
      </c>
      <c r="AT73" s="186"/>
      <c r="AU73" s="102" t="s">
        <v>254</v>
      </c>
      <c r="AV73" s="102" t="s">
        <v>255</v>
      </c>
      <c r="AW73" s="102"/>
      <c r="AX73" s="102"/>
      <c r="AY73" s="116"/>
    </row>
    <row r="74" spans="1:53">
      <c r="A74" s="250">
        <f t="shared" si="19"/>
        <v>1003</v>
      </c>
      <c r="B74" s="102"/>
      <c r="C74" s="102"/>
      <c r="D74" s="102" t="s">
        <v>24</v>
      </c>
      <c r="E74" s="102"/>
      <c r="F74" s="102"/>
      <c r="G74" s="102"/>
      <c r="H74" s="116">
        <v>837526.95</v>
      </c>
      <c r="I74" s="116">
        <v>799060.05999999994</v>
      </c>
      <c r="J74" s="116">
        <v>796080.23</v>
      </c>
      <c r="K74" s="116">
        <v>793371.29</v>
      </c>
      <c r="L74" s="116">
        <v>788928.62999999989</v>
      </c>
      <c r="M74" s="116">
        <v>787953.40999999992</v>
      </c>
      <c r="N74" s="116">
        <v>787032.37</v>
      </c>
      <c r="O74" s="116">
        <v>786219.69</v>
      </c>
      <c r="P74" s="116">
        <v>786002.98</v>
      </c>
      <c r="Q74" s="116">
        <v>785461.19</v>
      </c>
      <c r="R74" s="116">
        <v>777817.98</v>
      </c>
      <c r="S74" s="116">
        <v>777059.48</v>
      </c>
      <c r="T74" s="116">
        <v>776409.34</v>
      </c>
      <c r="U74" s="116">
        <v>776300.98</v>
      </c>
      <c r="V74" s="116">
        <v>772616.83</v>
      </c>
      <c r="W74" s="116">
        <v>768390.8899999999</v>
      </c>
      <c r="X74" s="116">
        <v>765194.35000000009</v>
      </c>
      <c r="Y74" s="116">
        <v>764869.28</v>
      </c>
      <c r="Z74" s="116">
        <v>763894.06</v>
      </c>
      <c r="AA74" s="116">
        <v>762593.77</v>
      </c>
      <c r="AB74" s="116">
        <v>761293.48</v>
      </c>
      <c r="AC74" s="116">
        <v>760372.44</v>
      </c>
      <c r="AD74" s="116">
        <v>759234.69</v>
      </c>
      <c r="AE74" s="116">
        <v>759017.98</v>
      </c>
      <c r="AF74" s="116"/>
      <c r="AG74" s="133">
        <f>(SUM(T74:AD74)+(0.5*AE74)+(0.5*S74))/12</f>
        <v>766600.73666666669</v>
      </c>
      <c r="AI74" s="133">
        <f>AE74</f>
        <v>759017.98</v>
      </c>
      <c r="AJ74" s="133">
        <f>AG74</f>
        <v>766600.73666666669</v>
      </c>
      <c r="AK74" s="133">
        <f>+'RB FORECAST'!AJ76</f>
        <v>757112.09712847148</v>
      </c>
      <c r="AL74" s="133">
        <f>+'RB FORECAST'!AG76</f>
        <v>755407.98583347327</v>
      </c>
      <c r="AM74" s="133">
        <f>+'RB FORECAST'!BA76</f>
        <v>752252.53173643479</v>
      </c>
      <c r="AN74" s="133">
        <f>+'RB FORECAST'!AW76</f>
        <v>749431.13853964314</v>
      </c>
      <c r="AP74" s="133">
        <f t="shared" si="3"/>
        <v>752252.53173643479</v>
      </c>
      <c r="AQ74" s="606">
        <f>AP74-AE74</f>
        <v>-6765.4482635651948</v>
      </c>
      <c r="AR74" s="225">
        <f t="shared" si="16"/>
        <v>67</v>
      </c>
      <c r="AS74" s="225">
        <f t="shared" si="17"/>
        <v>62</v>
      </c>
      <c r="AT74" s="186"/>
      <c r="AU74" s="102"/>
      <c r="AV74" s="102"/>
      <c r="AW74" s="102" t="s">
        <v>24</v>
      </c>
      <c r="AX74" s="102"/>
      <c r="AY74" s="116">
        <f>+AE74</f>
        <v>759017.98</v>
      </c>
      <c r="AZ74" s="95">
        <f>AP74</f>
        <v>752252.53173643479</v>
      </c>
      <c r="BA74" s="95">
        <f>AZ74-AY74</f>
        <v>-6765.4482635651948</v>
      </c>
    </row>
    <row r="75" spans="1:53">
      <c r="A75" s="250">
        <f t="shared" si="19"/>
        <v>1004</v>
      </c>
      <c r="B75" s="102"/>
      <c r="C75" s="102"/>
      <c r="D75" s="102" t="s">
        <v>14</v>
      </c>
      <c r="E75" s="102"/>
      <c r="F75" s="102"/>
      <c r="G75" s="102"/>
      <c r="H75" s="116">
        <v>13923487.560000001</v>
      </c>
      <c r="I75" s="116">
        <v>13916240.18</v>
      </c>
      <c r="J75" s="116">
        <v>13914507.32</v>
      </c>
      <c r="K75" s="116">
        <v>13910349.609999999</v>
      </c>
      <c r="L75" s="116">
        <v>13905342.990000002</v>
      </c>
      <c r="M75" s="116">
        <v>13903070.550000001</v>
      </c>
      <c r="N75" s="116">
        <v>13899458.180000002</v>
      </c>
      <c r="O75" s="116">
        <v>13897326.07</v>
      </c>
      <c r="P75" s="116">
        <v>13895619.470000001</v>
      </c>
      <c r="Q75" s="116">
        <v>13893098.050000001</v>
      </c>
      <c r="R75" s="116">
        <v>13879873.390000001</v>
      </c>
      <c r="S75" s="116">
        <v>13940732.08</v>
      </c>
      <c r="T75" s="116">
        <v>13937991.460000001</v>
      </c>
      <c r="U75" s="116">
        <v>13935872.579999998</v>
      </c>
      <c r="V75" s="116">
        <v>13931237.049999999</v>
      </c>
      <c r="W75" s="116">
        <v>13926092.819999998</v>
      </c>
      <c r="X75" s="116">
        <v>13918862.92</v>
      </c>
      <c r="Y75" s="116">
        <v>13913305.380000001</v>
      </c>
      <c r="Z75" s="116">
        <v>13908129.359999999</v>
      </c>
      <c r="AA75" s="116">
        <v>13904015.25</v>
      </c>
      <c r="AB75" s="116">
        <v>13896899.809999999</v>
      </c>
      <c r="AC75" s="116">
        <v>13896899.810000001</v>
      </c>
      <c r="AD75" s="116">
        <v>13890048.42</v>
      </c>
      <c r="AE75" s="116">
        <v>13889337.84</v>
      </c>
      <c r="AF75" s="256"/>
      <c r="AG75" s="395">
        <f>(SUM(T75:AD75)+(0.5*AE75)+(0.5*S75))/12</f>
        <v>13914532.484999998</v>
      </c>
      <c r="AI75" s="395">
        <f>AE75</f>
        <v>13889337.84</v>
      </c>
      <c r="AJ75" s="395">
        <f>AG75</f>
        <v>13914532.484999998</v>
      </c>
      <c r="AK75" s="133">
        <f>+'RB FORECAST'!AJ77</f>
        <v>13854461.919028899</v>
      </c>
      <c r="AL75" s="133">
        <f>+'RB FORECAST'!AG77</f>
        <v>13823278.234166533</v>
      </c>
      <c r="AM75" s="133">
        <f>+'RB FORECAST'!BA77</f>
        <v>13765536.297681211</v>
      </c>
      <c r="AN75" s="133">
        <f>+'RB FORECAST'!AW77</f>
        <v>13713907.371460361</v>
      </c>
      <c r="AP75" s="395">
        <f t="shared" si="3"/>
        <v>13765536.297681211</v>
      </c>
      <c r="AQ75" s="609">
        <f>AP75-AE75</f>
        <v>-123801.54231878929</v>
      </c>
      <c r="AR75" s="225">
        <f t="shared" si="16"/>
        <v>68</v>
      </c>
      <c r="AS75" s="225">
        <f t="shared" si="17"/>
        <v>63</v>
      </c>
      <c r="AT75" s="186"/>
      <c r="AU75" s="102"/>
      <c r="AV75" s="102"/>
      <c r="AW75" s="102" t="s">
        <v>14</v>
      </c>
      <c r="AX75" s="102"/>
      <c r="AY75" s="116">
        <f>+AE75</f>
        <v>13889337.84</v>
      </c>
      <c r="AZ75" s="95">
        <f>AP75</f>
        <v>13765536.297681211</v>
      </c>
      <c r="BA75" s="95">
        <f>AZ75-AY75</f>
        <v>-123801.54231878929</v>
      </c>
    </row>
    <row r="76" spans="1:53">
      <c r="A76" s="250">
        <f t="shared" si="19"/>
        <v>1005</v>
      </c>
      <c r="B76" s="102"/>
      <c r="C76" s="102"/>
      <c r="D76" s="102" t="s">
        <v>170</v>
      </c>
      <c r="E76" s="102"/>
      <c r="F76" s="102"/>
      <c r="G76" s="102"/>
      <c r="H76" s="1043">
        <v>14761014.51</v>
      </c>
      <c r="I76" s="1043">
        <v>14715300.24</v>
      </c>
      <c r="J76" s="1043">
        <v>14710587.550000001</v>
      </c>
      <c r="K76" s="1043">
        <v>14703720.899999999</v>
      </c>
      <c r="L76" s="1043">
        <v>14694271.620000001</v>
      </c>
      <c r="M76" s="1043">
        <v>14691023.960000001</v>
      </c>
      <c r="N76" s="1043">
        <v>14686490.550000001</v>
      </c>
      <c r="O76" s="1043">
        <v>14683545.76</v>
      </c>
      <c r="P76" s="1043">
        <v>14681622.450000001</v>
      </c>
      <c r="Q76" s="1043">
        <v>14678559.24</v>
      </c>
      <c r="R76" s="1043">
        <v>14657691.370000001</v>
      </c>
      <c r="S76" s="1043">
        <v>14717791.560000001</v>
      </c>
      <c r="T76" s="1043">
        <v>14714400.800000001</v>
      </c>
      <c r="U76" s="1043">
        <v>14712173.559999999</v>
      </c>
      <c r="V76" s="1043">
        <v>14703853.879999999</v>
      </c>
      <c r="W76" s="1043">
        <v>14694483.709999999</v>
      </c>
      <c r="X76" s="1043">
        <v>14684057.27</v>
      </c>
      <c r="Y76" s="1043">
        <v>14678174.66</v>
      </c>
      <c r="Z76" s="1043">
        <v>14672023.42</v>
      </c>
      <c r="AA76" s="1043">
        <v>14666609.02</v>
      </c>
      <c r="AB76" s="1043">
        <v>14658193.289999999</v>
      </c>
      <c r="AC76" s="1043">
        <v>14657272.25</v>
      </c>
      <c r="AD76" s="1043">
        <v>14649283.109999999</v>
      </c>
      <c r="AE76" s="1043">
        <v>14648355.82</v>
      </c>
      <c r="AF76" s="1043"/>
      <c r="AG76" s="1046">
        <f>SUM(AG74:AG75)</f>
        <v>14681133.221666664</v>
      </c>
      <c r="AI76" s="1046">
        <f>AE76</f>
        <v>14648355.82</v>
      </c>
      <c r="AJ76" s="1046">
        <f>AG76</f>
        <v>14681133.221666664</v>
      </c>
      <c r="AK76" s="1046">
        <f>SUM(AK74:AK75)</f>
        <v>14611574.01615737</v>
      </c>
      <c r="AL76" s="1046">
        <f>SUM(AL74:AL75)</f>
        <v>14578686.220000006</v>
      </c>
      <c r="AM76" s="1046">
        <f t="shared" ref="AM76:AN76" si="24">SUM(AM74:AM75)</f>
        <v>14517788.829417646</v>
      </c>
      <c r="AN76" s="1046">
        <f t="shared" si="24"/>
        <v>14463338.510000005</v>
      </c>
      <c r="AP76" s="133">
        <f t="shared" si="3"/>
        <v>14517788.829417646</v>
      </c>
      <c r="AQ76" s="606">
        <f>SUM(AQ74:AQ75)</f>
        <v>-130566.99058235448</v>
      </c>
      <c r="AR76" s="225">
        <f t="shared" si="16"/>
        <v>69</v>
      </c>
      <c r="AS76" s="225">
        <f t="shared" si="17"/>
        <v>64</v>
      </c>
      <c r="AT76" s="186"/>
      <c r="AU76" s="102"/>
      <c r="AV76" s="102"/>
      <c r="AW76" s="102" t="s">
        <v>170</v>
      </c>
      <c r="AX76" s="102"/>
      <c r="AY76" s="116">
        <f>AI76</f>
        <v>14648355.82</v>
      </c>
      <c r="AZ76" s="116">
        <f>AJ76</f>
        <v>14681133.221666664</v>
      </c>
      <c r="BA76" s="95">
        <f>AZ76-AY76</f>
        <v>32777.401666663587</v>
      </c>
    </row>
    <row r="77" spans="1:53">
      <c r="A77" s="250">
        <f t="shared" si="19"/>
        <v>1006</v>
      </c>
      <c r="B77" s="102"/>
      <c r="C77" s="102"/>
      <c r="D77" s="102"/>
      <c r="E77" s="102"/>
      <c r="F77" s="102"/>
      <c r="G77" s="102"/>
      <c r="AR77" s="225">
        <f t="shared" si="16"/>
        <v>70</v>
      </c>
      <c r="AS77" s="225">
        <f t="shared" si="17"/>
        <v>65</v>
      </c>
      <c r="AT77" s="186"/>
      <c r="AU77" s="102"/>
      <c r="AV77" s="102"/>
      <c r="AW77" s="102"/>
      <c r="AX77" s="102"/>
      <c r="AY77" s="116"/>
    </row>
    <row r="78" spans="1:53">
      <c r="A78" s="250">
        <f t="shared" si="19"/>
        <v>1007</v>
      </c>
      <c r="B78" s="102" t="s">
        <v>256</v>
      </c>
      <c r="C78" s="102" t="s">
        <v>235</v>
      </c>
      <c r="D78" s="102"/>
      <c r="E78" s="102"/>
      <c r="F78" s="102"/>
      <c r="G78" s="102"/>
      <c r="AR78" s="225">
        <f t="shared" si="16"/>
        <v>71</v>
      </c>
      <c r="AS78" s="225">
        <f t="shared" si="17"/>
        <v>66</v>
      </c>
      <c r="AT78" s="186"/>
      <c r="AU78" s="102" t="s">
        <v>256</v>
      </c>
      <c r="AV78" s="102" t="s">
        <v>235</v>
      </c>
      <c r="AW78" s="102"/>
      <c r="AX78" s="102"/>
      <c r="AY78" s="116"/>
    </row>
    <row r="79" spans="1:53">
      <c r="A79" s="250">
        <f t="shared" si="19"/>
        <v>1008</v>
      </c>
      <c r="B79" s="102"/>
      <c r="C79" s="102"/>
      <c r="D79" s="102" t="s">
        <v>24</v>
      </c>
      <c r="E79" s="102"/>
      <c r="F79" s="102"/>
      <c r="G79" s="102"/>
      <c r="H79" s="116">
        <v>68977.440000000002</v>
      </c>
      <c r="I79" s="116">
        <v>68977.440000000002</v>
      </c>
      <c r="J79" s="116">
        <v>68977.440000000002</v>
      </c>
      <c r="K79" s="116">
        <v>68977.440000000002</v>
      </c>
      <c r="L79" s="116">
        <v>68977.440000000002</v>
      </c>
      <c r="M79" s="116">
        <v>68977.440000000002</v>
      </c>
      <c r="N79" s="116">
        <v>68977.440000000002</v>
      </c>
      <c r="O79" s="116">
        <v>68977.440000000002</v>
      </c>
      <c r="P79" s="116">
        <v>68977.440000000002</v>
      </c>
      <c r="Q79" s="116">
        <v>68977.440000000002</v>
      </c>
      <c r="R79" s="116">
        <v>68977.440000000002</v>
      </c>
      <c r="S79" s="116">
        <v>68977.440000000002</v>
      </c>
      <c r="T79" s="116">
        <v>68977.440000000002</v>
      </c>
      <c r="U79" s="116">
        <v>68977.440000000002</v>
      </c>
      <c r="V79" s="116">
        <v>68977.440000000002</v>
      </c>
      <c r="W79" s="116">
        <v>68977.440000000002</v>
      </c>
      <c r="X79" s="116">
        <v>68977.440000000002</v>
      </c>
      <c r="Y79" s="116">
        <v>68977.440000000002</v>
      </c>
      <c r="Z79" s="116">
        <v>68977.440000000002</v>
      </c>
      <c r="AA79" s="116">
        <v>68977.440000000002</v>
      </c>
      <c r="AB79" s="116">
        <v>68977.440000000002</v>
      </c>
      <c r="AC79" s="116">
        <v>68977.440000000002</v>
      </c>
      <c r="AD79" s="116">
        <v>68977.440000000002</v>
      </c>
      <c r="AE79" s="116">
        <v>68977.440000000002</v>
      </c>
      <c r="AF79" s="116"/>
      <c r="AG79" s="133">
        <f>(SUM(T79:AD79)+(0.5*AE79)+(0.5*S79))/12</f>
        <v>68977.439999999988</v>
      </c>
      <c r="AI79" s="133">
        <f>AE79</f>
        <v>68977.440000000002</v>
      </c>
      <c r="AJ79" s="133">
        <f>AG79</f>
        <v>68977.439999999988</v>
      </c>
      <c r="AK79" s="133">
        <f>+'RB FORECAST'!AJ81</f>
        <v>68977.439999999988</v>
      </c>
      <c r="AL79" s="133">
        <f>+'RB FORECAST'!AG81</f>
        <v>68977.440000000002</v>
      </c>
      <c r="AM79" s="133">
        <f>+'RB FORECAST'!BA81</f>
        <v>68977.439999999988</v>
      </c>
      <c r="AN79" s="133">
        <f>+'RB FORECAST'!AW81</f>
        <v>68977.440000000002</v>
      </c>
      <c r="AP79" s="133">
        <f t="shared" ref="AP79:AP135" si="25">HLOOKUP($AP$8,RateBaseScenarios,AR79,FALSE)</f>
        <v>68977.439999999988</v>
      </c>
      <c r="AQ79" s="606">
        <f>AP79-AE79</f>
        <v>0</v>
      </c>
      <c r="AR79" s="225">
        <f t="shared" si="16"/>
        <v>72</v>
      </c>
      <c r="AS79" s="225">
        <f t="shared" si="17"/>
        <v>67</v>
      </c>
      <c r="AT79" s="186"/>
      <c r="AU79" s="102"/>
      <c r="AV79" s="102"/>
      <c r="AW79" s="102" t="s">
        <v>24</v>
      </c>
      <c r="AX79" s="102"/>
      <c r="AY79" s="116">
        <f>+AE79</f>
        <v>68977.440000000002</v>
      </c>
      <c r="AZ79" s="95">
        <f>AP79</f>
        <v>68977.439999999988</v>
      </c>
      <c r="BA79" s="95">
        <f>AZ79-AY79</f>
        <v>0</v>
      </c>
    </row>
    <row r="80" spans="1:53">
      <c r="A80" s="250">
        <f t="shared" si="19"/>
        <v>1009</v>
      </c>
      <c r="B80" s="102"/>
      <c r="C80" s="102"/>
      <c r="D80" s="102" t="s">
        <v>14</v>
      </c>
      <c r="E80" s="102"/>
      <c r="F80" s="102"/>
      <c r="G80" s="102"/>
      <c r="H80" s="116">
        <v>1617141.37</v>
      </c>
      <c r="I80" s="116">
        <v>1617141.37</v>
      </c>
      <c r="J80" s="116">
        <v>1949171.9000000001</v>
      </c>
      <c r="K80" s="116">
        <v>1954376.95</v>
      </c>
      <c r="L80" s="116">
        <v>1961471.1</v>
      </c>
      <c r="M80" s="116">
        <v>1964671.77</v>
      </c>
      <c r="N80" s="116">
        <v>1965212.8800000001</v>
      </c>
      <c r="O80" s="116">
        <v>1965336.4200000002</v>
      </c>
      <c r="P80" s="116">
        <v>2261975.04</v>
      </c>
      <c r="Q80" s="116">
        <v>2229062.54</v>
      </c>
      <c r="R80" s="116">
        <v>2231447.98</v>
      </c>
      <c r="S80" s="116">
        <v>2231447.98</v>
      </c>
      <c r="T80" s="116">
        <v>2231447.98</v>
      </c>
      <c r="U80" s="116">
        <v>2236827.67</v>
      </c>
      <c r="V80" s="116">
        <v>2237018.35</v>
      </c>
      <c r="W80" s="116">
        <v>2237018.35</v>
      </c>
      <c r="X80" s="116">
        <v>2237018.35</v>
      </c>
      <c r="Y80" s="116">
        <v>2237018.35</v>
      </c>
      <c r="Z80" s="116">
        <v>2237018.35</v>
      </c>
      <c r="AA80" s="116">
        <v>2237018.35</v>
      </c>
      <c r="AB80" s="116">
        <v>2237018.35</v>
      </c>
      <c r="AC80" s="116">
        <v>2237018.35</v>
      </c>
      <c r="AD80" s="116">
        <v>2237018.35</v>
      </c>
      <c r="AE80" s="116">
        <v>2237018.35</v>
      </c>
      <c r="AF80" s="256"/>
      <c r="AG80" s="395">
        <f>(SUM(T80:AD80)+(0.5*AE80)+(0.5*S80))/12</f>
        <v>2236306.1637500003</v>
      </c>
      <c r="AI80" s="395">
        <f>AE80</f>
        <v>2237018.35</v>
      </c>
      <c r="AJ80" s="395">
        <f>AG80</f>
        <v>2236306.1637500003</v>
      </c>
      <c r="AK80" s="133">
        <f>+'RB FORECAST'!AJ82</f>
        <v>2237018.3500000006</v>
      </c>
      <c r="AL80" s="133">
        <f>+'RB FORECAST'!AG82</f>
        <v>2237018.35</v>
      </c>
      <c r="AM80" s="133">
        <f>+'RB FORECAST'!BA82</f>
        <v>2237018.3500000006</v>
      </c>
      <c r="AN80" s="133">
        <f>+'RB FORECAST'!AW82</f>
        <v>2237018.35</v>
      </c>
      <c r="AP80" s="395">
        <f t="shared" si="25"/>
        <v>2237018.3500000006</v>
      </c>
      <c r="AQ80" s="609">
        <f>AP80-AE80</f>
        <v>0</v>
      </c>
      <c r="AR80" s="225">
        <f t="shared" si="16"/>
        <v>73</v>
      </c>
      <c r="AS80" s="225">
        <f t="shared" si="17"/>
        <v>68</v>
      </c>
      <c r="AT80" s="186"/>
      <c r="AU80" s="102"/>
      <c r="AV80" s="102"/>
      <c r="AW80" s="102" t="s">
        <v>14</v>
      </c>
      <c r="AX80" s="102"/>
      <c r="AY80" s="116">
        <f>+AE80</f>
        <v>2237018.35</v>
      </c>
      <c r="AZ80" s="95">
        <f>AP80</f>
        <v>2237018.3500000006</v>
      </c>
      <c r="BA80" s="95">
        <f>AZ80-AY80</f>
        <v>0</v>
      </c>
    </row>
    <row r="81" spans="1:53">
      <c r="A81" s="250">
        <f t="shared" si="19"/>
        <v>1010</v>
      </c>
      <c r="B81" s="102"/>
      <c r="C81" s="102"/>
      <c r="D81" s="102" t="s">
        <v>170</v>
      </c>
      <c r="E81" s="102"/>
      <c r="F81" s="102"/>
      <c r="G81" s="102"/>
      <c r="H81" s="1043">
        <v>1686118.81</v>
      </c>
      <c r="I81" s="1043">
        <v>1686118.81</v>
      </c>
      <c r="J81" s="1043">
        <v>2018149.34</v>
      </c>
      <c r="K81" s="1043">
        <v>2023354.39</v>
      </c>
      <c r="L81" s="1043">
        <v>2030448.54</v>
      </c>
      <c r="M81" s="1043">
        <v>2033649.21</v>
      </c>
      <c r="N81" s="1043">
        <v>2034190.32</v>
      </c>
      <c r="O81" s="1043">
        <v>2034313.86</v>
      </c>
      <c r="P81" s="1043">
        <v>2330952.48</v>
      </c>
      <c r="Q81" s="1043">
        <v>2298039.98</v>
      </c>
      <c r="R81" s="1043">
        <v>2300425.42</v>
      </c>
      <c r="S81" s="1043">
        <v>2300425.42</v>
      </c>
      <c r="T81" s="1043">
        <v>2300425.42</v>
      </c>
      <c r="U81" s="1043">
        <v>2305805.11</v>
      </c>
      <c r="V81" s="1043">
        <v>2305995.79</v>
      </c>
      <c r="W81" s="1043">
        <v>2305995.79</v>
      </c>
      <c r="X81" s="1043">
        <v>2305995.79</v>
      </c>
      <c r="Y81" s="1043">
        <v>2305995.79</v>
      </c>
      <c r="Z81" s="1043">
        <v>2305995.79</v>
      </c>
      <c r="AA81" s="1043">
        <v>2305995.79</v>
      </c>
      <c r="AB81" s="1043">
        <v>2305995.79</v>
      </c>
      <c r="AC81" s="1043">
        <v>2305995.79</v>
      </c>
      <c r="AD81" s="1043">
        <v>2305995.79</v>
      </c>
      <c r="AE81" s="1043">
        <v>2305995.79</v>
      </c>
      <c r="AF81" s="1043"/>
      <c r="AG81" s="1046">
        <f>SUM(AG79:AG80)</f>
        <v>2305283.6037500002</v>
      </c>
      <c r="AI81" s="1046">
        <f>AE81</f>
        <v>2305995.79</v>
      </c>
      <c r="AJ81" s="1046">
        <f>AG81</f>
        <v>2305283.6037500002</v>
      </c>
      <c r="AK81" s="1046">
        <f>SUM(AK79:AK80)</f>
        <v>2305995.7900000005</v>
      </c>
      <c r="AL81" s="1046">
        <f>SUM(AL79:AL80)</f>
        <v>2305995.79</v>
      </c>
      <c r="AM81" s="1046">
        <f t="shared" ref="AM81:AN81" si="26">SUM(AM79:AM80)</f>
        <v>2305995.7900000005</v>
      </c>
      <c r="AN81" s="1046">
        <f t="shared" si="26"/>
        <v>2305995.79</v>
      </c>
      <c r="AP81" s="133">
        <f t="shared" si="25"/>
        <v>2305995.7900000005</v>
      </c>
      <c r="AQ81" s="606">
        <f>SUM(AQ79:AQ80)</f>
        <v>0</v>
      </c>
      <c r="AR81" s="225">
        <f t="shared" si="16"/>
        <v>74</v>
      </c>
      <c r="AS81" s="225">
        <f t="shared" si="17"/>
        <v>69</v>
      </c>
      <c r="AT81" s="186"/>
      <c r="AU81" s="102"/>
      <c r="AV81" s="102"/>
      <c r="AW81" s="102" t="s">
        <v>170</v>
      </c>
      <c r="AX81" s="102"/>
      <c r="AY81" s="116">
        <f>AI81</f>
        <v>2305995.79</v>
      </c>
      <c r="AZ81" s="116">
        <f>AJ81</f>
        <v>2305283.6037500002</v>
      </c>
      <c r="BA81" s="95">
        <f>AZ81-AY81</f>
        <v>-712.18624999979511</v>
      </c>
    </row>
    <row r="82" spans="1:53">
      <c r="A82" s="250">
        <f t="shared" si="19"/>
        <v>1011</v>
      </c>
      <c r="B82" s="102"/>
      <c r="C82" s="102"/>
      <c r="D82" s="102"/>
      <c r="E82" s="102"/>
      <c r="F82" s="102"/>
      <c r="G82" s="102"/>
      <c r="AR82" s="225">
        <f t="shared" si="16"/>
        <v>75</v>
      </c>
      <c r="AS82" s="225">
        <f t="shared" si="17"/>
        <v>70</v>
      </c>
      <c r="AT82" s="186"/>
      <c r="AU82" s="102"/>
      <c r="AV82" s="102"/>
      <c r="AW82" s="102"/>
      <c r="AX82" s="102"/>
      <c r="AY82" s="116"/>
    </row>
    <row r="83" spans="1:53">
      <c r="A83" s="250" t="e">
        <f>+#REF!+1</f>
        <v>#REF!</v>
      </c>
      <c r="B83" s="102"/>
      <c r="C83" s="102" t="s">
        <v>257</v>
      </c>
      <c r="D83" s="102"/>
      <c r="E83" s="102"/>
      <c r="F83" s="102"/>
      <c r="G83" s="102"/>
      <c r="H83" s="116">
        <v>2186926607.6799998</v>
      </c>
      <c r="I83" s="116">
        <v>2201632881.0999999</v>
      </c>
      <c r="J83" s="116">
        <v>2209690854.1199999</v>
      </c>
      <c r="K83" s="116">
        <v>2217531203.5</v>
      </c>
      <c r="L83" s="116">
        <v>2226916761.9099998</v>
      </c>
      <c r="M83" s="116">
        <v>2233187412.1599998</v>
      </c>
      <c r="N83" s="116">
        <v>2240993580.5900002</v>
      </c>
      <c r="O83" s="116">
        <v>2258710519.2999997</v>
      </c>
      <c r="P83" s="116">
        <v>2314146072.7899995</v>
      </c>
      <c r="Q83" s="116">
        <v>2339072652.5199995</v>
      </c>
      <c r="R83" s="116">
        <v>2348437845.1799998</v>
      </c>
      <c r="S83" s="116">
        <v>2361317974.6399999</v>
      </c>
      <c r="T83" s="116">
        <v>2370962981.0999994</v>
      </c>
      <c r="U83" s="116">
        <v>2376499148.0999999</v>
      </c>
      <c r="V83" s="116">
        <v>2390603725.2600002</v>
      </c>
      <c r="W83" s="116">
        <v>2408956841.1999998</v>
      </c>
      <c r="X83" s="116">
        <v>2414666083.6899996</v>
      </c>
      <c r="Y83" s="116">
        <v>2420687061.23</v>
      </c>
      <c r="Z83" s="116">
        <v>2425609761.4599996</v>
      </c>
      <c r="AA83" s="116">
        <v>2472575017.7400002</v>
      </c>
      <c r="AB83" s="116">
        <v>2473340689.0999999</v>
      </c>
      <c r="AC83" s="116">
        <v>2502323947.5599999</v>
      </c>
      <c r="AD83" s="116">
        <v>2514012566.3899999</v>
      </c>
      <c r="AE83" s="116">
        <v>2529881859.2999997</v>
      </c>
      <c r="AF83" s="116"/>
      <c r="AG83" s="133">
        <f>AG81+AG76+AG71+AG66+AG61+AG56+AG51+AG40+AG35</f>
        <v>2434653144.9833331</v>
      </c>
      <c r="AI83" s="133">
        <f t="shared" ref="AI83:AN83" si="27">AI81+AI76+AI71+AI66+AI61+AI56+AI51+AI40+AI35</f>
        <v>2529881859.2999997</v>
      </c>
      <c r="AJ83" s="133">
        <f t="shared" si="27"/>
        <v>2434653144.9833331</v>
      </c>
      <c r="AK83" s="133">
        <f t="shared" ca="1" si="27"/>
        <v>2613692376.4820275</v>
      </c>
      <c r="AL83" s="133">
        <f t="shared" ca="1" si="27"/>
        <v>2727313384.9457984</v>
      </c>
      <c r="AM83" s="133">
        <f t="shared" ca="1" si="27"/>
        <v>2806410798.3320723</v>
      </c>
      <c r="AN83" s="133">
        <f t="shared" ca="1" si="27"/>
        <v>2913399214.9614158</v>
      </c>
      <c r="AP83" s="133">
        <f t="shared" ca="1" si="25"/>
        <v>2806410798.3320723</v>
      </c>
      <c r="AQ83" s="606">
        <f t="shared" ref="AQ83" ca="1" si="28">AQ81+AQ76+AQ71+AQ66+AQ61+AQ56+AQ51+AQ40+AQ35</f>
        <v>276528939.03207225</v>
      </c>
      <c r="AR83" s="225">
        <f t="shared" si="16"/>
        <v>76</v>
      </c>
      <c r="AS83" s="225" t="e">
        <f>+#REF!+1</f>
        <v>#REF!</v>
      </c>
      <c r="AT83" s="186"/>
      <c r="AU83" s="102"/>
      <c r="AV83" s="102" t="s">
        <v>257</v>
      </c>
      <c r="AW83" s="102"/>
      <c r="AX83" s="102"/>
      <c r="AY83" s="116">
        <f>AI83</f>
        <v>2529881859.2999997</v>
      </c>
      <c r="AZ83" s="116">
        <f>AJ83</f>
        <v>2434653144.9833331</v>
      </c>
      <c r="BA83" s="95">
        <f>AZ83-AY83</f>
        <v>-95228714.316666603</v>
      </c>
    </row>
    <row r="84" spans="1:53">
      <c r="A84" s="250" t="e">
        <f t="shared" si="19"/>
        <v>#REF!</v>
      </c>
      <c r="B84" s="102"/>
      <c r="C84" s="102"/>
      <c r="D84" s="102"/>
      <c r="E84" s="102"/>
      <c r="F84" s="102"/>
      <c r="G84" s="102"/>
      <c r="AR84" s="225">
        <f t="shared" si="16"/>
        <v>77</v>
      </c>
      <c r="AS84" s="225" t="e">
        <f t="shared" si="17"/>
        <v>#REF!</v>
      </c>
      <c r="AT84" s="186"/>
      <c r="AU84" s="102"/>
      <c r="AV84" s="102"/>
      <c r="AW84" s="102"/>
      <c r="AX84" s="102"/>
      <c r="AY84" s="116"/>
    </row>
    <row r="85" spans="1:53">
      <c r="A85" s="250" t="e">
        <f t="shared" si="19"/>
        <v>#REF!</v>
      </c>
      <c r="B85" s="208" t="s">
        <v>714</v>
      </c>
      <c r="C85" s="102"/>
      <c r="D85" s="102"/>
      <c r="E85" s="102"/>
      <c r="F85" s="102"/>
      <c r="G85" s="102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33"/>
      <c r="AI85" s="133"/>
      <c r="AJ85" s="133"/>
      <c r="AK85" s="133"/>
      <c r="AL85" s="133"/>
      <c r="AM85" s="133"/>
      <c r="AN85" s="133"/>
      <c r="AP85" s="133"/>
      <c r="AQ85" s="606"/>
      <c r="AR85" s="225">
        <f t="shared" si="16"/>
        <v>78</v>
      </c>
      <c r="AS85" s="225" t="e">
        <f t="shared" si="17"/>
        <v>#REF!</v>
      </c>
      <c r="AT85" s="186"/>
      <c r="AU85" s="102"/>
      <c r="AV85" s="102"/>
      <c r="AW85" s="102"/>
      <c r="AX85" s="102"/>
      <c r="AY85" s="116"/>
    </row>
    <row r="86" spans="1:53">
      <c r="A86" s="250" t="e">
        <f t="shared" si="19"/>
        <v>#REF!</v>
      </c>
      <c r="B86" s="102" t="s">
        <v>258</v>
      </c>
      <c r="C86" s="102" t="s">
        <v>223</v>
      </c>
      <c r="D86" s="102"/>
      <c r="E86" s="102"/>
      <c r="F86" s="102"/>
      <c r="G86" s="102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33"/>
      <c r="AI86" s="133"/>
      <c r="AJ86" s="133"/>
      <c r="AK86" s="133"/>
      <c r="AL86" s="133"/>
      <c r="AM86" s="133"/>
      <c r="AN86" s="133"/>
      <c r="AP86" s="133"/>
      <c r="AQ86" s="606"/>
      <c r="AR86" s="225">
        <f t="shared" si="16"/>
        <v>79</v>
      </c>
      <c r="AS86" s="225" t="e">
        <f t="shared" si="17"/>
        <v>#REF!</v>
      </c>
      <c r="AT86" s="186"/>
      <c r="AU86" s="102" t="s">
        <v>258</v>
      </c>
      <c r="AV86" s="102" t="s">
        <v>223</v>
      </c>
      <c r="AW86" s="102"/>
      <c r="AX86" s="102"/>
      <c r="AY86" s="116"/>
    </row>
    <row r="87" spans="1:53">
      <c r="A87" s="250" t="e">
        <f t="shared" si="19"/>
        <v>#REF!</v>
      </c>
      <c r="B87" s="102"/>
      <c r="C87" s="102"/>
      <c r="D87" s="102" t="s">
        <v>24</v>
      </c>
      <c r="E87" s="102"/>
      <c r="F87" s="102"/>
      <c r="G87" s="102"/>
      <c r="H87" s="116">
        <v>11584.02</v>
      </c>
      <c r="I87" s="116">
        <v>11584.02</v>
      </c>
      <c r="J87" s="116">
        <v>11584.02</v>
      </c>
      <c r="K87" s="116">
        <v>11584.02</v>
      </c>
      <c r="L87" s="116">
        <v>11584.02</v>
      </c>
      <c r="M87" s="116">
        <v>11584.02</v>
      </c>
      <c r="N87" s="116">
        <v>11584.02</v>
      </c>
      <c r="O87" s="116">
        <v>11584.02</v>
      </c>
      <c r="P87" s="116">
        <v>11584.02</v>
      </c>
      <c r="Q87" s="116">
        <v>11584.02</v>
      </c>
      <c r="R87" s="116">
        <v>11584.02</v>
      </c>
      <c r="S87" s="116">
        <v>11584.02</v>
      </c>
      <c r="T87" s="116">
        <v>11584.02</v>
      </c>
      <c r="U87" s="116">
        <v>11584.02</v>
      </c>
      <c r="V87" s="116">
        <v>11584.02</v>
      </c>
      <c r="W87" s="116">
        <v>11584.02</v>
      </c>
      <c r="X87" s="116">
        <v>11584.02</v>
      </c>
      <c r="Y87" s="116">
        <v>11584.02</v>
      </c>
      <c r="Z87" s="116">
        <v>11584.02</v>
      </c>
      <c r="AA87" s="116">
        <v>11584.02</v>
      </c>
      <c r="AB87" s="116">
        <v>11584.02</v>
      </c>
      <c r="AC87" s="116">
        <v>11584.02</v>
      </c>
      <c r="AD87" s="116">
        <v>11584.02</v>
      </c>
      <c r="AE87" s="116">
        <v>11584.02</v>
      </c>
      <c r="AF87" s="116"/>
      <c r="AG87" s="133">
        <f>(SUM(T87:AD87)+(0.5*AE87)+(0.5*S87))/12</f>
        <v>11584.020000000004</v>
      </c>
      <c r="AI87" s="133">
        <f>AE87</f>
        <v>11584.02</v>
      </c>
      <c r="AJ87" s="133">
        <f>AG87</f>
        <v>11584.020000000004</v>
      </c>
      <c r="AK87" s="133">
        <f>+'RB FORECAST'!AJ89</f>
        <v>11584.020000000004</v>
      </c>
      <c r="AL87" s="133">
        <f>+'RB FORECAST'!AG89</f>
        <v>11584.02</v>
      </c>
      <c r="AM87" s="133">
        <f>+'RB FORECAST'!BA89</f>
        <v>11584.020000000004</v>
      </c>
      <c r="AN87" s="133">
        <f>+'RB FORECAST'!AW89</f>
        <v>11584.02</v>
      </c>
      <c r="AP87" s="133">
        <f t="shared" si="25"/>
        <v>11584.020000000004</v>
      </c>
      <c r="AQ87" s="606">
        <f>AP87-AE87</f>
        <v>0</v>
      </c>
      <c r="AR87" s="225">
        <f t="shared" si="16"/>
        <v>80</v>
      </c>
      <c r="AS87" s="225" t="e">
        <f t="shared" si="17"/>
        <v>#REF!</v>
      </c>
      <c r="AT87" s="186"/>
      <c r="AU87" s="102"/>
      <c r="AV87" s="102"/>
      <c r="AW87" s="102" t="s">
        <v>592</v>
      </c>
      <c r="AX87" s="102"/>
      <c r="AY87" s="116">
        <f>+AE87</f>
        <v>11584.02</v>
      </c>
      <c r="AZ87" s="95">
        <f>AP87</f>
        <v>11584.020000000004</v>
      </c>
      <c r="BA87" s="95">
        <f>AZ87-AY87</f>
        <v>0</v>
      </c>
    </row>
    <row r="88" spans="1:53">
      <c r="A88" s="250" t="e">
        <f t="shared" si="19"/>
        <v>#REF!</v>
      </c>
      <c r="B88" s="102"/>
      <c r="C88" s="102"/>
      <c r="D88" s="102" t="s">
        <v>14</v>
      </c>
      <c r="E88" s="102"/>
      <c r="F88" s="102"/>
      <c r="G88" s="102"/>
      <c r="H88" s="116">
        <v>3775953.85</v>
      </c>
      <c r="I88" s="116">
        <v>3775953.85</v>
      </c>
      <c r="J88" s="116">
        <v>3775953.85</v>
      </c>
      <c r="K88" s="116">
        <v>3775953.85</v>
      </c>
      <c r="L88" s="116">
        <v>3775953.85</v>
      </c>
      <c r="M88" s="116">
        <v>3775953.85</v>
      </c>
      <c r="N88" s="116">
        <v>3775953.85</v>
      </c>
      <c r="O88" s="116">
        <v>3899703.98</v>
      </c>
      <c r="P88" s="116">
        <v>3775953.85</v>
      </c>
      <c r="Q88" s="116">
        <v>3775953.85</v>
      </c>
      <c r="R88" s="116">
        <v>3775953.85</v>
      </c>
      <c r="S88" s="116">
        <v>3775953.85</v>
      </c>
      <c r="T88" s="116">
        <v>3775953.85</v>
      </c>
      <c r="U88" s="116">
        <v>3775953.85</v>
      </c>
      <c r="V88" s="116">
        <v>3775953.85</v>
      </c>
      <c r="W88" s="116">
        <v>3775953.85</v>
      </c>
      <c r="X88" s="116">
        <v>3775953.85</v>
      </c>
      <c r="Y88" s="116">
        <v>3775953.85</v>
      </c>
      <c r="Z88" s="116">
        <v>3775953.85</v>
      </c>
      <c r="AA88" s="116">
        <v>3775953.85</v>
      </c>
      <c r="AB88" s="116">
        <v>3775953.85</v>
      </c>
      <c r="AC88" s="116">
        <v>3775953.85</v>
      </c>
      <c r="AD88" s="116">
        <v>3775953.85</v>
      </c>
      <c r="AE88" s="116">
        <v>3775953.85</v>
      </c>
      <c r="AF88" s="256"/>
      <c r="AG88" s="395">
        <f>(SUM(T88:AD88)+(0.5*AE88)+(0.5*S88))/12</f>
        <v>3775953.85</v>
      </c>
      <c r="AI88" s="395">
        <f>AE88</f>
        <v>3775953.85</v>
      </c>
      <c r="AJ88" s="395">
        <f>AG88</f>
        <v>3775953.85</v>
      </c>
      <c r="AK88" s="133">
        <f>+'RB FORECAST'!AJ90</f>
        <v>3775953.85</v>
      </c>
      <c r="AL88" s="133">
        <f>+'RB FORECAST'!AG90</f>
        <v>3775953.85</v>
      </c>
      <c r="AM88" s="133">
        <f>+'RB FORECAST'!BA90</f>
        <v>3775953.85</v>
      </c>
      <c r="AN88" s="133">
        <f>+'RB FORECAST'!AW90</f>
        <v>3775953.85</v>
      </c>
      <c r="AP88" s="395">
        <f t="shared" si="25"/>
        <v>3775953.85</v>
      </c>
      <c r="AQ88" s="609">
        <f>AP88-AE88</f>
        <v>0</v>
      </c>
      <c r="AR88" s="225">
        <f t="shared" si="16"/>
        <v>81</v>
      </c>
      <c r="AS88" s="225" t="e">
        <f t="shared" si="17"/>
        <v>#REF!</v>
      </c>
      <c r="AT88" s="186"/>
      <c r="AU88" s="102"/>
      <c r="AV88" s="102"/>
      <c r="AW88" s="102" t="s">
        <v>593</v>
      </c>
      <c r="AX88" s="102"/>
      <c r="AY88" s="116">
        <f>+AE88</f>
        <v>3775953.85</v>
      </c>
      <c r="AZ88" s="95">
        <f>AP88</f>
        <v>3775953.85</v>
      </c>
      <c r="BA88" s="95">
        <f>AZ88-AY88</f>
        <v>0</v>
      </c>
    </row>
    <row r="89" spans="1:53">
      <c r="A89" s="250" t="e">
        <f t="shared" si="19"/>
        <v>#REF!</v>
      </c>
      <c r="B89" s="102"/>
      <c r="C89" s="102"/>
      <c r="D89" s="102" t="s">
        <v>170</v>
      </c>
      <c r="E89" s="102"/>
      <c r="F89" s="102"/>
      <c r="G89" s="102"/>
      <c r="H89" s="1043">
        <v>3787537.87</v>
      </c>
      <c r="I89" s="1043">
        <v>3787537.87</v>
      </c>
      <c r="J89" s="1043">
        <v>3787537.87</v>
      </c>
      <c r="K89" s="1043">
        <v>3787537.87</v>
      </c>
      <c r="L89" s="1043">
        <v>3787537.87</v>
      </c>
      <c r="M89" s="1043">
        <v>3787537.87</v>
      </c>
      <c r="N89" s="1043">
        <v>3787537.87</v>
      </c>
      <c r="O89" s="1043">
        <v>3911288</v>
      </c>
      <c r="P89" s="1043">
        <v>3787537.87</v>
      </c>
      <c r="Q89" s="1043">
        <v>3787537.87</v>
      </c>
      <c r="R89" s="1043">
        <v>3787537.87</v>
      </c>
      <c r="S89" s="1043">
        <v>3787537.87</v>
      </c>
      <c r="T89" s="1043">
        <v>3787537.87</v>
      </c>
      <c r="U89" s="1043">
        <v>3787537.87</v>
      </c>
      <c r="V89" s="1043">
        <v>3787537.87</v>
      </c>
      <c r="W89" s="1043">
        <v>3787537.87</v>
      </c>
      <c r="X89" s="1043">
        <v>3787537.87</v>
      </c>
      <c r="Y89" s="1043">
        <v>3787537.87</v>
      </c>
      <c r="Z89" s="1043">
        <v>3787537.87</v>
      </c>
      <c r="AA89" s="1043">
        <v>3787537.87</v>
      </c>
      <c r="AB89" s="1043">
        <v>3787537.87</v>
      </c>
      <c r="AC89" s="1043">
        <v>3787537.87</v>
      </c>
      <c r="AD89" s="1043">
        <v>3787537.87</v>
      </c>
      <c r="AE89" s="1043">
        <v>3787537.87</v>
      </c>
      <c r="AF89" s="1043"/>
      <c r="AG89" s="1046">
        <f>SUM(AG87:AG88)</f>
        <v>3787537.87</v>
      </c>
      <c r="AI89" s="1046">
        <f>AE89</f>
        <v>3787537.87</v>
      </c>
      <c r="AJ89" s="1046">
        <f>AG89</f>
        <v>3787537.87</v>
      </c>
      <c r="AK89" s="1046">
        <f>SUM(AK87:AK88)</f>
        <v>3787537.87</v>
      </c>
      <c r="AL89" s="1046">
        <f>SUM(AL87:AL88)</f>
        <v>3787537.87</v>
      </c>
      <c r="AM89" s="1046">
        <f t="shared" ref="AM89:AN89" si="29">SUM(AM87:AM88)</f>
        <v>3787537.87</v>
      </c>
      <c r="AN89" s="1046">
        <f t="shared" si="29"/>
        <v>3787537.87</v>
      </c>
      <c r="AP89" s="133">
        <f t="shared" si="25"/>
        <v>3787537.87</v>
      </c>
      <c r="AQ89" s="606">
        <f>AP89-AE89</f>
        <v>0</v>
      </c>
      <c r="AR89" s="225">
        <f t="shared" si="16"/>
        <v>82</v>
      </c>
      <c r="AS89" s="225" t="e">
        <f t="shared" si="17"/>
        <v>#REF!</v>
      </c>
      <c r="AT89" s="186"/>
      <c r="AU89" s="102"/>
      <c r="AV89" s="102"/>
      <c r="AW89" s="102" t="s">
        <v>170</v>
      </c>
      <c r="AX89" s="102"/>
      <c r="AY89" s="116">
        <f>AI89</f>
        <v>3787537.87</v>
      </c>
      <c r="AZ89" s="116">
        <f>AJ89</f>
        <v>3787537.87</v>
      </c>
      <c r="BA89" s="95">
        <f>AZ89-AY89</f>
        <v>0</v>
      </c>
    </row>
    <row r="90" spans="1:53">
      <c r="A90" s="250" t="e">
        <f t="shared" si="19"/>
        <v>#REF!</v>
      </c>
      <c r="B90" s="102"/>
      <c r="C90" s="102"/>
      <c r="D90" s="102"/>
      <c r="E90" s="102"/>
      <c r="F90" s="102"/>
      <c r="G90" s="102"/>
      <c r="AR90" s="225">
        <f t="shared" si="16"/>
        <v>83</v>
      </c>
      <c r="AS90" s="225" t="e">
        <f t="shared" si="17"/>
        <v>#REF!</v>
      </c>
      <c r="AT90" s="186"/>
      <c r="AU90" s="102"/>
      <c r="AV90" s="102"/>
      <c r="AW90" s="102"/>
      <c r="AX90" s="102"/>
      <c r="AY90" s="116"/>
    </row>
    <row r="91" spans="1:53">
      <c r="A91" s="250" t="e">
        <f t="shared" si="19"/>
        <v>#REF!</v>
      </c>
      <c r="B91" s="102" t="s">
        <v>259</v>
      </c>
      <c r="C91" s="102" t="s">
        <v>868</v>
      </c>
      <c r="D91" s="102"/>
      <c r="E91" s="102"/>
      <c r="F91" s="102"/>
      <c r="G91" s="102"/>
      <c r="AR91" s="225">
        <f t="shared" si="16"/>
        <v>84</v>
      </c>
      <c r="AS91" s="225" t="e">
        <f t="shared" si="17"/>
        <v>#REF!</v>
      </c>
      <c r="AT91" s="186"/>
      <c r="AU91" s="102" t="s">
        <v>259</v>
      </c>
      <c r="AV91" s="102" t="s">
        <v>868</v>
      </c>
      <c r="AW91" s="102"/>
      <c r="AX91" s="102"/>
      <c r="AY91" s="116"/>
    </row>
    <row r="92" spans="1:53">
      <c r="A92" s="250" t="e">
        <f t="shared" si="19"/>
        <v>#REF!</v>
      </c>
      <c r="B92" s="102"/>
      <c r="C92" s="102"/>
      <c r="D92" s="102" t="s">
        <v>24</v>
      </c>
      <c r="E92" s="102"/>
      <c r="F92" s="102"/>
      <c r="G92" s="102"/>
      <c r="H92" s="116">
        <v>279456.36</v>
      </c>
      <c r="I92" s="116">
        <v>279456.36</v>
      </c>
      <c r="J92" s="116">
        <v>279456.36</v>
      </c>
      <c r="K92" s="116">
        <v>360915</v>
      </c>
      <c r="L92" s="116">
        <v>360915</v>
      </c>
      <c r="M92" s="116">
        <v>369525</v>
      </c>
      <c r="N92" s="116">
        <v>369795.75</v>
      </c>
      <c r="O92" s="116">
        <v>369795.75</v>
      </c>
      <c r="P92" s="116">
        <v>369795.75</v>
      </c>
      <c r="Q92" s="116">
        <v>369795.75</v>
      </c>
      <c r="R92" s="116">
        <v>1607117.2</v>
      </c>
      <c r="S92" s="116">
        <v>1607117.2</v>
      </c>
      <c r="T92" s="116">
        <v>1607117.2</v>
      </c>
      <c r="U92" s="116">
        <v>1607117.2</v>
      </c>
      <c r="V92" s="116">
        <v>1607117.2</v>
      </c>
      <c r="W92" s="116">
        <v>1607117.2</v>
      </c>
      <c r="X92" s="116">
        <v>1610054.2</v>
      </c>
      <c r="Y92" s="116">
        <v>1610054.2</v>
      </c>
      <c r="Z92" s="116">
        <v>1610054.2</v>
      </c>
      <c r="AA92" s="116">
        <v>1610054.2</v>
      </c>
      <c r="AB92" s="116">
        <v>1610054.2</v>
      </c>
      <c r="AC92" s="116">
        <v>1610054.2</v>
      </c>
      <c r="AD92" s="116">
        <v>1614630.2</v>
      </c>
      <c r="AE92" s="116">
        <v>1617860.54</v>
      </c>
      <c r="AF92" s="116"/>
      <c r="AG92" s="133">
        <f>(SUM(T92:AD92)+(0.5*AE92)+(0.5*S92))/12</f>
        <v>1609659.4224999996</v>
      </c>
      <c r="AI92" s="133">
        <f>AE92</f>
        <v>1617860.54</v>
      </c>
      <c r="AJ92" s="133">
        <f>AG92</f>
        <v>1609659.4224999996</v>
      </c>
      <c r="AK92" s="133">
        <f ca="1">+'RB FORECAST'!AJ94</f>
        <v>1681903.3333979442</v>
      </c>
      <c r="AL92" s="133">
        <f ca="1">+'RB FORECAST'!AG94</f>
        <v>1717270.7876148631</v>
      </c>
      <c r="AM92" s="133">
        <f ca="1">+'RB FORECAST'!BA94</f>
        <v>1813725.1008008672</v>
      </c>
      <c r="AN92" s="133">
        <f ca="1">+'RB FORECAST'!AW94</f>
        <v>1866991.7265152277</v>
      </c>
      <c r="AP92" s="133">
        <f t="shared" ca="1" si="25"/>
        <v>1813725.1008008672</v>
      </c>
      <c r="AQ92" s="606">
        <f ca="1">AP92-AE92</f>
        <v>195864.56080086716</v>
      </c>
      <c r="AR92" s="225">
        <f t="shared" si="16"/>
        <v>85</v>
      </c>
      <c r="AS92" s="225" t="e">
        <f t="shared" si="17"/>
        <v>#REF!</v>
      </c>
      <c r="AT92" s="186"/>
      <c r="AU92" s="102"/>
      <c r="AV92" s="102"/>
      <c r="AW92" s="102" t="s">
        <v>592</v>
      </c>
      <c r="AX92" s="102"/>
      <c r="AY92" s="116">
        <f>+AE92</f>
        <v>1617860.54</v>
      </c>
      <c r="AZ92" s="95">
        <f ca="1">AP92</f>
        <v>1813725.1008008672</v>
      </c>
      <c r="BA92" s="95">
        <f ca="1">AZ92-AY92</f>
        <v>195864.56080086716</v>
      </c>
    </row>
    <row r="93" spans="1:53">
      <c r="A93" s="250" t="e">
        <f t="shared" si="19"/>
        <v>#REF!</v>
      </c>
      <c r="B93" s="102"/>
      <c r="C93" s="102"/>
      <c r="D93" s="102" t="s">
        <v>14</v>
      </c>
      <c r="E93" s="102"/>
      <c r="F93" s="102"/>
      <c r="G93" s="102"/>
      <c r="H93" s="116">
        <v>23743966.219999999</v>
      </c>
      <c r="I93" s="116">
        <v>23940265.440000005</v>
      </c>
      <c r="J93" s="116">
        <v>23916632.00999999</v>
      </c>
      <c r="K93" s="116">
        <v>23918018.039999999</v>
      </c>
      <c r="L93" s="116">
        <v>24022198.640000001</v>
      </c>
      <c r="M93" s="116">
        <v>24081715.31000001</v>
      </c>
      <c r="N93" s="116">
        <v>24232752.710000001</v>
      </c>
      <c r="O93" s="116">
        <v>28796982.740000002</v>
      </c>
      <c r="P93" s="116">
        <v>28294795.769999996</v>
      </c>
      <c r="Q93" s="116">
        <v>36632281.099999994</v>
      </c>
      <c r="R93" s="116">
        <v>38786668.339999989</v>
      </c>
      <c r="S93" s="116">
        <v>41645291.410000004</v>
      </c>
      <c r="T93" s="116">
        <v>42582632.790000007</v>
      </c>
      <c r="U93" s="116">
        <v>42648696.68999999</v>
      </c>
      <c r="V93" s="116">
        <v>42696717.989999995</v>
      </c>
      <c r="W93" s="116">
        <v>43235000.579999991</v>
      </c>
      <c r="X93" s="116">
        <v>43485867.859999999</v>
      </c>
      <c r="Y93" s="116">
        <v>43277352.829999998</v>
      </c>
      <c r="Z93" s="116">
        <v>43268310.270000003</v>
      </c>
      <c r="AA93" s="116">
        <v>43449156.890000001</v>
      </c>
      <c r="AB93" s="116">
        <v>43449156.890000001</v>
      </c>
      <c r="AC93" s="116">
        <v>43497520.36999999</v>
      </c>
      <c r="AD93" s="116">
        <v>44011187.289999992</v>
      </c>
      <c r="AE93" s="116">
        <v>44053641.369999982</v>
      </c>
      <c r="AF93" s="116"/>
      <c r="AG93" s="133">
        <f>(SUM(T93:AD93)+(0.5*AE93)+(0.5*S93))/12</f>
        <v>43204255.569999993</v>
      </c>
      <c r="AI93" s="133">
        <f>AE93</f>
        <v>44053641.369999982</v>
      </c>
      <c r="AJ93" s="133">
        <f>AG93</f>
        <v>43204255.569999993</v>
      </c>
      <c r="AK93" s="133">
        <f ca="1">+'RB FORECAST'!AJ95</f>
        <v>45797498.879922338</v>
      </c>
      <c r="AL93" s="133">
        <f ca="1">+'RB FORECAST'!AG95</f>
        <v>46760539.331012182</v>
      </c>
      <c r="AM93" s="133">
        <f ca="1">+'RB FORECAST'!BA95</f>
        <v>49386948.478543483</v>
      </c>
      <c r="AN93" s="133">
        <f ca="1">+'RB FORECAST'!AW95</f>
        <v>50837375.612522803</v>
      </c>
      <c r="AP93" s="133">
        <f t="shared" ca="1" si="25"/>
        <v>49386948.478543483</v>
      </c>
      <c r="AQ93" s="606">
        <f ca="1">AP93-AE93</f>
        <v>5333307.1085435003</v>
      </c>
      <c r="AR93" s="225">
        <f t="shared" si="16"/>
        <v>86</v>
      </c>
      <c r="AS93" s="225" t="e">
        <f t="shared" si="17"/>
        <v>#REF!</v>
      </c>
      <c r="AT93" s="186"/>
      <c r="AU93" s="102"/>
      <c r="AV93" s="102"/>
      <c r="AW93" s="102" t="s">
        <v>593</v>
      </c>
      <c r="AX93" s="102"/>
      <c r="AY93" s="116">
        <f>+AE93</f>
        <v>44053641.369999982</v>
      </c>
      <c r="AZ93" s="95">
        <f ca="1">AP93</f>
        <v>49386948.478543483</v>
      </c>
      <c r="BA93" s="95">
        <f ca="1">AZ93-AY93</f>
        <v>5333307.1085435003</v>
      </c>
    </row>
    <row r="94" spans="1:53">
      <c r="A94" s="250" t="e">
        <f t="shared" si="19"/>
        <v>#REF!</v>
      </c>
      <c r="B94" s="102"/>
      <c r="C94" s="102"/>
      <c r="D94" s="102" t="s">
        <v>595</v>
      </c>
      <c r="E94" s="102"/>
      <c r="F94" s="102"/>
      <c r="G94" s="102"/>
      <c r="H94" s="116">
        <v>47864227.170000002</v>
      </c>
      <c r="I94" s="116">
        <v>48313200.630000003</v>
      </c>
      <c r="J94" s="116">
        <v>48311248.450000003</v>
      </c>
      <c r="K94" s="116">
        <v>48311228.479999997</v>
      </c>
      <c r="L94" s="116">
        <v>48700099.170000002</v>
      </c>
      <c r="M94" s="116">
        <v>48702352.589999996</v>
      </c>
      <c r="N94" s="116">
        <v>48702162.589999996</v>
      </c>
      <c r="O94" s="116">
        <v>48702162.589999996</v>
      </c>
      <c r="P94" s="116">
        <v>48704963.310000002</v>
      </c>
      <c r="Q94" s="116">
        <v>50822167.420000002</v>
      </c>
      <c r="R94" s="116">
        <v>50852681.950000003</v>
      </c>
      <c r="S94" s="116">
        <v>50926959.789999999</v>
      </c>
      <c r="T94" s="116">
        <v>50944607.549999997</v>
      </c>
      <c r="U94" s="116">
        <v>50965884.490000002</v>
      </c>
      <c r="V94" s="116">
        <v>51041952.799999997</v>
      </c>
      <c r="W94" s="116">
        <v>51041952.800000004</v>
      </c>
      <c r="X94" s="116">
        <v>51041952.799999997</v>
      </c>
      <c r="Y94" s="116">
        <v>51079235.469999999</v>
      </c>
      <c r="Z94" s="116">
        <v>51013931.399999999</v>
      </c>
      <c r="AA94" s="116">
        <v>51014683.170000002</v>
      </c>
      <c r="AB94" s="116">
        <v>51014683.170000002</v>
      </c>
      <c r="AC94" s="116">
        <v>51014683.170000002</v>
      </c>
      <c r="AD94" s="116">
        <v>51071164.450000003</v>
      </c>
      <c r="AE94" s="116">
        <v>51076999.940000005</v>
      </c>
      <c r="AF94" s="256"/>
      <c r="AG94" s="395">
        <f>(SUM(T94:AD94)+(0.5*AE94)+(0.5*S94))/12</f>
        <v>51020559.261249997</v>
      </c>
      <c r="AI94" s="395">
        <f>AE94</f>
        <v>51076999.940000005</v>
      </c>
      <c r="AJ94" s="395">
        <f>AG94</f>
        <v>51020559.261249997</v>
      </c>
      <c r="AK94" s="133">
        <f ca="1">+'RB FORECAST'!AJ96</f>
        <v>53098876.160891235</v>
      </c>
      <c r="AL94" s="133">
        <f ca="1">+'RB FORECAST'!AG96</f>
        <v>54215451.67049326</v>
      </c>
      <c r="AM94" s="133">
        <f ca="1">+'RB FORECAST'!BA96</f>
        <v>57260582.463295899</v>
      </c>
      <c r="AN94" s="133">
        <f ca="1">+'RB FORECAST'!AW96</f>
        <v>58942247.459227107</v>
      </c>
      <c r="AP94" s="395">
        <f t="shared" ca="1" si="25"/>
        <v>57260582.463295899</v>
      </c>
      <c r="AQ94" s="609">
        <f ca="1">AP94-AE94</f>
        <v>6183582.5232958943</v>
      </c>
      <c r="AR94" s="225">
        <f t="shared" si="16"/>
        <v>87</v>
      </c>
      <c r="AS94" s="225" t="e">
        <f t="shared" si="17"/>
        <v>#REF!</v>
      </c>
      <c r="AT94" s="186"/>
      <c r="AU94" s="102"/>
      <c r="AV94" s="102"/>
      <c r="AW94" s="102"/>
      <c r="AX94" s="102"/>
      <c r="AY94" s="116"/>
      <c r="AZ94" s="95"/>
      <c r="BA94" s="95"/>
    </row>
    <row r="95" spans="1:53">
      <c r="A95" s="250" t="e">
        <f t="shared" si="19"/>
        <v>#REF!</v>
      </c>
      <c r="B95" s="102"/>
      <c r="C95" s="102"/>
      <c r="D95" s="102" t="s">
        <v>170</v>
      </c>
      <c r="E95" s="102"/>
      <c r="F95" s="102"/>
      <c r="G95" s="102"/>
      <c r="H95" s="1043">
        <v>71887649.75</v>
      </c>
      <c r="I95" s="1043">
        <v>72532922.430000007</v>
      </c>
      <c r="J95" s="1043">
        <v>72507336.819999993</v>
      </c>
      <c r="K95" s="1043">
        <v>72590161.519999996</v>
      </c>
      <c r="L95" s="1043">
        <v>73083212.810000002</v>
      </c>
      <c r="M95" s="1043">
        <v>73153592.900000006</v>
      </c>
      <c r="N95" s="1043">
        <v>73304711.049999997</v>
      </c>
      <c r="O95" s="1043">
        <v>77868941.079999998</v>
      </c>
      <c r="P95" s="1043">
        <v>77369554.829999998</v>
      </c>
      <c r="Q95" s="1043">
        <v>87824244.269999996</v>
      </c>
      <c r="R95" s="1043">
        <v>91246467.489999995</v>
      </c>
      <c r="S95" s="1043">
        <v>94179368.400000006</v>
      </c>
      <c r="T95" s="1043">
        <v>95134357.540000007</v>
      </c>
      <c r="U95" s="1043">
        <v>95221698.379999995</v>
      </c>
      <c r="V95" s="1043">
        <v>95345787.989999995</v>
      </c>
      <c r="W95" s="1043">
        <v>95884070.579999998</v>
      </c>
      <c r="X95" s="1043">
        <v>96137874.859999999</v>
      </c>
      <c r="Y95" s="1043">
        <v>95966642.5</v>
      </c>
      <c r="Z95" s="1043">
        <v>95892295.870000005</v>
      </c>
      <c r="AA95" s="1043">
        <v>96073894.260000005</v>
      </c>
      <c r="AB95" s="1043">
        <v>96073894.260000005</v>
      </c>
      <c r="AC95" s="1043">
        <v>96122257.739999995</v>
      </c>
      <c r="AD95" s="1043">
        <v>96696981.939999998</v>
      </c>
      <c r="AE95" s="1043">
        <v>96748501.849999994</v>
      </c>
      <c r="AF95" s="1043"/>
      <c r="AG95" s="1046">
        <f>SUM(AG92:AG94)</f>
        <v>95834474.253749996</v>
      </c>
      <c r="AI95" s="1046">
        <f>SUM(AI92:AI94)</f>
        <v>96748501.849999994</v>
      </c>
      <c r="AJ95" s="1046">
        <f>SUM(AJ92:AJ94)</f>
        <v>95834474.253749996</v>
      </c>
      <c r="AK95" s="1046">
        <f ca="1">SUM(AK92:AK94)</f>
        <v>100578278.37421152</v>
      </c>
      <c r="AL95" s="1046">
        <f ca="1">SUM(AL92:AL94)</f>
        <v>102693261.7891203</v>
      </c>
      <c r="AM95" s="1046">
        <f t="shared" ref="AM95:AN95" ca="1" si="30">SUM(AM92:AM94)</f>
        <v>108461256.04264024</v>
      </c>
      <c r="AN95" s="1046">
        <f t="shared" ca="1" si="30"/>
        <v>111646614.79826513</v>
      </c>
      <c r="AP95" s="133">
        <f t="shared" ca="1" si="25"/>
        <v>108461256.04264024</v>
      </c>
      <c r="AQ95" s="606">
        <f ca="1">AP95-AE95</f>
        <v>11712754.192640245</v>
      </c>
      <c r="AR95" s="225">
        <f t="shared" si="16"/>
        <v>88</v>
      </c>
      <c r="AS95" s="225" t="e">
        <f t="shared" si="17"/>
        <v>#REF!</v>
      </c>
      <c r="AT95" s="186"/>
      <c r="AU95" s="102"/>
      <c r="AV95" s="102"/>
      <c r="AW95" s="102" t="s">
        <v>170</v>
      </c>
      <c r="AX95" s="102"/>
      <c r="AY95" s="116">
        <f>AI95</f>
        <v>96748501.849999994</v>
      </c>
      <c r="AZ95" s="116">
        <f>AJ95</f>
        <v>95834474.253749996</v>
      </c>
      <c r="BA95" s="95">
        <f>AZ95-AY95</f>
        <v>-914027.59624999762</v>
      </c>
    </row>
    <row r="96" spans="1:53">
      <c r="A96" s="250" t="e">
        <f t="shared" si="19"/>
        <v>#REF!</v>
      </c>
      <c r="B96" s="102"/>
      <c r="C96" s="102"/>
      <c r="D96" s="102"/>
      <c r="E96" s="102"/>
      <c r="F96" s="102"/>
      <c r="G96" s="102"/>
      <c r="AR96" s="225">
        <f t="shared" si="16"/>
        <v>89</v>
      </c>
      <c r="AS96" s="225" t="e">
        <f t="shared" si="17"/>
        <v>#REF!</v>
      </c>
      <c r="AT96" s="186"/>
      <c r="AU96" s="102"/>
      <c r="AV96" s="102"/>
      <c r="AW96" s="102"/>
      <c r="AX96" s="102"/>
      <c r="AY96" s="116"/>
    </row>
    <row r="97" spans="1:53">
      <c r="A97" s="250" t="e">
        <f t="shared" si="19"/>
        <v>#REF!</v>
      </c>
      <c r="B97" s="102" t="s">
        <v>260</v>
      </c>
      <c r="C97" s="102" t="s">
        <v>261</v>
      </c>
      <c r="D97" s="102"/>
      <c r="E97" s="102"/>
      <c r="F97" s="102"/>
      <c r="G97" s="102"/>
      <c r="AR97" s="225">
        <f t="shared" si="16"/>
        <v>90</v>
      </c>
      <c r="AS97" s="225" t="e">
        <f t="shared" si="17"/>
        <v>#REF!</v>
      </c>
      <c r="AT97" s="186"/>
      <c r="AU97" s="102" t="s">
        <v>260</v>
      </c>
      <c r="AV97" s="102" t="s">
        <v>261</v>
      </c>
      <c r="AW97" s="102"/>
      <c r="AX97" s="102"/>
      <c r="AY97" s="116"/>
    </row>
    <row r="98" spans="1:53">
      <c r="A98" s="250" t="e">
        <f t="shared" si="19"/>
        <v>#REF!</v>
      </c>
      <c r="B98" s="102"/>
      <c r="C98" s="102"/>
      <c r="D98" s="102" t="s">
        <v>24</v>
      </c>
      <c r="E98" s="102"/>
      <c r="F98" s="102"/>
      <c r="G98" s="102"/>
      <c r="H98" s="116">
        <v>195516.49999999994</v>
      </c>
      <c r="I98" s="116">
        <v>195516.49999999994</v>
      </c>
      <c r="J98" s="116">
        <v>188352.8</v>
      </c>
      <c r="K98" s="116">
        <v>188352.8</v>
      </c>
      <c r="L98" s="116">
        <v>188352.8</v>
      </c>
      <c r="M98" s="116">
        <v>186766.51000000007</v>
      </c>
      <c r="N98" s="116">
        <v>186766.51</v>
      </c>
      <c r="O98" s="116">
        <v>186766.51000000007</v>
      </c>
      <c r="P98" s="116">
        <v>186766.51000000007</v>
      </c>
      <c r="Q98" s="116">
        <v>186766.51</v>
      </c>
      <c r="R98" s="116">
        <v>186766.51000000007</v>
      </c>
      <c r="S98" s="116">
        <v>180960.97999999998</v>
      </c>
      <c r="T98" s="116">
        <v>180960.98</v>
      </c>
      <c r="U98" s="116">
        <v>180960.97999999998</v>
      </c>
      <c r="V98" s="116">
        <v>178421.97999999998</v>
      </c>
      <c r="W98" s="116">
        <v>178421.98000000004</v>
      </c>
      <c r="X98" s="116">
        <v>178421.97999999998</v>
      </c>
      <c r="Y98" s="116">
        <v>168421.97999999998</v>
      </c>
      <c r="Z98" s="116">
        <v>168421.97999999998</v>
      </c>
      <c r="AA98" s="116">
        <v>168421.98</v>
      </c>
      <c r="AB98" s="116">
        <v>168421.97999999998</v>
      </c>
      <c r="AC98" s="116">
        <v>168421.98000000004</v>
      </c>
      <c r="AD98" s="116">
        <v>168421.98000000004</v>
      </c>
      <c r="AE98" s="116">
        <v>147841.16000000003</v>
      </c>
      <c r="AF98" s="116">
        <v>209578.64958333329</v>
      </c>
      <c r="AG98" s="133">
        <f>(SUM(T98:AD98)+(0.5*AE98)+(0.5*S98))/12</f>
        <v>172676.73749999999</v>
      </c>
      <c r="AI98" s="133">
        <f>AE98</f>
        <v>147841.16000000003</v>
      </c>
      <c r="AJ98" s="133">
        <f>AG98</f>
        <v>172676.73749999999</v>
      </c>
      <c r="AK98" s="133">
        <f ca="1">+'RB FORECAST'!AJ100</f>
        <v>143818.70964694975</v>
      </c>
      <c r="AL98" s="133">
        <f ca="1">+'RB FORECAST'!AG100</f>
        <v>143193.97748078231</v>
      </c>
      <c r="AM98" s="133">
        <f ca="1">+'RB FORECAST'!BA100</f>
        <v>126391.07588861721</v>
      </c>
      <c r="AN98" s="133">
        <f ca="1">+'RB FORECAST'!AW100</f>
        <v>123781.39467735968</v>
      </c>
      <c r="AP98" s="133">
        <f t="shared" ca="1" si="25"/>
        <v>126391.07588861721</v>
      </c>
      <c r="AQ98" s="606">
        <f ca="1">AP98-AE98</f>
        <v>-21450.084111382821</v>
      </c>
      <c r="AR98" s="225">
        <f t="shared" si="16"/>
        <v>91</v>
      </c>
      <c r="AS98" s="225" t="e">
        <f t="shared" si="17"/>
        <v>#REF!</v>
      </c>
      <c r="AT98" s="186"/>
      <c r="AU98" s="102"/>
      <c r="AV98" s="102"/>
      <c r="AW98" s="102" t="s">
        <v>592</v>
      </c>
      <c r="AX98" s="102"/>
      <c r="AY98" s="116">
        <f>+AE98</f>
        <v>147841.16000000003</v>
      </c>
      <c r="AZ98" s="95">
        <f ca="1">AP98</f>
        <v>126391.07588861721</v>
      </c>
      <c r="BA98" s="95">
        <f ca="1">AZ98-AY98</f>
        <v>-21450.084111382821</v>
      </c>
    </row>
    <row r="99" spans="1:53">
      <c r="A99" s="250" t="e">
        <f t="shared" si="19"/>
        <v>#REF!</v>
      </c>
      <c r="B99" s="102"/>
      <c r="C99" s="102"/>
      <c r="D99" s="102" t="s">
        <v>14</v>
      </c>
      <c r="E99" s="102"/>
      <c r="F99" s="102"/>
      <c r="G99" s="102"/>
      <c r="H99" s="116">
        <v>11836208.570000008</v>
      </c>
      <c r="I99" s="116">
        <v>11986060.160000004</v>
      </c>
      <c r="J99" s="116">
        <v>11765504.519999996</v>
      </c>
      <c r="K99" s="116">
        <v>11800762.629999995</v>
      </c>
      <c r="L99" s="116">
        <v>12100067.030000001</v>
      </c>
      <c r="M99" s="116">
        <v>11976108.279999986</v>
      </c>
      <c r="N99" s="116">
        <v>12037405.819999993</v>
      </c>
      <c r="O99" s="116">
        <v>14334114.939999998</v>
      </c>
      <c r="P99" s="116">
        <v>14604927.810000002</v>
      </c>
      <c r="Q99" s="116">
        <v>14604927.810000002</v>
      </c>
      <c r="R99" s="116">
        <v>14780393.889999986</v>
      </c>
      <c r="S99" s="116">
        <v>14434180.159999996</v>
      </c>
      <c r="T99" s="116">
        <v>14453973.200000003</v>
      </c>
      <c r="U99" s="116">
        <v>14601103.799999997</v>
      </c>
      <c r="V99" s="116">
        <v>14177800.730000004</v>
      </c>
      <c r="W99" s="116">
        <v>14243010.199999996</v>
      </c>
      <c r="X99" s="116">
        <v>14372516.780000001</v>
      </c>
      <c r="Y99" s="116">
        <v>12787006.360000007</v>
      </c>
      <c r="Z99" s="116">
        <v>12948692.49000001</v>
      </c>
      <c r="AA99" s="116">
        <v>13047737.009999998</v>
      </c>
      <c r="AB99" s="116">
        <v>13047737.010000005</v>
      </c>
      <c r="AC99" s="116">
        <v>13423552.329999998</v>
      </c>
      <c r="AD99" s="116">
        <v>13581840.189999998</v>
      </c>
      <c r="AE99" s="116">
        <v>12701483.740000002</v>
      </c>
      <c r="AF99" s="116">
        <v>13379359.43</v>
      </c>
      <c r="AG99" s="133">
        <f>(SUM(T99:AD99)+(0.5*AE99)+(0.5*S99))/12</f>
        <v>13687733.504166668</v>
      </c>
      <c r="AI99" s="133">
        <f>AE99</f>
        <v>12701483.740000002</v>
      </c>
      <c r="AJ99" s="133">
        <f>AG99</f>
        <v>13687733.504166668</v>
      </c>
      <c r="AK99" s="133">
        <f ca="1">+'RB FORECAST'!AJ101</f>
        <v>12355902.795192579</v>
      </c>
      <c r="AL99" s="133">
        <f ca="1">+'RB FORECAST'!AG101</f>
        <v>12302230.15456645</v>
      </c>
      <c r="AM99" s="133">
        <f ca="1">+'RB FORECAST'!BA101</f>
        <v>10858641.769858802</v>
      </c>
      <c r="AN99" s="133">
        <f ca="1">+'RB FORECAST'!AW101</f>
        <v>10634436.119203931</v>
      </c>
      <c r="AP99" s="133">
        <f t="shared" ca="1" si="25"/>
        <v>10858641.769858802</v>
      </c>
      <c r="AQ99" s="606">
        <f ca="1">AP99-AE99</f>
        <v>-1842841.9701412003</v>
      </c>
      <c r="AR99" s="225">
        <f t="shared" si="16"/>
        <v>92</v>
      </c>
      <c r="AS99" s="225" t="e">
        <f t="shared" si="17"/>
        <v>#REF!</v>
      </c>
      <c r="AT99" s="186"/>
      <c r="AU99" s="102"/>
      <c r="AV99" s="102"/>
      <c r="AW99" s="102" t="s">
        <v>593</v>
      </c>
      <c r="AX99" s="102"/>
      <c r="AY99" s="116">
        <f>+AE99</f>
        <v>12701483.740000002</v>
      </c>
      <c r="AZ99" s="95">
        <f ca="1">AP99</f>
        <v>10858641.769858802</v>
      </c>
      <c r="BA99" s="95">
        <f ca="1">AZ99-AY99</f>
        <v>-1842841.9701412003</v>
      </c>
    </row>
    <row r="100" spans="1:53">
      <c r="A100" s="250" t="e">
        <f t="shared" si="19"/>
        <v>#REF!</v>
      </c>
      <c r="B100" s="102"/>
      <c r="C100" s="102"/>
      <c r="D100" s="102" t="s">
        <v>595</v>
      </c>
      <c r="E100" s="102"/>
      <c r="F100" s="102"/>
      <c r="G100" s="102"/>
      <c r="H100" s="116">
        <v>54905270.459999993</v>
      </c>
      <c r="I100" s="116">
        <v>54905270.459999993</v>
      </c>
      <c r="J100" s="116">
        <v>54960501.430000007</v>
      </c>
      <c r="K100" s="116">
        <v>56409014.170000002</v>
      </c>
      <c r="L100" s="116">
        <v>56673643.25</v>
      </c>
      <c r="M100" s="116">
        <v>57032283.430000007</v>
      </c>
      <c r="N100" s="116">
        <v>57168226.469999999</v>
      </c>
      <c r="O100" s="116">
        <v>57168226.469999999</v>
      </c>
      <c r="P100" s="116">
        <v>57198549.319999993</v>
      </c>
      <c r="Q100" s="116">
        <v>57219739.109999999</v>
      </c>
      <c r="R100" s="116">
        <v>58456120.650000006</v>
      </c>
      <c r="S100" s="116">
        <v>61972563.670000002</v>
      </c>
      <c r="T100" s="116">
        <v>44505532.539999999</v>
      </c>
      <c r="U100" s="116">
        <v>44635858.590000004</v>
      </c>
      <c r="V100" s="116">
        <v>42082261.390000001</v>
      </c>
      <c r="W100" s="116">
        <v>42080453.480000004</v>
      </c>
      <c r="X100" s="116">
        <v>42082261.390000001</v>
      </c>
      <c r="Y100" s="116">
        <v>39391714.5</v>
      </c>
      <c r="Z100" s="116">
        <v>39391644.739999995</v>
      </c>
      <c r="AA100" s="116">
        <v>39582500.490000002</v>
      </c>
      <c r="AB100" s="116">
        <v>39582500.489999995</v>
      </c>
      <c r="AC100" s="116">
        <v>39582500.490000002</v>
      </c>
      <c r="AD100" s="116">
        <v>39780195.620000005</v>
      </c>
      <c r="AE100" s="116">
        <v>39749385.780000001</v>
      </c>
      <c r="AF100" s="116">
        <v>48612278.257499993</v>
      </c>
      <c r="AG100" s="395">
        <f>(SUM(T100:AD100)+(0.5*AE100)+(0.5*S100))/12</f>
        <v>41963199.870416664</v>
      </c>
      <c r="AI100" s="395">
        <f>AE100</f>
        <v>39749385.780000001</v>
      </c>
      <c r="AJ100" s="395">
        <f>AG100</f>
        <v>41963199.870416664</v>
      </c>
      <c r="AK100" s="133">
        <f ca="1">+'RB FORECAST'!AJ102</f>
        <v>38667887.698787078</v>
      </c>
      <c r="AL100" s="133">
        <f ca="1">+'RB FORECAST'!AG102</f>
        <v>38499918.779426828</v>
      </c>
      <c r="AM100" s="133">
        <f ca="1">+'RB FORECAST'!BA102</f>
        <v>33982198.425972171</v>
      </c>
      <c r="AN100" s="133">
        <f ca="1">+'RB FORECAST'!AW102</f>
        <v>33280545.210933186</v>
      </c>
      <c r="AP100" s="395">
        <f t="shared" ca="1" si="25"/>
        <v>33982198.425972171</v>
      </c>
      <c r="AQ100" s="609">
        <f ca="1">AP100-AE100</f>
        <v>-5767187.3540278301</v>
      </c>
      <c r="AR100" s="225">
        <f t="shared" si="16"/>
        <v>93</v>
      </c>
      <c r="AS100" s="225" t="e">
        <f t="shared" si="17"/>
        <v>#REF!</v>
      </c>
      <c r="AT100" s="186"/>
      <c r="AU100" s="102"/>
      <c r="AV100" s="102"/>
      <c r="AW100" s="102" t="s">
        <v>595</v>
      </c>
      <c r="AX100" s="102"/>
      <c r="AY100" s="116">
        <f>+AE100</f>
        <v>39749385.780000001</v>
      </c>
      <c r="AZ100" s="95">
        <f ca="1">AP100</f>
        <v>33982198.425972171</v>
      </c>
      <c r="BA100" s="95">
        <f ca="1">AZ100-AY100</f>
        <v>-5767187.3540278301</v>
      </c>
    </row>
    <row r="101" spans="1:53">
      <c r="A101" s="250" t="e">
        <f t="shared" si="19"/>
        <v>#REF!</v>
      </c>
      <c r="B101" s="102"/>
      <c r="C101" s="102"/>
      <c r="D101" s="102" t="s">
        <v>170</v>
      </c>
      <c r="E101" s="102"/>
      <c r="F101" s="102"/>
      <c r="G101" s="102"/>
      <c r="H101" s="1043">
        <v>66936995.530000001</v>
      </c>
      <c r="I101" s="1043">
        <v>67086847.119999997</v>
      </c>
      <c r="J101" s="1043">
        <v>66914358.75</v>
      </c>
      <c r="K101" s="1043">
        <v>68398129.599999994</v>
      </c>
      <c r="L101" s="1043">
        <v>68962063.079999998</v>
      </c>
      <c r="M101" s="1043">
        <v>69195158.219999999</v>
      </c>
      <c r="N101" s="1043">
        <v>69392398.799999997</v>
      </c>
      <c r="O101" s="1043">
        <v>71689107.920000002</v>
      </c>
      <c r="P101" s="1043">
        <v>71990243.640000001</v>
      </c>
      <c r="Q101" s="1043">
        <v>72011433.430000007</v>
      </c>
      <c r="R101" s="1043">
        <v>73423281.049999997</v>
      </c>
      <c r="S101" s="1043">
        <v>76587704.810000002</v>
      </c>
      <c r="T101" s="1043">
        <v>59140466.719999999</v>
      </c>
      <c r="U101" s="1043">
        <v>59417923.370000005</v>
      </c>
      <c r="V101" s="1043">
        <v>56438484.100000009</v>
      </c>
      <c r="W101" s="1043">
        <v>56501885.659999996</v>
      </c>
      <c r="X101" s="1043">
        <v>56633200.150000006</v>
      </c>
      <c r="Y101" s="1043">
        <v>52347142.840000004</v>
      </c>
      <c r="Z101" s="1043">
        <v>52508759.210000008</v>
      </c>
      <c r="AA101" s="1043">
        <v>52798659.480000004</v>
      </c>
      <c r="AB101" s="1043">
        <v>52798659.480000004</v>
      </c>
      <c r="AC101" s="1043">
        <v>53174474.799999997</v>
      </c>
      <c r="AD101" s="1043">
        <v>53530457.790000007</v>
      </c>
      <c r="AE101" s="1043">
        <v>52598710.680000007</v>
      </c>
      <c r="AF101" s="1043"/>
      <c r="AG101" s="1046">
        <f>SUM(AG98:AG100)</f>
        <v>55823610.112083331</v>
      </c>
      <c r="AI101" s="1046">
        <f>AE101</f>
        <v>52598710.680000007</v>
      </c>
      <c r="AJ101" s="1046">
        <f>AG101</f>
        <v>55823610.112083331</v>
      </c>
      <c r="AK101" s="1046">
        <f ca="1">SUM(AK98:AK100)</f>
        <v>51167609.203626603</v>
      </c>
      <c r="AL101" s="1046">
        <f ca="1">SUM(AL98:AL100)</f>
        <v>50945342.911474064</v>
      </c>
      <c r="AM101" s="1046">
        <f t="shared" ref="AM101:AN101" ca="1" si="31">SUM(AM98:AM100)</f>
        <v>44967231.27171959</v>
      </c>
      <c r="AN101" s="1046">
        <f t="shared" ca="1" si="31"/>
        <v>44038762.724814475</v>
      </c>
      <c r="AP101" s="133">
        <f t="shared" ca="1" si="25"/>
        <v>44967231.27171959</v>
      </c>
      <c r="AQ101" s="606">
        <f ca="1">AP101-AE101</f>
        <v>-7631479.4082804173</v>
      </c>
      <c r="AR101" s="225">
        <f t="shared" si="16"/>
        <v>94</v>
      </c>
      <c r="AS101" s="225" t="e">
        <f t="shared" si="17"/>
        <v>#REF!</v>
      </c>
      <c r="AT101" s="186"/>
      <c r="AU101" s="102"/>
      <c r="AV101" s="102"/>
      <c r="AW101" s="102" t="s">
        <v>170</v>
      </c>
      <c r="AX101" s="102"/>
      <c r="AY101" s="116">
        <f>AI101</f>
        <v>52598710.680000007</v>
      </c>
      <c r="AZ101" s="116">
        <f>AJ101</f>
        <v>55823610.112083331</v>
      </c>
    </row>
    <row r="102" spans="1:53">
      <c r="A102" s="250" t="e">
        <f t="shared" si="19"/>
        <v>#REF!</v>
      </c>
      <c r="B102" s="102"/>
      <c r="C102" s="102"/>
      <c r="D102" s="102"/>
      <c r="E102" s="102"/>
      <c r="F102" s="102"/>
      <c r="G102" s="102"/>
      <c r="AR102" s="225">
        <f t="shared" si="16"/>
        <v>95</v>
      </c>
      <c r="AS102" s="225" t="e">
        <f t="shared" si="17"/>
        <v>#REF!</v>
      </c>
      <c r="AT102" s="186"/>
      <c r="AU102" s="102"/>
      <c r="AV102" s="102"/>
      <c r="AW102" s="102"/>
      <c r="AX102" s="102"/>
      <c r="AY102" s="116"/>
    </row>
    <row r="103" spans="1:53">
      <c r="A103" s="250" t="e">
        <f t="shared" si="19"/>
        <v>#REF!</v>
      </c>
      <c r="B103" s="102" t="s">
        <v>262</v>
      </c>
      <c r="C103" s="102" t="s">
        <v>263</v>
      </c>
      <c r="D103" s="102"/>
      <c r="E103" s="102"/>
      <c r="F103" s="102"/>
      <c r="G103" s="102"/>
      <c r="AR103" s="225">
        <f t="shared" si="16"/>
        <v>96</v>
      </c>
      <c r="AS103" s="225" t="e">
        <f t="shared" si="17"/>
        <v>#REF!</v>
      </c>
      <c r="AT103" s="186"/>
      <c r="AU103" s="102" t="s">
        <v>262</v>
      </c>
      <c r="AV103" s="102" t="s">
        <v>263</v>
      </c>
      <c r="AW103" s="102"/>
      <c r="AX103" s="102"/>
      <c r="AY103" s="116"/>
    </row>
    <row r="104" spans="1:53">
      <c r="A104" s="250" t="e">
        <f t="shared" si="19"/>
        <v>#REF!</v>
      </c>
      <c r="B104" s="102"/>
      <c r="C104" s="102"/>
      <c r="D104" s="102" t="s">
        <v>24</v>
      </c>
      <c r="E104" s="102"/>
      <c r="F104" s="102"/>
      <c r="G104" s="102"/>
      <c r="H104" s="116">
        <v>2377237.63</v>
      </c>
      <c r="I104" s="116">
        <v>2377237.63</v>
      </c>
      <c r="J104" s="116">
        <v>2305126.56</v>
      </c>
      <c r="K104" s="116">
        <v>2339046.14</v>
      </c>
      <c r="L104" s="116">
        <v>2416458.87</v>
      </c>
      <c r="M104" s="116">
        <v>2763329.72</v>
      </c>
      <c r="N104" s="116">
        <v>2777300.6</v>
      </c>
      <c r="O104" s="116">
        <v>2803896.0100000002</v>
      </c>
      <c r="P104" s="116">
        <v>2806850.57</v>
      </c>
      <c r="Q104" s="116">
        <v>2882396.9699999997</v>
      </c>
      <c r="R104" s="116">
        <v>2877562.7</v>
      </c>
      <c r="S104" s="116">
        <v>2877562.6999999997</v>
      </c>
      <c r="T104" s="116">
        <v>2845508.48</v>
      </c>
      <c r="U104" s="116">
        <v>2806503.92</v>
      </c>
      <c r="V104" s="116">
        <v>2806503.92</v>
      </c>
      <c r="W104" s="116">
        <v>2806503.92</v>
      </c>
      <c r="X104" s="116">
        <v>2806503.92</v>
      </c>
      <c r="Y104" s="116">
        <v>2806503.92</v>
      </c>
      <c r="Z104" s="116">
        <v>2806503.92</v>
      </c>
      <c r="AA104" s="116">
        <v>3015429.18</v>
      </c>
      <c r="AB104" s="116">
        <v>3008166.8099999996</v>
      </c>
      <c r="AC104" s="116">
        <v>2898242.9000000004</v>
      </c>
      <c r="AD104" s="116">
        <v>2956370.4299999997</v>
      </c>
      <c r="AE104" s="116">
        <v>2941469.68</v>
      </c>
      <c r="AF104" s="116"/>
      <c r="AG104" s="133">
        <f>(SUM(T104:AD104)+(0.5*AE104)+(0.5*S104))/12</f>
        <v>2872688.125833333</v>
      </c>
      <c r="AI104" s="133">
        <f>AE104</f>
        <v>2941469.68</v>
      </c>
      <c r="AJ104" s="133">
        <f>AG104</f>
        <v>2872688.125833333</v>
      </c>
      <c r="AK104" s="133">
        <f ca="1">+'RB FORECAST'!AJ106</f>
        <v>2966782.4086856507</v>
      </c>
      <c r="AL104" s="133">
        <f ca="1">+'RB FORECAST'!AG106</f>
        <v>2961724.4324505264</v>
      </c>
      <c r="AM104" s="133">
        <f ca="1">+'RB FORECAST'!BA106</f>
        <v>3044311.0384428818</v>
      </c>
      <c r="AN104" s="133">
        <f ca="1">+'RB FORECAST'!AW106</f>
        <v>3027808.6259358628</v>
      </c>
      <c r="AP104" s="133">
        <f t="shared" ca="1" si="25"/>
        <v>3044311.0384428818</v>
      </c>
      <c r="AQ104" s="606">
        <f ca="1">AP104-AE104</f>
        <v>102841.35844288161</v>
      </c>
      <c r="AR104" s="225">
        <f t="shared" si="16"/>
        <v>97</v>
      </c>
      <c r="AS104" s="225" t="e">
        <f t="shared" si="17"/>
        <v>#REF!</v>
      </c>
      <c r="AT104" s="186"/>
      <c r="AU104" s="102"/>
      <c r="AV104" s="102"/>
      <c r="AW104" s="102" t="s">
        <v>592</v>
      </c>
      <c r="AX104" s="102"/>
      <c r="AY104" s="116">
        <f>+AE104</f>
        <v>2941469.68</v>
      </c>
      <c r="AZ104" s="95">
        <f ca="1">AP104</f>
        <v>3044311.0384428818</v>
      </c>
      <c r="BA104" s="95">
        <f ca="1">AZ104-AY104</f>
        <v>102841.35844288161</v>
      </c>
    </row>
    <row r="105" spans="1:53">
      <c r="A105" s="250" t="e">
        <f t="shared" si="19"/>
        <v>#REF!</v>
      </c>
      <c r="B105" s="102"/>
      <c r="C105" s="102"/>
      <c r="D105" s="102" t="s">
        <v>14</v>
      </c>
      <c r="E105" s="102"/>
      <c r="F105" s="102"/>
      <c r="G105" s="102"/>
      <c r="H105" s="116">
        <v>46367330.939999998</v>
      </c>
      <c r="I105" s="116">
        <v>46367612.390000001</v>
      </c>
      <c r="J105" s="116">
        <v>46847689.479999997</v>
      </c>
      <c r="K105" s="116">
        <v>47311069.719999999</v>
      </c>
      <c r="L105" s="116">
        <v>47576161.390000001</v>
      </c>
      <c r="M105" s="116">
        <v>49652584.259999998</v>
      </c>
      <c r="N105" s="116">
        <v>49959142.57</v>
      </c>
      <c r="O105" s="116">
        <v>50245487.240000002</v>
      </c>
      <c r="P105" s="116">
        <v>50439570.520000003</v>
      </c>
      <c r="Q105" s="116">
        <v>50852323.539999999</v>
      </c>
      <c r="R105" s="116">
        <v>50915390.419999994</v>
      </c>
      <c r="S105" s="116">
        <v>51124024.919999994</v>
      </c>
      <c r="T105" s="116">
        <v>50349790.300000004</v>
      </c>
      <c r="U105" s="116">
        <v>49393619.890000001</v>
      </c>
      <c r="V105" s="116">
        <v>49443229.280000001</v>
      </c>
      <c r="W105" s="116">
        <v>49443229.280000001</v>
      </c>
      <c r="X105" s="116">
        <v>49607393.32</v>
      </c>
      <c r="Y105" s="116">
        <v>49793846</v>
      </c>
      <c r="Z105" s="116">
        <v>49828945.350000001</v>
      </c>
      <c r="AA105" s="116">
        <v>49437046.869999997</v>
      </c>
      <c r="AB105" s="116">
        <v>49508529.099999994</v>
      </c>
      <c r="AC105" s="116">
        <v>49744941.450000003</v>
      </c>
      <c r="AD105" s="116">
        <v>50397564.710000001</v>
      </c>
      <c r="AE105" s="116">
        <v>49990448.509999998</v>
      </c>
      <c r="AF105" s="116"/>
      <c r="AG105" s="133">
        <f>(SUM(T105:AD105)+(0.5*AE105)+(0.5*S105))/12</f>
        <v>49792114.355416663</v>
      </c>
      <c r="AI105" s="133">
        <f>AE105</f>
        <v>49990448.509999998</v>
      </c>
      <c r="AJ105" s="133">
        <f>AG105</f>
        <v>49792114.355416663</v>
      </c>
      <c r="AK105" s="133">
        <f ca="1">+'RB FORECAST'!AJ107</f>
        <v>50420639.808115847</v>
      </c>
      <c r="AL105" s="133">
        <f ca="1">+'RB FORECAST'!AG107</f>
        <v>50334679.207445383</v>
      </c>
      <c r="AM105" s="133">
        <f ca="1">+'RB FORECAST'!BA107</f>
        <v>51738243.385770164</v>
      </c>
      <c r="AN105" s="133">
        <f ca="1">+'RB FORECAST'!AW107</f>
        <v>51457783.924184673</v>
      </c>
      <c r="AP105" s="133">
        <f t="shared" ca="1" si="25"/>
        <v>51738243.385770164</v>
      </c>
      <c r="AQ105" s="606">
        <f ca="1">AP105-AE105</f>
        <v>1747794.8757701665</v>
      </c>
      <c r="AR105" s="225">
        <f t="shared" si="16"/>
        <v>98</v>
      </c>
      <c r="AS105" s="225" t="e">
        <f t="shared" si="17"/>
        <v>#REF!</v>
      </c>
      <c r="AT105" s="186"/>
      <c r="AU105" s="102"/>
      <c r="AV105" s="102"/>
      <c r="AW105" s="102" t="s">
        <v>593</v>
      </c>
      <c r="AX105" s="102"/>
      <c r="AY105" s="116">
        <f>+AE105</f>
        <v>49990448.509999998</v>
      </c>
      <c r="AZ105" s="95">
        <f ca="1">AP105</f>
        <v>51738243.385770164</v>
      </c>
      <c r="BA105" s="95">
        <f ca="1">AZ105-AY105</f>
        <v>1747794.8757701665</v>
      </c>
    </row>
    <row r="106" spans="1:53">
      <c r="A106" s="250" t="e">
        <f t="shared" si="19"/>
        <v>#REF!</v>
      </c>
      <c r="B106" s="102"/>
      <c r="C106" s="102"/>
      <c r="D106" s="102" t="s">
        <v>595</v>
      </c>
      <c r="E106" s="102"/>
      <c r="F106" s="102"/>
      <c r="G106" s="102"/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0</v>
      </c>
      <c r="S106" s="116">
        <v>0</v>
      </c>
      <c r="T106" s="116">
        <v>0</v>
      </c>
      <c r="U106" s="116">
        <v>0</v>
      </c>
      <c r="V106" s="116">
        <v>0</v>
      </c>
      <c r="W106" s="116">
        <v>0</v>
      </c>
      <c r="X106" s="116">
        <v>0</v>
      </c>
      <c r="Y106" s="116">
        <v>0</v>
      </c>
      <c r="Z106" s="116">
        <v>0</v>
      </c>
      <c r="AA106" s="116">
        <v>0</v>
      </c>
      <c r="AB106" s="116">
        <v>0</v>
      </c>
      <c r="AC106" s="116">
        <v>0</v>
      </c>
      <c r="AD106" s="116">
        <v>0</v>
      </c>
      <c r="AE106" s="116">
        <v>0</v>
      </c>
      <c r="AF106" s="256"/>
      <c r="AG106" s="395">
        <f>(SUM(T106:AD106)+(0.5*AE106)+(0.5*S106))/12</f>
        <v>0</v>
      </c>
      <c r="AI106" s="395">
        <f>AE106</f>
        <v>0</v>
      </c>
      <c r="AJ106" s="395">
        <f>AG106</f>
        <v>0</v>
      </c>
      <c r="AK106" s="133">
        <f ca="1">+'RB FORECAST'!AJ108</f>
        <v>0</v>
      </c>
      <c r="AL106" s="133">
        <f ca="1">+'RB FORECAST'!AG108</f>
        <v>0</v>
      </c>
      <c r="AM106" s="133">
        <f ca="1">+'RB FORECAST'!BA108</f>
        <v>0</v>
      </c>
      <c r="AN106" s="133">
        <f ca="1">+'RB FORECAST'!AW108</f>
        <v>0</v>
      </c>
      <c r="AP106" s="395">
        <f t="shared" ca="1" si="25"/>
        <v>0</v>
      </c>
      <c r="AQ106" s="609">
        <f ca="1">AP106-AE106</f>
        <v>0</v>
      </c>
      <c r="AR106" s="225">
        <f t="shared" si="16"/>
        <v>99</v>
      </c>
      <c r="AS106" s="225" t="e">
        <f t="shared" si="17"/>
        <v>#REF!</v>
      </c>
      <c r="AT106" s="186"/>
      <c r="AU106" s="102"/>
      <c r="AV106" s="102"/>
      <c r="AW106" s="102" t="s">
        <v>595</v>
      </c>
      <c r="AX106" s="102"/>
      <c r="AY106" s="116">
        <f>+AE106</f>
        <v>0</v>
      </c>
      <c r="AZ106" s="95">
        <f ca="1">AP106</f>
        <v>0</v>
      </c>
      <c r="BA106" s="95">
        <f ca="1">AZ106-AY106</f>
        <v>0</v>
      </c>
    </row>
    <row r="107" spans="1:53">
      <c r="A107" s="250" t="e">
        <f t="shared" si="19"/>
        <v>#REF!</v>
      </c>
      <c r="B107" s="102"/>
      <c r="C107" s="102"/>
      <c r="D107" s="102" t="s">
        <v>170</v>
      </c>
      <c r="E107" s="102"/>
      <c r="F107" s="102"/>
      <c r="G107" s="102"/>
      <c r="H107" s="1043">
        <v>48744568.57</v>
      </c>
      <c r="I107" s="1043">
        <v>48744850.020000003</v>
      </c>
      <c r="J107" s="1043">
        <v>49152816.039999999</v>
      </c>
      <c r="K107" s="1043">
        <v>49650115.859999999</v>
      </c>
      <c r="L107" s="1043">
        <v>49992620.259999998</v>
      </c>
      <c r="M107" s="1043">
        <v>52415913.979999997</v>
      </c>
      <c r="N107" s="1043">
        <v>52736443.170000002</v>
      </c>
      <c r="O107" s="1043">
        <v>53049383.25</v>
      </c>
      <c r="P107" s="1043">
        <v>53246421.090000004</v>
      </c>
      <c r="Q107" s="1043">
        <v>53734720.509999998</v>
      </c>
      <c r="R107" s="1043">
        <v>53792953.119999997</v>
      </c>
      <c r="S107" s="1043">
        <v>54001587.619999997</v>
      </c>
      <c r="T107" s="1043">
        <v>53195298.780000001</v>
      </c>
      <c r="U107" s="1043">
        <v>52200123.810000002</v>
      </c>
      <c r="V107" s="1043">
        <v>52249733.200000003</v>
      </c>
      <c r="W107" s="1043">
        <v>52249733.200000003</v>
      </c>
      <c r="X107" s="1043">
        <v>52413897.240000002</v>
      </c>
      <c r="Y107" s="1043">
        <v>52600349.920000002</v>
      </c>
      <c r="Z107" s="1043">
        <v>52635449.270000003</v>
      </c>
      <c r="AA107" s="1043">
        <v>52452476.049999997</v>
      </c>
      <c r="AB107" s="1043">
        <v>52516695.909999996</v>
      </c>
      <c r="AC107" s="1043">
        <v>52643184.350000001</v>
      </c>
      <c r="AD107" s="1043">
        <v>53353935.140000001</v>
      </c>
      <c r="AE107" s="1043">
        <v>52931918.189999998</v>
      </c>
      <c r="AF107" s="1043"/>
      <c r="AG107" s="1046">
        <f>(SUM(T107:AD107)+(0.5*AE107)+(0.5*S107))/12</f>
        <v>52664802.481249996</v>
      </c>
      <c r="AI107" s="1046">
        <f>AE107</f>
        <v>52931918.189999998</v>
      </c>
      <c r="AJ107" s="1046">
        <f>AG107</f>
        <v>52664802.481249996</v>
      </c>
      <c r="AK107" s="1046">
        <f ca="1">SUM(AK104:AK106)</f>
        <v>53387422.216801494</v>
      </c>
      <c r="AL107" s="1046">
        <f ca="1">SUM(AL104:AL106)</f>
        <v>53296403.639895909</v>
      </c>
      <c r="AM107" s="1046">
        <f t="shared" ref="AM107:AN107" ca="1" si="32">SUM(AM104:AM106)</f>
        <v>54782554.424213044</v>
      </c>
      <c r="AN107" s="1046">
        <f t="shared" ca="1" si="32"/>
        <v>54485592.550120533</v>
      </c>
      <c r="AP107" s="133">
        <f t="shared" ca="1" si="25"/>
        <v>54782554.424213044</v>
      </c>
      <c r="AQ107" s="606">
        <f ca="1">AP107-AE107</f>
        <v>1850636.2342130467</v>
      </c>
      <c r="AR107" s="225">
        <f t="shared" ref="AR107:AR165" si="33">+AR106+1</f>
        <v>100</v>
      </c>
      <c r="AS107" s="225" t="e">
        <f t="shared" ref="AS107:AS165" si="34">+AS106+1</f>
        <v>#REF!</v>
      </c>
      <c r="AT107" s="186"/>
      <c r="AU107" s="102"/>
      <c r="AV107" s="102"/>
      <c r="AW107" s="102" t="s">
        <v>170</v>
      </c>
      <c r="AX107" s="102"/>
      <c r="AY107" s="116">
        <f>AI107</f>
        <v>52931918.189999998</v>
      </c>
      <c r="AZ107" s="116">
        <f>AJ107</f>
        <v>52664802.481249996</v>
      </c>
      <c r="BA107" s="95">
        <f>AZ107-AY107</f>
        <v>-267115.70875000209</v>
      </c>
    </row>
    <row r="108" spans="1:53">
      <c r="A108" s="250" t="e">
        <f t="shared" si="19"/>
        <v>#REF!</v>
      </c>
      <c r="B108" s="102"/>
      <c r="C108" s="102"/>
      <c r="D108" s="102"/>
      <c r="E108" s="102"/>
      <c r="F108" s="102"/>
      <c r="G108" s="102"/>
      <c r="AR108" s="225">
        <f t="shared" si="33"/>
        <v>101</v>
      </c>
      <c r="AS108" s="225" t="e">
        <f t="shared" si="34"/>
        <v>#REF!</v>
      </c>
      <c r="AT108" s="186"/>
      <c r="AU108" s="102"/>
      <c r="AV108" s="102"/>
      <c r="AW108" s="102"/>
      <c r="AX108" s="102"/>
      <c r="AY108" s="116"/>
    </row>
    <row r="109" spans="1:53">
      <c r="A109" s="250" t="e">
        <f t="shared" si="19"/>
        <v>#REF!</v>
      </c>
      <c r="B109" s="102" t="s">
        <v>264</v>
      </c>
      <c r="C109" s="102" t="s">
        <v>265</v>
      </c>
      <c r="D109" s="102"/>
      <c r="E109" s="102"/>
      <c r="F109" s="102"/>
      <c r="G109" s="102"/>
      <c r="AR109" s="225">
        <f t="shared" si="33"/>
        <v>102</v>
      </c>
      <c r="AS109" s="225" t="e">
        <f t="shared" si="34"/>
        <v>#REF!</v>
      </c>
      <c r="AT109" s="186"/>
      <c r="AU109" s="102" t="s">
        <v>264</v>
      </c>
      <c r="AV109" s="102" t="s">
        <v>265</v>
      </c>
      <c r="AW109" s="102"/>
      <c r="AX109" s="102"/>
      <c r="AY109" s="116"/>
    </row>
    <row r="110" spans="1:53">
      <c r="A110" s="250" t="e">
        <f t="shared" si="19"/>
        <v>#REF!</v>
      </c>
      <c r="B110" s="102"/>
      <c r="C110" s="102"/>
      <c r="D110" s="102" t="s">
        <v>24</v>
      </c>
      <c r="E110" s="102"/>
      <c r="F110" s="102"/>
      <c r="G110" s="102"/>
      <c r="H110" s="116">
        <v>12371.89</v>
      </c>
      <c r="I110" s="116">
        <v>12371.89</v>
      </c>
      <c r="J110" s="116">
        <v>12371.89</v>
      </c>
      <c r="K110" s="116">
        <v>12371.89</v>
      </c>
      <c r="L110" s="116">
        <v>12371.89</v>
      </c>
      <c r="M110" s="116">
        <v>12371.89</v>
      </c>
      <c r="N110" s="116">
        <v>12371.89</v>
      </c>
      <c r="O110" s="116">
        <v>12371.89</v>
      </c>
      <c r="P110" s="116">
        <v>12371.89</v>
      </c>
      <c r="Q110" s="116">
        <v>12371.89</v>
      </c>
      <c r="R110" s="116">
        <v>12371.89</v>
      </c>
      <c r="S110" s="116">
        <v>12371.89</v>
      </c>
      <c r="T110" s="116">
        <v>12371.89</v>
      </c>
      <c r="U110" s="116">
        <v>12371.89</v>
      </c>
      <c r="V110" s="116">
        <v>12371.89</v>
      </c>
      <c r="W110" s="116">
        <v>12371.89</v>
      </c>
      <c r="X110" s="116">
        <v>12371.89</v>
      </c>
      <c r="Y110" s="116">
        <v>12371.89</v>
      </c>
      <c r="Z110" s="116">
        <v>12371.89</v>
      </c>
      <c r="AA110" s="116">
        <v>12371.89</v>
      </c>
      <c r="AB110" s="116">
        <v>12371.89</v>
      </c>
      <c r="AC110" s="116">
        <v>12371.89</v>
      </c>
      <c r="AD110" s="116">
        <v>12371.89</v>
      </c>
      <c r="AE110" s="116">
        <v>12371.89</v>
      </c>
      <c r="AF110" s="116"/>
      <c r="AG110" s="133">
        <f>(SUM(T110:AD110)+(0.5*AE110)+(0.5*S110))/12</f>
        <v>12371.89</v>
      </c>
      <c r="AI110" s="133">
        <f>AE110</f>
        <v>12371.89</v>
      </c>
      <c r="AJ110" s="133">
        <f>AG110</f>
        <v>12371.89</v>
      </c>
      <c r="AK110" s="133">
        <f>+'RB FORECAST'!AJ112</f>
        <v>12371.89</v>
      </c>
      <c r="AL110" s="133">
        <f>+'RB FORECAST'!AG112</f>
        <v>12371.89</v>
      </c>
      <c r="AM110" s="133">
        <f>+'RB FORECAST'!BA112</f>
        <v>12371.89</v>
      </c>
      <c r="AN110" s="133">
        <f>+'RB FORECAST'!AW112</f>
        <v>12371.89</v>
      </c>
      <c r="AP110" s="133">
        <f t="shared" si="25"/>
        <v>12371.89</v>
      </c>
      <c r="AQ110" s="606">
        <f>AP110-AE110</f>
        <v>0</v>
      </c>
      <c r="AR110" s="225">
        <f t="shared" si="33"/>
        <v>103</v>
      </c>
      <c r="AS110" s="225" t="e">
        <f t="shared" si="34"/>
        <v>#REF!</v>
      </c>
      <c r="AT110" s="186"/>
      <c r="AU110" s="102"/>
      <c r="AV110" s="102"/>
      <c r="AW110" s="102" t="s">
        <v>592</v>
      </c>
      <c r="AX110" s="102"/>
      <c r="AY110" s="116">
        <f>+AE110</f>
        <v>12371.89</v>
      </c>
      <c r="AZ110" s="95">
        <f>AP110</f>
        <v>12371.89</v>
      </c>
      <c r="BA110" s="95">
        <f>AZ110-AY110</f>
        <v>0</v>
      </c>
    </row>
    <row r="111" spans="1:53">
      <c r="A111" s="250" t="e">
        <f t="shared" ref="A111:A169" si="35">+A110+1</f>
        <v>#REF!</v>
      </c>
      <c r="B111" s="102"/>
      <c r="C111" s="102"/>
      <c r="D111" s="102" t="s">
        <v>14</v>
      </c>
      <c r="E111" s="102"/>
      <c r="F111" s="102"/>
      <c r="G111" s="102"/>
      <c r="H111" s="116">
        <v>45026.020000000004</v>
      </c>
      <c r="I111" s="116">
        <v>45026.020000000004</v>
      </c>
      <c r="J111" s="116">
        <v>45026.020000000004</v>
      </c>
      <c r="K111" s="116">
        <v>45026.020000000004</v>
      </c>
      <c r="L111" s="116">
        <v>45026.020000000004</v>
      </c>
      <c r="M111" s="116">
        <v>45026.020000000004</v>
      </c>
      <c r="N111" s="116">
        <v>45026.020000000004</v>
      </c>
      <c r="O111" s="116">
        <v>45026.020000000004</v>
      </c>
      <c r="P111" s="116">
        <v>45026.020000000004</v>
      </c>
      <c r="Q111" s="116">
        <v>45026.020000000004</v>
      </c>
      <c r="R111" s="116">
        <v>45026.020000000004</v>
      </c>
      <c r="S111" s="116">
        <v>45026.020000000004</v>
      </c>
      <c r="T111" s="116">
        <v>45026.020000000004</v>
      </c>
      <c r="U111" s="116">
        <v>45026.020000000004</v>
      </c>
      <c r="V111" s="116">
        <v>45026.020000000004</v>
      </c>
      <c r="W111" s="116">
        <v>45026.020000000004</v>
      </c>
      <c r="X111" s="116">
        <v>45026.020000000004</v>
      </c>
      <c r="Y111" s="116">
        <v>45026.020000000004</v>
      </c>
      <c r="Z111" s="116">
        <v>45026.020000000004</v>
      </c>
      <c r="AA111" s="116">
        <v>45026.020000000004</v>
      </c>
      <c r="AB111" s="116">
        <v>45026.020000000004</v>
      </c>
      <c r="AC111" s="116">
        <v>45026.020000000004</v>
      </c>
      <c r="AD111" s="116">
        <v>45026.020000000004</v>
      </c>
      <c r="AE111" s="116">
        <v>45026.020000000004</v>
      </c>
      <c r="AF111" s="256"/>
      <c r="AG111" s="395">
        <f>(SUM(T111:AD111)+(0.5*AE111)+(0.5*S111))/12</f>
        <v>45026.020000000011</v>
      </c>
      <c r="AI111" s="395">
        <f>AE111</f>
        <v>45026.020000000004</v>
      </c>
      <c r="AJ111" s="395">
        <f>AG111</f>
        <v>45026.020000000011</v>
      </c>
      <c r="AK111" s="133">
        <f>+'RB FORECAST'!AJ113</f>
        <v>45026.020000000011</v>
      </c>
      <c r="AL111" s="133">
        <f>+'RB FORECAST'!AG113</f>
        <v>45026.020000000004</v>
      </c>
      <c r="AM111" s="133">
        <f>+'RB FORECAST'!BA113</f>
        <v>45026.020000000011</v>
      </c>
      <c r="AN111" s="133">
        <f>+'RB FORECAST'!AW113</f>
        <v>45026.020000000004</v>
      </c>
      <c r="AP111" s="395">
        <f t="shared" si="25"/>
        <v>45026.020000000011</v>
      </c>
      <c r="AQ111" s="609">
        <f>AP111-AE111</f>
        <v>0</v>
      </c>
      <c r="AR111" s="225">
        <f t="shared" si="33"/>
        <v>104</v>
      </c>
      <c r="AS111" s="225" t="e">
        <f t="shared" si="34"/>
        <v>#REF!</v>
      </c>
      <c r="AT111" s="186"/>
      <c r="AU111" s="102"/>
      <c r="AV111" s="102"/>
      <c r="AW111" s="102" t="s">
        <v>593</v>
      </c>
      <c r="AX111" s="102"/>
      <c r="AY111" s="116">
        <f>+AE111</f>
        <v>45026.020000000004</v>
      </c>
      <c r="AZ111" s="95">
        <f>AP111</f>
        <v>45026.020000000011</v>
      </c>
      <c r="BA111" s="95">
        <f>AZ111-AY111</f>
        <v>0</v>
      </c>
    </row>
    <row r="112" spans="1:53">
      <c r="A112" s="250" t="e">
        <f t="shared" si="35"/>
        <v>#REF!</v>
      </c>
      <c r="B112" s="102"/>
      <c r="C112" s="102"/>
      <c r="D112" s="102" t="s">
        <v>170</v>
      </c>
      <c r="E112" s="102"/>
      <c r="F112" s="102"/>
      <c r="G112" s="102"/>
      <c r="H112" s="1043">
        <v>57397.91</v>
      </c>
      <c r="I112" s="1043">
        <v>57397.91</v>
      </c>
      <c r="J112" s="1043">
        <v>57397.91</v>
      </c>
      <c r="K112" s="1043">
        <v>57397.91</v>
      </c>
      <c r="L112" s="1043">
        <v>57397.91</v>
      </c>
      <c r="M112" s="1043">
        <v>57397.91</v>
      </c>
      <c r="N112" s="1043">
        <v>57397.91</v>
      </c>
      <c r="O112" s="1043">
        <v>57397.91</v>
      </c>
      <c r="P112" s="1043">
        <v>57397.91</v>
      </c>
      <c r="Q112" s="1043">
        <v>57397.91</v>
      </c>
      <c r="R112" s="1043">
        <v>57397.91</v>
      </c>
      <c r="S112" s="1043">
        <v>57397.91</v>
      </c>
      <c r="T112" s="1043">
        <v>57397.91</v>
      </c>
      <c r="U112" s="1043">
        <v>57397.91</v>
      </c>
      <c r="V112" s="1043">
        <v>57397.91</v>
      </c>
      <c r="W112" s="1043">
        <v>57397.91</v>
      </c>
      <c r="X112" s="1043">
        <v>57397.91</v>
      </c>
      <c r="Y112" s="1043">
        <v>57397.91</v>
      </c>
      <c r="Z112" s="1043">
        <v>57397.91</v>
      </c>
      <c r="AA112" s="1043">
        <v>57397.91</v>
      </c>
      <c r="AB112" s="1043">
        <v>57397.91</v>
      </c>
      <c r="AC112" s="1043">
        <v>57397.91</v>
      </c>
      <c r="AD112" s="1043">
        <v>57397.91</v>
      </c>
      <c r="AE112" s="1043">
        <v>57397.91</v>
      </c>
      <c r="AF112" s="1043"/>
      <c r="AG112" s="1046">
        <f>SUM(AG110:AG111)</f>
        <v>57397.910000000011</v>
      </c>
      <c r="AI112" s="1046">
        <f>AE112</f>
        <v>57397.91</v>
      </c>
      <c r="AJ112" s="1046">
        <f>AG112</f>
        <v>57397.910000000011</v>
      </c>
      <c r="AK112" s="1046">
        <f>SUM(AK110:AK111)</f>
        <v>57397.910000000011</v>
      </c>
      <c r="AL112" s="1046">
        <f>SUM(AL110:AL111)</f>
        <v>57397.91</v>
      </c>
      <c r="AM112" s="1046">
        <f t="shared" ref="AM112:AN112" si="36">SUM(AM110:AM111)</f>
        <v>57397.910000000011</v>
      </c>
      <c r="AN112" s="1046">
        <f t="shared" si="36"/>
        <v>57397.91</v>
      </c>
      <c r="AP112" s="133">
        <f t="shared" si="25"/>
        <v>57397.910000000011</v>
      </c>
      <c r="AQ112" s="606">
        <f>AP112-AE112</f>
        <v>0</v>
      </c>
      <c r="AR112" s="225">
        <f t="shared" si="33"/>
        <v>105</v>
      </c>
      <c r="AS112" s="225" t="e">
        <f t="shared" si="34"/>
        <v>#REF!</v>
      </c>
      <c r="AT112" s="186"/>
      <c r="AU112" s="102"/>
      <c r="AV112" s="102"/>
      <c r="AW112" s="102" t="s">
        <v>170</v>
      </c>
      <c r="AX112" s="102"/>
      <c r="AY112" s="116">
        <f>AI112</f>
        <v>57397.91</v>
      </c>
      <c r="AZ112" s="116">
        <f>AJ112</f>
        <v>57397.910000000011</v>
      </c>
      <c r="BA112" s="95">
        <f>AZ112-AY112</f>
        <v>0</v>
      </c>
    </row>
    <row r="113" spans="1:53">
      <c r="A113" s="250" t="e">
        <f t="shared" si="35"/>
        <v>#REF!</v>
      </c>
      <c r="B113" s="102"/>
      <c r="C113" s="102"/>
      <c r="D113" s="102"/>
      <c r="E113" s="102"/>
      <c r="F113" s="102"/>
      <c r="G113" s="102"/>
      <c r="AR113" s="225">
        <f t="shared" si="33"/>
        <v>106</v>
      </c>
      <c r="AS113" s="225" t="e">
        <f t="shared" si="34"/>
        <v>#REF!</v>
      </c>
      <c r="AT113" s="186"/>
      <c r="AU113" s="102"/>
      <c r="AV113" s="102"/>
      <c r="AW113" s="102"/>
      <c r="AX113" s="102"/>
      <c r="AY113" s="116"/>
    </row>
    <row r="114" spans="1:53">
      <c r="A114" s="250" t="e">
        <f t="shared" si="35"/>
        <v>#REF!</v>
      </c>
      <c r="B114" s="102" t="s">
        <v>266</v>
      </c>
      <c r="C114" s="102" t="s">
        <v>267</v>
      </c>
      <c r="D114" s="102"/>
      <c r="E114" s="102"/>
      <c r="F114" s="102"/>
      <c r="G114" s="102"/>
      <c r="AR114" s="225">
        <f t="shared" si="33"/>
        <v>107</v>
      </c>
      <c r="AS114" s="225" t="e">
        <f t="shared" si="34"/>
        <v>#REF!</v>
      </c>
      <c r="AT114" s="186"/>
      <c r="AU114" s="102" t="s">
        <v>266</v>
      </c>
      <c r="AV114" s="102" t="s">
        <v>267</v>
      </c>
      <c r="AW114" s="102"/>
      <c r="AX114" s="102"/>
      <c r="AY114" s="116"/>
    </row>
    <row r="115" spans="1:53">
      <c r="A115" s="250" t="e">
        <f t="shared" si="35"/>
        <v>#REF!</v>
      </c>
      <c r="B115" s="102"/>
      <c r="C115" s="102"/>
      <c r="D115" s="102" t="s">
        <v>24</v>
      </c>
      <c r="E115" s="102"/>
      <c r="F115" s="102"/>
      <c r="G115" s="102"/>
      <c r="H115" s="116">
        <v>2211929.2800000003</v>
      </c>
      <c r="I115" s="116">
        <v>2216213.0300000003</v>
      </c>
      <c r="J115" s="116">
        <v>2216728.5300000003</v>
      </c>
      <c r="K115" s="116">
        <v>2218987.9500000002</v>
      </c>
      <c r="L115" s="116">
        <v>2233076.5900000003</v>
      </c>
      <c r="M115" s="116">
        <v>2229363.63</v>
      </c>
      <c r="N115" s="116">
        <v>2229402.7200000002</v>
      </c>
      <c r="O115" s="116">
        <v>2229403.0099999998</v>
      </c>
      <c r="P115" s="116">
        <v>2220363.16</v>
      </c>
      <c r="Q115" s="116">
        <v>2220363.16</v>
      </c>
      <c r="R115" s="116">
        <v>2614218.66</v>
      </c>
      <c r="S115" s="116">
        <v>2614218.66</v>
      </c>
      <c r="T115" s="116">
        <v>2632043.1</v>
      </c>
      <c r="U115" s="116">
        <v>2632683.1800000002</v>
      </c>
      <c r="V115" s="116">
        <v>2622572.71</v>
      </c>
      <c r="W115" s="116">
        <v>2622572.71</v>
      </c>
      <c r="X115" s="116">
        <v>2625915.9700000002</v>
      </c>
      <c r="Y115" s="116">
        <v>2308319.5200000005</v>
      </c>
      <c r="Z115" s="116">
        <v>2320084.8800000004</v>
      </c>
      <c r="AA115" s="116">
        <v>2344115.19</v>
      </c>
      <c r="AB115" s="116">
        <v>2349815.1900000004</v>
      </c>
      <c r="AC115" s="116">
        <v>2371963.23</v>
      </c>
      <c r="AD115" s="116">
        <v>2391686.4</v>
      </c>
      <c r="AE115" s="116">
        <v>2395252.1300000004</v>
      </c>
      <c r="AF115" s="116"/>
      <c r="AG115" s="133">
        <f>(SUM(T115:AD115)+(0.5*AE115)+(0.5*S115))/12</f>
        <v>2477208.9562500003</v>
      </c>
      <c r="AI115" s="133">
        <f>AE115</f>
        <v>2395252.1300000004</v>
      </c>
      <c r="AJ115" s="133">
        <f>AG115</f>
        <v>2477208.9562500003</v>
      </c>
      <c r="AK115" s="133">
        <f ca="1">+'RB FORECAST'!AJ117</f>
        <v>2918323.5060447566</v>
      </c>
      <c r="AL115" s="133">
        <f ca="1">+'RB FORECAST'!AG117</f>
        <v>2765639.3724008827</v>
      </c>
      <c r="AM115" s="133">
        <f ca="1">+'RB FORECAST'!BA117</f>
        <v>3043149.8960978216</v>
      </c>
      <c r="AN115" s="133">
        <f ca="1">+'RB FORECAST'!AW117</f>
        <v>2962144.7869899212</v>
      </c>
      <c r="AP115" s="133">
        <f t="shared" ca="1" si="25"/>
        <v>3043149.8960978216</v>
      </c>
      <c r="AQ115" s="606">
        <f ca="1">AP115-AE115</f>
        <v>647897.7660978213</v>
      </c>
      <c r="AR115" s="225">
        <f t="shared" si="33"/>
        <v>108</v>
      </c>
      <c r="AS115" s="225" t="e">
        <f t="shared" si="34"/>
        <v>#REF!</v>
      </c>
      <c r="AT115" s="186"/>
      <c r="AU115" s="102"/>
      <c r="AV115" s="102"/>
      <c r="AW115" s="102" t="s">
        <v>592</v>
      </c>
      <c r="AX115" s="102"/>
      <c r="AY115" s="116">
        <f>+AE115</f>
        <v>2395252.1300000004</v>
      </c>
      <c r="AZ115" s="95">
        <f ca="1">AP115</f>
        <v>3043149.8960978216</v>
      </c>
      <c r="BA115" s="95">
        <f ca="1">AZ115-AY115</f>
        <v>647897.7660978213</v>
      </c>
    </row>
    <row r="116" spans="1:53">
      <c r="A116" s="250" t="e">
        <f t="shared" si="35"/>
        <v>#REF!</v>
      </c>
      <c r="B116" s="102"/>
      <c r="C116" s="102"/>
      <c r="D116" s="102" t="s">
        <v>14</v>
      </c>
      <c r="E116" s="102"/>
      <c r="F116" s="102"/>
      <c r="G116" s="102"/>
      <c r="H116" s="116">
        <v>27660066.09</v>
      </c>
      <c r="I116" s="116">
        <v>27959242.879999999</v>
      </c>
      <c r="J116" s="116">
        <v>27970082.259999998</v>
      </c>
      <c r="K116" s="116">
        <v>28144372.98</v>
      </c>
      <c r="L116" s="116">
        <v>28348197.5</v>
      </c>
      <c r="M116" s="116">
        <v>28181062</v>
      </c>
      <c r="N116" s="116">
        <v>28338649.82</v>
      </c>
      <c r="O116" s="116">
        <v>28466336.140000001</v>
      </c>
      <c r="P116" s="116">
        <v>28512618.489999998</v>
      </c>
      <c r="Q116" s="116">
        <v>28630569.949999999</v>
      </c>
      <c r="R116" s="116">
        <v>28854803.859999999</v>
      </c>
      <c r="S116" s="116">
        <v>28776820.039999999</v>
      </c>
      <c r="T116" s="116">
        <v>29024551.939999998</v>
      </c>
      <c r="U116" s="116">
        <v>29043445.52</v>
      </c>
      <c r="V116" s="116">
        <v>28724943.309999999</v>
      </c>
      <c r="W116" s="116">
        <v>28932884.259999998</v>
      </c>
      <c r="X116" s="116">
        <v>29099120.420000002</v>
      </c>
      <c r="Y116" s="116">
        <v>29452612.120000001</v>
      </c>
      <c r="Z116" s="116">
        <v>29635233.780000001</v>
      </c>
      <c r="AA116" s="116">
        <v>29872090.709999997</v>
      </c>
      <c r="AB116" s="116">
        <v>29900590.709999997</v>
      </c>
      <c r="AC116" s="116">
        <v>30145652.960000001</v>
      </c>
      <c r="AD116" s="116">
        <v>29040069.32</v>
      </c>
      <c r="AE116" s="116">
        <v>29287123.41</v>
      </c>
      <c r="AF116" s="116"/>
      <c r="AG116" s="133">
        <f>(SUM(T116:AD116)+(0.5*AE116)+(0.5*S116))/12</f>
        <v>29325263.897916663</v>
      </c>
      <c r="AI116" s="133">
        <f>AE116</f>
        <v>29287123.41</v>
      </c>
      <c r="AJ116" s="133">
        <f>AG116</f>
        <v>29325263.897916663</v>
      </c>
      <c r="AK116" s="133">
        <f ca="1">+'RB FORECAST'!AJ118</f>
        <v>35682799.151434906</v>
      </c>
      <c r="AL116" s="133">
        <f ca="1">+'RB FORECAST'!AG118</f>
        <v>33815906.305888377</v>
      </c>
      <c r="AM116" s="133">
        <f ca="1">+'RB FORECAST'!BA118</f>
        <v>37209070.997526072</v>
      </c>
      <c r="AN116" s="133">
        <f ca="1">+'RB FORECAST'!AW118</f>
        <v>36218608.82547757</v>
      </c>
      <c r="AP116" s="133">
        <f t="shared" ca="1" si="25"/>
        <v>37209070.997526072</v>
      </c>
      <c r="AQ116" s="606">
        <f ca="1">AP116-AE116</f>
        <v>7921947.5875260718</v>
      </c>
      <c r="AR116" s="225">
        <f t="shared" si="33"/>
        <v>109</v>
      </c>
      <c r="AS116" s="225" t="e">
        <f t="shared" si="34"/>
        <v>#REF!</v>
      </c>
      <c r="AT116" s="186"/>
      <c r="AU116" s="102"/>
      <c r="AV116" s="102"/>
      <c r="AW116" s="102" t="s">
        <v>593</v>
      </c>
      <c r="AX116" s="102"/>
      <c r="AY116" s="116">
        <f>+AE116</f>
        <v>29287123.41</v>
      </c>
      <c r="AZ116" s="95">
        <f ca="1">AP116</f>
        <v>37209070.997526072</v>
      </c>
      <c r="BA116" s="95">
        <f ca="1">AZ116-AY116</f>
        <v>7921947.5875260718</v>
      </c>
    </row>
    <row r="117" spans="1:53">
      <c r="A117" s="250" t="e">
        <f t="shared" si="35"/>
        <v>#REF!</v>
      </c>
      <c r="B117" s="102"/>
      <c r="C117" s="102"/>
      <c r="D117" s="102" t="s">
        <v>595</v>
      </c>
      <c r="E117" s="102"/>
      <c r="F117" s="102"/>
      <c r="G117" s="102"/>
      <c r="H117" s="116">
        <v>0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6">
        <v>0</v>
      </c>
      <c r="Y117" s="116">
        <v>0</v>
      </c>
      <c r="Z117" s="116">
        <v>0</v>
      </c>
      <c r="AA117" s="116">
        <v>0</v>
      </c>
      <c r="AB117" s="116">
        <v>0</v>
      </c>
      <c r="AC117" s="116">
        <v>0</v>
      </c>
      <c r="AD117" s="116">
        <v>0</v>
      </c>
      <c r="AE117" s="116">
        <v>0</v>
      </c>
      <c r="AF117" s="256"/>
      <c r="AG117" s="395">
        <f>(SUM(T117:AD117)+(0.5*AE117)+(0.5*S117))/12</f>
        <v>0</v>
      </c>
      <c r="AI117" s="395">
        <f>AE117</f>
        <v>0</v>
      </c>
      <c r="AJ117" s="395">
        <f>AG117</f>
        <v>0</v>
      </c>
      <c r="AK117" s="133">
        <f ca="1">+'RB FORECAST'!AJ119</f>
        <v>0</v>
      </c>
      <c r="AL117" s="133">
        <f ca="1">+'RB FORECAST'!AG119</f>
        <v>0</v>
      </c>
      <c r="AM117" s="133">
        <f ca="1">+'RB FORECAST'!BA119</f>
        <v>0</v>
      </c>
      <c r="AN117" s="133">
        <f ca="1">+'RB FORECAST'!AW119</f>
        <v>0</v>
      </c>
      <c r="AP117" s="395">
        <f t="shared" ca="1" si="25"/>
        <v>0</v>
      </c>
      <c r="AQ117" s="609">
        <f ca="1">AP117-AE117</f>
        <v>0</v>
      </c>
      <c r="AR117" s="225">
        <f t="shared" si="33"/>
        <v>110</v>
      </c>
      <c r="AS117" s="225" t="e">
        <f t="shared" si="34"/>
        <v>#REF!</v>
      </c>
      <c r="AT117" s="186"/>
      <c r="AU117" s="102"/>
      <c r="AV117" s="102"/>
      <c r="AW117" s="102" t="s">
        <v>595</v>
      </c>
      <c r="AX117" s="102"/>
      <c r="AY117" s="116">
        <f>+AE117</f>
        <v>0</v>
      </c>
      <c r="AZ117" s="95">
        <f ca="1">AP117</f>
        <v>0</v>
      </c>
      <c r="BA117" s="95">
        <f ca="1">AZ117-AY117</f>
        <v>0</v>
      </c>
    </row>
    <row r="118" spans="1:53">
      <c r="A118" s="250" t="e">
        <f t="shared" si="35"/>
        <v>#REF!</v>
      </c>
      <c r="B118" s="102"/>
      <c r="C118" s="102"/>
      <c r="D118" s="102" t="s">
        <v>170</v>
      </c>
      <c r="E118" s="102"/>
      <c r="F118" s="102"/>
      <c r="G118" s="102"/>
      <c r="H118" s="1043">
        <v>29871995.370000001</v>
      </c>
      <c r="I118" s="1043">
        <v>30175455.91</v>
      </c>
      <c r="J118" s="1043">
        <v>30186810.789999999</v>
      </c>
      <c r="K118" s="1043">
        <v>30363360.93</v>
      </c>
      <c r="L118" s="1043">
        <v>30581274.09</v>
      </c>
      <c r="M118" s="1043">
        <v>30410425.629999999</v>
      </c>
      <c r="N118" s="1043">
        <v>30568052.539999999</v>
      </c>
      <c r="O118" s="1043">
        <v>30695739.149999999</v>
      </c>
      <c r="P118" s="1043">
        <v>30732981.649999999</v>
      </c>
      <c r="Q118" s="1043">
        <v>30850933.109999999</v>
      </c>
      <c r="R118" s="1043">
        <v>31469022.52</v>
      </c>
      <c r="S118" s="1043">
        <v>31391038.699999999</v>
      </c>
      <c r="T118" s="1043">
        <v>31656595.039999999</v>
      </c>
      <c r="U118" s="1043">
        <v>31676128.699999999</v>
      </c>
      <c r="V118" s="1043">
        <v>31347516.02</v>
      </c>
      <c r="W118" s="1043">
        <v>31555456.969999999</v>
      </c>
      <c r="X118" s="1043">
        <v>31725036.390000001</v>
      </c>
      <c r="Y118" s="1043">
        <v>31760931.640000001</v>
      </c>
      <c r="Z118" s="1043">
        <v>31955318.66</v>
      </c>
      <c r="AA118" s="1043">
        <v>32216205.899999999</v>
      </c>
      <c r="AB118" s="1043">
        <v>32250405.899999999</v>
      </c>
      <c r="AC118" s="1043">
        <v>32517616.190000001</v>
      </c>
      <c r="AD118" s="1043">
        <v>31431755.719999999</v>
      </c>
      <c r="AE118" s="1043">
        <v>31682375.539999999</v>
      </c>
      <c r="AF118" s="1043"/>
      <c r="AG118" s="1046">
        <f>SUM(AG115:AG117)</f>
        <v>31802472.854166664</v>
      </c>
      <c r="AI118" s="1046">
        <f>AE118</f>
        <v>31682375.539999999</v>
      </c>
      <c r="AJ118" s="1046">
        <f>AG118</f>
        <v>31802472.854166664</v>
      </c>
      <c r="AK118" s="1046">
        <f ca="1">SUM(AK115:AK117)</f>
        <v>38601122.657479659</v>
      </c>
      <c r="AL118" s="1046">
        <f ca="1">SUM(AL115:AL117)</f>
        <v>36581545.678289257</v>
      </c>
      <c r="AM118" s="1046">
        <f t="shared" ref="AM118:AN118" ca="1" si="37">SUM(AM115:AM117)</f>
        <v>40252220.893623896</v>
      </c>
      <c r="AN118" s="1046">
        <f t="shared" ca="1" si="37"/>
        <v>39180753.61246749</v>
      </c>
      <c r="AP118" s="133">
        <f t="shared" ca="1" si="25"/>
        <v>40252220.893623896</v>
      </c>
      <c r="AQ118" s="606">
        <f ca="1">AP118-AE118</f>
        <v>8569845.3536238968</v>
      </c>
      <c r="AR118" s="225">
        <f t="shared" si="33"/>
        <v>111</v>
      </c>
      <c r="AS118" s="225" t="e">
        <f t="shared" si="34"/>
        <v>#REF!</v>
      </c>
      <c r="AT118" s="186"/>
      <c r="AU118" s="102"/>
      <c r="AV118" s="102"/>
      <c r="AW118" s="102" t="s">
        <v>170</v>
      </c>
      <c r="AX118" s="102"/>
      <c r="AY118" s="116">
        <f>AI118</f>
        <v>31682375.539999999</v>
      </c>
      <c r="AZ118" s="116">
        <f>AJ118</f>
        <v>31802472.854166664</v>
      </c>
      <c r="BA118" s="95">
        <f>AZ118-AY118</f>
        <v>120097.31416666508</v>
      </c>
    </row>
    <row r="119" spans="1:53">
      <c r="A119" s="250" t="e">
        <f t="shared" si="35"/>
        <v>#REF!</v>
      </c>
      <c r="B119" s="102"/>
      <c r="C119" s="102"/>
      <c r="D119" s="102"/>
      <c r="E119" s="102"/>
      <c r="F119" s="102"/>
      <c r="G119" s="102"/>
      <c r="AR119" s="225">
        <f t="shared" si="33"/>
        <v>112</v>
      </c>
      <c r="AS119" s="225" t="e">
        <f t="shared" si="34"/>
        <v>#REF!</v>
      </c>
      <c r="AT119" s="186"/>
      <c r="AU119" s="102"/>
      <c r="AV119" s="102"/>
      <c r="AW119" s="102"/>
      <c r="AX119" s="102"/>
      <c r="AY119" s="116"/>
    </row>
    <row r="120" spans="1:53">
      <c r="A120" s="250" t="e">
        <f t="shared" si="35"/>
        <v>#REF!</v>
      </c>
      <c r="B120" s="102" t="s">
        <v>268</v>
      </c>
      <c r="C120" s="102" t="s">
        <v>269</v>
      </c>
      <c r="D120" s="102"/>
      <c r="E120" s="102"/>
      <c r="F120" s="102"/>
      <c r="G120" s="102"/>
      <c r="AR120" s="225">
        <f t="shared" si="33"/>
        <v>113</v>
      </c>
      <c r="AS120" s="225" t="e">
        <f t="shared" si="34"/>
        <v>#REF!</v>
      </c>
      <c r="AT120" s="186"/>
      <c r="AU120" s="102" t="s">
        <v>268</v>
      </c>
      <c r="AV120" s="102" t="s">
        <v>269</v>
      </c>
      <c r="AW120" s="102"/>
      <c r="AX120" s="102"/>
      <c r="AY120" s="116"/>
    </row>
    <row r="121" spans="1:53">
      <c r="A121" s="250" t="e">
        <f t="shared" si="35"/>
        <v>#REF!</v>
      </c>
      <c r="B121" s="102"/>
      <c r="C121" s="102"/>
      <c r="D121" s="102" t="s">
        <v>24</v>
      </c>
      <c r="E121" s="102"/>
      <c r="F121" s="102"/>
      <c r="G121" s="102"/>
      <c r="H121" s="116">
        <v>0</v>
      </c>
      <c r="I121" s="116">
        <v>0</v>
      </c>
      <c r="J121" s="116">
        <v>0</v>
      </c>
      <c r="K121" s="116">
        <v>0</v>
      </c>
      <c r="L121" s="116">
        <v>0</v>
      </c>
      <c r="M121" s="116">
        <v>0</v>
      </c>
      <c r="N121" s="116">
        <v>0</v>
      </c>
      <c r="O121" s="116">
        <v>0</v>
      </c>
      <c r="P121" s="116">
        <v>0</v>
      </c>
      <c r="Q121" s="116">
        <v>0</v>
      </c>
      <c r="R121" s="116">
        <v>0</v>
      </c>
      <c r="S121" s="116">
        <v>0</v>
      </c>
      <c r="T121" s="116">
        <v>0</v>
      </c>
      <c r="U121" s="116">
        <v>0</v>
      </c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A121" s="116">
        <v>0</v>
      </c>
      <c r="AB121" s="116">
        <v>0</v>
      </c>
      <c r="AC121" s="116">
        <v>0</v>
      </c>
      <c r="AD121" s="116">
        <v>0</v>
      </c>
      <c r="AE121" s="116">
        <v>0</v>
      </c>
      <c r="AF121" s="116"/>
      <c r="AG121" s="133">
        <f>(SUM(T121:AD121)+(0.5*AE121)+(0.5*S121))/12</f>
        <v>0</v>
      </c>
      <c r="AI121" s="133">
        <f>AE121</f>
        <v>0</v>
      </c>
      <c r="AJ121" s="133">
        <f>AG121</f>
        <v>0</v>
      </c>
      <c r="AK121" s="133">
        <f>+'RB FORECAST'!AJ123</f>
        <v>0</v>
      </c>
      <c r="AL121" s="133">
        <f>+'RB FORECAST'!AG123</f>
        <v>0</v>
      </c>
      <c r="AM121" s="133">
        <f>+'RB FORECAST'!BA123</f>
        <v>0</v>
      </c>
      <c r="AN121" s="133">
        <f>+'RB FORECAST'!AW123</f>
        <v>0</v>
      </c>
      <c r="AP121" s="133">
        <f t="shared" si="25"/>
        <v>0</v>
      </c>
      <c r="AQ121" s="606">
        <f>AP121-AE121</f>
        <v>0</v>
      </c>
      <c r="AR121" s="225">
        <f t="shared" si="33"/>
        <v>114</v>
      </c>
      <c r="AS121" s="225" t="e">
        <f t="shared" si="34"/>
        <v>#REF!</v>
      </c>
      <c r="AT121" s="186"/>
      <c r="AU121" s="102"/>
      <c r="AV121" s="102"/>
      <c r="AW121" s="102" t="s">
        <v>592</v>
      </c>
      <c r="AX121" s="102"/>
      <c r="AY121" s="116">
        <f>+AE121</f>
        <v>0</v>
      </c>
      <c r="AZ121" s="95">
        <f>AP121</f>
        <v>0</v>
      </c>
      <c r="BA121" s="95">
        <f>AZ121-AY121</f>
        <v>0</v>
      </c>
    </row>
    <row r="122" spans="1:53">
      <c r="A122" s="250" t="e">
        <f t="shared" si="35"/>
        <v>#REF!</v>
      </c>
      <c r="B122" s="102"/>
      <c r="C122" s="102"/>
      <c r="D122" s="102" t="s">
        <v>14</v>
      </c>
      <c r="E122" s="102"/>
      <c r="F122" s="102"/>
      <c r="G122" s="102"/>
      <c r="H122" s="116">
        <v>76245.36</v>
      </c>
      <c r="I122" s="116">
        <v>76245.36</v>
      </c>
      <c r="J122" s="116">
        <v>61117.83</v>
      </c>
      <c r="K122" s="116">
        <v>61117.83</v>
      </c>
      <c r="L122" s="116">
        <v>61117.83</v>
      </c>
      <c r="M122" s="116">
        <v>61117.83</v>
      </c>
      <c r="N122" s="116">
        <v>61117.83</v>
      </c>
      <c r="O122" s="116">
        <v>61117.83</v>
      </c>
      <c r="P122" s="116">
        <v>61117.83</v>
      </c>
      <c r="Q122" s="116">
        <v>61117.83</v>
      </c>
      <c r="R122" s="116">
        <v>61117.83</v>
      </c>
      <c r="S122" s="116">
        <v>61117.83</v>
      </c>
      <c r="T122" s="116">
        <v>61117.83</v>
      </c>
      <c r="U122" s="116">
        <v>61117.83</v>
      </c>
      <c r="V122" s="116">
        <v>61117.83</v>
      </c>
      <c r="W122" s="116">
        <v>61117.83</v>
      </c>
      <c r="X122" s="116">
        <v>61117.83</v>
      </c>
      <c r="Y122" s="116">
        <v>61117.83</v>
      </c>
      <c r="Z122" s="116">
        <v>61117.83</v>
      </c>
      <c r="AA122" s="116">
        <v>61117.83</v>
      </c>
      <c r="AB122" s="116">
        <v>61117.83</v>
      </c>
      <c r="AC122" s="116">
        <v>61117.83</v>
      </c>
      <c r="AD122" s="116">
        <v>61117.83</v>
      </c>
      <c r="AE122" s="116">
        <v>61117.83</v>
      </c>
      <c r="AF122" s="116"/>
      <c r="AG122" s="133">
        <f>(SUM(T122:AD122)+(0.5*AE122)+(0.5*S122))/12</f>
        <v>61117.830000000009</v>
      </c>
      <c r="AI122" s="133">
        <f>AE122</f>
        <v>61117.83</v>
      </c>
      <c r="AJ122" s="133">
        <f>AG122</f>
        <v>61117.830000000009</v>
      </c>
      <c r="AK122" s="133">
        <f>+'RB FORECAST'!AJ124</f>
        <v>61117.830000000009</v>
      </c>
      <c r="AL122" s="133">
        <f>+'RB FORECAST'!AG124</f>
        <v>61117.83</v>
      </c>
      <c r="AM122" s="133">
        <f>+'RB FORECAST'!BA124</f>
        <v>61117.830000000009</v>
      </c>
      <c r="AN122" s="133">
        <f>+'RB FORECAST'!AW124</f>
        <v>61117.83</v>
      </c>
      <c r="AP122" s="133">
        <f t="shared" si="25"/>
        <v>61117.830000000009</v>
      </c>
      <c r="AQ122" s="606">
        <f>AP122-AE122</f>
        <v>0</v>
      </c>
      <c r="AR122" s="225">
        <f t="shared" si="33"/>
        <v>115</v>
      </c>
      <c r="AS122" s="225" t="e">
        <f t="shared" si="34"/>
        <v>#REF!</v>
      </c>
      <c r="AT122" s="186"/>
      <c r="AU122" s="102"/>
      <c r="AV122" s="102"/>
      <c r="AW122" s="102" t="s">
        <v>593</v>
      </c>
      <c r="AX122" s="102"/>
      <c r="AY122" s="116">
        <f>+AE122</f>
        <v>61117.83</v>
      </c>
      <c r="AZ122" s="95">
        <f>AP122</f>
        <v>61117.830000000009</v>
      </c>
      <c r="BA122" s="95">
        <f>AZ122-AY122</f>
        <v>0</v>
      </c>
    </row>
    <row r="123" spans="1:53">
      <c r="A123" s="250" t="e">
        <f t="shared" si="35"/>
        <v>#REF!</v>
      </c>
      <c r="B123" s="102"/>
      <c r="C123" s="102"/>
      <c r="D123" s="102" t="s">
        <v>595</v>
      </c>
      <c r="E123" s="102"/>
      <c r="F123" s="102"/>
      <c r="G123" s="102"/>
      <c r="H123" s="116">
        <v>0</v>
      </c>
      <c r="I123" s="116">
        <v>0</v>
      </c>
      <c r="J123" s="116">
        <v>0</v>
      </c>
      <c r="K123" s="116">
        <v>0</v>
      </c>
      <c r="L123" s="116">
        <v>0</v>
      </c>
      <c r="M123" s="116">
        <v>0</v>
      </c>
      <c r="N123" s="116">
        <v>0</v>
      </c>
      <c r="O123" s="116">
        <v>0</v>
      </c>
      <c r="P123" s="116">
        <v>0</v>
      </c>
      <c r="Q123" s="116">
        <v>0</v>
      </c>
      <c r="R123" s="116">
        <v>0</v>
      </c>
      <c r="S123" s="116">
        <v>0</v>
      </c>
      <c r="T123" s="116">
        <v>0</v>
      </c>
      <c r="U123" s="116">
        <v>0</v>
      </c>
      <c r="V123" s="116">
        <v>0</v>
      </c>
      <c r="W123" s="116">
        <v>0</v>
      </c>
      <c r="X123" s="116">
        <v>0</v>
      </c>
      <c r="Y123" s="116">
        <v>0</v>
      </c>
      <c r="Z123" s="116">
        <v>0</v>
      </c>
      <c r="AA123" s="116">
        <v>0</v>
      </c>
      <c r="AB123" s="116">
        <v>0</v>
      </c>
      <c r="AC123" s="116">
        <v>0</v>
      </c>
      <c r="AD123" s="116">
        <v>0</v>
      </c>
      <c r="AE123" s="116">
        <v>0</v>
      </c>
      <c r="AF123" s="256"/>
      <c r="AG123" s="395">
        <f>(SUM(T123:AD123)+(0.5*AE123)+(0.5*S123))/12</f>
        <v>0</v>
      </c>
      <c r="AI123" s="395">
        <f>AE123</f>
        <v>0</v>
      </c>
      <c r="AJ123" s="395">
        <f>AG123</f>
        <v>0</v>
      </c>
      <c r="AK123" s="133">
        <f>+'RB FORECAST'!AJ125</f>
        <v>0</v>
      </c>
      <c r="AL123" s="133">
        <f>+'RB FORECAST'!AG125</f>
        <v>0</v>
      </c>
      <c r="AM123" s="133">
        <f>+'RB FORECAST'!BA125</f>
        <v>0</v>
      </c>
      <c r="AN123" s="133">
        <f>+'RB FORECAST'!AW125</f>
        <v>0</v>
      </c>
      <c r="AP123" s="395">
        <f t="shared" si="25"/>
        <v>0</v>
      </c>
      <c r="AQ123" s="609">
        <f>AP123-AE123</f>
        <v>0</v>
      </c>
      <c r="AR123" s="225">
        <f t="shared" si="33"/>
        <v>116</v>
      </c>
      <c r="AS123" s="225" t="e">
        <f t="shared" si="34"/>
        <v>#REF!</v>
      </c>
      <c r="AT123" s="186"/>
      <c r="AU123" s="102"/>
      <c r="AV123" s="102"/>
      <c r="AW123" s="102" t="s">
        <v>595</v>
      </c>
      <c r="AX123" s="102"/>
      <c r="AY123" s="116">
        <v>0</v>
      </c>
      <c r="AZ123" s="95">
        <f>AP123</f>
        <v>0</v>
      </c>
      <c r="BA123" s="95">
        <f>AZ123-AY123</f>
        <v>0</v>
      </c>
    </row>
    <row r="124" spans="1:53">
      <c r="A124" s="250" t="e">
        <f t="shared" si="35"/>
        <v>#REF!</v>
      </c>
      <c r="B124" s="102"/>
      <c r="C124" s="102"/>
      <c r="D124" s="102" t="s">
        <v>170</v>
      </c>
      <c r="E124" s="102"/>
      <c r="F124" s="102"/>
      <c r="G124" s="102"/>
      <c r="H124" s="1043">
        <v>76245.36</v>
      </c>
      <c r="I124" s="1043">
        <v>76245.36</v>
      </c>
      <c r="J124" s="1043">
        <v>61117.83</v>
      </c>
      <c r="K124" s="1043">
        <v>61117.83</v>
      </c>
      <c r="L124" s="1043">
        <v>61117.83</v>
      </c>
      <c r="M124" s="1043">
        <v>61117.83</v>
      </c>
      <c r="N124" s="1043">
        <v>61117.83</v>
      </c>
      <c r="O124" s="1043">
        <v>61117.83</v>
      </c>
      <c r="P124" s="1043">
        <v>61117.83</v>
      </c>
      <c r="Q124" s="1043">
        <v>61117.83</v>
      </c>
      <c r="R124" s="1043">
        <v>61117.83</v>
      </c>
      <c r="S124" s="1043">
        <v>61117.83</v>
      </c>
      <c r="T124" s="1043">
        <v>61117.83</v>
      </c>
      <c r="U124" s="1043">
        <v>61117.83</v>
      </c>
      <c r="V124" s="1043">
        <v>61117.83</v>
      </c>
      <c r="W124" s="1043">
        <v>61117.83</v>
      </c>
      <c r="X124" s="1043">
        <v>61117.83</v>
      </c>
      <c r="Y124" s="1043">
        <v>61117.83</v>
      </c>
      <c r="Z124" s="1043">
        <v>61117.83</v>
      </c>
      <c r="AA124" s="1043">
        <v>61117.83</v>
      </c>
      <c r="AB124" s="1043">
        <v>61117.83</v>
      </c>
      <c r="AC124" s="1043">
        <v>61117.83</v>
      </c>
      <c r="AD124" s="1043">
        <v>61117.83</v>
      </c>
      <c r="AE124" s="1043">
        <v>61117.83</v>
      </c>
      <c r="AF124" s="1043"/>
      <c r="AG124" s="1046">
        <f>SUM(AG121:AG123)</f>
        <v>61117.830000000009</v>
      </c>
      <c r="AI124" s="1046">
        <f>AE124</f>
        <v>61117.83</v>
      </c>
      <c r="AJ124" s="1046">
        <f>AG124</f>
        <v>61117.830000000009</v>
      </c>
      <c r="AK124" s="1046">
        <f>SUM(AK121:AK123)</f>
        <v>61117.830000000009</v>
      </c>
      <c r="AL124" s="1046">
        <f>SUM(AL121:AL123)</f>
        <v>61117.83</v>
      </c>
      <c r="AM124" s="1046">
        <f t="shared" ref="AM124:AN124" si="38">SUM(AM121:AM123)</f>
        <v>61117.830000000009</v>
      </c>
      <c r="AN124" s="1046">
        <f t="shared" si="38"/>
        <v>61117.83</v>
      </c>
      <c r="AP124" s="133">
        <f t="shared" si="25"/>
        <v>61117.830000000009</v>
      </c>
      <c r="AQ124" s="606">
        <f>AP124-AE124</f>
        <v>0</v>
      </c>
      <c r="AR124" s="225">
        <f t="shared" si="33"/>
        <v>117</v>
      </c>
      <c r="AS124" s="225" t="e">
        <f t="shared" si="34"/>
        <v>#REF!</v>
      </c>
      <c r="AT124" s="186"/>
      <c r="AU124" s="102"/>
      <c r="AV124" s="102"/>
      <c r="AW124" s="102" t="s">
        <v>170</v>
      </c>
      <c r="AX124" s="102"/>
      <c r="AY124" s="116">
        <f>AI124</f>
        <v>61117.83</v>
      </c>
      <c r="AZ124" s="116">
        <f>AJ124</f>
        <v>61117.830000000009</v>
      </c>
      <c r="BA124" s="95">
        <f>AZ124-AY124</f>
        <v>0</v>
      </c>
    </row>
    <row r="125" spans="1:53">
      <c r="A125" s="250" t="e">
        <f t="shared" si="35"/>
        <v>#REF!</v>
      </c>
      <c r="B125" s="102"/>
      <c r="C125" s="102"/>
      <c r="D125" s="102"/>
      <c r="E125" s="102"/>
      <c r="F125" s="102"/>
      <c r="G125" s="102"/>
      <c r="AR125" s="225">
        <f t="shared" si="33"/>
        <v>118</v>
      </c>
      <c r="AS125" s="225" t="e">
        <f t="shared" si="34"/>
        <v>#REF!</v>
      </c>
      <c r="AT125" s="186"/>
      <c r="AU125" s="102"/>
      <c r="AV125" s="102"/>
      <c r="AW125" s="102"/>
      <c r="AX125" s="102"/>
      <c r="AY125" s="116"/>
    </row>
    <row r="126" spans="1:53">
      <c r="A126" s="250" t="e">
        <f t="shared" si="35"/>
        <v>#REF!</v>
      </c>
      <c r="B126" s="102" t="s">
        <v>270</v>
      </c>
      <c r="C126" s="102" t="s">
        <v>271</v>
      </c>
      <c r="D126" s="102"/>
      <c r="E126" s="102"/>
      <c r="F126" s="102"/>
      <c r="G126" s="102"/>
      <c r="AR126" s="225">
        <f t="shared" si="33"/>
        <v>119</v>
      </c>
      <c r="AS126" s="225" t="e">
        <f t="shared" si="34"/>
        <v>#REF!</v>
      </c>
      <c r="AT126" s="186"/>
      <c r="AU126" s="102" t="s">
        <v>270</v>
      </c>
      <c r="AV126" s="102" t="s">
        <v>271</v>
      </c>
      <c r="AW126" s="102"/>
      <c r="AX126" s="102"/>
      <c r="AY126" s="116"/>
    </row>
    <row r="127" spans="1:53">
      <c r="A127" s="250" t="e">
        <f t="shared" si="35"/>
        <v>#REF!</v>
      </c>
      <c r="B127" s="102"/>
      <c r="C127" s="102"/>
      <c r="D127" s="102" t="s">
        <v>24</v>
      </c>
      <c r="E127" s="102"/>
      <c r="F127" s="102"/>
      <c r="G127" s="102"/>
      <c r="H127" s="116">
        <v>699615.57</v>
      </c>
      <c r="I127" s="116">
        <v>918727.88</v>
      </c>
      <c r="J127" s="116">
        <v>918753.69</v>
      </c>
      <c r="K127" s="116">
        <v>918754.72</v>
      </c>
      <c r="L127" s="116">
        <v>918754.72</v>
      </c>
      <c r="M127" s="116">
        <v>974544.97000000009</v>
      </c>
      <c r="N127" s="116">
        <v>974544.97000000009</v>
      </c>
      <c r="O127" s="116">
        <v>974544.97000000009</v>
      </c>
      <c r="P127" s="116">
        <v>974544.97000000009</v>
      </c>
      <c r="Q127" s="116">
        <v>974544.97000000009</v>
      </c>
      <c r="R127" s="116">
        <v>974544.97000000009</v>
      </c>
      <c r="S127" s="116">
        <v>974544.97000000009</v>
      </c>
      <c r="T127" s="116">
        <v>971291.14</v>
      </c>
      <c r="U127" s="116">
        <v>971291.14</v>
      </c>
      <c r="V127" s="116">
        <v>971291.14</v>
      </c>
      <c r="W127" s="116">
        <v>971291.14</v>
      </c>
      <c r="X127" s="116">
        <v>971291.14</v>
      </c>
      <c r="Y127" s="116">
        <v>963408.25999999989</v>
      </c>
      <c r="Z127" s="116">
        <v>965413.25999999989</v>
      </c>
      <c r="AA127" s="116">
        <v>965413.26</v>
      </c>
      <c r="AB127" s="116">
        <v>962910.48999999987</v>
      </c>
      <c r="AC127" s="116">
        <v>1074376.01</v>
      </c>
      <c r="AD127" s="116">
        <v>1042804.6900000001</v>
      </c>
      <c r="AE127" s="116">
        <v>1042453.89</v>
      </c>
      <c r="AF127" s="116"/>
      <c r="AG127" s="133">
        <f>(SUM(T127:AD127)+(0.5*AE127)+(0.5*S127))/12</f>
        <v>986606.75833333319</v>
      </c>
      <c r="AI127" s="133">
        <f t="shared" ref="AI127:AI135" si="39">AE127</f>
        <v>1042453.89</v>
      </c>
      <c r="AJ127" s="133">
        <f t="shared" ref="AJ127:AJ135" si="40">AG127</f>
        <v>986606.75833333319</v>
      </c>
      <c r="AK127" s="133">
        <f>+'RB FORECAST'!AJ129</f>
        <v>1042453.8900000005</v>
      </c>
      <c r="AL127" s="133">
        <f>+'RB FORECAST'!AG129</f>
        <v>1042453.8900000001</v>
      </c>
      <c r="AM127" s="133">
        <f>+'RB FORECAST'!BA129</f>
        <v>1042453.8900000005</v>
      </c>
      <c r="AN127" s="133">
        <f>+'RB FORECAST'!AW129</f>
        <v>1042453.8900000001</v>
      </c>
      <c r="AP127" s="133">
        <f t="shared" si="25"/>
        <v>1042453.8900000005</v>
      </c>
      <c r="AQ127" s="606">
        <f>AP127-AE127</f>
        <v>0</v>
      </c>
      <c r="AR127" s="225">
        <f t="shared" si="33"/>
        <v>120</v>
      </c>
      <c r="AS127" s="225" t="e">
        <f t="shared" si="34"/>
        <v>#REF!</v>
      </c>
      <c r="AT127" s="186"/>
      <c r="AU127" s="102"/>
      <c r="AV127" s="102"/>
      <c r="AW127" s="102" t="s">
        <v>592</v>
      </c>
      <c r="AX127" s="102"/>
      <c r="AY127" s="116">
        <f>+AE127</f>
        <v>1042453.89</v>
      </c>
      <c r="AZ127" s="95">
        <f>AP127</f>
        <v>1042453.8900000005</v>
      </c>
      <c r="BA127" s="95">
        <f>AZ127-AY127</f>
        <v>0</v>
      </c>
    </row>
    <row r="128" spans="1:53">
      <c r="A128" s="250" t="e">
        <f t="shared" si="35"/>
        <v>#REF!</v>
      </c>
      <c r="B128" s="102"/>
      <c r="C128" s="102"/>
      <c r="D128" s="102" t="s">
        <v>14</v>
      </c>
      <c r="E128" s="102"/>
      <c r="F128" s="102"/>
      <c r="G128" s="102"/>
      <c r="H128" s="116">
        <v>11268548.529999999</v>
      </c>
      <c r="I128" s="116">
        <v>11305079.569999998</v>
      </c>
      <c r="J128" s="116">
        <v>11305079.57</v>
      </c>
      <c r="K128" s="116">
        <v>11305079.569999998</v>
      </c>
      <c r="L128" s="116">
        <v>11263456.649999999</v>
      </c>
      <c r="M128" s="116">
        <v>11279918.629999999</v>
      </c>
      <c r="N128" s="116">
        <v>11278315.49</v>
      </c>
      <c r="O128" s="116">
        <v>11278315.49</v>
      </c>
      <c r="P128" s="116">
        <v>11278315.49</v>
      </c>
      <c r="Q128" s="116">
        <v>11282614.43</v>
      </c>
      <c r="R128" s="116">
        <v>11282614.43</v>
      </c>
      <c r="S128" s="116">
        <v>11282614.43</v>
      </c>
      <c r="T128" s="116">
        <v>11282614.43</v>
      </c>
      <c r="U128" s="116">
        <v>11198223.01</v>
      </c>
      <c r="V128" s="116">
        <v>11193609.779999999</v>
      </c>
      <c r="W128" s="116">
        <v>11189596.859999999</v>
      </c>
      <c r="X128" s="116">
        <v>11189596.859999999</v>
      </c>
      <c r="Y128" s="116">
        <v>11180863.27</v>
      </c>
      <c r="Z128" s="116">
        <v>11180863.27</v>
      </c>
      <c r="AA128" s="116">
        <v>11036358.32</v>
      </c>
      <c r="AB128" s="116">
        <v>11036358.32</v>
      </c>
      <c r="AC128" s="116">
        <v>11036358.32</v>
      </c>
      <c r="AD128" s="116">
        <v>11036358.32</v>
      </c>
      <c r="AE128" s="116">
        <v>11060442.789999999</v>
      </c>
      <c r="AF128" s="116"/>
      <c r="AG128" s="133">
        <f>(SUM(T128:AD128)+(0.5*AE128)+(0.5*S128))/12</f>
        <v>11144360.78083333</v>
      </c>
      <c r="AI128" s="133">
        <f t="shared" si="39"/>
        <v>11060442.789999999</v>
      </c>
      <c r="AJ128" s="133">
        <f t="shared" si="40"/>
        <v>11144360.78083333</v>
      </c>
      <c r="AK128" s="133">
        <f>+'RB FORECAST'!AJ130</f>
        <v>11060442.789999997</v>
      </c>
      <c r="AL128" s="133">
        <f>+'RB FORECAST'!AG130</f>
        <v>11060442.789999999</v>
      </c>
      <c r="AM128" s="133">
        <f>+'RB FORECAST'!BA130</f>
        <v>11060442.789999997</v>
      </c>
      <c r="AN128" s="133">
        <f>+'RB FORECAST'!AW130</f>
        <v>11060442.789999999</v>
      </c>
      <c r="AP128" s="133">
        <f t="shared" si="25"/>
        <v>11060442.789999997</v>
      </c>
      <c r="AQ128" s="606">
        <f>AP128-AE128</f>
        <v>0</v>
      </c>
      <c r="AR128" s="225">
        <f t="shared" si="33"/>
        <v>121</v>
      </c>
      <c r="AS128" s="225" t="e">
        <f t="shared" si="34"/>
        <v>#REF!</v>
      </c>
      <c r="AT128" s="186"/>
      <c r="AU128" s="102"/>
      <c r="AV128" s="102"/>
      <c r="AW128" s="102" t="s">
        <v>593</v>
      </c>
      <c r="AX128" s="102"/>
      <c r="AY128" s="116">
        <f>+AE128</f>
        <v>11060442.789999999</v>
      </c>
      <c r="AZ128" s="95">
        <f>AP128</f>
        <v>11060442.789999997</v>
      </c>
      <c r="BA128" s="95">
        <f>AZ128-AY128</f>
        <v>0</v>
      </c>
    </row>
    <row r="129" spans="1:53">
      <c r="A129" s="250" t="e">
        <f t="shared" si="35"/>
        <v>#REF!</v>
      </c>
      <c r="B129" s="102"/>
      <c r="C129" s="102"/>
      <c r="D129" s="102" t="s">
        <v>595</v>
      </c>
      <c r="E129" s="102"/>
      <c r="F129" s="102"/>
      <c r="G129" s="102"/>
      <c r="H129" s="116">
        <v>0</v>
      </c>
      <c r="I129" s="116">
        <v>0</v>
      </c>
      <c r="J129" s="116">
        <v>0</v>
      </c>
      <c r="K129" s="116">
        <v>0</v>
      </c>
      <c r="L129" s="116">
        <v>0</v>
      </c>
      <c r="M129" s="116">
        <v>0</v>
      </c>
      <c r="N129" s="116">
        <v>0</v>
      </c>
      <c r="O129" s="116">
        <v>0</v>
      </c>
      <c r="P129" s="116">
        <v>0</v>
      </c>
      <c r="Q129" s="116">
        <v>0</v>
      </c>
      <c r="R129" s="116">
        <v>0</v>
      </c>
      <c r="S129" s="116">
        <v>0</v>
      </c>
      <c r="T129" s="116">
        <v>0</v>
      </c>
      <c r="U129" s="116">
        <v>0</v>
      </c>
      <c r="V129" s="116">
        <v>0</v>
      </c>
      <c r="W129" s="116">
        <v>0</v>
      </c>
      <c r="X129" s="116">
        <v>0</v>
      </c>
      <c r="Y129" s="116">
        <v>0</v>
      </c>
      <c r="Z129" s="116">
        <v>0</v>
      </c>
      <c r="AA129" s="116">
        <v>0</v>
      </c>
      <c r="AB129" s="116">
        <v>0</v>
      </c>
      <c r="AC129" s="116">
        <v>0</v>
      </c>
      <c r="AD129" s="116">
        <v>0</v>
      </c>
      <c r="AE129" s="116">
        <v>0</v>
      </c>
      <c r="AF129" s="256"/>
      <c r="AG129" s="395">
        <f>(SUM(T129:AD129)+(0.5*AE129)+(0.5*S129))/12</f>
        <v>0</v>
      </c>
      <c r="AI129" s="395">
        <f t="shared" si="39"/>
        <v>0</v>
      </c>
      <c r="AJ129" s="395">
        <f t="shared" si="40"/>
        <v>0</v>
      </c>
      <c r="AK129" s="133">
        <f>+'RB FORECAST'!AJ131</f>
        <v>0</v>
      </c>
      <c r="AL129" s="133">
        <f>+'RB FORECAST'!AG131</f>
        <v>0</v>
      </c>
      <c r="AM129" s="133">
        <f>+'RB FORECAST'!BA131</f>
        <v>0</v>
      </c>
      <c r="AN129" s="133">
        <f>+'RB FORECAST'!AW131</f>
        <v>0</v>
      </c>
      <c r="AP129" s="395">
        <f t="shared" si="25"/>
        <v>0</v>
      </c>
      <c r="AQ129" s="609">
        <f>AP129-AE129</f>
        <v>0</v>
      </c>
      <c r="AR129" s="225">
        <f t="shared" si="33"/>
        <v>122</v>
      </c>
      <c r="AS129" s="225" t="e">
        <f t="shared" si="34"/>
        <v>#REF!</v>
      </c>
      <c r="AT129" s="186"/>
      <c r="AU129" s="102"/>
      <c r="AV129" s="102"/>
      <c r="AW129" s="102" t="s">
        <v>595</v>
      </c>
      <c r="AX129" s="102"/>
      <c r="AY129" s="116">
        <f>+AE129</f>
        <v>0</v>
      </c>
      <c r="AZ129" s="95">
        <f>AP129</f>
        <v>0</v>
      </c>
      <c r="BA129" s="95">
        <f>AZ129-AY129</f>
        <v>0</v>
      </c>
    </row>
    <row r="130" spans="1:53">
      <c r="A130" s="250" t="e">
        <f t="shared" si="35"/>
        <v>#REF!</v>
      </c>
      <c r="B130" s="102"/>
      <c r="C130" s="102"/>
      <c r="D130" s="102" t="s">
        <v>170</v>
      </c>
      <c r="E130" s="102"/>
      <c r="F130" s="102"/>
      <c r="G130" s="102"/>
      <c r="H130" s="1043">
        <v>11968164.1</v>
      </c>
      <c r="I130" s="1043">
        <v>12223807.449999999</v>
      </c>
      <c r="J130" s="1043">
        <v>12223833.26</v>
      </c>
      <c r="K130" s="1043">
        <v>12223834.289999999</v>
      </c>
      <c r="L130" s="1043">
        <v>12182211.369999999</v>
      </c>
      <c r="M130" s="1043">
        <v>12254463.6</v>
      </c>
      <c r="N130" s="1043">
        <v>12252860.460000001</v>
      </c>
      <c r="O130" s="1043">
        <v>12252860.460000001</v>
      </c>
      <c r="P130" s="1043">
        <v>12252860.460000001</v>
      </c>
      <c r="Q130" s="1043">
        <v>12257159.4</v>
      </c>
      <c r="R130" s="1043">
        <v>12257159.4</v>
      </c>
      <c r="S130" s="1043">
        <v>12257159.4</v>
      </c>
      <c r="T130" s="1043">
        <v>12253905.57</v>
      </c>
      <c r="U130" s="1043">
        <v>12169514.15</v>
      </c>
      <c r="V130" s="1043">
        <v>12164900.92</v>
      </c>
      <c r="W130" s="1043">
        <v>12160888</v>
      </c>
      <c r="X130" s="1043">
        <v>12160888</v>
      </c>
      <c r="Y130" s="1043">
        <v>12144271.529999999</v>
      </c>
      <c r="Z130" s="1043">
        <v>12146276.529999999</v>
      </c>
      <c r="AA130" s="1043">
        <v>12001771.58</v>
      </c>
      <c r="AB130" s="1043">
        <v>11999268.810000001</v>
      </c>
      <c r="AC130" s="1043">
        <v>12110734.33</v>
      </c>
      <c r="AD130" s="1043">
        <v>12079163.01</v>
      </c>
      <c r="AE130" s="1043">
        <v>12102896.68</v>
      </c>
      <c r="AF130" s="1043"/>
      <c r="AG130" s="1046">
        <f>SUM(AG127:AG129)</f>
        <v>12130967.539166663</v>
      </c>
      <c r="AI130" s="1046">
        <f t="shared" si="39"/>
        <v>12102896.68</v>
      </c>
      <c r="AJ130" s="1046">
        <f t="shared" si="40"/>
        <v>12130967.539166663</v>
      </c>
      <c r="AK130" s="1046">
        <f>SUM(AK127:AK129)</f>
        <v>12102896.679999998</v>
      </c>
      <c r="AL130" s="1046">
        <f>SUM(AL127:AL129)</f>
        <v>12102896.68</v>
      </c>
      <c r="AM130" s="1046">
        <f t="shared" ref="AM130:AN130" si="41">SUM(AM127:AM129)</f>
        <v>12102896.679999998</v>
      </c>
      <c r="AN130" s="1046">
        <f t="shared" si="41"/>
        <v>12102896.68</v>
      </c>
      <c r="AP130" s="133">
        <f t="shared" si="25"/>
        <v>12102896.679999998</v>
      </c>
      <c r="AQ130" s="606">
        <f>AP130-AE130</f>
        <v>0</v>
      </c>
      <c r="AR130" s="225">
        <f t="shared" si="33"/>
        <v>123</v>
      </c>
      <c r="AS130" s="225" t="e">
        <f t="shared" si="34"/>
        <v>#REF!</v>
      </c>
      <c r="AT130" s="186"/>
      <c r="AU130" s="102"/>
      <c r="AV130" s="102"/>
      <c r="AW130" s="102" t="s">
        <v>170</v>
      </c>
      <c r="AX130" s="102"/>
      <c r="AY130" s="116">
        <f>AI130</f>
        <v>12102896.68</v>
      </c>
      <c r="AZ130" s="116">
        <f>AJ130</f>
        <v>12130967.539166663</v>
      </c>
      <c r="BA130" s="95">
        <f>AZ130-AY130</f>
        <v>28070.85916666314</v>
      </c>
    </row>
    <row r="131" spans="1:53">
      <c r="A131" s="250" t="e">
        <f t="shared" si="35"/>
        <v>#REF!</v>
      </c>
      <c r="B131" s="102"/>
      <c r="C131" s="102"/>
      <c r="D131" s="102"/>
      <c r="E131" s="102"/>
      <c r="F131" s="102"/>
      <c r="G131" s="102"/>
      <c r="AI131" s="551">
        <f t="shared" si="39"/>
        <v>0</v>
      </c>
      <c r="AJ131" s="551">
        <f t="shared" si="40"/>
        <v>0</v>
      </c>
      <c r="AR131" s="225">
        <f t="shared" si="33"/>
        <v>124</v>
      </c>
      <c r="AS131" s="225" t="e">
        <f t="shared" si="34"/>
        <v>#REF!</v>
      </c>
      <c r="AT131" s="186"/>
      <c r="AU131" s="102"/>
      <c r="AV131" s="102"/>
      <c r="AW131" s="102"/>
      <c r="AX131" s="102"/>
      <c r="AY131" s="116"/>
    </row>
    <row r="132" spans="1:53">
      <c r="A132" s="250" t="e">
        <f t="shared" si="35"/>
        <v>#REF!</v>
      </c>
      <c r="B132" s="102" t="s">
        <v>272</v>
      </c>
      <c r="C132" s="102" t="s">
        <v>273</v>
      </c>
      <c r="D132" s="102"/>
      <c r="E132" s="102"/>
      <c r="F132" s="102"/>
      <c r="G132" s="102"/>
      <c r="AI132" s="551">
        <f t="shared" si="39"/>
        <v>0</v>
      </c>
      <c r="AJ132" s="551">
        <f t="shared" si="40"/>
        <v>0</v>
      </c>
      <c r="AR132" s="225">
        <f t="shared" si="33"/>
        <v>125</v>
      </c>
      <c r="AS132" s="225" t="e">
        <f t="shared" si="34"/>
        <v>#REF!</v>
      </c>
      <c r="AT132" s="186"/>
      <c r="AU132" s="102" t="s">
        <v>272</v>
      </c>
      <c r="AV132" s="102" t="s">
        <v>273</v>
      </c>
      <c r="AW132" s="102"/>
      <c r="AX132" s="102"/>
      <c r="AY132" s="116"/>
    </row>
    <row r="133" spans="1:53">
      <c r="A133" s="250" t="e">
        <f t="shared" si="35"/>
        <v>#REF!</v>
      </c>
      <c r="B133" s="102"/>
      <c r="C133" s="102"/>
      <c r="D133" s="102" t="s">
        <v>24</v>
      </c>
      <c r="E133" s="102"/>
      <c r="F133" s="102"/>
      <c r="G133" s="102"/>
      <c r="H133" s="116">
        <v>49809.3100000001</v>
      </c>
      <c r="I133" s="116">
        <v>49809.3100000001</v>
      </c>
      <c r="J133" s="116">
        <v>49809.3100000001</v>
      </c>
      <c r="K133" s="116">
        <v>49809.310000000056</v>
      </c>
      <c r="L133" s="116">
        <v>49809.3100000001</v>
      </c>
      <c r="M133" s="116">
        <v>49809.310000000056</v>
      </c>
      <c r="N133" s="116">
        <v>49809.3100000001</v>
      </c>
      <c r="O133" s="116">
        <v>49809.310000000056</v>
      </c>
      <c r="P133" s="116">
        <v>49809.310000000056</v>
      </c>
      <c r="Q133" s="116">
        <v>49809.3100000001</v>
      </c>
      <c r="R133" s="116">
        <v>49809.310000000056</v>
      </c>
      <c r="S133" s="116">
        <v>49809.3100000001</v>
      </c>
      <c r="T133" s="116">
        <v>49809.31</v>
      </c>
      <c r="U133" s="116">
        <v>49809.3100000001</v>
      </c>
      <c r="V133" s="116">
        <v>49809.3100000001</v>
      </c>
      <c r="W133" s="116">
        <v>91573.830000000075</v>
      </c>
      <c r="X133" s="116">
        <v>98853.000000000276</v>
      </c>
      <c r="Y133" s="116">
        <v>98857.010000000286</v>
      </c>
      <c r="Z133" s="116">
        <v>100365.69000000022</v>
      </c>
      <c r="AA133" s="116">
        <v>100365.69</v>
      </c>
      <c r="AB133" s="116">
        <v>100365.69000000022</v>
      </c>
      <c r="AC133" s="116">
        <v>100471.28000000026</v>
      </c>
      <c r="AD133" s="116">
        <v>100471.28000000026</v>
      </c>
      <c r="AE133" s="116">
        <v>100471.2800000003</v>
      </c>
      <c r="AF133" s="116"/>
      <c r="AG133" s="133">
        <f>(SUM(T133:AD133)+(0.5*AE133)+(0.5*S133))/12</f>
        <v>84657.641250000161</v>
      </c>
      <c r="AI133" s="133">
        <f t="shared" si="39"/>
        <v>100471.2800000003</v>
      </c>
      <c r="AJ133" s="133">
        <f t="shared" si="40"/>
        <v>84657.641250000161</v>
      </c>
      <c r="AK133" s="133">
        <f ca="1">+'RB FORECAST'!AJ135</f>
        <v>137010.09831494073</v>
      </c>
      <c r="AL133" s="133">
        <f ca="1">+'RB FORECAST'!AG135</f>
        <v>133151.56820712192</v>
      </c>
      <c r="AM133" s="133">
        <f ca="1">+'RB FORECAST'!BA135</f>
        <v>177644.45517830015</v>
      </c>
      <c r="AN133" s="133">
        <f ca="1">+'RB FORECAST'!AW135</f>
        <v>172945.96869517618</v>
      </c>
      <c r="AP133" s="133">
        <f t="shared" ca="1" si="25"/>
        <v>177644.45517830015</v>
      </c>
      <c r="AQ133" s="606">
        <f ca="1">AP133-AE133</f>
        <v>77173.175178299847</v>
      </c>
      <c r="AR133" s="225">
        <f t="shared" si="33"/>
        <v>126</v>
      </c>
      <c r="AS133" s="225" t="e">
        <f t="shared" si="34"/>
        <v>#REF!</v>
      </c>
      <c r="AT133" s="186"/>
      <c r="AU133" s="102"/>
      <c r="AV133" s="102"/>
      <c r="AW133" s="102" t="s">
        <v>592</v>
      </c>
      <c r="AX133" s="102"/>
      <c r="AY133" s="116">
        <f>+AE133</f>
        <v>100471.2800000003</v>
      </c>
      <c r="AZ133" s="95">
        <f ca="1">AP133</f>
        <v>177644.45517830015</v>
      </c>
      <c r="BA133" s="95">
        <f ca="1">AZ133-AY133</f>
        <v>77173.175178299847</v>
      </c>
    </row>
    <row r="134" spans="1:53">
      <c r="A134" s="250" t="e">
        <f t="shared" si="35"/>
        <v>#REF!</v>
      </c>
      <c r="B134" s="102"/>
      <c r="C134" s="102"/>
      <c r="D134" s="102" t="s">
        <v>14</v>
      </c>
      <c r="E134" s="102"/>
      <c r="F134" s="102"/>
      <c r="G134" s="102"/>
      <c r="H134" s="116">
        <v>5332958.55</v>
      </c>
      <c r="I134" s="116">
        <v>5467832.0699999994</v>
      </c>
      <c r="J134" s="116">
        <v>5457956.0699999994</v>
      </c>
      <c r="K134" s="116">
        <v>5458118.3499999996</v>
      </c>
      <c r="L134" s="116">
        <v>5463668.6399999997</v>
      </c>
      <c r="M134" s="116">
        <v>5463668.6400000006</v>
      </c>
      <c r="N134" s="116">
        <v>5463668.6399999997</v>
      </c>
      <c r="O134" s="116">
        <v>16950242.460000001</v>
      </c>
      <c r="P134" s="116">
        <v>15150810.539999999</v>
      </c>
      <c r="Q134" s="116">
        <v>15382643.049999999</v>
      </c>
      <c r="R134" s="116">
        <v>15581976.77</v>
      </c>
      <c r="S134" s="116">
        <v>15675305.119999999</v>
      </c>
      <c r="T134" s="116">
        <v>15675305.119999999</v>
      </c>
      <c r="U134" s="116">
        <v>15763113.449999999</v>
      </c>
      <c r="V134" s="116">
        <v>15652531.799999999</v>
      </c>
      <c r="W134" s="116">
        <v>15705182.18</v>
      </c>
      <c r="X134" s="116">
        <v>15715937.99</v>
      </c>
      <c r="Y134" s="116">
        <v>14315009.34</v>
      </c>
      <c r="Z134" s="116">
        <v>14334407.17</v>
      </c>
      <c r="AA134" s="116">
        <v>14370288.33</v>
      </c>
      <c r="AB134" s="116">
        <v>14370288.33</v>
      </c>
      <c r="AC134" s="116">
        <v>14839806.489999998</v>
      </c>
      <c r="AD134" s="116">
        <v>15146610.449999999</v>
      </c>
      <c r="AE134" s="116">
        <v>15148750.27</v>
      </c>
      <c r="AF134" s="256"/>
      <c r="AG134" s="395">
        <f>(SUM(T134:AD134)+(0.5*AE134)+(0.5*S134))/12</f>
        <v>15108375.695416667</v>
      </c>
      <c r="AI134" s="395">
        <f t="shared" si="39"/>
        <v>15148750.27</v>
      </c>
      <c r="AJ134" s="395">
        <f t="shared" si="40"/>
        <v>15108375.695416667</v>
      </c>
      <c r="AK134" s="133">
        <f ca="1">+'RB FORECAST'!AJ136</f>
        <v>20657960.80075001</v>
      </c>
      <c r="AL134" s="133">
        <f ca="1">+'RB FORECAST'!AG136</f>
        <v>20076183.510636628</v>
      </c>
      <c r="AM134" s="133">
        <f ca="1">+'RB FORECAST'!BA136</f>
        <v>26784684.024591599</v>
      </c>
      <c r="AN134" s="133">
        <f ca="1">+'RB FORECAST'!AW136</f>
        <v>26076260.698245838</v>
      </c>
      <c r="AP134" s="395">
        <f t="shared" ca="1" si="25"/>
        <v>26784684.024591599</v>
      </c>
      <c r="AQ134" s="609">
        <f ca="1">AP134-AE134</f>
        <v>11635933.754591599</v>
      </c>
      <c r="AR134" s="225">
        <f t="shared" si="33"/>
        <v>127</v>
      </c>
      <c r="AS134" s="225" t="e">
        <f t="shared" si="34"/>
        <v>#REF!</v>
      </c>
      <c r="AT134" s="186"/>
      <c r="AU134" s="102"/>
      <c r="AV134" s="102"/>
      <c r="AW134" s="102" t="s">
        <v>593</v>
      </c>
      <c r="AX134" s="102"/>
      <c r="AY134" s="116">
        <f>+AE134</f>
        <v>15148750.27</v>
      </c>
      <c r="AZ134" s="95">
        <f ca="1">AP134</f>
        <v>26784684.024591599</v>
      </c>
      <c r="BA134" s="95">
        <f ca="1">AZ134-AY134</f>
        <v>11635933.754591599</v>
      </c>
    </row>
    <row r="135" spans="1:53">
      <c r="A135" s="250" t="e">
        <f t="shared" si="35"/>
        <v>#REF!</v>
      </c>
      <c r="B135" s="102"/>
      <c r="C135" s="102"/>
      <c r="D135" s="102" t="s">
        <v>170</v>
      </c>
      <c r="E135" s="102"/>
      <c r="F135" s="102"/>
      <c r="G135" s="102"/>
      <c r="H135" s="1043">
        <v>5382767.8600000003</v>
      </c>
      <c r="I135" s="1043">
        <v>5517641.3799999999</v>
      </c>
      <c r="J135" s="1043">
        <v>5507765.3799999999</v>
      </c>
      <c r="K135" s="1043">
        <v>5507927.6600000001</v>
      </c>
      <c r="L135" s="1043">
        <v>5513477.9500000002</v>
      </c>
      <c r="M135" s="1043">
        <v>5513477.9500000011</v>
      </c>
      <c r="N135" s="1043">
        <v>5513477.9500000002</v>
      </c>
      <c r="O135" s="1043">
        <v>17000051.77</v>
      </c>
      <c r="P135" s="1043">
        <v>15200619.85</v>
      </c>
      <c r="Q135" s="1043">
        <v>15432452.359999999</v>
      </c>
      <c r="R135" s="1043">
        <v>15631786.08</v>
      </c>
      <c r="S135" s="1043">
        <v>15725114.43</v>
      </c>
      <c r="T135" s="1043">
        <v>15725114.43</v>
      </c>
      <c r="U135" s="1043">
        <v>15812922.76</v>
      </c>
      <c r="V135" s="1043">
        <v>15702341.109999999</v>
      </c>
      <c r="W135" s="1043">
        <v>15796756.01</v>
      </c>
      <c r="X135" s="1043">
        <v>15814790.99</v>
      </c>
      <c r="Y135" s="1043">
        <v>14413866.35</v>
      </c>
      <c r="Z135" s="1043">
        <v>14434772.859999999</v>
      </c>
      <c r="AA135" s="1043">
        <v>14470654.02</v>
      </c>
      <c r="AB135" s="1043">
        <v>14470654.02</v>
      </c>
      <c r="AC135" s="1043">
        <v>14940277.77</v>
      </c>
      <c r="AD135" s="1043">
        <v>15247081.73</v>
      </c>
      <c r="AE135" s="1043">
        <v>15249221.550000001</v>
      </c>
      <c r="AF135" s="1043"/>
      <c r="AG135" s="1046">
        <f>SUM(AG133:AG134)</f>
        <v>15193033.336666666</v>
      </c>
      <c r="AI135" s="1046">
        <f t="shared" si="39"/>
        <v>15249221.550000001</v>
      </c>
      <c r="AJ135" s="1046">
        <f t="shared" si="40"/>
        <v>15193033.336666666</v>
      </c>
      <c r="AK135" s="1046">
        <f ca="1">SUM(AK133:AK134)</f>
        <v>20794970.899064951</v>
      </c>
      <c r="AL135" s="1046">
        <f ca="1">SUM(AL133:AL134)</f>
        <v>20209335.07884375</v>
      </c>
      <c r="AM135" s="1046">
        <f t="shared" ref="AM135:AN135" ca="1" si="42">SUM(AM133:AM134)</f>
        <v>26962328.4797699</v>
      </c>
      <c r="AN135" s="1046">
        <f t="shared" ca="1" si="42"/>
        <v>26249206.666941013</v>
      </c>
      <c r="AP135" s="133">
        <f t="shared" ca="1" si="25"/>
        <v>26962328.4797699</v>
      </c>
      <c r="AQ135" s="606">
        <f ca="1">AP135-AE135</f>
        <v>11713106.9297699</v>
      </c>
      <c r="AR135" s="225">
        <f t="shared" si="33"/>
        <v>128</v>
      </c>
      <c r="AS135" s="225" t="e">
        <f t="shared" si="34"/>
        <v>#REF!</v>
      </c>
      <c r="AT135" s="186"/>
      <c r="AU135" s="102"/>
      <c r="AV135" s="102"/>
      <c r="AW135" s="102" t="s">
        <v>170</v>
      </c>
      <c r="AX135" s="102"/>
      <c r="AY135" s="116">
        <f>AI135</f>
        <v>15249221.550000001</v>
      </c>
      <c r="AZ135" s="116">
        <f>AJ135</f>
        <v>15193033.336666666</v>
      </c>
      <c r="BA135" s="95">
        <f>AZ135-AY135</f>
        <v>-56188.213333334774</v>
      </c>
    </row>
    <row r="136" spans="1:53">
      <c r="A136" s="250" t="e">
        <f t="shared" si="35"/>
        <v>#REF!</v>
      </c>
      <c r="B136" s="102"/>
      <c r="C136" s="102"/>
      <c r="D136" s="102"/>
      <c r="E136" s="102"/>
      <c r="F136" s="102"/>
      <c r="G136" s="102"/>
      <c r="AR136" s="225">
        <f t="shared" si="33"/>
        <v>129</v>
      </c>
      <c r="AS136" s="225" t="e">
        <f t="shared" si="34"/>
        <v>#REF!</v>
      </c>
      <c r="AT136" s="186"/>
      <c r="AU136" s="102"/>
      <c r="AV136" s="102"/>
      <c r="AW136" s="102"/>
      <c r="AX136" s="102"/>
      <c r="AY136" s="116"/>
    </row>
    <row r="137" spans="1:53">
      <c r="A137" s="250" t="e">
        <f t="shared" si="35"/>
        <v>#REF!</v>
      </c>
      <c r="B137" s="102" t="s">
        <v>274</v>
      </c>
      <c r="C137" s="102" t="s">
        <v>275</v>
      </c>
      <c r="D137" s="102"/>
      <c r="E137" s="102"/>
      <c r="F137" s="102"/>
      <c r="G137" s="102"/>
      <c r="AR137" s="225">
        <f t="shared" si="33"/>
        <v>130</v>
      </c>
      <c r="AS137" s="225" t="e">
        <f t="shared" si="34"/>
        <v>#REF!</v>
      </c>
      <c r="AT137" s="186"/>
      <c r="AU137" s="102" t="s">
        <v>274</v>
      </c>
      <c r="AV137" s="102" t="s">
        <v>275</v>
      </c>
      <c r="AW137" s="102"/>
      <c r="AX137" s="102"/>
      <c r="AY137" s="116"/>
    </row>
    <row r="138" spans="1:53">
      <c r="A138" s="250" t="e">
        <f t="shared" si="35"/>
        <v>#REF!</v>
      </c>
      <c r="B138" s="102"/>
      <c r="C138" s="102"/>
      <c r="D138" s="102" t="s">
        <v>24</v>
      </c>
      <c r="E138" s="102"/>
      <c r="F138" s="102"/>
      <c r="G138" s="102"/>
      <c r="H138" s="116">
        <v>3863.92</v>
      </c>
      <c r="I138" s="116">
        <v>3863.92</v>
      </c>
      <c r="J138" s="116">
        <v>3863.92</v>
      </c>
      <c r="K138" s="116">
        <v>3863.92</v>
      </c>
      <c r="L138" s="116">
        <v>3863.92</v>
      </c>
      <c r="M138" s="116">
        <v>3863.92</v>
      </c>
      <c r="N138" s="116">
        <v>3863.92</v>
      </c>
      <c r="O138" s="116">
        <v>3863.92</v>
      </c>
      <c r="P138" s="116">
        <v>3863.92</v>
      </c>
      <c r="Q138" s="116">
        <v>3863.92</v>
      </c>
      <c r="R138" s="116">
        <v>3863.92</v>
      </c>
      <c r="S138" s="116">
        <v>3863.92</v>
      </c>
      <c r="T138" s="116">
        <v>3863.92</v>
      </c>
      <c r="U138" s="116">
        <v>3863.92</v>
      </c>
      <c r="V138" s="116">
        <v>3863.92</v>
      </c>
      <c r="W138" s="116">
        <v>3863.92</v>
      </c>
      <c r="X138" s="116">
        <v>3863.92</v>
      </c>
      <c r="Y138" s="116">
        <v>3863.92</v>
      </c>
      <c r="Z138" s="116">
        <v>3863.92</v>
      </c>
      <c r="AA138" s="116">
        <v>3863.92</v>
      </c>
      <c r="AB138" s="116">
        <v>3863.92</v>
      </c>
      <c r="AC138" s="116">
        <v>3863.92</v>
      </c>
      <c r="AD138" s="116">
        <v>3863.92</v>
      </c>
      <c r="AE138" s="116">
        <v>3863.92</v>
      </c>
      <c r="AF138" s="116"/>
      <c r="AG138" s="133">
        <f>(SUM(T138:AD138)+(0.5*AE138)+(0.5*S138))/12</f>
        <v>3863.9199999999987</v>
      </c>
      <c r="AI138" s="133">
        <f>AE138</f>
        <v>3863.92</v>
      </c>
      <c r="AJ138" s="133">
        <f>AG138</f>
        <v>3863.9199999999987</v>
      </c>
      <c r="AK138" s="133">
        <f>+'RB FORECAST'!AJ140</f>
        <v>3869.9183723180963</v>
      </c>
      <c r="AL138" s="133">
        <f>+'RB FORECAST'!AG140</f>
        <v>3789.967755532944</v>
      </c>
      <c r="AM138" s="133">
        <f>+'RB FORECAST'!BA140</f>
        <v>3795.9661278510398</v>
      </c>
      <c r="AN138" s="133">
        <f>+'RB FORECAST'!AW140</f>
        <v>3716.0155110658879</v>
      </c>
      <c r="AP138" s="133">
        <f t="shared" ref="AP138:AP200" si="43">HLOOKUP($AP$8,RateBaseScenarios,AR138,FALSE)</f>
        <v>3795.9661278510398</v>
      </c>
      <c r="AQ138" s="606">
        <f>AP138-AE138</f>
        <v>-67.953872148960272</v>
      </c>
      <c r="AR138" s="225">
        <f t="shared" si="33"/>
        <v>131</v>
      </c>
      <c r="AS138" s="225" t="e">
        <f t="shared" si="34"/>
        <v>#REF!</v>
      </c>
      <c r="AT138" s="186"/>
      <c r="AU138" s="102"/>
      <c r="AV138" s="102"/>
      <c r="AW138" s="102" t="s">
        <v>592</v>
      </c>
      <c r="AX138" s="102"/>
      <c r="AY138" s="116">
        <f>+AE138</f>
        <v>3863.92</v>
      </c>
      <c r="AZ138" s="95">
        <f>AP138</f>
        <v>3795.9661278510398</v>
      </c>
      <c r="BA138" s="95">
        <f>AZ138-AY138</f>
        <v>-67.953872148960272</v>
      </c>
    </row>
    <row r="139" spans="1:53">
      <c r="A139" s="250" t="e">
        <f t="shared" si="35"/>
        <v>#REF!</v>
      </c>
      <c r="B139" s="102"/>
      <c r="C139" s="102"/>
      <c r="D139" s="102" t="s">
        <v>14</v>
      </c>
      <c r="E139" s="102"/>
      <c r="F139" s="102"/>
      <c r="G139" s="102"/>
      <c r="H139" s="116">
        <v>267617.63</v>
      </c>
      <c r="I139" s="116">
        <v>267617.63</v>
      </c>
      <c r="J139" s="116">
        <v>267617.63</v>
      </c>
      <c r="K139" s="116">
        <v>267617.63</v>
      </c>
      <c r="L139" s="116">
        <v>267617.63</v>
      </c>
      <c r="M139" s="116">
        <v>272352.23000000004</v>
      </c>
      <c r="N139" s="116">
        <v>272352.23000000004</v>
      </c>
      <c r="O139" s="116">
        <v>272654.16000000003</v>
      </c>
      <c r="P139" s="116">
        <v>272665.77</v>
      </c>
      <c r="Q139" s="116">
        <v>272654.16000000003</v>
      </c>
      <c r="R139" s="116">
        <v>295447.91000000003</v>
      </c>
      <c r="S139" s="116">
        <v>325391.74000000005</v>
      </c>
      <c r="T139" s="116">
        <v>325391.74000000005</v>
      </c>
      <c r="U139" s="116">
        <v>325391.74000000005</v>
      </c>
      <c r="V139" s="116">
        <v>328910.55000000005</v>
      </c>
      <c r="W139" s="116">
        <v>328910.55000000005</v>
      </c>
      <c r="X139" s="116">
        <v>328910.55000000005</v>
      </c>
      <c r="Y139" s="116">
        <v>325277.08</v>
      </c>
      <c r="Z139" s="116">
        <v>325277.08</v>
      </c>
      <c r="AA139" s="116">
        <v>325277.08</v>
      </c>
      <c r="AB139" s="116">
        <v>325277.08</v>
      </c>
      <c r="AC139" s="116">
        <v>322484.51</v>
      </c>
      <c r="AD139" s="116">
        <v>322484.51</v>
      </c>
      <c r="AE139" s="116">
        <v>322484.51</v>
      </c>
      <c r="AF139" s="116"/>
      <c r="AG139" s="133">
        <f>(SUM(T139:AD139)+(0.5*AE139)+(0.5*S139))/12</f>
        <v>325627.54958333331</v>
      </c>
      <c r="AI139" s="133">
        <f>AE139</f>
        <v>322484.51</v>
      </c>
      <c r="AJ139" s="133">
        <f>AG139</f>
        <v>325627.54958333331</v>
      </c>
      <c r="AK139" s="133">
        <f>+'RB FORECAST'!AJ141</f>
        <v>322985.13686541095</v>
      </c>
      <c r="AL139" s="133">
        <f>+'RB FORECAST'!AG141</f>
        <v>316312.42224446707</v>
      </c>
      <c r="AM139" s="133">
        <f>+'RB FORECAST'!BA141</f>
        <v>316813.04910987802</v>
      </c>
      <c r="AN139" s="133">
        <f>+'RB FORECAST'!AW141</f>
        <v>310140.33448893408</v>
      </c>
      <c r="AP139" s="133">
        <f t="shared" si="43"/>
        <v>316813.04910987802</v>
      </c>
      <c r="AQ139" s="606">
        <f>AP139-AE139</f>
        <v>-5671.4608901219908</v>
      </c>
      <c r="AR139" s="225">
        <f t="shared" si="33"/>
        <v>132</v>
      </c>
      <c r="AS139" s="225" t="e">
        <f t="shared" si="34"/>
        <v>#REF!</v>
      </c>
      <c r="AT139" s="186"/>
      <c r="AU139" s="102"/>
      <c r="AV139" s="102"/>
      <c r="AW139" s="102" t="s">
        <v>593</v>
      </c>
      <c r="AX139" s="102"/>
      <c r="AY139" s="116">
        <f>+AE139</f>
        <v>322484.51</v>
      </c>
      <c r="AZ139" s="95">
        <f>AP139</f>
        <v>316813.04910987802</v>
      </c>
      <c r="BA139" s="95">
        <f>AZ139-AY139</f>
        <v>-5671.4608901219908</v>
      </c>
    </row>
    <row r="140" spans="1:53">
      <c r="A140" s="250" t="e">
        <f t="shared" si="35"/>
        <v>#REF!</v>
      </c>
      <c r="B140" s="102"/>
      <c r="C140" s="102"/>
      <c r="D140" s="102" t="s">
        <v>595</v>
      </c>
      <c r="E140" s="102"/>
      <c r="F140" s="102"/>
      <c r="G140" s="102"/>
      <c r="H140" s="116">
        <v>0</v>
      </c>
      <c r="I140" s="116">
        <v>0</v>
      </c>
      <c r="J140" s="116">
        <v>0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16">
        <v>0</v>
      </c>
      <c r="Q140" s="116">
        <v>0</v>
      </c>
      <c r="R140" s="116">
        <v>0</v>
      </c>
      <c r="S140" s="116">
        <v>0</v>
      </c>
      <c r="T140" s="116">
        <v>0</v>
      </c>
      <c r="U140" s="116">
        <v>0</v>
      </c>
      <c r="V140" s="116">
        <v>0</v>
      </c>
      <c r="W140" s="116">
        <v>0</v>
      </c>
      <c r="X140" s="116">
        <v>0</v>
      </c>
      <c r="Y140" s="116">
        <v>0</v>
      </c>
      <c r="Z140" s="116">
        <v>0</v>
      </c>
      <c r="AA140" s="116">
        <v>0</v>
      </c>
      <c r="AB140" s="116">
        <v>0</v>
      </c>
      <c r="AC140" s="116">
        <v>0</v>
      </c>
      <c r="AD140" s="116">
        <v>0</v>
      </c>
      <c r="AE140" s="116">
        <v>0</v>
      </c>
      <c r="AF140" s="256"/>
      <c r="AG140" s="395">
        <f>(SUM(T140:AD140)+(0.5*AE140)+(0.5*S140))/12</f>
        <v>0</v>
      </c>
      <c r="AI140" s="395">
        <f>AE140</f>
        <v>0</v>
      </c>
      <c r="AJ140" s="395">
        <f>AG140</f>
        <v>0</v>
      </c>
      <c r="AK140" s="133">
        <f>+'RB FORECAST'!AJ142</f>
        <v>0</v>
      </c>
      <c r="AL140" s="133">
        <f>+'RB FORECAST'!AG142</f>
        <v>0</v>
      </c>
      <c r="AM140" s="133">
        <f>+'RB FORECAST'!BA142</f>
        <v>0</v>
      </c>
      <c r="AN140" s="133">
        <f>+'RB FORECAST'!AW142</f>
        <v>0</v>
      </c>
      <c r="AP140" s="395">
        <f t="shared" si="43"/>
        <v>0</v>
      </c>
      <c r="AQ140" s="609">
        <f>AP140-AE140</f>
        <v>0</v>
      </c>
      <c r="AR140" s="225">
        <f t="shared" si="33"/>
        <v>133</v>
      </c>
      <c r="AS140" s="225" t="e">
        <f t="shared" si="34"/>
        <v>#REF!</v>
      </c>
      <c r="AT140" s="186"/>
      <c r="AU140" s="102"/>
      <c r="AV140" s="102"/>
      <c r="AW140" s="102" t="s">
        <v>595</v>
      </c>
      <c r="AX140" s="102"/>
      <c r="AY140" s="116">
        <f>+AE140</f>
        <v>0</v>
      </c>
      <c r="AZ140" s="95">
        <f>AP140</f>
        <v>0</v>
      </c>
      <c r="BA140" s="95">
        <f>AZ140-AY140</f>
        <v>0</v>
      </c>
    </row>
    <row r="141" spans="1:53">
      <c r="A141" s="250" t="e">
        <f t="shared" si="35"/>
        <v>#REF!</v>
      </c>
      <c r="B141" s="102"/>
      <c r="C141" s="102"/>
      <c r="D141" s="102" t="s">
        <v>170</v>
      </c>
      <c r="E141" s="102"/>
      <c r="F141" s="102"/>
      <c r="G141" s="102"/>
      <c r="H141" s="1043">
        <v>271481.55</v>
      </c>
      <c r="I141" s="1043">
        <v>271481.55</v>
      </c>
      <c r="J141" s="1043">
        <v>271481.55</v>
      </c>
      <c r="K141" s="1043">
        <v>271481.55</v>
      </c>
      <c r="L141" s="1043">
        <v>271481.55</v>
      </c>
      <c r="M141" s="1043">
        <v>276216.15000000002</v>
      </c>
      <c r="N141" s="1043">
        <v>276216.15000000002</v>
      </c>
      <c r="O141" s="1043">
        <v>276518.08</v>
      </c>
      <c r="P141" s="1043">
        <v>276529.69</v>
      </c>
      <c r="Q141" s="1043">
        <v>276518.08</v>
      </c>
      <c r="R141" s="1043">
        <v>299311.83</v>
      </c>
      <c r="S141" s="1043">
        <v>329255.66000000003</v>
      </c>
      <c r="T141" s="1043">
        <v>329255.66000000003</v>
      </c>
      <c r="U141" s="1043">
        <v>329255.66000000003</v>
      </c>
      <c r="V141" s="1043">
        <v>332774.47000000003</v>
      </c>
      <c r="W141" s="1043">
        <v>332774.47000000003</v>
      </c>
      <c r="X141" s="1043">
        <v>332774.47000000003</v>
      </c>
      <c r="Y141" s="1043">
        <v>329141</v>
      </c>
      <c r="Z141" s="1043">
        <v>329141</v>
      </c>
      <c r="AA141" s="1043">
        <v>329141</v>
      </c>
      <c r="AB141" s="1043">
        <v>329141</v>
      </c>
      <c r="AC141" s="1043">
        <v>326348.43</v>
      </c>
      <c r="AD141" s="1043">
        <v>326348.43</v>
      </c>
      <c r="AE141" s="1043">
        <v>326348.43</v>
      </c>
      <c r="AF141" s="1043"/>
      <c r="AG141" s="1046">
        <f>SUM(AG138:AG140)</f>
        <v>329491.4695833333</v>
      </c>
      <c r="AI141" s="1046">
        <f>AE141</f>
        <v>326348.43</v>
      </c>
      <c r="AJ141" s="1046">
        <f>AG141</f>
        <v>329491.4695833333</v>
      </c>
      <c r="AK141" s="1046">
        <f>SUM(AK138:AK140)</f>
        <v>326855.05523772904</v>
      </c>
      <c r="AL141" s="1046">
        <f>SUM(AL138:AL140)</f>
        <v>320102.39</v>
      </c>
      <c r="AM141" s="1046">
        <f t="shared" ref="AM141:AN141" si="44">SUM(AM138:AM140)</f>
        <v>320609.01523772907</v>
      </c>
      <c r="AN141" s="1046">
        <f t="shared" si="44"/>
        <v>313856.34999999998</v>
      </c>
      <c r="AP141" s="133">
        <f t="shared" si="43"/>
        <v>320609.01523772907</v>
      </c>
      <c r="AQ141" s="606">
        <f>AP141-AE141</f>
        <v>-5739.4147622709279</v>
      </c>
      <c r="AR141" s="225">
        <f t="shared" si="33"/>
        <v>134</v>
      </c>
      <c r="AS141" s="225" t="e">
        <f t="shared" si="34"/>
        <v>#REF!</v>
      </c>
      <c r="AT141" s="186"/>
      <c r="AU141" s="102"/>
      <c r="AV141" s="102"/>
      <c r="AW141" s="102" t="s">
        <v>170</v>
      </c>
      <c r="AX141" s="102"/>
      <c r="AY141" s="116">
        <f>AI141</f>
        <v>326348.43</v>
      </c>
      <c r="AZ141" s="116">
        <f>AJ141</f>
        <v>329491.4695833333</v>
      </c>
      <c r="BA141" s="95">
        <f>AZ141-AY141</f>
        <v>3143.0395833333023</v>
      </c>
    </row>
    <row r="142" spans="1:53">
      <c r="A142" s="250" t="e">
        <f t="shared" si="35"/>
        <v>#REF!</v>
      </c>
      <c r="B142" s="14"/>
      <c r="C142" s="102"/>
      <c r="D142" s="102"/>
      <c r="E142" s="102"/>
      <c r="F142" s="102"/>
      <c r="G142" s="102"/>
      <c r="AR142" s="225">
        <f t="shared" si="33"/>
        <v>135</v>
      </c>
      <c r="AS142" s="225" t="e">
        <f t="shared" si="34"/>
        <v>#REF!</v>
      </c>
      <c r="AT142" s="186"/>
      <c r="AU142" s="14"/>
      <c r="AV142" s="102"/>
      <c r="AW142" s="102"/>
      <c r="AX142" s="102"/>
      <c r="AY142" s="116"/>
    </row>
    <row r="143" spans="1:53">
      <c r="A143" s="250" t="e">
        <f>+#REF!+1</f>
        <v>#REF!</v>
      </c>
      <c r="B143" s="102"/>
      <c r="C143" s="102" t="s">
        <v>276</v>
      </c>
      <c r="D143" s="102"/>
      <c r="E143" s="102"/>
      <c r="F143" s="102"/>
      <c r="G143" s="102"/>
      <c r="H143" s="116">
        <v>238984803.87</v>
      </c>
      <c r="I143" s="116">
        <v>240474187</v>
      </c>
      <c r="J143" s="116">
        <v>240670456.19999999</v>
      </c>
      <c r="K143" s="116">
        <v>242911065.01999998</v>
      </c>
      <c r="L143" s="116">
        <v>244492394.71999997</v>
      </c>
      <c r="M143" s="116">
        <v>247125302.03999999</v>
      </c>
      <c r="N143" s="116">
        <v>247950213.73000002</v>
      </c>
      <c r="O143" s="116">
        <v>266862405.44999999</v>
      </c>
      <c r="P143" s="116">
        <v>264975264.81999999</v>
      </c>
      <c r="Q143" s="116">
        <v>276293514.76999998</v>
      </c>
      <c r="R143" s="116">
        <v>282026035.10000002</v>
      </c>
      <c r="S143" s="116">
        <v>288377282.63</v>
      </c>
      <c r="T143" s="116">
        <v>271341047.35000002</v>
      </c>
      <c r="U143" s="116">
        <v>270733620.44</v>
      </c>
      <c r="V143" s="116">
        <v>267487591.42000002</v>
      </c>
      <c r="W143" s="116">
        <v>268387618.5</v>
      </c>
      <c r="X143" s="116">
        <v>269124515.71000004</v>
      </c>
      <c r="Y143" s="116">
        <v>263468399.38999999</v>
      </c>
      <c r="Z143" s="116">
        <v>263808067.01000002</v>
      </c>
      <c r="AA143" s="116">
        <v>264248855.89999998</v>
      </c>
      <c r="AB143" s="116">
        <v>264344772.99000001</v>
      </c>
      <c r="AC143" s="116">
        <v>265740947.22000003</v>
      </c>
      <c r="AD143" s="116">
        <v>266571777.37</v>
      </c>
      <c r="AE143" s="116">
        <v>265546026.53</v>
      </c>
      <c r="AF143" s="116"/>
      <c r="AG143" s="133">
        <f>AG141+AG135+AG130+AG124+AG118+AG112+AG107+AG101+AG95+AG89</f>
        <v>267684905.65666667</v>
      </c>
      <c r="AI143" s="133">
        <f t="shared" ref="AI143:AN143" si="45">AI141+AI135+AI130+AI124+AI118+AI112+AI107+AI101+AI95+AI89</f>
        <v>265546026.53</v>
      </c>
      <c r="AJ143" s="133">
        <f t="shared" si="45"/>
        <v>267684905.65666667</v>
      </c>
      <c r="AK143" s="133">
        <f t="shared" ca="1" si="45"/>
        <v>280865208.69642198</v>
      </c>
      <c r="AL143" s="133">
        <f t="shared" ca="1" si="45"/>
        <v>280054941.7776233</v>
      </c>
      <c r="AM143" s="133">
        <f t="shared" ca="1" si="45"/>
        <v>291755150.41720438</v>
      </c>
      <c r="AN143" s="133">
        <f t="shared" ca="1" si="45"/>
        <v>291923736.99260867</v>
      </c>
      <c r="AP143" s="133">
        <f t="shared" ca="1" si="43"/>
        <v>291755150.41720438</v>
      </c>
      <c r="AQ143" s="606">
        <f ca="1">AP143-AE143</f>
        <v>26209123.887204379</v>
      </c>
      <c r="AR143" s="225">
        <f t="shared" si="33"/>
        <v>136</v>
      </c>
      <c r="AS143" s="225" t="e">
        <f>+#REF!+1</f>
        <v>#REF!</v>
      </c>
      <c r="AT143" s="186"/>
      <c r="AU143" s="102"/>
      <c r="AV143" s="102" t="s">
        <v>276</v>
      </c>
      <c r="AW143" s="102"/>
      <c r="AX143" s="102"/>
      <c r="AY143" s="116">
        <f>AI143</f>
        <v>265546026.53</v>
      </c>
      <c r="AZ143" s="116">
        <f>AJ143</f>
        <v>267684905.65666667</v>
      </c>
      <c r="BA143" s="95">
        <f>AZ143-AY143</f>
        <v>2138879.1266666651</v>
      </c>
    </row>
    <row r="144" spans="1:53">
      <c r="A144" s="250" t="e">
        <f t="shared" si="35"/>
        <v>#REF!</v>
      </c>
      <c r="B144" s="227"/>
      <c r="C144" s="102"/>
      <c r="D144" s="102"/>
      <c r="AR144" s="225">
        <f t="shared" si="33"/>
        <v>137</v>
      </c>
      <c r="AS144" s="225" t="e">
        <f t="shared" si="34"/>
        <v>#REF!</v>
      </c>
      <c r="AT144" s="186"/>
      <c r="AU144" s="136"/>
      <c r="AV144" s="102"/>
      <c r="AW144" s="102"/>
      <c r="AX144" s="102"/>
      <c r="AY144" s="116"/>
    </row>
    <row r="145" spans="1:53">
      <c r="A145" s="250" t="e">
        <f t="shared" si="35"/>
        <v>#REF!</v>
      </c>
      <c r="B145" s="136">
        <v>101</v>
      </c>
      <c r="C145" s="102" t="s">
        <v>870</v>
      </c>
      <c r="D145" s="102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33"/>
      <c r="AI145" s="133"/>
      <c r="AJ145" s="133"/>
      <c r="AK145" s="133"/>
      <c r="AL145" s="133"/>
      <c r="AM145" s="133"/>
      <c r="AN145" s="133"/>
      <c r="AP145" s="133"/>
      <c r="AQ145" s="606"/>
      <c r="AR145" s="225">
        <f t="shared" si="33"/>
        <v>138</v>
      </c>
      <c r="AS145" s="225" t="e">
        <f t="shared" si="34"/>
        <v>#REF!</v>
      </c>
      <c r="AT145" s="186"/>
      <c r="AU145" s="136"/>
      <c r="AV145" s="102"/>
      <c r="AW145" s="102"/>
      <c r="AX145" s="102"/>
      <c r="AY145" s="116"/>
    </row>
    <row r="146" spans="1:53">
      <c r="A146" s="250" t="e">
        <f t="shared" si="35"/>
        <v>#REF!</v>
      </c>
      <c r="B146" s="136"/>
      <c r="C146" s="102"/>
      <c r="D146" s="102" t="s">
        <v>443</v>
      </c>
      <c r="H146" s="106">
        <v>79968136</v>
      </c>
      <c r="I146" s="106">
        <v>79968136</v>
      </c>
      <c r="J146" s="106">
        <v>79968136</v>
      </c>
      <c r="K146" s="106">
        <v>79968136</v>
      </c>
      <c r="L146" s="106">
        <v>79968136</v>
      </c>
      <c r="M146" s="106">
        <v>79968136</v>
      </c>
      <c r="N146" s="106">
        <v>79968136</v>
      </c>
      <c r="O146" s="106">
        <v>79968136</v>
      </c>
      <c r="P146" s="106">
        <v>79968136</v>
      </c>
      <c r="Q146" s="106">
        <v>79968136</v>
      </c>
      <c r="R146" s="106">
        <v>79968136</v>
      </c>
      <c r="S146" s="106">
        <v>79968136</v>
      </c>
      <c r="T146" s="106">
        <v>79968136</v>
      </c>
      <c r="U146" s="106">
        <v>79968136</v>
      </c>
      <c r="V146" s="106">
        <v>79968136</v>
      </c>
      <c r="W146" s="106">
        <v>79968136</v>
      </c>
      <c r="X146" s="106">
        <v>79968136</v>
      </c>
      <c r="Y146" s="106">
        <v>79968136</v>
      </c>
      <c r="Z146" s="106">
        <v>79968136</v>
      </c>
      <c r="AA146" s="106">
        <v>79968136</v>
      </c>
      <c r="AB146" s="106">
        <v>79968136</v>
      </c>
      <c r="AC146" s="106">
        <v>79968136</v>
      </c>
      <c r="AD146" s="106">
        <v>79968136</v>
      </c>
      <c r="AE146" s="106">
        <v>79968136</v>
      </c>
      <c r="AF146" s="106"/>
      <c r="AG146" s="243">
        <f>(SUM(T146:AD146)+(0.5*AE146)+(0.5*S146))/12</f>
        <v>79968136</v>
      </c>
      <c r="AI146" s="243">
        <f t="shared" ref="AI146:AN146" si="46">AI29</f>
        <v>79968136</v>
      </c>
      <c r="AJ146" s="243">
        <f t="shared" si="46"/>
        <v>79968136</v>
      </c>
      <c r="AK146" s="243">
        <f t="shared" si="46"/>
        <v>79968136</v>
      </c>
      <c r="AL146" s="243">
        <f t="shared" si="46"/>
        <v>79968136</v>
      </c>
      <c r="AM146" s="243">
        <f t="shared" si="46"/>
        <v>79968136</v>
      </c>
      <c r="AN146" s="243">
        <f t="shared" si="46"/>
        <v>79968136</v>
      </c>
      <c r="AP146" s="243">
        <f t="shared" si="43"/>
        <v>79968136</v>
      </c>
      <c r="AQ146" s="610">
        <f>AP146-AE146</f>
        <v>0</v>
      </c>
      <c r="AR146" s="225">
        <f t="shared" si="33"/>
        <v>139</v>
      </c>
      <c r="AS146" s="225" t="e">
        <f t="shared" si="34"/>
        <v>#REF!</v>
      </c>
      <c r="AT146" s="186"/>
      <c r="AU146" s="136" t="s">
        <v>204</v>
      </c>
      <c r="AV146" s="102"/>
      <c r="AW146" s="102" t="s">
        <v>443</v>
      </c>
      <c r="AX146" s="102"/>
      <c r="AY146" s="116">
        <f>+AE146</f>
        <v>79968136</v>
      </c>
      <c r="AZ146" s="95">
        <f>AP146</f>
        <v>79968136</v>
      </c>
      <c r="BA146" s="95">
        <f>AZ146-AY146</f>
        <v>0</v>
      </c>
    </row>
    <row r="147" spans="1:53">
      <c r="A147" s="250" t="e">
        <f t="shared" si="35"/>
        <v>#REF!</v>
      </c>
      <c r="B147" s="136"/>
      <c r="C147" s="102"/>
      <c r="D147" s="102" t="s">
        <v>592</v>
      </c>
      <c r="H147" s="106">
        <v>73254859.994000003</v>
      </c>
      <c r="I147" s="106">
        <v>73292937.143999994</v>
      </c>
      <c r="J147" s="106">
        <v>74185917.464000002</v>
      </c>
      <c r="K147" s="106">
        <v>73948158.584000006</v>
      </c>
      <c r="L147" s="106">
        <v>73725666.184</v>
      </c>
      <c r="M147" s="106">
        <v>73885037.193999991</v>
      </c>
      <c r="N147" s="106">
        <v>74044690.06400001</v>
      </c>
      <c r="O147" s="106">
        <v>74616050.773999989</v>
      </c>
      <c r="P147" s="106">
        <v>74671984.934</v>
      </c>
      <c r="Q147" s="106">
        <v>75286479.294</v>
      </c>
      <c r="R147" s="106">
        <v>76222229.17400001</v>
      </c>
      <c r="S147" s="106">
        <v>76941299.304000005</v>
      </c>
      <c r="T147" s="106">
        <v>77089117.090000004</v>
      </c>
      <c r="U147" s="106">
        <v>77481584.384000003</v>
      </c>
      <c r="V147" s="106">
        <v>77599324.613999993</v>
      </c>
      <c r="W147" s="106">
        <v>77752607.334000006</v>
      </c>
      <c r="X147" s="106">
        <v>77763501.343999982</v>
      </c>
      <c r="Y147" s="106">
        <v>77798571.453999996</v>
      </c>
      <c r="Z147" s="106">
        <v>77347090.123999998</v>
      </c>
      <c r="AA147" s="106">
        <v>79408792.829999998</v>
      </c>
      <c r="AB147" s="106">
        <v>79400329.953999996</v>
      </c>
      <c r="AC147" s="106">
        <v>80647823.423999995</v>
      </c>
      <c r="AD147" s="106">
        <v>80858805.523999989</v>
      </c>
      <c r="AE147" s="106">
        <v>82055245.603999987</v>
      </c>
      <c r="AF147" s="106"/>
      <c r="AG147" s="243">
        <f>(SUM(T147:AD147)+(0.5*AE147)+(0.5*S147))/12</f>
        <v>78553818.377499998</v>
      </c>
      <c r="AI147" s="243">
        <f t="shared" ref="AI147:AN147" si="47">AI15+AI33+AI38+AI46+AI54+AI59+AI64+AI69+AI74+AI79</f>
        <v>82055245.603999987</v>
      </c>
      <c r="AJ147" s="243">
        <f t="shared" si="47"/>
        <v>78553818.377499998</v>
      </c>
      <c r="AK147" s="243">
        <f t="shared" ca="1" si="47"/>
        <v>84856676.475223392</v>
      </c>
      <c r="AL147" s="243">
        <f t="shared" ca="1" si="47"/>
        <v>88436277.201431274</v>
      </c>
      <c r="AM147" s="243">
        <f t="shared" ca="1" si="47"/>
        <v>90978523.772740424</v>
      </c>
      <c r="AN147" s="243">
        <f t="shared" ca="1" si="47"/>
        <v>94201940.707892358</v>
      </c>
      <c r="AP147" s="243">
        <f t="shared" ca="1" si="43"/>
        <v>90978523.772740424</v>
      </c>
      <c r="AQ147" s="610">
        <f ca="1">AP147-AE147</f>
        <v>8923278.1687404364</v>
      </c>
      <c r="AR147" s="225">
        <f t="shared" si="33"/>
        <v>140</v>
      </c>
      <c r="AS147" s="225" t="e">
        <f t="shared" si="34"/>
        <v>#REF!</v>
      </c>
      <c r="AT147" s="186"/>
      <c r="AU147" s="136"/>
      <c r="AV147" s="102"/>
      <c r="AW147" s="102" t="s">
        <v>592</v>
      </c>
      <c r="AX147" s="102"/>
      <c r="AY147" s="116">
        <f>+AE147</f>
        <v>82055245.603999987</v>
      </c>
      <c r="AZ147" s="95">
        <f ca="1">AP147</f>
        <v>90978523.772740424</v>
      </c>
      <c r="BA147" s="95">
        <f ca="1">AZ147-AY147</f>
        <v>8923278.1687404364</v>
      </c>
    </row>
    <row r="148" spans="1:53">
      <c r="A148" s="250" t="e">
        <f t="shared" si="35"/>
        <v>#REF!</v>
      </c>
      <c r="B148" s="136"/>
      <c r="C148" s="102"/>
      <c r="D148" s="102" t="s">
        <v>593</v>
      </c>
      <c r="H148" s="106">
        <v>2113741373.6459994</v>
      </c>
      <c r="I148" s="106">
        <v>2128409569.9159999</v>
      </c>
      <c r="J148" s="106">
        <v>2135574562.6159999</v>
      </c>
      <c r="K148" s="106">
        <v>2143652670.8759999</v>
      </c>
      <c r="L148" s="106">
        <v>2153260721.6859999</v>
      </c>
      <c r="M148" s="106">
        <v>2159372000.9260001</v>
      </c>
      <c r="N148" s="106">
        <v>2167018516.4859996</v>
      </c>
      <c r="O148" s="106">
        <v>2184164094.4860001</v>
      </c>
      <c r="P148" s="106">
        <v>2239543713.8159995</v>
      </c>
      <c r="Q148" s="106">
        <v>2263855799.1860003</v>
      </c>
      <c r="R148" s="106">
        <v>2272285241.9659996</v>
      </c>
      <c r="S148" s="106">
        <v>2284446301.296</v>
      </c>
      <c r="T148" s="106">
        <v>2293943489.9699998</v>
      </c>
      <c r="U148" s="106">
        <v>2299087189.6760001</v>
      </c>
      <c r="V148" s="106">
        <v>2313074026.6059999</v>
      </c>
      <c r="W148" s="106">
        <v>2331273859.8260002</v>
      </c>
      <c r="X148" s="106">
        <v>2336972208.3059998</v>
      </c>
      <c r="Y148" s="106">
        <v>2342958115.7359996</v>
      </c>
      <c r="Z148" s="106">
        <v>2348332297.296</v>
      </c>
      <c r="AA148" s="106">
        <v>2393235850.8699999</v>
      </c>
      <c r="AB148" s="106">
        <v>2394009985.1059999</v>
      </c>
      <c r="AC148" s="106">
        <v>2421745750.0959997</v>
      </c>
      <c r="AD148" s="106">
        <v>2433223386.8260002</v>
      </c>
      <c r="AE148" s="106">
        <v>2447896239.6560001</v>
      </c>
      <c r="AF148" s="106"/>
      <c r="AG148" s="243">
        <f>(SUM(T148:AD148)+(0.5*AE148)+(0.5*S148))/12</f>
        <v>2356168952.5658331</v>
      </c>
      <c r="AI148" s="243">
        <f t="shared" ref="AI148:AN148" si="48">AI16+AI34+AI39+AI50+AI55+AI60+AI65+AI70+AI75+AI80</f>
        <v>2447896239.6560001</v>
      </c>
      <c r="AJ148" s="243">
        <f t="shared" si="48"/>
        <v>2356168952.5658336</v>
      </c>
      <c r="AK148" s="243">
        <f t="shared" ca="1" si="48"/>
        <v>2528905325.966804</v>
      </c>
      <c r="AL148" s="243">
        <f t="shared" ca="1" si="48"/>
        <v>2638946733.7043672</v>
      </c>
      <c r="AM148" s="243">
        <f t="shared" ca="1" si="48"/>
        <v>2715501900.5193315</v>
      </c>
      <c r="AN148" s="243">
        <f t="shared" ca="1" si="48"/>
        <v>2819266900.2135229</v>
      </c>
      <c r="AP148" s="243">
        <f t="shared" ca="1" si="43"/>
        <v>2715501900.5193315</v>
      </c>
      <c r="AQ148" s="610">
        <f ca="1">AP148-AE148</f>
        <v>267605660.86333132</v>
      </c>
      <c r="AR148" s="225">
        <f t="shared" si="33"/>
        <v>141</v>
      </c>
      <c r="AS148" s="225" t="e">
        <f t="shared" si="34"/>
        <v>#REF!</v>
      </c>
      <c r="AT148" s="186"/>
      <c r="AU148" s="136"/>
      <c r="AV148" s="102"/>
      <c r="AW148" s="102" t="s">
        <v>593</v>
      </c>
      <c r="AX148" s="102"/>
      <c r="AY148" s="116">
        <f>+AE148</f>
        <v>2447896239.6560001</v>
      </c>
      <c r="AZ148" s="95">
        <f ca="1">AP148</f>
        <v>2715501900.5193315</v>
      </c>
      <c r="BA148" s="95">
        <f ca="1">AZ148-AY148</f>
        <v>267605660.86333132</v>
      </c>
    </row>
    <row r="149" spans="1:53">
      <c r="A149" s="250" t="e">
        <f t="shared" si="35"/>
        <v>#REF!</v>
      </c>
      <c r="B149" s="136"/>
      <c r="C149" s="102"/>
      <c r="D149" s="102" t="s">
        <v>595</v>
      </c>
      <c r="H149" s="106">
        <v>238984803.87</v>
      </c>
      <c r="I149" s="106">
        <v>240474187</v>
      </c>
      <c r="J149" s="106">
        <v>240670456.19999999</v>
      </c>
      <c r="K149" s="106">
        <v>242911065.01999998</v>
      </c>
      <c r="L149" s="106">
        <v>244492394.71999997</v>
      </c>
      <c r="M149" s="106">
        <v>247125302.03999999</v>
      </c>
      <c r="N149" s="106">
        <v>247950213.73000002</v>
      </c>
      <c r="O149" s="106">
        <v>266862405.44999999</v>
      </c>
      <c r="P149" s="106">
        <v>264975264.81999999</v>
      </c>
      <c r="Q149" s="106">
        <v>276293514.76999998</v>
      </c>
      <c r="R149" s="106">
        <v>282026035.10000002</v>
      </c>
      <c r="S149" s="106">
        <v>288377282.63</v>
      </c>
      <c r="T149" s="106">
        <v>271341047.35000002</v>
      </c>
      <c r="U149" s="106">
        <v>270733620.44</v>
      </c>
      <c r="V149" s="106">
        <v>267487591.42000002</v>
      </c>
      <c r="W149" s="106">
        <v>268387618.5</v>
      </c>
      <c r="X149" s="106">
        <v>269124515.71000004</v>
      </c>
      <c r="Y149" s="106">
        <v>263468399.38999999</v>
      </c>
      <c r="Z149" s="106">
        <v>263808067.01000002</v>
      </c>
      <c r="AA149" s="106">
        <v>264248855.89999998</v>
      </c>
      <c r="AB149" s="106">
        <v>264344772.99000001</v>
      </c>
      <c r="AC149" s="106">
        <v>265740947.22000003</v>
      </c>
      <c r="AD149" s="106">
        <v>266571777.37</v>
      </c>
      <c r="AE149" s="106">
        <v>265546026.53</v>
      </c>
      <c r="AF149" s="106"/>
      <c r="AG149" s="243">
        <f>(SUM(T149:AD149)+(0.5*AE149)+(0.5*S149))/12</f>
        <v>267684905.65666667</v>
      </c>
      <c r="AI149" s="243">
        <f t="shared" ref="AI149:AN149" si="49">AI143</f>
        <v>265546026.53</v>
      </c>
      <c r="AJ149" s="243">
        <f t="shared" si="49"/>
        <v>267684905.65666667</v>
      </c>
      <c r="AK149" s="243">
        <f t="shared" ca="1" si="49"/>
        <v>280865208.69642198</v>
      </c>
      <c r="AL149" s="243">
        <f t="shared" ca="1" si="49"/>
        <v>280054941.7776233</v>
      </c>
      <c r="AM149" s="243">
        <f t="shared" ca="1" si="49"/>
        <v>291755150.41720438</v>
      </c>
      <c r="AN149" s="243">
        <f t="shared" ca="1" si="49"/>
        <v>291923736.99260867</v>
      </c>
      <c r="AP149" s="243">
        <f t="shared" ca="1" si="43"/>
        <v>291755150.41720438</v>
      </c>
      <c r="AQ149" s="611">
        <f ca="1">AP149-AE149</f>
        <v>26209123.887204379</v>
      </c>
      <c r="AR149" s="225">
        <f t="shared" si="33"/>
        <v>142</v>
      </c>
      <c r="AS149" s="225" t="e">
        <f t="shared" si="34"/>
        <v>#REF!</v>
      </c>
      <c r="AT149" s="186"/>
      <c r="AU149" s="136"/>
      <c r="AV149" s="102"/>
      <c r="AW149" s="102" t="s">
        <v>595</v>
      </c>
      <c r="AX149" s="102"/>
      <c r="AY149" s="116">
        <f>+AE149</f>
        <v>265546026.53</v>
      </c>
      <c r="AZ149" s="743">
        <f ca="1">AP149</f>
        <v>291755150.41720438</v>
      </c>
      <c r="BA149" s="743">
        <f ca="1">AZ149-AY149</f>
        <v>26209123.887204379</v>
      </c>
    </row>
    <row r="150" spans="1:53">
      <c r="A150" s="250" t="e">
        <f t="shared" si="35"/>
        <v>#REF!</v>
      </c>
      <c r="B150" s="136"/>
      <c r="C150" s="102"/>
      <c r="D150" s="102" t="s">
        <v>870</v>
      </c>
      <c r="H150" s="131">
        <v>2505949173.5099993</v>
      </c>
      <c r="I150" s="131">
        <v>2522144830.0599999</v>
      </c>
      <c r="J150" s="131">
        <v>2530399072.2799997</v>
      </c>
      <c r="K150" s="131">
        <v>2540480030.48</v>
      </c>
      <c r="L150" s="131">
        <v>2551446918.5899997</v>
      </c>
      <c r="M150" s="131">
        <v>2560350476.1599998</v>
      </c>
      <c r="N150" s="131">
        <v>2568981556.2799997</v>
      </c>
      <c r="O150" s="131">
        <v>2605610686.71</v>
      </c>
      <c r="P150" s="131">
        <v>2659159099.5699997</v>
      </c>
      <c r="Q150" s="131">
        <v>2695403929.2500005</v>
      </c>
      <c r="R150" s="131">
        <v>2710501642.2399993</v>
      </c>
      <c r="S150" s="131">
        <v>2729733019.23</v>
      </c>
      <c r="T150" s="131">
        <v>2722341790.4099998</v>
      </c>
      <c r="U150" s="131">
        <v>2727270530.5</v>
      </c>
      <c r="V150" s="131">
        <v>2738129078.6399999</v>
      </c>
      <c r="W150" s="131">
        <v>2757382221.6600003</v>
      </c>
      <c r="X150" s="131">
        <v>2763828361.3599997</v>
      </c>
      <c r="Y150" s="131">
        <v>2764193222.5799994</v>
      </c>
      <c r="Z150" s="131">
        <v>2769455590.4300003</v>
      </c>
      <c r="AA150" s="131">
        <v>2816861635.5999999</v>
      </c>
      <c r="AB150" s="131">
        <v>2817723224.0500002</v>
      </c>
      <c r="AC150" s="131">
        <v>2848102656.7399998</v>
      </c>
      <c r="AD150" s="131">
        <v>2860622105.7200003</v>
      </c>
      <c r="AE150" s="131">
        <v>2875465647.7900004</v>
      </c>
      <c r="AF150" s="131"/>
      <c r="AG150" s="241">
        <f>(SUM(T150:AD150)+(0.5*AE150)+(0.5*S150))/12</f>
        <v>2782375812.6000004</v>
      </c>
      <c r="AI150" s="241">
        <f t="shared" ref="AI150:AN150" si="50">SUM(AI146:AI149)</f>
        <v>2875465647.7900004</v>
      </c>
      <c r="AJ150" s="241">
        <f t="shared" si="50"/>
        <v>2782375812.6000004</v>
      </c>
      <c r="AK150" s="241">
        <f t="shared" ca="1" si="50"/>
        <v>2974595347.1384497</v>
      </c>
      <c r="AL150" s="241">
        <f t="shared" ca="1" si="50"/>
        <v>3087406088.6834216</v>
      </c>
      <c r="AM150" s="241">
        <f t="shared" ca="1" si="50"/>
        <v>3178203710.7092762</v>
      </c>
      <c r="AN150" s="241">
        <f t="shared" ca="1" si="50"/>
        <v>3285360713.9140239</v>
      </c>
      <c r="AO150" s="30"/>
      <c r="AP150" s="241">
        <f t="shared" ca="1" si="43"/>
        <v>3178203710.7092762</v>
      </c>
      <c r="AQ150" s="610">
        <f ca="1">AP150-AE150</f>
        <v>302738062.91927576</v>
      </c>
      <c r="AR150" s="225">
        <f t="shared" si="33"/>
        <v>143</v>
      </c>
      <c r="AS150" s="225" t="e">
        <f t="shared" si="34"/>
        <v>#REF!</v>
      </c>
      <c r="AT150" s="186"/>
      <c r="AU150" s="136"/>
      <c r="AV150" s="102"/>
      <c r="AW150" s="102" t="s">
        <v>870</v>
      </c>
      <c r="AX150" s="102"/>
      <c r="AY150" s="131">
        <f>SUM(AY146:AY149)</f>
        <v>2875465647.7900004</v>
      </c>
      <c r="AZ150" s="95">
        <f ca="1">AP150</f>
        <v>3178203710.7092762</v>
      </c>
      <c r="BA150" s="95">
        <f ca="1">AZ150-AY150</f>
        <v>302738062.91927576</v>
      </c>
    </row>
    <row r="151" spans="1:53">
      <c r="A151" s="250" t="e">
        <f t="shared" si="35"/>
        <v>#REF!</v>
      </c>
      <c r="B151" s="136"/>
      <c r="C151" s="102"/>
      <c r="D151" s="102"/>
      <c r="AK151" s="752"/>
      <c r="AR151" s="225">
        <f t="shared" si="33"/>
        <v>144</v>
      </c>
      <c r="AS151" s="225" t="e">
        <f t="shared" si="34"/>
        <v>#REF!</v>
      </c>
      <c r="AT151" s="186"/>
      <c r="AU151" s="136"/>
      <c r="AV151" s="102"/>
      <c r="AW151" s="102"/>
      <c r="AX151" s="102"/>
      <c r="AY151" s="116"/>
    </row>
    <row r="152" spans="1:53">
      <c r="A152" s="250" t="e">
        <f t="shared" si="35"/>
        <v>#REF!</v>
      </c>
      <c r="B152" s="136">
        <v>105</v>
      </c>
      <c r="C152" s="102" t="s">
        <v>299</v>
      </c>
      <c r="D152" s="102"/>
      <c r="AR152" s="225">
        <f t="shared" si="33"/>
        <v>145</v>
      </c>
      <c r="AS152" s="225" t="e">
        <f t="shared" si="34"/>
        <v>#REF!</v>
      </c>
      <c r="AT152" s="186"/>
      <c r="AU152" s="136">
        <v>105</v>
      </c>
      <c r="AV152" s="102" t="s">
        <v>299</v>
      </c>
      <c r="AW152" s="102"/>
      <c r="AX152" s="102"/>
      <c r="AY152" s="116"/>
    </row>
    <row r="153" spans="1:53">
      <c r="A153" s="250" t="e">
        <f t="shared" si="35"/>
        <v>#REF!</v>
      </c>
      <c r="B153" s="136"/>
      <c r="C153" s="102"/>
      <c r="D153" s="102" t="s">
        <v>593</v>
      </c>
      <c r="H153" s="116">
        <v>5036.83</v>
      </c>
      <c r="I153" s="116">
        <v>5036.83</v>
      </c>
      <c r="J153" s="116">
        <v>5036.83</v>
      </c>
      <c r="K153" s="116">
        <v>5036.83</v>
      </c>
      <c r="L153" s="116">
        <v>5036.83</v>
      </c>
      <c r="M153" s="116">
        <v>5036.83</v>
      </c>
      <c r="N153" s="116">
        <v>5036.83</v>
      </c>
      <c r="O153" s="116">
        <v>5036.83</v>
      </c>
      <c r="P153" s="116">
        <v>5036.83</v>
      </c>
      <c r="Q153" s="116">
        <v>5036.83</v>
      </c>
      <c r="R153" s="116">
        <v>5036.83</v>
      </c>
      <c r="S153" s="116">
        <v>5036.83</v>
      </c>
      <c r="T153" s="116">
        <v>5036.83</v>
      </c>
      <c r="U153" s="116">
        <v>5036.83</v>
      </c>
      <c r="V153" s="116">
        <v>5036.83</v>
      </c>
      <c r="W153" s="116">
        <v>5036.83</v>
      </c>
      <c r="X153" s="116">
        <v>5036.83</v>
      </c>
      <c r="Y153" s="116">
        <v>5036.83</v>
      </c>
      <c r="Z153" s="116">
        <v>5036.83</v>
      </c>
      <c r="AA153" s="116">
        <v>5036.83</v>
      </c>
      <c r="AB153" s="116">
        <v>5036.83</v>
      </c>
      <c r="AC153" s="116">
        <v>5036.83</v>
      </c>
      <c r="AD153" s="116">
        <v>5036.83</v>
      </c>
      <c r="AE153" s="116">
        <v>5036.83</v>
      </c>
      <c r="AF153" s="116"/>
      <c r="AG153" s="133">
        <f>(SUM(T153:AD153)+(0.5*AE153)+(0.5*S153))/12</f>
        <v>5036.8300000000008</v>
      </c>
      <c r="AI153" s="133">
        <f>AE153</f>
        <v>5036.83</v>
      </c>
      <c r="AJ153" s="133">
        <f>AG153</f>
        <v>5036.8300000000008</v>
      </c>
      <c r="AK153" s="133">
        <f>+'RB FORECAST'!AJ155</f>
        <v>5036.8300000000008</v>
      </c>
      <c r="AL153" s="133">
        <f>+'RB FORECAST'!AG155</f>
        <v>5036.83</v>
      </c>
      <c r="AM153" s="133">
        <f>+'RB FORECAST'!BA155</f>
        <v>5036.8300000000008</v>
      </c>
      <c r="AN153" s="133">
        <f>+'RB FORECAST'!AW155</f>
        <v>5036.83</v>
      </c>
      <c r="AP153" s="133">
        <f t="shared" si="43"/>
        <v>5036.8300000000008</v>
      </c>
      <c r="AQ153" s="606">
        <f>AP153-AE153</f>
        <v>0</v>
      </c>
      <c r="AR153" s="225">
        <f t="shared" si="33"/>
        <v>146</v>
      </c>
      <c r="AS153" s="225" t="e">
        <f t="shared" si="34"/>
        <v>#REF!</v>
      </c>
      <c r="AT153" s="186"/>
      <c r="AU153" s="136"/>
      <c r="AV153" s="102"/>
      <c r="AW153" s="102" t="s">
        <v>593</v>
      </c>
      <c r="AX153" s="102"/>
      <c r="AY153" s="116">
        <f>+AE153</f>
        <v>5036.83</v>
      </c>
      <c r="AZ153" s="743">
        <f>AP153</f>
        <v>5036.8300000000008</v>
      </c>
      <c r="BA153" s="743">
        <f>AZ153-AY153</f>
        <v>0</v>
      </c>
    </row>
    <row r="154" spans="1:53">
      <c r="A154" s="250" t="e">
        <f t="shared" si="35"/>
        <v>#REF!</v>
      </c>
      <c r="B154" s="136"/>
      <c r="C154" s="102"/>
      <c r="D154" s="102" t="s">
        <v>170</v>
      </c>
      <c r="H154" s="131">
        <v>5036.83</v>
      </c>
      <c r="I154" s="131">
        <v>5036.83</v>
      </c>
      <c r="J154" s="131">
        <v>5036.83</v>
      </c>
      <c r="K154" s="131">
        <v>5036.83</v>
      </c>
      <c r="L154" s="131">
        <v>5036.83</v>
      </c>
      <c r="M154" s="131">
        <v>5036.83</v>
      </c>
      <c r="N154" s="131">
        <v>5036.83</v>
      </c>
      <c r="O154" s="131">
        <v>5036.83</v>
      </c>
      <c r="P154" s="131">
        <v>5036.83</v>
      </c>
      <c r="Q154" s="131">
        <v>5036.83</v>
      </c>
      <c r="R154" s="131">
        <v>5036.83</v>
      </c>
      <c r="S154" s="131">
        <v>5036.83</v>
      </c>
      <c r="T154" s="131">
        <v>5036.83</v>
      </c>
      <c r="U154" s="131">
        <v>5036.83</v>
      </c>
      <c r="V154" s="131">
        <v>5036.83</v>
      </c>
      <c r="W154" s="131">
        <v>5036.83</v>
      </c>
      <c r="X154" s="131">
        <v>5036.83</v>
      </c>
      <c r="Y154" s="131">
        <v>5036.83</v>
      </c>
      <c r="Z154" s="131">
        <v>5036.83</v>
      </c>
      <c r="AA154" s="131">
        <v>5036.83</v>
      </c>
      <c r="AB154" s="131">
        <v>5036.83</v>
      </c>
      <c r="AC154" s="131">
        <v>5036.83</v>
      </c>
      <c r="AD154" s="131">
        <v>5036.83</v>
      </c>
      <c r="AE154" s="131">
        <v>5036.83</v>
      </c>
      <c r="AF154" s="131"/>
      <c r="AG154" s="241">
        <f>(SUM(T154:AD154)+(0.5*AE154)+(0.5*S154))/12</f>
        <v>5036.8300000000008</v>
      </c>
      <c r="AI154" s="241">
        <f>AE154</f>
        <v>5036.83</v>
      </c>
      <c r="AJ154" s="241">
        <f>AG154</f>
        <v>5036.8300000000008</v>
      </c>
      <c r="AK154" s="241">
        <f>SUM(AK153)</f>
        <v>5036.8300000000008</v>
      </c>
      <c r="AL154" s="241">
        <f>SUM(AL153)</f>
        <v>5036.83</v>
      </c>
      <c r="AM154" s="241">
        <f t="shared" ref="AM154:AN154" si="51">SUM(AM153)</f>
        <v>5036.8300000000008</v>
      </c>
      <c r="AN154" s="241">
        <f t="shared" si="51"/>
        <v>5036.83</v>
      </c>
      <c r="AP154" s="241">
        <f t="shared" si="43"/>
        <v>5036.8300000000008</v>
      </c>
      <c r="AQ154" s="612">
        <f>AP154-AE154</f>
        <v>0</v>
      </c>
      <c r="AR154" s="225">
        <f t="shared" si="33"/>
        <v>147</v>
      </c>
      <c r="AS154" s="225" t="e">
        <f t="shared" si="34"/>
        <v>#REF!</v>
      </c>
      <c r="AT154" s="186"/>
      <c r="AU154" s="136"/>
      <c r="AV154" s="102"/>
      <c r="AW154" s="102" t="s">
        <v>170</v>
      </c>
      <c r="AX154" s="102"/>
      <c r="AY154" s="131">
        <f>SUM(AY153)</f>
        <v>5036.83</v>
      </c>
      <c r="AZ154" s="95">
        <f>AP154</f>
        <v>5036.8300000000008</v>
      </c>
      <c r="BA154" s="95">
        <f>AZ154-AY154</f>
        <v>0</v>
      </c>
    </row>
    <row r="155" spans="1:53">
      <c r="A155" s="250" t="e">
        <f t="shared" si="35"/>
        <v>#REF!</v>
      </c>
      <c r="B155" s="136"/>
      <c r="C155" s="102"/>
      <c r="D155" s="102"/>
      <c r="AR155" s="225">
        <f t="shared" si="33"/>
        <v>148</v>
      </c>
      <c r="AS155" s="225" t="e">
        <f t="shared" si="34"/>
        <v>#REF!</v>
      </c>
      <c r="AT155" s="186"/>
      <c r="AU155" s="136"/>
      <c r="AV155" s="102"/>
      <c r="AW155" s="102"/>
      <c r="AX155" s="102"/>
      <c r="AY155" s="116"/>
    </row>
    <row r="156" spans="1:53">
      <c r="A156" s="250" t="e">
        <f t="shared" si="35"/>
        <v>#REF!</v>
      </c>
      <c r="B156" s="136">
        <v>106</v>
      </c>
      <c r="C156" s="102" t="s">
        <v>1159</v>
      </c>
      <c r="D156" s="102"/>
      <c r="AR156" s="225">
        <f t="shared" si="33"/>
        <v>149</v>
      </c>
      <c r="AS156" s="225" t="e">
        <f t="shared" si="34"/>
        <v>#REF!</v>
      </c>
      <c r="AT156" s="186"/>
      <c r="AU156" s="136">
        <v>106</v>
      </c>
      <c r="AV156" s="102" t="s">
        <v>661</v>
      </c>
      <c r="AW156" s="102"/>
      <c r="AX156" s="102"/>
      <c r="AY156" s="116"/>
    </row>
    <row r="157" spans="1:53">
      <c r="A157" s="250" t="e">
        <f t="shared" si="35"/>
        <v>#REF!</v>
      </c>
      <c r="B157" s="136"/>
      <c r="C157" s="102"/>
      <c r="D157" s="102" t="s">
        <v>443</v>
      </c>
      <c r="H157" s="116">
        <v>0</v>
      </c>
      <c r="I157" s="116">
        <v>0</v>
      </c>
      <c r="J157" s="116">
        <v>0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16">
        <v>0</v>
      </c>
      <c r="Q157" s="116">
        <v>0</v>
      </c>
      <c r="R157" s="116">
        <v>0</v>
      </c>
      <c r="S157" s="116">
        <v>0</v>
      </c>
      <c r="T157" s="116">
        <v>0</v>
      </c>
      <c r="U157" s="116">
        <v>0</v>
      </c>
      <c r="V157" s="116">
        <v>0</v>
      </c>
      <c r="W157" s="116">
        <v>0</v>
      </c>
      <c r="X157" s="116">
        <v>0</v>
      </c>
      <c r="Y157" s="116">
        <v>0</v>
      </c>
      <c r="Z157" s="116">
        <v>0</v>
      </c>
      <c r="AA157" s="116">
        <v>0</v>
      </c>
      <c r="AB157" s="116">
        <v>0</v>
      </c>
      <c r="AC157" s="116">
        <v>0</v>
      </c>
      <c r="AD157" s="116">
        <v>0</v>
      </c>
      <c r="AE157" s="116">
        <v>0</v>
      </c>
      <c r="AF157" s="116"/>
      <c r="AG157" s="133">
        <f>(SUM(T157:AD157)+(0.5*AE157)+(0.5*S157))/12</f>
        <v>0</v>
      </c>
      <c r="AI157" s="133">
        <f>AE157</f>
        <v>0</v>
      </c>
      <c r="AJ157" s="133">
        <f>AG157</f>
        <v>0</v>
      </c>
      <c r="AK157" s="133">
        <f>+'RB FORECAST'!AJ159</f>
        <v>0</v>
      </c>
      <c r="AL157" s="133">
        <f>+'RB FORECAST'!AG159</f>
        <v>0</v>
      </c>
      <c r="AM157" s="133">
        <f>+'RB FORECAST'!BA159</f>
        <v>0</v>
      </c>
      <c r="AN157" s="133">
        <f>+'RB FORECAST'!AW159</f>
        <v>0</v>
      </c>
      <c r="AP157" s="133">
        <f t="shared" si="43"/>
        <v>0</v>
      </c>
      <c r="AQ157" s="606">
        <f>AP157-AE157</f>
        <v>0</v>
      </c>
      <c r="AR157" s="225">
        <f t="shared" si="33"/>
        <v>150</v>
      </c>
      <c r="AS157" s="225" t="e">
        <f t="shared" si="34"/>
        <v>#REF!</v>
      </c>
      <c r="AT157" s="186"/>
      <c r="AU157" s="136"/>
      <c r="AV157" s="102"/>
      <c r="AW157" s="102" t="s">
        <v>443</v>
      </c>
      <c r="AX157" s="102"/>
      <c r="AY157" s="116">
        <f>+AE157</f>
        <v>0</v>
      </c>
      <c r="AZ157" s="95">
        <f>AP157</f>
        <v>0</v>
      </c>
      <c r="BA157" s="95">
        <f>AZ157-AY157</f>
        <v>0</v>
      </c>
    </row>
    <row r="158" spans="1:53">
      <c r="A158" s="250" t="e">
        <f t="shared" si="35"/>
        <v>#REF!</v>
      </c>
      <c r="B158" s="136"/>
      <c r="C158" s="102"/>
      <c r="D158" s="102" t="s">
        <v>592</v>
      </c>
      <c r="H158" s="116">
        <v>-493663.8</v>
      </c>
      <c r="I158" s="116">
        <v>-271884.72999999992</v>
      </c>
      <c r="J158" s="116">
        <v>-336930.26</v>
      </c>
      <c r="K158" s="116">
        <v>-182958.47</v>
      </c>
      <c r="L158" s="116">
        <v>531322.01</v>
      </c>
      <c r="M158" s="116">
        <v>706027.32</v>
      </c>
      <c r="N158" s="116">
        <v>1049625.18</v>
      </c>
      <c r="O158" s="116">
        <v>909358.04</v>
      </c>
      <c r="P158" s="116">
        <v>1120918.79</v>
      </c>
      <c r="Q158" s="116">
        <v>898256.46</v>
      </c>
      <c r="R158" s="116">
        <v>743792.91</v>
      </c>
      <c r="S158" s="116">
        <v>155755.46</v>
      </c>
      <c r="T158" s="116">
        <v>118669.23</v>
      </c>
      <c r="U158" s="116">
        <v>41327.620000000003</v>
      </c>
      <c r="V158" s="116">
        <v>109182.78</v>
      </c>
      <c r="W158" s="116">
        <v>276963.56</v>
      </c>
      <c r="X158" s="116">
        <v>950180.8</v>
      </c>
      <c r="Y158" s="116">
        <v>1588249.67</v>
      </c>
      <c r="Z158" s="116">
        <v>1993330.3800000001</v>
      </c>
      <c r="AA158" s="116">
        <v>2239100.69</v>
      </c>
      <c r="AB158" s="116">
        <v>2600183.6800000002</v>
      </c>
      <c r="AC158" s="116">
        <v>1576770.89</v>
      </c>
      <c r="AD158" s="116">
        <v>1675193.15</v>
      </c>
      <c r="AE158" s="116">
        <v>710920.69000000006</v>
      </c>
      <c r="AF158" s="116"/>
      <c r="AG158" s="133">
        <f>(SUM(T158:AD158)+(0.5*AE158)+(0.5*S158))/12</f>
        <v>1133540.8770833334</v>
      </c>
      <c r="AI158" s="133">
        <f>AE158</f>
        <v>710920.69000000006</v>
      </c>
      <c r="AJ158" s="133">
        <f>AG158</f>
        <v>1133540.8770833334</v>
      </c>
      <c r="AK158" s="133">
        <f>+'RB FORECAST'!AJ160</f>
        <v>710920.69000000029</v>
      </c>
      <c r="AL158" s="133">
        <f>+'RB FORECAST'!AG160</f>
        <v>710920.69000000006</v>
      </c>
      <c r="AM158" s="133">
        <f>+'RB FORECAST'!BA160</f>
        <v>710920.69000000029</v>
      </c>
      <c r="AN158" s="133">
        <f>+'RB FORECAST'!AW160</f>
        <v>710920.69000000006</v>
      </c>
      <c r="AP158" s="133">
        <f t="shared" si="43"/>
        <v>710920.69000000029</v>
      </c>
      <c r="AQ158" s="606">
        <f>AP158-AE158</f>
        <v>0</v>
      </c>
      <c r="AR158" s="225">
        <f t="shared" si="33"/>
        <v>151</v>
      </c>
      <c r="AS158" s="225" t="e">
        <f t="shared" si="34"/>
        <v>#REF!</v>
      </c>
      <c r="AT158" s="186"/>
      <c r="AU158" s="136"/>
      <c r="AV158" s="102"/>
      <c r="AW158" s="102" t="s">
        <v>592</v>
      </c>
      <c r="AX158" s="102"/>
      <c r="AY158" s="116">
        <f>+AE158</f>
        <v>710920.69000000006</v>
      </c>
      <c r="AZ158" s="95">
        <f>AP158</f>
        <v>710920.69000000029</v>
      </c>
      <c r="BA158" s="95">
        <f>AZ158-AY158</f>
        <v>0</v>
      </c>
    </row>
    <row r="159" spans="1:53">
      <c r="A159" s="250" t="e">
        <f t="shared" si="35"/>
        <v>#REF!</v>
      </c>
      <c r="B159" s="136"/>
      <c r="C159" s="102"/>
      <c r="D159" s="102" t="s">
        <v>593</v>
      </c>
      <c r="H159" s="116">
        <v>12369201.34</v>
      </c>
      <c r="I159" s="116">
        <v>12309366.049999995</v>
      </c>
      <c r="J159" s="116">
        <v>16650132.92</v>
      </c>
      <c r="K159" s="116">
        <v>14160643.050000001</v>
      </c>
      <c r="L159" s="116">
        <v>13332013.890000001</v>
      </c>
      <c r="M159" s="116">
        <v>16068195.1</v>
      </c>
      <c r="N159" s="116">
        <v>10665637.689999999</v>
      </c>
      <c r="O159" s="116">
        <v>13856961.85</v>
      </c>
      <c r="P159" s="116">
        <v>10408845.210000001</v>
      </c>
      <c r="Q159" s="116">
        <v>9103425.8399999999</v>
      </c>
      <c r="R159" s="116">
        <v>17405559.77</v>
      </c>
      <c r="S159" s="116">
        <v>19167111.399999999</v>
      </c>
      <c r="T159" s="116">
        <v>11100303.43</v>
      </c>
      <c r="U159" s="116">
        <v>16627548.82</v>
      </c>
      <c r="V159" s="116">
        <v>7179101.2120000003</v>
      </c>
      <c r="W159" s="116">
        <v>6777010.3099999996</v>
      </c>
      <c r="X159" s="116">
        <v>9121644.75</v>
      </c>
      <c r="Y159" s="116">
        <v>9719600.2219999917</v>
      </c>
      <c r="Z159" s="116">
        <v>12826474.791999988</v>
      </c>
      <c r="AA159" s="116">
        <v>9308466.1199999992</v>
      </c>
      <c r="AB159" s="116">
        <v>27287883.300000001</v>
      </c>
      <c r="AC159" s="116">
        <v>13704256.67</v>
      </c>
      <c r="AD159" s="116">
        <v>12449806.57</v>
      </c>
      <c r="AE159" s="116">
        <v>22418304.782000002</v>
      </c>
      <c r="AF159" s="116"/>
      <c r="AG159" s="133">
        <f>(SUM(T159:AD159)+(0.5*AE159)+(0.5*S159))/12</f>
        <v>13074567.023916664</v>
      </c>
      <c r="AI159" s="133">
        <f>AE159</f>
        <v>22418304.782000002</v>
      </c>
      <c r="AJ159" s="133">
        <f>AG159</f>
        <v>13074567.023916664</v>
      </c>
      <c r="AK159" s="133">
        <f>+'RB FORECAST'!AJ161</f>
        <v>22418304.782000002</v>
      </c>
      <c r="AL159" s="133">
        <f>+'RB FORECAST'!AG161</f>
        <v>22418304.782000002</v>
      </c>
      <c r="AM159" s="133">
        <f>+'RB FORECAST'!BA161</f>
        <v>22418304.782000002</v>
      </c>
      <c r="AN159" s="133">
        <f>+'RB FORECAST'!AW161</f>
        <v>22418304.782000002</v>
      </c>
      <c r="AP159" s="133">
        <f t="shared" si="43"/>
        <v>22418304.782000002</v>
      </c>
      <c r="AQ159" s="606">
        <f>AP159-AE159</f>
        <v>0</v>
      </c>
      <c r="AR159" s="225">
        <f t="shared" si="33"/>
        <v>152</v>
      </c>
      <c r="AS159" s="225" t="e">
        <f t="shared" si="34"/>
        <v>#REF!</v>
      </c>
      <c r="AT159" s="186"/>
      <c r="AU159" s="136"/>
      <c r="AV159" s="102"/>
      <c r="AW159" s="102" t="s">
        <v>593</v>
      </c>
      <c r="AX159" s="102"/>
      <c r="AY159" s="116">
        <f>+AE159</f>
        <v>22418304.782000002</v>
      </c>
      <c r="AZ159" s="95">
        <f>AP159</f>
        <v>22418304.782000002</v>
      </c>
      <c r="BA159" s="95">
        <f>AZ159-AY159</f>
        <v>0</v>
      </c>
    </row>
    <row r="160" spans="1:53">
      <c r="A160" s="250" t="e">
        <f t="shared" si="35"/>
        <v>#REF!</v>
      </c>
      <c r="B160" s="136"/>
      <c r="C160" s="102"/>
      <c r="D160" s="102" t="s">
        <v>595</v>
      </c>
      <c r="H160" s="116">
        <v>2357122.66</v>
      </c>
      <c r="I160" s="116">
        <v>1254689.3699999999</v>
      </c>
      <c r="J160" s="116">
        <v>1821920.46</v>
      </c>
      <c r="K160" s="116">
        <v>642262.87</v>
      </c>
      <c r="L160" s="116">
        <v>1089170.46</v>
      </c>
      <c r="M160" s="116">
        <v>1696927.53</v>
      </c>
      <c r="N160" s="116">
        <v>960586.87</v>
      </c>
      <c r="O160" s="116">
        <v>1195212.94</v>
      </c>
      <c r="P160" s="116">
        <v>708590.78</v>
      </c>
      <c r="Q160" s="116">
        <v>844986.55</v>
      </c>
      <c r="R160" s="116">
        <v>871491.64</v>
      </c>
      <c r="S160" s="116">
        <v>1995407.03</v>
      </c>
      <c r="T160" s="116">
        <v>1050953.3899999999</v>
      </c>
      <c r="U160" s="116">
        <v>1490322.23</v>
      </c>
      <c r="V160" s="116">
        <v>462115.64999999997</v>
      </c>
      <c r="W160" s="116">
        <v>471060.27</v>
      </c>
      <c r="X160" s="116">
        <v>1131562.3699999994</v>
      </c>
      <c r="Y160" s="116">
        <v>1107897.0900000001</v>
      </c>
      <c r="Z160" s="116">
        <v>1200519.75</v>
      </c>
      <c r="AA160" s="116">
        <v>1438369</v>
      </c>
      <c r="AB160" s="116">
        <v>2628142.71</v>
      </c>
      <c r="AC160" s="116">
        <v>1389351.33</v>
      </c>
      <c r="AD160" s="116">
        <v>1062030.31</v>
      </c>
      <c r="AE160" s="116">
        <v>3618205.25</v>
      </c>
      <c r="AF160" s="116"/>
      <c r="AG160" s="133">
        <f>(SUM(T160:AD160)+(0.5*AE160)+(0.5*S160))/12</f>
        <v>1353260.8533333333</v>
      </c>
      <c r="AI160" s="133">
        <f>AE160</f>
        <v>3618205.25</v>
      </c>
      <c r="AJ160" s="133">
        <f>AG160</f>
        <v>1353260.8533333333</v>
      </c>
      <c r="AK160" s="133">
        <f>+'RB FORECAST'!AJ162</f>
        <v>3618205.25</v>
      </c>
      <c r="AL160" s="133">
        <f>+'RB FORECAST'!AG162</f>
        <v>3618205.25</v>
      </c>
      <c r="AM160" s="133">
        <f>+'RB FORECAST'!BA162</f>
        <v>3618205.25</v>
      </c>
      <c r="AN160" s="133">
        <f>+'RB FORECAST'!AW162</f>
        <v>3618205.25</v>
      </c>
      <c r="AP160" s="133">
        <f t="shared" si="43"/>
        <v>3618205.25</v>
      </c>
      <c r="AQ160" s="606">
        <f>AP160-AE160</f>
        <v>0</v>
      </c>
      <c r="AR160" s="225">
        <f t="shared" si="33"/>
        <v>153</v>
      </c>
      <c r="AS160" s="225" t="e">
        <f t="shared" si="34"/>
        <v>#REF!</v>
      </c>
      <c r="AT160" s="186"/>
      <c r="AU160" s="136"/>
      <c r="AV160" s="102"/>
      <c r="AW160" s="102" t="s">
        <v>595</v>
      </c>
      <c r="AX160" s="102"/>
      <c r="AY160" s="116">
        <f>+AE160</f>
        <v>3618205.25</v>
      </c>
      <c r="AZ160" s="743">
        <f>AP160</f>
        <v>3618205.25</v>
      </c>
      <c r="BA160" s="743">
        <f>AZ160-AY160</f>
        <v>0</v>
      </c>
    </row>
    <row r="161" spans="1:53">
      <c r="A161" s="250" t="e">
        <f t="shared" si="35"/>
        <v>#REF!</v>
      </c>
      <c r="B161" s="136"/>
      <c r="C161" s="102"/>
      <c r="D161" s="102" t="s">
        <v>170</v>
      </c>
      <c r="H161" s="131">
        <v>14232660.199999999</v>
      </c>
      <c r="I161" s="131">
        <v>13292170.689999994</v>
      </c>
      <c r="J161" s="131">
        <v>18135123.120000001</v>
      </c>
      <c r="K161" s="131">
        <v>14619947.449999999</v>
      </c>
      <c r="L161" s="131">
        <v>14952506.359999999</v>
      </c>
      <c r="M161" s="131">
        <v>18471149.949999999</v>
      </c>
      <c r="N161" s="131">
        <v>12675849.739999998</v>
      </c>
      <c r="O161" s="131">
        <v>15961532.83</v>
      </c>
      <c r="P161" s="131">
        <v>12238354.779999999</v>
      </c>
      <c r="Q161" s="131">
        <v>10846668.850000001</v>
      </c>
      <c r="R161" s="131">
        <v>19020844.32</v>
      </c>
      <c r="S161" s="131">
        <v>21318273.890000001</v>
      </c>
      <c r="T161" s="131">
        <v>12269926.050000001</v>
      </c>
      <c r="U161" s="131">
        <v>18159198.669999998</v>
      </c>
      <c r="V161" s="131">
        <v>7750399.6420000009</v>
      </c>
      <c r="W161" s="131">
        <v>7525034.1399999987</v>
      </c>
      <c r="X161" s="131">
        <v>11203387.92</v>
      </c>
      <c r="Y161" s="131">
        <v>12415746.981999991</v>
      </c>
      <c r="Z161" s="131">
        <v>16020324.921999989</v>
      </c>
      <c r="AA161" s="131">
        <v>12985935.809999999</v>
      </c>
      <c r="AB161" s="131">
        <v>32516209.690000001</v>
      </c>
      <c r="AC161" s="131">
        <v>16670378.890000001</v>
      </c>
      <c r="AD161" s="131">
        <v>15187030.030000001</v>
      </c>
      <c r="AE161" s="131">
        <v>26747430.722000003</v>
      </c>
      <c r="AF161" s="131"/>
      <c r="AG161" s="241">
        <f>(SUM(T161:AD161)+(0.5*AE161)+(0.5*S161))/12</f>
        <v>15561368.754333332</v>
      </c>
      <c r="AI161" s="241">
        <f>AE161</f>
        <v>26747430.722000003</v>
      </c>
      <c r="AJ161" s="241">
        <f>AG161</f>
        <v>15561368.754333332</v>
      </c>
      <c r="AK161" s="241">
        <f>SUM(AK157:AK160)</f>
        <v>26747430.722000003</v>
      </c>
      <c r="AL161" s="241">
        <f>SUM(AL157:AL160)</f>
        <v>26747430.722000003</v>
      </c>
      <c r="AM161" s="241">
        <f t="shared" ref="AM161:AN161" si="52">SUM(AM157:AM160)</f>
        <v>26747430.722000003</v>
      </c>
      <c r="AN161" s="241">
        <f t="shared" si="52"/>
        <v>26747430.722000003</v>
      </c>
      <c r="AP161" s="241">
        <f t="shared" si="43"/>
        <v>26747430.722000003</v>
      </c>
      <c r="AQ161" s="612">
        <f>AP161-AE161</f>
        <v>0</v>
      </c>
      <c r="AR161" s="225">
        <f t="shared" si="33"/>
        <v>154</v>
      </c>
      <c r="AS161" s="225" t="e">
        <f t="shared" si="34"/>
        <v>#REF!</v>
      </c>
      <c r="AT161" s="186"/>
      <c r="AU161" s="136"/>
      <c r="AV161" s="102"/>
      <c r="AW161" s="102" t="s">
        <v>170</v>
      </c>
      <c r="AX161" s="102"/>
      <c r="AY161" s="131">
        <f>SUM(AY157:AY160)</f>
        <v>26747430.722000003</v>
      </c>
      <c r="AZ161" s="95">
        <f>AP161</f>
        <v>26747430.722000003</v>
      </c>
      <c r="BA161" s="95">
        <f>AZ161-AY161</f>
        <v>0</v>
      </c>
    </row>
    <row r="162" spans="1:53">
      <c r="A162" s="250" t="e">
        <f t="shared" si="35"/>
        <v>#REF!</v>
      </c>
      <c r="B162" s="136"/>
      <c r="C162" s="102"/>
      <c r="D162" s="102"/>
      <c r="AR162" s="225">
        <f t="shared" si="33"/>
        <v>155</v>
      </c>
      <c r="AS162" s="225" t="e">
        <f t="shared" si="34"/>
        <v>#REF!</v>
      </c>
      <c r="AT162" s="186"/>
      <c r="AU162" s="136"/>
      <c r="AV162" s="102"/>
      <c r="AW162" s="102"/>
      <c r="AX162" s="102"/>
      <c r="AY162" s="116"/>
    </row>
    <row r="163" spans="1:53">
      <c r="A163" s="250" t="e">
        <f t="shared" si="35"/>
        <v>#REF!</v>
      </c>
      <c r="B163" s="136">
        <v>108</v>
      </c>
      <c r="C163" s="102" t="s">
        <v>1160</v>
      </c>
      <c r="D163" s="102"/>
      <c r="AR163" s="225">
        <f t="shared" si="33"/>
        <v>156</v>
      </c>
      <c r="AS163" s="225" t="e">
        <f t="shared" si="34"/>
        <v>#REF!</v>
      </c>
      <c r="AT163" s="186"/>
      <c r="AU163" s="136">
        <v>108</v>
      </c>
      <c r="AV163" s="102" t="s">
        <v>872</v>
      </c>
      <c r="AW163" s="102"/>
      <c r="AX163" s="102"/>
      <c r="AY163" s="116"/>
    </row>
    <row r="164" spans="1:53">
      <c r="A164" s="250" t="e">
        <f t="shared" si="35"/>
        <v>#REF!</v>
      </c>
      <c r="B164" s="136"/>
      <c r="C164" s="102"/>
      <c r="D164" s="102" t="s">
        <v>443</v>
      </c>
      <c r="H164" s="116">
        <v>-68178210.200000003</v>
      </c>
      <c r="I164" s="116">
        <v>-68255444.099999994</v>
      </c>
      <c r="J164" s="116">
        <v>-68322385.689999998</v>
      </c>
      <c r="K164" s="116">
        <v>-68397973.480000004</v>
      </c>
      <c r="L164" s="116">
        <v>-68472533.730000004</v>
      </c>
      <c r="M164" s="116">
        <v>-68538871.030000001</v>
      </c>
      <c r="N164" s="116">
        <v>-68609618.290000007</v>
      </c>
      <c r="O164" s="116">
        <v>-68698903.879999995</v>
      </c>
      <c r="P164" s="116">
        <v>-68752717.280000001</v>
      </c>
      <c r="Q164" s="116">
        <v>-68801832.290000007</v>
      </c>
      <c r="R164" s="116">
        <v>-68860077.489999995</v>
      </c>
      <c r="S164" s="116">
        <v>-68927265.530000001</v>
      </c>
      <c r="T164" s="116">
        <v>-68992546.739999995</v>
      </c>
      <c r="U164" s="116">
        <v>-69047109.870000005</v>
      </c>
      <c r="V164" s="116">
        <v>-69092261.780000001</v>
      </c>
      <c r="W164" s="116">
        <v>-69148875.269999996</v>
      </c>
      <c r="X164" s="116">
        <v>-69202397.180000007</v>
      </c>
      <c r="Y164" s="116">
        <v>-69256660.719999999</v>
      </c>
      <c r="Z164" s="116">
        <v>-69314119.849999994</v>
      </c>
      <c r="AA164" s="116">
        <v>-69367366.510000005</v>
      </c>
      <c r="AB164" s="116">
        <v>-69417627.430000007</v>
      </c>
      <c r="AC164" s="116">
        <v>-69469195</v>
      </c>
      <c r="AD164" s="116">
        <v>-69536528.439999998</v>
      </c>
      <c r="AE164" s="116">
        <v>-69576718.010000005</v>
      </c>
      <c r="AF164" s="116"/>
      <c r="AG164" s="133">
        <f>(SUM(T164:AD164)+(0.5*AE164)+(0.5*S164))/12</f>
        <v>-69258056.713333353</v>
      </c>
      <c r="AI164" s="133">
        <f>AE164</f>
        <v>-69576718.010000005</v>
      </c>
      <c r="AJ164" s="133">
        <f>AG164</f>
        <v>-69258056.713333353</v>
      </c>
      <c r="AK164" s="133">
        <f ca="1">+'RB FORECAST'!AJ166</f>
        <v>-67442480.703175753</v>
      </c>
      <c r="AL164" s="133">
        <f ca="1">+'RB FORECAST'!AG166</f>
        <v>-73020540.639099732</v>
      </c>
      <c r="AM164" s="133">
        <f ca="1">+'RB FORECAST'!BA166</f>
        <v>-70477322.21544008</v>
      </c>
      <c r="AN164" s="133">
        <f ca="1">+'RB FORECAST'!AW166</f>
        <v>-77124298.515572712</v>
      </c>
      <c r="AP164" s="133">
        <f t="shared" ca="1" si="43"/>
        <v>-70477322.21544008</v>
      </c>
      <c r="AQ164" s="606">
        <f ca="1">AP164-AE164</f>
        <v>-900604.20544007421</v>
      </c>
      <c r="AR164" s="225">
        <f t="shared" si="33"/>
        <v>157</v>
      </c>
      <c r="AS164" s="225" t="e">
        <f t="shared" si="34"/>
        <v>#REF!</v>
      </c>
      <c r="AT164" s="186"/>
      <c r="AU164" s="136"/>
      <c r="AV164" s="102"/>
      <c r="AW164" s="102" t="s">
        <v>443</v>
      </c>
      <c r="AX164" s="102"/>
      <c r="AY164" s="116">
        <f>+AE164</f>
        <v>-69576718.010000005</v>
      </c>
      <c r="AZ164" s="95">
        <f ca="1">AP164</f>
        <v>-70477322.21544008</v>
      </c>
      <c r="BA164" s="95">
        <f ca="1">AZ164-AY164</f>
        <v>-900604.20544007421</v>
      </c>
    </row>
    <row r="165" spans="1:53">
      <c r="A165" s="250" t="e">
        <f t="shared" si="35"/>
        <v>#REF!</v>
      </c>
      <c r="B165" s="136"/>
      <c r="C165" s="119"/>
      <c r="D165" s="119" t="s">
        <v>592</v>
      </c>
      <c r="H165" s="116">
        <v>-27052839.039999999</v>
      </c>
      <c r="I165" s="116">
        <v>-27146749.390000001</v>
      </c>
      <c r="J165" s="116">
        <v>-26825368.370000001</v>
      </c>
      <c r="K165" s="116">
        <v>-26906413.699999999</v>
      </c>
      <c r="L165" s="116">
        <v>-26753240.32</v>
      </c>
      <c r="M165" s="116">
        <v>-27140496.739999998</v>
      </c>
      <c r="N165" s="116">
        <v>-27283530.34</v>
      </c>
      <c r="O165" s="116">
        <v>-21544141.780000001</v>
      </c>
      <c r="P165" s="116">
        <v>-21766002.739999998</v>
      </c>
      <c r="Q165" s="116">
        <v>-21890644.920000002</v>
      </c>
      <c r="R165" s="116">
        <v>-21345997.739999998</v>
      </c>
      <c r="S165" s="116">
        <v>-21431368.719999999</v>
      </c>
      <c r="T165" s="116">
        <v>-21551340.98</v>
      </c>
      <c r="U165" s="116">
        <v>-21565256.16</v>
      </c>
      <c r="V165" s="116">
        <v>-21440799.239999998</v>
      </c>
      <c r="W165" s="116">
        <v>-21574450.350000001</v>
      </c>
      <c r="X165" s="116">
        <v>-21691853.879999999</v>
      </c>
      <c r="Y165" s="116">
        <v>-21221477.809999999</v>
      </c>
      <c r="Z165" s="116">
        <v>-20757179.850000001</v>
      </c>
      <c r="AA165" s="116">
        <v>-20797669.989999998</v>
      </c>
      <c r="AB165" s="116">
        <v>-20888278.25</v>
      </c>
      <c r="AC165" s="116">
        <v>-20504051.219999999</v>
      </c>
      <c r="AD165" s="116">
        <v>-19646767.719999999</v>
      </c>
      <c r="AE165" s="116">
        <v>-27333445.210000001</v>
      </c>
      <c r="AF165" s="116"/>
      <c r="AG165" s="133">
        <f>(SUM(T165:AD165)+(0.5*AE165)+(0.5*S165))/12</f>
        <v>-21335127.701249998</v>
      </c>
      <c r="AI165" s="133">
        <f>AE165</f>
        <v>-27333445.210000001</v>
      </c>
      <c r="AJ165" s="133">
        <f>AG165</f>
        <v>-21335127.701249998</v>
      </c>
      <c r="AK165" s="133">
        <f ca="1">+'RB FORECAST'!AJ167</f>
        <v>-26495002.981626507</v>
      </c>
      <c r="AL165" s="133">
        <f ca="1">+'RB FORECAST'!AG167</f>
        <v>-28686362.390312046</v>
      </c>
      <c r="AM165" s="133">
        <f ca="1">+'RB FORECAST'!BA167</f>
        <v>-27687250.569168475</v>
      </c>
      <c r="AN165" s="133">
        <f ca="1">+'RB FORECAST'!AW167</f>
        <v>-30298537.328709658</v>
      </c>
      <c r="AP165" s="133">
        <f t="shared" ca="1" si="43"/>
        <v>-27687250.569168475</v>
      </c>
      <c r="AQ165" s="606">
        <f ca="1">AP165-AE165</f>
        <v>-353805.35916847363</v>
      </c>
      <c r="AR165" s="225">
        <f t="shared" si="33"/>
        <v>158</v>
      </c>
      <c r="AS165" s="225" t="e">
        <f t="shared" si="34"/>
        <v>#REF!</v>
      </c>
      <c r="AT165" s="186"/>
      <c r="AU165" s="136"/>
      <c r="AV165" s="119"/>
      <c r="AW165" s="119" t="s">
        <v>592</v>
      </c>
      <c r="AX165" s="102"/>
      <c r="AY165" s="116">
        <f>+AE165</f>
        <v>-27333445.210000001</v>
      </c>
      <c r="AZ165" s="95">
        <f ca="1">AP165</f>
        <v>-27687250.569168475</v>
      </c>
      <c r="BA165" s="95">
        <f ca="1">AZ165-AY165</f>
        <v>-353805.35916847363</v>
      </c>
    </row>
    <row r="166" spans="1:53">
      <c r="A166" s="250" t="e">
        <f t="shared" si="35"/>
        <v>#REF!</v>
      </c>
      <c r="B166" s="136"/>
      <c r="C166" s="102"/>
      <c r="D166" s="119" t="s">
        <v>593</v>
      </c>
      <c r="H166" s="116">
        <v>-578731448.25999999</v>
      </c>
      <c r="I166" s="116">
        <v>-581021514.09000003</v>
      </c>
      <c r="J166" s="116">
        <v>-584059561.69000006</v>
      </c>
      <c r="K166" s="116">
        <v>-584941289.07000005</v>
      </c>
      <c r="L166" s="116">
        <v>-587173838.05999994</v>
      </c>
      <c r="M166" s="116">
        <v>-588606752.77999997</v>
      </c>
      <c r="N166" s="116">
        <v>-590331682.46000004</v>
      </c>
      <c r="O166" s="116">
        <v>-479795633.27999997</v>
      </c>
      <c r="P166" s="116">
        <v>-482476885.25</v>
      </c>
      <c r="Q166" s="116">
        <v>-484584324.30000001</v>
      </c>
      <c r="R166" s="116">
        <v>-487750623.95999998</v>
      </c>
      <c r="S166" s="116">
        <v>-490365351.56999999</v>
      </c>
      <c r="T166" s="116">
        <v>-493315380.68000001</v>
      </c>
      <c r="U166" s="116">
        <v>-495628361.25999999</v>
      </c>
      <c r="V166" s="116">
        <v>-493969005.87</v>
      </c>
      <c r="W166" s="116">
        <v>-497252232.76999998</v>
      </c>
      <c r="X166" s="116">
        <v>-500051378.44</v>
      </c>
      <c r="Y166" s="116">
        <v>-503340730.22000003</v>
      </c>
      <c r="Z166" s="116">
        <v>-506346697.06999999</v>
      </c>
      <c r="AA166" s="116">
        <v>-509573960.37</v>
      </c>
      <c r="AB166" s="116">
        <v>-513389129.88</v>
      </c>
      <c r="AC166" s="116">
        <v>-516209152.38</v>
      </c>
      <c r="AD166" s="116">
        <v>-519918311.72000003</v>
      </c>
      <c r="AE166" s="116">
        <v>-512951843.95999998</v>
      </c>
      <c r="AF166" s="116"/>
      <c r="AG166" s="133">
        <f>(SUM(T166:AD166)+(0.5*AE166)+(0.5*S166))/12</f>
        <v>-504221078.20208329</v>
      </c>
      <c r="AI166" s="133">
        <f>AE166</f>
        <v>-512951843.95999998</v>
      </c>
      <c r="AJ166" s="133">
        <f>AG166</f>
        <v>-504221078.20208329</v>
      </c>
      <c r="AK166" s="133">
        <f ca="1">+'RB FORECAST'!AJ168</f>
        <v>-497217256.39543015</v>
      </c>
      <c r="AL166" s="133">
        <f ca="1">+'RB FORECAST'!AG168</f>
        <v>-538341302.0774982</v>
      </c>
      <c r="AM166" s="133">
        <f ca="1">+'RB FORECAST'!BA168</f>
        <v>-519591515.98063499</v>
      </c>
      <c r="AN166" s="133">
        <f ca="1">+'RB FORECAST'!AW168</f>
        <v>-568596109.00299358</v>
      </c>
      <c r="AP166" s="133">
        <f t="shared" ca="1" si="43"/>
        <v>-519591515.98063499</v>
      </c>
      <c r="AQ166" s="606">
        <f ca="1">AP166-AE166</f>
        <v>-6639672.0206350088</v>
      </c>
      <c r="AR166" s="225">
        <f t="shared" ref="AR166:AR236" si="53">+AR165+1</f>
        <v>159</v>
      </c>
      <c r="AS166" s="225" t="e">
        <f t="shared" ref="AS166:AS236" si="54">+AS165+1</f>
        <v>#REF!</v>
      </c>
      <c r="AT166" s="186"/>
      <c r="AU166" s="136"/>
      <c r="AV166" s="102"/>
      <c r="AW166" s="119" t="s">
        <v>593</v>
      </c>
      <c r="AX166" s="102"/>
      <c r="AY166" s="116">
        <f>+AE166</f>
        <v>-512951843.95999998</v>
      </c>
      <c r="AZ166" s="95">
        <f ca="1">AP166</f>
        <v>-519591515.98063499</v>
      </c>
      <c r="BA166" s="95">
        <f ca="1">AZ166-AY166</f>
        <v>-6639672.0206350088</v>
      </c>
    </row>
    <row r="167" spans="1:53">
      <c r="A167" s="250" t="e">
        <f t="shared" si="35"/>
        <v>#REF!</v>
      </c>
      <c r="B167" s="136"/>
      <c r="C167" s="102"/>
      <c r="D167" s="102" t="s">
        <v>595</v>
      </c>
      <c r="H167" s="116">
        <v>-133741397.28</v>
      </c>
      <c r="I167" s="116">
        <v>-134663400.69999999</v>
      </c>
      <c r="J167" s="116">
        <v>-133872321.14</v>
      </c>
      <c r="K167" s="116">
        <v>-134815753.36000001</v>
      </c>
      <c r="L167" s="116">
        <v>-135505138.09999999</v>
      </c>
      <c r="M167" s="116">
        <v>-136101069.75</v>
      </c>
      <c r="N167" s="116">
        <v>-137091983.75999999</v>
      </c>
      <c r="O167" s="116">
        <v>-144776600.27000001</v>
      </c>
      <c r="P167" s="116">
        <v>-145296683.21000001</v>
      </c>
      <c r="Q167" s="116">
        <v>-146454406.06999999</v>
      </c>
      <c r="R167" s="116">
        <v>-149081871.31999999</v>
      </c>
      <c r="S167" s="116">
        <v>-149721236.30000001</v>
      </c>
      <c r="T167" s="116">
        <v>-132419416.83</v>
      </c>
      <c r="U167" s="116">
        <v>-132602402.33</v>
      </c>
      <c r="V167" s="116">
        <v>-129688646.31</v>
      </c>
      <c r="W167" s="116">
        <v>-130830172.95999999</v>
      </c>
      <c r="X167" s="116">
        <v>-132007188.29000001</v>
      </c>
      <c r="Y167" s="116">
        <v>-126638206.45</v>
      </c>
      <c r="Z167" s="116">
        <v>-127752212.18000001</v>
      </c>
      <c r="AA167" s="116">
        <v>-127774055.2</v>
      </c>
      <c r="AB167" s="116">
        <v>-128657090.75</v>
      </c>
      <c r="AC167" s="116">
        <v>-129446678.20999999</v>
      </c>
      <c r="AD167" s="116">
        <v>-129034361.31999999</v>
      </c>
      <c r="AE167" s="116">
        <v>-128844639.09999999</v>
      </c>
      <c r="AF167" s="116"/>
      <c r="AG167" s="133">
        <f>(SUM(T167:AD167)+(0.5*AE167)+(0.5*S167))/12</f>
        <v>-130511114.04416668</v>
      </c>
      <c r="AI167" s="133">
        <f>AE167</f>
        <v>-128844639.09999999</v>
      </c>
      <c r="AJ167" s="133">
        <f>AG167</f>
        <v>-130511114.04416668</v>
      </c>
      <c r="AK167" s="133">
        <f ca="1">+'RB FORECAST'!AJ169</f>
        <v>-124892382.60649873</v>
      </c>
      <c r="AL167" s="133">
        <f ca="1">+'RB FORECAST'!AG169</f>
        <v>-135222032.23468325</v>
      </c>
      <c r="AM167" s="133">
        <f ca="1">+'RB FORECAST'!BA169</f>
        <v>-130512409.97423397</v>
      </c>
      <c r="AN167" s="133">
        <f ca="1">+'RB FORECAST'!AW169</f>
        <v>-142821516.91391098</v>
      </c>
      <c r="AP167" s="133">
        <f t="shared" ca="1" si="43"/>
        <v>-130512409.97423397</v>
      </c>
      <c r="AQ167" s="606">
        <f ca="1">AP167-AE167</f>
        <v>-1667770.874233976</v>
      </c>
      <c r="AR167" s="225">
        <f t="shared" si="53"/>
        <v>160</v>
      </c>
      <c r="AS167" s="225" t="e">
        <f t="shared" si="54"/>
        <v>#REF!</v>
      </c>
      <c r="AT167" s="186"/>
      <c r="AU167" s="136"/>
      <c r="AV167" s="102"/>
      <c r="AW167" s="102" t="s">
        <v>595</v>
      </c>
      <c r="AX167" s="102"/>
      <c r="AY167" s="116">
        <f>+AE167</f>
        <v>-128844639.09999999</v>
      </c>
      <c r="AZ167" s="95">
        <f ca="1">AP167</f>
        <v>-130512409.97423397</v>
      </c>
      <c r="BA167" s="95">
        <f ca="1">AZ167-AY167</f>
        <v>-1667770.874233976</v>
      </c>
    </row>
    <row r="168" spans="1:53">
      <c r="A168" s="250" t="e">
        <f t="shared" si="35"/>
        <v>#REF!</v>
      </c>
      <c r="B168" s="136"/>
      <c r="C168" s="102"/>
      <c r="D168" s="102" t="s">
        <v>170</v>
      </c>
      <c r="H168" s="131">
        <v>-807703894.77999997</v>
      </c>
      <c r="I168" s="131">
        <v>-811087108.27999997</v>
      </c>
      <c r="J168" s="131">
        <v>-813079636.88999999</v>
      </c>
      <c r="K168" s="131">
        <v>-815061429.61000001</v>
      </c>
      <c r="L168" s="131">
        <v>-817904750.20999992</v>
      </c>
      <c r="M168" s="131">
        <v>-820387190.29999995</v>
      </c>
      <c r="N168" s="131">
        <v>-823316814.85000002</v>
      </c>
      <c r="O168" s="131">
        <v>-714815279.20999992</v>
      </c>
      <c r="P168" s="131">
        <v>-718292288.48000002</v>
      </c>
      <c r="Q168" s="131">
        <v>-721731207.57999992</v>
      </c>
      <c r="R168" s="131">
        <v>-727038570.50999999</v>
      </c>
      <c r="S168" s="131">
        <v>-730445222.11999989</v>
      </c>
      <c r="T168" s="131">
        <v>-716278685.23000002</v>
      </c>
      <c r="U168" s="131">
        <v>-718843129.62</v>
      </c>
      <c r="V168" s="131">
        <v>-714190713.20000005</v>
      </c>
      <c r="W168" s="131">
        <v>-718805731.35000002</v>
      </c>
      <c r="X168" s="131">
        <v>-722952817.78999996</v>
      </c>
      <c r="Y168" s="131">
        <v>-720457075.20000005</v>
      </c>
      <c r="Z168" s="131">
        <v>-724170208.95000005</v>
      </c>
      <c r="AA168" s="131">
        <v>-727513052.07000005</v>
      </c>
      <c r="AB168" s="131">
        <v>-732352126.30999994</v>
      </c>
      <c r="AC168" s="131">
        <v>-735629076.81000006</v>
      </c>
      <c r="AD168" s="131">
        <v>-738135969.20000005</v>
      </c>
      <c r="AE168" s="131">
        <v>-738706646.27999997</v>
      </c>
      <c r="AF168" s="131"/>
      <c r="AG168" s="241">
        <f>(SUM(T168:AD168)+(0.5*AE168)+(0.5*S168))/12</f>
        <v>-725325376.66083336</v>
      </c>
      <c r="AI168" s="241">
        <f>AE168</f>
        <v>-738706646.27999997</v>
      </c>
      <c r="AJ168" s="241">
        <f>AG168</f>
        <v>-725325376.66083336</v>
      </c>
      <c r="AK168" s="241">
        <f ca="1">SUM(AK164:AK167)</f>
        <v>-716047122.6867311</v>
      </c>
      <c r="AL168" s="241">
        <f ca="1">SUM(AL164:AL167)</f>
        <v>-775270237.34159327</v>
      </c>
      <c r="AM168" s="241">
        <f t="shared" ref="AM168:AN168" ca="1" si="55">SUM(AM164:AM167)</f>
        <v>-748268498.73947752</v>
      </c>
      <c r="AN168" s="241">
        <f t="shared" ca="1" si="55"/>
        <v>-818840461.76118696</v>
      </c>
      <c r="AP168" s="241">
        <f t="shared" ca="1" si="43"/>
        <v>-748268498.73947752</v>
      </c>
      <c r="AQ168" s="612">
        <f ca="1">AP168-AE168</f>
        <v>-9561852.4594775438</v>
      </c>
      <c r="AR168" s="225">
        <f t="shared" si="53"/>
        <v>161</v>
      </c>
      <c r="AS168" s="225" t="e">
        <f t="shared" si="54"/>
        <v>#REF!</v>
      </c>
      <c r="AT168" s="186"/>
      <c r="AU168" s="136"/>
      <c r="AV168" s="102"/>
      <c r="AW168" s="102" t="s">
        <v>170</v>
      </c>
      <c r="AX168" s="102"/>
      <c r="AY168" s="620">
        <f>SUM(AY164:AY167)</f>
        <v>-738706646.27999997</v>
      </c>
      <c r="AZ168" s="1049">
        <f ca="1">AP168</f>
        <v>-748268498.73947752</v>
      </c>
      <c r="BA168" s="1049">
        <f ca="1">AZ168-AY168</f>
        <v>-9561852.4594775438</v>
      </c>
    </row>
    <row r="169" spans="1:53">
      <c r="A169" s="250" t="e">
        <f t="shared" si="35"/>
        <v>#REF!</v>
      </c>
      <c r="B169" s="136"/>
      <c r="C169" s="102"/>
      <c r="D169" s="102"/>
      <c r="AR169" s="225">
        <f t="shared" si="53"/>
        <v>162</v>
      </c>
      <c r="AS169" s="225" t="e">
        <f t="shared" si="54"/>
        <v>#REF!</v>
      </c>
      <c r="AT169" s="186"/>
      <c r="AU169" s="136"/>
      <c r="AV169" s="102"/>
      <c r="AW169" s="102"/>
      <c r="AX169" s="102"/>
      <c r="AY169" s="116"/>
    </row>
    <row r="170" spans="1:53">
      <c r="A170" s="250" t="e">
        <f t="shared" ref="A170:A240" si="56">+A169+1</f>
        <v>#REF!</v>
      </c>
      <c r="B170" s="136">
        <v>111</v>
      </c>
      <c r="C170" s="102" t="s">
        <v>1161</v>
      </c>
      <c r="D170" s="102"/>
      <c r="AR170" s="225">
        <f t="shared" si="53"/>
        <v>163</v>
      </c>
      <c r="AS170" s="225" t="e">
        <f t="shared" si="54"/>
        <v>#REF!</v>
      </c>
      <c r="AT170" s="186"/>
      <c r="AU170" s="136">
        <v>111</v>
      </c>
      <c r="AV170" s="102" t="s">
        <v>300</v>
      </c>
      <c r="AW170" s="102"/>
      <c r="AX170" s="102"/>
      <c r="AY170" s="116"/>
    </row>
    <row r="171" spans="1:53">
      <c r="A171" s="250" t="e">
        <f t="shared" si="56"/>
        <v>#REF!</v>
      </c>
      <c r="B171" s="227"/>
      <c r="C171" s="102"/>
      <c r="D171" s="102" t="s">
        <v>443</v>
      </c>
      <c r="H171" s="116">
        <v>-6113617.5899999999</v>
      </c>
      <c r="I171" s="116">
        <v>-6115658.5599999996</v>
      </c>
      <c r="J171" s="116">
        <v>-6117403.3499999996</v>
      </c>
      <c r="K171" s="116">
        <v>-6119373.4900000002</v>
      </c>
      <c r="L171" s="116">
        <v>-6121316.8599999994</v>
      </c>
      <c r="M171" s="116">
        <v>-6123045.8700000001</v>
      </c>
      <c r="N171" s="116">
        <v>-6124889.8499999996</v>
      </c>
      <c r="O171" s="116">
        <v>-6127217.0199999996</v>
      </c>
      <c r="P171" s="116">
        <v>-6128619.6299999999</v>
      </c>
      <c r="Q171" s="116">
        <v>-6129899.7799999993</v>
      </c>
      <c r="R171" s="116">
        <v>-6131417.8899999997</v>
      </c>
      <c r="S171" s="116">
        <v>-6133169.1100000003</v>
      </c>
      <c r="T171" s="116">
        <v>-6134870.6200000001</v>
      </c>
      <c r="U171" s="116">
        <v>-6136325.9799999995</v>
      </c>
      <c r="V171" s="116">
        <v>-6137515.3499999996</v>
      </c>
      <c r="W171" s="116">
        <v>-6139006.6299999999</v>
      </c>
      <c r="X171" s="116">
        <v>-6140416.4799999995</v>
      </c>
      <c r="Y171" s="116">
        <v>-6141845.8700000001</v>
      </c>
      <c r="Z171" s="116">
        <v>-6143359.4199999999</v>
      </c>
      <c r="AA171" s="116">
        <v>-6144762.0199999996</v>
      </c>
      <c r="AB171" s="116">
        <v>-6146085.96</v>
      </c>
      <c r="AC171" s="116">
        <v>-6147444.3300000001</v>
      </c>
      <c r="AD171" s="116">
        <v>-6149218</v>
      </c>
      <c r="AE171" s="116">
        <v>-6150276.6600000001</v>
      </c>
      <c r="AF171" s="116"/>
      <c r="AG171" s="133">
        <f>(SUM(T171:AD171)+(0.5*AE171)+(0.5*S171))/12</f>
        <v>-6141881.1287500001</v>
      </c>
      <c r="AI171" s="133">
        <f>AE171</f>
        <v>-6150276.6600000001</v>
      </c>
      <c r="AJ171" s="133">
        <f>AG171</f>
        <v>-6141881.1287500001</v>
      </c>
      <c r="AK171" s="133">
        <f>+'RB FORECAST'!AJ173</f>
        <v>-6150276.6599999992</v>
      </c>
      <c r="AL171" s="133">
        <f>+'RB FORECAST'!AG173</f>
        <v>-6150276.6600000001</v>
      </c>
      <c r="AM171" s="133">
        <f>+'RB FORECAST'!BA173</f>
        <v>-6150276.6599999992</v>
      </c>
      <c r="AN171" s="133">
        <f>+'RB FORECAST'!AW173</f>
        <v>-6150276.6600000001</v>
      </c>
      <c r="AP171" s="133">
        <f t="shared" si="43"/>
        <v>-6150276.6599999992</v>
      </c>
      <c r="AQ171" s="606">
        <f>AP171-AE171</f>
        <v>0</v>
      </c>
      <c r="AR171" s="225">
        <f t="shared" si="53"/>
        <v>164</v>
      </c>
      <c r="AS171" s="225" t="e">
        <f t="shared" si="54"/>
        <v>#REF!</v>
      </c>
      <c r="AT171" s="186"/>
      <c r="AU171" s="227"/>
      <c r="AV171" s="102"/>
      <c r="AW171" s="102" t="s">
        <v>443</v>
      </c>
      <c r="AX171" s="102"/>
      <c r="AY171" s="116">
        <f>+AE171</f>
        <v>-6150276.6600000001</v>
      </c>
      <c r="AZ171" s="95">
        <f>AP171</f>
        <v>-6150276.6599999992</v>
      </c>
      <c r="BA171" s="95">
        <f>AZ171-AY171</f>
        <v>0</v>
      </c>
    </row>
    <row r="172" spans="1:53">
      <c r="A172" s="250" t="e">
        <f t="shared" si="56"/>
        <v>#REF!</v>
      </c>
      <c r="B172" s="227"/>
      <c r="C172" s="102"/>
      <c r="D172" s="102" t="s">
        <v>592</v>
      </c>
      <c r="H172" s="116">
        <v>-10883.08</v>
      </c>
      <c r="I172" s="116">
        <v>-10883.08</v>
      </c>
      <c r="J172" s="116">
        <v>-10883.08</v>
      </c>
      <c r="K172" s="116">
        <v>-10883.08</v>
      </c>
      <c r="L172" s="116">
        <v>-10883.08</v>
      </c>
      <c r="M172" s="116">
        <v>-10883.08</v>
      </c>
      <c r="N172" s="116">
        <v>-10883.08</v>
      </c>
      <c r="O172" s="116">
        <v>-10883.08</v>
      </c>
      <c r="P172" s="116">
        <v>-10883.08</v>
      </c>
      <c r="Q172" s="116">
        <v>-10883.08</v>
      </c>
      <c r="R172" s="116">
        <v>-10883.08</v>
      </c>
      <c r="S172" s="116">
        <v>-10883.08</v>
      </c>
      <c r="T172" s="116">
        <v>-10883.08</v>
      </c>
      <c r="U172" s="116">
        <v>-10883.08</v>
      </c>
      <c r="V172" s="116">
        <v>-10883.08</v>
      </c>
      <c r="W172" s="116">
        <v>-10883.08</v>
      </c>
      <c r="X172" s="116">
        <v>-10883.08</v>
      </c>
      <c r="Y172" s="116">
        <v>-10883.08</v>
      </c>
      <c r="Z172" s="116">
        <v>-10883.08</v>
      </c>
      <c r="AA172" s="116">
        <v>-10883.08</v>
      </c>
      <c r="AB172" s="116">
        <v>-10883.08</v>
      </c>
      <c r="AC172" s="116">
        <v>-10883.08</v>
      </c>
      <c r="AD172" s="116">
        <v>-10883.08</v>
      </c>
      <c r="AE172" s="116">
        <v>-10883.08</v>
      </c>
      <c r="AF172" s="116"/>
      <c r="AG172" s="133">
        <f>(SUM(T172:AD172)+(0.5*AE172)+(0.5*S172))/12</f>
        <v>-10883.08</v>
      </c>
      <c r="AI172" s="133">
        <f>AE172</f>
        <v>-10883.08</v>
      </c>
      <c r="AJ172" s="133">
        <f>AG172</f>
        <v>-10883.08</v>
      </c>
      <c r="AK172" s="133">
        <f>+'RB FORECAST'!AJ174</f>
        <v>-10883.08</v>
      </c>
      <c r="AL172" s="133">
        <f>+'RB FORECAST'!AG174</f>
        <v>-10883.08</v>
      </c>
      <c r="AM172" s="133">
        <f>+'RB FORECAST'!BA174</f>
        <v>-10883.08</v>
      </c>
      <c r="AN172" s="133">
        <f>+'RB FORECAST'!AW174</f>
        <v>-10883.08</v>
      </c>
      <c r="AP172" s="133">
        <f t="shared" si="43"/>
        <v>-10883.08</v>
      </c>
      <c r="AQ172" s="606">
        <f>AP172-AE172</f>
        <v>0</v>
      </c>
      <c r="AR172" s="225">
        <f t="shared" si="53"/>
        <v>165</v>
      </c>
      <c r="AS172" s="225" t="e">
        <f t="shared" si="54"/>
        <v>#REF!</v>
      </c>
      <c r="AT172" s="186"/>
      <c r="AU172" s="227"/>
      <c r="AV172" s="102"/>
      <c r="AW172" s="102" t="s">
        <v>592</v>
      </c>
      <c r="AX172" s="102"/>
      <c r="AY172" s="116">
        <f>+AE172</f>
        <v>-10883.08</v>
      </c>
      <c r="AZ172" s="95">
        <f>AP172</f>
        <v>-10883.08</v>
      </c>
      <c r="BA172" s="95">
        <f>AZ172-AY172</f>
        <v>0</v>
      </c>
    </row>
    <row r="173" spans="1:53">
      <c r="A173" s="250" t="e">
        <f t="shared" si="56"/>
        <v>#REF!</v>
      </c>
      <c r="B173" s="227"/>
      <c r="C173" s="102"/>
      <c r="D173" s="102" t="s">
        <v>593</v>
      </c>
      <c r="H173" s="116">
        <v>-58742.890000000007</v>
      </c>
      <c r="I173" s="116">
        <v>-58742.880000000005</v>
      </c>
      <c r="J173" s="116">
        <v>-58742.880000000005</v>
      </c>
      <c r="K173" s="116">
        <v>-58742.880000000005</v>
      </c>
      <c r="L173" s="116">
        <v>-58742.880000000005</v>
      </c>
      <c r="M173" s="116">
        <v>-58742.890000000007</v>
      </c>
      <c r="N173" s="116">
        <v>-58742.880000000005</v>
      </c>
      <c r="O173" s="116">
        <v>-58742.880000000005</v>
      </c>
      <c r="P173" s="116">
        <v>-58742.880000000005</v>
      </c>
      <c r="Q173" s="116">
        <v>-58742.880000000005</v>
      </c>
      <c r="R173" s="116">
        <v>-58742.880000000005</v>
      </c>
      <c r="S173" s="116">
        <v>-58742.880000000005</v>
      </c>
      <c r="T173" s="116">
        <v>-58742.880000000005</v>
      </c>
      <c r="U173" s="116">
        <v>-58742.880000000005</v>
      </c>
      <c r="V173" s="116">
        <v>-58742.880000000005</v>
      </c>
      <c r="W173" s="116">
        <v>-58742.880000000005</v>
      </c>
      <c r="X173" s="116">
        <v>-58742.880000000005</v>
      </c>
      <c r="Y173" s="116">
        <v>-58742.880000000005</v>
      </c>
      <c r="Z173" s="116">
        <v>-58742.880000000005</v>
      </c>
      <c r="AA173" s="116">
        <v>-58742.880000000005</v>
      </c>
      <c r="AB173" s="116">
        <v>-58742.880000000005</v>
      </c>
      <c r="AC173" s="116">
        <v>-58742.880000000005</v>
      </c>
      <c r="AD173" s="116">
        <v>-58742.880000000005</v>
      </c>
      <c r="AE173" s="116">
        <v>-58742.880000000005</v>
      </c>
      <c r="AF173" s="116"/>
      <c r="AG173" s="133">
        <f>(SUM(T173:AD173)+(0.5*AE173)+(0.5*S173))/12</f>
        <v>-58742.880000000005</v>
      </c>
      <c r="AI173" s="133">
        <f>AE173</f>
        <v>-58742.880000000005</v>
      </c>
      <c r="AJ173" s="133">
        <f>AG173</f>
        <v>-58742.880000000005</v>
      </c>
      <c r="AK173" s="133">
        <f>+'RB FORECAST'!AJ175</f>
        <v>-58742.880000000005</v>
      </c>
      <c r="AL173" s="133">
        <f>+'RB FORECAST'!AG175</f>
        <v>-58742.880000000005</v>
      </c>
      <c r="AM173" s="133">
        <f>+'RB FORECAST'!BA175</f>
        <v>-58742.880000000005</v>
      </c>
      <c r="AN173" s="133">
        <f>+'RB FORECAST'!AW175</f>
        <v>-58742.880000000005</v>
      </c>
      <c r="AP173" s="133">
        <f t="shared" si="43"/>
        <v>-58742.880000000005</v>
      </c>
      <c r="AQ173" s="606">
        <f>AP173-AE173</f>
        <v>0</v>
      </c>
      <c r="AR173" s="225">
        <f t="shared" si="53"/>
        <v>166</v>
      </c>
      <c r="AS173" s="225" t="e">
        <f t="shared" si="54"/>
        <v>#REF!</v>
      </c>
      <c r="AT173" s="186"/>
      <c r="AU173" s="227"/>
      <c r="AV173" s="102"/>
      <c r="AW173" s="102" t="s">
        <v>593</v>
      </c>
      <c r="AX173" s="102"/>
      <c r="AY173" s="116">
        <f>+AE173</f>
        <v>-58742.880000000005</v>
      </c>
      <c r="AZ173" s="95">
        <f>AP173</f>
        <v>-58742.880000000005</v>
      </c>
      <c r="BA173" s="95">
        <f>AZ173-AY173</f>
        <v>0</v>
      </c>
    </row>
    <row r="174" spans="1:53">
      <c r="A174" s="250" t="e">
        <f t="shared" si="56"/>
        <v>#REF!</v>
      </c>
      <c r="B174" s="227"/>
      <c r="C174" s="102"/>
      <c r="D174" s="102" t="s">
        <v>595</v>
      </c>
      <c r="H174" s="116">
        <v>0</v>
      </c>
      <c r="I174" s="116">
        <v>0</v>
      </c>
      <c r="J174" s="116">
        <v>0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16">
        <v>0</v>
      </c>
      <c r="Q174" s="116">
        <v>0</v>
      </c>
      <c r="R174" s="116">
        <v>0</v>
      </c>
      <c r="S174" s="116">
        <v>0</v>
      </c>
      <c r="T174" s="116">
        <v>0</v>
      </c>
      <c r="U174" s="116">
        <v>0</v>
      </c>
      <c r="V174" s="116">
        <v>0</v>
      </c>
      <c r="W174" s="116">
        <v>0</v>
      </c>
      <c r="X174" s="116">
        <v>0</v>
      </c>
      <c r="Y174" s="116">
        <v>0</v>
      </c>
      <c r="Z174" s="116">
        <v>0</v>
      </c>
      <c r="AA174" s="116">
        <v>0</v>
      </c>
      <c r="AB174" s="116">
        <v>0</v>
      </c>
      <c r="AC174" s="116">
        <v>0</v>
      </c>
      <c r="AD174" s="116">
        <v>0</v>
      </c>
      <c r="AE174" s="116">
        <v>0</v>
      </c>
      <c r="AF174" s="116"/>
      <c r="AG174" s="133">
        <f>(SUM(T174:AD174)+(0.5*AE174)+(0.5*S174))/12</f>
        <v>0</v>
      </c>
      <c r="AI174" s="133">
        <f>AE174</f>
        <v>0</v>
      </c>
      <c r="AJ174" s="133">
        <f>AG174</f>
        <v>0</v>
      </c>
      <c r="AK174" s="133">
        <f>+'RB FORECAST'!AJ176</f>
        <v>0</v>
      </c>
      <c r="AL174" s="133">
        <f>+'RB FORECAST'!AG176</f>
        <v>0</v>
      </c>
      <c r="AM174" s="133">
        <f>+'RB FORECAST'!BA176</f>
        <v>0</v>
      </c>
      <c r="AN174" s="133">
        <f>+'RB FORECAST'!AW176</f>
        <v>0</v>
      </c>
      <c r="AP174" s="133">
        <f t="shared" si="43"/>
        <v>0</v>
      </c>
      <c r="AQ174" s="606">
        <f>AP174-AE174</f>
        <v>0</v>
      </c>
      <c r="AR174" s="225">
        <f t="shared" si="53"/>
        <v>167</v>
      </c>
      <c r="AS174" s="225" t="e">
        <f t="shared" si="54"/>
        <v>#REF!</v>
      </c>
      <c r="AT174" s="186"/>
      <c r="AU174" s="227"/>
      <c r="AV174" s="102"/>
      <c r="AW174" s="102" t="s">
        <v>595</v>
      </c>
      <c r="AX174" s="102"/>
      <c r="AY174" s="116">
        <f>+AE174</f>
        <v>0</v>
      </c>
      <c r="AZ174" s="743">
        <f>AP174</f>
        <v>0</v>
      </c>
      <c r="BA174" s="743">
        <f>AZ174-AY174</f>
        <v>0</v>
      </c>
    </row>
    <row r="175" spans="1:53">
      <c r="A175" s="250" t="e">
        <f t="shared" si="56"/>
        <v>#REF!</v>
      </c>
      <c r="B175" s="227"/>
      <c r="C175" s="102"/>
      <c r="D175" s="102" t="s">
        <v>170</v>
      </c>
      <c r="H175" s="131">
        <v>-6183243.5599999996</v>
      </c>
      <c r="I175" s="131">
        <v>-6185284.5199999996</v>
      </c>
      <c r="J175" s="131">
        <v>-6187029.3099999996</v>
      </c>
      <c r="K175" s="131">
        <v>-6188999.4500000002</v>
      </c>
      <c r="L175" s="131">
        <v>-6190942.8199999994</v>
      </c>
      <c r="M175" s="131">
        <v>-6192671.8399999999</v>
      </c>
      <c r="N175" s="131">
        <v>-6194515.8099999996</v>
      </c>
      <c r="O175" s="131">
        <v>-6196842.9799999995</v>
      </c>
      <c r="P175" s="131">
        <v>-6198245.5899999999</v>
      </c>
      <c r="Q175" s="131">
        <v>-6199525.7399999993</v>
      </c>
      <c r="R175" s="131">
        <v>-6201043.8499999996</v>
      </c>
      <c r="S175" s="131">
        <v>-6202795.0700000003</v>
      </c>
      <c r="T175" s="131">
        <v>-6204496.5800000001</v>
      </c>
      <c r="U175" s="131">
        <v>-6205951.9399999995</v>
      </c>
      <c r="V175" s="131">
        <v>-6207141.3099999996</v>
      </c>
      <c r="W175" s="131">
        <v>-6208632.5899999999</v>
      </c>
      <c r="X175" s="131">
        <v>-6210042.4399999995</v>
      </c>
      <c r="Y175" s="131">
        <v>-6211471.8300000001</v>
      </c>
      <c r="Z175" s="131">
        <v>-6212985.3799999999</v>
      </c>
      <c r="AA175" s="131">
        <v>-6214387.9799999995</v>
      </c>
      <c r="AB175" s="131">
        <v>-6215711.9199999999</v>
      </c>
      <c r="AC175" s="131">
        <v>-6217070.29</v>
      </c>
      <c r="AD175" s="131">
        <v>-6218843.96</v>
      </c>
      <c r="AE175" s="131">
        <v>-6219902.6200000001</v>
      </c>
      <c r="AF175" s="131"/>
      <c r="AG175" s="241">
        <f>(SUM(T175:AD175)+(0.5*AE175)+(0.5*S175))/12</f>
        <v>-6211507.0887500001</v>
      </c>
      <c r="AI175" s="241">
        <f>AE175</f>
        <v>-6219902.6200000001</v>
      </c>
      <c r="AJ175" s="241">
        <f>AG175</f>
        <v>-6211507.0887500001</v>
      </c>
      <c r="AK175" s="241">
        <f>SUM(AK171:AK174)</f>
        <v>-6219902.6199999992</v>
      </c>
      <c r="AL175" s="241">
        <f>SUM(AL171:AL174)</f>
        <v>-6219902.6200000001</v>
      </c>
      <c r="AM175" s="241">
        <f t="shared" ref="AM175:AN175" si="57">SUM(AM171:AM174)</f>
        <v>-6219902.6199999992</v>
      </c>
      <c r="AN175" s="241">
        <f t="shared" si="57"/>
        <v>-6219902.6200000001</v>
      </c>
      <c r="AP175" s="241">
        <f t="shared" si="43"/>
        <v>-6219902.6199999992</v>
      </c>
      <c r="AQ175" s="612">
        <f>AP175-AE175</f>
        <v>0</v>
      </c>
      <c r="AR175" s="225">
        <f t="shared" si="53"/>
        <v>168</v>
      </c>
      <c r="AS175" s="225" t="e">
        <f t="shared" si="54"/>
        <v>#REF!</v>
      </c>
      <c r="AT175" s="186"/>
      <c r="AU175" s="227"/>
      <c r="AV175" s="102"/>
      <c r="AW175" s="102" t="s">
        <v>170</v>
      </c>
      <c r="AX175" s="102"/>
      <c r="AY175" s="131">
        <f>SUM(AY171:AY174)</f>
        <v>-6219902.6200000001</v>
      </c>
      <c r="AZ175" s="95">
        <f>AP175</f>
        <v>-6219902.6199999992</v>
      </c>
      <c r="BA175" s="95">
        <f>AZ175-AY175</f>
        <v>0</v>
      </c>
    </row>
    <row r="176" spans="1:53">
      <c r="A176" s="250" t="e">
        <f t="shared" si="56"/>
        <v>#REF!</v>
      </c>
      <c r="B176" s="227"/>
      <c r="C176" s="102"/>
      <c r="D176" s="102"/>
      <c r="AR176" s="225">
        <f t="shared" si="53"/>
        <v>169</v>
      </c>
      <c r="AS176" s="225" t="e">
        <f t="shared" si="54"/>
        <v>#REF!</v>
      </c>
      <c r="AT176" s="186"/>
      <c r="AU176" s="227"/>
      <c r="AV176" s="102"/>
      <c r="AW176" s="102"/>
      <c r="AX176" s="102"/>
      <c r="AY176" s="116"/>
      <c r="AZ176" s="194"/>
      <c r="BA176" s="194"/>
    </row>
    <row r="177" spans="1:53">
      <c r="A177" s="250" t="e">
        <f t="shared" si="56"/>
        <v>#REF!</v>
      </c>
      <c r="B177" s="969" t="s">
        <v>1134</v>
      </c>
      <c r="C177" s="102" t="s">
        <v>1135</v>
      </c>
      <c r="D177" s="9"/>
      <c r="AR177" s="225">
        <f t="shared" si="53"/>
        <v>170</v>
      </c>
      <c r="AS177" s="225" t="e">
        <f t="shared" si="54"/>
        <v>#REF!</v>
      </c>
      <c r="AT177" s="186"/>
      <c r="AU177" s="136" t="s">
        <v>1134</v>
      </c>
      <c r="AV177" s="102" t="s">
        <v>300</v>
      </c>
      <c r="AW177" s="102"/>
      <c r="AX177" s="102"/>
      <c r="AY177" s="116"/>
      <c r="AZ177" s="194"/>
      <c r="BA177" s="194"/>
    </row>
    <row r="178" spans="1:53">
      <c r="A178" s="250"/>
      <c r="B178" s="970"/>
      <c r="C178" s="9"/>
      <c r="D178" s="9" t="s">
        <v>443</v>
      </c>
      <c r="H178" s="116">
        <v>0</v>
      </c>
      <c r="I178" s="116">
        <v>0</v>
      </c>
      <c r="J178" s="116">
        <v>0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16">
        <v>0</v>
      </c>
      <c r="Q178" s="116">
        <v>0</v>
      </c>
      <c r="R178" s="116">
        <v>0</v>
      </c>
      <c r="S178" s="116">
        <v>0</v>
      </c>
      <c r="T178" s="116">
        <v>0</v>
      </c>
      <c r="U178" s="116">
        <v>0</v>
      </c>
      <c r="V178" s="116">
        <v>0</v>
      </c>
      <c r="W178" s="116">
        <v>0</v>
      </c>
      <c r="X178" s="116">
        <v>0</v>
      </c>
      <c r="Y178" s="116">
        <v>0</v>
      </c>
      <c r="Z178" s="116">
        <v>0</v>
      </c>
      <c r="AA178" s="116">
        <v>0</v>
      </c>
      <c r="AB178" s="116">
        <v>0</v>
      </c>
      <c r="AC178" s="116">
        <v>0</v>
      </c>
      <c r="AD178" s="116">
        <v>0</v>
      </c>
      <c r="AE178" s="116">
        <v>0</v>
      </c>
      <c r="AG178" s="133">
        <f t="shared" ref="AG178:AG182" si="58">(SUM(T178:AD178)+(0.5*AE178)+(0.5*S178))/12</f>
        <v>0</v>
      </c>
      <c r="AI178" s="133">
        <f>AE178</f>
        <v>0</v>
      </c>
      <c r="AJ178" s="133">
        <f>AG178</f>
        <v>0</v>
      </c>
      <c r="AK178" s="133">
        <f ca="1">+'RB FORECAST'!AJ180</f>
        <v>0</v>
      </c>
      <c r="AL178" s="133">
        <f ca="1">+'RB FORECAST'!AG180</f>
        <v>0</v>
      </c>
      <c r="AM178" s="133">
        <f ca="1">+'RB FORECAST'!BA180</f>
        <v>0</v>
      </c>
      <c r="AN178" s="133">
        <f ca="1">+'RB FORECAST'!AW180</f>
        <v>0</v>
      </c>
      <c r="AP178" s="133">
        <f t="shared" ca="1" si="43"/>
        <v>0</v>
      </c>
      <c r="AQ178" s="606">
        <f ca="1">AP178-AE178</f>
        <v>0</v>
      </c>
      <c r="AR178" s="225">
        <f t="shared" si="53"/>
        <v>171</v>
      </c>
      <c r="AS178" s="225"/>
      <c r="AT178" s="186"/>
      <c r="AU178" s="227"/>
      <c r="AV178" s="102"/>
      <c r="AW178" s="102" t="s">
        <v>443</v>
      </c>
      <c r="AX178" s="102"/>
      <c r="AY178" s="116">
        <f>+AE178</f>
        <v>0</v>
      </c>
      <c r="AZ178" s="95">
        <f ca="1">AP178</f>
        <v>0</v>
      </c>
      <c r="BA178" s="95">
        <f ca="1">AZ178-AY178</f>
        <v>0</v>
      </c>
    </row>
    <row r="179" spans="1:53">
      <c r="A179" s="250"/>
      <c r="B179" s="970"/>
      <c r="C179" s="9"/>
      <c r="D179" s="9" t="s">
        <v>592</v>
      </c>
      <c r="H179" s="116">
        <v>-2216968.2999999998</v>
      </c>
      <c r="I179" s="116">
        <v>-2239734.2599999998</v>
      </c>
      <c r="J179" s="116">
        <v>-2274176.2999999998</v>
      </c>
      <c r="K179" s="116">
        <v>-2293074.5499999998</v>
      </c>
      <c r="L179" s="116">
        <v>-2306546.6800000002</v>
      </c>
      <c r="M179" s="116">
        <v>-2344574.69</v>
      </c>
      <c r="N179" s="116">
        <v>-2351840.69</v>
      </c>
      <c r="O179" s="116">
        <v>-5884730.96</v>
      </c>
      <c r="P179" s="116">
        <v>-5743016.9299999997</v>
      </c>
      <c r="Q179" s="116">
        <v>-5689566.4800000004</v>
      </c>
      <c r="R179" s="116">
        <v>-6231444.8899999997</v>
      </c>
      <c r="S179" s="116">
        <v>-6216691.4100000001</v>
      </c>
      <c r="T179" s="116">
        <v>-6202088.1500000004</v>
      </c>
      <c r="U179" s="116">
        <v>-6317115.3899999997</v>
      </c>
      <c r="V179" s="116">
        <v>-6261169.71</v>
      </c>
      <c r="W179" s="116">
        <v>-6236339.0700000003</v>
      </c>
      <c r="X179" s="116">
        <v>-6213637.6699999999</v>
      </c>
      <c r="Y179" s="116">
        <v>-6181248.29</v>
      </c>
      <c r="Z179" s="116">
        <v>-6140761.1100000003</v>
      </c>
      <c r="AA179" s="116">
        <v>-6196748.9800000004</v>
      </c>
      <c r="AB179" s="116">
        <v>-6203191.8399999999</v>
      </c>
      <c r="AC179" s="116">
        <v>-6219898.3900000006</v>
      </c>
      <c r="AD179" s="116">
        <v>-6243591.8199999994</v>
      </c>
      <c r="AE179" s="116">
        <v>-6315729.0099999998</v>
      </c>
      <c r="AG179" s="133">
        <f t="shared" si="58"/>
        <v>-6223500.0524999993</v>
      </c>
      <c r="AI179" s="133">
        <f>AE179</f>
        <v>-6315729.0099999998</v>
      </c>
      <c r="AJ179" s="133">
        <f>AG179</f>
        <v>-6223500.0524999993</v>
      </c>
      <c r="AK179" s="133">
        <f ca="1">+'RB FORECAST'!AJ181</f>
        <v>-6315026.02152343</v>
      </c>
      <c r="AL179" s="133">
        <f ca="1">+'RB FORECAST'!AG181</f>
        <v>-6301532.828516026</v>
      </c>
      <c r="AM179" s="133">
        <f ca="1">+'RB FORECAST'!BA181</f>
        <v>-6300084.8487727633</v>
      </c>
      <c r="AN179" s="133">
        <f ca="1">+'RB FORECAST'!AW181</f>
        <v>-6272292.259281137</v>
      </c>
      <c r="AP179" s="133">
        <f t="shared" ca="1" si="43"/>
        <v>-6300084.8487727633</v>
      </c>
      <c r="AQ179" s="606">
        <f ca="1">AP179-AE179</f>
        <v>15644.161227236502</v>
      </c>
      <c r="AR179" s="225">
        <f t="shared" si="53"/>
        <v>172</v>
      </c>
      <c r="AS179" s="225"/>
      <c r="AT179" s="186"/>
      <c r="AU179" s="227"/>
      <c r="AV179" s="102"/>
      <c r="AW179" s="102" t="s">
        <v>592</v>
      </c>
      <c r="AX179" s="102"/>
      <c r="AY179" s="116">
        <f>+AE179</f>
        <v>-6315729.0099999998</v>
      </c>
      <c r="AZ179" s="95">
        <f ca="1">AP179</f>
        <v>-6300084.8487727633</v>
      </c>
      <c r="BA179" s="95">
        <f ca="1">AZ179-AY179</f>
        <v>15644.161227236502</v>
      </c>
    </row>
    <row r="180" spans="1:53">
      <c r="A180" s="250"/>
      <c r="B180" s="970"/>
      <c r="C180" s="9"/>
      <c r="D180" s="9" t="s">
        <v>593</v>
      </c>
      <c r="H180" s="116">
        <v>-68029175.700000003</v>
      </c>
      <c r="I180" s="116">
        <v>-68953344.659999996</v>
      </c>
      <c r="J180" s="116">
        <v>-69511691.620000005</v>
      </c>
      <c r="K180" s="116">
        <v>-70479840.370000005</v>
      </c>
      <c r="L180" s="116">
        <v>-71337983.239999995</v>
      </c>
      <c r="M180" s="116">
        <v>-72252138.230000004</v>
      </c>
      <c r="N180" s="116">
        <v>-72547544.230000004</v>
      </c>
      <c r="O180" s="116">
        <v>-188266735.96000001</v>
      </c>
      <c r="P180" s="116">
        <v>-187364478.97</v>
      </c>
      <c r="Q180" s="116">
        <v>-186525517.40000001</v>
      </c>
      <c r="R180" s="116">
        <v>-185093236.97</v>
      </c>
      <c r="S180" s="116">
        <v>-184187333.43000001</v>
      </c>
      <c r="T180" s="116">
        <v>-184221250.78</v>
      </c>
      <c r="U180" s="116">
        <v>-187162682.28999999</v>
      </c>
      <c r="V180" s="116">
        <v>-186271724.06</v>
      </c>
      <c r="W180" s="116">
        <v>-186481184.78999999</v>
      </c>
      <c r="X180" s="116">
        <v>-186218622.28</v>
      </c>
      <c r="Y180" s="116">
        <v>-186141349.55000001</v>
      </c>
      <c r="Z180" s="116">
        <v>-186299261.02000001</v>
      </c>
      <c r="AA180" s="116">
        <v>-186248871.44</v>
      </c>
      <c r="AB180" s="116">
        <v>-186502363.87</v>
      </c>
      <c r="AC180" s="116">
        <v>-186406251.61000001</v>
      </c>
      <c r="AD180" s="116">
        <v>-187356154.47</v>
      </c>
      <c r="AE180" s="116">
        <v>-188074206.56999999</v>
      </c>
      <c r="AG180" s="133">
        <f t="shared" si="58"/>
        <v>-186286707.18000004</v>
      </c>
      <c r="AI180" s="133">
        <f>AE180</f>
        <v>-188074206.56999999</v>
      </c>
      <c r="AJ180" s="133">
        <f>AG180</f>
        <v>-186286707.18000004</v>
      </c>
      <c r="AK180" s="133">
        <f ca="1">+'RB FORECAST'!AJ182</f>
        <v>-188053272.48626244</v>
      </c>
      <c r="AL180" s="133">
        <f ca="1">+'RB FORECAST'!AG182</f>
        <v>-187651462.72448429</v>
      </c>
      <c r="AM180" s="133">
        <f ca="1">+'RB FORECAST'!BA182</f>
        <v>-187608343.76847577</v>
      </c>
      <c r="AN180" s="133">
        <f ca="1">+'RB FORECAST'!AW182</f>
        <v>-186780716.5525381</v>
      </c>
      <c r="AP180" s="133">
        <f t="shared" ca="1" si="43"/>
        <v>-187608343.76847577</v>
      </c>
      <c r="AQ180" s="606">
        <f ca="1">AP180-AE180</f>
        <v>465862.8015242219</v>
      </c>
      <c r="AR180" s="225">
        <f t="shared" si="53"/>
        <v>173</v>
      </c>
      <c r="AS180" s="225"/>
      <c r="AT180" s="186"/>
      <c r="AU180" s="227"/>
      <c r="AV180" s="102"/>
      <c r="AW180" s="102" t="s">
        <v>593</v>
      </c>
      <c r="AX180" s="102"/>
      <c r="AY180" s="116">
        <f>+AE180</f>
        <v>-188074206.56999999</v>
      </c>
      <c r="AZ180" s="95">
        <f ca="1">AP180</f>
        <v>-187608343.76847577</v>
      </c>
      <c r="BA180" s="95">
        <f ca="1">AZ180-AY180</f>
        <v>465862.8015242219</v>
      </c>
    </row>
    <row r="181" spans="1:53">
      <c r="A181" s="250"/>
      <c r="B181" s="970"/>
      <c r="C181" s="9"/>
      <c r="D181" s="9" t="s">
        <v>595</v>
      </c>
      <c r="H181" s="116">
        <v>0</v>
      </c>
      <c r="I181" s="116">
        <v>0</v>
      </c>
      <c r="J181" s="116">
        <v>0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16">
        <v>0</v>
      </c>
      <c r="Q181" s="116">
        <v>0</v>
      </c>
      <c r="R181" s="116">
        <v>0</v>
      </c>
      <c r="S181" s="116">
        <v>0</v>
      </c>
      <c r="T181" s="116">
        <v>0</v>
      </c>
      <c r="U181" s="116">
        <v>0</v>
      </c>
      <c r="V181" s="116">
        <v>0</v>
      </c>
      <c r="W181" s="116">
        <v>0</v>
      </c>
      <c r="X181" s="116">
        <v>0</v>
      </c>
      <c r="Y181" s="116">
        <v>0</v>
      </c>
      <c r="Z181" s="116">
        <v>0</v>
      </c>
      <c r="AA181" s="116">
        <v>0</v>
      </c>
      <c r="AB181" s="116">
        <v>0</v>
      </c>
      <c r="AC181" s="116">
        <v>0</v>
      </c>
      <c r="AD181" s="116">
        <v>0</v>
      </c>
      <c r="AE181" s="116">
        <v>-243070289</v>
      </c>
      <c r="AG181" s="133">
        <f t="shared" si="58"/>
        <v>-10127928.708333334</v>
      </c>
      <c r="AI181" s="133">
        <f>AE181</f>
        <v>-243070289</v>
      </c>
      <c r="AJ181" s="133">
        <f>AG181</f>
        <v>-10127928.708333334</v>
      </c>
      <c r="AK181" s="133">
        <f ca="1">+'RB FORECAST'!AJ183</f>
        <v>-243043233.43572655</v>
      </c>
      <c r="AL181" s="133">
        <f ca="1">+'RB FORECAST'!AG183</f>
        <v>-242523927.69625461</v>
      </c>
      <c r="AM181" s="133">
        <f ca="1">+'RB FORECAST'!BA183</f>
        <v>-242468200.02742907</v>
      </c>
      <c r="AN181" s="133">
        <f ca="1">+'RB FORECAST'!AW183</f>
        <v>-241398560.60035872</v>
      </c>
      <c r="AP181" s="133">
        <f t="shared" ca="1" si="43"/>
        <v>-242468200.02742907</v>
      </c>
      <c r="AQ181" s="606">
        <f ca="1">AP181-AE181</f>
        <v>602088.97257092595</v>
      </c>
      <c r="AR181" s="225">
        <f t="shared" si="53"/>
        <v>174</v>
      </c>
      <c r="AS181" s="225"/>
      <c r="AT181" s="186"/>
      <c r="AU181" s="227"/>
      <c r="AV181" s="102"/>
      <c r="AW181" s="102" t="s">
        <v>595</v>
      </c>
      <c r="AX181" s="102"/>
      <c r="AY181" s="116">
        <f>+AE181</f>
        <v>-243070289</v>
      </c>
      <c r="AZ181" s="743">
        <f ca="1">AP181</f>
        <v>-242468200.02742907</v>
      </c>
      <c r="BA181" s="743">
        <f ca="1">AZ181-AY181</f>
        <v>602088.97257092595</v>
      </c>
    </row>
    <row r="182" spans="1:53">
      <c r="A182" s="250"/>
      <c r="B182" s="970"/>
      <c r="C182" s="9"/>
      <c r="D182" s="9" t="s">
        <v>170</v>
      </c>
      <c r="H182" s="620">
        <v>-70246144</v>
      </c>
      <c r="I182" s="620">
        <v>-71193078.920000002</v>
      </c>
      <c r="J182" s="620">
        <v>-71785867.920000002</v>
      </c>
      <c r="K182" s="620">
        <v>-72772914.920000002</v>
      </c>
      <c r="L182" s="620">
        <v>-73644529.920000002</v>
      </c>
      <c r="M182" s="620">
        <v>-74596712.920000002</v>
      </c>
      <c r="N182" s="620">
        <v>-74899384.920000002</v>
      </c>
      <c r="O182" s="620">
        <v>-194151466.92000002</v>
      </c>
      <c r="P182" s="620">
        <v>-193107495.90000001</v>
      </c>
      <c r="Q182" s="620">
        <v>-192215083.88</v>
      </c>
      <c r="R182" s="620">
        <v>-191324681.85999998</v>
      </c>
      <c r="S182" s="620">
        <v>-190404024.84</v>
      </c>
      <c r="T182" s="620">
        <v>-190423338.93000001</v>
      </c>
      <c r="U182" s="620">
        <v>-193479797.67999998</v>
      </c>
      <c r="V182" s="620">
        <v>-192532893.77000001</v>
      </c>
      <c r="W182" s="620">
        <v>-192717523.85999998</v>
      </c>
      <c r="X182" s="620">
        <v>-192432259.94999999</v>
      </c>
      <c r="Y182" s="620">
        <v>-192322597.84</v>
      </c>
      <c r="Z182" s="620">
        <v>-192440022.13000003</v>
      </c>
      <c r="AA182" s="620">
        <v>-192445620.41999999</v>
      </c>
      <c r="AB182" s="620">
        <v>-192705555.71000001</v>
      </c>
      <c r="AC182" s="620">
        <v>-192626150</v>
      </c>
      <c r="AD182" s="620">
        <v>-193599746.28999999</v>
      </c>
      <c r="AE182" s="620">
        <v>-437460224.57999998</v>
      </c>
      <c r="AG182" s="1047">
        <f t="shared" si="58"/>
        <v>-202638135.94083336</v>
      </c>
      <c r="AI182" s="241">
        <f>AE182</f>
        <v>-437460224.57999998</v>
      </c>
      <c r="AJ182" s="241">
        <f>AG182</f>
        <v>-202638135.94083336</v>
      </c>
      <c r="AK182" s="241">
        <f ca="1">SUM(AK178:AK181)</f>
        <v>-437411531.94351244</v>
      </c>
      <c r="AL182" s="241">
        <f ca="1">SUM(AL178:AL181)</f>
        <v>-436476923.24925494</v>
      </c>
      <c r="AM182" s="241">
        <f t="shared" ref="AM182:AN182" ca="1" si="59">SUM(AM178:AM181)</f>
        <v>-436376628.64467764</v>
      </c>
      <c r="AN182" s="241">
        <f t="shared" ca="1" si="59"/>
        <v>-434451569.41217792</v>
      </c>
      <c r="AP182" s="241">
        <f t="shared" ca="1" si="43"/>
        <v>-436376628.64467764</v>
      </c>
      <c r="AQ182" s="1050">
        <f ca="1">AP182-AE182</f>
        <v>1083595.9353223443</v>
      </c>
      <c r="AR182" s="225">
        <f t="shared" si="53"/>
        <v>175</v>
      </c>
      <c r="AS182" s="225"/>
      <c r="AT182" s="186"/>
      <c r="AU182" s="227"/>
      <c r="AV182" s="102"/>
      <c r="AW182" s="102" t="s">
        <v>170</v>
      </c>
      <c r="AX182" s="102"/>
      <c r="AY182" s="131">
        <f>SUM(AY178:AY181)</f>
        <v>-437460224.57999998</v>
      </c>
      <c r="AZ182" s="95">
        <f ca="1">AP182</f>
        <v>-436376628.64467764</v>
      </c>
      <c r="BA182" s="95">
        <f ca="1">AZ182-AY182</f>
        <v>1083595.9353223443</v>
      </c>
    </row>
    <row r="183" spans="1:53">
      <c r="A183" s="250"/>
      <c r="B183" s="227"/>
      <c r="C183" s="102"/>
      <c r="D183" s="102"/>
      <c r="AR183" s="225">
        <f t="shared" si="53"/>
        <v>176</v>
      </c>
      <c r="AS183" s="225"/>
      <c r="AT183" s="186"/>
      <c r="AU183" s="227"/>
      <c r="AV183" s="102"/>
      <c r="AW183" s="102"/>
      <c r="AX183" s="102"/>
      <c r="AY183" s="116"/>
      <c r="AZ183" s="194"/>
      <c r="BA183" s="194"/>
    </row>
    <row r="184" spans="1:53">
      <c r="A184" s="250"/>
      <c r="B184" s="227"/>
      <c r="C184" s="102"/>
      <c r="D184" s="102"/>
      <c r="AR184" s="225">
        <f t="shared" si="53"/>
        <v>177</v>
      </c>
      <c r="AS184" s="225"/>
      <c r="AT184" s="186"/>
      <c r="AU184" s="227"/>
      <c r="AV184" s="102"/>
      <c r="AW184" s="102"/>
      <c r="AX184" s="102"/>
      <c r="AY184" s="116"/>
      <c r="AZ184" s="194"/>
      <c r="BA184" s="194"/>
    </row>
    <row r="185" spans="1:53">
      <c r="A185" s="250" t="e">
        <f>+A177+1</f>
        <v>#REF!</v>
      </c>
      <c r="B185" s="36" t="s">
        <v>663</v>
      </c>
      <c r="C185" s="102"/>
      <c r="D185" s="102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33"/>
      <c r="AI185" s="133"/>
      <c r="AJ185" s="133"/>
      <c r="AK185" s="133"/>
      <c r="AL185" s="133"/>
      <c r="AM185" s="133"/>
      <c r="AN185" s="133"/>
      <c r="AP185" s="133">
        <f>HLOOKUP($AP$8,RateBaseScenarios,AR185,FALSE)</f>
        <v>0</v>
      </c>
      <c r="AQ185" s="606"/>
      <c r="AR185" s="225">
        <f t="shared" si="53"/>
        <v>178</v>
      </c>
      <c r="AS185" s="225" t="e">
        <f>+AS177+1</f>
        <v>#REF!</v>
      </c>
      <c r="AT185" s="186"/>
      <c r="AU185" s="36" t="s">
        <v>663</v>
      </c>
      <c r="AV185" s="102"/>
      <c r="AW185" s="102"/>
      <c r="AX185" s="102"/>
      <c r="AY185" s="116"/>
    </row>
    <row r="186" spans="1:53">
      <c r="A186" s="250" t="e">
        <f t="shared" si="56"/>
        <v>#REF!</v>
      </c>
      <c r="B186" s="227"/>
      <c r="C186" s="102" t="s">
        <v>443</v>
      </c>
      <c r="D186" s="102"/>
      <c r="H186" s="116">
        <v>5676308.2099999972</v>
      </c>
      <c r="I186" s="116">
        <v>5597033.3400000064</v>
      </c>
      <c r="J186" s="116">
        <v>5528346.9600000028</v>
      </c>
      <c r="K186" s="116">
        <v>5450789.0299999956</v>
      </c>
      <c r="L186" s="116">
        <v>5374285.4099999964</v>
      </c>
      <c r="M186" s="116">
        <v>5306219.0999999987</v>
      </c>
      <c r="N186" s="116">
        <v>5233627.8599999938</v>
      </c>
      <c r="O186" s="116">
        <v>5142015.1000000052</v>
      </c>
      <c r="P186" s="116">
        <v>5086799.0899999989</v>
      </c>
      <c r="Q186" s="116">
        <v>5036403.9299999941</v>
      </c>
      <c r="R186" s="116">
        <v>4976640.6200000057</v>
      </c>
      <c r="S186" s="116">
        <v>4907701.3599999985</v>
      </c>
      <c r="T186" s="116">
        <v>4840718.6400000053</v>
      </c>
      <c r="U186" s="116">
        <v>4784700.1499999957</v>
      </c>
      <c r="V186" s="116">
        <v>4738358.8699999992</v>
      </c>
      <c r="W186" s="116">
        <v>4680254.1000000043</v>
      </c>
      <c r="X186" s="116">
        <v>4625322.3399999933</v>
      </c>
      <c r="Y186" s="116">
        <v>4569629.4100000011</v>
      </c>
      <c r="Z186" s="116">
        <v>4510656.730000006</v>
      </c>
      <c r="AA186" s="116">
        <v>4456007.4699999951</v>
      </c>
      <c r="AB186" s="116">
        <v>4404422.6099999929</v>
      </c>
      <c r="AC186" s="116">
        <v>4351496.67</v>
      </c>
      <c r="AD186" s="116">
        <v>4282389.5600000024</v>
      </c>
      <c r="AE186" s="116">
        <v>4241141.3299999945</v>
      </c>
      <c r="AF186" s="116"/>
      <c r="AG186" s="116">
        <f t="shared" ref="AG186" si="60">AG146+AG157+AG164+AG171+AG178</f>
        <v>4568198.1579166465</v>
      </c>
      <c r="AI186" s="133">
        <f>AE186</f>
        <v>4241141.3299999945</v>
      </c>
      <c r="AJ186" s="133">
        <f>AG186</f>
        <v>4568198.1579166465</v>
      </c>
      <c r="AK186" s="116">
        <f t="shared" ref="AK186:AN187" ca="1" si="61">AK146+AK157+AK164+AK171+AK178</f>
        <v>6375378.6368242474</v>
      </c>
      <c r="AL186" s="116">
        <f t="shared" ca="1" si="61"/>
        <v>797318.70090026781</v>
      </c>
      <c r="AM186" s="116">
        <f t="shared" ca="1" si="61"/>
        <v>3340537.1245599212</v>
      </c>
      <c r="AN186" s="116">
        <f t="shared" ca="1" si="61"/>
        <v>-3306439.175572712</v>
      </c>
      <c r="AP186" s="133">
        <f t="shared" ca="1" si="43"/>
        <v>3340537.1245599212</v>
      </c>
      <c r="AQ186" s="606">
        <f ca="1">AP186-AE186</f>
        <v>-900604.20544007327</v>
      </c>
      <c r="AR186" s="225">
        <f t="shared" si="53"/>
        <v>179</v>
      </c>
      <c r="AS186" s="225" t="e">
        <f t="shared" si="54"/>
        <v>#REF!</v>
      </c>
      <c r="AT186" s="186"/>
      <c r="AU186" s="227"/>
      <c r="AV186" s="102" t="s">
        <v>443</v>
      </c>
      <c r="AW186" s="102"/>
      <c r="AX186" s="102"/>
      <c r="AY186" s="116">
        <f>AY146+AY157+AY164+AY171+AY178</f>
        <v>4241141.3299999945</v>
      </c>
      <c r="AZ186" s="95">
        <f ca="1">AP186</f>
        <v>3340537.1245599212</v>
      </c>
      <c r="BA186" s="95">
        <f ca="1">AZ186-AY186</f>
        <v>-900604.20544007327</v>
      </c>
    </row>
    <row r="187" spans="1:53">
      <c r="A187" s="250" t="e">
        <f t="shared" si="56"/>
        <v>#REF!</v>
      </c>
      <c r="B187" s="227"/>
      <c r="C187" s="102" t="s">
        <v>592</v>
      </c>
      <c r="D187" s="102"/>
      <c r="H187" s="116">
        <v>43480505.774000011</v>
      </c>
      <c r="I187" s="116">
        <v>43623685.683999993</v>
      </c>
      <c r="J187" s="116">
        <v>44738559.453999996</v>
      </c>
      <c r="K187" s="116">
        <v>44554828.784000009</v>
      </c>
      <c r="L187" s="116">
        <v>45186318.114000008</v>
      </c>
      <c r="M187" s="116">
        <v>45095110.003999993</v>
      </c>
      <c r="N187" s="116">
        <v>45448061.134000018</v>
      </c>
      <c r="O187" s="116">
        <v>48085652.993999995</v>
      </c>
      <c r="P187" s="116">
        <v>48273000.974000014</v>
      </c>
      <c r="Q187" s="116">
        <v>48593641.273999989</v>
      </c>
      <c r="R187" s="116">
        <v>49377696.374000013</v>
      </c>
      <c r="S187" s="116">
        <v>49438111.554000005</v>
      </c>
      <c r="T187" s="116">
        <v>49443474.110000007</v>
      </c>
      <c r="U187" s="116">
        <v>49629657.374000013</v>
      </c>
      <c r="V187" s="116">
        <v>49995655.364</v>
      </c>
      <c r="W187" s="116">
        <v>50207898.394000009</v>
      </c>
      <c r="X187" s="116">
        <v>50797307.513999984</v>
      </c>
      <c r="Y187" s="116">
        <v>51973211.943999998</v>
      </c>
      <c r="Z187" s="116">
        <v>52431596.463999994</v>
      </c>
      <c r="AA187" s="116">
        <v>54642591.469999999</v>
      </c>
      <c r="AB187" s="116">
        <v>54898160.464000002</v>
      </c>
      <c r="AC187" s="116">
        <v>55489761.623999998</v>
      </c>
      <c r="AD187" s="116">
        <v>56632756.053999998</v>
      </c>
      <c r="AE187" s="116">
        <v>49106108.993999988</v>
      </c>
      <c r="AF187" s="116"/>
      <c r="AG187" s="116">
        <f t="shared" ref="AG187" si="62">AG147+AG158+AG165+AG172+AG179</f>
        <v>52117848.420833327</v>
      </c>
      <c r="AI187" s="133">
        <f>AE187</f>
        <v>49106108.993999988</v>
      </c>
      <c r="AJ187" s="133">
        <f>AG187</f>
        <v>52117848.420833327</v>
      </c>
      <c r="AK187" s="116">
        <f t="shared" ca="1" si="61"/>
        <v>52746685.08207345</v>
      </c>
      <c r="AL187" s="116">
        <f t="shared" ca="1" si="61"/>
        <v>54148419.592603199</v>
      </c>
      <c r="AM187" s="116">
        <f t="shared" ca="1" si="61"/>
        <v>57691225.964799181</v>
      </c>
      <c r="AN187" s="116">
        <f t="shared" ca="1" si="61"/>
        <v>58331148.72990156</v>
      </c>
      <c r="AP187" s="133">
        <f t="shared" ca="1" si="43"/>
        <v>57691225.964799181</v>
      </c>
      <c r="AQ187" s="606">
        <f ca="1">AP187-AE187</f>
        <v>8585116.9707991928</v>
      </c>
      <c r="AR187" s="225">
        <f t="shared" si="53"/>
        <v>180</v>
      </c>
      <c r="AS187" s="225" t="e">
        <f t="shared" si="54"/>
        <v>#REF!</v>
      </c>
      <c r="AT187" s="186"/>
      <c r="AU187" s="227"/>
      <c r="AV187" s="102" t="s">
        <v>592</v>
      </c>
      <c r="AW187" s="102"/>
      <c r="AX187" s="102"/>
      <c r="AY187" s="116">
        <f t="shared" ref="AY187" si="63">AY147+AY158+AY165+AY172+AY179</f>
        <v>49106108.993999988</v>
      </c>
      <c r="AZ187" s="95">
        <f ca="1">AP187</f>
        <v>57691225.964799181</v>
      </c>
      <c r="BA187" s="95">
        <f ca="1">AZ187-AY187</f>
        <v>8585116.9707991928</v>
      </c>
    </row>
    <row r="188" spans="1:53">
      <c r="A188" s="250" t="e">
        <f t="shared" si="56"/>
        <v>#REF!</v>
      </c>
      <c r="B188" s="227"/>
      <c r="C188" s="102" t="s">
        <v>593</v>
      </c>
      <c r="D188" s="102"/>
      <c r="H188" s="116">
        <v>1479291208.1359992</v>
      </c>
      <c r="I188" s="116">
        <v>1490685334.3359997</v>
      </c>
      <c r="J188" s="116">
        <v>1498594699.3459997</v>
      </c>
      <c r="K188" s="116">
        <v>1502333441.6059999</v>
      </c>
      <c r="L188" s="116">
        <v>1508022171.3959997</v>
      </c>
      <c r="M188" s="116">
        <v>1514522562.1259999</v>
      </c>
      <c r="N188" s="116">
        <v>1514746184.6059995</v>
      </c>
      <c r="O188" s="116">
        <v>1529899944.2159998</v>
      </c>
      <c r="P188" s="116">
        <v>1580052451.9259994</v>
      </c>
      <c r="Q188" s="116">
        <v>1601790640.4460003</v>
      </c>
      <c r="R188" s="116">
        <v>1616788197.9259994</v>
      </c>
      <c r="S188" s="116">
        <v>1629007021.6459999</v>
      </c>
      <c r="T188" s="116">
        <v>1627453455.8899994</v>
      </c>
      <c r="U188" s="116">
        <v>1632869988.8960001</v>
      </c>
      <c r="V188" s="116">
        <v>1639958691.8379998</v>
      </c>
      <c r="W188" s="116">
        <v>1654263746.526</v>
      </c>
      <c r="X188" s="116">
        <v>1659770146.2859995</v>
      </c>
      <c r="Y188" s="116">
        <v>1663141930.1379995</v>
      </c>
      <c r="Z188" s="116">
        <v>1668459107.9479997</v>
      </c>
      <c r="AA188" s="116">
        <v>1706667779.1299996</v>
      </c>
      <c r="AB188" s="116">
        <v>1721352668.6059999</v>
      </c>
      <c r="AC188" s="116">
        <v>1732780896.7259994</v>
      </c>
      <c r="AD188" s="116">
        <v>1738345021.1560001</v>
      </c>
      <c r="AE188" s="116">
        <v>1769234787.858</v>
      </c>
      <c r="AF188" s="116"/>
      <c r="AG188" s="116">
        <f t="shared" ref="AG188" si="64">AG173+AG166+AG159+AG153+AG148+AG180</f>
        <v>1678682028.1576664</v>
      </c>
      <c r="AI188" s="133">
        <f>AE188</f>
        <v>1769234787.858</v>
      </c>
      <c r="AJ188" s="133">
        <f>AG188</f>
        <v>1678682028.1576664</v>
      </c>
      <c r="AK188" s="116">
        <f t="shared" ref="AK188:AN188" ca="1" si="65">AK173+AK166+AK159+AK153+AK148+AK180</f>
        <v>1865999395.8171115</v>
      </c>
      <c r="AL188" s="116">
        <f t="shared" ca="1" si="65"/>
        <v>1935318567.6343849</v>
      </c>
      <c r="AM188" s="116">
        <f t="shared" ca="1" si="65"/>
        <v>2030666639.5022209</v>
      </c>
      <c r="AN188" s="116">
        <f t="shared" ca="1" si="65"/>
        <v>2086254673.389991</v>
      </c>
      <c r="AP188" s="133">
        <f t="shared" ca="1" si="43"/>
        <v>2030666639.5022209</v>
      </c>
      <c r="AQ188" s="606">
        <f ca="1">AP188-AE188</f>
        <v>261431851.64422083</v>
      </c>
      <c r="AR188" s="225">
        <f t="shared" si="53"/>
        <v>181</v>
      </c>
      <c r="AS188" s="225" t="e">
        <f t="shared" si="54"/>
        <v>#REF!</v>
      </c>
      <c r="AT188" s="186"/>
      <c r="AU188" s="227"/>
      <c r="AV188" s="102" t="s">
        <v>593</v>
      </c>
      <c r="AW188" s="102"/>
      <c r="AX188" s="102"/>
      <c r="AY188" s="116">
        <f t="shared" ref="AY188" si="66">AY173+AY166+AY159+AY153+AY148+AY180</f>
        <v>1769234787.8580003</v>
      </c>
      <c r="AZ188" s="95">
        <f ca="1">AP188</f>
        <v>2030666639.5022209</v>
      </c>
      <c r="BA188" s="95">
        <f ca="1">AZ188-AY188</f>
        <v>261431851.64422059</v>
      </c>
    </row>
    <row r="189" spans="1:53">
      <c r="A189" s="250" t="e">
        <f t="shared" si="56"/>
        <v>#REF!</v>
      </c>
      <c r="B189" s="227"/>
      <c r="C189" s="102" t="s">
        <v>595</v>
      </c>
      <c r="D189" s="102"/>
      <c r="H189" s="116">
        <v>107600529.25</v>
      </c>
      <c r="I189" s="116">
        <v>107065475.67000002</v>
      </c>
      <c r="J189" s="116">
        <v>108620055.52</v>
      </c>
      <c r="K189" s="116">
        <v>108737574.52999997</v>
      </c>
      <c r="L189" s="116">
        <v>110076427.07999998</v>
      </c>
      <c r="M189" s="116">
        <v>112721159.81999999</v>
      </c>
      <c r="N189" s="116">
        <v>111818816.84000003</v>
      </c>
      <c r="O189" s="116">
        <v>123281018.11999997</v>
      </c>
      <c r="P189" s="116">
        <v>120387172.38999999</v>
      </c>
      <c r="Q189" s="116">
        <v>130684095.25</v>
      </c>
      <c r="R189" s="116">
        <v>133815655.42000002</v>
      </c>
      <c r="S189" s="116">
        <v>140651453.35999995</v>
      </c>
      <c r="T189" s="116">
        <v>139972583.91000003</v>
      </c>
      <c r="U189" s="116">
        <v>139621540.34000003</v>
      </c>
      <c r="V189" s="116">
        <v>138261060.76000002</v>
      </c>
      <c r="W189" s="116">
        <v>138028505.81</v>
      </c>
      <c r="X189" s="116">
        <v>138248889.79000002</v>
      </c>
      <c r="Y189" s="116">
        <v>137938090.02999997</v>
      </c>
      <c r="Z189" s="116">
        <v>137256374.58000001</v>
      </c>
      <c r="AA189" s="116">
        <v>137913169.69999999</v>
      </c>
      <c r="AB189" s="116">
        <v>138315824.95000002</v>
      </c>
      <c r="AC189" s="116">
        <v>137683620.34000003</v>
      </c>
      <c r="AD189" s="116">
        <v>138599446.36000001</v>
      </c>
      <c r="AE189" s="116">
        <v>-102750696.32000002</v>
      </c>
      <c r="AF189" s="116"/>
      <c r="AG189" s="116">
        <f t="shared" ref="AG189" si="67">AG174+AG167+AG160+AG149+AG181</f>
        <v>128399123.75749998</v>
      </c>
      <c r="AI189" s="133">
        <f>AE189</f>
        <v>-102750696.32000002</v>
      </c>
      <c r="AJ189" s="133">
        <f>AG189</f>
        <v>128399123.75749998</v>
      </c>
      <c r="AK189" s="116">
        <f t="shared" ref="AK189:AN189" ca="1" si="68">AK174+AK167+AK160+AK149+AK181</f>
        <v>-83452202.095803291</v>
      </c>
      <c r="AL189" s="116">
        <f t="shared" ca="1" si="68"/>
        <v>-94072812.903314561</v>
      </c>
      <c r="AM189" s="116">
        <f t="shared" ca="1" si="68"/>
        <v>-77607254.334458679</v>
      </c>
      <c r="AN189" s="116">
        <f t="shared" ca="1" si="68"/>
        <v>-88678135.271661043</v>
      </c>
      <c r="AP189" s="133">
        <f t="shared" ca="1" si="43"/>
        <v>-77607254.334458679</v>
      </c>
      <c r="AQ189" s="606">
        <f ca="1">AP189-AE189</f>
        <v>25143441.985541344</v>
      </c>
      <c r="AR189" s="225">
        <f t="shared" si="53"/>
        <v>182</v>
      </c>
      <c r="AS189" s="225" t="e">
        <f t="shared" si="54"/>
        <v>#REF!</v>
      </c>
      <c r="AT189" s="186"/>
      <c r="AU189" s="227"/>
      <c r="AV189" s="102" t="s">
        <v>595</v>
      </c>
      <c r="AW189" s="102"/>
      <c r="AX189" s="102"/>
      <c r="AY189" s="116">
        <f t="shared" ref="AY189" si="69">AY174+AY167+AY160+AY149+AY181</f>
        <v>-102750696.31999999</v>
      </c>
      <c r="AZ189" s="95">
        <f ca="1">AP189</f>
        <v>-77607254.334458679</v>
      </c>
      <c r="BA189" s="95">
        <f ca="1">AZ189-AY189</f>
        <v>25143441.985541314</v>
      </c>
    </row>
    <row r="190" spans="1:53" ht="13.5" thickBot="1">
      <c r="A190" s="250" t="e">
        <f t="shared" si="56"/>
        <v>#REF!</v>
      </c>
      <c r="B190" s="227"/>
      <c r="C190" s="102"/>
      <c r="D190" s="102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42"/>
      <c r="AI190" s="242"/>
      <c r="AJ190" s="242"/>
      <c r="AK190" s="242"/>
      <c r="AL190" s="242"/>
      <c r="AM190" s="242"/>
      <c r="AN190" s="242"/>
      <c r="AP190" s="242"/>
      <c r="AQ190" s="614"/>
      <c r="AR190" s="225">
        <f t="shared" si="53"/>
        <v>183</v>
      </c>
      <c r="AS190" s="225" t="e">
        <f t="shared" si="54"/>
        <v>#REF!</v>
      </c>
      <c r="AT190" s="186"/>
      <c r="AU190" s="227"/>
      <c r="AV190" s="102"/>
      <c r="AW190" s="102"/>
      <c r="AX190" s="102"/>
      <c r="AY190" s="235"/>
      <c r="AZ190" s="744"/>
      <c r="BA190" s="744"/>
    </row>
    <row r="191" spans="1:53" ht="13.5" thickTop="1">
      <c r="A191" s="250" t="e">
        <f t="shared" si="56"/>
        <v>#REF!</v>
      </c>
      <c r="B191" s="227"/>
      <c r="C191" s="102"/>
      <c r="D191" s="102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33"/>
      <c r="AI191" s="133"/>
      <c r="AJ191" s="133"/>
      <c r="AK191" s="133"/>
      <c r="AL191" s="133"/>
      <c r="AM191" s="133"/>
      <c r="AN191" s="133"/>
      <c r="AP191" s="133"/>
      <c r="AQ191" s="606"/>
      <c r="AR191" s="225">
        <f t="shared" si="53"/>
        <v>184</v>
      </c>
      <c r="AS191" s="225" t="e">
        <f t="shared" si="54"/>
        <v>#REF!</v>
      </c>
      <c r="AT191" s="186"/>
      <c r="AU191" s="227"/>
      <c r="AV191" s="102"/>
      <c r="AW191" s="102"/>
      <c r="AX191" s="102"/>
      <c r="AY191" s="116"/>
    </row>
    <row r="192" spans="1:53">
      <c r="A192" s="250" t="e">
        <f t="shared" si="56"/>
        <v>#REF!</v>
      </c>
      <c r="B192" s="227"/>
      <c r="C192" s="49" t="s">
        <v>663</v>
      </c>
      <c r="D192" s="102"/>
      <c r="H192" s="116">
        <v>1636048551.3699992</v>
      </c>
      <c r="I192" s="116">
        <v>1646971529.0299997</v>
      </c>
      <c r="J192" s="116">
        <v>1657481661.2799997</v>
      </c>
      <c r="K192" s="116">
        <v>1661076633.9499998</v>
      </c>
      <c r="L192" s="116">
        <v>1668659201.9999995</v>
      </c>
      <c r="M192" s="116">
        <v>1677645051.05</v>
      </c>
      <c r="N192" s="116">
        <v>1677246690.4399996</v>
      </c>
      <c r="O192" s="116">
        <v>1706408630.4299998</v>
      </c>
      <c r="P192" s="116">
        <v>1753799424.3799992</v>
      </c>
      <c r="Q192" s="116">
        <v>1786104780.9000003</v>
      </c>
      <c r="R192" s="116">
        <v>1804958190.3399994</v>
      </c>
      <c r="S192" s="116">
        <v>1824004287.9199998</v>
      </c>
      <c r="T192" s="116">
        <v>1821710232.5499995</v>
      </c>
      <c r="U192" s="116">
        <v>1826905886.7600002</v>
      </c>
      <c r="V192" s="116">
        <v>1832953766.8319998</v>
      </c>
      <c r="W192" s="116">
        <v>1847180404.8299999</v>
      </c>
      <c r="X192" s="116">
        <v>1853441665.9299996</v>
      </c>
      <c r="Y192" s="116">
        <v>1857622861.5219996</v>
      </c>
      <c r="Z192" s="116">
        <v>1862657735.7219996</v>
      </c>
      <c r="AA192" s="116">
        <v>1903679547.7699997</v>
      </c>
      <c r="AB192" s="116">
        <v>1918971076.6299999</v>
      </c>
      <c r="AC192" s="116">
        <v>1930305775.3599992</v>
      </c>
      <c r="AD192" s="116">
        <v>1937859613.1300001</v>
      </c>
      <c r="AE192" s="116">
        <v>1719831341.862</v>
      </c>
      <c r="AF192" s="116"/>
      <c r="AG192" s="133">
        <f>SUM(AG186:AG189)</f>
        <v>1863767198.4939163</v>
      </c>
      <c r="AI192" s="133">
        <f>AE192</f>
        <v>1719831341.862</v>
      </c>
      <c r="AJ192" s="133">
        <f>AG192</f>
        <v>1863767198.4939163</v>
      </c>
      <c r="AK192" s="133">
        <f ca="1">SUM(AK186:AK189)</f>
        <v>1841669257.4402061</v>
      </c>
      <c r="AL192" s="133">
        <f ca="1">SUM(AL186:AL189)</f>
        <v>1896191493.0245738</v>
      </c>
      <c r="AM192" s="133">
        <f t="shared" ref="AM192:AN192" ca="1" si="70">SUM(AM186:AM189)</f>
        <v>2014091148.2571213</v>
      </c>
      <c r="AN192" s="133">
        <f t="shared" ca="1" si="70"/>
        <v>2052601247.6726589</v>
      </c>
      <c r="AO192" s="30"/>
      <c r="AP192" s="133">
        <f ca="1">HLOOKUP($AP$8,RateBaseScenarios,AR192,FALSE)</f>
        <v>2014091148.2571213</v>
      </c>
      <c r="AQ192" s="606">
        <f ca="1">AP192-AE192</f>
        <v>294259806.39512134</v>
      </c>
      <c r="AR192" s="225">
        <f t="shared" si="53"/>
        <v>185</v>
      </c>
      <c r="AS192" s="225" t="e">
        <f t="shared" si="54"/>
        <v>#REF!</v>
      </c>
      <c r="AT192" s="186"/>
      <c r="AU192" s="227"/>
      <c r="AV192" s="49" t="s">
        <v>663</v>
      </c>
      <c r="AW192" s="102"/>
      <c r="AX192" s="102"/>
      <c r="AY192" s="116">
        <f>SUM(AY186:AY189)</f>
        <v>1719831341.8620002</v>
      </c>
      <c r="AZ192" s="95">
        <f ca="1">AP192</f>
        <v>2014091148.2571213</v>
      </c>
      <c r="BA192" s="95">
        <f ca="1">AZ192-AY192</f>
        <v>294259806.3951211</v>
      </c>
    </row>
    <row r="193" spans="1:53">
      <c r="A193" s="250" t="e">
        <f t="shared" si="56"/>
        <v>#REF!</v>
      </c>
      <c r="B193" s="227"/>
      <c r="C193" s="102"/>
      <c r="D193" s="102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33"/>
      <c r="AI193" s="133"/>
      <c r="AJ193" s="133"/>
      <c r="AK193" s="133"/>
      <c r="AL193" s="133"/>
      <c r="AM193" s="133"/>
      <c r="AN193" s="133"/>
      <c r="AP193" s="133"/>
      <c r="AQ193" s="606"/>
      <c r="AR193" s="225">
        <f t="shared" si="53"/>
        <v>186</v>
      </c>
      <c r="AS193" s="225" t="e">
        <f t="shared" si="54"/>
        <v>#REF!</v>
      </c>
      <c r="AT193" s="186"/>
      <c r="AU193" s="227"/>
      <c r="AV193" s="102"/>
      <c r="AW193" s="102"/>
      <c r="AX193" s="102"/>
      <c r="AY193" s="116"/>
    </row>
    <row r="194" spans="1:53">
      <c r="A194" s="250" t="e">
        <f t="shared" si="56"/>
        <v>#REF!</v>
      </c>
      <c r="B194" s="227"/>
      <c r="C194" s="102"/>
      <c r="D194" s="102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33"/>
      <c r="AI194" s="133"/>
      <c r="AJ194" s="133"/>
      <c r="AK194" s="133"/>
      <c r="AL194" s="133"/>
      <c r="AM194" s="133"/>
      <c r="AN194" s="133"/>
      <c r="AP194" s="133"/>
      <c r="AQ194" s="606"/>
      <c r="AR194" s="225">
        <f t="shared" si="53"/>
        <v>187</v>
      </c>
      <c r="AS194" s="225" t="e">
        <f t="shared" si="54"/>
        <v>#REF!</v>
      </c>
      <c r="AT194" s="186"/>
      <c r="AU194" s="227"/>
      <c r="AV194" s="102"/>
      <c r="AW194" s="102"/>
      <c r="AX194" s="102"/>
      <c r="AY194" s="116"/>
    </row>
    <row r="195" spans="1:53">
      <c r="A195" s="250" t="e">
        <f t="shared" si="56"/>
        <v>#REF!</v>
      </c>
      <c r="B195" s="36" t="s">
        <v>307</v>
      </c>
      <c r="C195" s="102"/>
      <c r="D195" s="102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33"/>
      <c r="AI195" s="133"/>
      <c r="AJ195" s="133"/>
      <c r="AK195" s="133"/>
      <c r="AL195" s="133"/>
      <c r="AM195" s="133"/>
      <c r="AN195" s="133"/>
      <c r="AP195" s="133"/>
      <c r="AQ195" s="606"/>
      <c r="AR195" s="225">
        <f t="shared" si="53"/>
        <v>188</v>
      </c>
      <c r="AS195" s="225" t="e">
        <f t="shared" si="54"/>
        <v>#REF!</v>
      </c>
      <c r="AT195" s="186"/>
      <c r="AU195" s="36" t="s">
        <v>307</v>
      </c>
      <c r="AV195" s="102"/>
      <c r="AW195" s="102"/>
      <c r="AX195" s="102"/>
      <c r="AY195" s="116"/>
    </row>
    <row r="196" spans="1:53">
      <c r="A196" s="250" t="e">
        <f t="shared" si="56"/>
        <v>#REF!</v>
      </c>
      <c r="B196" s="227"/>
      <c r="C196" s="102"/>
      <c r="D196" s="102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33"/>
      <c r="AI196" s="133"/>
      <c r="AJ196" s="133"/>
      <c r="AK196" s="133"/>
      <c r="AL196" s="133"/>
      <c r="AM196" s="133"/>
      <c r="AN196" s="133"/>
      <c r="AP196" s="133"/>
      <c r="AQ196" s="606"/>
      <c r="AR196" s="225">
        <f t="shared" si="53"/>
        <v>189</v>
      </c>
      <c r="AS196" s="225" t="e">
        <f t="shared" si="54"/>
        <v>#REF!</v>
      </c>
      <c r="AT196" s="186"/>
      <c r="AU196" s="227"/>
      <c r="AV196" s="102"/>
      <c r="AW196" s="102"/>
      <c r="AX196" s="102"/>
      <c r="AY196" s="116"/>
    </row>
    <row r="197" spans="1:53">
      <c r="A197" s="250" t="e">
        <f t="shared" si="56"/>
        <v>#REF!</v>
      </c>
      <c r="B197" s="136">
        <v>154</v>
      </c>
      <c r="C197" s="102" t="s">
        <v>308</v>
      </c>
      <c r="D197" s="102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33"/>
      <c r="AI197" s="133"/>
      <c r="AJ197" s="133"/>
      <c r="AK197" s="133"/>
      <c r="AL197" s="133"/>
      <c r="AM197" s="133"/>
      <c r="AN197" s="133"/>
      <c r="AP197" s="133"/>
      <c r="AQ197" s="606"/>
      <c r="AR197" s="225">
        <f t="shared" si="53"/>
        <v>190</v>
      </c>
      <c r="AS197" s="225" t="e">
        <f t="shared" si="54"/>
        <v>#REF!</v>
      </c>
      <c r="AT197" s="186"/>
      <c r="AU197" s="136">
        <v>154</v>
      </c>
      <c r="AV197" s="102" t="s">
        <v>308</v>
      </c>
      <c r="AW197" s="102"/>
      <c r="AX197" s="102"/>
      <c r="AY197" s="116"/>
    </row>
    <row r="198" spans="1:53">
      <c r="A198" s="250" t="e">
        <f t="shared" si="56"/>
        <v>#REF!</v>
      </c>
      <c r="B198" s="136"/>
      <c r="C198" s="102"/>
      <c r="D198" s="102" t="s">
        <v>592</v>
      </c>
      <c r="H198" s="1048">
        <f ca="1">H200*'ROR-Model'!$N$2</f>
        <v>604639.34884216252</v>
      </c>
      <c r="I198" s="1048">
        <f ca="1">I200*'ROR-Model'!$N$2</f>
        <v>578370.98674662376</v>
      </c>
      <c r="J198" s="1048">
        <f ca="1">J200*'ROR-Model'!$N$2</f>
        <v>607817.20768270304</v>
      </c>
      <c r="K198" s="1048">
        <f ca="1">K200*'ROR-Model'!$N$2</f>
        <v>650799.62317811197</v>
      </c>
      <c r="L198" s="1048">
        <f ca="1">L200*'ROR-Model'!$N$2</f>
        <v>635366.05261668377</v>
      </c>
      <c r="M198" s="1048">
        <f ca="1">M200*'ROR-Model'!$N$2</f>
        <v>542970.67956419394</v>
      </c>
      <c r="N198" s="1048">
        <f ca="1">N200*'ROR-Model'!$N$2</f>
        <v>647705.25551320566</v>
      </c>
      <c r="O198" s="1048">
        <f ca="1">O200*'ROR-Model'!$N$2</f>
        <v>581803.57603127102</v>
      </c>
      <c r="P198" s="1048">
        <f ca="1">P200*'ROR-Model'!$N$2</f>
        <v>597427.19677170133</v>
      </c>
      <c r="Q198" s="1048">
        <f ca="1">Q200*'ROR-Model'!$N$2</f>
        <v>645506.62142960844</v>
      </c>
      <c r="R198" s="1048">
        <f ca="1">R200*'ROR-Model'!$N$2</f>
        <v>696358.45175075158</v>
      </c>
      <c r="S198" s="1048">
        <f ca="1">S200*'ROR-Model'!$N$2</f>
        <v>891662.96885925566</v>
      </c>
      <c r="T198" s="1048">
        <v>924641.56325773522</v>
      </c>
      <c r="U198" s="1048">
        <v>982392.83847182244</v>
      </c>
      <c r="V198" s="1048">
        <v>824380.31282251328</v>
      </c>
      <c r="W198" s="1048">
        <v>784810.47807089984</v>
      </c>
      <c r="X198" s="1048">
        <v>795228.27801053226</v>
      </c>
      <c r="Y198" s="1048">
        <v>829265.28467340767</v>
      </c>
      <c r="Z198" s="1048">
        <v>717683.40690339357</v>
      </c>
      <c r="AA198" s="1048">
        <v>738109.08857079595</v>
      </c>
      <c r="AB198" s="1048">
        <v>930761.7611960806</v>
      </c>
      <c r="AC198" s="1048">
        <v>893488.36074661091</v>
      </c>
      <c r="AD198" s="1048">
        <v>865266.54255538434</v>
      </c>
      <c r="AE198" s="1048">
        <v>821279.85365963727</v>
      </c>
      <c r="AF198" s="116"/>
      <c r="AG198" s="133">
        <f ca="1">(SUM(T198:AD198)+(0.5*AE198)+(0.5*S198))/12</f>
        <v>845208.2772115519</v>
      </c>
      <c r="AI198" s="133">
        <f>AE198</f>
        <v>821279.85365963727</v>
      </c>
      <c r="AJ198" s="133">
        <f ca="1">AG198</f>
        <v>845208.2772115519</v>
      </c>
      <c r="AK198" s="133">
        <f>+'RB FORECAST'!AJ200</f>
        <v>842275.64741156774</v>
      </c>
      <c r="AL198" s="133">
        <f>+'RB FORECAST'!AG200</f>
        <v>821279.85365963727</v>
      </c>
      <c r="AM198" s="133">
        <f>+'RB FORECAST'!BA200</f>
        <v>842275.64741156774</v>
      </c>
      <c r="AN198" s="133">
        <f>+'RB FORECAST'!AW200</f>
        <v>821279.85365963727</v>
      </c>
      <c r="AP198" s="133">
        <f t="shared" si="43"/>
        <v>842275.64741156774</v>
      </c>
      <c r="AQ198" s="606">
        <f>AP198-AE198</f>
        <v>20995.793751930469</v>
      </c>
      <c r="AR198" s="225">
        <f t="shared" si="53"/>
        <v>191</v>
      </c>
      <c r="AS198" s="225" t="e">
        <f t="shared" si="54"/>
        <v>#REF!</v>
      </c>
      <c r="AT198" s="186"/>
      <c r="AU198" s="136"/>
      <c r="AV198" s="102"/>
      <c r="AW198" s="102" t="s">
        <v>592</v>
      </c>
      <c r="AX198" s="102"/>
      <c r="AY198" s="116">
        <f>+AE198</f>
        <v>821279.85365963727</v>
      </c>
      <c r="AZ198" s="95">
        <f>AP198</f>
        <v>842275.64741156774</v>
      </c>
      <c r="BA198" s="95">
        <f>AZ198-AY198</f>
        <v>20995.793751930469</v>
      </c>
    </row>
    <row r="199" spans="1:53">
      <c r="A199" s="250" t="e">
        <f t="shared" si="56"/>
        <v>#REF!</v>
      </c>
      <c r="B199" s="136"/>
      <c r="C199" s="102"/>
      <c r="D199" s="102" t="s">
        <v>593</v>
      </c>
      <c r="H199" s="1048">
        <f ca="1">H200*'ROR-Model'!$M$2</f>
        <v>18013558.291157838</v>
      </c>
      <c r="I199" s="1048">
        <f ca="1">I200*'ROR-Model'!$M$2</f>
        <v>17230965.043253373</v>
      </c>
      <c r="J199" s="1048">
        <f ca="1">J200*'ROR-Model'!$M$2</f>
        <v>18108233.812317297</v>
      </c>
      <c r="K199" s="1048">
        <f ca="1">K200*'ROR-Model'!$M$2</f>
        <v>19388776.086821884</v>
      </c>
      <c r="L199" s="1048">
        <f ca="1">L200*'ROR-Model'!$M$2</f>
        <v>18928975.507383313</v>
      </c>
      <c r="M199" s="1048">
        <f ca="1">M200*'ROR-Model'!$M$2</f>
        <v>16176310.730435805</v>
      </c>
      <c r="N199" s="1048">
        <f ca="1">N200*'ROR-Model'!$M$2</f>
        <v>19296587.954486795</v>
      </c>
      <c r="O199" s="1048">
        <f ca="1">O200*'ROR-Model'!$M$2</f>
        <v>17333229.553968731</v>
      </c>
      <c r="P199" s="1048">
        <f ca="1">P200*'ROR-Model'!$M$2</f>
        <v>17798692.153228298</v>
      </c>
      <c r="Q199" s="1048">
        <f ca="1">Q200*'ROR-Model'!$M$2</f>
        <v>19231085.72857039</v>
      </c>
      <c r="R199" s="1048">
        <f ca="1">R200*'ROR-Model'!$M$2</f>
        <v>20746075.468249246</v>
      </c>
      <c r="S199" s="1048">
        <f ca="1">S200*'ROR-Model'!$M$2</f>
        <v>26564633.771140743</v>
      </c>
      <c r="T199" s="1048">
        <v>27422382.166742265</v>
      </c>
      <c r="U199" s="1048">
        <v>29135129.681528177</v>
      </c>
      <c r="V199" s="1048">
        <v>24448903.107177485</v>
      </c>
      <c r="W199" s="1048">
        <v>23275368.221929099</v>
      </c>
      <c r="X199" s="1048">
        <v>23584332.151989467</v>
      </c>
      <c r="Y199" s="1048">
        <v>24593778.235326592</v>
      </c>
      <c r="Z199" s="1048">
        <v>21284559.813096605</v>
      </c>
      <c r="AA199" s="1048">
        <v>21890330.601429205</v>
      </c>
      <c r="AB199" s="1048">
        <v>27603890.778803919</v>
      </c>
      <c r="AC199" s="1048">
        <v>26498461.959253389</v>
      </c>
      <c r="AD199" s="1048">
        <v>25661478.727444615</v>
      </c>
      <c r="AE199" s="1048">
        <v>24356951.826340362</v>
      </c>
      <c r="AF199" s="116"/>
      <c r="AG199" s="133">
        <f ca="1">(SUM(T199:AD199)+(0.5*AE199)+(0.5*S199))/12</f>
        <v>25071617.353621777</v>
      </c>
      <c r="AI199" s="133">
        <f>AE199</f>
        <v>24356951.826340362</v>
      </c>
      <c r="AJ199" s="133">
        <f ca="1">AG199</f>
        <v>25071617.353621777</v>
      </c>
      <c r="AK199" s="133">
        <f>+'RB FORECAST'!AJ201</f>
        <v>24979630.60592176</v>
      </c>
      <c r="AL199" s="133">
        <f>+'RB FORECAST'!AG201</f>
        <v>24356951.826340362</v>
      </c>
      <c r="AM199" s="133">
        <f>+'RB FORECAST'!BA201</f>
        <v>24979630.60592176</v>
      </c>
      <c r="AN199" s="133">
        <f>+'RB FORECAST'!AW201</f>
        <v>24356951.826340362</v>
      </c>
      <c r="AP199" s="133">
        <f t="shared" si="43"/>
        <v>24979630.60592176</v>
      </c>
      <c r="AQ199" s="606">
        <f>AP199-AE199</f>
        <v>622678.77958139777</v>
      </c>
      <c r="AR199" s="225">
        <f t="shared" si="53"/>
        <v>192</v>
      </c>
      <c r="AS199" s="225" t="e">
        <f t="shared" si="54"/>
        <v>#REF!</v>
      </c>
      <c r="AT199" s="186"/>
      <c r="AU199" s="136"/>
      <c r="AV199" s="102"/>
      <c r="AW199" s="102" t="s">
        <v>593</v>
      </c>
      <c r="AX199" s="102"/>
      <c r="AY199" s="116">
        <f>+AE199</f>
        <v>24356951.826340362</v>
      </c>
      <c r="AZ199" s="743">
        <f>AP199</f>
        <v>24979630.60592176</v>
      </c>
      <c r="BA199" s="743">
        <f>AZ199-AY199</f>
        <v>622678.77958139777</v>
      </c>
    </row>
    <row r="200" spans="1:53">
      <c r="A200" s="250" t="e">
        <f t="shared" si="56"/>
        <v>#REF!</v>
      </c>
      <c r="B200" s="136"/>
      <c r="C200" s="102"/>
      <c r="D200" s="102" t="s">
        <v>170</v>
      </c>
      <c r="H200" s="620">
        <v>18618197.640000001</v>
      </c>
      <c r="I200" s="620">
        <v>17809336.029999997</v>
      </c>
      <c r="J200" s="620">
        <v>18716051.02</v>
      </c>
      <c r="K200" s="620">
        <v>20039575.709999997</v>
      </c>
      <c r="L200" s="620">
        <v>19564341.559999999</v>
      </c>
      <c r="M200" s="620">
        <v>16719281.41</v>
      </c>
      <c r="N200" s="620">
        <v>19944293.210000001</v>
      </c>
      <c r="O200" s="620">
        <v>17915033.130000003</v>
      </c>
      <c r="P200" s="620">
        <v>18396119.350000001</v>
      </c>
      <c r="Q200" s="620">
        <v>19876592.350000001</v>
      </c>
      <c r="R200" s="620">
        <v>21442433.919999998</v>
      </c>
      <c r="S200" s="620">
        <v>27456296.739999998</v>
      </c>
      <c r="T200" s="620">
        <v>28347023.73</v>
      </c>
      <c r="U200" s="620">
        <v>30117522.52</v>
      </c>
      <c r="V200" s="620">
        <v>25273283.419999998</v>
      </c>
      <c r="W200" s="620">
        <v>24060178.699999999</v>
      </c>
      <c r="X200" s="620">
        <v>24379560.43</v>
      </c>
      <c r="Y200" s="620">
        <v>25423043.52</v>
      </c>
      <c r="Z200" s="620">
        <v>22002243.219999999</v>
      </c>
      <c r="AA200" s="620">
        <v>22628439.690000001</v>
      </c>
      <c r="AB200" s="620">
        <v>28534652.539999999</v>
      </c>
      <c r="AC200" s="620">
        <v>27391950.32</v>
      </c>
      <c r="AD200" s="620">
        <v>26526745.27</v>
      </c>
      <c r="AE200" s="620">
        <v>25178231.68</v>
      </c>
      <c r="AF200" s="131"/>
      <c r="AG200" s="241">
        <f>(SUM(T200:AD200)+(0.5*AE200)+(0.5*S200))/12</f>
        <v>25916825.630833331</v>
      </c>
      <c r="AI200" s="241">
        <f>SUM(AI198:AI199)</f>
        <v>25178231.68</v>
      </c>
      <c r="AJ200" s="241">
        <f ca="1">SUM(AJ198:AJ199)</f>
        <v>25916825.630833328</v>
      </c>
      <c r="AK200" s="241">
        <f t="shared" ref="AK200:AN200" si="71">SUM(AK198:AK199)</f>
        <v>25821906.253333326</v>
      </c>
      <c r="AL200" s="241">
        <f t="shared" si="71"/>
        <v>25178231.68</v>
      </c>
      <c r="AM200" s="241">
        <f t="shared" si="71"/>
        <v>25821906.253333326</v>
      </c>
      <c r="AN200" s="241">
        <f t="shared" si="71"/>
        <v>25178231.68</v>
      </c>
      <c r="AP200" s="241">
        <f t="shared" si="43"/>
        <v>25821906.253333326</v>
      </c>
      <c r="AQ200" s="612">
        <f>AP200-AE200</f>
        <v>643674.57333332673</v>
      </c>
      <c r="AR200" s="225">
        <f t="shared" si="53"/>
        <v>193</v>
      </c>
      <c r="AS200" s="225" t="e">
        <f t="shared" si="54"/>
        <v>#REF!</v>
      </c>
      <c r="AT200" s="186"/>
      <c r="AU200" s="136"/>
      <c r="AV200" s="102"/>
      <c r="AW200" s="102" t="s">
        <v>170</v>
      </c>
      <c r="AX200" s="102"/>
      <c r="AY200" s="131">
        <f>SUM(AY198:AY199)</f>
        <v>25178231.68</v>
      </c>
      <c r="AZ200" s="131">
        <f>SUM(AZ198:AZ199)</f>
        <v>25821906.253333326</v>
      </c>
      <c r="BA200" s="670">
        <f>AZ200-AY200</f>
        <v>643674.57333332673</v>
      </c>
    </row>
    <row r="201" spans="1:53">
      <c r="A201" s="250" t="e">
        <f t="shared" si="56"/>
        <v>#REF!</v>
      </c>
      <c r="B201" s="136"/>
      <c r="C201" s="102"/>
      <c r="D201" s="102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225">
        <f t="shared" si="53"/>
        <v>194</v>
      </c>
      <c r="AS201" s="225" t="e">
        <f t="shared" si="54"/>
        <v>#REF!</v>
      </c>
      <c r="AT201" s="186"/>
      <c r="AU201" s="136"/>
      <c r="AV201" s="102"/>
      <c r="AW201" s="102"/>
      <c r="AX201" s="102"/>
      <c r="AY201" s="116"/>
      <c r="BA201" s="194"/>
    </row>
    <row r="202" spans="1:53">
      <c r="A202" s="250" t="e">
        <f t="shared" si="56"/>
        <v>#REF!</v>
      </c>
      <c r="B202" s="136" t="s">
        <v>286</v>
      </c>
      <c r="C202" s="102" t="s">
        <v>309</v>
      </c>
      <c r="D202" s="102"/>
      <c r="AR202" s="225">
        <f t="shared" si="53"/>
        <v>195</v>
      </c>
      <c r="AS202" s="225" t="e">
        <f t="shared" si="54"/>
        <v>#REF!</v>
      </c>
      <c r="AT202" s="186"/>
      <c r="AU202" s="136" t="s">
        <v>286</v>
      </c>
      <c r="AV202" s="102" t="s">
        <v>309</v>
      </c>
      <c r="AW202" s="102"/>
      <c r="AX202" s="102"/>
      <c r="AY202" s="116"/>
    </row>
    <row r="203" spans="1:53">
      <c r="A203" s="250" t="e">
        <f t="shared" si="56"/>
        <v>#REF!</v>
      </c>
      <c r="B203" s="136"/>
      <c r="C203" s="102"/>
      <c r="D203" s="102" t="s">
        <v>443</v>
      </c>
      <c r="H203" s="116">
        <v>31528328.539999999</v>
      </c>
      <c r="I203" s="116">
        <v>21185728.699999999</v>
      </c>
      <c r="J203" s="116">
        <v>7159514.9400000004</v>
      </c>
      <c r="K203" s="116">
        <v>3455713.05</v>
      </c>
      <c r="L203" s="116">
        <v>11147739.1</v>
      </c>
      <c r="M203" s="116">
        <v>23044902.899999999</v>
      </c>
      <c r="N203" s="116">
        <v>39135538.030000001</v>
      </c>
      <c r="O203" s="116">
        <v>52516754.780000001</v>
      </c>
      <c r="P203" s="116">
        <v>67227540.260000005</v>
      </c>
      <c r="Q203" s="116">
        <v>70093975.680000007</v>
      </c>
      <c r="R203" s="116">
        <v>72768412.530000001</v>
      </c>
      <c r="S203" s="116">
        <v>49333980.549999997</v>
      </c>
      <c r="T203" s="116">
        <v>33078465.640000001</v>
      </c>
      <c r="U203" s="116">
        <v>21745044.18</v>
      </c>
      <c r="V203" s="116">
        <v>8937825.6400000006</v>
      </c>
      <c r="W203" s="116">
        <v>5265628.42</v>
      </c>
      <c r="X203" s="116">
        <v>9895288.8399999999</v>
      </c>
      <c r="Y203" s="116">
        <v>21769885.129999999</v>
      </c>
      <c r="Z203" s="116">
        <v>34448175.630000003</v>
      </c>
      <c r="AA203" s="116">
        <v>48018857.409999996</v>
      </c>
      <c r="AB203" s="116">
        <v>58860691.740000002</v>
      </c>
      <c r="AC203" s="116">
        <v>59031895.799999997</v>
      </c>
      <c r="AD203" s="116">
        <v>59289969.149999999</v>
      </c>
      <c r="AE203" s="116">
        <v>52891066.75</v>
      </c>
      <c r="AF203" s="116"/>
      <c r="AG203" s="133">
        <f>AE203</f>
        <v>52891066.75</v>
      </c>
      <c r="AI203" s="133">
        <f>AE203</f>
        <v>52891066.75</v>
      </c>
      <c r="AJ203" s="133">
        <f>AG203</f>
        <v>52891066.75</v>
      </c>
      <c r="AK203" s="133">
        <f>+'RB FORECAST'!AJ205</f>
        <v>52891066.75</v>
      </c>
      <c r="AL203" s="133">
        <f>+'RB FORECAST'!AG205</f>
        <v>52891066.75</v>
      </c>
      <c r="AM203" s="133">
        <f>+'RB FORECAST'!BA205</f>
        <v>52891066.75</v>
      </c>
      <c r="AN203" s="133">
        <f>+'RB FORECAST'!AW205</f>
        <v>52891066.75</v>
      </c>
      <c r="AP203" s="133">
        <f>HLOOKUP($AP$8,RateBaseScenarios,AR203,FALSE)</f>
        <v>52891066.75</v>
      </c>
      <c r="AQ203" s="606">
        <f>AP203-AE203</f>
        <v>0</v>
      </c>
      <c r="AR203" s="225">
        <f t="shared" si="53"/>
        <v>196</v>
      </c>
      <c r="AS203" s="225" t="e">
        <f t="shared" si="54"/>
        <v>#REF!</v>
      </c>
      <c r="AT203" s="186"/>
      <c r="AU203" s="136"/>
      <c r="AV203" s="102"/>
      <c r="AW203" s="102" t="s">
        <v>443</v>
      </c>
      <c r="AX203" s="102"/>
      <c r="AY203" s="116">
        <f>+AE203</f>
        <v>52891066.75</v>
      </c>
      <c r="AZ203" s="743">
        <f>AP203</f>
        <v>52891066.75</v>
      </c>
      <c r="BA203" s="743">
        <f>AZ203-AY203</f>
        <v>0</v>
      </c>
    </row>
    <row r="204" spans="1:53">
      <c r="A204" s="250" t="e">
        <f t="shared" si="56"/>
        <v>#REF!</v>
      </c>
      <c r="B204" s="136"/>
      <c r="C204" s="102"/>
      <c r="D204" s="102" t="s">
        <v>170</v>
      </c>
      <c r="H204" s="131">
        <v>31528328.539999999</v>
      </c>
      <c r="I204" s="131">
        <v>21185728.699999999</v>
      </c>
      <c r="J204" s="131">
        <v>7159514.9400000004</v>
      </c>
      <c r="K204" s="131">
        <v>3455713.05</v>
      </c>
      <c r="L204" s="131">
        <v>11147739.1</v>
      </c>
      <c r="M204" s="131">
        <v>23044902.899999999</v>
      </c>
      <c r="N204" s="131">
        <v>39135538.030000001</v>
      </c>
      <c r="O204" s="131">
        <v>52516754.780000001</v>
      </c>
      <c r="P204" s="131">
        <v>67227540.260000005</v>
      </c>
      <c r="Q204" s="131">
        <v>70093975.680000007</v>
      </c>
      <c r="R204" s="131">
        <v>72768412.530000001</v>
      </c>
      <c r="S204" s="131">
        <v>49333980.549999997</v>
      </c>
      <c r="T204" s="131">
        <v>33078465.640000001</v>
      </c>
      <c r="U204" s="131">
        <v>21745044.18</v>
      </c>
      <c r="V204" s="131">
        <v>8937825.6400000006</v>
      </c>
      <c r="W204" s="131">
        <v>5265628.42</v>
      </c>
      <c r="X204" s="131">
        <v>9895288.8399999999</v>
      </c>
      <c r="Y204" s="131">
        <v>21769885.129999999</v>
      </c>
      <c r="Z204" s="131">
        <v>34448175.630000003</v>
      </c>
      <c r="AA204" s="131">
        <v>48018857.409999996</v>
      </c>
      <c r="AB204" s="131">
        <v>58860691.740000002</v>
      </c>
      <c r="AC204" s="131">
        <v>59031895.799999997</v>
      </c>
      <c r="AD204" s="131">
        <v>59289969.149999999</v>
      </c>
      <c r="AE204" s="131">
        <v>52891066.75</v>
      </c>
      <c r="AF204" s="131"/>
      <c r="AG204" s="241">
        <f>SUM(AG203)</f>
        <v>52891066.75</v>
      </c>
      <c r="AI204" s="241">
        <f>+AI203</f>
        <v>52891066.75</v>
      </c>
      <c r="AJ204" s="241">
        <f>+AJ203</f>
        <v>52891066.75</v>
      </c>
      <c r="AK204" s="241">
        <f>SUM(AK203)</f>
        <v>52891066.75</v>
      </c>
      <c r="AL204" s="241">
        <f>SUM(AL203)</f>
        <v>52891066.75</v>
      </c>
      <c r="AM204" s="241">
        <f t="shared" ref="AM204:AN204" si="72">SUM(AM203)</f>
        <v>52891066.75</v>
      </c>
      <c r="AN204" s="241">
        <f t="shared" si="72"/>
        <v>52891066.75</v>
      </c>
      <c r="AP204" s="241">
        <f t="shared" ref="AP204:AP267" si="73">HLOOKUP($AP$8,RateBaseScenarios,AR204,FALSE)</f>
        <v>52891066.75</v>
      </c>
      <c r="AQ204" s="612">
        <f>SUM(AQ203)</f>
        <v>0</v>
      </c>
      <c r="AR204" s="225">
        <f t="shared" si="53"/>
        <v>197</v>
      </c>
      <c r="AS204" s="225" t="e">
        <f t="shared" si="54"/>
        <v>#REF!</v>
      </c>
      <c r="AT204" s="186"/>
      <c r="AU204" s="136"/>
      <c r="AV204" s="102"/>
      <c r="AW204" s="102" t="s">
        <v>170</v>
      </c>
      <c r="AX204" s="102"/>
      <c r="AY204" s="131">
        <f>SUM(AY203)</f>
        <v>52891066.75</v>
      </c>
      <c r="AZ204" s="95">
        <f>AP204</f>
        <v>52891066.75</v>
      </c>
      <c r="BA204" s="95">
        <f>AZ204-AY204</f>
        <v>0</v>
      </c>
    </row>
    <row r="205" spans="1:53">
      <c r="A205" s="250" t="e">
        <f t="shared" si="56"/>
        <v>#REF!</v>
      </c>
      <c r="B205" s="136"/>
      <c r="C205" s="102"/>
      <c r="D205" s="102"/>
      <c r="S205" s="194"/>
      <c r="AE205" s="194"/>
      <c r="AF205" s="194"/>
      <c r="AG205" s="797"/>
      <c r="AH205" s="194"/>
      <c r="AI205" s="797"/>
      <c r="AJ205" s="797"/>
      <c r="AR205" s="225">
        <f t="shared" si="53"/>
        <v>198</v>
      </c>
      <c r="AS205" s="225" t="e">
        <f t="shared" si="54"/>
        <v>#REF!</v>
      </c>
      <c r="AT205" s="186"/>
      <c r="AU205" s="136"/>
      <c r="AV205" s="102"/>
      <c r="AW205" s="102"/>
      <c r="AX205" s="102"/>
      <c r="AY205" s="116"/>
    </row>
    <row r="206" spans="1:53">
      <c r="A206" s="250" t="e">
        <f t="shared" si="56"/>
        <v>#REF!</v>
      </c>
      <c r="B206" s="136" t="s">
        <v>210</v>
      </c>
      <c r="C206" s="102" t="s">
        <v>310</v>
      </c>
      <c r="D206" s="102"/>
      <c r="S206" s="194"/>
      <c r="AE206" s="194"/>
      <c r="AF206" s="194"/>
      <c r="AG206" s="797"/>
      <c r="AH206" s="194"/>
      <c r="AI206" s="797"/>
      <c r="AJ206" s="797"/>
      <c r="AR206" s="225">
        <f t="shared" si="53"/>
        <v>199</v>
      </c>
      <c r="AS206" s="225" t="e">
        <f t="shared" si="54"/>
        <v>#REF!</v>
      </c>
      <c r="AT206" s="186"/>
      <c r="AU206" s="136" t="s">
        <v>210</v>
      </c>
      <c r="AV206" s="102" t="s">
        <v>310</v>
      </c>
      <c r="AW206" s="102"/>
      <c r="AX206" s="102"/>
      <c r="AY206" s="116"/>
    </row>
    <row r="207" spans="1:53">
      <c r="A207" s="250" t="e">
        <f t="shared" si="56"/>
        <v>#REF!</v>
      </c>
      <c r="B207" s="136"/>
      <c r="C207" s="102"/>
      <c r="D207" s="102" t="s">
        <v>595</v>
      </c>
      <c r="H207" s="116">
        <v>3428929.47</v>
      </c>
      <c r="I207" s="116">
        <v>3121161.91</v>
      </c>
      <c r="J207" s="116">
        <v>2755815.81</v>
      </c>
      <c r="K207" s="116">
        <v>1982815.74</v>
      </c>
      <c r="L207" s="116">
        <v>2970010.37</v>
      </c>
      <c r="M207" s="116">
        <v>4211255.8099999996</v>
      </c>
      <c r="N207" s="116">
        <v>3164459.11</v>
      </c>
      <c r="O207" s="116">
        <v>3684501.12</v>
      </c>
      <c r="P207" s="116">
        <v>3634648.64</v>
      </c>
      <c r="Q207" s="116">
        <v>2862506.09</v>
      </c>
      <c r="R207" s="116">
        <v>3165148.13</v>
      </c>
      <c r="S207" s="116">
        <v>3471463.42</v>
      </c>
      <c r="T207" s="116">
        <v>3721756.81</v>
      </c>
      <c r="U207" s="116">
        <v>3178912.65</v>
      </c>
      <c r="V207" s="116">
        <v>2679809.7000000002</v>
      </c>
      <c r="W207" s="116">
        <v>2310232.3199999998</v>
      </c>
      <c r="X207" s="116">
        <v>3646873.1</v>
      </c>
      <c r="Y207" s="116">
        <v>4896628.5600000005</v>
      </c>
      <c r="Z207" s="116">
        <v>4793895.25</v>
      </c>
      <c r="AA207" s="116">
        <v>4367971.97</v>
      </c>
      <c r="AB207" s="116">
        <v>3881182.2</v>
      </c>
      <c r="AC207" s="116">
        <v>3073910.14</v>
      </c>
      <c r="AD207" s="116">
        <v>3367819.37</v>
      </c>
      <c r="AE207" s="116">
        <v>3910153.76</v>
      </c>
      <c r="AF207" s="116"/>
      <c r="AG207" s="133">
        <f>(SUM(T207:AD207)+(0.5*AE207)+(0.5*S207))/12</f>
        <v>3634150.0549999997</v>
      </c>
      <c r="AI207" s="133">
        <f>AE207</f>
        <v>3910153.76</v>
      </c>
      <c r="AJ207" s="133">
        <f>AG207</f>
        <v>3634150.0549999997</v>
      </c>
      <c r="AK207" s="133">
        <f>+'RB FORECAST'!AJ209</f>
        <v>3652428.8191666664</v>
      </c>
      <c r="AL207" s="133">
        <f>+'RB FORECAST'!AG209</f>
        <v>3910153.76</v>
      </c>
      <c r="AM207" s="133">
        <f>+'RB FORECAST'!BA209</f>
        <v>3652428.8191666664</v>
      </c>
      <c r="AN207" s="133">
        <f>+'RB FORECAST'!AW209</f>
        <v>3910153.76</v>
      </c>
      <c r="AP207" s="241">
        <f t="shared" si="73"/>
        <v>3652428.8191666664</v>
      </c>
      <c r="AQ207" s="612">
        <f>AP207-AE207</f>
        <v>-257724.94083333341</v>
      </c>
      <c r="AR207" s="225">
        <f t="shared" si="53"/>
        <v>200</v>
      </c>
      <c r="AS207" s="225" t="e">
        <f t="shared" si="54"/>
        <v>#REF!</v>
      </c>
      <c r="AT207" s="186"/>
      <c r="AU207" s="136"/>
      <c r="AV207" s="102"/>
      <c r="AW207" s="102" t="s">
        <v>595</v>
      </c>
      <c r="AX207" s="102"/>
      <c r="AY207" s="116">
        <f>+AE207</f>
        <v>3910153.76</v>
      </c>
      <c r="AZ207" s="743">
        <f>AP207</f>
        <v>3652428.8191666664</v>
      </c>
      <c r="BA207" s="743">
        <f>AZ207-AY207</f>
        <v>-257724.94083333341</v>
      </c>
    </row>
    <row r="208" spans="1:53">
      <c r="A208" s="250" t="e">
        <f t="shared" si="56"/>
        <v>#REF!</v>
      </c>
      <c r="B208" s="136"/>
      <c r="C208" s="102"/>
      <c r="D208" s="102" t="s">
        <v>170</v>
      </c>
      <c r="H208" s="131">
        <v>3428929.47</v>
      </c>
      <c r="I208" s="131">
        <v>3121161.91</v>
      </c>
      <c r="J208" s="131">
        <v>2755815.81</v>
      </c>
      <c r="K208" s="131">
        <v>1982815.74</v>
      </c>
      <c r="L208" s="131">
        <v>2970010.37</v>
      </c>
      <c r="M208" s="131">
        <v>4211255.8099999996</v>
      </c>
      <c r="N208" s="131">
        <v>3164459.11</v>
      </c>
      <c r="O208" s="131">
        <v>3684501.12</v>
      </c>
      <c r="P208" s="131">
        <v>3634648.64</v>
      </c>
      <c r="Q208" s="131">
        <v>2862506.09</v>
      </c>
      <c r="R208" s="131">
        <v>3165148.13</v>
      </c>
      <c r="S208" s="131">
        <v>3471463.42</v>
      </c>
      <c r="T208" s="131">
        <v>3721756.81</v>
      </c>
      <c r="U208" s="131">
        <v>3178912.65</v>
      </c>
      <c r="V208" s="131">
        <v>2679809.7000000002</v>
      </c>
      <c r="W208" s="131">
        <v>2310232.3199999998</v>
      </c>
      <c r="X208" s="131">
        <v>3646873.1</v>
      </c>
      <c r="Y208" s="131">
        <v>4896628.5600000005</v>
      </c>
      <c r="Z208" s="131">
        <v>4793895.25</v>
      </c>
      <c r="AA208" s="131">
        <v>4367971.97</v>
      </c>
      <c r="AB208" s="131">
        <v>3881182.2</v>
      </c>
      <c r="AC208" s="131">
        <v>3073910.14</v>
      </c>
      <c r="AD208" s="131">
        <v>3367819.37</v>
      </c>
      <c r="AE208" s="131">
        <v>3910153.76</v>
      </c>
      <c r="AF208" s="131"/>
      <c r="AG208" s="241">
        <f>(SUM(T208:AD208)+(0.5*AE208)+(0.5*S208))/12</f>
        <v>3634150.0549999997</v>
      </c>
      <c r="AI208" s="241">
        <f>AE208</f>
        <v>3910153.76</v>
      </c>
      <c r="AJ208" s="241">
        <f>AG208</f>
        <v>3634150.0549999997</v>
      </c>
      <c r="AK208" s="241">
        <f>SUM(AK207)</f>
        <v>3652428.8191666664</v>
      </c>
      <c r="AL208" s="241">
        <f>SUM(AL207)</f>
        <v>3910153.76</v>
      </c>
      <c r="AM208" s="241">
        <f t="shared" ref="AM208:AN208" si="74">SUM(AM207)</f>
        <v>3652428.8191666664</v>
      </c>
      <c r="AN208" s="241">
        <f t="shared" si="74"/>
        <v>3910153.76</v>
      </c>
      <c r="AP208" s="241">
        <f t="shared" si="73"/>
        <v>3652428.8191666664</v>
      </c>
      <c r="AQ208" s="612">
        <f>AP208-AE208</f>
        <v>-257724.94083333341</v>
      </c>
      <c r="AR208" s="225">
        <f t="shared" si="53"/>
        <v>201</v>
      </c>
      <c r="AS208" s="225" t="e">
        <f t="shared" si="54"/>
        <v>#REF!</v>
      </c>
      <c r="AT208" s="186"/>
      <c r="AU208" s="136"/>
      <c r="AV208" s="102"/>
      <c r="AW208" s="102" t="s">
        <v>170</v>
      </c>
      <c r="AX208" s="102"/>
      <c r="AY208" s="131">
        <f>SUM(AY207)</f>
        <v>3910153.76</v>
      </c>
      <c r="AZ208" s="95">
        <f>AP208</f>
        <v>3652428.8191666664</v>
      </c>
      <c r="BA208" s="95">
        <f>AZ208-AY208</f>
        <v>-257724.94083333341</v>
      </c>
    </row>
    <row r="209" spans="1:53">
      <c r="A209" s="250" t="e">
        <f t="shared" si="56"/>
        <v>#REF!</v>
      </c>
      <c r="B209" s="136"/>
      <c r="C209" s="102"/>
      <c r="D209" s="102"/>
      <c r="AR209" s="225">
        <f t="shared" si="53"/>
        <v>202</v>
      </c>
      <c r="AS209" s="225" t="e">
        <f t="shared" si="54"/>
        <v>#REF!</v>
      </c>
      <c r="AT209" s="186"/>
      <c r="AU209" s="136"/>
      <c r="AV209" s="102"/>
      <c r="AW209" s="102"/>
      <c r="AX209" s="102"/>
      <c r="AY209" s="116"/>
    </row>
    <row r="210" spans="1:53">
      <c r="A210" s="250" t="e">
        <f t="shared" si="56"/>
        <v>#REF!</v>
      </c>
      <c r="B210" s="238" t="s">
        <v>303</v>
      </c>
      <c r="C210" s="119" t="s">
        <v>305</v>
      </c>
      <c r="D210" s="102"/>
      <c r="E210" s="102"/>
      <c r="F210" s="102"/>
      <c r="G210" s="102"/>
      <c r="AR210" s="225">
        <f t="shared" si="53"/>
        <v>203</v>
      </c>
      <c r="AS210" s="225" t="e">
        <f t="shared" si="54"/>
        <v>#REF!</v>
      </c>
      <c r="AT210" s="186"/>
      <c r="AU210" s="238" t="s">
        <v>303</v>
      </c>
      <c r="AV210" s="119" t="s">
        <v>305</v>
      </c>
      <c r="AW210" s="102"/>
      <c r="AX210" s="102"/>
      <c r="AY210" s="116"/>
    </row>
    <row r="211" spans="1:53">
      <c r="A211" s="250" t="e">
        <f t="shared" si="56"/>
        <v>#REF!</v>
      </c>
      <c r="B211" s="136"/>
      <c r="C211" s="102"/>
      <c r="D211" s="102" t="s">
        <v>443</v>
      </c>
      <c r="E211" s="102"/>
      <c r="F211" s="102"/>
      <c r="G211" s="102"/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0</v>
      </c>
      <c r="S211" s="116">
        <v>0</v>
      </c>
      <c r="T211" s="116">
        <v>0</v>
      </c>
      <c r="U211" s="116">
        <v>0</v>
      </c>
      <c r="V211" s="116">
        <v>0</v>
      </c>
      <c r="W211" s="116">
        <v>0</v>
      </c>
      <c r="X211" s="116">
        <v>0</v>
      </c>
      <c r="Y211" s="116">
        <v>0</v>
      </c>
      <c r="Z211" s="116">
        <v>0</v>
      </c>
      <c r="AA211" s="116">
        <v>0</v>
      </c>
      <c r="AB211" s="116">
        <v>0</v>
      </c>
      <c r="AC211" s="116">
        <v>0</v>
      </c>
      <c r="AD211" s="116">
        <v>0</v>
      </c>
      <c r="AE211" s="116">
        <v>0</v>
      </c>
      <c r="AF211" s="116"/>
      <c r="AG211" s="133">
        <f>(SUM(T211:AD211)+(0.5*AE211)+(0.5*S211))/12</f>
        <v>0</v>
      </c>
      <c r="AI211" s="133">
        <f>AE211</f>
        <v>0</v>
      </c>
      <c r="AJ211" s="133">
        <f>AG211</f>
        <v>0</v>
      </c>
      <c r="AK211" s="133">
        <f>+'RB FORECAST'!AJ213</f>
        <v>0</v>
      </c>
      <c r="AL211" s="133">
        <f>+'RB FORECAST'!AG213</f>
        <v>0</v>
      </c>
      <c r="AM211" s="133">
        <f>+'RB FORECAST'!BA213</f>
        <v>0</v>
      </c>
      <c r="AN211" s="133">
        <f>+'RB FORECAST'!AW213</f>
        <v>0</v>
      </c>
      <c r="AP211" s="133">
        <f t="shared" si="73"/>
        <v>0</v>
      </c>
      <c r="AQ211" s="606">
        <f>AP211-AE211</f>
        <v>0</v>
      </c>
      <c r="AR211" s="225">
        <f t="shared" si="53"/>
        <v>204</v>
      </c>
      <c r="AS211" s="225" t="e">
        <f t="shared" si="54"/>
        <v>#REF!</v>
      </c>
      <c r="AT211" s="186"/>
      <c r="AU211" s="136"/>
      <c r="AV211" s="102"/>
      <c r="AW211" s="102" t="s">
        <v>443</v>
      </c>
      <c r="AX211" s="102"/>
      <c r="AY211" s="116">
        <f>+AE211</f>
        <v>0</v>
      </c>
      <c r="AZ211" s="95">
        <f>AP211</f>
        <v>0</v>
      </c>
      <c r="BA211" s="95">
        <f>AZ211-AY211</f>
        <v>0</v>
      </c>
    </row>
    <row r="212" spans="1:53">
      <c r="A212" s="250" t="e">
        <f t="shared" si="56"/>
        <v>#REF!</v>
      </c>
      <c r="B212" s="136"/>
      <c r="C212" s="102"/>
      <c r="D212" s="102" t="s">
        <v>592</v>
      </c>
      <c r="E212" s="102"/>
      <c r="F212" s="102"/>
      <c r="G212" s="102"/>
      <c r="H212" s="116">
        <v>0</v>
      </c>
      <c r="I212" s="116">
        <v>0</v>
      </c>
      <c r="J212" s="116">
        <v>0</v>
      </c>
      <c r="K212" s="116">
        <v>0</v>
      </c>
      <c r="L212" s="116">
        <v>0</v>
      </c>
      <c r="M212" s="116">
        <v>0</v>
      </c>
      <c r="N212" s="116">
        <v>0</v>
      </c>
      <c r="O212" s="116">
        <v>0</v>
      </c>
      <c r="P212" s="116">
        <v>0</v>
      </c>
      <c r="Q212" s="116">
        <v>0</v>
      </c>
      <c r="R212" s="116">
        <v>0</v>
      </c>
      <c r="S212" s="116">
        <v>0</v>
      </c>
      <c r="T212" s="116">
        <v>0</v>
      </c>
      <c r="U212" s="116">
        <v>0</v>
      </c>
      <c r="V212" s="116">
        <v>0</v>
      </c>
      <c r="W212" s="116">
        <v>0</v>
      </c>
      <c r="X212" s="116">
        <v>0</v>
      </c>
      <c r="Y212" s="116">
        <v>0</v>
      </c>
      <c r="Z212" s="116">
        <v>0</v>
      </c>
      <c r="AA212" s="116">
        <v>0</v>
      </c>
      <c r="AB212" s="116">
        <v>0</v>
      </c>
      <c r="AC212" s="116">
        <v>0</v>
      </c>
      <c r="AD212" s="116">
        <v>0</v>
      </c>
      <c r="AE212" s="116">
        <v>1832178.8287000023</v>
      </c>
      <c r="AF212" s="116"/>
      <c r="AG212" s="133">
        <f>(SUM(T212:AD212)+(0.5*AE212)+(0.5*S212))/12</f>
        <v>76340.784529166762</v>
      </c>
      <c r="AI212" s="133">
        <f>AE212</f>
        <v>1832178.8287000023</v>
      </c>
      <c r="AJ212" s="133">
        <f>AG212</f>
        <v>76340.784529166762</v>
      </c>
      <c r="AK212" s="133">
        <f>+'RB FORECAST'!AJ214</f>
        <v>76340.784529166762</v>
      </c>
      <c r="AL212" s="133">
        <f>+'RB FORECAST'!AG214</f>
        <v>0</v>
      </c>
      <c r="AM212" s="133">
        <f>+'RB FORECAST'!BA214</f>
        <v>0</v>
      </c>
      <c r="AN212" s="133">
        <f>+'RB FORECAST'!AW214</f>
        <v>0</v>
      </c>
      <c r="AP212" s="133">
        <f t="shared" si="73"/>
        <v>0</v>
      </c>
      <c r="AQ212" s="606">
        <f>AP212-AE212</f>
        <v>-1832178.8287000023</v>
      </c>
      <c r="AR212" s="225">
        <f t="shared" si="53"/>
        <v>205</v>
      </c>
      <c r="AS212" s="225" t="e">
        <f t="shared" si="54"/>
        <v>#REF!</v>
      </c>
      <c r="AT212" s="186"/>
      <c r="AU212" s="136"/>
      <c r="AV212" s="102"/>
      <c r="AW212" s="102" t="s">
        <v>592</v>
      </c>
      <c r="AX212" s="102"/>
      <c r="AY212" s="116">
        <f>+AE212</f>
        <v>1832178.8287000023</v>
      </c>
      <c r="AZ212" s="95">
        <f>AP212</f>
        <v>0</v>
      </c>
      <c r="BA212" s="95">
        <f>AZ212-AY212</f>
        <v>-1832178.8287000023</v>
      </c>
    </row>
    <row r="213" spans="1:53">
      <c r="A213" s="250" t="e">
        <f t="shared" si="56"/>
        <v>#REF!</v>
      </c>
      <c r="B213" s="136"/>
      <c r="C213" s="102"/>
      <c r="D213" s="102" t="s">
        <v>593</v>
      </c>
      <c r="E213" s="102"/>
      <c r="F213" s="102"/>
      <c r="G213" s="102"/>
      <c r="H213" s="116">
        <v>0</v>
      </c>
      <c r="I213" s="116">
        <v>0</v>
      </c>
      <c r="J213" s="116">
        <v>0</v>
      </c>
      <c r="K213" s="116">
        <v>0</v>
      </c>
      <c r="L213" s="116">
        <v>0</v>
      </c>
      <c r="M213" s="116">
        <v>0</v>
      </c>
      <c r="N213" s="116">
        <v>0</v>
      </c>
      <c r="O213" s="116">
        <v>0</v>
      </c>
      <c r="P213" s="116">
        <v>0</v>
      </c>
      <c r="Q213" s="116">
        <v>0</v>
      </c>
      <c r="R213" s="116">
        <v>0</v>
      </c>
      <c r="S213" s="116">
        <v>0</v>
      </c>
      <c r="T213" s="116">
        <v>0</v>
      </c>
      <c r="U213" s="116">
        <v>0</v>
      </c>
      <c r="V213" s="116">
        <v>0</v>
      </c>
      <c r="W213" s="116">
        <v>0</v>
      </c>
      <c r="X213" s="116">
        <v>0</v>
      </c>
      <c r="Y213" s="116">
        <v>0</v>
      </c>
      <c r="Z213" s="116">
        <v>0</v>
      </c>
      <c r="AA213" s="116">
        <v>0</v>
      </c>
      <c r="AB213" s="116">
        <v>0</v>
      </c>
      <c r="AC213" s="116">
        <v>0</v>
      </c>
      <c r="AD213" s="116">
        <v>0</v>
      </c>
      <c r="AE213" s="116">
        <v>55602894.171299994</v>
      </c>
      <c r="AF213" s="116"/>
      <c r="AG213" s="133">
        <f>(SUM(T213:AD213)+(0.5*AE213)+(0.5*S213))/12</f>
        <v>2316787.2571374997</v>
      </c>
      <c r="AI213" s="133">
        <f>AE213</f>
        <v>55602894.171299994</v>
      </c>
      <c r="AJ213" s="133">
        <f>AG213</f>
        <v>2316787.2571374997</v>
      </c>
      <c r="AK213" s="133">
        <f>+'RB FORECAST'!AJ215</f>
        <v>2316787.2571374997</v>
      </c>
      <c r="AL213" s="133">
        <f>+'RB FORECAST'!AG215</f>
        <v>0</v>
      </c>
      <c r="AM213" s="133">
        <f>+'RB FORECAST'!BA215</f>
        <v>0</v>
      </c>
      <c r="AN213" s="133">
        <f>+'RB FORECAST'!AW215</f>
        <v>0</v>
      </c>
      <c r="AP213" s="133">
        <f t="shared" si="73"/>
        <v>0</v>
      </c>
      <c r="AQ213" s="606">
        <f>AP213-AE213</f>
        <v>-55602894.171299994</v>
      </c>
      <c r="AR213" s="225">
        <f t="shared" si="53"/>
        <v>206</v>
      </c>
      <c r="AS213" s="225" t="e">
        <f t="shared" si="54"/>
        <v>#REF!</v>
      </c>
      <c r="AT213" s="186"/>
      <c r="AU213" s="136"/>
      <c r="AV213" s="102"/>
      <c r="AW213" s="102" t="s">
        <v>593</v>
      </c>
      <c r="AX213" s="102"/>
      <c r="AY213" s="116">
        <f>+AE213</f>
        <v>55602894.171299994</v>
      </c>
      <c r="AZ213" s="95">
        <f>AP213</f>
        <v>0</v>
      </c>
      <c r="BA213" s="95">
        <f>AZ213-AY213</f>
        <v>-55602894.171299994</v>
      </c>
    </row>
    <row r="214" spans="1:53">
      <c r="A214" s="250" t="e">
        <f t="shared" si="56"/>
        <v>#REF!</v>
      </c>
      <c r="B214" s="136"/>
      <c r="C214" s="102"/>
      <c r="D214" s="102" t="s">
        <v>595</v>
      </c>
      <c r="E214" s="102"/>
      <c r="F214" s="102"/>
      <c r="G214" s="102"/>
      <c r="H214" s="116">
        <v>0</v>
      </c>
      <c r="I214" s="116">
        <v>0</v>
      </c>
      <c r="J214" s="116">
        <v>0</v>
      </c>
      <c r="K214" s="116">
        <v>0</v>
      </c>
      <c r="L214" s="116">
        <v>0</v>
      </c>
      <c r="M214" s="116">
        <v>0</v>
      </c>
      <c r="N214" s="116">
        <v>0</v>
      </c>
      <c r="O214" s="116">
        <v>0</v>
      </c>
      <c r="P214" s="116">
        <v>0</v>
      </c>
      <c r="Q214" s="116">
        <v>0</v>
      </c>
      <c r="R214" s="116">
        <v>0</v>
      </c>
      <c r="S214" s="116">
        <v>0</v>
      </c>
      <c r="T214" s="116">
        <v>0</v>
      </c>
      <c r="U214" s="116">
        <v>0</v>
      </c>
      <c r="V214" s="116">
        <v>0</v>
      </c>
      <c r="W214" s="116">
        <v>0</v>
      </c>
      <c r="X214" s="116">
        <v>0</v>
      </c>
      <c r="Y214" s="116">
        <v>0</v>
      </c>
      <c r="Z214" s="116">
        <v>0</v>
      </c>
      <c r="AA214" s="116">
        <v>0</v>
      </c>
      <c r="AB214" s="116">
        <v>0</v>
      </c>
      <c r="AC214" s="116">
        <v>0</v>
      </c>
      <c r="AD214" s="116">
        <v>0</v>
      </c>
      <c r="AE214" s="116">
        <v>0</v>
      </c>
      <c r="AF214" s="116"/>
      <c r="AG214" s="133">
        <f>(SUM(T214:AD214)+(0.5*AE214)+(0.5*S214))/12</f>
        <v>0</v>
      </c>
      <c r="AI214" s="133">
        <f>AE214</f>
        <v>0</v>
      </c>
      <c r="AJ214" s="133">
        <f>AG214</f>
        <v>0</v>
      </c>
      <c r="AK214" s="133">
        <f>+'RB FORECAST'!AJ216</f>
        <v>0</v>
      </c>
      <c r="AL214" s="133">
        <f>+'RB FORECAST'!AG216</f>
        <v>0</v>
      </c>
      <c r="AM214" s="133">
        <f>+'RB FORECAST'!BA216</f>
        <v>0</v>
      </c>
      <c r="AN214" s="133">
        <f>+'RB FORECAST'!AW216</f>
        <v>0</v>
      </c>
      <c r="AP214" s="133">
        <f t="shared" si="73"/>
        <v>0</v>
      </c>
      <c r="AQ214" s="606">
        <f>AP214-AE214</f>
        <v>0</v>
      </c>
      <c r="AR214" s="225">
        <f t="shared" si="53"/>
        <v>207</v>
      </c>
      <c r="AS214" s="225" t="e">
        <f t="shared" si="54"/>
        <v>#REF!</v>
      </c>
      <c r="AT214" s="186"/>
      <c r="AU214" s="136"/>
      <c r="AV214" s="102"/>
      <c r="AW214" s="102" t="s">
        <v>595</v>
      </c>
      <c r="AX214" s="102"/>
      <c r="AY214" s="116">
        <f>+AE214</f>
        <v>0</v>
      </c>
      <c r="AZ214" s="743">
        <f>AP214</f>
        <v>0</v>
      </c>
      <c r="BA214" s="743">
        <f>AZ214-AY214</f>
        <v>0</v>
      </c>
    </row>
    <row r="215" spans="1:53">
      <c r="A215" s="250" t="e">
        <f t="shared" si="56"/>
        <v>#REF!</v>
      </c>
      <c r="B215" s="136"/>
      <c r="C215" s="102"/>
      <c r="D215" s="102" t="s">
        <v>170</v>
      </c>
      <c r="E215" s="102"/>
      <c r="F215" s="102"/>
      <c r="G215" s="102"/>
      <c r="H215" s="131">
        <v>0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31">
        <v>0</v>
      </c>
      <c r="O215" s="131">
        <v>0</v>
      </c>
      <c r="P215" s="131">
        <v>0</v>
      </c>
      <c r="Q215" s="131">
        <v>0</v>
      </c>
      <c r="R215" s="131">
        <v>0</v>
      </c>
      <c r="S215" s="131">
        <v>0</v>
      </c>
      <c r="T215" s="131">
        <v>0</v>
      </c>
      <c r="U215" s="131">
        <v>0</v>
      </c>
      <c r="V215" s="131">
        <v>0</v>
      </c>
      <c r="W215" s="131">
        <v>0</v>
      </c>
      <c r="X215" s="131">
        <v>0</v>
      </c>
      <c r="Y215" s="131">
        <v>0</v>
      </c>
      <c r="Z215" s="131">
        <v>0</v>
      </c>
      <c r="AA215" s="131">
        <v>0</v>
      </c>
      <c r="AB215" s="131">
        <v>0</v>
      </c>
      <c r="AC215" s="131">
        <v>0</v>
      </c>
      <c r="AD215" s="131">
        <v>0</v>
      </c>
      <c r="AE215" s="131">
        <v>57435073</v>
      </c>
      <c r="AF215" s="131"/>
      <c r="AG215" s="241">
        <f>SUM(AG211:AG214)</f>
        <v>2393128.0416666665</v>
      </c>
      <c r="AI215" s="241">
        <f>AE215</f>
        <v>57435073</v>
      </c>
      <c r="AJ215" s="241">
        <f>AG215</f>
        <v>2393128.0416666665</v>
      </c>
      <c r="AK215" s="241">
        <f>SUM(AK211:AK214)</f>
        <v>2393128.0416666665</v>
      </c>
      <c r="AL215" s="241">
        <f>SUM(AL211:AL214)</f>
        <v>0</v>
      </c>
      <c r="AM215" s="241">
        <f t="shared" ref="AM215:AN215" si="75">SUM(AM211:AM214)</f>
        <v>0</v>
      </c>
      <c r="AN215" s="241">
        <f t="shared" si="75"/>
        <v>0</v>
      </c>
      <c r="AP215" s="241">
        <f t="shared" si="73"/>
        <v>0</v>
      </c>
      <c r="AQ215" s="612">
        <f>AP215-AE215</f>
        <v>-57435073</v>
      </c>
      <c r="AR215" s="225">
        <f t="shared" si="53"/>
        <v>208</v>
      </c>
      <c r="AS215" s="225" t="e">
        <f t="shared" si="54"/>
        <v>#REF!</v>
      </c>
      <c r="AT215" s="186"/>
      <c r="AU215" s="136"/>
      <c r="AV215" s="102"/>
      <c r="AW215" s="102" t="s">
        <v>170</v>
      </c>
      <c r="AX215" s="102"/>
      <c r="AY215" s="131">
        <f>SUM(AY211:AY214)</f>
        <v>57435073</v>
      </c>
      <c r="AZ215" s="95">
        <f>AP215</f>
        <v>0</v>
      </c>
      <c r="BA215" s="95">
        <f>AZ215-AY215</f>
        <v>-57435073</v>
      </c>
    </row>
    <row r="216" spans="1:53">
      <c r="A216" s="250" t="e">
        <f t="shared" si="56"/>
        <v>#REF!</v>
      </c>
      <c r="B216" s="136"/>
      <c r="C216" s="102"/>
      <c r="D216" s="102"/>
      <c r="E216" s="102"/>
      <c r="F216" s="102"/>
      <c r="G216" s="102"/>
      <c r="R216" s="15" t="s">
        <v>1340</v>
      </c>
      <c r="AR216" s="225">
        <f t="shared" si="53"/>
        <v>209</v>
      </c>
      <c r="AS216" s="225" t="e">
        <f t="shared" si="54"/>
        <v>#REF!</v>
      </c>
      <c r="AT216" s="186"/>
      <c r="AU216" s="136"/>
      <c r="AV216" s="102"/>
      <c r="AW216" s="102"/>
      <c r="AX216" s="102"/>
      <c r="AY216" s="116"/>
    </row>
    <row r="217" spans="1:53">
      <c r="A217" s="250" t="e">
        <f t="shared" si="56"/>
        <v>#REF!</v>
      </c>
      <c r="B217" s="238" t="s">
        <v>304</v>
      </c>
      <c r="C217" s="119" t="s">
        <v>306</v>
      </c>
      <c r="D217" s="102"/>
      <c r="E217" s="102"/>
      <c r="F217" s="102"/>
      <c r="G217" s="102"/>
      <c r="AR217" s="225">
        <f t="shared" si="53"/>
        <v>210</v>
      </c>
      <c r="AS217" s="225" t="e">
        <f t="shared" si="54"/>
        <v>#REF!</v>
      </c>
      <c r="AT217" s="186"/>
      <c r="AU217" s="238" t="s">
        <v>304</v>
      </c>
      <c r="AV217" s="119" t="s">
        <v>306</v>
      </c>
      <c r="AW217" s="102"/>
      <c r="AX217" s="102"/>
      <c r="AY217" s="116"/>
    </row>
    <row r="218" spans="1:53">
      <c r="A218" s="250" t="e">
        <f t="shared" si="56"/>
        <v>#REF!</v>
      </c>
      <c r="B218" s="136"/>
      <c r="C218" s="102"/>
      <c r="D218" s="102" t="s">
        <v>443</v>
      </c>
      <c r="E218" s="102"/>
      <c r="F218" s="102"/>
      <c r="G218" s="102"/>
      <c r="H218" s="116">
        <v>0</v>
      </c>
      <c r="I218" s="116">
        <v>0</v>
      </c>
      <c r="J218" s="116">
        <v>0</v>
      </c>
      <c r="K218" s="116">
        <v>0</v>
      </c>
      <c r="L218" s="116">
        <v>0</v>
      </c>
      <c r="M218" s="116">
        <v>0</v>
      </c>
      <c r="N218" s="116">
        <v>0</v>
      </c>
      <c r="O218" s="116">
        <v>0</v>
      </c>
      <c r="P218" s="116">
        <v>0</v>
      </c>
      <c r="Q218" s="116">
        <v>0</v>
      </c>
      <c r="R218" s="116">
        <v>0</v>
      </c>
      <c r="S218" s="116">
        <v>0</v>
      </c>
      <c r="T218" s="116">
        <v>0</v>
      </c>
      <c r="U218" s="116">
        <v>0</v>
      </c>
      <c r="V218" s="116">
        <v>0</v>
      </c>
      <c r="W218" s="116">
        <v>0</v>
      </c>
      <c r="X218" s="116">
        <v>0</v>
      </c>
      <c r="Y218" s="116">
        <v>0</v>
      </c>
      <c r="Z218" s="116">
        <v>0</v>
      </c>
      <c r="AA218" s="116">
        <v>0</v>
      </c>
      <c r="AB218" s="116">
        <v>0</v>
      </c>
      <c r="AC218" s="116">
        <v>0</v>
      </c>
      <c r="AD218" s="116">
        <v>0</v>
      </c>
      <c r="AE218" s="116">
        <v>0</v>
      </c>
      <c r="AF218" s="116"/>
      <c r="AG218" s="133">
        <f>(SUM(T218:AD218)+(0.5*AE218)+(0.5*S218))/12</f>
        <v>0</v>
      </c>
      <c r="AI218" s="133">
        <f>AE218</f>
        <v>0</v>
      </c>
      <c r="AJ218" s="133">
        <f>AG218</f>
        <v>0</v>
      </c>
      <c r="AK218" s="133">
        <f>+'RB FORECAST'!AJ220</f>
        <v>0</v>
      </c>
      <c r="AL218" s="133">
        <f>+'RB FORECAST'!AG220</f>
        <v>0</v>
      </c>
      <c r="AM218" s="133">
        <f>+'RB FORECAST'!BA220</f>
        <v>0</v>
      </c>
      <c r="AN218" s="133">
        <f>+'RB FORECAST'!AW220</f>
        <v>0</v>
      </c>
      <c r="AP218" s="133">
        <f t="shared" si="73"/>
        <v>0</v>
      </c>
      <c r="AQ218" s="606">
        <f>AP218-AE218</f>
        <v>0</v>
      </c>
      <c r="AR218" s="225">
        <f t="shared" si="53"/>
        <v>211</v>
      </c>
      <c r="AS218" s="225" t="e">
        <f t="shared" si="54"/>
        <v>#REF!</v>
      </c>
      <c r="AT218" s="186"/>
      <c r="AU218" s="136"/>
      <c r="AV218" s="102"/>
      <c r="AW218" s="102" t="s">
        <v>443</v>
      </c>
      <c r="AX218" s="102"/>
      <c r="AY218" s="116">
        <f>+AE218</f>
        <v>0</v>
      </c>
      <c r="AZ218" s="95">
        <f>AP218</f>
        <v>0</v>
      </c>
      <c r="BA218" s="95">
        <f>AZ218-AY218</f>
        <v>0</v>
      </c>
    </row>
    <row r="219" spans="1:53">
      <c r="A219" s="250" t="e">
        <f t="shared" si="56"/>
        <v>#REF!</v>
      </c>
      <c r="B219" s="136"/>
      <c r="C219" s="102"/>
      <c r="D219" s="102" t="s">
        <v>592</v>
      </c>
      <c r="E219" s="102"/>
      <c r="F219" s="102"/>
      <c r="G219" s="102"/>
      <c r="H219" s="116">
        <v>0</v>
      </c>
      <c r="I219" s="116">
        <v>0</v>
      </c>
      <c r="J219" s="116">
        <v>0</v>
      </c>
      <c r="K219" s="116">
        <v>0</v>
      </c>
      <c r="L219" s="116">
        <v>0</v>
      </c>
      <c r="M219" s="116">
        <v>0</v>
      </c>
      <c r="N219" s="116">
        <v>0</v>
      </c>
      <c r="O219" s="116">
        <v>0</v>
      </c>
      <c r="P219" s="116">
        <v>0</v>
      </c>
      <c r="Q219" s="116">
        <v>0</v>
      </c>
      <c r="R219" s="116">
        <v>0</v>
      </c>
      <c r="S219" s="116">
        <v>0</v>
      </c>
      <c r="T219" s="116">
        <v>0</v>
      </c>
      <c r="U219" s="116">
        <v>0</v>
      </c>
      <c r="V219" s="116">
        <v>0</v>
      </c>
      <c r="W219" s="116">
        <v>0</v>
      </c>
      <c r="X219" s="116">
        <v>0</v>
      </c>
      <c r="Y219" s="116">
        <v>0</v>
      </c>
      <c r="Z219" s="116">
        <v>0</v>
      </c>
      <c r="AA219" s="116">
        <v>0</v>
      </c>
      <c r="AB219" s="116">
        <v>0</v>
      </c>
      <c r="AC219" s="116">
        <v>0</v>
      </c>
      <c r="AD219" s="116">
        <v>0</v>
      </c>
      <c r="AE219" s="116">
        <v>0</v>
      </c>
      <c r="AF219" s="116"/>
      <c r="AG219" s="133">
        <f>(SUM(T219:AD219)+(0.5*AE219)+(0.5*S219))/12</f>
        <v>0</v>
      </c>
      <c r="AI219" s="133">
        <f>AE219</f>
        <v>0</v>
      </c>
      <c r="AJ219" s="133">
        <f>AG219</f>
        <v>0</v>
      </c>
      <c r="AK219" s="133">
        <f>+'RB FORECAST'!AJ221</f>
        <v>0</v>
      </c>
      <c r="AL219" s="133">
        <f>+'RB FORECAST'!AG221</f>
        <v>0</v>
      </c>
      <c r="AM219" s="133">
        <f>+'RB FORECAST'!BA221</f>
        <v>0</v>
      </c>
      <c r="AN219" s="133">
        <f>+'RB FORECAST'!AW221</f>
        <v>0</v>
      </c>
      <c r="AP219" s="133">
        <f t="shared" si="73"/>
        <v>0</v>
      </c>
      <c r="AQ219" s="606">
        <f>AP219-AE219</f>
        <v>0</v>
      </c>
      <c r="AR219" s="225">
        <f t="shared" si="53"/>
        <v>212</v>
      </c>
      <c r="AS219" s="225" t="e">
        <f t="shared" si="54"/>
        <v>#REF!</v>
      </c>
      <c r="AT219" s="186"/>
      <c r="AU219" s="136"/>
      <c r="AV219" s="102"/>
      <c r="AW219" s="102" t="s">
        <v>592</v>
      </c>
      <c r="AX219" s="102"/>
      <c r="AY219" s="116">
        <f>+AE219</f>
        <v>0</v>
      </c>
      <c r="AZ219" s="95">
        <f>AP219</f>
        <v>0</v>
      </c>
      <c r="BA219" s="95">
        <f>AZ219-AY219</f>
        <v>0</v>
      </c>
    </row>
    <row r="220" spans="1:53">
      <c r="A220" s="250" t="e">
        <f t="shared" si="56"/>
        <v>#REF!</v>
      </c>
      <c r="B220" s="136"/>
      <c r="C220" s="102"/>
      <c r="D220" s="102" t="s">
        <v>593</v>
      </c>
      <c r="E220" s="102"/>
      <c r="F220" s="102"/>
      <c r="G220" s="102"/>
      <c r="H220" s="116">
        <v>0</v>
      </c>
      <c r="I220" s="116">
        <v>0</v>
      </c>
      <c r="J220" s="116">
        <v>0</v>
      </c>
      <c r="K220" s="116">
        <v>0</v>
      </c>
      <c r="L220" s="116">
        <v>0</v>
      </c>
      <c r="M220" s="116">
        <v>0</v>
      </c>
      <c r="N220" s="116">
        <v>0</v>
      </c>
      <c r="O220" s="116">
        <v>0</v>
      </c>
      <c r="P220" s="116">
        <v>0</v>
      </c>
      <c r="Q220" s="116">
        <v>0</v>
      </c>
      <c r="R220" s="116">
        <v>0</v>
      </c>
      <c r="S220" s="116">
        <v>0</v>
      </c>
      <c r="T220" s="116">
        <v>0</v>
      </c>
      <c r="U220" s="116">
        <v>0</v>
      </c>
      <c r="V220" s="116">
        <v>0</v>
      </c>
      <c r="W220" s="116">
        <v>0</v>
      </c>
      <c r="X220" s="116">
        <v>0</v>
      </c>
      <c r="Y220" s="116">
        <v>0</v>
      </c>
      <c r="Z220" s="116">
        <v>0</v>
      </c>
      <c r="AA220" s="116">
        <v>0</v>
      </c>
      <c r="AB220" s="116">
        <v>0</v>
      </c>
      <c r="AC220" s="116">
        <v>0</v>
      </c>
      <c r="AD220" s="116">
        <v>0</v>
      </c>
      <c r="AE220" s="116">
        <v>13135753</v>
      </c>
      <c r="AF220" s="116"/>
      <c r="AG220" s="133">
        <f>(SUM(T220:AD220)+(0.5*AE220)+(0.5*S220))/12</f>
        <v>547323.04166666663</v>
      </c>
      <c r="AI220" s="133">
        <f>AE220</f>
        <v>13135753</v>
      </c>
      <c r="AJ220" s="133">
        <f>AG220</f>
        <v>547323.04166666663</v>
      </c>
      <c r="AK220" s="133">
        <f>+'RB FORECAST'!AJ222</f>
        <v>547323.04166666663</v>
      </c>
      <c r="AL220" s="133">
        <f>+'RB FORECAST'!AG222</f>
        <v>0</v>
      </c>
      <c r="AM220" s="133">
        <f>+'RB FORECAST'!BA222</f>
        <v>0</v>
      </c>
      <c r="AN220" s="133">
        <f>+'RB FORECAST'!AW222</f>
        <v>0</v>
      </c>
      <c r="AP220" s="133">
        <f t="shared" si="73"/>
        <v>0</v>
      </c>
      <c r="AQ220" s="606">
        <f>AP220-AE220</f>
        <v>-13135753</v>
      </c>
      <c r="AR220" s="225">
        <f t="shared" si="53"/>
        <v>213</v>
      </c>
      <c r="AS220" s="225" t="e">
        <f t="shared" si="54"/>
        <v>#REF!</v>
      </c>
      <c r="AT220" s="186"/>
      <c r="AU220" s="136"/>
      <c r="AV220" s="102"/>
      <c r="AW220" s="102" t="s">
        <v>593</v>
      </c>
      <c r="AX220" s="102"/>
      <c r="AY220" s="116">
        <f>+AE220</f>
        <v>13135753</v>
      </c>
      <c r="AZ220" s="95">
        <f>AP220</f>
        <v>0</v>
      </c>
      <c r="BA220" s="95">
        <f>AZ220-AY220</f>
        <v>-13135753</v>
      </c>
    </row>
    <row r="221" spans="1:53">
      <c r="A221" s="250" t="e">
        <f t="shared" si="56"/>
        <v>#REF!</v>
      </c>
      <c r="B221" s="136"/>
      <c r="C221" s="102"/>
      <c r="D221" s="102" t="s">
        <v>595</v>
      </c>
      <c r="E221" s="102"/>
      <c r="F221" s="102"/>
      <c r="G221" s="102"/>
      <c r="H221" s="116">
        <v>0</v>
      </c>
      <c r="I221" s="116">
        <v>0</v>
      </c>
      <c r="J221" s="116">
        <v>0</v>
      </c>
      <c r="K221" s="116">
        <v>0</v>
      </c>
      <c r="L221" s="116">
        <v>0</v>
      </c>
      <c r="M221" s="116">
        <v>0</v>
      </c>
      <c r="N221" s="116">
        <v>0</v>
      </c>
      <c r="O221" s="116">
        <v>0</v>
      </c>
      <c r="P221" s="116">
        <v>0</v>
      </c>
      <c r="Q221" s="116">
        <v>0</v>
      </c>
      <c r="R221" s="116">
        <v>0</v>
      </c>
      <c r="S221" s="116">
        <v>0</v>
      </c>
      <c r="T221" s="116">
        <v>0</v>
      </c>
      <c r="U221" s="116">
        <v>0</v>
      </c>
      <c r="V221" s="116">
        <v>0</v>
      </c>
      <c r="W221" s="116">
        <v>0</v>
      </c>
      <c r="X221" s="116">
        <v>0</v>
      </c>
      <c r="Y221" s="116">
        <v>0</v>
      </c>
      <c r="Z221" s="116">
        <v>0</v>
      </c>
      <c r="AA221" s="116">
        <v>0</v>
      </c>
      <c r="AB221" s="116">
        <v>0</v>
      </c>
      <c r="AC221" s="116">
        <v>0</v>
      </c>
      <c r="AD221" s="116">
        <v>0</v>
      </c>
      <c r="AE221" s="116">
        <v>0</v>
      </c>
      <c r="AF221" s="116"/>
      <c r="AG221" s="133">
        <f>(SUM(T221:AD221)+(0.5*AE221)+(0.5*S221))/12</f>
        <v>0</v>
      </c>
      <c r="AI221" s="133">
        <f>AE221</f>
        <v>0</v>
      </c>
      <c r="AJ221" s="133">
        <f>AG221</f>
        <v>0</v>
      </c>
      <c r="AK221" s="133">
        <f>+'RB FORECAST'!AJ223</f>
        <v>0</v>
      </c>
      <c r="AL221" s="133">
        <f>+'RB FORECAST'!AG223</f>
        <v>0</v>
      </c>
      <c r="AM221" s="133">
        <f>+'RB FORECAST'!BA223</f>
        <v>0</v>
      </c>
      <c r="AN221" s="133">
        <f>+'RB FORECAST'!AW223</f>
        <v>0</v>
      </c>
      <c r="AP221" s="133">
        <f t="shared" si="73"/>
        <v>0</v>
      </c>
      <c r="AQ221" s="606">
        <f>AP221-AE221</f>
        <v>0</v>
      </c>
      <c r="AR221" s="225">
        <f t="shared" si="53"/>
        <v>214</v>
      </c>
      <c r="AS221" s="225" t="e">
        <f t="shared" si="54"/>
        <v>#REF!</v>
      </c>
      <c r="AT221" s="186"/>
      <c r="AU221" s="136"/>
      <c r="AV221" s="102"/>
      <c r="AW221" s="102" t="s">
        <v>595</v>
      </c>
      <c r="AX221" s="102"/>
      <c r="AY221" s="116">
        <f>+AE221</f>
        <v>0</v>
      </c>
      <c r="AZ221" s="743">
        <f>AP221</f>
        <v>0</v>
      </c>
      <c r="BA221" s="743">
        <f>AZ221-AY221</f>
        <v>0</v>
      </c>
    </row>
    <row r="222" spans="1:53">
      <c r="A222" s="250" t="e">
        <f t="shared" si="56"/>
        <v>#REF!</v>
      </c>
      <c r="B222" s="136"/>
      <c r="C222" s="102"/>
      <c r="D222" s="102" t="s">
        <v>170</v>
      </c>
      <c r="E222" s="102"/>
      <c r="F222" s="102"/>
      <c r="G222" s="102"/>
      <c r="H222" s="131">
        <v>0</v>
      </c>
      <c r="I222" s="131">
        <v>0</v>
      </c>
      <c r="J222" s="131">
        <v>0</v>
      </c>
      <c r="K222" s="131">
        <v>0</v>
      </c>
      <c r="L222" s="131">
        <v>0</v>
      </c>
      <c r="M222" s="131">
        <v>0</v>
      </c>
      <c r="N222" s="131">
        <v>0</v>
      </c>
      <c r="O222" s="131">
        <v>0</v>
      </c>
      <c r="P222" s="131">
        <v>0</v>
      </c>
      <c r="Q222" s="131">
        <v>0</v>
      </c>
      <c r="R222" s="131">
        <v>0</v>
      </c>
      <c r="S222" s="131">
        <v>0</v>
      </c>
      <c r="T222" s="131">
        <v>0</v>
      </c>
      <c r="U222" s="131">
        <v>0</v>
      </c>
      <c r="V222" s="131">
        <v>0</v>
      </c>
      <c r="W222" s="131">
        <v>0</v>
      </c>
      <c r="X222" s="131">
        <v>0</v>
      </c>
      <c r="Y222" s="131">
        <v>0</v>
      </c>
      <c r="Z222" s="131">
        <v>0</v>
      </c>
      <c r="AA222" s="131">
        <v>0</v>
      </c>
      <c r="AB222" s="131">
        <v>0</v>
      </c>
      <c r="AC222" s="131">
        <v>0</v>
      </c>
      <c r="AD222" s="131">
        <v>0</v>
      </c>
      <c r="AE222" s="131">
        <v>13135753</v>
      </c>
      <c r="AF222" s="131"/>
      <c r="AG222" s="241">
        <f>SUM(AG218:AG221)</f>
        <v>547323.04166666663</v>
      </c>
      <c r="AI222" s="241">
        <f>AE222</f>
        <v>13135753</v>
      </c>
      <c r="AJ222" s="241">
        <f>AG222</f>
        <v>547323.04166666663</v>
      </c>
      <c r="AK222" s="241">
        <f>SUM(AK218:AK221)</f>
        <v>547323.04166666663</v>
      </c>
      <c r="AL222" s="241">
        <f>SUM(AL218:AL221)</f>
        <v>0</v>
      </c>
      <c r="AM222" s="241">
        <f t="shared" ref="AM222:AN222" si="76">SUM(AM218:AM221)</f>
        <v>0</v>
      </c>
      <c r="AN222" s="241">
        <f t="shared" si="76"/>
        <v>0</v>
      </c>
      <c r="AP222" s="241">
        <f t="shared" si="73"/>
        <v>0</v>
      </c>
      <c r="AQ222" s="612">
        <f>AP222-AE222</f>
        <v>-13135753</v>
      </c>
      <c r="AR222" s="225">
        <f t="shared" si="53"/>
        <v>215</v>
      </c>
      <c r="AS222" s="225" t="e">
        <f t="shared" si="54"/>
        <v>#REF!</v>
      </c>
      <c r="AT222" s="186"/>
      <c r="AU222" s="136"/>
      <c r="AV222" s="102"/>
      <c r="AW222" s="102" t="s">
        <v>170</v>
      </c>
      <c r="AX222" s="102"/>
      <c r="AY222" s="131">
        <f>SUM(AY218:AY221)</f>
        <v>13135753</v>
      </c>
      <c r="AZ222" s="95">
        <f>AP222</f>
        <v>0</v>
      </c>
      <c r="BA222" s="95">
        <f>AZ222-AY222</f>
        <v>-13135753</v>
      </c>
    </row>
    <row r="223" spans="1:53">
      <c r="A223" s="250" t="e">
        <f t="shared" si="56"/>
        <v>#REF!</v>
      </c>
      <c r="B223" s="136"/>
      <c r="C223" s="102"/>
      <c r="D223" s="102"/>
      <c r="AR223" s="225">
        <f t="shared" si="53"/>
        <v>216</v>
      </c>
      <c r="AS223" s="225" t="e">
        <f t="shared" si="54"/>
        <v>#REF!</v>
      </c>
      <c r="AT223" s="186"/>
      <c r="AU223" s="136"/>
      <c r="AV223" s="102"/>
      <c r="AW223" s="102"/>
      <c r="AX223" s="102"/>
      <c r="AY223" s="116"/>
    </row>
    <row r="224" spans="1:53">
      <c r="A224" s="250" t="e">
        <f t="shared" si="56"/>
        <v>#REF!</v>
      </c>
      <c r="B224" s="136">
        <v>2351</v>
      </c>
      <c r="C224" s="102" t="s">
        <v>311</v>
      </c>
      <c r="D224" s="102"/>
      <c r="AR224" s="225">
        <f t="shared" si="53"/>
        <v>217</v>
      </c>
      <c r="AS224" s="225" t="e">
        <f t="shared" si="54"/>
        <v>#REF!</v>
      </c>
      <c r="AT224" s="186"/>
      <c r="AU224" s="136">
        <v>2351</v>
      </c>
      <c r="AV224" s="102" t="s">
        <v>311</v>
      </c>
      <c r="AW224" s="102"/>
      <c r="AX224" s="102"/>
      <c r="AY224" s="116"/>
    </row>
    <row r="225" spans="1:53">
      <c r="A225" s="250" t="e">
        <f t="shared" si="56"/>
        <v>#REF!</v>
      </c>
      <c r="B225" s="136"/>
      <c r="C225" s="102"/>
      <c r="D225" s="102" t="s">
        <v>592</v>
      </c>
      <c r="H225" s="116">
        <v>-244024.2</v>
      </c>
      <c r="I225" s="116">
        <v>-239784.68</v>
      </c>
      <c r="J225" s="116">
        <v>-236990.37</v>
      </c>
      <c r="K225" s="116">
        <v>-236572.38</v>
      </c>
      <c r="L225" s="116">
        <v>-232691.82</v>
      </c>
      <c r="M225" s="116">
        <v>-227810.51</v>
      </c>
      <c r="N225" s="116">
        <v>-229779.82</v>
      </c>
      <c r="O225" s="116">
        <v>-237150.03</v>
      </c>
      <c r="P225" s="116">
        <v>-244763.01</v>
      </c>
      <c r="Q225" s="116">
        <v>-252050.08000000002</v>
      </c>
      <c r="R225" s="116">
        <v>-259216.62</v>
      </c>
      <c r="S225" s="116">
        <v>-265894.62</v>
      </c>
      <c r="T225" s="116">
        <v>-266412.97000000003</v>
      </c>
      <c r="U225" s="116">
        <v>-270447.93</v>
      </c>
      <c r="V225" s="116">
        <v>-272492.83</v>
      </c>
      <c r="W225" s="116">
        <v>-272979.68</v>
      </c>
      <c r="X225" s="116">
        <v>-261693.76</v>
      </c>
      <c r="Y225" s="116">
        <v>-263417.59999999998</v>
      </c>
      <c r="Z225" s="116">
        <v>-260801</v>
      </c>
      <c r="AA225" s="116">
        <v>-250950.09</v>
      </c>
      <c r="AB225" s="116">
        <v>-259506.78</v>
      </c>
      <c r="AC225" s="116">
        <v>-267568.71000000002</v>
      </c>
      <c r="AD225" s="116">
        <v>-265128.53999999998</v>
      </c>
      <c r="AE225" s="116">
        <v>-248143.61000000002</v>
      </c>
      <c r="AF225" s="116"/>
      <c r="AG225" s="133">
        <f>(SUM(T225:AD225)+(0.5*AE225)+(0.5*S225))/12</f>
        <v>-264034.9170833333</v>
      </c>
      <c r="AI225" s="133">
        <f>AE225</f>
        <v>-248143.61000000002</v>
      </c>
      <c r="AJ225" s="133">
        <f>AG225</f>
        <v>-264034.9170833333</v>
      </c>
      <c r="AK225" s="133">
        <f>+'RB FORECAST'!AJ227</f>
        <v>-263295.29166666669</v>
      </c>
      <c r="AL225" s="133">
        <f>+'RB FORECAST'!AG227</f>
        <v>-248143.61000000002</v>
      </c>
      <c r="AM225" s="133">
        <f>+'RB FORECAST'!BA227</f>
        <v>-263295.29166666669</v>
      </c>
      <c r="AN225" s="133">
        <f>+'RB FORECAST'!AW227</f>
        <v>-248143.61000000002</v>
      </c>
      <c r="AP225" s="133">
        <f t="shared" si="73"/>
        <v>-263295.29166666669</v>
      </c>
      <c r="AQ225" s="606">
        <f>AP225-AE225</f>
        <v>-15151.681666666671</v>
      </c>
      <c r="AR225" s="225">
        <f t="shared" si="53"/>
        <v>218</v>
      </c>
      <c r="AS225" s="225" t="e">
        <f t="shared" si="54"/>
        <v>#REF!</v>
      </c>
      <c r="AT225" s="186"/>
      <c r="AU225" s="136"/>
      <c r="AV225" s="102"/>
      <c r="AW225" s="102" t="s">
        <v>592</v>
      </c>
      <c r="AX225" s="102"/>
      <c r="AY225" s="116">
        <f>+AE225</f>
        <v>-248143.61000000002</v>
      </c>
      <c r="AZ225" s="95">
        <f>AP225</f>
        <v>-263295.29166666669</v>
      </c>
      <c r="BA225" s="95">
        <f>AZ225-AY225</f>
        <v>-15151.681666666671</v>
      </c>
    </row>
    <row r="226" spans="1:53">
      <c r="A226" s="250" t="e">
        <f t="shared" si="56"/>
        <v>#REF!</v>
      </c>
      <c r="B226" s="136"/>
      <c r="C226" s="102"/>
      <c r="D226" s="102" t="s">
        <v>593</v>
      </c>
      <c r="H226" s="116">
        <v>-6196334.1799999997</v>
      </c>
      <c r="I226" s="116">
        <v>-6180334.9199999999</v>
      </c>
      <c r="J226" s="116">
        <v>-6250245.1899999995</v>
      </c>
      <c r="K226" s="116">
        <v>-6250616.9699999997</v>
      </c>
      <c r="L226" s="116">
        <v>-6230787.6899999995</v>
      </c>
      <c r="M226" s="116">
        <v>-6139705.0099999998</v>
      </c>
      <c r="N226" s="116">
        <v>-6204606.5</v>
      </c>
      <c r="O226" s="116">
        <v>-6384698.4100000001</v>
      </c>
      <c r="P226" s="116">
        <v>-6337942.3799999999</v>
      </c>
      <c r="Q226" s="116">
        <v>-6323029.9100000001</v>
      </c>
      <c r="R226" s="116">
        <v>-6404124.2699999996</v>
      </c>
      <c r="S226" s="116">
        <v>-6457564.5700000003</v>
      </c>
      <c r="T226" s="116">
        <v>-6454721.1000000006</v>
      </c>
      <c r="U226" s="116">
        <v>-6541838.6500000004</v>
      </c>
      <c r="V226" s="116">
        <v>-6608572.3300000001</v>
      </c>
      <c r="W226" s="116">
        <v>-6662069.9500000002</v>
      </c>
      <c r="X226" s="116">
        <v>-6673252.6200000001</v>
      </c>
      <c r="Y226" s="116">
        <v>-6782840.1100000003</v>
      </c>
      <c r="Z226" s="116">
        <v>-6797581.7400000002</v>
      </c>
      <c r="AA226" s="116">
        <v>-6760662.6600000001</v>
      </c>
      <c r="AB226" s="116">
        <v>-6873774.2000000002</v>
      </c>
      <c r="AC226" s="116">
        <v>-6791431.4699999997</v>
      </c>
      <c r="AD226" s="116">
        <v>-6357777.7400000002</v>
      </c>
      <c r="AE226" s="116">
        <v>-5457546.1899999995</v>
      </c>
      <c r="AF226" s="116"/>
      <c r="AG226" s="133">
        <f>(SUM(T226:AD226)+(0.5*AE226)+(0.5*S226))/12</f>
        <v>-6605173.1624999987</v>
      </c>
      <c r="AI226" s="133">
        <f>AE226</f>
        <v>-5457546.1899999995</v>
      </c>
      <c r="AJ226" s="133">
        <f>AG226</f>
        <v>-6605173.1624999987</v>
      </c>
      <c r="AK226" s="133">
        <f>+'RB FORECAST'!AJ228</f>
        <v>-6563505.7299999995</v>
      </c>
      <c r="AL226" s="133">
        <f>+'RB FORECAST'!AG228</f>
        <v>-5457546.1899999995</v>
      </c>
      <c r="AM226" s="133">
        <f>+'RB FORECAST'!BA228</f>
        <v>-6563505.7299999995</v>
      </c>
      <c r="AN226" s="133">
        <f>+'RB FORECAST'!AW228</f>
        <v>-5457546.1899999995</v>
      </c>
      <c r="AP226" s="133">
        <f t="shared" si="73"/>
        <v>-6563505.7299999995</v>
      </c>
      <c r="AQ226" s="606">
        <f>AP226-AE226</f>
        <v>-1105959.54</v>
      </c>
      <c r="AR226" s="225">
        <f t="shared" si="53"/>
        <v>219</v>
      </c>
      <c r="AS226" s="225" t="e">
        <f t="shared" si="54"/>
        <v>#REF!</v>
      </c>
      <c r="AT226" s="186"/>
      <c r="AU226" s="136"/>
      <c r="AV226" s="102"/>
      <c r="AW226" s="102" t="s">
        <v>593</v>
      </c>
      <c r="AX226" s="102"/>
      <c r="AY226" s="116">
        <f>+AE226</f>
        <v>-5457546.1899999995</v>
      </c>
      <c r="AZ226" s="743">
        <f>AP226</f>
        <v>-6563505.7299999995</v>
      </c>
      <c r="BA226" s="743">
        <f>AZ226-AY226</f>
        <v>-1105959.54</v>
      </c>
    </row>
    <row r="227" spans="1:53">
      <c r="A227" s="250" t="e">
        <f t="shared" si="56"/>
        <v>#REF!</v>
      </c>
      <c r="B227" s="136"/>
      <c r="C227" s="102"/>
      <c r="D227" s="102" t="s">
        <v>170</v>
      </c>
      <c r="H227" s="131">
        <v>-6440358.3799999999</v>
      </c>
      <c r="I227" s="131">
        <v>-6420119.5999999996</v>
      </c>
      <c r="J227" s="131">
        <v>-6487235.5599999996</v>
      </c>
      <c r="K227" s="131">
        <v>-6487189.3499999996</v>
      </c>
      <c r="L227" s="131">
        <v>-6463479.5099999998</v>
      </c>
      <c r="M227" s="131">
        <v>-6367515.5199999996</v>
      </c>
      <c r="N227" s="131">
        <v>-6434386.3200000003</v>
      </c>
      <c r="O227" s="131">
        <v>-6621848.4400000004</v>
      </c>
      <c r="P227" s="131">
        <v>-6582705.3899999997</v>
      </c>
      <c r="Q227" s="131">
        <v>-6575079.9900000002</v>
      </c>
      <c r="R227" s="131">
        <v>-6663340.8899999997</v>
      </c>
      <c r="S227" s="131">
        <v>-6723459.1900000004</v>
      </c>
      <c r="T227" s="131">
        <v>-6721134.0700000003</v>
      </c>
      <c r="U227" s="131">
        <v>-6812286.5800000001</v>
      </c>
      <c r="V227" s="131">
        <v>-6881065.1600000001</v>
      </c>
      <c r="W227" s="131">
        <v>-6935049.6299999999</v>
      </c>
      <c r="X227" s="131">
        <v>-6934946.3799999999</v>
      </c>
      <c r="Y227" s="131">
        <v>-7046257.71</v>
      </c>
      <c r="Z227" s="131">
        <v>-7058382.7400000002</v>
      </c>
      <c r="AA227" s="131">
        <v>-7011612.75</v>
      </c>
      <c r="AB227" s="131">
        <v>-7133280.9800000004</v>
      </c>
      <c r="AC227" s="131">
        <v>-7059000.1799999997</v>
      </c>
      <c r="AD227" s="131">
        <v>-6622906.2800000003</v>
      </c>
      <c r="AE227" s="131">
        <v>-5705689.7999999998</v>
      </c>
      <c r="AF227" s="131"/>
      <c r="AG227" s="241">
        <f>(SUM(T227:AD227)+(0.5*AE227)+(0.5*S227))/12</f>
        <v>-6869208.0795833347</v>
      </c>
      <c r="AI227" s="241">
        <f>AE227</f>
        <v>-5705689.7999999998</v>
      </c>
      <c r="AJ227" s="241">
        <f>AG227</f>
        <v>-6869208.0795833347</v>
      </c>
      <c r="AK227" s="241">
        <f>SUM(AK225:AK226)</f>
        <v>-6826801.0216666665</v>
      </c>
      <c r="AL227" s="241">
        <f>SUM(AL225:AL226)</f>
        <v>-5705689.7999999998</v>
      </c>
      <c r="AM227" s="241">
        <f t="shared" ref="AM227:AN227" si="77">SUM(AM225:AM226)</f>
        <v>-6826801.0216666665</v>
      </c>
      <c r="AN227" s="241">
        <f t="shared" si="77"/>
        <v>-5705689.7999999998</v>
      </c>
      <c r="AP227" s="241">
        <f t="shared" si="73"/>
        <v>-6826801.0216666665</v>
      </c>
      <c r="AQ227" s="612">
        <f>AP227-AE227</f>
        <v>-1121111.2216666667</v>
      </c>
      <c r="AR227" s="225">
        <f t="shared" si="53"/>
        <v>220</v>
      </c>
      <c r="AS227" s="225" t="e">
        <f t="shared" si="54"/>
        <v>#REF!</v>
      </c>
      <c r="AT227" s="186"/>
      <c r="AU227" s="136"/>
      <c r="AV227" s="102"/>
      <c r="AW227" s="102" t="s">
        <v>170</v>
      </c>
      <c r="AX227" s="102"/>
      <c r="AY227" s="131">
        <f>SUM(AY225:AY226)</f>
        <v>-5705689.7999999998</v>
      </c>
      <c r="AZ227" s="95">
        <f>AP227</f>
        <v>-6826801.0216666665</v>
      </c>
      <c r="BA227" s="95">
        <f>AZ227-AY227</f>
        <v>-1121111.2216666667</v>
      </c>
    </row>
    <row r="228" spans="1:53">
      <c r="A228" s="250" t="e">
        <f t="shared" si="56"/>
        <v>#REF!</v>
      </c>
      <c r="B228" s="136"/>
      <c r="C228" s="102"/>
      <c r="D228" s="102"/>
      <c r="AR228" s="225">
        <f t="shared" si="53"/>
        <v>221</v>
      </c>
      <c r="AS228" s="225" t="e">
        <f t="shared" si="54"/>
        <v>#REF!</v>
      </c>
      <c r="AT228" s="186"/>
      <c r="AU228" s="136"/>
      <c r="AV228" s="102"/>
      <c r="AW228" s="102"/>
      <c r="AX228" s="102"/>
      <c r="AY228" s="116"/>
    </row>
    <row r="229" spans="1:53">
      <c r="A229" s="250" t="e">
        <f t="shared" si="56"/>
        <v>#REF!</v>
      </c>
      <c r="B229" s="212">
        <v>252</v>
      </c>
      <c r="C229" s="114" t="s">
        <v>493</v>
      </c>
      <c r="D229" s="102"/>
      <c r="E229" s="102"/>
      <c r="F229" s="102"/>
      <c r="G229" s="102"/>
      <c r="AR229" s="225">
        <f t="shared" si="53"/>
        <v>222</v>
      </c>
      <c r="AS229" s="225" t="e">
        <f t="shared" si="54"/>
        <v>#REF!</v>
      </c>
      <c r="AT229" s="186"/>
      <c r="AU229" s="212">
        <v>252</v>
      </c>
      <c r="AV229" s="102" t="s">
        <v>493</v>
      </c>
      <c r="AW229" s="102"/>
      <c r="AX229" s="102"/>
      <c r="AY229" s="116"/>
    </row>
    <row r="230" spans="1:53">
      <c r="A230" s="250"/>
      <c r="B230" s="212"/>
      <c r="C230" s="114"/>
      <c r="D230" s="102" t="s">
        <v>592</v>
      </c>
      <c r="E230" s="102"/>
      <c r="F230" s="102"/>
      <c r="G230" s="102"/>
      <c r="H230" s="116">
        <v>-646556.32999999996</v>
      </c>
      <c r="I230" s="116">
        <v>-646556.32999999996</v>
      </c>
      <c r="J230" s="116">
        <v>-646556.32999999996</v>
      </c>
      <c r="K230" s="116">
        <v>-646556.32999999996</v>
      </c>
      <c r="L230" s="116">
        <v>-646556.32999999996</v>
      </c>
      <c r="M230" s="116">
        <v>-646556.32999999996</v>
      </c>
      <c r="N230" s="116">
        <v>-646556.32999999996</v>
      </c>
      <c r="O230" s="116">
        <v>-646556.32999999996</v>
      </c>
      <c r="P230" s="116">
        <v>-646556.32999999996</v>
      </c>
      <c r="Q230" s="116">
        <v>-588423.32999999996</v>
      </c>
      <c r="R230" s="116">
        <v>-588423.32999999996</v>
      </c>
      <c r="S230" s="116">
        <v>-510513.99</v>
      </c>
      <c r="T230" s="116">
        <v>-510513.99</v>
      </c>
      <c r="U230" s="116">
        <v>-510513.99</v>
      </c>
      <c r="V230" s="116">
        <v>-510513.99</v>
      </c>
      <c r="W230" s="116">
        <v>-510513.99</v>
      </c>
      <c r="X230" s="116">
        <v>-465842.24</v>
      </c>
      <c r="Y230" s="116">
        <v>-465842.24</v>
      </c>
      <c r="Z230" s="116">
        <v>-465842.24</v>
      </c>
      <c r="AA230" s="116">
        <v>-465842.24</v>
      </c>
      <c r="AB230" s="116">
        <v>-465842.24</v>
      </c>
      <c r="AC230" s="116">
        <v>-465842.24</v>
      </c>
      <c r="AD230" s="116">
        <v>-465842.24</v>
      </c>
      <c r="AE230" s="116">
        <v>-404156.02</v>
      </c>
      <c r="AF230" s="116"/>
      <c r="AG230" s="133">
        <f>(SUM(T230:AD230)+(0.5*AE230)+(0.5*S230))/12</f>
        <v>-480023.88708333345</v>
      </c>
      <c r="AI230" s="133">
        <f>AE230</f>
        <v>-404156.02</v>
      </c>
      <c r="AJ230" s="133">
        <f>AG230</f>
        <v>-480023.88708333345</v>
      </c>
      <c r="AK230" s="133">
        <f>+'RB FORECAST'!AJ232</f>
        <v>-350737.21982987737</v>
      </c>
      <c r="AL230" s="133">
        <f>+'RB FORECAST'!AG232</f>
        <v>-222195.58669648331</v>
      </c>
      <c r="AM230" s="133">
        <f>+'RB FORECAST'!BA232</f>
        <v>-186312.68855709487</v>
      </c>
      <c r="AN230" s="133">
        <f>+'RB FORECAST'!AW232</f>
        <v>-99967.688038420412</v>
      </c>
      <c r="AP230" s="133">
        <f t="shared" si="73"/>
        <v>-186312.68855709487</v>
      </c>
      <c r="AQ230" s="606">
        <f>AP230-AE230</f>
        <v>217843.33144290515</v>
      </c>
      <c r="AR230" s="225">
        <f t="shared" si="53"/>
        <v>223</v>
      </c>
      <c r="AS230" s="225" t="e">
        <f t="shared" si="54"/>
        <v>#REF!</v>
      </c>
      <c r="AT230" s="186"/>
      <c r="AU230" s="212"/>
      <c r="AV230" s="102"/>
      <c r="AW230" s="102" t="s">
        <v>592</v>
      </c>
      <c r="AX230" s="102"/>
      <c r="AY230" s="116">
        <f>+AE230</f>
        <v>-404156.02</v>
      </c>
      <c r="AZ230" s="670">
        <f>AP230</f>
        <v>-186312.68855709487</v>
      </c>
      <c r="BA230" s="670">
        <f>AZ230-AY230</f>
        <v>217843.33144290515</v>
      </c>
    </row>
    <row r="231" spans="1:53">
      <c r="A231" s="250" t="e">
        <f>+A229+1</f>
        <v>#REF!</v>
      </c>
      <c r="B231" s="212"/>
      <c r="C231" s="102"/>
      <c r="D231" s="102" t="s">
        <v>593</v>
      </c>
      <c r="E231" s="102"/>
      <c r="F231" s="102"/>
      <c r="G231" s="102"/>
      <c r="H231" s="116">
        <v>-22944329.5</v>
      </c>
      <c r="I231" s="116">
        <v>-22896176.290000003</v>
      </c>
      <c r="J231" s="116">
        <v>-23576668.380000003</v>
      </c>
      <c r="K231" s="116">
        <v>-22621171.400000002</v>
      </c>
      <c r="L231" s="116">
        <v>-22521388.290000003</v>
      </c>
      <c r="M231" s="116">
        <v>-22859014.650000002</v>
      </c>
      <c r="N231" s="116">
        <v>-22383381.870000001</v>
      </c>
      <c r="O231" s="116">
        <v>-22316646.75</v>
      </c>
      <c r="P231" s="116">
        <v>-22914532.330000002</v>
      </c>
      <c r="Q231" s="116">
        <v>-21918911.270000003</v>
      </c>
      <c r="R231" s="116">
        <v>-21559048.370000001</v>
      </c>
      <c r="S231" s="116">
        <v>-19210044.66</v>
      </c>
      <c r="T231" s="116">
        <v>-18175778.650000002</v>
      </c>
      <c r="U231" s="116">
        <v>-18025179.91</v>
      </c>
      <c r="V231" s="116">
        <v>-17537599.620000001</v>
      </c>
      <c r="W231" s="116">
        <v>-17278147.050000001</v>
      </c>
      <c r="X231" s="116">
        <v>-17044300.110000003</v>
      </c>
      <c r="Y231" s="116">
        <v>-17012595.390000001</v>
      </c>
      <c r="Z231" s="116">
        <v>-16967883.640000001</v>
      </c>
      <c r="AA231" s="116">
        <v>-16893271.25</v>
      </c>
      <c r="AB231" s="116">
        <v>-16720487.58</v>
      </c>
      <c r="AC231" s="116">
        <v>-16552924.540000001</v>
      </c>
      <c r="AD231" s="116">
        <v>-16465396.089999998</v>
      </c>
      <c r="AE231" s="116">
        <v>-11724439</v>
      </c>
      <c r="AF231" s="116"/>
      <c r="AG231" s="133">
        <f>(SUM(T231:AD231)+(0.5*AE231)+(0.5*S231))/12</f>
        <v>-17011733.805000003</v>
      </c>
      <c r="AI231" s="133">
        <f>AE231</f>
        <v>-11724439</v>
      </c>
      <c r="AJ231" s="133">
        <f>AG231</f>
        <v>-17011733.805000003</v>
      </c>
      <c r="AK231" s="133">
        <f>+'RB FORECAST'!AJ233</f>
        <v>-10174776.411656534</v>
      </c>
      <c r="AL231" s="133">
        <f>+'RB FORECAST'!AG233</f>
        <v>-6445824.0713379206</v>
      </c>
      <c r="AM231" s="133">
        <f>+'RB FORECAST'!BA233</f>
        <v>-5404872.484427317</v>
      </c>
      <c r="AN231" s="133">
        <f>+'RB FORECAST'!AW233</f>
        <v>-2900031.181961583</v>
      </c>
      <c r="AP231" s="133">
        <f t="shared" si="73"/>
        <v>-5404872.484427317</v>
      </c>
      <c r="AQ231" s="606">
        <f>AP231-AE231</f>
        <v>6319566.515572683</v>
      </c>
      <c r="AR231" s="225">
        <f t="shared" si="53"/>
        <v>224</v>
      </c>
      <c r="AS231" s="225" t="e">
        <f t="shared" si="54"/>
        <v>#REF!</v>
      </c>
      <c r="AT231" s="186"/>
      <c r="AU231" s="136"/>
      <c r="AV231" s="102"/>
      <c r="AW231" s="102" t="s">
        <v>593</v>
      </c>
      <c r="AX231" s="102"/>
      <c r="AY231" s="116">
        <f>+AE231</f>
        <v>-11724439</v>
      </c>
      <c r="AZ231" s="743">
        <f>AP231</f>
        <v>-5404872.484427317</v>
      </c>
      <c r="BA231" s="743">
        <f>AZ231-AY231</f>
        <v>6319566.515572683</v>
      </c>
    </row>
    <row r="232" spans="1:53">
      <c r="A232" s="250" t="e">
        <f t="shared" si="56"/>
        <v>#REF!</v>
      </c>
      <c r="B232" s="212"/>
      <c r="C232" s="102"/>
      <c r="D232" s="102" t="s">
        <v>170</v>
      </c>
      <c r="E232" s="102"/>
      <c r="F232" s="102"/>
      <c r="G232" s="102"/>
      <c r="H232" s="131">
        <v>-23590885.829999998</v>
      </c>
      <c r="I232" s="131">
        <v>-23542732.620000001</v>
      </c>
      <c r="J232" s="131">
        <v>-24223224.710000001</v>
      </c>
      <c r="K232" s="131">
        <v>-23267727.73</v>
      </c>
      <c r="L232" s="131">
        <v>-23167944.620000001</v>
      </c>
      <c r="M232" s="131">
        <v>-23505570.98</v>
      </c>
      <c r="N232" s="131">
        <v>-23029938.199999999</v>
      </c>
      <c r="O232" s="131">
        <v>-22963203.079999998</v>
      </c>
      <c r="P232" s="131">
        <v>-23561088.66</v>
      </c>
      <c r="Q232" s="131">
        <v>-22507334.600000001</v>
      </c>
      <c r="R232" s="131">
        <v>-22147471.699999999</v>
      </c>
      <c r="S232" s="131">
        <v>-19720558.649999999</v>
      </c>
      <c r="T232" s="131">
        <v>-18686292.640000001</v>
      </c>
      <c r="U232" s="131">
        <v>-18535693.899999999</v>
      </c>
      <c r="V232" s="131">
        <v>-18048113.609999999</v>
      </c>
      <c r="W232" s="131">
        <v>-17788661.039999999</v>
      </c>
      <c r="X232" s="131">
        <v>-17510142.350000001</v>
      </c>
      <c r="Y232" s="131">
        <v>-17478437.629999999</v>
      </c>
      <c r="Z232" s="131">
        <v>-17433725.879999999</v>
      </c>
      <c r="AA232" s="131">
        <v>-17359113.489999998</v>
      </c>
      <c r="AB232" s="131">
        <v>-17186329.82</v>
      </c>
      <c r="AC232" s="131">
        <v>-17018766.780000001</v>
      </c>
      <c r="AD232" s="131">
        <v>-16931238.329999998</v>
      </c>
      <c r="AE232" s="131">
        <v>-12128595.02</v>
      </c>
      <c r="AF232" s="131"/>
      <c r="AG232" s="241">
        <f>(SUM(T232:AD232)+(0.5*AE232)+(0.5*S232))/12</f>
        <v>-17491757.692083329</v>
      </c>
      <c r="AI232" s="241">
        <f>AE232</f>
        <v>-12128595.02</v>
      </c>
      <c r="AJ232" s="241">
        <f>AG232</f>
        <v>-17491757.692083329</v>
      </c>
      <c r="AK232" s="241">
        <f>SUM(AK230:AK231)</f>
        <v>-10525513.631486412</v>
      </c>
      <c r="AL232" s="241">
        <f>SUM(AL230:AL231)</f>
        <v>-6668019.6580344038</v>
      </c>
      <c r="AM232" s="241">
        <f t="shared" ref="AM232:AN232" si="78">SUM(AM230:AM231)</f>
        <v>-5591185.1729844119</v>
      </c>
      <c r="AN232" s="241">
        <f t="shared" si="78"/>
        <v>-2999998.8700000034</v>
      </c>
      <c r="AP232" s="241">
        <f t="shared" si="73"/>
        <v>-5591185.1729844119</v>
      </c>
      <c r="AQ232" s="612">
        <f>AP232-AE232</f>
        <v>6537409.8470155876</v>
      </c>
      <c r="AR232" s="225">
        <f t="shared" si="53"/>
        <v>225</v>
      </c>
      <c r="AS232" s="225" t="e">
        <f t="shared" si="54"/>
        <v>#REF!</v>
      </c>
      <c r="AT232" s="186"/>
      <c r="AU232" s="136"/>
      <c r="AV232" s="102"/>
      <c r="AW232" s="102" t="s">
        <v>170</v>
      </c>
      <c r="AX232" s="102"/>
      <c r="AY232" s="131">
        <f>SUM(AY230:AY231)</f>
        <v>-12128595.02</v>
      </c>
      <c r="AZ232" s="95">
        <f>SUM(AZ230:AZ231)</f>
        <v>-5591185.1729844119</v>
      </c>
      <c r="BA232" s="95">
        <f>SUM(BA230:BA231)</f>
        <v>6537409.8470155885</v>
      </c>
    </row>
    <row r="233" spans="1:53">
      <c r="A233" s="250" t="e">
        <f t="shared" si="56"/>
        <v>#REF!</v>
      </c>
      <c r="B233" s="212"/>
      <c r="C233" s="102"/>
      <c r="D233" s="102"/>
      <c r="E233" s="102"/>
      <c r="F233" s="102"/>
      <c r="G233" s="102"/>
      <c r="AR233" s="225">
        <f t="shared" si="53"/>
        <v>226</v>
      </c>
      <c r="AS233" s="225" t="e">
        <f t="shared" si="54"/>
        <v>#REF!</v>
      </c>
      <c r="AT233" s="186"/>
      <c r="AU233" s="136"/>
      <c r="AV233" s="102"/>
      <c r="AW233" s="102"/>
      <c r="AX233" s="102"/>
      <c r="AY233" s="116"/>
    </row>
    <row r="234" spans="1:53">
      <c r="A234" s="250" t="e">
        <f t="shared" si="56"/>
        <v>#REF!</v>
      </c>
      <c r="B234" s="136">
        <v>2531</v>
      </c>
      <c r="C234" s="102" t="s">
        <v>312</v>
      </c>
      <c r="D234" s="102"/>
      <c r="AR234" s="225">
        <f t="shared" si="53"/>
        <v>227</v>
      </c>
      <c r="AS234" s="225" t="e">
        <f t="shared" si="54"/>
        <v>#REF!</v>
      </c>
      <c r="AT234" s="186"/>
      <c r="AU234" s="136">
        <v>2531</v>
      </c>
      <c r="AV234" s="102" t="s">
        <v>312</v>
      </c>
      <c r="AW234" s="102"/>
      <c r="AX234" s="102"/>
      <c r="AY234" s="116"/>
    </row>
    <row r="235" spans="1:53">
      <c r="A235" s="250" t="e">
        <f t="shared" si="56"/>
        <v>#REF!</v>
      </c>
      <c r="B235" s="136"/>
      <c r="C235" s="102"/>
      <c r="D235" s="102" t="s">
        <v>595</v>
      </c>
      <c r="H235" s="116">
        <v>-67735.95</v>
      </c>
      <c r="I235" s="116">
        <v>-68218.600000000006</v>
      </c>
      <c r="J235" s="116">
        <v>-68902.95</v>
      </c>
      <c r="K235" s="116">
        <v>-68006.600000000006</v>
      </c>
      <c r="L235" s="116">
        <v>-69540.09</v>
      </c>
      <c r="M235" s="116">
        <v>-69108.95</v>
      </c>
      <c r="N235" s="116">
        <v>-71615.25</v>
      </c>
      <c r="O235" s="116">
        <v>-73509.680000000008</v>
      </c>
      <c r="P235" s="116">
        <v>-73804.23</v>
      </c>
      <c r="Q235" s="116">
        <v>-43545.05</v>
      </c>
      <c r="R235" s="116">
        <v>-42999.29</v>
      </c>
      <c r="S235" s="116">
        <v>-43731.46</v>
      </c>
      <c r="T235" s="116">
        <v>-46434.92</v>
      </c>
      <c r="U235" s="116">
        <v>-45619.700000000004</v>
      </c>
      <c r="V235" s="116">
        <v>-44176.62</v>
      </c>
      <c r="W235" s="116">
        <v>-44370.28</v>
      </c>
      <c r="X235" s="116">
        <v>-45040.33</v>
      </c>
      <c r="Y235" s="116">
        <v>-45851.590000000004</v>
      </c>
      <c r="Z235" s="116">
        <v>-46197.35</v>
      </c>
      <c r="AA235" s="116">
        <v>-16591.05</v>
      </c>
      <c r="AB235" s="116">
        <v>-18892.05</v>
      </c>
      <c r="AC235" s="116">
        <v>-21718.100000000002</v>
      </c>
      <c r="AD235" s="116">
        <v>-26005.9</v>
      </c>
      <c r="AE235" s="116">
        <v>-29018.39</v>
      </c>
      <c r="AF235" s="116"/>
      <c r="AG235" s="133">
        <f>(SUM(T235:AD235)+(0.5*AE235)+(0.5*S235))/12</f>
        <v>-36439.401249999995</v>
      </c>
      <c r="AI235" s="133">
        <f>AE235</f>
        <v>-29018.39</v>
      </c>
      <c r="AJ235" s="133">
        <f>AG235</f>
        <v>-36439.401249999995</v>
      </c>
      <c r="AK235" s="133">
        <f>+'RB FORECAST'!AJ237</f>
        <v>-35826.356666666667</v>
      </c>
      <c r="AL235" s="133">
        <f>+'RB FORECAST'!AG237</f>
        <v>-29018.39</v>
      </c>
      <c r="AM235" s="133">
        <f>+'RB FORECAST'!BA237</f>
        <v>-35826.356666666667</v>
      </c>
      <c r="AN235" s="133">
        <f>+'RB FORECAST'!AW237</f>
        <v>-29018.39</v>
      </c>
      <c r="AP235" s="133">
        <f t="shared" si="73"/>
        <v>-35826.356666666667</v>
      </c>
      <c r="AQ235" s="606">
        <f>AP235-AE235</f>
        <v>-6807.9666666666672</v>
      </c>
      <c r="AR235" s="225">
        <f t="shared" si="53"/>
        <v>228</v>
      </c>
      <c r="AS235" s="225" t="e">
        <f t="shared" si="54"/>
        <v>#REF!</v>
      </c>
      <c r="AT235" s="186"/>
      <c r="AU235" s="136"/>
      <c r="AV235" s="102"/>
      <c r="AW235" s="102" t="s">
        <v>595</v>
      </c>
      <c r="AX235" s="102"/>
      <c r="AY235" s="116">
        <f>+AE235</f>
        <v>-29018.39</v>
      </c>
      <c r="AZ235" s="743">
        <f>AP235</f>
        <v>-35826.356666666667</v>
      </c>
      <c r="BA235" s="743">
        <f>AZ235-AY235</f>
        <v>-6807.9666666666672</v>
      </c>
    </row>
    <row r="236" spans="1:53">
      <c r="A236" s="250" t="e">
        <f t="shared" si="56"/>
        <v>#REF!</v>
      </c>
      <c r="B236" s="136"/>
      <c r="C236" s="102"/>
      <c r="D236" s="102" t="s">
        <v>170</v>
      </c>
      <c r="H236" s="131">
        <v>-67735.95</v>
      </c>
      <c r="I236" s="131">
        <v>-68218.600000000006</v>
      </c>
      <c r="J236" s="131">
        <v>-68902.95</v>
      </c>
      <c r="K236" s="131">
        <v>-68006.600000000006</v>
      </c>
      <c r="L236" s="131">
        <v>-69540.09</v>
      </c>
      <c r="M236" s="131">
        <v>-69108.95</v>
      </c>
      <c r="N236" s="131">
        <v>-71615.25</v>
      </c>
      <c r="O236" s="131">
        <v>-73509.680000000008</v>
      </c>
      <c r="P236" s="131">
        <v>-73804.23</v>
      </c>
      <c r="Q236" s="131">
        <v>-43545.05</v>
      </c>
      <c r="R236" s="131">
        <v>-42999.29</v>
      </c>
      <c r="S236" s="131">
        <v>-43731.46</v>
      </c>
      <c r="T236" s="131">
        <v>-46434.92</v>
      </c>
      <c r="U236" s="131">
        <v>-45619.700000000004</v>
      </c>
      <c r="V236" s="131">
        <v>-44176.62</v>
      </c>
      <c r="W236" s="131">
        <v>-44370.28</v>
      </c>
      <c r="X236" s="131">
        <v>-45040.33</v>
      </c>
      <c r="Y236" s="131">
        <v>-45851.590000000004</v>
      </c>
      <c r="Z236" s="131">
        <v>-46197.35</v>
      </c>
      <c r="AA236" s="131">
        <v>-16591.05</v>
      </c>
      <c r="AB236" s="131">
        <v>-18892.05</v>
      </c>
      <c r="AC236" s="131">
        <v>-21718.100000000002</v>
      </c>
      <c r="AD236" s="131">
        <v>-26005.9</v>
      </c>
      <c r="AE236" s="131">
        <v>-29018.39</v>
      </c>
      <c r="AF236" s="131"/>
      <c r="AG236" s="241">
        <f>+AG235</f>
        <v>-36439.401249999995</v>
      </c>
      <c r="AI236" s="241">
        <f>AE236</f>
        <v>-29018.39</v>
      </c>
      <c r="AJ236" s="241">
        <f>AG236</f>
        <v>-36439.401249999995</v>
      </c>
      <c r="AK236" s="241">
        <f>+AK235</f>
        <v>-35826.356666666667</v>
      </c>
      <c r="AL236" s="241">
        <f>+AL235</f>
        <v>-29018.39</v>
      </c>
      <c r="AM236" s="241">
        <f t="shared" ref="AM236:AN236" si="79">+AM235</f>
        <v>-35826.356666666667</v>
      </c>
      <c r="AN236" s="241">
        <f t="shared" si="79"/>
        <v>-29018.39</v>
      </c>
      <c r="AP236" s="241">
        <f t="shared" si="73"/>
        <v>-35826.356666666667</v>
      </c>
      <c r="AQ236" s="612">
        <f>AP236-AE236</f>
        <v>-6807.9666666666672</v>
      </c>
      <c r="AR236" s="225">
        <f t="shared" si="53"/>
        <v>229</v>
      </c>
      <c r="AS236" s="225" t="e">
        <f t="shared" si="54"/>
        <v>#REF!</v>
      </c>
      <c r="AT236" s="186"/>
      <c r="AU236" s="136"/>
      <c r="AV236" s="102"/>
      <c r="AW236" s="102" t="s">
        <v>170</v>
      </c>
      <c r="AX236" s="102"/>
      <c r="AY236" s="131">
        <f>SUM(AY235)</f>
        <v>-29018.39</v>
      </c>
      <c r="AZ236" s="95">
        <f>AP236</f>
        <v>-35826.356666666667</v>
      </c>
      <c r="BA236" s="95">
        <f>AZ236-AY236</f>
        <v>-6807.9666666666672</v>
      </c>
    </row>
    <row r="237" spans="1:53">
      <c r="A237" s="250" t="e">
        <f t="shared" si="56"/>
        <v>#REF!</v>
      </c>
      <c r="B237" s="136"/>
      <c r="C237" s="102"/>
      <c r="D237" s="102"/>
      <c r="AR237" s="225">
        <f t="shared" ref="AR237:AR279" si="80">+AR236+1</f>
        <v>230</v>
      </c>
      <c r="AS237" s="225" t="e">
        <f t="shared" ref="AS237:AS279" si="81">+AS236+1</f>
        <v>#REF!</v>
      </c>
      <c r="AT237" s="186"/>
      <c r="AU237" s="136"/>
      <c r="AV237" s="102"/>
      <c r="AW237" s="102"/>
      <c r="AX237" s="102"/>
      <c r="AY237" s="116"/>
    </row>
    <row r="238" spans="1:53">
      <c r="A238" s="250" t="e">
        <f t="shared" si="56"/>
        <v>#REF!</v>
      </c>
      <c r="B238" s="136">
        <v>255</v>
      </c>
      <c r="C238" s="102" t="s">
        <v>871</v>
      </c>
      <c r="D238" s="102"/>
      <c r="AR238" s="225">
        <f t="shared" si="80"/>
        <v>231</v>
      </c>
      <c r="AS238" s="225" t="e">
        <f t="shared" si="81"/>
        <v>#REF!</v>
      </c>
      <c r="AT238" s="186"/>
      <c r="AU238" s="136">
        <v>255</v>
      </c>
      <c r="AV238" s="102" t="s">
        <v>871</v>
      </c>
      <c r="AW238" s="102"/>
      <c r="AX238" s="102"/>
      <c r="AY238" s="116"/>
    </row>
    <row r="239" spans="1:53">
      <c r="A239" s="250" t="e">
        <f t="shared" si="56"/>
        <v>#REF!</v>
      </c>
      <c r="B239" s="136"/>
      <c r="C239" s="102"/>
      <c r="D239" s="102" t="s">
        <v>443</v>
      </c>
      <c r="H239" s="116">
        <v>-1475.03</v>
      </c>
      <c r="I239" s="116">
        <v>-1443.19</v>
      </c>
      <c r="J239" s="116">
        <v>-1411.3500000000001</v>
      </c>
      <c r="K239" s="116">
        <v>-1379.51</v>
      </c>
      <c r="L239" s="116">
        <v>-1347.67</v>
      </c>
      <c r="M239" s="116">
        <v>-1315.83</v>
      </c>
      <c r="N239" s="116">
        <v>-1283.99</v>
      </c>
      <c r="O239" s="116">
        <v>-1252.1500000000001</v>
      </c>
      <c r="P239" s="116">
        <v>-1220.31</v>
      </c>
      <c r="Q239" s="116">
        <v>-1188.47</v>
      </c>
      <c r="R239" s="116">
        <v>-1156.6300000000001</v>
      </c>
      <c r="S239" s="116">
        <v>-1124.79</v>
      </c>
      <c r="T239" s="116">
        <v>-1140.29</v>
      </c>
      <c r="U239" s="116">
        <v>-1155.79</v>
      </c>
      <c r="V239" s="116">
        <v>-1171.29</v>
      </c>
      <c r="W239" s="116">
        <v>-1186.79</v>
      </c>
      <c r="X239" s="116">
        <v>-1202.29</v>
      </c>
      <c r="Y239" s="116">
        <v>-1217.79</v>
      </c>
      <c r="Z239" s="116">
        <v>-1233.29</v>
      </c>
      <c r="AA239" s="116">
        <v>-1248.79</v>
      </c>
      <c r="AB239" s="116">
        <v>-1264.29</v>
      </c>
      <c r="AC239" s="116">
        <v>-1279.79</v>
      </c>
      <c r="AD239" s="116">
        <v>-1295.29</v>
      </c>
      <c r="AE239" s="116">
        <v>-1310.79</v>
      </c>
      <c r="AF239" s="116"/>
      <c r="AG239" s="133">
        <f>(SUM(T239:AD239)+(0.5*AE239)+(0.5*S239))/12</f>
        <v>-1217.7900000000002</v>
      </c>
      <c r="AI239" s="133">
        <f>AE239</f>
        <v>-1310.79</v>
      </c>
      <c r="AJ239" s="133">
        <f>AG239</f>
        <v>-1217.7900000000002</v>
      </c>
      <c r="AK239" s="133">
        <f>+'RB FORECAST'!AJ241</f>
        <v>-655.39475242188428</v>
      </c>
      <c r="AL239" s="133">
        <f>+'RB FORECAST'!AG241</f>
        <v>4.1640670052097667E-14</v>
      </c>
      <c r="AM239" s="133">
        <f>+'RB FORECAST'!BA241</f>
        <v>4.1640670052097667E-14</v>
      </c>
      <c r="AN239" s="133">
        <f>+'RB FORECAST'!AW241</f>
        <v>4.1640670052097667E-14</v>
      </c>
      <c r="AP239" s="133">
        <f t="shared" si="73"/>
        <v>4.1640670052097667E-14</v>
      </c>
      <c r="AQ239" s="606">
        <f>AP239-AE239</f>
        <v>1310.79</v>
      </c>
      <c r="AR239" s="225">
        <f t="shared" si="80"/>
        <v>232</v>
      </c>
      <c r="AS239" s="225" t="e">
        <f t="shared" si="81"/>
        <v>#REF!</v>
      </c>
      <c r="AT239" s="186"/>
      <c r="AU239" s="136"/>
      <c r="AV239" s="102"/>
      <c r="AW239" s="102" t="s">
        <v>443</v>
      </c>
      <c r="AX239" s="102"/>
      <c r="AY239" s="116">
        <f>+AE239</f>
        <v>-1310.79</v>
      </c>
      <c r="AZ239" s="95">
        <f>AP239</f>
        <v>4.1640670052097667E-14</v>
      </c>
      <c r="BA239" s="95">
        <f>AZ239-AY239</f>
        <v>1310.79</v>
      </c>
    </row>
    <row r="240" spans="1:53">
      <c r="A240" s="250" t="e">
        <f t="shared" si="56"/>
        <v>#REF!</v>
      </c>
      <c r="B240" s="136"/>
      <c r="C240" s="102"/>
      <c r="D240" s="102" t="s">
        <v>592</v>
      </c>
      <c r="H240" s="116">
        <v>-6635.6427040000099</v>
      </c>
      <c r="I240" s="116">
        <v>-7429.2822449999958</v>
      </c>
      <c r="J240" s="116">
        <v>-6004.7193119999911</v>
      </c>
      <c r="K240" s="116">
        <v>-5734.2314750000069</v>
      </c>
      <c r="L240" s="116">
        <v>-5410.5220320000089</v>
      </c>
      <c r="M240" s="116">
        <v>-5104.2418639999905</v>
      </c>
      <c r="N240" s="116">
        <v>-4797.9616960000076</v>
      </c>
      <c r="O240" s="116">
        <v>-4505.3756790000061</v>
      </c>
      <c r="P240" s="116">
        <v>-4185.4013600000071</v>
      </c>
      <c r="Q240" s="116">
        <v>-3689.8957679999876</v>
      </c>
      <c r="R240" s="116">
        <v>-3387.663288000002</v>
      </c>
      <c r="S240" s="116">
        <v>-3207.2751887985778</v>
      </c>
      <c r="T240" s="116">
        <v>-2908.5873809999912</v>
      </c>
      <c r="U240" s="116">
        <v>-2737.4087950000094</v>
      </c>
      <c r="V240" s="116">
        <v>-2637.0551160000082</v>
      </c>
      <c r="W240" s="116">
        <v>-2432.9661690000003</v>
      </c>
      <c r="X240" s="116">
        <v>-2223.1647870000011</v>
      </c>
      <c r="Y240" s="116">
        <v>-2028.4282110000013</v>
      </c>
      <c r="Z240" s="116">
        <v>-1827.9792000000016</v>
      </c>
      <c r="AA240" s="116">
        <v>-1618.5319430000031</v>
      </c>
      <c r="AB240" s="116">
        <v>-1430.7211140000024</v>
      </c>
      <c r="AC240" s="116">
        <v>-1237.804506000002</v>
      </c>
      <c r="AD240" s="116">
        <v>-1051.4595199999974</v>
      </c>
      <c r="AE240" s="116">
        <v>-854.65140200000099</v>
      </c>
      <c r="AF240" s="116"/>
      <c r="AG240" s="133">
        <f>(SUM(T240:AD240)+(0.5*AE240)+(0.5*S240))/12</f>
        <v>-2013.7558364499425</v>
      </c>
      <c r="AI240" s="133">
        <f>AE240</f>
        <v>-854.65140200000099</v>
      </c>
      <c r="AJ240" s="133">
        <f>AG240</f>
        <v>-2013.7558364499425</v>
      </c>
      <c r="AK240" s="133">
        <f>+'RB FORECAST'!AJ242</f>
        <v>-427.32553957598617</v>
      </c>
      <c r="AL240" s="133">
        <f>+'RB FORECAST'!AG242</f>
        <v>2.7150235384954667E-14</v>
      </c>
      <c r="AM240" s="133">
        <f>+'RB FORECAST'!BA242</f>
        <v>2.715023538495467E-14</v>
      </c>
      <c r="AN240" s="133">
        <f>+'RB FORECAST'!AW242</f>
        <v>2.7150235384954667E-14</v>
      </c>
      <c r="AP240" s="133">
        <f t="shared" si="73"/>
        <v>2.715023538495467E-14</v>
      </c>
      <c r="AQ240" s="606">
        <f>AP240-AE240</f>
        <v>854.65140200000099</v>
      </c>
      <c r="AR240" s="225">
        <f t="shared" si="80"/>
        <v>233</v>
      </c>
      <c r="AS240" s="225" t="e">
        <f t="shared" si="81"/>
        <v>#REF!</v>
      </c>
      <c r="AT240" s="186"/>
      <c r="AU240" s="136"/>
      <c r="AV240" s="102"/>
      <c r="AW240" s="102" t="s">
        <v>592</v>
      </c>
      <c r="AX240" s="102"/>
      <c r="AY240" s="116">
        <f>+AE240</f>
        <v>-854.65140200000099</v>
      </c>
      <c r="AZ240" s="95">
        <f>AP240</f>
        <v>2.715023538495467E-14</v>
      </c>
      <c r="BA240" s="95">
        <f>AZ240-AY240</f>
        <v>854.65140200000099</v>
      </c>
    </row>
    <row r="241" spans="1:53">
      <c r="A241" s="250" t="e">
        <f t="shared" ref="A241:A279" si="82">+A240+1</f>
        <v>#REF!</v>
      </c>
      <c r="B241" s="136"/>
      <c r="C241" s="102"/>
      <c r="D241" s="102" t="s">
        <v>593</v>
      </c>
      <c r="H241" s="116">
        <v>-195670.53729599999</v>
      </c>
      <c r="I241" s="116">
        <v>-185539.08775499999</v>
      </c>
      <c r="J241" s="116">
        <v>-177625.840688</v>
      </c>
      <c r="K241" s="116">
        <v>-168558.51852499999</v>
      </c>
      <c r="L241" s="116">
        <v>-159544.41796799999</v>
      </c>
      <c r="M241" s="116">
        <v>-150512.88813600002</v>
      </c>
      <c r="N241" s="116">
        <v>-141481.35830399999</v>
      </c>
      <c r="O241" s="116">
        <v>-132436.13432099999</v>
      </c>
      <c r="P241" s="116">
        <v>-123418.29864000001</v>
      </c>
      <c r="Q241" s="116">
        <v>-114575.99423200001</v>
      </c>
      <c r="R241" s="116">
        <v>-105540.41671200001</v>
      </c>
      <c r="S241" s="116">
        <v>-96382.994811201424</v>
      </c>
      <c r="T241" s="116">
        <v>-90615.122619000016</v>
      </c>
      <c r="U241" s="116">
        <v>-84719.741204999998</v>
      </c>
      <c r="V241" s="116">
        <v>-78753.534884000008</v>
      </c>
      <c r="W241" s="116">
        <v>-72891.063831000007</v>
      </c>
      <c r="X241" s="116">
        <v>-67034.305213</v>
      </c>
      <c r="Y241" s="116">
        <v>-61162.481789000005</v>
      </c>
      <c r="Z241" s="116">
        <v>-55296.370799999997</v>
      </c>
      <c r="AA241" s="116">
        <v>-49439.258056999999</v>
      </c>
      <c r="AB241" s="116">
        <v>-43560.508886000003</v>
      </c>
      <c r="AC241" s="116">
        <v>-37686.865493999998</v>
      </c>
      <c r="AD241" s="116">
        <v>-31806.650480000004</v>
      </c>
      <c r="AE241" s="116">
        <v>-25936.928597999999</v>
      </c>
      <c r="AF241" s="116"/>
      <c r="AG241" s="133">
        <f>(SUM(T241:AD241)+(0.5*AE241)+(0.5*S241))/12</f>
        <v>-61177.155413550063</v>
      </c>
      <c r="AI241" s="133">
        <f>AE241</f>
        <v>-25936.928597999999</v>
      </c>
      <c r="AJ241" s="133">
        <f>AG241</f>
        <v>-61177.155413550063</v>
      </c>
      <c r="AK241" s="133">
        <f>+'RB FORECAST'!AJ243</f>
        <v>-12968.459400110087</v>
      </c>
      <c r="AL241" s="133">
        <f>+'RB FORECAST'!AG243</f>
        <v>8.2395432213713437E-13</v>
      </c>
      <c r="AM241" s="133">
        <f>+'RB FORECAST'!BA243</f>
        <v>8.2395432213713468E-13</v>
      </c>
      <c r="AN241" s="133">
        <f>+'RB FORECAST'!AW243</f>
        <v>8.2395432213713437E-13</v>
      </c>
      <c r="AP241" s="133">
        <f t="shared" si="73"/>
        <v>8.2395432213713468E-13</v>
      </c>
      <c r="AQ241" s="606">
        <f>AP241-AE241</f>
        <v>25936.928597999999</v>
      </c>
      <c r="AR241" s="225">
        <f t="shared" si="80"/>
        <v>234</v>
      </c>
      <c r="AS241" s="225" t="e">
        <f t="shared" si="81"/>
        <v>#REF!</v>
      </c>
      <c r="AT241" s="186"/>
      <c r="AU241" s="136"/>
      <c r="AV241" s="102"/>
      <c r="AW241" s="102" t="s">
        <v>593</v>
      </c>
      <c r="AX241" s="102"/>
      <c r="AY241" s="116">
        <f>+AE241</f>
        <v>-25936.928597999999</v>
      </c>
      <c r="AZ241" s="95">
        <f>AP241</f>
        <v>8.2395432213713468E-13</v>
      </c>
      <c r="BA241" s="95">
        <f>AZ241-AY241</f>
        <v>25936.928597999999</v>
      </c>
    </row>
    <row r="242" spans="1:53">
      <c r="A242" s="250" t="e">
        <f t="shared" si="82"/>
        <v>#REF!</v>
      </c>
      <c r="B242" s="136"/>
      <c r="C242" s="102"/>
      <c r="D242" s="102" t="s">
        <v>595</v>
      </c>
      <c r="H242" s="116">
        <v>-883.75</v>
      </c>
      <c r="I242" s="116">
        <v>-868.25</v>
      </c>
      <c r="J242" s="116">
        <v>-852.75</v>
      </c>
      <c r="K242" s="116">
        <v>-837.25</v>
      </c>
      <c r="L242" s="116">
        <v>-821.75</v>
      </c>
      <c r="M242" s="116">
        <v>-806.25</v>
      </c>
      <c r="N242" s="116">
        <v>-790.75</v>
      </c>
      <c r="O242" s="116">
        <v>-775.25</v>
      </c>
      <c r="P242" s="116">
        <v>-759.75</v>
      </c>
      <c r="Q242" s="116">
        <v>-744.25</v>
      </c>
      <c r="R242" s="116">
        <v>-728.75</v>
      </c>
      <c r="S242" s="116">
        <v>-713.25</v>
      </c>
      <c r="T242" s="116">
        <v>-697.75</v>
      </c>
      <c r="U242" s="116">
        <v>-682.25</v>
      </c>
      <c r="V242" s="116">
        <v>-666.75</v>
      </c>
      <c r="W242" s="116">
        <v>-651.25</v>
      </c>
      <c r="X242" s="116">
        <v>-635.75</v>
      </c>
      <c r="Y242" s="116">
        <v>-620.25</v>
      </c>
      <c r="Z242" s="116">
        <v>-604.75</v>
      </c>
      <c r="AA242" s="116">
        <v>-589.25</v>
      </c>
      <c r="AB242" s="116">
        <v>-573.75</v>
      </c>
      <c r="AC242" s="116">
        <v>-558.25</v>
      </c>
      <c r="AD242" s="116">
        <v>-542.75</v>
      </c>
      <c r="AE242" s="116">
        <v>-527.25</v>
      </c>
      <c r="AF242" s="116"/>
      <c r="AG242" s="133">
        <f>(SUM(T242:AD242)+(0.5*AE242)+(0.5*S242))/12</f>
        <v>-620.25</v>
      </c>
      <c r="AI242" s="133">
        <f>AE242</f>
        <v>-527.25</v>
      </c>
      <c r="AJ242" s="133">
        <f>AG242</f>
        <v>-620.25</v>
      </c>
      <c r="AK242" s="133">
        <f>+'RB FORECAST'!AJ244</f>
        <v>-263.62490041458852</v>
      </c>
      <c r="AL242" s="133">
        <f>+'RB FORECAST'!AG244</f>
        <v>1.6749474198741601E-14</v>
      </c>
      <c r="AM242" s="133">
        <f>+'RB FORECAST'!BA244</f>
        <v>1.6749474198741598E-14</v>
      </c>
      <c r="AN242" s="133">
        <f>+'RB FORECAST'!AW244</f>
        <v>1.6749474198741601E-14</v>
      </c>
      <c r="AP242" s="133">
        <f t="shared" si="73"/>
        <v>1.6749474198741598E-14</v>
      </c>
      <c r="AQ242" s="606">
        <f>AP242-AE242</f>
        <v>527.25</v>
      </c>
      <c r="AR242" s="225">
        <f t="shared" si="80"/>
        <v>235</v>
      </c>
      <c r="AS242" s="225" t="e">
        <f t="shared" si="81"/>
        <v>#REF!</v>
      </c>
      <c r="AT242" s="186"/>
      <c r="AU242" s="136"/>
      <c r="AV242" s="102"/>
      <c r="AW242" s="102" t="s">
        <v>595</v>
      </c>
      <c r="AX242" s="102"/>
      <c r="AY242" s="116">
        <f>+AE242</f>
        <v>-527.25</v>
      </c>
      <c r="AZ242" s="743">
        <f>AP242</f>
        <v>1.6749474198741598E-14</v>
      </c>
      <c r="BA242" s="743">
        <f>AZ242-AY242</f>
        <v>527.25</v>
      </c>
    </row>
    <row r="243" spans="1:53">
      <c r="A243" s="250" t="e">
        <f t="shared" si="82"/>
        <v>#REF!</v>
      </c>
      <c r="B243" s="136"/>
      <c r="C243" s="102"/>
      <c r="D243" s="102" t="s">
        <v>170</v>
      </c>
      <c r="H243" s="131">
        <v>-204664.95999999999</v>
      </c>
      <c r="I243" s="131">
        <v>-195279.80999999997</v>
      </c>
      <c r="J243" s="131">
        <v>-185894.65999999997</v>
      </c>
      <c r="K243" s="131">
        <v>-176509.51</v>
      </c>
      <c r="L243" s="131">
        <v>-167124.36000000002</v>
      </c>
      <c r="M243" s="131">
        <v>-157739.21000000002</v>
      </c>
      <c r="N243" s="131">
        <v>-148354.06</v>
      </c>
      <c r="O243" s="131">
        <v>-138968.91</v>
      </c>
      <c r="P243" s="131">
        <v>-129583.76000000001</v>
      </c>
      <c r="Q243" s="131">
        <v>-120198.61</v>
      </c>
      <c r="R243" s="131">
        <v>-110813.46</v>
      </c>
      <c r="S243" s="131">
        <v>-101428.31</v>
      </c>
      <c r="T243" s="131">
        <v>-95361.75</v>
      </c>
      <c r="U243" s="131">
        <v>-89295.19</v>
      </c>
      <c r="V243" s="131">
        <v>-83228.630000000019</v>
      </c>
      <c r="W243" s="131">
        <v>-77162.070000000007</v>
      </c>
      <c r="X243" s="131">
        <v>-71095.509999999995</v>
      </c>
      <c r="Y243" s="131">
        <v>-65028.950000000004</v>
      </c>
      <c r="Z243" s="131">
        <v>-58962.39</v>
      </c>
      <c r="AA243" s="131">
        <v>-52895.83</v>
      </c>
      <c r="AB243" s="131">
        <v>-46829.270000000004</v>
      </c>
      <c r="AC243" s="131">
        <v>-40762.71</v>
      </c>
      <c r="AD243" s="131">
        <v>-34696.15</v>
      </c>
      <c r="AE243" s="131">
        <v>-28629.62</v>
      </c>
      <c r="AF243" s="131"/>
      <c r="AG243" s="241">
        <f>(SUM(T243:AD243)+(0.5*AE243)+(0.5*S243))/12</f>
        <v>-65028.951250000006</v>
      </c>
      <c r="AI243" s="241">
        <f>AE243</f>
        <v>-28629.62</v>
      </c>
      <c r="AJ243" s="241">
        <f>AG243</f>
        <v>-65028.951250000006</v>
      </c>
      <c r="AK243" s="241">
        <f>SUM(AK239:AK242)</f>
        <v>-14314.804592522545</v>
      </c>
      <c r="AL243" s="241">
        <f>SUM(AL239:AL242)</f>
        <v>9.0949470177292844E-13</v>
      </c>
      <c r="AM243" s="241">
        <f t="shared" ref="AM243:AN243" si="83">SUM(AM239:AM242)</f>
        <v>9.0949470177292864E-13</v>
      </c>
      <c r="AN243" s="241">
        <f t="shared" si="83"/>
        <v>9.0949470177292844E-13</v>
      </c>
      <c r="AP243" s="241">
        <f t="shared" si="73"/>
        <v>9.0949470177292864E-13</v>
      </c>
      <c r="AQ243" s="612">
        <f>SUM(AQ239:AQ242)</f>
        <v>28629.62</v>
      </c>
      <c r="AR243" s="225">
        <f t="shared" si="80"/>
        <v>236</v>
      </c>
      <c r="AS243" s="225" t="e">
        <f t="shared" si="81"/>
        <v>#REF!</v>
      </c>
      <c r="AT243" s="186"/>
      <c r="AU243" s="136"/>
      <c r="AV243" s="102"/>
      <c r="AW243" s="102" t="s">
        <v>170</v>
      </c>
      <c r="AX243" s="102"/>
      <c r="AY243" s="131">
        <f>SUM(AY239:AY242)</f>
        <v>-28629.62</v>
      </c>
      <c r="AZ243" s="95">
        <f>AP243</f>
        <v>9.0949470177292864E-13</v>
      </c>
      <c r="BA243" s="95">
        <f>AZ243-AY243</f>
        <v>28629.62</v>
      </c>
    </row>
    <row r="244" spans="1:53">
      <c r="A244" s="250" t="e">
        <f t="shared" si="82"/>
        <v>#REF!</v>
      </c>
      <c r="B244" s="136"/>
      <c r="C244" s="102"/>
      <c r="D244" s="102"/>
      <c r="AR244" s="225">
        <f t="shared" si="80"/>
        <v>237</v>
      </c>
      <c r="AS244" s="225" t="e">
        <f t="shared" si="81"/>
        <v>#REF!</v>
      </c>
      <c r="AT244" s="186"/>
      <c r="AU244" s="136"/>
      <c r="AV244" s="102"/>
      <c r="AW244" s="102"/>
      <c r="AX244" s="102"/>
      <c r="AY244" s="116"/>
    </row>
    <row r="245" spans="1:53">
      <c r="A245" s="250" t="e">
        <f t="shared" si="82"/>
        <v>#REF!</v>
      </c>
      <c r="B245" s="136">
        <v>2820</v>
      </c>
      <c r="C245" s="102" t="s">
        <v>477</v>
      </c>
      <c r="D245" s="102"/>
      <c r="AR245" s="225">
        <f t="shared" si="80"/>
        <v>238</v>
      </c>
      <c r="AS245" s="225" t="e">
        <f t="shared" si="81"/>
        <v>#REF!</v>
      </c>
      <c r="AT245" s="186"/>
      <c r="AU245" s="136">
        <v>2820</v>
      </c>
      <c r="AV245" s="102" t="s">
        <v>477</v>
      </c>
      <c r="AW245" s="102"/>
      <c r="AX245" s="102"/>
      <c r="AY245" s="116"/>
    </row>
    <row r="246" spans="1:53">
      <c r="A246" s="250" t="e">
        <f t="shared" si="82"/>
        <v>#REF!</v>
      </c>
      <c r="B246" s="136"/>
      <c r="C246" s="102"/>
      <c r="D246" s="102" t="s">
        <v>443</v>
      </c>
      <c r="H246" s="116">
        <v>-1175632.1000000001</v>
      </c>
      <c r="I246" s="116">
        <v>-1102083.78</v>
      </c>
      <c r="J246" s="116">
        <v>-1029516.94</v>
      </c>
      <c r="K246" s="116">
        <v>-957190.61</v>
      </c>
      <c r="L246" s="116">
        <v>-885237.62</v>
      </c>
      <c r="M246" s="116">
        <v>-813385.1</v>
      </c>
      <c r="N246" s="116">
        <v>-741679.42</v>
      </c>
      <c r="O246" s="116">
        <v>-670309.82999999996</v>
      </c>
      <c r="P246" s="116">
        <v>-603250.09</v>
      </c>
      <c r="Q246" s="116">
        <v>-536537.85</v>
      </c>
      <c r="R246" s="116">
        <v>-470134.26</v>
      </c>
      <c r="S246" s="116">
        <v>-501863.93</v>
      </c>
      <c r="T246" s="116">
        <v>-438066.81</v>
      </c>
      <c r="U246" s="116">
        <v>-374397.71</v>
      </c>
      <c r="V246" s="116">
        <v>-310747.40000000002</v>
      </c>
      <c r="W246" s="116">
        <v>-247869.66</v>
      </c>
      <c r="X246" s="116">
        <v>-184984.29</v>
      </c>
      <c r="Y246" s="116">
        <v>-121778.19</v>
      </c>
      <c r="Z246" s="116">
        <v>-58772.590000000004</v>
      </c>
      <c r="AA246" s="116">
        <v>3661.83</v>
      </c>
      <c r="AB246" s="116">
        <v>50611.28</v>
      </c>
      <c r="AC246" s="116">
        <v>110620.48</v>
      </c>
      <c r="AD246" s="116">
        <v>169754.68</v>
      </c>
      <c r="AE246" s="116">
        <v>44147.49</v>
      </c>
      <c r="AF246" s="116"/>
      <c r="AG246" s="133">
        <f>(SUM(T246:AD246)+(0.5*AE246)+(0.5*S246))/12</f>
        <v>-135902.21666666665</v>
      </c>
      <c r="AI246" s="133">
        <f>AE246</f>
        <v>44147.49</v>
      </c>
      <c r="AJ246" s="133">
        <f>AG246</f>
        <v>-135902.21666666665</v>
      </c>
      <c r="AK246" s="133">
        <f>+'RB FORECAST'!AJ248</f>
        <v>44607.017417189716</v>
      </c>
      <c r="AL246" s="133">
        <f>+'RB FORECAST'!AG248</f>
        <v>40264.693087509448</v>
      </c>
      <c r="AM246" s="133">
        <f>+'RB FORECAST'!BA248</f>
        <v>40206.340981525958</v>
      </c>
      <c r="AN246" s="133">
        <f>+'RB FORECAST'!AW248</f>
        <v>40757.741746794323</v>
      </c>
      <c r="AP246" s="133">
        <f t="shared" si="73"/>
        <v>40206.340981525958</v>
      </c>
      <c r="AQ246" s="606">
        <f>AP246-AE246</f>
        <v>-3941.1490184740396</v>
      </c>
      <c r="AR246" s="225">
        <f t="shared" si="80"/>
        <v>239</v>
      </c>
      <c r="AS246" s="225" t="e">
        <f t="shared" si="81"/>
        <v>#REF!</v>
      </c>
      <c r="AT246" s="186"/>
      <c r="AU246" s="136"/>
      <c r="AV246" s="102"/>
      <c r="AW246" s="102" t="s">
        <v>443</v>
      </c>
      <c r="AX246" s="102"/>
      <c r="AY246" s="116">
        <f>+AE246</f>
        <v>44147.49</v>
      </c>
      <c r="AZ246" s="95">
        <f>AP246</f>
        <v>40206.340981525958</v>
      </c>
      <c r="BA246" s="95">
        <f>AZ246-AY246</f>
        <v>-3941.1490184740396</v>
      </c>
    </row>
    <row r="247" spans="1:53">
      <c r="A247" s="250" t="e">
        <f t="shared" si="82"/>
        <v>#REF!</v>
      </c>
      <c r="B247" s="136"/>
      <c r="C247" s="102"/>
      <c r="D247" s="102" t="s">
        <v>592</v>
      </c>
      <c r="H247" s="116">
        <v>-12600926.692056019</v>
      </c>
      <c r="I247" s="116">
        <v>-14915464.203254994</v>
      </c>
      <c r="J247" s="116">
        <v>-12792807.626873981</v>
      </c>
      <c r="K247" s="116">
        <v>-12985206.071985016</v>
      </c>
      <c r="L247" s="116">
        <v>-13061802.86881602</v>
      </c>
      <c r="M247" s="116">
        <v>-13179780.007031975</v>
      </c>
      <c r="N247" s="116">
        <v>-13297545.273320019</v>
      </c>
      <c r="O247" s="116">
        <v>-12866995.054669017</v>
      </c>
      <c r="P247" s="116">
        <v>-12923073.929264022</v>
      </c>
      <c r="Q247" s="116">
        <v>-12391411.813871957</v>
      </c>
      <c r="R247" s="116">
        <v>-12448102.026141006</v>
      </c>
      <c r="S247" s="116">
        <v>-12933784.639236018</v>
      </c>
      <c r="T247" s="116">
        <v>-12586227.283711961</v>
      </c>
      <c r="U247" s="116">
        <v>-12766682.663012043</v>
      </c>
      <c r="V247" s="116">
        <v>-13508423.98650004</v>
      </c>
      <c r="W247" s="116">
        <v>-13510450.475503996</v>
      </c>
      <c r="X247" s="116">
        <v>-13546304.788845006</v>
      </c>
      <c r="Y247" s="116">
        <v>-13648064.698710006</v>
      </c>
      <c r="Z247" s="116">
        <v>-13719206.710080013</v>
      </c>
      <c r="AA247" s="116">
        <v>-13980648.330860028</v>
      </c>
      <c r="AB247" s="116">
        <v>-13941409.262022022</v>
      </c>
      <c r="AC247" s="116">
        <v>-14058838.210536022</v>
      </c>
      <c r="AD247" s="116">
        <v>-14263175.040319962</v>
      </c>
      <c r="AE247" s="116">
        <v>-8486889.9906229991</v>
      </c>
      <c r="AF247" s="116"/>
      <c r="AG247" s="133">
        <f>(SUM(T247:AD247)+(0.5*AE247)+(0.5*S247))/12</f>
        <v>-13353314.063752552</v>
      </c>
      <c r="AI247" s="133">
        <f>AE247</f>
        <v>-8486889.9906229991</v>
      </c>
      <c r="AJ247" s="133">
        <f>AG247</f>
        <v>-13353314.063752552</v>
      </c>
      <c r="AK247" s="133">
        <f>+'RB FORECAST'!AJ249</f>
        <v>-8575229.2968296334</v>
      </c>
      <c r="AL247" s="133">
        <f>+'RB FORECAST'!AG249</f>
        <v>-7740463.1778588342</v>
      </c>
      <c r="AM247" s="133">
        <f>+'RB FORECAST'!BA249</f>
        <v>-7729245.6000485644</v>
      </c>
      <c r="AN247" s="133">
        <f>+'RB FORECAST'!AW249</f>
        <v>-7835246.5898121502</v>
      </c>
      <c r="AP247" s="133">
        <f t="shared" si="73"/>
        <v>-7729245.6000485644</v>
      </c>
      <c r="AQ247" s="606">
        <f>AP247-AE247</f>
        <v>757644.39057443477</v>
      </c>
      <c r="AR247" s="225">
        <f t="shared" si="80"/>
        <v>240</v>
      </c>
      <c r="AS247" s="225" t="e">
        <f t="shared" si="81"/>
        <v>#REF!</v>
      </c>
      <c r="AT247" s="186"/>
      <c r="AU247" s="136"/>
      <c r="AV247" s="102"/>
      <c r="AW247" s="102" t="s">
        <v>592</v>
      </c>
      <c r="AX247" s="102"/>
      <c r="AY247" s="116">
        <f>+AE247</f>
        <v>-8486889.9906229991</v>
      </c>
      <c r="AZ247" s="95">
        <f>AP247</f>
        <v>-7729245.6000485644</v>
      </c>
      <c r="BA247" s="95">
        <f>AZ247-AY247</f>
        <v>757644.39057443477</v>
      </c>
    </row>
    <row r="248" spans="1:53">
      <c r="A248" s="250" t="e">
        <f t="shared" si="82"/>
        <v>#REF!</v>
      </c>
      <c r="B248" s="136"/>
      <c r="C248" s="102"/>
      <c r="D248" s="102" t="s">
        <v>593</v>
      </c>
      <c r="H248" s="116">
        <v>-371573667.57794398</v>
      </c>
      <c r="I248" s="116">
        <v>-372499190.42674506</v>
      </c>
      <c r="J248" s="116">
        <v>-378424550.99312603</v>
      </c>
      <c r="K248" s="116">
        <v>-381701908.57801497</v>
      </c>
      <c r="L248" s="116">
        <v>-385163894.35118395</v>
      </c>
      <c r="M248" s="116">
        <v>-388642781.18296802</v>
      </c>
      <c r="N248" s="116">
        <v>-392115420.37667996</v>
      </c>
      <c r="O248" s="116">
        <v>-378227079.55533099</v>
      </c>
      <c r="P248" s="116">
        <v>-381073082.45073605</v>
      </c>
      <c r="Q248" s="116">
        <v>-384769223.24612802</v>
      </c>
      <c r="R248" s="116">
        <v>-387812413.28385901</v>
      </c>
      <c r="S248" s="116">
        <v>-388677872.77076399</v>
      </c>
      <c r="T248" s="116">
        <v>-392115614.63628799</v>
      </c>
      <c r="U248" s="116">
        <v>-395114552.57698798</v>
      </c>
      <c r="V248" s="116">
        <v>-403418242.26349998</v>
      </c>
      <c r="W248" s="116">
        <v>-404769750.00449598</v>
      </c>
      <c r="X248" s="116">
        <v>-408456959.66115499</v>
      </c>
      <c r="Y248" s="116">
        <v>-411525290.40128994</v>
      </c>
      <c r="Z248" s="116">
        <v>-415006002.97991997</v>
      </c>
      <c r="AA248" s="116">
        <v>-427049267.46913999</v>
      </c>
      <c r="AB248" s="116">
        <v>-424467687.027978</v>
      </c>
      <c r="AC248" s="116">
        <v>-428042992.30946398</v>
      </c>
      <c r="AD248" s="116">
        <v>-431461044.96968001</v>
      </c>
      <c r="AE248" s="116">
        <v>-257559818.17937699</v>
      </c>
      <c r="AF248" s="116"/>
      <c r="AG248" s="133">
        <f>(SUM(T248:AD248)+(0.5*AE248)+(0.5*S248))/12</f>
        <v>-405378854.14791399</v>
      </c>
      <c r="AI248" s="133">
        <f>AE248</f>
        <v>-257559818.17937699</v>
      </c>
      <c r="AJ248" s="133">
        <f>AG248</f>
        <v>-405378854.14791399</v>
      </c>
      <c r="AK248" s="133">
        <f>+'RB FORECAST'!AJ250</f>
        <v>-260240736.12102714</v>
      </c>
      <c r="AL248" s="133">
        <f>+'RB FORECAST'!AG250</f>
        <v>-234907285.3443616</v>
      </c>
      <c r="AM248" s="133">
        <f>+'RB FORECAST'!BA250</f>
        <v>-234566854.71495339</v>
      </c>
      <c r="AN248" s="133">
        <f>+'RB FORECAST'!AW250</f>
        <v>-237783768.76480064</v>
      </c>
      <c r="AP248" s="133">
        <f t="shared" si="73"/>
        <v>-234566854.71495339</v>
      </c>
      <c r="AQ248" s="606">
        <f>AP248-AE248</f>
        <v>22992963.464423597</v>
      </c>
      <c r="AR248" s="225">
        <f t="shared" si="80"/>
        <v>241</v>
      </c>
      <c r="AS248" s="225" t="e">
        <f t="shared" si="81"/>
        <v>#REF!</v>
      </c>
      <c r="AT248" s="186"/>
      <c r="AU248" s="136"/>
      <c r="AV248" s="102"/>
      <c r="AW248" s="102" t="s">
        <v>593</v>
      </c>
      <c r="AX248" s="102"/>
      <c r="AY248" s="116">
        <f>+AE248</f>
        <v>-257559818.17937699</v>
      </c>
      <c r="AZ248" s="95">
        <f>AP248</f>
        <v>-234566854.71495339</v>
      </c>
      <c r="BA248" s="95">
        <f>AZ248-AY248</f>
        <v>22992963.464423597</v>
      </c>
    </row>
    <row r="249" spans="1:53">
      <c r="A249" s="250" t="e">
        <f t="shared" si="82"/>
        <v>#REF!</v>
      </c>
      <c r="B249" s="136"/>
      <c r="C249" s="102"/>
      <c r="D249" s="102" t="s">
        <v>595</v>
      </c>
      <c r="H249" s="116">
        <v>-11443690.369999999</v>
      </c>
      <c r="I249" s="116">
        <v>-11333367.890000001</v>
      </c>
      <c r="J249" s="116">
        <v>-11224517.640000001</v>
      </c>
      <c r="K249" s="116">
        <v>-11116028.140000001</v>
      </c>
      <c r="L249" s="116">
        <v>-11008098.66</v>
      </c>
      <c r="M249" s="116">
        <v>-10900319.890000001</v>
      </c>
      <c r="N249" s="116">
        <v>-10792761.359999999</v>
      </c>
      <c r="O249" s="116">
        <v>-13888953.99</v>
      </c>
      <c r="P249" s="116">
        <v>-13788364.390000001</v>
      </c>
      <c r="Q249" s="116">
        <v>-13688296.029999999</v>
      </c>
      <c r="R249" s="116">
        <v>-13588690.640000001</v>
      </c>
      <c r="S249" s="116">
        <v>-13636285.140000001</v>
      </c>
      <c r="T249" s="116">
        <v>-13540589.470000001</v>
      </c>
      <c r="U249" s="116">
        <v>-13445085.810000001</v>
      </c>
      <c r="V249" s="116">
        <v>-13349610.35</v>
      </c>
      <c r="W249" s="116">
        <v>-13255293.74</v>
      </c>
      <c r="X249" s="116">
        <v>-13160965.699999999</v>
      </c>
      <c r="Y249" s="116">
        <v>-13066156.550000001</v>
      </c>
      <c r="Z249" s="116">
        <v>-12971648.16</v>
      </c>
      <c r="AA249" s="116">
        <v>-12877996.529999999</v>
      </c>
      <c r="AB249" s="116">
        <v>-12807572.34</v>
      </c>
      <c r="AC249" s="116">
        <v>-12717558.550000001</v>
      </c>
      <c r="AD249" s="116">
        <v>-12628857.24</v>
      </c>
      <c r="AE249" s="116">
        <v>-12817268.039999999</v>
      </c>
      <c r="AF249" s="116"/>
      <c r="AG249" s="133">
        <f>(SUM(T249:AD249)+(0.5*AE249)+(0.5*S249))/12</f>
        <v>-13087342.585833333</v>
      </c>
      <c r="AI249" s="133">
        <f>AE249</f>
        <v>-12817268.039999999</v>
      </c>
      <c r="AJ249" s="133">
        <f>AG249</f>
        <v>-13087342.585833333</v>
      </c>
      <c r="AK249" s="133">
        <f>+'RB FORECAST'!AJ251</f>
        <v>-12950681.877974695</v>
      </c>
      <c r="AL249" s="133">
        <f>+'RB FORECAST'!AG251</f>
        <v>-11689982.009191094</v>
      </c>
      <c r="AM249" s="133">
        <f>+'RB FORECAST'!BA251</f>
        <v>-11673040.738394296</v>
      </c>
      <c r="AN249" s="133">
        <f>+'RB FORECAST'!AW251</f>
        <v>-11833128.014158012</v>
      </c>
      <c r="AP249" s="133">
        <f t="shared" si="73"/>
        <v>-11673040.738394296</v>
      </c>
      <c r="AQ249" s="606">
        <f>AP249-AE249</f>
        <v>1144227.3016057033</v>
      </c>
      <c r="AR249" s="225">
        <f t="shared" si="80"/>
        <v>242</v>
      </c>
      <c r="AS249" s="225" t="e">
        <f t="shared" si="81"/>
        <v>#REF!</v>
      </c>
      <c r="AT249" s="186"/>
      <c r="AU249" s="136"/>
      <c r="AV249" s="102"/>
      <c r="AW249" s="102" t="s">
        <v>595</v>
      </c>
      <c r="AX249" s="102"/>
      <c r="AY249" s="116">
        <f>+AE249</f>
        <v>-12817268.039999999</v>
      </c>
      <c r="AZ249" s="743">
        <f>AP249</f>
        <v>-11673040.738394296</v>
      </c>
      <c r="BA249" s="743">
        <f>AZ249-AY249</f>
        <v>1144227.3016057033</v>
      </c>
    </row>
    <row r="250" spans="1:53">
      <c r="A250" s="250" t="e">
        <f t="shared" si="82"/>
        <v>#REF!</v>
      </c>
      <c r="B250" s="136"/>
      <c r="C250" s="102"/>
      <c r="D250" s="102" t="s">
        <v>170</v>
      </c>
      <c r="H250" s="131">
        <v>-396793916.74000001</v>
      </c>
      <c r="I250" s="131">
        <v>-399850106.30000001</v>
      </c>
      <c r="J250" s="131">
        <v>-403471393.19999999</v>
      </c>
      <c r="K250" s="131">
        <v>-406760333.39999998</v>
      </c>
      <c r="L250" s="131">
        <v>-410119033.5</v>
      </c>
      <c r="M250" s="131">
        <v>-413536266.18000001</v>
      </c>
      <c r="N250" s="131">
        <v>-416947406.43000001</v>
      </c>
      <c r="O250" s="131">
        <v>-405653338.43000001</v>
      </c>
      <c r="P250" s="131">
        <v>-408387770.86000007</v>
      </c>
      <c r="Q250" s="131">
        <v>-411385468.93999994</v>
      </c>
      <c r="R250" s="131">
        <v>-414319340.20999998</v>
      </c>
      <c r="S250" s="131">
        <v>-415749806.48000002</v>
      </c>
      <c r="T250" s="131">
        <v>-418680498.19999999</v>
      </c>
      <c r="U250" s="131">
        <v>-421700718.76000005</v>
      </c>
      <c r="V250" s="131">
        <v>-430587024.00000006</v>
      </c>
      <c r="W250" s="131">
        <v>-431783363.88</v>
      </c>
      <c r="X250" s="131">
        <v>-435349214.44</v>
      </c>
      <c r="Y250" s="131">
        <v>-438361289.83999997</v>
      </c>
      <c r="Z250" s="131">
        <v>-441755630.44</v>
      </c>
      <c r="AA250" s="131">
        <v>-453904250.5</v>
      </c>
      <c r="AB250" s="131">
        <v>-451166057.35000002</v>
      </c>
      <c r="AC250" s="131">
        <v>-454708768.59000003</v>
      </c>
      <c r="AD250" s="131">
        <v>-458183322.56999999</v>
      </c>
      <c r="AE250" s="131">
        <v>-278819828.71999997</v>
      </c>
      <c r="AF250" s="131"/>
      <c r="AG250" s="241">
        <f>SUM(AG246:AG249)</f>
        <v>-431955413.01416653</v>
      </c>
      <c r="AI250" s="241">
        <f>AE250</f>
        <v>-278819828.71999997</v>
      </c>
      <c r="AJ250" s="241">
        <f>AG250</f>
        <v>-431955413.01416653</v>
      </c>
      <c r="AK250" s="241">
        <f>SUM(AK246:AK249)</f>
        <v>-281722040.27841425</v>
      </c>
      <c r="AL250" s="241">
        <f>SUM(AL246:AL249)</f>
        <v>-254297465.83832401</v>
      </c>
      <c r="AM250" s="241">
        <f t="shared" ref="AM250:AN250" si="84">SUM(AM246:AM249)</f>
        <v>-253928934.71241471</v>
      </c>
      <c r="AN250" s="241">
        <f t="shared" si="84"/>
        <v>-257411385.62702399</v>
      </c>
      <c r="AP250" s="241">
        <f t="shared" si="73"/>
        <v>-253928934.71241471</v>
      </c>
      <c r="AQ250" s="612">
        <f>AP250-AE250</f>
        <v>24890894.007585257</v>
      </c>
      <c r="AR250" s="225">
        <f t="shared" si="80"/>
        <v>243</v>
      </c>
      <c r="AS250" s="225" t="e">
        <f t="shared" si="81"/>
        <v>#REF!</v>
      </c>
      <c r="AT250" s="186"/>
      <c r="AU250" s="136"/>
      <c r="AV250" s="102"/>
      <c r="AW250" s="102" t="s">
        <v>170</v>
      </c>
      <c r="AX250" s="102"/>
      <c r="AY250" s="131">
        <f>SUM(AY246:AY249)</f>
        <v>-278819828.71999997</v>
      </c>
      <c r="AZ250" s="95">
        <f>AP250</f>
        <v>-253928934.71241471</v>
      </c>
      <c r="BA250" s="95">
        <f>AZ250-AY250</f>
        <v>24890894.007585257</v>
      </c>
    </row>
    <row r="251" spans="1:53">
      <c r="A251" s="250" t="e">
        <f t="shared" si="82"/>
        <v>#REF!</v>
      </c>
      <c r="B251" s="136"/>
      <c r="C251" s="102"/>
      <c r="D251" s="102"/>
      <c r="AR251" s="225">
        <f t="shared" si="80"/>
        <v>244</v>
      </c>
      <c r="AS251" s="225" t="e">
        <f t="shared" si="81"/>
        <v>#REF!</v>
      </c>
      <c r="AT251" s="186"/>
      <c r="AU251" s="136"/>
      <c r="AV251" s="102"/>
      <c r="AW251" s="102"/>
      <c r="AX251" s="102"/>
      <c r="AY251" s="116"/>
    </row>
    <row r="252" spans="1:53">
      <c r="A252" s="250" t="e">
        <f t="shared" si="82"/>
        <v>#REF!</v>
      </c>
      <c r="B252" s="136">
        <v>2821</v>
      </c>
      <c r="C252" s="102" t="s">
        <v>478</v>
      </c>
      <c r="D252" s="102"/>
      <c r="AR252" s="225">
        <f t="shared" si="80"/>
        <v>245</v>
      </c>
      <c r="AS252" s="225" t="e">
        <f t="shared" si="81"/>
        <v>#REF!</v>
      </c>
      <c r="AT252" s="186"/>
      <c r="AU252" s="136">
        <v>2821</v>
      </c>
      <c r="AV252" s="102" t="s">
        <v>478</v>
      </c>
      <c r="AW252" s="102"/>
      <c r="AX252" s="102"/>
      <c r="AY252" s="116"/>
    </row>
    <row r="253" spans="1:53">
      <c r="A253" s="250" t="e">
        <f t="shared" si="82"/>
        <v>#REF!</v>
      </c>
      <c r="B253" s="136"/>
      <c r="C253" s="102"/>
      <c r="D253" s="102" t="s">
        <v>443</v>
      </c>
      <c r="H253" s="116">
        <v>-700755.31</v>
      </c>
      <c r="I253" s="116">
        <v>-700755.31</v>
      </c>
      <c r="J253" s="116">
        <v>-700755.31</v>
      </c>
      <c r="K253" s="116">
        <v>-700755.31</v>
      </c>
      <c r="L253" s="116">
        <v>-700755.31</v>
      </c>
      <c r="M253" s="116">
        <v>-700755.31</v>
      </c>
      <c r="N253" s="116">
        <v>-700755.31</v>
      </c>
      <c r="O253" s="116">
        <v>-700755.31</v>
      </c>
      <c r="P253" s="116">
        <v>-700755.31</v>
      </c>
      <c r="Q253" s="116">
        <v>-700755.31</v>
      </c>
      <c r="R253" s="116">
        <v>-700755.31</v>
      </c>
      <c r="S253" s="116">
        <v>-700755.31</v>
      </c>
      <c r="T253" s="116">
        <v>-700755.31</v>
      </c>
      <c r="U253" s="116">
        <v>-700755.31</v>
      </c>
      <c r="V253" s="116">
        <v>-700755.31</v>
      </c>
      <c r="W253" s="116">
        <v>-700755.31</v>
      </c>
      <c r="X253" s="116">
        <v>-700755.31</v>
      </c>
      <c r="Y253" s="116">
        <v>-700755.31</v>
      </c>
      <c r="Z253" s="116">
        <v>-700755.31</v>
      </c>
      <c r="AA253" s="116">
        <v>-700755.31</v>
      </c>
      <c r="AB253" s="116">
        <v>-700755.31</v>
      </c>
      <c r="AC253" s="116">
        <v>-700755.31</v>
      </c>
      <c r="AD253" s="116">
        <v>-700755.31</v>
      </c>
      <c r="AE253" s="116">
        <v>-700755.31</v>
      </c>
      <c r="AF253" s="116"/>
      <c r="AG253" s="133">
        <f>(SUM(T253:AD253)+(0.5*AE253)+(0.5*S253))/12</f>
        <v>-700755.31000000017</v>
      </c>
      <c r="AI253" s="133">
        <f>AE253</f>
        <v>-700755.31</v>
      </c>
      <c r="AJ253" s="133">
        <f>AG253</f>
        <v>-700755.31000000017</v>
      </c>
      <c r="AK253" s="133">
        <f>+'RB FORECAST'!AJ255</f>
        <v>-668023.23489249137</v>
      </c>
      <c r="AL253" s="133">
        <f>+'RB FORECAST'!AG255</f>
        <v>-641459.32211356482</v>
      </c>
      <c r="AM253" s="133">
        <f>+'RB FORECAST'!BA255</f>
        <v>-642061.69648425467</v>
      </c>
      <c r="AN253" s="133">
        <f>+'RB FORECAST'!AW255</f>
        <v>-642550.55703436362</v>
      </c>
      <c r="AP253" s="133">
        <f t="shared" si="73"/>
        <v>-642061.69648425467</v>
      </c>
      <c r="AQ253" s="606">
        <f>AP253-AE253</f>
        <v>58693.613515745383</v>
      </c>
      <c r="AR253" s="225">
        <f t="shared" si="80"/>
        <v>246</v>
      </c>
      <c r="AS253" s="225" t="e">
        <f t="shared" si="81"/>
        <v>#REF!</v>
      </c>
      <c r="AT253" s="186"/>
      <c r="AU253" s="136"/>
      <c r="AV253" s="102"/>
      <c r="AW253" s="102" t="s">
        <v>443</v>
      </c>
      <c r="AX253" s="102"/>
      <c r="AY253" s="116">
        <f>+AE253</f>
        <v>-700755.31</v>
      </c>
      <c r="AZ253" s="95">
        <f>AP253</f>
        <v>-642061.69648425467</v>
      </c>
      <c r="BA253" s="95">
        <f>AZ253-AY253</f>
        <v>58693.613515745383</v>
      </c>
    </row>
    <row r="254" spans="1:53">
      <c r="A254" s="250" t="e">
        <f t="shared" si="82"/>
        <v>#REF!</v>
      </c>
      <c r="B254" s="136"/>
      <c r="C254" s="102"/>
      <c r="D254" s="102" t="s">
        <v>592</v>
      </c>
      <c r="H254" s="116">
        <v>0</v>
      </c>
      <c r="I254" s="116">
        <v>0</v>
      </c>
      <c r="J254" s="116">
        <v>0</v>
      </c>
      <c r="K254" s="116">
        <v>0</v>
      </c>
      <c r="L254" s="116">
        <v>0</v>
      </c>
      <c r="M254" s="116">
        <v>0</v>
      </c>
      <c r="N254" s="116">
        <v>0</v>
      </c>
      <c r="O254" s="116">
        <v>0</v>
      </c>
      <c r="P254" s="116">
        <v>0</v>
      </c>
      <c r="Q254" s="116">
        <v>0</v>
      </c>
      <c r="R254" s="116">
        <v>0</v>
      </c>
      <c r="S254" s="116">
        <v>0</v>
      </c>
      <c r="T254" s="116">
        <v>0</v>
      </c>
      <c r="U254" s="116">
        <v>0</v>
      </c>
      <c r="V254" s="116">
        <v>0</v>
      </c>
      <c r="W254" s="116">
        <v>0</v>
      </c>
      <c r="X254" s="116">
        <v>0</v>
      </c>
      <c r="Y254" s="116">
        <v>0</v>
      </c>
      <c r="Z254" s="116">
        <v>0</v>
      </c>
      <c r="AA254" s="116">
        <v>0</v>
      </c>
      <c r="AB254" s="116">
        <v>0</v>
      </c>
      <c r="AC254" s="116">
        <v>0</v>
      </c>
      <c r="AD254" s="116">
        <v>0</v>
      </c>
      <c r="AE254" s="116">
        <v>0</v>
      </c>
      <c r="AF254" s="116"/>
      <c r="AG254" s="133">
        <f>(SUM(T254:AD254)+(0.5*AE254)+(0.5*S254))/12</f>
        <v>0</v>
      </c>
      <c r="AI254" s="133">
        <f>AE254</f>
        <v>0</v>
      </c>
      <c r="AJ254" s="133">
        <f>AG254</f>
        <v>0</v>
      </c>
      <c r="AK254" s="133">
        <f>+'RB FORECAST'!AJ256</f>
        <v>0</v>
      </c>
      <c r="AL254" s="133">
        <f>+'RB FORECAST'!AG256</f>
        <v>0</v>
      </c>
      <c r="AM254" s="133">
        <f>+'RB FORECAST'!BA256</f>
        <v>0</v>
      </c>
      <c r="AN254" s="133">
        <f>+'RB FORECAST'!AW256</f>
        <v>0</v>
      </c>
      <c r="AP254" s="133">
        <f t="shared" si="73"/>
        <v>0</v>
      </c>
      <c r="AQ254" s="606">
        <f>AP254-AE254</f>
        <v>0</v>
      </c>
      <c r="AR254" s="225">
        <f t="shared" si="80"/>
        <v>247</v>
      </c>
      <c r="AS254" s="225" t="e">
        <f t="shared" si="81"/>
        <v>#REF!</v>
      </c>
      <c r="AT254" s="186"/>
      <c r="AU254" s="136"/>
      <c r="AV254" s="102"/>
      <c r="AW254" s="102" t="s">
        <v>592</v>
      </c>
      <c r="AX254" s="102"/>
      <c r="AY254" s="116">
        <f>+AE254</f>
        <v>0</v>
      </c>
      <c r="AZ254" s="95">
        <f>AP254</f>
        <v>0</v>
      </c>
      <c r="BA254" s="95">
        <f>AZ254-AY254</f>
        <v>0</v>
      </c>
    </row>
    <row r="255" spans="1:53">
      <c r="A255" s="250" t="e">
        <f t="shared" si="82"/>
        <v>#REF!</v>
      </c>
      <c r="B255" s="136"/>
      <c r="C255" s="102"/>
      <c r="D255" s="102" t="s">
        <v>593</v>
      </c>
      <c r="H255" s="116">
        <v>-32956877.669999998</v>
      </c>
      <c r="I255" s="116">
        <v>-33218836.77</v>
      </c>
      <c r="J255" s="116">
        <v>-33529232.790000003</v>
      </c>
      <c r="K255" s="116">
        <v>-33811141.949999996</v>
      </c>
      <c r="L255" s="116">
        <v>-34099030.529999994</v>
      </c>
      <c r="M255" s="116">
        <v>-34391936.189999998</v>
      </c>
      <c r="N255" s="116">
        <v>-34684319.639999993</v>
      </c>
      <c r="O255" s="116">
        <v>-55478231.439999998</v>
      </c>
      <c r="P255" s="116">
        <v>-55868106.489999995</v>
      </c>
      <c r="Q255" s="116">
        <v>-56294464.649999999</v>
      </c>
      <c r="R255" s="116">
        <v>-56711167.519999996</v>
      </c>
      <c r="S255" s="116">
        <v>-57918912.489999995</v>
      </c>
      <c r="T255" s="116">
        <v>-58335847.619999997</v>
      </c>
      <c r="U255" s="116">
        <v>-58765600.619999997</v>
      </c>
      <c r="V255" s="116">
        <v>-60030901.839999996</v>
      </c>
      <c r="W255" s="116">
        <v>-60200680.619999997</v>
      </c>
      <c r="X255" s="116">
        <v>-60708223.619999997</v>
      </c>
      <c r="Y255" s="116">
        <v>-61137112.379999995</v>
      </c>
      <c r="Z255" s="116">
        <v>-61620621.139999993</v>
      </c>
      <c r="AA255" s="116">
        <v>-63352241.879999995</v>
      </c>
      <c r="AB255" s="116">
        <v>-62974969.609999999</v>
      </c>
      <c r="AC255" s="116">
        <v>-63479337.649999999</v>
      </c>
      <c r="AD255" s="116">
        <v>-64179921.049999997</v>
      </c>
      <c r="AE255" s="116">
        <v>-64071192.340000004</v>
      </c>
      <c r="AF255" s="116"/>
      <c r="AG255" s="133">
        <f>(SUM(T255:AD255)+(0.5*AE255)+(0.5*S255))/12</f>
        <v>-61315042.53708332</v>
      </c>
      <c r="AI255" s="133">
        <f>AE255</f>
        <v>-64071192.340000004</v>
      </c>
      <c r="AJ255" s="133">
        <f>AG255</f>
        <v>-61315042.53708332</v>
      </c>
      <c r="AK255" s="133">
        <f>+'RB FORECAST'!AJ257</f>
        <v>-61078445.727918647</v>
      </c>
      <c r="AL255" s="133">
        <f>+'RB FORECAST'!AG257</f>
        <v>-58649664.182243899</v>
      </c>
      <c r="AM255" s="133">
        <f>+'RB FORECAST'!BA257</f>
        <v>-58704740.246048741</v>
      </c>
      <c r="AN255" s="133">
        <f>+'RB FORECAST'!AW257</f>
        <v>-58749437.557487562</v>
      </c>
      <c r="AP255" s="133">
        <f t="shared" si="73"/>
        <v>-58704740.246048741</v>
      </c>
      <c r="AQ255" s="606">
        <f>AP255-AE255</f>
        <v>5366452.0939512625</v>
      </c>
      <c r="AR255" s="225">
        <f t="shared" si="80"/>
        <v>248</v>
      </c>
      <c r="AS255" s="225" t="e">
        <f t="shared" si="81"/>
        <v>#REF!</v>
      </c>
      <c r="AT255" s="186"/>
      <c r="AU255" s="136"/>
      <c r="AV255" s="102"/>
      <c r="AW255" s="102" t="s">
        <v>593</v>
      </c>
      <c r="AX255" s="102"/>
      <c r="AY255" s="116">
        <f>+AE255</f>
        <v>-64071192.340000004</v>
      </c>
      <c r="AZ255" s="95">
        <f>AP255</f>
        <v>-58704740.246048741</v>
      </c>
      <c r="BA255" s="95">
        <f>AZ255-AY255</f>
        <v>5366452.0939512625</v>
      </c>
    </row>
    <row r="256" spans="1:53">
      <c r="A256" s="250" t="e">
        <f t="shared" si="82"/>
        <v>#REF!</v>
      </c>
      <c r="B256" s="136"/>
      <c r="C256" s="102"/>
      <c r="D256" s="102" t="s">
        <v>595</v>
      </c>
      <c r="H256" s="116">
        <v>-935998.35</v>
      </c>
      <c r="I256" s="116">
        <v>-935998.35</v>
      </c>
      <c r="J256" s="116">
        <v>-935998.35</v>
      </c>
      <c r="K256" s="116">
        <v>-935998.35</v>
      </c>
      <c r="L256" s="116">
        <v>-935998.35</v>
      </c>
      <c r="M256" s="116">
        <v>-935998.35</v>
      </c>
      <c r="N256" s="116">
        <v>-935998.35</v>
      </c>
      <c r="O256" s="116">
        <v>-1119041.3500000001</v>
      </c>
      <c r="P256" s="116">
        <v>-1119041.3500000001</v>
      </c>
      <c r="Q256" s="116">
        <v>-1119041.3500000001</v>
      </c>
      <c r="R256" s="116">
        <v>-1119041.3500000001</v>
      </c>
      <c r="S256" s="116">
        <v>-1119041.3500000001</v>
      </c>
      <c r="T256" s="116">
        <v>-1119041.3500000001</v>
      </c>
      <c r="U256" s="116">
        <v>-1119041.3500000001</v>
      </c>
      <c r="V256" s="116">
        <v>-1119041.3500000001</v>
      </c>
      <c r="W256" s="116">
        <v>-1119041.3500000001</v>
      </c>
      <c r="X256" s="116">
        <v>-1119041.3500000001</v>
      </c>
      <c r="Y256" s="116">
        <v>-1119041.3500000001</v>
      </c>
      <c r="Z256" s="116">
        <v>-1119041.3500000001</v>
      </c>
      <c r="AA256" s="116">
        <v>-1119041.3500000001</v>
      </c>
      <c r="AB256" s="116">
        <v>-1119041.3500000001</v>
      </c>
      <c r="AC256" s="116">
        <v>-1119041.3500000001</v>
      </c>
      <c r="AD256" s="116">
        <v>-1119041.3500000001</v>
      </c>
      <c r="AE256" s="116">
        <v>-1119041.3500000001</v>
      </c>
      <c r="AF256" s="116"/>
      <c r="AG256" s="133">
        <f>(SUM(T256:AD256)+(0.5*AE256)+(0.5*S256))/12</f>
        <v>-1119041.3499999999</v>
      </c>
      <c r="AI256" s="133">
        <f>AE256</f>
        <v>-1119041.3500000001</v>
      </c>
      <c r="AJ256" s="133">
        <f>AG256</f>
        <v>-1119041.3499999999</v>
      </c>
      <c r="AK256" s="133">
        <f>+'RB FORECAST'!AJ258</f>
        <v>-1066771.2565823591</v>
      </c>
      <c r="AL256" s="133">
        <f>+'RB FORECAST'!AG258</f>
        <v>-1024351.1473185244</v>
      </c>
      <c r="AM256" s="133">
        <f>+'RB FORECAST'!BA258</f>
        <v>-1025313.0834171352</v>
      </c>
      <c r="AN256" s="133">
        <f>+'RB FORECAST'!AW258</f>
        <v>-1026093.7484540589</v>
      </c>
      <c r="AP256" s="133">
        <f t="shared" si="73"/>
        <v>-1025313.0834171352</v>
      </c>
      <c r="AQ256" s="606">
        <f>AP256-AE256</f>
        <v>93728.266582864919</v>
      </c>
      <c r="AR256" s="225">
        <f t="shared" si="80"/>
        <v>249</v>
      </c>
      <c r="AS256" s="225" t="e">
        <f t="shared" si="81"/>
        <v>#REF!</v>
      </c>
      <c r="AT256" s="186"/>
      <c r="AU256" s="136"/>
      <c r="AV256" s="102"/>
      <c r="AW256" s="102" t="s">
        <v>595</v>
      </c>
      <c r="AX256" s="102"/>
      <c r="AY256" s="116">
        <f>+AE256</f>
        <v>-1119041.3500000001</v>
      </c>
      <c r="AZ256" s="743">
        <f>AP256</f>
        <v>-1025313.0834171352</v>
      </c>
      <c r="BA256" s="743">
        <f>AZ256-AY256</f>
        <v>93728.266582864919</v>
      </c>
    </row>
    <row r="257" spans="1:53">
      <c r="A257" s="250" t="e">
        <f t="shared" si="82"/>
        <v>#REF!</v>
      </c>
      <c r="B257" s="136"/>
      <c r="C257" s="102"/>
      <c r="D257" s="102" t="s">
        <v>170</v>
      </c>
      <c r="H257" s="131">
        <v>-34593631.329999998</v>
      </c>
      <c r="I257" s="131">
        <v>-34855590.43</v>
      </c>
      <c r="J257" s="131">
        <v>-35165986.450000003</v>
      </c>
      <c r="K257" s="131">
        <v>-35447895.609999999</v>
      </c>
      <c r="L257" s="131">
        <v>-35735784.189999998</v>
      </c>
      <c r="M257" s="131">
        <v>-36028689.850000001</v>
      </c>
      <c r="N257" s="131">
        <v>-36321073.299999997</v>
      </c>
      <c r="O257" s="131">
        <v>-57298028.100000001</v>
      </c>
      <c r="P257" s="131">
        <v>-57687903.149999999</v>
      </c>
      <c r="Q257" s="131">
        <v>-58114261.310000002</v>
      </c>
      <c r="R257" s="131">
        <v>-58530964.18</v>
      </c>
      <c r="S257" s="131">
        <v>-59738709.149999999</v>
      </c>
      <c r="T257" s="131">
        <v>-60155644.280000001</v>
      </c>
      <c r="U257" s="131">
        <v>-60585397.280000001</v>
      </c>
      <c r="V257" s="131">
        <v>-61850698.5</v>
      </c>
      <c r="W257" s="131">
        <v>-62020477.280000001</v>
      </c>
      <c r="X257" s="131">
        <v>-62528020.280000001</v>
      </c>
      <c r="Y257" s="131">
        <v>-62956909.039999999</v>
      </c>
      <c r="Z257" s="131">
        <v>-63440417.799999997</v>
      </c>
      <c r="AA257" s="131">
        <v>-65172038.539999999</v>
      </c>
      <c r="AB257" s="131">
        <v>-64794766.270000003</v>
      </c>
      <c r="AC257" s="131">
        <v>-65299134.310000002</v>
      </c>
      <c r="AD257" s="131">
        <v>-65999717.710000001</v>
      </c>
      <c r="AE257" s="131">
        <v>-65890989.000000007</v>
      </c>
      <c r="AF257" s="131"/>
      <c r="AG257" s="241">
        <f>SUM(AG253:AG256)</f>
        <v>-63134839.197083324</v>
      </c>
      <c r="AI257" s="241">
        <f>AE257</f>
        <v>-65890989.000000007</v>
      </c>
      <c r="AJ257" s="241">
        <f>AG257</f>
        <v>-63134839.197083324</v>
      </c>
      <c r="AK257" s="241">
        <f>SUM(AK253:AK256)</f>
        <v>-62813240.219393499</v>
      </c>
      <c r="AL257" s="241">
        <f>SUM(AL253:AL256)</f>
        <v>-60315474.651675992</v>
      </c>
      <c r="AM257" s="241">
        <f t="shared" ref="AM257:AN257" si="85">SUM(AM253:AM256)</f>
        <v>-60372115.025950126</v>
      </c>
      <c r="AN257" s="241">
        <f t="shared" si="85"/>
        <v>-60418081.862975985</v>
      </c>
      <c r="AP257" s="241">
        <f t="shared" si="73"/>
        <v>-60372115.025950126</v>
      </c>
      <c r="AQ257" s="612">
        <f>AP257-AE257</f>
        <v>5518873.9740498811</v>
      </c>
      <c r="AR257" s="225">
        <f t="shared" si="80"/>
        <v>250</v>
      </c>
      <c r="AS257" s="225" t="e">
        <f t="shared" si="81"/>
        <v>#REF!</v>
      </c>
      <c r="AT257" s="186"/>
      <c r="AU257" s="136"/>
      <c r="AV257" s="102"/>
      <c r="AW257" s="102" t="s">
        <v>170</v>
      </c>
      <c r="AX257" s="102"/>
      <c r="AY257" s="131">
        <f>SUM(AY253:AY256)</f>
        <v>-65890989.000000007</v>
      </c>
      <c r="AZ257" s="95">
        <f>AP257</f>
        <v>-60372115.025950126</v>
      </c>
      <c r="BA257" s="95">
        <f>AZ257-AY257</f>
        <v>5518873.9740498811</v>
      </c>
    </row>
    <row r="258" spans="1:53">
      <c r="A258" s="250" t="e">
        <f t="shared" si="82"/>
        <v>#REF!</v>
      </c>
      <c r="B258" s="136"/>
      <c r="C258" s="102"/>
      <c r="D258" s="102"/>
      <c r="AR258" s="225">
        <f t="shared" si="80"/>
        <v>251</v>
      </c>
      <c r="AS258" s="225" t="e">
        <f t="shared" si="81"/>
        <v>#REF!</v>
      </c>
      <c r="AT258" s="186"/>
      <c r="AU258" s="136"/>
      <c r="AV258" s="102"/>
      <c r="AW258" s="102"/>
      <c r="AX258" s="102"/>
      <c r="AY258" s="116"/>
    </row>
    <row r="259" spans="1:53">
      <c r="A259" s="250" t="e">
        <f t="shared" si="82"/>
        <v>#REF!</v>
      </c>
      <c r="B259" s="136" t="s">
        <v>172</v>
      </c>
      <c r="C259" s="102" t="s">
        <v>171</v>
      </c>
      <c r="D259" s="102"/>
      <c r="AR259" s="225">
        <f t="shared" si="80"/>
        <v>252</v>
      </c>
      <c r="AS259" s="225" t="e">
        <f t="shared" si="81"/>
        <v>#REF!</v>
      </c>
      <c r="AT259" s="186"/>
      <c r="AU259" s="136" t="s">
        <v>172</v>
      </c>
      <c r="AV259" s="102" t="s">
        <v>171</v>
      </c>
      <c r="AW259" s="102"/>
      <c r="AX259" s="102"/>
      <c r="AY259" s="116"/>
    </row>
    <row r="260" spans="1:53">
      <c r="A260" s="250" t="e">
        <f t="shared" si="82"/>
        <v>#REF!</v>
      </c>
      <c r="B260" s="227"/>
      <c r="C260" s="102" t="s">
        <v>595</v>
      </c>
      <c r="D260" s="102"/>
      <c r="H260" s="116">
        <v>0</v>
      </c>
      <c r="I260" s="116">
        <v>0</v>
      </c>
      <c r="J260" s="116">
        <v>0</v>
      </c>
      <c r="K260" s="116">
        <v>0</v>
      </c>
      <c r="L260" s="116">
        <v>0</v>
      </c>
      <c r="M260" s="116">
        <v>0</v>
      </c>
      <c r="N260" s="116">
        <v>0</v>
      </c>
      <c r="O260" s="116">
        <v>0</v>
      </c>
      <c r="P260" s="116">
        <v>0</v>
      </c>
      <c r="Q260" s="116">
        <v>0</v>
      </c>
      <c r="R260" s="116">
        <v>0</v>
      </c>
      <c r="S260" s="116">
        <v>0</v>
      </c>
      <c r="T260" s="116">
        <v>0</v>
      </c>
      <c r="U260" s="116">
        <v>0</v>
      </c>
      <c r="V260" s="116">
        <v>0</v>
      </c>
      <c r="W260" s="116">
        <v>0</v>
      </c>
      <c r="X260" s="116">
        <v>0</v>
      </c>
      <c r="Y260" s="116">
        <v>0</v>
      </c>
      <c r="Z260" s="116">
        <v>0</v>
      </c>
      <c r="AA260" s="116">
        <v>0</v>
      </c>
      <c r="AB260" s="116">
        <v>0</v>
      </c>
      <c r="AC260" s="116">
        <v>0</v>
      </c>
      <c r="AD260" s="116">
        <v>0</v>
      </c>
      <c r="AE260" s="116">
        <v>0</v>
      </c>
      <c r="AF260" s="116"/>
      <c r="AG260" s="133">
        <f>(SUM(T260:AD260)+(0.5*AE260)+(0.5*S260))/12</f>
        <v>0</v>
      </c>
      <c r="AI260" s="133">
        <f>AE260</f>
        <v>0</v>
      </c>
      <c r="AJ260" s="133">
        <f>AG260</f>
        <v>0</v>
      </c>
      <c r="AK260" s="133">
        <f>+'RB FORECAST'!AJ262</f>
        <v>0</v>
      </c>
      <c r="AL260" s="133">
        <f>+'RB FORECAST'!AG262</f>
        <v>0</v>
      </c>
      <c r="AM260" s="133">
        <f>+'RB FORECAST'!BA262</f>
        <v>0</v>
      </c>
      <c r="AN260" s="133">
        <f>+'RB FORECAST'!AW262</f>
        <v>0</v>
      </c>
      <c r="AP260" s="133">
        <f t="shared" si="73"/>
        <v>0</v>
      </c>
      <c r="AQ260" s="606">
        <f>AP260-AE260</f>
        <v>0</v>
      </c>
      <c r="AR260" s="225">
        <f t="shared" si="80"/>
        <v>253</v>
      </c>
      <c r="AS260" s="225" t="e">
        <f t="shared" si="81"/>
        <v>#REF!</v>
      </c>
      <c r="AT260" s="186"/>
      <c r="AU260" s="227"/>
      <c r="AV260" s="102" t="s">
        <v>595</v>
      </c>
      <c r="AW260" s="102"/>
      <c r="AX260" s="102"/>
      <c r="AY260" s="116">
        <f>+AE260</f>
        <v>0</v>
      </c>
      <c r="AZ260" s="743">
        <f>AP260</f>
        <v>0</v>
      </c>
      <c r="BA260" s="743">
        <f>AZ260-AY260</f>
        <v>0</v>
      </c>
    </row>
    <row r="261" spans="1:53">
      <c r="A261" s="250" t="e">
        <f t="shared" si="82"/>
        <v>#REF!</v>
      </c>
      <c r="B261" s="227"/>
      <c r="C261" s="102" t="s">
        <v>170</v>
      </c>
      <c r="D261" s="102"/>
      <c r="H261" s="131">
        <v>0</v>
      </c>
      <c r="I261" s="131">
        <v>0</v>
      </c>
      <c r="J261" s="131">
        <v>0</v>
      </c>
      <c r="K261" s="131">
        <v>0</v>
      </c>
      <c r="L261" s="131">
        <v>0</v>
      </c>
      <c r="M261" s="131">
        <v>0</v>
      </c>
      <c r="N261" s="131">
        <v>0</v>
      </c>
      <c r="O261" s="131">
        <v>0</v>
      </c>
      <c r="P261" s="131">
        <v>0</v>
      </c>
      <c r="Q261" s="131">
        <v>0</v>
      </c>
      <c r="R261" s="131">
        <v>0</v>
      </c>
      <c r="S261" s="131">
        <v>0</v>
      </c>
      <c r="T261" s="131">
        <v>0</v>
      </c>
      <c r="U261" s="131">
        <v>0</v>
      </c>
      <c r="V261" s="131">
        <v>0</v>
      </c>
      <c r="W261" s="131">
        <v>0</v>
      </c>
      <c r="X261" s="131">
        <v>0</v>
      </c>
      <c r="Y261" s="131">
        <v>0</v>
      </c>
      <c r="Z261" s="131">
        <v>0</v>
      </c>
      <c r="AA261" s="131">
        <v>0</v>
      </c>
      <c r="AB261" s="131">
        <v>0</v>
      </c>
      <c r="AC261" s="131">
        <v>0</v>
      </c>
      <c r="AD261" s="131">
        <v>0</v>
      </c>
      <c r="AE261" s="131">
        <v>0</v>
      </c>
      <c r="AF261" s="131"/>
      <c r="AG261" s="241">
        <f>+AG260</f>
        <v>0</v>
      </c>
      <c r="AI261" s="241">
        <f>AE261</f>
        <v>0</v>
      </c>
      <c r="AJ261" s="241">
        <f>AG261</f>
        <v>0</v>
      </c>
      <c r="AK261" s="241">
        <f>+AK260</f>
        <v>0</v>
      </c>
      <c r="AL261" s="241">
        <f>+AL260</f>
        <v>0</v>
      </c>
      <c r="AM261" s="241">
        <f t="shared" ref="AM261:AN261" si="86">+AM260</f>
        <v>0</v>
      </c>
      <c r="AN261" s="241">
        <f t="shared" si="86"/>
        <v>0</v>
      </c>
      <c r="AP261" s="241">
        <f t="shared" si="73"/>
        <v>0</v>
      </c>
      <c r="AQ261" s="612">
        <f>AP261-AE261</f>
        <v>0</v>
      </c>
      <c r="AR261" s="225">
        <f t="shared" si="80"/>
        <v>254</v>
      </c>
      <c r="AS261" s="225" t="e">
        <f t="shared" si="81"/>
        <v>#REF!</v>
      </c>
      <c r="AT261" s="186"/>
      <c r="AU261" s="227"/>
      <c r="AV261" s="102" t="s">
        <v>170</v>
      </c>
      <c r="AW261" s="102"/>
      <c r="AX261" s="102"/>
      <c r="AY261" s="131">
        <f>SUM(AY260)</f>
        <v>0</v>
      </c>
      <c r="AZ261" s="95">
        <f>AP261</f>
        <v>0</v>
      </c>
      <c r="BA261" s="95">
        <f>AZ261-AY261</f>
        <v>0</v>
      </c>
    </row>
    <row r="262" spans="1:53" ht="13.5" thickBot="1">
      <c r="A262" s="250" t="e">
        <f t="shared" si="82"/>
        <v>#REF!</v>
      </c>
      <c r="B262" s="227"/>
      <c r="C262" s="102"/>
      <c r="D262" s="102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42"/>
      <c r="AI262" s="242"/>
      <c r="AJ262" s="242"/>
      <c r="AK262" s="242"/>
      <c r="AL262" s="242"/>
      <c r="AM262" s="242"/>
      <c r="AN262" s="242"/>
      <c r="AP262" s="242"/>
      <c r="AQ262" s="614"/>
      <c r="AR262" s="225">
        <f t="shared" si="80"/>
        <v>255</v>
      </c>
      <c r="AS262" s="225" t="e">
        <f t="shared" si="81"/>
        <v>#REF!</v>
      </c>
      <c r="AT262" s="186"/>
      <c r="AU262" s="227"/>
      <c r="AV262" s="102"/>
      <c r="AW262" s="102"/>
      <c r="AX262" s="102"/>
      <c r="AY262" s="235"/>
      <c r="AZ262" s="744"/>
      <c r="BA262" s="744"/>
    </row>
    <row r="263" spans="1:53" ht="13.5" thickTop="1">
      <c r="A263" s="250" t="e">
        <f t="shared" si="82"/>
        <v>#REF!</v>
      </c>
      <c r="B263" s="36" t="s">
        <v>664</v>
      </c>
      <c r="C263" s="102"/>
      <c r="D263" s="102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33"/>
      <c r="AI263" s="133"/>
      <c r="AJ263" s="133"/>
      <c r="AK263" s="133"/>
      <c r="AL263" s="133"/>
      <c r="AM263" s="133"/>
      <c r="AN263" s="133"/>
      <c r="AP263" s="133"/>
      <c r="AQ263" s="606"/>
      <c r="AR263" s="225">
        <f t="shared" si="80"/>
        <v>256</v>
      </c>
      <c r="AS263" s="225" t="e">
        <f t="shared" si="81"/>
        <v>#REF!</v>
      </c>
      <c r="AT263" s="186"/>
      <c r="AU263" s="36" t="s">
        <v>664</v>
      </c>
      <c r="AV263" s="102"/>
      <c r="AW263" s="102"/>
      <c r="AX263" s="102"/>
      <c r="AY263" s="116"/>
    </row>
    <row r="264" spans="1:53">
      <c r="A264" s="250" t="e">
        <f t="shared" si="82"/>
        <v>#REF!</v>
      </c>
      <c r="B264" s="227"/>
      <c r="C264" s="102" t="s">
        <v>443</v>
      </c>
      <c r="D264" s="102"/>
      <c r="H264" s="106">
        <v>29650466.099999998</v>
      </c>
      <c r="I264" s="106">
        <v>19381446.419999998</v>
      </c>
      <c r="J264" s="106">
        <v>5427831.3399999999</v>
      </c>
      <c r="K264" s="106">
        <v>1796387.62</v>
      </c>
      <c r="L264" s="106">
        <v>9560398.5</v>
      </c>
      <c r="M264" s="106">
        <v>21529446.66</v>
      </c>
      <c r="N264" s="106">
        <v>37691819.309999995</v>
      </c>
      <c r="O264" s="106">
        <v>51144437.490000002</v>
      </c>
      <c r="P264" s="106">
        <v>65922314.549999997</v>
      </c>
      <c r="Q264" s="106">
        <v>68855494.050000012</v>
      </c>
      <c r="R264" s="106">
        <v>71596366.329999998</v>
      </c>
      <c r="S264" s="106">
        <v>48130236.519999996</v>
      </c>
      <c r="T264" s="106">
        <v>31938503.230000004</v>
      </c>
      <c r="U264" s="106">
        <v>20668735.370000001</v>
      </c>
      <c r="V264" s="106">
        <v>7925151.6400000006</v>
      </c>
      <c r="W264" s="106">
        <v>4315816.66</v>
      </c>
      <c r="X264" s="106">
        <v>9008346.9500000011</v>
      </c>
      <c r="Y264" s="106">
        <v>20946133.84</v>
      </c>
      <c r="Z264" s="106">
        <v>33687414.439999998</v>
      </c>
      <c r="AA264" s="106">
        <v>47320515.139999993</v>
      </c>
      <c r="AB264" s="106">
        <v>58209283.420000002</v>
      </c>
      <c r="AC264" s="106">
        <v>58440481.179999992</v>
      </c>
      <c r="AD264" s="106">
        <v>58757673.229999997</v>
      </c>
      <c r="AE264" s="106">
        <v>52233148.140000001</v>
      </c>
      <c r="AF264" s="106"/>
      <c r="AG264" s="243">
        <f>AG203+AG211+AG218+AG239+AG246+AG253</f>
        <v>52053191.43333333</v>
      </c>
      <c r="AI264" s="243">
        <f>AE264</f>
        <v>52233148.140000001</v>
      </c>
      <c r="AJ264" s="243">
        <f>AG264</f>
        <v>52053191.43333333</v>
      </c>
      <c r="AK264" s="243">
        <f>AK203+AK211+AK218+AK239+AK246+AK253</f>
        <v>52266995.137772277</v>
      </c>
      <c r="AL264" s="243">
        <f>AL203+AL211+AL218+AL239+AL246+AL253</f>
        <v>52289872.120973945</v>
      </c>
      <c r="AM264" s="243">
        <f t="shared" ref="AM264:AN264" si="87">AM203+AM211+AM218+AM239+AM246+AM253</f>
        <v>52289211.394497275</v>
      </c>
      <c r="AN264" s="243">
        <f t="shared" si="87"/>
        <v>52289273.934712425</v>
      </c>
      <c r="AP264" s="243">
        <f t="shared" si="73"/>
        <v>52289211.394497275</v>
      </c>
      <c r="AQ264" s="610">
        <f>AQ203+AQ211+AQ218+AQ239+AQ246+AQ253</f>
        <v>56063.254497271344</v>
      </c>
      <c r="AR264" s="225">
        <f t="shared" si="80"/>
        <v>257</v>
      </c>
      <c r="AS264" s="225" t="e">
        <f t="shared" si="81"/>
        <v>#REF!</v>
      </c>
      <c r="AT264" s="186"/>
      <c r="AU264" s="227"/>
      <c r="AV264" s="102" t="s">
        <v>443</v>
      </c>
      <c r="AW264" s="102"/>
      <c r="AX264" s="102"/>
      <c r="AY264" s="106">
        <f t="shared" ref="AY264" si="88">AY203+AY211+AY218+AY239+AY246+AY253</f>
        <v>52233148.140000001</v>
      </c>
      <c r="AZ264" s="116">
        <f>+AZ203+AZ239+AZ246+AZ253+AZ211+AZ218</f>
        <v>52289211.394497275</v>
      </c>
      <c r="BA264" s="95">
        <f>AZ264-AY264</f>
        <v>56063.254497274756</v>
      </c>
    </row>
    <row r="265" spans="1:53">
      <c r="A265" s="250" t="e">
        <f t="shared" si="82"/>
        <v>#REF!</v>
      </c>
      <c r="B265" s="227"/>
      <c r="C265" s="102" t="s">
        <v>592</v>
      </c>
      <c r="D265" s="102"/>
      <c r="H265" s="106">
        <v>-12882818.583325291</v>
      </c>
      <c r="I265" s="106">
        <v>-15220642.779621672</v>
      </c>
      <c r="J265" s="106">
        <v>-13063800.748124151</v>
      </c>
      <c r="K265" s="106">
        <v>-13211768.732711006</v>
      </c>
      <c r="L265" s="106">
        <v>-13299867.566236492</v>
      </c>
      <c r="M265" s="106">
        <v>-13506685.259558627</v>
      </c>
      <c r="N265" s="106">
        <v>-13519528.154297493</v>
      </c>
      <c r="O265" s="106">
        <v>-13163121.825909076</v>
      </c>
      <c r="P265" s="106">
        <v>-13210593.991381664</v>
      </c>
      <c r="Q265" s="106">
        <v>-12578661.376343012</v>
      </c>
      <c r="R265" s="106">
        <v>-12590465.433625914</v>
      </c>
      <c r="S265" s="106">
        <v>-12805980.462124998</v>
      </c>
      <c r="T265" s="106">
        <v>-12441421.267835226</v>
      </c>
      <c r="U265" s="106">
        <v>-12567989.153335219</v>
      </c>
      <c r="V265" s="106">
        <v>-13469687.548793526</v>
      </c>
      <c r="W265" s="106">
        <v>-13511566.633602096</v>
      </c>
      <c r="X265" s="106">
        <v>-13480835.675621474</v>
      </c>
      <c r="Y265" s="106">
        <v>-13550087.682247598</v>
      </c>
      <c r="Z265" s="106">
        <v>-13729994.522376619</v>
      </c>
      <c r="AA265" s="106">
        <v>-13960950.104232231</v>
      </c>
      <c r="AB265" s="106">
        <v>-13737427.241939941</v>
      </c>
      <c r="AC265" s="106">
        <v>-13899998.60429541</v>
      </c>
      <c r="AD265" s="106">
        <v>-14129930.737284578</v>
      </c>
      <c r="AE265" s="106">
        <v>-6486585.5896653598</v>
      </c>
      <c r="AF265" s="106"/>
      <c r="AG265" s="243">
        <f ca="1">AG198+AG212+AG219+AG225+AG230+AG240+AG247+AG254</f>
        <v>-13177837.56201495</v>
      </c>
      <c r="AI265" s="243">
        <f>AE265</f>
        <v>-6486585.5896653598</v>
      </c>
      <c r="AJ265" s="243">
        <f ca="1">AG265</f>
        <v>-13177837.56201495</v>
      </c>
      <c r="AK265" s="243">
        <f>AK198+AK212+AK219+AK225+AK230+AK240+AK247+AK254</f>
        <v>-8271072.7019250188</v>
      </c>
      <c r="AL265" s="243">
        <f>AL198+AL212+AL219+AL225+AL230+AL240+AL247+AL254</f>
        <v>-7389522.5208956804</v>
      </c>
      <c r="AM265" s="243">
        <f t="shared" ref="AM265:AN265" si="89">AM198+AM212+AM219+AM225+AM230+AM240+AM247+AM254</f>
        <v>-7336577.9328607582</v>
      </c>
      <c r="AN265" s="243">
        <f t="shared" si="89"/>
        <v>-7362078.0341909332</v>
      </c>
      <c r="AP265" s="243">
        <f t="shared" si="73"/>
        <v>-7336577.9328607582</v>
      </c>
      <c r="AQ265" s="610">
        <f>AQ198+AQ212+AQ219+AQ225+AQ230+AQ240+AQ247+AQ254</f>
        <v>-849992.34319539857</v>
      </c>
      <c r="AR265" s="225">
        <f t="shared" si="80"/>
        <v>258</v>
      </c>
      <c r="AS265" s="225" t="e">
        <f t="shared" si="81"/>
        <v>#REF!</v>
      </c>
      <c r="AT265" s="186"/>
      <c r="AU265" s="227"/>
      <c r="AV265" s="102" t="s">
        <v>592</v>
      </c>
      <c r="AW265" s="102"/>
      <c r="AX265" s="102"/>
      <c r="AY265" s="106">
        <f t="shared" ref="AY265" si="90">AY198+AY212+AY219+AY225+AY230+AY240+AY247+AY254</f>
        <v>-6486585.5896653598</v>
      </c>
      <c r="AZ265" s="106">
        <f>AZ198+AZ212+AZ219+AZ225+AZ230+AZ240+AZ247+AZ254</f>
        <v>-7336577.9328607582</v>
      </c>
      <c r="BA265" s="95">
        <f>AZ265-AY265</f>
        <v>-849992.34319539834</v>
      </c>
    </row>
    <row r="266" spans="1:53">
      <c r="A266" s="250" t="e">
        <f t="shared" si="82"/>
        <v>#REF!</v>
      </c>
      <c r="B266" s="227"/>
      <c r="C266" s="102" t="s">
        <v>593</v>
      </c>
      <c r="D266" s="102"/>
      <c r="H266" s="106">
        <v>-415864006.10667473</v>
      </c>
      <c r="I266" s="106">
        <v>-417759333.18037838</v>
      </c>
      <c r="J266" s="106">
        <v>-423860830.47187591</v>
      </c>
      <c r="K266" s="106">
        <v>-425176121.98728895</v>
      </c>
      <c r="L266" s="106">
        <v>-429256897.69376343</v>
      </c>
      <c r="M266" s="106">
        <v>-436017234.34044135</v>
      </c>
      <c r="N266" s="106">
        <v>-436244067.76570249</v>
      </c>
      <c r="O266" s="106">
        <v>-445216144.12409091</v>
      </c>
      <c r="P266" s="106">
        <v>-448528947.2786184</v>
      </c>
      <c r="Q266" s="106">
        <v>-450200526.46365696</v>
      </c>
      <c r="R266" s="106">
        <v>-451858524.14637411</v>
      </c>
      <c r="S266" s="106">
        <v>-445811900.80787504</v>
      </c>
      <c r="T266" s="106">
        <v>-447750194.96216476</v>
      </c>
      <c r="U266" s="106">
        <v>-449396761.81666481</v>
      </c>
      <c r="V266" s="106">
        <v>-463225166.48120648</v>
      </c>
      <c r="W266" s="106">
        <v>-465708170.46639788</v>
      </c>
      <c r="X266" s="106">
        <v>-469365438.16437852</v>
      </c>
      <c r="Y266" s="106">
        <v>-471925222.52775234</v>
      </c>
      <c r="Z266" s="106">
        <v>-479162826.05762333</v>
      </c>
      <c r="AA266" s="106">
        <v>-492214551.91576779</v>
      </c>
      <c r="AB266" s="106">
        <v>-483476588.14806008</v>
      </c>
      <c r="AC266" s="106">
        <v>-488405910.87570459</v>
      </c>
      <c r="AD266" s="106">
        <v>-492834467.77271539</v>
      </c>
      <c r="AE266" s="106">
        <v>-245743333.64033464</v>
      </c>
      <c r="AF266" s="106"/>
      <c r="AG266" s="243">
        <f ca="1">AG199+AG213+AG220+AG226+AG231+AG241+AG248+AG255</f>
        <v>-462436253.15548491</v>
      </c>
      <c r="AI266" s="243">
        <f>AE266</f>
        <v>-245743333.64033464</v>
      </c>
      <c r="AJ266" s="243">
        <f ca="1">AG266</f>
        <v>-462436253.15548491</v>
      </c>
      <c r="AK266" s="243">
        <f>AK199+AK213+AK220+AK226+AK231+AK241+AK248+AK255</f>
        <v>-310226691.54527652</v>
      </c>
      <c r="AL266" s="243">
        <f>AL199+AL213+AL220+AL226+AL231+AL241+AL248+AL255</f>
        <v>-281103367.96160305</v>
      </c>
      <c r="AM266" s="243">
        <f t="shared" ref="AM266:AN266" si="91">AM199+AM213+AM220+AM226+AM231+AM241+AM248+AM255</f>
        <v>-280260342.56950766</v>
      </c>
      <c r="AN266" s="243">
        <f t="shared" si="91"/>
        <v>-280533831.86790943</v>
      </c>
      <c r="AP266" s="243">
        <f t="shared" si="73"/>
        <v>-280260342.56950766</v>
      </c>
      <c r="AQ266" s="610">
        <f>AQ199+AQ213+AQ220+AQ226+AQ231+AQ241+AQ248+AQ255</f>
        <v>-34517008.92917306</v>
      </c>
      <c r="AR266" s="225">
        <f t="shared" si="80"/>
        <v>259</v>
      </c>
      <c r="AS266" s="225" t="e">
        <f t="shared" si="81"/>
        <v>#REF!</v>
      </c>
      <c r="AT266" s="186"/>
      <c r="AU266" s="227"/>
      <c r="AV266" s="102" t="s">
        <v>593</v>
      </c>
      <c r="AW266" s="102"/>
      <c r="AX266" s="102"/>
      <c r="AY266" s="106">
        <f t="shared" ref="AY266" si="92">AY199+AY213+AY220+AY226+AY231+AY241+AY248+AY255</f>
        <v>-245743333.64033464</v>
      </c>
      <c r="AZ266" s="106">
        <f>AZ199+AZ213+AZ220+AZ226+AZ231+AZ241+AZ248+AZ255</f>
        <v>-280260342.56950766</v>
      </c>
      <c r="BA266" s="95">
        <f>AZ266-AY266</f>
        <v>-34517008.929173023</v>
      </c>
    </row>
    <row r="267" spans="1:53">
      <c r="A267" s="250" t="e">
        <f t="shared" si="82"/>
        <v>#REF!</v>
      </c>
      <c r="B267" s="227"/>
      <c r="C267" s="102" t="s">
        <v>595</v>
      </c>
      <c r="D267" s="102"/>
      <c r="H267" s="106">
        <v>-9019378.9499999993</v>
      </c>
      <c r="I267" s="106">
        <v>-9217291.1799999997</v>
      </c>
      <c r="J267" s="106">
        <v>-9474455.8800000008</v>
      </c>
      <c r="K267" s="106">
        <v>-10138054.6</v>
      </c>
      <c r="L267" s="106">
        <v>-9044448.4800000004</v>
      </c>
      <c r="M267" s="106">
        <v>-7694977.6300000008</v>
      </c>
      <c r="N267" s="106">
        <v>-8636706.5999999996</v>
      </c>
      <c r="O267" s="106">
        <v>-11397779.15</v>
      </c>
      <c r="P267" s="106">
        <v>-11347321.08</v>
      </c>
      <c r="Q267" s="106">
        <v>-11989120.589999998</v>
      </c>
      <c r="R267" s="106">
        <v>-11586311.9</v>
      </c>
      <c r="S267" s="106">
        <v>-11328307.779999999</v>
      </c>
      <c r="T267" s="106">
        <v>-10985006.68</v>
      </c>
      <c r="U267" s="106">
        <v>-11431516.460000001</v>
      </c>
      <c r="V267" s="106">
        <v>-11833685.369999999</v>
      </c>
      <c r="W267" s="106">
        <v>-12109124.299999999</v>
      </c>
      <c r="X267" s="106">
        <v>-10678810.029999999</v>
      </c>
      <c r="Y267" s="106">
        <v>-9335041.1799999997</v>
      </c>
      <c r="Z267" s="106">
        <v>-9343596.3599999994</v>
      </c>
      <c r="AA267" s="106">
        <v>-9646246.209999999</v>
      </c>
      <c r="AB267" s="106">
        <v>-10064897.289999999</v>
      </c>
      <c r="AC267" s="106">
        <v>-10784966.110000001</v>
      </c>
      <c r="AD267" s="106">
        <v>-10406627.869999999</v>
      </c>
      <c r="AE267" s="106">
        <v>-10055701.27</v>
      </c>
      <c r="AF267" s="106"/>
      <c r="AG267" s="243">
        <f>AG207+AG214+AG221+AG235+AG242+AG249+AG256+AG260</f>
        <v>-10609293.532083334</v>
      </c>
      <c r="AI267" s="243">
        <f>AE267</f>
        <v>-10055701.27</v>
      </c>
      <c r="AJ267" s="243">
        <f>AG267</f>
        <v>-10609293.532083334</v>
      </c>
      <c r="AK267" s="243">
        <f>AK207+AK214+AK221+AK235+AK242+AK249+AK256+AK260</f>
        <v>-10401114.296957469</v>
      </c>
      <c r="AL267" s="243">
        <f>AL207+AL214+AL221+AL235+AL242+AL249+AL256+AL260</f>
        <v>-8833197.78650962</v>
      </c>
      <c r="AM267" s="243">
        <f t="shared" ref="AM267:AN267" si="93">AM207+AM214+AM221+AM235+AM242+AM249+AM256+AM260</f>
        <v>-9081751.3593114298</v>
      </c>
      <c r="AN267" s="243">
        <f t="shared" si="93"/>
        <v>-8978086.3926120717</v>
      </c>
      <c r="AP267" s="243">
        <f t="shared" si="73"/>
        <v>-9081751.3593114298</v>
      </c>
      <c r="AQ267" s="610">
        <f>AQ207+AQ214+AQ221+AQ235+AQ242+AQ249+AQ256+AQ260</f>
        <v>973949.91068856814</v>
      </c>
      <c r="AR267" s="225">
        <f t="shared" si="80"/>
        <v>260</v>
      </c>
      <c r="AS267" s="225" t="e">
        <f t="shared" si="81"/>
        <v>#REF!</v>
      </c>
      <c r="AT267" s="186"/>
      <c r="AU267" s="227"/>
      <c r="AV267" s="102" t="s">
        <v>595</v>
      </c>
      <c r="AW267" s="102"/>
      <c r="AX267" s="102"/>
      <c r="AY267" s="106">
        <f t="shared" ref="AY267" si="94">AY207+AY214+AY221+AY235+AY242+AY249+AY256+AY260</f>
        <v>-10055701.27</v>
      </c>
      <c r="AZ267" s="106">
        <f>AZ207+AZ214+AZ221+AZ235+AZ242+AZ249+AZ256+AZ260</f>
        <v>-9081751.3593114298</v>
      </c>
      <c r="BA267" s="95">
        <f>AZ267-AY267</f>
        <v>973949.91068856977</v>
      </c>
    </row>
    <row r="268" spans="1:53" ht="13.5" thickBot="1">
      <c r="A268" s="250" t="e">
        <f t="shared" si="82"/>
        <v>#REF!</v>
      </c>
      <c r="B268" s="227"/>
      <c r="C268" s="102"/>
      <c r="D268" s="102"/>
      <c r="E268" s="30"/>
      <c r="F268" s="30"/>
      <c r="G268" s="3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63"/>
      <c r="AI268" s="263"/>
      <c r="AJ268" s="263"/>
      <c r="AK268" s="263"/>
      <c r="AL268" s="263"/>
      <c r="AM268" s="263"/>
      <c r="AN268" s="263"/>
      <c r="AP268" s="263">
        <f t="shared" ref="AP268:AP279" si="95">HLOOKUP($AP$8,RateBaseScenarios,AR268,FALSE)</f>
        <v>0</v>
      </c>
      <c r="AQ268" s="615"/>
      <c r="AR268" s="225">
        <f t="shared" si="80"/>
        <v>261</v>
      </c>
      <c r="AS268" s="225" t="e">
        <f t="shared" si="81"/>
        <v>#REF!</v>
      </c>
      <c r="AT268" s="186"/>
      <c r="AU268" s="227"/>
      <c r="AV268" s="102"/>
      <c r="AW268" s="102"/>
      <c r="AX268" s="102"/>
      <c r="AY268" s="235"/>
      <c r="AZ268" s="744"/>
      <c r="BA268" s="744"/>
    </row>
    <row r="269" spans="1:53" ht="13.5" thickTop="1">
      <c r="A269" s="250" t="e">
        <f t="shared" si="82"/>
        <v>#REF!</v>
      </c>
      <c r="B269" s="227"/>
      <c r="C269" s="102"/>
      <c r="D269" s="102"/>
      <c r="E269" s="30"/>
      <c r="F269" s="30"/>
      <c r="G269" s="30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243"/>
      <c r="AI269" s="243"/>
      <c r="AJ269" s="243"/>
      <c r="AK269" s="243"/>
      <c r="AL269" s="243"/>
      <c r="AM269" s="243"/>
      <c r="AN269" s="243"/>
      <c r="AP269" s="243">
        <f t="shared" si="95"/>
        <v>0</v>
      </c>
      <c r="AQ269" s="610"/>
      <c r="AR269" s="225">
        <f t="shared" si="80"/>
        <v>262</v>
      </c>
      <c r="AS269" s="225" t="e">
        <f t="shared" si="81"/>
        <v>#REF!</v>
      </c>
      <c r="AT269" s="186"/>
      <c r="AU269" s="227"/>
      <c r="AV269" s="102"/>
      <c r="AW269" s="102"/>
      <c r="AX269" s="102"/>
      <c r="AY269" s="116"/>
    </row>
    <row r="270" spans="1:53">
      <c r="A270" s="250" t="e">
        <f t="shared" si="82"/>
        <v>#REF!</v>
      </c>
      <c r="B270" s="227"/>
      <c r="C270" s="49" t="s">
        <v>664</v>
      </c>
      <c r="D270" s="102"/>
      <c r="H270" s="116">
        <v>-408115737.5399999</v>
      </c>
      <c r="I270" s="116">
        <v>-422815820.72000009</v>
      </c>
      <c r="J270" s="116">
        <v>-440971255.75999999</v>
      </c>
      <c r="K270" s="116">
        <v>-446729557.70000005</v>
      </c>
      <c r="L270" s="116">
        <v>-442040815.23999995</v>
      </c>
      <c r="M270" s="116">
        <v>-435689450.56999999</v>
      </c>
      <c r="N270" s="116">
        <v>-420708483.21000004</v>
      </c>
      <c r="O270" s="116">
        <v>-418632607.61000001</v>
      </c>
      <c r="P270" s="116">
        <v>-407164547.80000007</v>
      </c>
      <c r="Q270" s="116">
        <v>-405912814.38</v>
      </c>
      <c r="R270" s="116">
        <v>-404438935.14999998</v>
      </c>
      <c r="S270" s="116">
        <v>-421815952.52999991</v>
      </c>
      <c r="T270" s="116">
        <v>-439238119.68000001</v>
      </c>
      <c r="U270" s="116">
        <v>-452727532.06000006</v>
      </c>
      <c r="V270" s="116">
        <v>-480603387.76000011</v>
      </c>
      <c r="W270" s="116">
        <v>-487013044.73999995</v>
      </c>
      <c r="X270" s="116">
        <v>-484516736.92000002</v>
      </c>
      <c r="Y270" s="116">
        <v>-473864217.54999995</v>
      </c>
      <c r="Z270" s="116">
        <v>-468549002.5</v>
      </c>
      <c r="AA270" s="116">
        <v>-468501233.09000003</v>
      </c>
      <c r="AB270" s="116">
        <v>-449069629.25999999</v>
      </c>
      <c r="AC270" s="116">
        <v>-454650394.40999997</v>
      </c>
      <c r="AD270" s="116">
        <v>-458613353.14999998</v>
      </c>
      <c r="AE270" s="116">
        <v>-210052472.35999995</v>
      </c>
      <c r="AF270" s="116"/>
      <c r="AG270" s="133">
        <f>+AG261+AG257+AG250+AG243+AG236+AG232+AG227+AG222+AG215+AG208+AG200+AG204</f>
        <v>-434170192.81624979</v>
      </c>
      <c r="AI270" s="133">
        <f>+AI261+AI257+AI250+AI243+AI236+AI232+AI227+AI222+AI215+AI208+AI200+AI204</f>
        <v>-210052472.35999995</v>
      </c>
      <c r="AJ270" s="133">
        <f ca="1">+AJ261+AJ257+AJ250+AJ243+AJ236+AJ232+AJ227+AJ222+AJ215+AJ208+AJ200+AJ204</f>
        <v>-434170192.81624979</v>
      </c>
      <c r="AK270" s="133">
        <f>SUM(AK264:AK267)</f>
        <v>-276631883.40638673</v>
      </c>
      <c r="AL270" s="133">
        <f>+AL261+AL257+AL250+AL243+AL236+AL232+AL227+AL222+AL215+AL208+AL200+AL204</f>
        <v>-245036216.14803439</v>
      </c>
      <c r="AM270" s="133">
        <f t="shared" ref="AM270:AN270" si="96">+AM261+AM257+AM250+AM243+AM236+AM232+AM227+AM222+AM215+AM208+AM200+AM204</f>
        <v>-244389460.46718258</v>
      </c>
      <c r="AN270" s="133">
        <f t="shared" si="96"/>
        <v>-244584722.36000001</v>
      </c>
      <c r="AO270" s="30"/>
      <c r="AP270" s="133">
        <f t="shared" si="95"/>
        <v>-244389460.46718258</v>
      </c>
      <c r="AQ270" s="606">
        <f>+AQ261+AQ257+AQ250+AQ243+AQ236+AQ232+AQ227+AQ222+AQ215+AQ208+AQ200+AQ204</f>
        <v>-34336988.107182607</v>
      </c>
      <c r="AR270" s="225">
        <f t="shared" si="80"/>
        <v>263</v>
      </c>
      <c r="AS270" s="225" t="e">
        <f t="shared" si="81"/>
        <v>#REF!</v>
      </c>
      <c r="AT270" s="186"/>
      <c r="AU270" s="227"/>
      <c r="AV270" s="49" t="s">
        <v>664</v>
      </c>
      <c r="AW270" s="102"/>
      <c r="AX270" s="102"/>
      <c r="AY270" s="116">
        <f>SUM(AY264:AY267)</f>
        <v>-210052472.36000001</v>
      </c>
      <c r="AZ270" s="116">
        <f>SUM(AZ264:AZ267)</f>
        <v>-244389460.46718258</v>
      </c>
      <c r="BA270" s="95">
        <f>AQ270</f>
        <v>-34336988.107182607</v>
      </c>
    </row>
    <row r="271" spans="1:53">
      <c r="A271" s="250" t="e">
        <f t="shared" si="82"/>
        <v>#REF!</v>
      </c>
      <c r="B271" s="227"/>
      <c r="C271" s="102"/>
      <c r="D271" s="102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33"/>
      <c r="AI271" s="133"/>
      <c r="AJ271" s="133"/>
      <c r="AK271" s="133"/>
      <c r="AL271" s="133"/>
      <c r="AM271" s="133"/>
      <c r="AN271" s="133"/>
      <c r="AP271" s="133"/>
      <c r="AQ271" s="606"/>
      <c r="AR271" s="225">
        <f t="shared" si="80"/>
        <v>264</v>
      </c>
      <c r="AS271" s="225" t="e">
        <f t="shared" si="81"/>
        <v>#REF!</v>
      </c>
      <c r="AT271" s="186"/>
      <c r="AU271" s="227"/>
      <c r="AV271" s="102"/>
      <c r="AW271" s="102"/>
      <c r="AX271" s="102"/>
      <c r="AY271" s="116"/>
    </row>
    <row r="272" spans="1:53">
      <c r="A272" s="250" t="e">
        <f t="shared" si="82"/>
        <v>#REF!</v>
      </c>
      <c r="B272" s="36" t="s">
        <v>687</v>
      </c>
      <c r="C272" s="102"/>
      <c r="D272" s="102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243"/>
      <c r="AI272" s="243"/>
      <c r="AJ272" s="243"/>
      <c r="AK272" s="243"/>
      <c r="AL272" s="243"/>
      <c r="AM272" s="243"/>
      <c r="AN272" s="243"/>
      <c r="AP272" s="243"/>
      <c r="AQ272" s="610"/>
      <c r="AR272" s="225">
        <f t="shared" si="80"/>
        <v>265</v>
      </c>
      <c r="AS272" s="225" t="e">
        <f t="shared" si="81"/>
        <v>#REF!</v>
      </c>
      <c r="AT272" s="186"/>
      <c r="AU272" s="36" t="s">
        <v>687</v>
      </c>
      <c r="AV272" s="102"/>
      <c r="AW272" s="102"/>
      <c r="AX272" s="102"/>
      <c r="AY272" s="106"/>
    </row>
    <row r="273" spans="1:68">
      <c r="A273" s="250" t="e">
        <f t="shared" si="82"/>
        <v>#REF!</v>
      </c>
      <c r="B273" s="36"/>
      <c r="C273" s="102" t="s">
        <v>443</v>
      </c>
      <c r="D273" s="102"/>
      <c r="H273" s="116">
        <v>35326774.309999995</v>
      </c>
      <c r="I273" s="116">
        <v>24978479.760000005</v>
      </c>
      <c r="J273" s="116">
        <v>10956178.300000003</v>
      </c>
      <c r="K273" s="116">
        <v>7247176.6499999957</v>
      </c>
      <c r="L273" s="116">
        <v>14934683.909999996</v>
      </c>
      <c r="M273" s="116">
        <v>26835665.759999998</v>
      </c>
      <c r="N273" s="116">
        <v>42925447.169999987</v>
      </c>
      <c r="O273" s="116">
        <v>56286452.590000004</v>
      </c>
      <c r="P273" s="116">
        <v>71009113.640000001</v>
      </c>
      <c r="Q273" s="116">
        <v>73891897.980000004</v>
      </c>
      <c r="R273" s="116">
        <v>76573006.950000003</v>
      </c>
      <c r="S273" s="116">
        <v>53037937.879999995</v>
      </c>
      <c r="T273" s="116">
        <v>36779221.870000012</v>
      </c>
      <c r="U273" s="116">
        <v>25453435.519999996</v>
      </c>
      <c r="V273" s="116">
        <v>12663510.51</v>
      </c>
      <c r="W273" s="116">
        <v>8996070.7600000054</v>
      </c>
      <c r="X273" s="116">
        <v>13633669.289999995</v>
      </c>
      <c r="Y273" s="116">
        <v>25515763.25</v>
      </c>
      <c r="Z273" s="116">
        <v>38198071.170000002</v>
      </c>
      <c r="AA273" s="116">
        <v>51776522.609999985</v>
      </c>
      <c r="AB273" s="116">
        <v>62613706.029999994</v>
      </c>
      <c r="AC273" s="116">
        <v>62791977.849999994</v>
      </c>
      <c r="AD273" s="116">
        <v>63040062.789999999</v>
      </c>
      <c r="AE273" s="116">
        <v>56474289.469999999</v>
      </c>
      <c r="AF273" s="116"/>
      <c r="AG273" s="133">
        <f>AG186+AG264</f>
        <v>56621389.591249973</v>
      </c>
      <c r="AI273" s="133">
        <f t="shared" ref="AI273:AJ276" si="97">AI186+AI264</f>
        <v>56474289.469999999</v>
      </c>
      <c r="AJ273" s="133">
        <f t="shared" si="97"/>
        <v>56621389.591249973</v>
      </c>
      <c r="AK273" s="133">
        <f t="shared" ref="AK273:AL276" ca="1" si="98">AK186+AK264</f>
        <v>58642373.774596527</v>
      </c>
      <c r="AL273" s="133">
        <f t="shared" ca="1" si="98"/>
        <v>53087190.821874216</v>
      </c>
      <c r="AM273" s="133">
        <f t="shared" ref="AM273:AN273" ca="1" si="99">AM186+AM264</f>
        <v>55629748.519057199</v>
      </c>
      <c r="AN273" s="133">
        <f t="shared" ca="1" si="99"/>
        <v>48982834.759139717</v>
      </c>
      <c r="AP273" s="133">
        <f t="shared" ca="1" si="95"/>
        <v>55629748.519057199</v>
      </c>
      <c r="AQ273" s="606">
        <f ca="1">AQ186+AQ264</f>
        <v>-844540.95094280189</v>
      </c>
      <c r="AR273" s="225">
        <f t="shared" si="80"/>
        <v>266</v>
      </c>
      <c r="AS273" s="225" t="e">
        <f t="shared" si="81"/>
        <v>#REF!</v>
      </c>
      <c r="AT273" s="186"/>
      <c r="AU273" s="36"/>
      <c r="AV273" s="102" t="s">
        <v>443</v>
      </c>
      <c r="AW273" s="102"/>
      <c r="AX273" s="102"/>
      <c r="AY273" s="116">
        <f t="shared" ref="AY273:AZ276" si="100">AY186+AY264</f>
        <v>56474289.469999999</v>
      </c>
      <c r="AZ273" s="116">
        <f t="shared" ca="1" si="100"/>
        <v>55629748.519057199</v>
      </c>
      <c r="BA273" s="95">
        <f ca="1">AZ273-AY273</f>
        <v>-844540.95094279945</v>
      </c>
    </row>
    <row r="274" spans="1:68">
      <c r="A274" s="250" t="e">
        <f t="shared" si="82"/>
        <v>#REF!</v>
      </c>
      <c r="B274" s="36"/>
      <c r="C274" s="102" t="s">
        <v>592</v>
      </c>
      <c r="D274" s="102"/>
      <c r="H274" s="116">
        <v>30597687.190674722</v>
      </c>
      <c r="I274" s="116">
        <v>28403042.904378321</v>
      </c>
      <c r="J274" s="116">
        <v>31674758.705875844</v>
      </c>
      <c r="K274" s="116">
        <v>31343060.051289003</v>
      </c>
      <c r="L274" s="116">
        <v>31886450.547763515</v>
      </c>
      <c r="M274" s="116">
        <v>31588424.744441368</v>
      </c>
      <c r="N274" s="116">
        <v>31928532.979702525</v>
      </c>
      <c r="O274" s="116">
        <v>34922531.168090917</v>
      </c>
      <c r="P274" s="116">
        <v>35062406.982618347</v>
      </c>
      <c r="Q274" s="116">
        <v>36014979.897656977</v>
      </c>
      <c r="R274" s="116">
        <v>36787230.940374099</v>
      </c>
      <c r="S274" s="116">
        <v>36632131.091875009</v>
      </c>
      <c r="T274" s="116">
        <v>37002052.842164785</v>
      </c>
      <c r="U274" s="116">
        <v>37061668.220664792</v>
      </c>
      <c r="V274" s="116">
        <v>36525967.815206476</v>
      </c>
      <c r="W274" s="116">
        <v>36696331.760397911</v>
      </c>
      <c r="X274" s="116">
        <v>37316471.838378511</v>
      </c>
      <c r="Y274" s="116">
        <v>38423124.261752397</v>
      </c>
      <c r="Z274" s="116">
        <v>38701601.941623375</v>
      </c>
      <c r="AA274" s="116">
        <v>40681641.36576777</v>
      </c>
      <c r="AB274" s="116">
        <v>41160733.222060062</v>
      </c>
      <c r="AC274" s="116">
        <v>41589763.019704588</v>
      </c>
      <c r="AD274" s="116">
        <v>42502825.316715419</v>
      </c>
      <c r="AE274" s="116">
        <v>42619523.404334627</v>
      </c>
      <c r="AF274" s="116"/>
      <c r="AG274" s="133">
        <f ca="1">AG187+AG265</f>
        <v>38940010.858818375</v>
      </c>
      <c r="AI274" s="133">
        <f t="shared" si="97"/>
        <v>42619523.404334627</v>
      </c>
      <c r="AJ274" s="133">
        <f t="shared" ca="1" si="97"/>
        <v>38940010.858818375</v>
      </c>
      <c r="AK274" s="133">
        <f t="shared" ca="1" si="98"/>
        <v>44475612.380148433</v>
      </c>
      <c r="AL274" s="133">
        <f t="shared" ca="1" si="98"/>
        <v>46758897.071707517</v>
      </c>
      <c r="AM274" s="133">
        <f t="shared" ref="AM274:AN274" ca="1" si="101">AM187+AM265</f>
        <v>50354648.031938419</v>
      </c>
      <c r="AN274" s="133">
        <f t="shared" ca="1" si="101"/>
        <v>50969070.695710629</v>
      </c>
      <c r="AP274" s="133">
        <f t="shared" ca="1" si="95"/>
        <v>50354648.031938419</v>
      </c>
      <c r="AQ274" s="606">
        <f ca="1">AQ187+AQ265</f>
        <v>7735124.6276037944</v>
      </c>
      <c r="AR274" s="225">
        <f t="shared" si="80"/>
        <v>267</v>
      </c>
      <c r="AS274" s="225" t="e">
        <f t="shared" si="81"/>
        <v>#REF!</v>
      </c>
      <c r="AT274" s="186"/>
      <c r="AU274" s="36"/>
      <c r="AV274" s="102" t="s">
        <v>592</v>
      </c>
      <c r="AW274" s="102"/>
      <c r="AX274" s="102"/>
      <c r="AY274" s="116">
        <f t="shared" si="100"/>
        <v>42619523.404334627</v>
      </c>
      <c r="AZ274" s="116">
        <f t="shared" ca="1" si="100"/>
        <v>50354648.031938419</v>
      </c>
      <c r="BA274" s="95">
        <f ca="1">AZ274-AY274</f>
        <v>7735124.6276037917</v>
      </c>
    </row>
    <row r="275" spans="1:68">
      <c r="A275" s="250" t="e">
        <f t="shared" si="82"/>
        <v>#REF!</v>
      </c>
      <c r="B275" s="36"/>
      <c r="C275" s="102" t="s">
        <v>593</v>
      </c>
      <c r="D275" s="102"/>
      <c r="H275" s="116">
        <v>1063427202.0293245</v>
      </c>
      <c r="I275" s="116">
        <v>1072926001.1556213</v>
      </c>
      <c r="J275" s="116">
        <v>1074733868.8741238</v>
      </c>
      <c r="K275" s="116">
        <v>1077157319.618711</v>
      </c>
      <c r="L275" s="116">
        <v>1078765273.7022362</v>
      </c>
      <c r="M275" s="116">
        <v>1078505327.7855587</v>
      </c>
      <c r="N275" s="116">
        <v>1078502116.840297</v>
      </c>
      <c r="O275" s="116">
        <v>1084683800.0919089</v>
      </c>
      <c r="P275" s="116">
        <v>1131523504.6473811</v>
      </c>
      <c r="Q275" s="116">
        <v>1151590113.9823434</v>
      </c>
      <c r="R275" s="116">
        <v>1164929673.7796254</v>
      </c>
      <c r="S275" s="116">
        <v>1183195120.8381248</v>
      </c>
      <c r="T275" s="116">
        <v>1179703260.9278345</v>
      </c>
      <c r="U275" s="116">
        <v>1183473227.0793352</v>
      </c>
      <c r="V275" s="116">
        <v>1176733525.3567934</v>
      </c>
      <c r="W275" s="116">
        <v>1188555576.0596023</v>
      </c>
      <c r="X275" s="116">
        <v>1190404708.1216211</v>
      </c>
      <c r="Y275" s="116">
        <v>1191216707.6102471</v>
      </c>
      <c r="Z275" s="116">
        <v>1189296281.8903763</v>
      </c>
      <c r="AA275" s="116">
        <v>1214453227.214232</v>
      </c>
      <c r="AB275" s="116">
        <v>1237876080.4579399</v>
      </c>
      <c r="AC275" s="116">
        <v>1244374985.8502948</v>
      </c>
      <c r="AD275" s="116">
        <v>1245510553.3832848</v>
      </c>
      <c r="AE275" s="116">
        <v>1523491454.2176654</v>
      </c>
      <c r="AF275" s="116"/>
      <c r="AG275" s="133">
        <f ca="1">AG188+AG266</f>
        <v>1216245775.0021815</v>
      </c>
      <c r="AI275" s="133">
        <f t="shared" si="97"/>
        <v>1523491454.2176654</v>
      </c>
      <c r="AJ275" s="133">
        <f t="shared" ca="1" si="97"/>
        <v>1216245775.0021815</v>
      </c>
      <c r="AK275" s="133">
        <f t="shared" ca="1" si="98"/>
        <v>1555772704.2718349</v>
      </c>
      <c r="AL275" s="133">
        <f t="shared" ca="1" si="98"/>
        <v>1654215199.6727819</v>
      </c>
      <c r="AM275" s="133">
        <f t="shared" ref="AM275:AN275" ca="1" si="102">AM188+AM266</f>
        <v>1750406296.9327133</v>
      </c>
      <c r="AN275" s="133">
        <f t="shared" ca="1" si="102"/>
        <v>1805720841.5220816</v>
      </c>
      <c r="AP275" s="133">
        <f t="shared" ca="1" si="95"/>
        <v>1750406296.9327133</v>
      </c>
      <c r="AQ275" s="606">
        <f ca="1">AQ188+AQ266</f>
        <v>226914842.71504778</v>
      </c>
      <c r="AR275" s="225">
        <f t="shared" si="80"/>
        <v>268</v>
      </c>
      <c r="AS275" s="225" t="e">
        <f t="shared" si="81"/>
        <v>#REF!</v>
      </c>
      <c r="AT275" s="186"/>
      <c r="AU275" s="36"/>
      <c r="AV275" s="102" t="s">
        <v>593</v>
      </c>
      <c r="AW275" s="102"/>
      <c r="AX275" s="102"/>
      <c r="AY275" s="116">
        <f t="shared" si="100"/>
        <v>1523491454.2176657</v>
      </c>
      <c r="AZ275" s="116">
        <f t="shared" ca="1" si="100"/>
        <v>1750406296.9327133</v>
      </c>
      <c r="BA275" s="95">
        <f ca="1">AZ275-AY275</f>
        <v>226914842.7150476</v>
      </c>
    </row>
    <row r="276" spans="1:68">
      <c r="A276" s="250" t="e">
        <f t="shared" si="82"/>
        <v>#REF!</v>
      </c>
      <c r="B276" s="36"/>
      <c r="C276" s="102" t="s">
        <v>595</v>
      </c>
      <c r="D276" s="102"/>
      <c r="H276" s="116">
        <v>98581150.299999997</v>
      </c>
      <c r="I276" s="116">
        <v>97848184.49000001</v>
      </c>
      <c r="J276" s="116">
        <v>99145599.640000001</v>
      </c>
      <c r="K276" s="116">
        <v>98599519.929999977</v>
      </c>
      <c r="L276" s="116">
        <v>101031978.59999998</v>
      </c>
      <c r="M276" s="116">
        <v>105026182.19</v>
      </c>
      <c r="N276" s="116">
        <v>103182110.24000004</v>
      </c>
      <c r="O276" s="116">
        <v>111883238.96999997</v>
      </c>
      <c r="P276" s="116">
        <v>109039851.30999999</v>
      </c>
      <c r="Q276" s="116">
        <v>118694974.66</v>
      </c>
      <c r="R276" s="116">
        <v>122229343.52000001</v>
      </c>
      <c r="S276" s="116">
        <v>129323145.57999995</v>
      </c>
      <c r="T276" s="116">
        <v>128987577.23000002</v>
      </c>
      <c r="U276" s="116">
        <v>128190023.88000003</v>
      </c>
      <c r="V276" s="116">
        <v>126427375.39000002</v>
      </c>
      <c r="W276" s="116">
        <v>125919381.51000001</v>
      </c>
      <c r="X276" s="116">
        <v>127570079.76000002</v>
      </c>
      <c r="Y276" s="116">
        <v>128603048.84999996</v>
      </c>
      <c r="Z276" s="116">
        <v>127912778.22000001</v>
      </c>
      <c r="AA276" s="116">
        <v>128266923.48999999</v>
      </c>
      <c r="AB276" s="116">
        <v>128250927.66000003</v>
      </c>
      <c r="AC276" s="116">
        <v>126898654.23000003</v>
      </c>
      <c r="AD276" s="116">
        <v>128192818.49000001</v>
      </c>
      <c r="AE276" s="116">
        <v>-112806397.59000002</v>
      </c>
      <c r="AF276" s="116"/>
      <c r="AG276" s="133">
        <f>AG189+AG267</f>
        <v>117789830.22541665</v>
      </c>
      <c r="AI276" s="133">
        <f t="shared" si="97"/>
        <v>-112806397.59000002</v>
      </c>
      <c r="AJ276" s="133">
        <f t="shared" si="97"/>
        <v>117789830.22541665</v>
      </c>
      <c r="AK276" s="133">
        <f t="shared" ca="1" si="98"/>
        <v>-93853316.392760754</v>
      </c>
      <c r="AL276" s="133">
        <f t="shared" ca="1" si="98"/>
        <v>-102906010.68982418</v>
      </c>
      <c r="AM276" s="133">
        <f t="shared" ref="AM276:AN276" ca="1" si="103">AM189+AM267</f>
        <v>-86689005.693770111</v>
      </c>
      <c r="AN276" s="133">
        <f t="shared" ca="1" si="103"/>
        <v>-97656221.664273113</v>
      </c>
      <c r="AP276" s="133">
        <f t="shared" ca="1" si="95"/>
        <v>-86689005.693770111</v>
      </c>
      <c r="AQ276" s="606">
        <f ca="1">AQ189+AQ267</f>
        <v>26117391.896229912</v>
      </c>
      <c r="AR276" s="225">
        <f t="shared" si="80"/>
        <v>269</v>
      </c>
      <c r="AS276" s="225" t="e">
        <f t="shared" si="81"/>
        <v>#REF!</v>
      </c>
      <c r="AT276" s="186"/>
      <c r="AU276" s="36"/>
      <c r="AV276" s="102" t="s">
        <v>595</v>
      </c>
      <c r="AW276" s="102"/>
      <c r="AX276" s="102"/>
      <c r="AY276" s="116">
        <f t="shared" si="100"/>
        <v>-112806397.58999999</v>
      </c>
      <c r="AZ276" s="116">
        <f t="shared" ca="1" si="100"/>
        <v>-86689005.693770111</v>
      </c>
      <c r="BA276" s="95">
        <f ca="1">AZ276-AY276</f>
        <v>26117391.896229878</v>
      </c>
    </row>
    <row r="277" spans="1:68" ht="13.5" thickBot="1">
      <c r="A277" s="250" t="e">
        <f t="shared" si="82"/>
        <v>#REF!</v>
      </c>
      <c r="B277" s="36"/>
      <c r="C277" s="102"/>
      <c r="D277" s="102"/>
      <c r="H277" s="781">
        <v>1227932813.8299992</v>
      </c>
      <c r="I277" s="781">
        <v>1224155708.3099997</v>
      </c>
      <c r="J277" s="781">
        <v>1216510405.5199997</v>
      </c>
      <c r="K277" s="781">
        <v>1214347076.25</v>
      </c>
      <c r="L277" s="781">
        <v>1226618386.7599995</v>
      </c>
      <c r="M277" s="781">
        <v>1241955600.48</v>
      </c>
      <c r="N277" s="781">
        <v>1256538207.2299995</v>
      </c>
      <c r="O277" s="781">
        <v>1287776022.8199999</v>
      </c>
      <c r="P277" s="781">
        <v>1346634876.5799994</v>
      </c>
      <c r="Q277" s="781">
        <v>1380191966.5200005</v>
      </c>
      <c r="R277" s="781">
        <v>1400519255.1899996</v>
      </c>
      <c r="S277" s="781">
        <v>1402188335.3899996</v>
      </c>
      <c r="T277" s="781">
        <v>1382472112.8699994</v>
      </c>
      <c r="U277" s="781">
        <v>1374178354.7</v>
      </c>
      <c r="V277" s="781">
        <v>1352350379.072</v>
      </c>
      <c r="W277" s="781">
        <v>1360167360.0900002</v>
      </c>
      <c r="X277" s="781">
        <v>1368924929.0099995</v>
      </c>
      <c r="Y277" s="781">
        <v>1383758643.9719994</v>
      </c>
      <c r="Z277" s="781">
        <v>1394108733.2219996</v>
      </c>
      <c r="AA277" s="781">
        <v>1435178314.6799998</v>
      </c>
      <c r="AB277" s="781">
        <v>1469901447.3700001</v>
      </c>
      <c r="AC277" s="781">
        <v>1475655380.9499993</v>
      </c>
      <c r="AD277" s="781">
        <v>1479246259.9800003</v>
      </c>
      <c r="AE277" s="781">
        <v>1509778869.5020001</v>
      </c>
      <c r="AF277" s="781"/>
      <c r="AG277" s="1051"/>
      <c r="AI277" s="1051"/>
      <c r="AJ277" s="1051"/>
      <c r="AK277" s="1051">
        <f ca="1">SUM(AK273:AK276)</f>
        <v>1565037374.033819</v>
      </c>
      <c r="AL277" s="1051">
        <f ca="1">SUM(AL273:AL276)</f>
        <v>1651155276.8765395</v>
      </c>
      <c r="AM277" s="1051">
        <f t="shared" ref="AM277" ca="1" si="104">SUM(AM273:AM276)</f>
        <v>1769701687.7899387</v>
      </c>
      <c r="AN277" s="1051">
        <f ca="1">SUM(AN273:AN276)</f>
        <v>1808016525.312659</v>
      </c>
      <c r="AP277" s="1051">
        <f t="shared" ca="1" si="95"/>
        <v>1769701687.7899387</v>
      </c>
      <c r="AQ277" s="1051">
        <f ca="1">SUM(AQ273:AQ276)</f>
        <v>259922818.28793868</v>
      </c>
      <c r="AR277" s="225">
        <f t="shared" si="80"/>
        <v>270</v>
      </c>
      <c r="AS277" s="225" t="e">
        <f t="shared" si="81"/>
        <v>#REF!</v>
      </c>
      <c r="AT277" s="186"/>
      <c r="AU277" s="36"/>
      <c r="AV277" s="102"/>
      <c r="AW277" s="102"/>
      <c r="AX277" s="102"/>
      <c r="AY277" s="235"/>
      <c r="AZ277" s="744"/>
      <c r="BA277" s="744"/>
    </row>
    <row r="278" spans="1:68" ht="13.5" thickTop="1">
      <c r="A278" s="250" t="e">
        <f t="shared" si="82"/>
        <v>#REF!</v>
      </c>
      <c r="B278" s="36"/>
      <c r="C278" s="102"/>
      <c r="D278" s="102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33"/>
      <c r="AI278" s="133"/>
      <c r="AJ278" s="133"/>
      <c r="AK278" s="133"/>
      <c r="AL278" s="133"/>
      <c r="AM278" s="133"/>
      <c r="AN278" s="133"/>
      <c r="AP278" s="133"/>
      <c r="AQ278" s="606"/>
      <c r="AR278" s="225">
        <f t="shared" si="80"/>
        <v>271</v>
      </c>
      <c r="AS278" s="225" t="e">
        <f t="shared" si="81"/>
        <v>#REF!</v>
      </c>
      <c r="AT278" s="18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</row>
    <row r="279" spans="1:68">
      <c r="A279" s="250" t="e">
        <f t="shared" si="82"/>
        <v>#REF!</v>
      </c>
      <c r="B279" s="227"/>
      <c r="C279" s="49" t="s">
        <v>687</v>
      </c>
      <c r="D279" s="102"/>
      <c r="H279" s="116">
        <v>1227932813.8299992</v>
      </c>
      <c r="I279" s="116">
        <v>1224155708.3099997</v>
      </c>
      <c r="J279" s="116">
        <v>1216510405.5199997</v>
      </c>
      <c r="K279" s="116">
        <v>1214347076.2499998</v>
      </c>
      <c r="L279" s="116">
        <v>1226618386.7599995</v>
      </c>
      <c r="M279" s="116">
        <v>1241955600.48</v>
      </c>
      <c r="N279" s="116">
        <v>1256538207.2299995</v>
      </c>
      <c r="O279" s="116">
        <v>1287776022.8199997</v>
      </c>
      <c r="P279" s="116">
        <v>1346634876.579999</v>
      </c>
      <c r="Q279" s="116">
        <v>1380191966.5200005</v>
      </c>
      <c r="R279" s="116">
        <v>1400519255.1899996</v>
      </c>
      <c r="S279" s="116">
        <v>1402188335.3899999</v>
      </c>
      <c r="T279" s="116">
        <v>1382472112.8699994</v>
      </c>
      <c r="U279" s="116">
        <v>1374178354.7000003</v>
      </c>
      <c r="V279" s="116">
        <v>1352350379.0719995</v>
      </c>
      <c r="W279" s="116">
        <v>1360167360.0899999</v>
      </c>
      <c r="X279" s="116">
        <v>1368924929.0099995</v>
      </c>
      <c r="Y279" s="116">
        <v>1383758643.9719996</v>
      </c>
      <c r="Z279" s="116">
        <v>1394108733.2219996</v>
      </c>
      <c r="AA279" s="116">
        <v>1435178314.6799998</v>
      </c>
      <c r="AB279" s="116">
        <v>1469901447.3699999</v>
      </c>
      <c r="AC279" s="116">
        <v>1475655380.9499993</v>
      </c>
      <c r="AD279" s="116">
        <v>1479246259.98</v>
      </c>
      <c r="AE279" s="116">
        <v>1509778869.5020001</v>
      </c>
      <c r="AF279" s="116"/>
      <c r="AG279" s="133">
        <f>AG192+AG270</f>
        <v>1429597005.6776664</v>
      </c>
      <c r="AI279" s="133">
        <f>AI192+AI270</f>
        <v>1509778869.5020001</v>
      </c>
      <c r="AJ279" s="133">
        <f ca="1">AJ192+AJ270</f>
        <v>1429597005.6776664</v>
      </c>
      <c r="AK279" s="133">
        <f ca="1">AK192+AK270</f>
        <v>1565037374.0338192</v>
      </c>
      <c r="AL279" s="133">
        <f ca="1">AL192+AL270</f>
        <v>1651155276.8765395</v>
      </c>
      <c r="AM279" s="133">
        <f t="shared" ref="AM279:AN279" ca="1" si="105">AM192+AM270</f>
        <v>1769701687.7899387</v>
      </c>
      <c r="AN279" s="133">
        <f t="shared" ca="1" si="105"/>
        <v>1808016525.3126588</v>
      </c>
      <c r="AP279" s="133">
        <f t="shared" ca="1" si="95"/>
        <v>1769701687.7899387</v>
      </c>
      <c r="AQ279" s="606">
        <f ca="1">AQ192+AQ270</f>
        <v>259922818.28793871</v>
      </c>
      <c r="AR279" s="225">
        <f t="shared" si="80"/>
        <v>272</v>
      </c>
      <c r="AS279" s="225" t="e">
        <f t="shared" si="81"/>
        <v>#REF!</v>
      </c>
      <c r="AT279" s="186"/>
      <c r="AU279" s="116"/>
      <c r="AV279" s="116" t="s">
        <v>687</v>
      </c>
      <c r="AW279" s="116"/>
      <c r="AX279" s="116"/>
      <c r="AY279" s="116">
        <f>AY192+AY270</f>
        <v>1509778869.5020003</v>
      </c>
      <c r="AZ279" s="116">
        <f ca="1">AP279</f>
        <v>1769701687.7899387</v>
      </c>
      <c r="BA279" s="116">
        <f ca="1">AQ279</f>
        <v>259922818.28793871</v>
      </c>
      <c r="BB279" s="116"/>
      <c r="BC279" s="116"/>
      <c r="BD279" s="116"/>
      <c r="BE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</row>
    <row r="281" spans="1:68">
      <c r="B281" s="136">
        <v>154</v>
      </c>
      <c r="C281" s="102" t="s">
        <v>308</v>
      </c>
      <c r="D281" s="102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I281" s="133"/>
      <c r="AK281" s="752"/>
      <c r="AL281" s="752"/>
      <c r="AM281" s="752"/>
      <c r="AN281" s="752"/>
      <c r="AP281" s="752"/>
    </row>
    <row r="282" spans="1:68" customFormat="1"/>
    <row r="283" spans="1:68" customFormat="1"/>
    <row r="284" spans="1:68" customFormat="1"/>
  </sheetData>
  <mergeCells count="4">
    <mergeCell ref="B10:E10"/>
    <mergeCell ref="D9:E9"/>
    <mergeCell ref="AW9:AX9"/>
    <mergeCell ref="AU10:AX10"/>
  </mergeCells>
  <phoneticPr fontId="0" type="noConversion"/>
  <dataValidations count="1">
    <dataValidation showInputMessage="1" showErrorMessage="1" sqref="AI8:AN8"/>
  </dataValidations>
  <printOptions horizontalCentered="1"/>
  <pageMargins left="0" right="0" top="0.75" bottom="0.75" header="0.3" footer="0.3"/>
  <pageSetup scale="66" fitToHeight="4" pageOrder="overThenDown" orientation="portrait" r:id="rId1"/>
  <headerFooter alignWithMargins="0"/>
  <rowBreaks count="2" manualBreakCount="2">
    <brk id="96" min="46" max="52" man="1"/>
    <brk id="192" min="46" max="5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51378" r:id="rId4" name="Button 1202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28575</xdr:rowOff>
                  </from>
                  <to>
                    <xdr:col>1</xdr:col>
                    <xdr:colOff>533400</xdr:colOff>
                    <xdr:row>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0" width="9.140625" style="221"/>
    <col min="11" max="11" width="19" style="221" customWidth="1"/>
    <col min="12" max="12" width="11.85546875" style="221" bestFit="1" customWidth="1"/>
    <col min="13" max="13" width="9.140625" style="221"/>
    <col min="14" max="14" width="11" style="221" bestFit="1" customWidth="1"/>
    <col min="15" max="16384" width="9.140625" style="221"/>
  </cols>
  <sheetData>
    <row r="1" spans="1:7">
      <c r="A1" s="957" t="str">
        <f>'Control Panel'!$B$1</f>
        <v>Dominion Energy</v>
      </c>
    </row>
    <row r="2" spans="1:7">
      <c r="A2" s="957" t="str">
        <f>'Control Panel'!$B$2</f>
        <v>Utah - DEC 2019 Adjusted Avg  Results</v>
      </c>
      <c r="B2" s="116"/>
      <c r="C2" s="116"/>
    </row>
    <row r="3" spans="1:7">
      <c r="A3" s="957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14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14">
      <c r="A834" s="330"/>
      <c r="B834" s="106"/>
      <c r="C834" s="106"/>
      <c r="G834" s="133"/>
    </row>
    <row r="835" spans="1:14">
      <c r="A835" s="59" t="s">
        <v>425</v>
      </c>
      <c r="B835" s="106"/>
      <c r="C835" s="106"/>
      <c r="G835" s="133"/>
    </row>
    <row r="836" spans="1:14">
      <c r="A836" s="330"/>
      <c r="B836" s="106"/>
      <c r="C836" s="106"/>
      <c r="G836" s="133"/>
    </row>
    <row r="837" spans="1:14">
      <c r="A837" s="134">
        <v>920</v>
      </c>
      <c r="B837" s="106" t="s">
        <v>426</v>
      </c>
      <c r="C837" s="106"/>
      <c r="G837" s="133"/>
    </row>
    <row r="838" spans="1:14" ht="15">
      <c r="A838" s="330"/>
      <c r="B838" s="106"/>
      <c r="C838" s="106" t="s">
        <v>14</v>
      </c>
      <c r="E838" s="928"/>
      <c r="G838" s="133">
        <f>SUM(E838:E838)</f>
        <v>0</v>
      </c>
    </row>
    <row r="839" spans="1:14">
      <c r="A839" s="330"/>
      <c r="B839" s="106"/>
      <c r="C839" s="106" t="s">
        <v>24</v>
      </c>
      <c r="G839" s="133">
        <f>SUM(E839:E839)</f>
        <v>0</v>
      </c>
    </row>
    <row r="840" spans="1:14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14">
      <c r="A841" s="134">
        <v>921</v>
      </c>
      <c r="B841" s="106" t="s">
        <v>427</v>
      </c>
      <c r="C841" s="106"/>
      <c r="G841" s="133"/>
      <c r="K841" s="221" t="s">
        <v>1227</v>
      </c>
      <c r="L841" s="221" t="s">
        <v>1229</v>
      </c>
      <c r="N841" s="221" t="s">
        <v>390</v>
      </c>
    </row>
    <row r="842" spans="1:14" ht="15">
      <c r="A842" s="134"/>
      <c r="B842" s="106"/>
      <c r="C842" s="106" t="s">
        <v>14</v>
      </c>
      <c r="E842" s="928"/>
      <c r="G842" s="133">
        <f>SUM(E842:E842)</f>
        <v>0</v>
      </c>
      <c r="K842" s="948">
        <v>-246189</v>
      </c>
      <c r="L842" s="948">
        <v>-167071</v>
      </c>
      <c r="M842" s="948"/>
      <c r="N842" s="948">
        <f>L842-K842</f>
        <v>79118</v>
      </c>
    </row>
    <row r="843" spans="1:14">
      <c r="A843" s="134"/>
      <c r="B843" s="106"/>
      <c r="C843" s="106" t="s">
        <v>24</v>
      </c>
      <c r="G843" s="133">
        <f>SUM(E843:E843)</f>
        <v>0</v>
      </c>
    </row>
    <row r="844" spans="1:14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14">
      <c r="A845" s="134">
        <v>922</v>
      </c>
      <c r="B845" s="106" t="s">
        <v>428</v>
      </c>
      <c r="C845" s="106"/>
      <c r="G845" s="133"/>
    </row>
    <row r="846" spans="1:14" ht="15">
      <c r="A846" s="134"/>
      <c r="B846" s="106"/>
      <c r="C846" s="106" t="s">
        <v>14</v>
      </c>
      <c r="E846" s="928"/>
      <c r="G846" s="133">
        <f>SUM(E846:E846)</f>
        <v>0</v>
      </c>
    </row>
    <row r="847" spans="1:14">
      <c r="A847" s="134"/>
      <c r="B847" s="106"/>
      <c r="C847" s="106" t="s">
        <v>24</v>
      </c>
      <c r="G847" s="133">
        <f>SUM(E847:E847)</f>
        <v>0</v>
      </c>
    </row>
    <row r="848" spans="1:14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50305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306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307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308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48"/>
  <sheetViews>
    <sheetView workbookViewId="0"/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40.42578125" style="501" customWidth="1"/>
    <col min="6" max="6" width="9.140625" style="221"/>
    <col min="7" max="7" width="19" style="221" bestFit="1" customWidth="1"/>
    <col min="8" max="16384" width="9.140625" style="221"/>
  </cols>
  <sheetData>
    <row r="1" spans="1:7">
      <c r="A1" s="957" t="str">
        <f>'Control Panel'!$B$1</f>
        <v>Dominion Energy</v>
      </c>
    </row>
    <row r="2" spans="1:7">
      <c r="A2" s="957" t="str">
        <f>'Control Panel'!$B$2</f>
        <v>Utah - DEC 2019 Adjusted Avg  Results</v>
      </c>
      <c r="B2" s="116"/>
      <c r="C2" s="116"/>
    </row>
    <row r="3" spans="1:7">
      <c r="A3" s="957" t="str">
        <f>'Control Panel'!$B$3</f>
        <v>12 Months Ended : Dec-2019</v>
      </c>
      <c r="B3" s="116"/>
      <c r="C3" s="116"/>
    </row>
    <row r="4" spans="1:7">
      <c r="A4" s="123"/>
      <c r="B4" s="116"/>
      <c r="C4" s="116"/>
    </row>
    <row r="5" spans="1:7">
      <c r="A5" s="105"/>
      <c r="B5" s="116"/>
      <c r="C5" s="239"/>
    </row>
    <row r="6" spans="1:7">
      <c r="A6" s="127"/>
      <c r="B6" s="116"/>
      <c r="C6" s="116"/>
    </row>
    <row r="7" spans="1:7" ht="15.75">
      <c r="A7" s="53"/>
      <c r="B7" s="116"/>
      <c r="C7" s="116"/>
    </row>
    <row r="8" spans="1:7">
      <c r="A8" s="738"/>
      <c r="B8" s="116"/>
      <c r="C8" s="116"/>
    </row>
    <row r="9" spans="1:7" ht="13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</row>
    <row r="10" spans="1:7">
      <c r="A10" s="33" t="s">
        <v>843</v>
      </c>
      <c r="B10" s="33"/>
      <c r="C10" s="33"/>
    </row>
    <row r="11" spans="1:7">
      <c r="A11" s="33" t="s">
        <v>13</v>
      </c>
      <c r="B11" s="33"/>
      <c r="C11" s="33"/>
    </row>
    <row r="12" spans="1:7">
      <c r="A12" s="33"/>
      <c r="B12" s="33"/>
      <c r="C12" s="33"/>
    </row>
    <row r="13" spans="1:7">
      <c r="A13" s="33"/>
      <c r="B13" s="33"/>
      <c r="C13" s="33"/>
    </row>
    <row r="14" spans="1:7" ht="15.75">
      <c r="A14" s="53"/>
      <c r="B14" s="116"/>
      <c r="C14" s="116"/>
    </row>
    <row r="15" spans="1:7">
      <c r="A15" s="59" t="s">
        <v>14</v>
      </c>
      <c r="B15" s="740"/>
      <c r="C15" s="116"/>
    </row>
    <row r="16" spans="1:7" ht="15">
      <c r="A16" s="330"/>
      <c r="B16" s="728" t="s">
        <v>880</v>
      </c>
      <c r="C16" s="728" t="s">
        <v>16</v>
      </c>
      <c r="E16" s="928"/>
      <c r="G16" s="133">
        <f>SUM(E16:E16)</f>
        <v>0</v>
      </c>
    </row>
    <row r="17" spans="1:7">
      <c r="A17" s="330"/>
      <c r="B17" s="728"/>
      <c r="C17" s="728"/>
      <c r="G17" s="133"/>
    </row>
    <row r="18" spans="1:7" ht="15">
      <c r="A18" s="330"/>
      <c r="B18" s="728"/>
      <c r="C18" s="728" t="s">
        <v>17</v>
      </c>
      <c r="E18" s="928"/>
      <c r="G18" s="133">
        <f>SUM(E18:E18)</f>
        <v>0</v>
      </c>
    </row>
    <row r="19" spans="1:7">
      <c r="A19" s="330"/>
      <c r="B19" s="728"/>
      <c r="C19" s="728"/>
      <c r="G19" s="133"/>
    </row>
    <row r="20" spans="1:7" ht="15">
      <c r="A20" s="330"/>
      <c r="B20" s="728"/>
      <c r="C20" s="728" t="s">
        <v>18</v>
      </c>
      <c r="E20" s="928"/>
      <c r="G20" s="133">
        <f>SUM(E20:E20)</f>
        <v>0</v>
      </c>
    </row>
    <row r="21" spans="1:7">
      <c r="A21" s="330"/>
      <c r="B21" s="728"/>
      <c r="C21" s="728" t="s">
        <v>19</v>
      </c>
      <c r="E21" s="501">
        <f>SUM(E16:E20)</f>
        <v>0</v>
      </c>
      <c r="G21" s="241">
        <f>SUM(E21:E21)</f>
        <v>0</v>
      </c>
    </row>
    <row r="22" spans="1:7">
      <c r="A22" s="330"/>
      <c r="B22" s="728"/>
      <c r="C22" s="728"/>
      <c r="G22" s="133"/>
    </row>
    <row r="23" spans="1:7">
      <c r="A23" s="330"/>
      <c r="B23" s="728"/>
      <c r="C23" s="728" t="s">
        <v>20</v>
      </c>
      <c r="G23" s="133">
        <f>SUM(E23:E23)</f>
        <v>0</v>
      </c>
    </row>
    <row r="24" spans="1:7">
      <c r="A24" s="330"/>
      <c r="B24" s="728"/>
      <c r="C24" s="728"/>
      <c r="G24" s="133"/>
    </row>
    <row r="25" spans="1:7" hidden="1">
      <c r="A25" s="330"/>
      <c r="B25" s="728" t="s">
        <v>247</v>
      </c>
      <c r="C25" s="728" t="s">
        <v>16</v>
      </c>
      <c r="G25" s="133">
        <f>SUM(E25:E25)</f>
        <v>0</v>
      </c>
    </row>
    <row r="26" spans="1:7" hidden="1">
      <c r="A26" s="330"/>
      <c r="B26" s="728"/>
      <c r="C26" s="728"/>
      <c r="G26" s="133"/>
    </row>
    <row r="27" spans="1:7" hidden="1">
      <c r="A27" s="330"/>
      <c r="B27" s="728"/>
      <c r="C27" s="728" t="s">
        <v>17</v>
      </c>
      <c r="G27" s="133">
        <f>SUM(E27:E27)</f>
        <v>0</v>
      </c>
    </row>
    <row r="28" spans="1:7" hidden="1">
      <c r="A28" s="330"/>
      <c r="B28" s="728"/>
      <c r="C28" s="728"/>
      <c r="G28" s="133"/>
    </row>
    <row r="29" spans="1:7" hidden="1">
      <c r="A29" s="330"/>
      <c r="B29" s="728"/>
      <c r="C29" s="728" t="s">
        <v>18</v>
      </c>
      <c r="G29" s="133">
        <f>SUM(E29:E29)</f>
        <v>0</v>
      </c>
    </row>
    <row r="30" spans="1:7" hidden="1">
      <c r="A30" s="330"/>
      <c r="B30" s="728"/>
      <c r="C30" s="728" t="s">
        <v>19</v>
      </c>
      <c r="E30" s="501">
        <f>SUM(E25:E29)</f>
        <v>0</v>
      </c>
      <c r="G30" s="241">
        <f>SUM(E30:E30)</f>
        <v>0</v>
      </c>
    </row>
    <row r="31" spans="1:7" hidden="1">
      <c r="A31" s="330"/>
      <c r="B31" s="728"/>
      <c r="C31" s="728"/>
      <c r="G31" s="133"/>
    </row>
    <row r="32" spans="1:7" hidden="1">
      <c r="A32" s="330"/>
      <c r="B32" s="728"/>
      <c r="C32" s="728" t="s">
        <v>20</v>
      </c>
      <c r="G32" s="133">
        <f>SUM(E32:E32)</f>
        <v>0</v>
      </c>
    </row>
    <row r="33" spans="1:7" hidden="1">
      <c r="A33" s="330"/>
      <c r="B33" s="332"/>
      <c r="C33" s="728"/>
      <c r="G33" s="133"/>
    </row>
    <row r="34" spans="1:7" hidden="1">
      <c r="A34" s="330"/>
      <c r="B34" s="728" t="s">
        <v>808</v>
      </c>
      <c r="C34" s="728" t="s">
        <v>16</v>
      </c>
      <c r="G34" s="133">
        <f>SUM(E34:E34)</f>
        <v>0</v>
      </c>
    </row>
    <row r="35" spans="1:7" hidden="1">
      <c r="A35" s="330"/>
      <c r="B35" s="728"/>
      <c r="C35" s="728"/>
      <c r="G35" s="133"/>
    </row>
    <row r="36" spans="1:7" hidden="1">
      <c r="A36" s="330"/>
      <c r="B36" s="728"/>
      <c r="C36" s="728" t="s">
        <v>17</v>
      </c>
      <c r="G36" s="133">
        <f>SUM(E36:E36)</f>
        <v>0</v>
      </c>
    </row>
    <row r="37" spans="1:7" hidden="1">
      <c r="A37" s="330"/>
      <c r="B37" s="728"/>
      <c r="C37" s="728"/>
      <c r="G37" s="133"/>
    </row>
    <row r="38" spans="1:7" hidden="1">
      <c r="A38" s="330"/>
      <c r="B38" s="728"/>
      <c r="C38" s="728" t="s">
        <v>18</v>
      </c>
      <c r="G38" s="133">
        <f>SUM(E38:E38)</f>
        <v>0</v>
      </c>
    </row>
    <row r="39" spans="1:7" hidden="1">
      <c r="A39" s="330"/>
      <c r="B39" s="728"/>
      <c r="C39" s="728" t="s">
        <v>19</v>
      </c>
      <c r="E39" s="501">
        <f>SUM(E34:E38)</f>
        <v>0</v>
      </c>
      <c r="G39" s="241">
        <f>SUM(E39:E39)</f>
        <v>0</v>
      </c>
    </row>
    <row r="40" spans="1:7" hidden="1">
      <c r="A40" s="330"/>
      <c r="B40" s="728"/>
      <c r="C40" s="728"/>
      <c r="G40" s="133"/>
    </row>
    <row r="41" spans="1:7" hidden="1">
      <c r="A41" s="330"/>
      <c r="B41" s="728"/>
      <c r="C41" s="728" t="s">
        <v>20</v>
      </c>
      <c r="G41" s="133">
        <f>SUM(E41:E41)</f>
        <v>0</v>
      </c>
    </row>
    <row r="42" spans="1:7" hidden="1">
      <c r="A42" s="330"/>
      <c r="B42" s="332"/>
      <c r="C42" s="332"/>
      <c r="G42" s="133"/>
    </row>
    <row r="43" spans="1:7" ht="15">
      <c r="A43" s="330"/>
      <c r="B43" s="728" t="s">
        <v>948</v>
      </c>
      <c r="C43" s="728" t="s">
        <v>16</v>
      </c>
      <c r="E43" s="928"/>
      <c r="G43" s="133">
        <f>SUM(E43:E43)</f>
        <v>0</v>
      </c>
    </row>
    <row r="44" spans="1:7">
      <c r="A44" s="330"/>
      <c r="B44" s="728"/>
      <c r="C44" s="728"/>
      <c r="G44" s="133"/>
    </row>
    <row r="45" spans="1:7" ht="15">
      <c r="A45" s="330"/>
      <c r="B45" s="728"/>
      <c r="C45" s="728" t="s">
        <v>17</v>
      </c>
      <c r="E45" s="928"/>
      <c r="G45" s="133">
        <f>SUM(E45:E45)</f>
        <v>0</v>
      </c>
    </row>
    <row r="46" spans="1:7">
      <c r="A46" s="330"/>
      <c r="B46" s="728"/>
      <c r="C46" s="728"/>
      <c r="G46" s="133"/>
    </row>
    <row r="47" spans="1:7" ht="15">
      <c r="A47" s="330"/>
      <c r="B47" s="728"/>
      <c r="C47" s="728" t="s">
        <v>18</v>
      </c>
      <c r="E47" s="928"/>
      <c r="G47" s="133">
        <f>SUM(E47:E47)</f>
        <v>0</v>
      </c>
    </row>
    <row r="48" spans="1:7">
      <c r="A48" s="330"/>
      <c r="B48" s="728"/>
      <c r="C48" s="728" t="s">
        <v>19</v>
      </c>
      <c r="E48" s="501">
        <f>SUM(E43:E47)</f>
        <v>0</v>
      </c>
      <c r="G48" s="241">
        <f>SUM(G43:G47)</f>
        <v>0</v>
      </c>
    </row>
    <row r="49" spans="1:7">
      <c r="A49" s="330"/>
      <c r="B49" s="728"/>
      <c r="C49" s="728"/>
      <c r="G49" s="133"/>
    </row>
    <row r="50" spans="1:7">
      <c r="A50" s="330"/>
      <c r="B50" s="728"/>
      <c r="C50" s="728" t="s">
        <v>20</v>
      </c>
      <c r="G50" s="133">
        <f>SUM(E50:E50)</f>
        <v>0</v>
      </c>
    </row>
    <row r="51" spans="1:7">
      <c r="A51" s="330"/>
      <c r="B51" s="332"/>
      <c r="C51" s="332"/>
      <c r="G51" s="133"/>
    </row>
    <row r="52" spans="1:7" hidden="1">
      <c r="A52" s="330"/>
      <c r="B52" s="728" t="s">
        <v>811</v>
      </c>
      <c r="C52" s="728" t="s">
        <v>16</v>
      </c>
      <c r="G52" s="133">
        <f>SUM(E52:E52)</f>
        <v>0</v>
      </c>
    </row>
    <row r="53" spans="1:7" hidden="1">
      <c r="A53" s="330"/>
      <c r="B53" s="728"/>
      <c r="C53" s="728" t="s">
        <v>17</v>
      </c>
      <c r="G53" s="133">
        <f>SUM(E53:E53)</f>
        <v>0</v>
      </c>
    </row>
    <row r="54" spans="1:7" hidden="1">
      <c r="A54" s="330"/>
      <c r="B54" s="332"/>
      <c r="C54" s="728" t="s">
        <v>812</v>
      </c>
      <c r="G54" s="133">
        <f>SUM(E54:E54)</f>
        <v>0</v>
      </c>
    </row>
    <row r="55" spans="1:7" hidden="1">
      <c r="A55" s="330"/>
      <c r="B55" s="728"/>
      <c r="C55" s="728" t="s">
        <v>813</v>
      </c>
      <c r="G55" s="133">
        <f>SUM(E55:E55)</f>
        <v>0</v>
      </c>
    </row>
    <row r="56" spans="1:7" hidden="1">
      <c r="A56" s="330"/>
      <c r="B56" s="332"/>
      <c r="C56" s="332" t="s">
        <v>814</v>
      </c>
      <c r="G56" s="133">
        <f>SUM(E56:E56)</f>
        <v>0</v>
      </c>
    </row>
    <row r="57" spans="1:7" hidden="1">
      <c r="A57" s="330"/>
      <c r="B57" s="332"/>
      <c r="C57" s="728" t="s">
        <v>19</v>
      </c>
      <c r="E57" s="501">
        <f>SUM(E52:E56)</f>
        <v>0</v>
      </c>
      <c r="G57" s="241">
        <f>SUM(G52:G56)</f>
        <v>0</v>
      </c>
    </row>
    <row r="58" spans="1:7" hidden="1">
      <c r="A58" s="330"/>
      <c r="B58" s="332"/>
      <c r="C58" s="728"/>
      <c r="G58" s="133"/>
    </row>
    <row r="59" spans="1:7" hidden="1">
      <c r="A59" s="330"/>
      <c r="B59" s="332"/>
      <c r="C59" s="332" t="s">
        <v>83</v>
      </c>
      <c r="G59" s="133">
        <f>SUM(E59:E59)</f>
        <v>0</v>
      </c>
    </row>
    <row r="60" spans="1:7" hidden="1">
      <c r="A60" s="330"/>
      <c r="B60" s="332"/>
      <c r="C60" s="332"/>
      <c r="G60" s="133"/>
    </row>
    <row r="61" spans="1:7" ht="15">
      <c r="A61" s="330"/>
      <c r="B61" s="728" t="s">
        <v>810</v>
      </c>
      <c r="C61" s="728" t="s">
        <v>16</v>
      </c>
      <c r="E61" s="928"/>
      <c r="G61" s="133">
        <f>SUM(E61:E61)</f>
        <v>0</v>
      </c>
    </row>
    <row r="62" spans="1:7">
      <c r="A62" s="330"/>
      <c r="B62" s="728"/>
      <c r="C62" s="728"/>
      <c r="G62" s="133"/>
    </row>
    <row r="63" spans="1:7" ht="15">
      <c r="A63" s="330"/>
      <c r="B63" s="728"/>
      <c r="C63" s="728" t="s">
        <v>17</v>
      </c>
      <c r="E63" s="928"/>
      <c r="G63" s="133">
        <f>SUM(E63:E63)</f>
        <v>0</v>
      </c>
    </row>
    <row r="64" spans="1:7">
      <c r="A64" s="330"/>
      <c r="B64" s="728"/>
      <c r="C64" s="728"/>
      <c r="G64" s="133"/>
    </row>
    <row r="65" spans="1:7" ht="15">
      <c r="A65" s="330"/>
      <c r="B65" s="728"/>
      <c r="C65" s="728" t="s">
        <v>18</v>
      </c>
      <c r="E65" s="928"/>
      <c r="G65" s="133">
        <f>SUM(E65:E65)</f>
        <v>0</v>
      </c>
    </row>
    <row r="66" spans="1:7">
      <c r="A66" s="330"/>
      <c r="B66" s="728"/>
      <c r="C66" s="728" t="s">
        <v>19</v>
      </c>
      <c r="E66" s="501">
        <f>SUM(E61:E65)</f>
        <v>0</v>
      </c>
      <c r="G66" s="241">
        <f>SUM(G61:G65)</f>
        <v>0</v>
      </c>
    </row>
    <row r="67" spans="1:7">
      <c r="A67" s="330"/>
      <c r="B67" s="728"/>
      <c r="C67" s="728"/>
      <c r="G67" s="133"/>
    </row>
    <row r="68" spans="1:7">
      <c r="A68" s="330"/>
      <c r="B68" s="728"/>
      <c r="C68" s="728" t="s">
        <v>20</v>
      </c>
      <c r="G68" s="133">
        <f>SUM(E68:E68)</f>
        <v>0</v>
      </c>
    </row>
    <row r="69" spans="1:7">
      <c r="A69" s="330"/>
      <c r="B69" s="332"/>
      <c r="C69" s="332"/>
      <c r="G69" s="133"/>
    </row>
    <row r="70" spans="1:7" hidden="1">
      <c r="A70" s="330"/>
      <c r="B70" s="728" t="s">
        <v>4</v>
      </c>
      <c r="C70" s="728" t="s">
        <v>16</v>
      </c>
      <c r="G70" s="133">
        <f>SUM(E70:E70)</f>
        <v>0</v>
      </c>
    </row>
    <row r="71" spans="1:7" hidden="1">
      <c r="A71" s="330"/>
      <c r="B71" s="728"/>
      <c r="C71" s="728"/>
      <c r="G71" s="133"/>
    </row>
    <row r="72" spans="1:7" hidden="1">
      <c r="A72" s="330"/>
      <c r="B72" s="728"/>
      <c r="C72" s="728" t="s">
        <v>17</v>
      </c>
      <c r="G72" s="133">
        <f>SUM(E72:E72)</f>
        <v>0</v>
      </c>
    </row>
    <row r="73" spans="1:7" hidden="1">
      <c r="A73" s="330"/>
      <c r="B73" s="728"/>
      <c r="C73" s="728"/>
      <c r="G73" s="133"/>
    </row>
    <row r="74" spans="1:7" hidden="1">
      <c r="A74" s="330"/>
      <c r="B74" s="728"/>
      <c r="C74" s="728" t="s">
        <v>18</v>
      </c>
      <c r="G74" s="133">
        <f>SUM(E74:E74)</f>
        <v>0</v>
      </c>
    </row>
    <row r="75" spans="1:7" hidden="1">
      <c r="A75" s="330"/>
      <c r="B75" s="728"/>
      <c r="C75" s="728" t="s">
        <v>19</v>
      </c>
      <c r="E75" s="501">
        <f>SUM(E70:E74)</f>
        <v>0</v>
      </c>
      <c r="G75" s="241">
        <f>SUM(G70:G74)</f>
        <v>0</v>
      </c>
    </row>
    <row r="76" spans="1:7" hidden="1">
      <c r="A76" s="330"/>
      <c r="B76" s="728"/>
      <c r="C76" s="728"/>
      <c r="G76" s="133"/>
    </row>
    <row r="77" spans="1:7" hidden="1">
      <c r="A77" s="330"/>
      <c r="B77" s="728"/>
      <c r="C77" s="728" t="s">
        <v>20</v>
      </c>
      <c r="G77" s="133">
        <f>SUM(E77:E77)</f>
        <v>0</v>
      </c>
    </row>
    <row r="78" spans="1:7" hidden="1">
      <c r="A78" s="330"/>
      <c r="B78" s="728"/>
      <c r="C78" s="728"/>
      <c r="G78" s="133"/>
    </row>
    <row r="79" spans="1:7" hidden="1">
      <c r="A79" s="330"/>
      <c r="B79" s="728" t="s">
        <v>88</v>
      </c>
      <c r="C79" s="728" t="s">
        <v>16</v>
      </c>
      <c r="G79" s="133">
        <f>SUM(E79:E79)</f>
        <v>0</v>
      </c>
    </row>
    <row r="80" spans="1:7" hidden="1">
      <c r="A80" s="330"/>
      <c r="B80" s="728"/>
      <c r="C80" s="728"/>
      <c r="G80" s="133"/>
    </row>
    <row r="81" spans="1:7" hidden="1">
      <c r="A81" s="330"/>
      <c r="B81" s="728"/>
      <c r="C81" s="728" t="s">
        <v>17</v>
      </c>
      <c r="G81" s="133">
        <f>SUM(E81:E81)</f>
        <v>0</v>
      </c>
    </row>
    <row r="82" spans="1:7" hidden="1">
      <c r="A82" s="330"/>
      <c r="B82" s="728"/>
      <c r="C82" s="728"/>
      <c r="G82" s="133"/>
    </row>
    <row r="83" spans="1:7" hidden="1">
      <c r="A83" s="330"/>
      <c r="B83" s="728"/>
      <c r="C83" s="728" t="s">
        <v>18</v>
      </c>
      <c r="G83" s="133">
        <f>SUM(E83:E83)</f>
        <v>0</v>
      </c>
    </row>
    <row r="84" spans="1:7" hidden="1">
      <c r="A84" s="330"/>
      <c r="B84" s="728"/>
      <c r="C84" s="728" t="s">
        <v>19</v>
      </c>
      <c r="E84" s="501">
        <f>SUM(E79:E83)</f>
        <v>0</v>
      </c>
      <c r="G84" s="241">
        <f>SUM(G79:G83)</f>
        <v>0</v>
      </c>
    </row>
    <row r="85" spans="1:7" hidden="1">
      <c r="A85" s="330"/>
      <c r="B85" s="728"/>
      <c r="C85" s="728"/>
      <c r="G85" s="133"/>
    </row>
    <row r="86" spans="1:7" hidden="1">
      <c r="A86" s="330"/>
      <c r="B86" s="728"/>
      <c r="C86" s="728" t="s">
        <v>20</v>
      </c>
      <c r="G86" s="133">
        <f>SUM(E86:E86)</f>
        <v>0</v>
      </c>
    </row>
    <row r="87" spans="1:7" hidden="1">
      <c r="A87" s="330"/>
      <c r="B87" s="728"/>
      <c r="C87" s="728"/>
      <c r="G87" s="133"/>
    </row>
    <row r="88" spans="1:7" hidden="1">
      <c r="A88" s="330"/>
      <c r="B88" s="728" t="s">
        <v>89</v>
      </c>
      <c r="C88" s="728" t="s">
        <v>16</v>
      </c>
      <c r="G88" s="133">
        <f>SUM(E88:E88)</f>
        <v>0</v>
      </c>
    </row>
    <row r="89" spans="1:7" hidden="1">
      <c r="A89" s="330"/>
      <c r="B89" s="728"/>
      <c r="C89" s="728"/>
      <c r="G89" s="133"/>
    </row>
    <row r="90" spans="1:7" hidden="1">
      <c r="A90" s="330"/>
      <c r="B90" s="728"/>
      <c r="C90" s="728" t="s">
        <v>17</v>
      </c>
      <c r="G90" s="133">
        <f>SUM(E90:E90)</f>
        <v>0</v>
      </c>
    </row>
    <row r="91" spans="1:7" hidden="1">
      <c r="A91" s="330"/>
      <c r="B91" s="728"/>
      <c r="C91" s="728"/>
      <c r="G91" s="133"/>
    </row>
    <row r="92" spans="1:7" hidden="1">
      <c r="A92" s="330"/>
      <c r="B92" s="728"/>
      <c r="C92" s="728" t="s">
        <v>18</v>
      </c>
      <c r="G92" s="133">
        <f>SUM(E92:E92)</f>
        <v>0</v>
      </c>
    </row>
    <row r="93" spans="1:7" hidden="1">
      <c r="A93" s="330"/>
      <c r="B93" s="728"/>
      <c r="C93" s="728" t="s">
        <v>19</v>
      </c>
      <c r="E93" s="501">
        <f>SUM(E88:E92)</f>
        <v>0</v>
      </c>
      <c r="G93" s="241">
        <f>SUM(G88:G92)</f>
        <v>0</v>
      </c>
    </row>
    <row r="94" spans="1:7" hidden="1">
      <c r="A94" s="330"/>
      <c r="B94" s="728"/>
      <c r="C94" s="728"/>
      <c r="G94" s="133"/>
    </row>
    <row r="95" spans="1:7" hidden="1">
      <c r="A95" s="330"/>
      <c r="B95" s="728"/>
      <c r="C95" s="728" t="s">
        <v>20</v>
      </c>
      <c r="G95" s="133">
        <f>SUM(E95:E95)</f>
        <v>0</v>
      </c>
    </row>
    <row r="96" spans="1:7" hidden="1">
      <c r="A96" s="330"/>
      <c r="B96" s="728"/>
      <c r="C96" s="728"/>
      <c r="G96" s="133"/>
    </row>
    <row r="97" spans="1:7" ht="15">
      <c r="A97" s="330"/>
      <c r="B97" s="728" t="s">
        <v>951</v>
      </c>
      <c r="C97" s="728" t="s">
        <v>16</v>
      </c>
      <c r="E97" s="928"/>
      <c r="G97" s="133">
        <f>SUM(E97:E97)</f>
        <v>0</v>
      </c>
    </row>
    <row r="98" spans="1:7">
      <c r="A98" s="330"/>
      <c r="B98" s="728"/>
      <c r="C98" s="728"/>
      <c r="G98" s="133"/>
    </row>
    <row r="99" spans="1:7" ht="15">
      <c r="A99" s="330"/>
      <c r="B99" s="728"/>
      <c r="C99" s="728" t="s">
        <v>17</v>
      </c>
      <c r="E99" s="928"/>
      <c r="G99" s="133">
        <f>SUM(E99:E99)</f>
        <v>0</v>
      </c>
    </row>
    <row r="100" spans="1:7">
      <c r="A100" s="330"/>
      <c r="B100" s="728"/>
      <c r="C100" s="728"/>
      <c r="G100" s="133"/>
    </row>
    <row r="101" spans="1:7" ht="15">
      <c r="A101" s="330"/>
      <c r="B101" s="728"/>
      <c r="C101" s="728" t="s">
        <v>18</v>
      </c>
      <c r="E101" s="928"/>
      <c r="G101" s="133">
        <f>SUM(E101:E101)</f>
        <v>0</v>
      </c>
    </row>
    <row r="102" spans="1:7">
      <c r="A102" s="330"/>
      <c r="B102" s="728"/>
      <c r="C102" s="728" t="s">
        <v>19</v>
      </c>
      <c r="E102" s="501">
        <f>SUM(E97:E101)</f>
        <v>0</v>
      </c>
      <c r="G102" s="241">
        <f>SUM(G97:G101)</f>
        <v>0</v>
      </c>
    </row>
    <row r="103" spans="1:7">
      <c r="A103" s="330"/>
      <c r="B103" s="728"/>
      <c r="C103" s="728"/>
      <c r="G103" s="133"/>
    </row>
    <row r="104" spans="1:7">
      <c r="A104" s="330"/>
      <c r="B104" s="728"/>
      <c r="C104" s="728" t="s">
        <v>20</v>
      </c>
      <c r="G104" s="133">
        <f>SUM(E104:E104)</f>
        <v>0</v>
      </c>
    </row>
    <row r="105" spans="1:7">
      <c r="A105" s="330"/>
      <c r="B105" s="728"/>
      <c r="C105" s="728"/>
      <c r="G105" s="133"/>
    </row>
    <row r="106" spans="1:7" hidden="1">
      <c r="A106" s="330"/>
      <c r="B106" s="728" t="s">
        <v>87</v>
      </c>
      <c r="C106" s="728" t="s">
        <v>16</v>
      </c>
      <c r="G106" s="133">
        <f>SUM(E106:E106)</f>
        <v>0</v>
      </c>
    </row>
    <row r="107" spans="1:7" hidden="1">
      <c r="A107" s="330"/>
      <c r="B107" s="728"/>
      <c r="C107" s="728"/>
      <c r="G107" s="133"/>
    </row>
    <row r="108" spans="1:7" hidden="1">
      <c r="A108" s="330"/>
      <c r="B108" s="728"/>
      <c r="C108" s="728" t="s">
        <v>17</v>
      </c>
      <c r="G108" s="133">
        <f>SUM(E108:E108)</f>
        <v>0</v>
      </c>
    </row>
    <row r="109" spans="1:7" hidden="1">
      <c r="A109" s="330"/>
      <c r="B109" s="728"/>
      <c r="C109" s="728"/>
      <c r="G109" s="133"/>
    </row>
    <row r="110" spans="1:7" hidden="1">
      <c r="A110" s="330"/>
      <c r="B110" s="728"/>
      <c r="C110" s="728" t="s">
        <v>18</v>
      </c>
      <c r="G110" s="133">
        <f>SUM(E110:E110)</f>
        <v>0</v>
      </c>
    </row>
    <row r="111" spans="1:7" hidden="1">
      <c r="A111" s="330"/>
      <c r="B111" s="728"/>
      <c r="C111" s="728" t="s">
        <v>19</v>
      </c>
      <c r="E111" s="501">
        <f>SUM(E106:E110)</f>
        <v>0</v>
      </c>
      <c r="G111" s="241">
        <f>SUM(G106:G110)</f>
        <v>0</v>
      </c>
    </row>
    <row r="112" spans="1:7" hidden="1">
      <c r="A112" s="330"/>
      <c r="B112" s="728"/>
      <c r="C112" s="728"/>
      <c r="G112" s="133"/>
    </row>
    <row r="113" spans="1:7" hidden="1">
      <c r="A113" s="330"/>
      <c r="B113" s="728"/>
      <c r="C113" s="728" t="s">
        <v>20</v>
      </c>
      <c r="G113" s="133">
        <f>SUM(E113:E113)</f>
        <v>0</v>
      </c>
    </row>
    <row r="114" spans="1:7" hidden="1">
      <c r="A114" s="330"/>
      <c r="B114" s="728"/>
      <c r="C114" s="728"/>
      <c r="G114" s="133"/>
    </row>
    <row r="115" spans="1:7" hidden="1">
      <c r="A115" s="330"/>
      <c r="B115" s="728" t="s">
        <v>36</v>
      </c>
      <c r="C115" s="728" t="s">
        <v>16</v>
      </c>
      <c r="G115" s="133">
        <f>SUM(E115:E115)</f>
        <v>0</v>
      </c>
    </row>
    <row r="116" spans="1:7" hidden="1">
      <c r="A116" s="330"/>
      <c r="B116" s="728"/>
      <c r="C116" s="728"/>
      <c r="G116" s="133"/>
    </row>
    <row r="117" spans="1:7" hidden="1">
      <c r="A117" s="330"/>
      <c r="B117" s="728"/>
      <c r="C117" s="728" t="s">
        <v>17</v>
      </c>
      <c r="G117" s="133">
        <f>SUM(E117:E117)</f>
        <v>0</v>
      </c>
    </row>
    <row r="118" spans="1:7" hidden="1">
      <c r="A118" s="330"/>
      <c r="B118" s="728"/>
      <c r="C118" s="728"/>
      <c r="G118" s="133"/>
    </row>
    <row r="119" spans="1:7" hidden="1">
      <c r="A119" s="330"/>
      <c r="B119" s="728"/>
      <c r="C119" s="728" t="s">
        <v>18</v>
      </c>
      <c r="G119" s="133">
        <f>SUM(E119:E119)</f>
        <v>0</v>
      </c>
    </row>
    <row r="120" spans="1:7" hidden="1">
      <c r="A120" s="330"/>
      <c r="B120" s="728"/>
      <c r="C120" s="728" t="s">
        <v>19</v>
      </c>
      <c r="E120" s="501">
        <f>SUM(E115:E119)</f>
        <v>0</v>
      </c>
      <c r="G120" s="241">
        <f>SUM(G115:G119)</f>
        <v>0</v>
      </c>
    </row>
    <row r="121" spans="1:7" hidden="1">
      <c r="A121" s="330"/>
      <c r="B121" s="728"/>
      <c r="C121" s="728"/>
      <c r="G121" s="133"/>
    </row>
    <row r="122" spans="1:7" hidden="1">
      <c r="A122" s="330"/>
      <c r="B122" s="728"/>
      <c r="C122" s="728" t="s">
        <v>20</v>
      </c>
      <c r="G122" s="133">
        <f>SUM(E122:E122)</f>
        <v>0</v>
      </c>
    </row>
    <row r="123" spans="1:7" hidden="1">
      <c r="A123" s="330"/>
      <c r="B123" s="728"/>
      <c r="C123" s="728"/>
      <c r="G123" s="133"/>
    </row>
    <row r="124" spans="1:7" ht="15">
      <c r="A124" s="330"/>
      <c r="B124" s="728" t="s">
        <v>954</v>
      </c>
      <c r="C124" s="728" t="s">
        <v>16</v>
      </c>
      <c r="E124" s="928"/>
      <c r="G124" s="133">
        <f>SUM(E124:E124)</f>
        <v>0</v>
      </c>
    </row>
    <row r="125" spans="1:7">
      <c r="A125" s="330"/>
      <c r="B125" s="728"/>
      <c r="C125" s="728"/>
      <c r="G125" s="133"/>
    </row>
    <row r="126" spans="1:7" ht="15">
      <c r="A126" s="330"/>
      <c r="B126" s="728"/>
      <c r="C126" s="728" t="s">
        <v>17</v>
      </c>
      <c r="E126" s="928"/>
      <c r="G126" s="133">
        <f>SUM(E126:E126)</f>
        <v>0</v>
      </c>
    </row>
    <row r="127" spans="1:7">
      <c r="A127" s="330"/>
      <c r="B127" s="728"/>
      <c r="C127" s="728"/>
      <c r="G127" s="133"/>
    </row>
    <row r="128" spans="1:7" ht="15">
      <c r="A128" s="330"/>
      <c r="B128" s="728"/>
      <c r="C128" s="728" t="s">
        <v>18</v>
      </c>
      <c r="E128" s="928"/>
      <c r="G128" s="133">
        <f>SUM(E128:E128)</f>
        <v>0</v>
      </c>
    </row>
    <row r="129" spans="1:7">
      <c r="A129" s="330"/>
      <c r="B129" s="728"/>
      <c r="C129" s="728" t="s">
        <v>19</v>
      </c>
      <c r="E129" s="501">
        <f>SUM(E124:E128)</f>
        <v>0</v>
      </c>
      <c r="G129" s="241">
        <f>SUM(G124:G128)</f>
        <v>0</v>
      </c>
    </row>
    <row r="130" spans="1:7">
      <c r="A130" s="330"/>
      <c r="B130" s="728"/>
      <c r="C130" s="728"/>
      <c r="G130" s="133"/>
    </row>
    <row r="131" spans="1:7">
      <c r="A131" s="330"/>
      <c r="B131" s="728"/>
      <c r="C131" s="728" t="s">
        <v>20</v>
      </c>
      <c r="G131" s="133">
        <f>SUM(E131:E131)</f>
        <v>0</v>
      </c>
    </row>
    <row r="132" spans="1:7">
      <c r="A132" s="330"/>
      <c r="B132" s="728"/>
      <c r="C132" s="728"/>
      <c r="G132" s="133"/>
    </row>
    <row r="133" spans="1:7" hidden="1">
      <c r="A133" s="330"/>
      <c r="B133" s="728" t="s">
        <v>93</v>
      </c>
      <c r="C133" s="728" t="s">
        <v>16</v>
      </c>
      <c r="G133" s="133">
        <f>SUM(E133:E133)</f>
        <v>0</v>
      </c>
    </row>
    <row r="134" spans="1:7" hidden="1">
      <c r="A134" s="330"/>
      <c r="B134" s="728"/>
      <c r="C134" s="728"/>
      <c r="G134" s="133"/>
    </row>
    <row r="135" spans="1:7" hidden="1">
      <c r="A135" s="330"/>
      <c r="B135" s="728"/>
      <c r="C135" s="728" t="s">
        <v>17</v>
      </c>
      <c r="G135" s="133">
        <f>SUM(E135:E135)</f>
        <v>0</v>
      </c>
    </row>
    <row r="136" spans="1:7" hidden="1">
      <c r="A136" s="330"/>
      <c r="B136" s="728"/>
      <c r="C136" s="728"/>
      <c r="G136" s="133"/>
    </row>
    <row r="137" spans="1:7" hidden="1">
      <c r="A137" s="330"/>
      <c r="B137" s="728"/>
      <c r="C137" s="728" t="s">
        <v>18</v>
      </c>
      <c r="G137" s="133">
        <f>SUM(E137:E137)</f>
        <v>0</v>
      </c>
    </row>
    <row r="138" spans="1:7" hidden="1">
      <c r="A138" s="330"/>
      <c r="B138" s="728"/>
      <c r="C138" s="728" t="s">
        <v>19</v>
      </c>
      <c r="E138" s="501">
        <f>SUM(E133:E137)</f>
        <v>0</v>
      </c>
      <c r="G138" s="241">
        <f>SUM(G133:G137)</f>
        <v>0</v>
      </c>
    </row>
    <row r="139" spans="1:7" hidden="1">
      <c r="A139" s="330"/>
      <c r="B139" s="728"/>
      <c r="C139" s="728"/>
      <c r="G139" s="133"/>
    </row>
    <row r="140" spans="1:7" hidden="1">
      <c r="A140" s="330"/>
      <c r="B140" s="728"/>
      <c r="C140" s="728" t="s">
        <v>20</v>
      </c>
      <c r="G140" s="133">
        <f>SUM(E140:E140)</f>
        <v>0</v>
      </c>
    </row>
    <row r="141" spans="1:7" hidden="1">
      <c r="A141" s="330"/>
      <c r="B141" s="728"/>
      <c r="C141" s="728"/>
      <c r="G141" s="133"/>
    </row>
    <row r="142" spans="1:7" ht="15">
      <c r="A142" s="330"/>
      <c r="B142" s="728" t="s">
        <v>692</v>
      </c>
      <c r="C142" s="728" t="s">
        <v>16</v>
      </c>
      <c r="E142" s="928"/>
      <c r="G142" s="133">
        <f>SUM(E142:E142)</f>
        <v>0</v>
      </c>
    </row>
    <row r="143" spans="1:7">
      <c r="A143" s="330"/>
      <c r="B143" s="728"/>
      <c r="C143" s="728"/>
      <c r="G143" s="133"/>
    </row>
    <row r="144" spans="1:7" ht="15">
      <c r="A144" s="330"/>
      <c r="B144" s="728"/>
      <c r="C144" s="728" t="s">
        <v>17</v>
      </c>
      <c r="E144" s="928"/>
      <c r="G144" s="133">
        <f>SUM(E144:E144)</f>
        <v>0</v>
      </c>
    </row>
    <row r="145" spans="1:7">
      <c r="A145" s="330"/>
      <c r="B145" s="728"/>
      <c r="C145" s="728"/>
      <c r="G145" s="133"/>
    </row>
    <row r="146" spans="1:7" ht="15">
      <c r="A146" s="330"/>
      <c r="B146" s="728"/>
      <c r="C146" s="728" t="s">
        <v>18</v>
      </c>
      <c r="E146" s="928"/>
      <c r="G146" s="133">
        <f>SUM(E146:E146)</f>
        <v>0</v>
      </c>
    </row>
    <row r="147" spans="1:7">
      <c r="A147" s="330"/>
      <c r="B147" s="728"/>
      <c r="C147" s="728" t="s">
        <v>19</v>
      </c>
      <c r="E147" s="501">
        <f>SUM(E142:E146)</f>
        <v>0</v>
      </c>
      <c r="G147" s="241">
        <f>SUM(G142:G146)</f>
        <v>0</v>
      </c>
    </row>
    <row r="148" spans="1:7">
      <c r="A148" s="330"/>
      <c r="B148" s="728"/>
      <c r="C148" s="728"/>
      <c r="G148" s="133"/>
    </row>
    <row r="149" spans="1:7">
      <c r="A149" s="330"/>
      <c r="B149" s="728"/>
      <c r="C149" s="728" t="s">
        <v>20</v>
      </c>
      <c r="G149" s="133">
        <f>SUM(E149:E149)</f>
        <v>0</v>
      </c>
    </row>
    <row r="150" spans="1:7">
      <c r="A150" s="330"/>
      <c r="B150" s="728"/>
      <c r="C150" s="728"/>
      <c r="G150" s="133"/>
    </row>
    <row r="151" spans="1:7" ht="15">
      <c r="A151" s="330"/>
      <c r="B151" s="728" t="s">
        <v>10</v>
      </c>
      <c r="C151" s="728" t="s">
        <v>16</v>
      </c>
      <c r="E151" s="928"/>
      <c r="G151" s="133">
        <f>SUM(E151:E151)</f>
        <v>0</v>
      </c>
    </row>
    <row r="152" spans="1:7">
      <c r="A152" s="330"/>
      <c r="B152" s="728"/>
      <c r="C152" s="728"/>
      <c r="G152" s="133"/>
    </row>
    <row r="153" spans="1:7" ht="15">
      <c r="A153" s="330"/>
      <c r="B153" s="728"/>
      <c r="C153" s="728" t="s">
        <v>17</v>
      </c>
      <c r="E153" s="928"/>
      <c r="G153" s="133">
        <f>SUM(E153:E153)</f>
        <v>0</v>
      </c>
    </row>
    <row r="154" spans="1:7">
      <c r="A154" s="330"/>
      <c r="B154" s="728"/>
      <c r="C154" s="728"/>
      <c r="G154" s="133"/>
    </row>
    <row r="155" spans="1:7" ht="15">
      <c r="A155" s="330"/>
      <c r="B155" s="728"/>
      <c r="C155" s="728" t="s">
        <v>18</v>
      </c>
      <c r="E155" s="928"/>
      <c r="G155" s="133">
        <f>SUM(E155:E155)</f>
        <v>0</v>
      </c>
    </row>
    <row r="156" spans="1:7">
      <c r="A156" s="330"/>
      <c r="B156" s="728"/>
      <c r="C156" s="728" t="s">
        <v>19</v>
      </c>
      <c r="E156" s="501">
        <f>SUM(E151:E155)</f>
        <v>0</v>
      </c>
      <c r="G156" s="241">
        <f>SUM(G151:G155)</f>
        <v>0</v>
      </c>
    </row>
    <row r="157" spans="1:7">
      <c r="A157" s="330"/>
      <c r="B157" s="728"/>
      <c r="C157" s="728"/>
      <c r="G157" s="133"/>
    </row>
    <row r="158" spans="1:7">
      <c r="A158" s="330"/>
      <c r="B158" s="728"/>
      <c r="C158" s="728" t="s">
        <v>20</v>
      </c>
      <c r="G158" s="133">
        <f>SUM(E158:E158)</f>
        <v>0</v>
      </c>
    </row>
    <row r="159" spans="1:7">
      <c r="A159" s="330"/>
      <c r="B159" s="728"/>
      <c r="C159" s="728"/>
      <c r="G159" s="133"/>
    </row>
    <row r="160" spans="1:7" ht="15">
      <c r="A160" s="330"/>
      <c r="B160" s="728" t="s">
        <v>958</v>
      </c>
      <c r="C160" s="728" t="s">
        <v>16</v>
      </c>
      <c r="E160" s="928"/>
      <c r="G160" s="133">
        <f>SUM(E160:E160)</f>
        <v>0</v>
      </c>
    </row>
    <row r="161" spans="1:7">
      <c r="A161" s="330"/>
      <c r="B161" s="728"/>
      <c r="C161" s="728"/>
      <c r="G161" s="133"/>
    </row>
    <row r="162" spans="1:7" ht="15">
      <c r="A162" s="330"/>
      <c r="B162" s="728"/>
      <c r="C162" s="728" t="s">
        <v>17</v>
      </c>
      <c r="E162" s="928"/>
      <c r="G162" s="133">
        <f>SUM(E162:E162)</f>
        <v>0</v>
      </c>
    </row>
    <row r="163" spans="1:7">
      <c r="A163" s="330"/>
      <c r="B163" s="728"/>
      <c r="C163" s="728"/>
      <c r="G163" s="133"/>
    </row>
    <row r="164" spans="1:7" ht="15">
      <c r="A164" s="330"/>
      <c r="B164" s="728"/>
      <c r="C164" s="728" t="s">
        <v>18</v>
      </c>
      <c r="E164" s="928"/>
      <c r="G164" s="133">
        <f>SUM(E164:E164)</f>
        <v>0</v>
      </c>
    </row>
    <row r="165" spans="1:7">
      <c r="A165" s="330"/>
      <c r="B165" s="728"/>
      <c r="C165" s="728" t="s">
        <v>19</v>
      </c>
      <c r="E165" s="501">
        <f>SUM(E160:E164)</f>
        <v>0</v>
      </c>
      <c r="G165" s="241">
        <f>SUM(G160:G164)</f>
        <v>0</v>
      </c>
    </row>
    <row r="166" spans="1:7">
      <c r="A166" s="330"/>
      <c r="B166" s="728"/>
      <c r="C166" s="728"/>
      <c r="G166" s="133"/>
    </row>
    <row r="167" spans="1:7">
      <c r="A167" s="330"/>
      <c r="B167" s="728"/>
      <c r="C167" s="728" t="s">
        <v>20</v>
      </c>
      <c r="G167" s="133">
        <f>SUM(E167:E167)</f>
        <v>0</v>
      </c>
    </row>
    <row r="168" spans="1:7">
      <c r="A168" s="330"/>
      <c r="B168" s="332"/>
      <c r="C168" s="332"/>
      <c r="G168" s="133"/>
    </row>
    <row r="169" spans="1:7" hidden="1">
      <c r="A169" s="330"/>
      <c r="B169" s="728" t="s">
        <v>91</v>
      </c>
      <c r="C169" s="728" t="s">
        <v>16</v>
      </c>
      <c r="G169" s="133">
        <f>SUM(E169:E169)</f>
        <v>0</v>
      </c>
    </row>
    <row r="170" spans="1:7" hidden="1">
      <c r="A170" s="330"/>
      <c r="B170" s="728"/>
      <c r="C170" s="728"/>
      <c r="G170" s="133"/>
    </row>
    <row r="171" spans="1:7" hidden="1">
      <c r="A171" s="330"/>
      <c r="B171" s="728"/>
      <c r="C171" s="728" t="s">
        <v>17</v>
      </c>
      <c r="G171" s="133">
        <f>SUM(E171:E171)</f>
        <v>0</v>
      </c>
    </row>
    <row r="172" spans="1:7" hidden="1">
      <c r="A172" s="330"/>
      <c r="B172" s="728"/>
      <c r="C172" s="728"/>
      <c r="G172" s="133"/>
    </row>
    <row r="173" spans="1:7" hidden="1">
      <c r="A173" s="330"/>
      <c r="B173" s="728"/>
      <c r="C173" s="728" t="s">
        <v>18</v>
      </c>
      <c r="G173" s="133">
        <f>SUM(E173:E173)</f>
        <v>0</v>
      </c>
    </row>
    <row r="174" spans="1:7" hidden="1">
      <c r="A174" s="330"/>
      <c r="B174" s="728"/>
      <c r="C174" s="728" t="s">
        <v>19</v>
      </c>
      <c r="E174" s="501">
        <f>SUM(E169:E173)</f>
        <v>0</v>
      </c>
      <c r="G174" s="241">
        <f>SUM(G169:G173)</f>
        <v>0</v>
      </c>
    </row>
    <row r="175" spans="1:7" hidden="1">
      <c r="A175" s="330"/>
      <c r="B175" s="728"/>
      <c r="C175" s="728"/>
      <c r="G175" s="133"/>
    </row>
    <row r="176" spans="1:7" hidden="1">
      <c r="A176" s="330"/>
      <c r="B176" s="728"/>
      <c r="C176" s="728" t="s">
        <v>20</v>
      </c>
      <c r="G176" s="133">
        <f>SUM(E176:E176)</f>
        <v>0</v>
      </c>
    </row>
    <row r="177" spans="1:7" hidden="1">
      <c r="A177" s="330"/>
      <c r="B177" s="728"/>
      <c r="C177" s="728"/>
      <c r="G177" s="133"/>
    </row>
    <row r="178" spans="1:7" hidden="1">
      <c r="A178" s="330"/>
      <c r="B178" s="728" t="s">
        <v>127</v>
      </c>
      <c r="C178" s="728" t="s">
        <v>16</v>
      </c>
      <c r="G178" s="133">
        <f>SUM(E178:E178)</f>
        <v>0</v>
      </c>
    </row>
    <row r="179" spans="1:7" hidden="1">
      <c r="A179" s="330"/>
      <c r="B179" s="728"/>
      <c r="C179" s="728"/>
      <c r="G179" s="133"/>
    </row>
    <row r="180" spans="1:7" hidden="1">
      <c r="A180" s="330"/>
      <c r="B180" s="728"/>
      <c r="C180" s="728" t="s">
        <v>17</v>
      </c>
      <c r="G180" s="133">
        <f>SUM(E180:E180)</f>
        <v>0</v>
      </c>
    </row>
    <row r="181" spans="1:7" hidden="1">
      <c r="A181" s="330"/>
      <c r="B181" s="728"/>
      <c r="C181" s="728"/>
      <c r="G181" s="133"/>
    </row>
    <row r="182" spans="1:7" hidden="1">
      <c r="A182" s="330"/>
      <c r="B182" s="728"/>
      <c r="C182" s="728" t="s">
        <v>18</v>
      </c>
      <c r="G182" s="133">
        <f>SUM(E182:E182)</f>
        <v>0</v>
      </c>
    </row>
    <row r="183" spans="1:7" hidden="1">
      <c r="A183" s="330"/>
      <c r="B183" s="728"/>
      <c r="C183" s="728" t="s">
        <v>19</v>
      </c>
      <c r="E183" s="501">
        <f>SUM(E178:E182)</f>
        <v>0</v>
      </c>
      <c r="G183" s="241">
        <f>SUM(G178:G182)</f>
        <v>0</v>
      </c>
    </row>
    <row r="184" spans="1:7" hidden="1">
      <c r="A184" s="330"/>
      <c r="B184" s="728"/>
      <c r="C184" s="728"/>
      <c r="G184" s="133"/>
    </row>
    <row r="185" spans="1:7" hidden="1">
      <c r="A185" s="330"/>
      <c r="B185" s="728"/>
      <c r="C185" s="728" t="s">
        <v>20</v>
      </c>
      <c r="G185" s="133">
        <f>SUM(E185:E185)</f>
        <v>0</v>
      </c>
    </row>
    <row r="186" spans="1:7" hidden="1">
      <c r="A186" s="330"/>
      <c r="B186" s="728"/>
      <c r="C186" s="728"/>
      <c r="G186" s="133"/>
    </row>
    <row r="187" spans="1:7" hidden="1">
      <c r="A187" s="330"/>
      <c r="B187" s="728" t="s">
        <v>84</v>
      </c>
      <c r="C187" s="728" t="s">
        <v>16</v>
      </c>
      <c r="G187" s="133">
        <f>SUM(E187:E187)</f>
        <v>0</v>
      </c>
    </row>
    <row r="188" spans="1:7" hidden="1">
      <c r="A188" s="330"/>
      <c r="B188" s="728"/>
      <c r="C188" s="728"/>
      <c r="G188" s="133"/>
    </row>
    <row r="189" spans="1:7" hidden="1">
      <c r="A189" s="330"/>
      <c r="B189" s="728"/>
      <c r="C189" s="728" t="s">
        <v>17</v>
      </c>
      <c r="G189" s="133">
        <f>SUM(E189:E189)</f>
        <v>0</v>
      </c>
    </row>
    <row r="190" spans="1:7" hidden="1">
      <c r="A190" s="330"/>
      <c r="B190" s="728"/>
      <c r="C190" s="728"/>
      <c r="G190" s="133"/>
    </row>
    <row r="191" spans="1:7" hidden="1">
      <c r="A191" s="330"/>
      <c r="B191" s="728"/>
      <c r="C191" s="728" t="s">
        <v>18</v>
      </c>
      <c r="G191" s="133">
        <f>SUM(E191:E191)</f>
        <v>0</v>
      </c>
    </row>
    <row r="192" spans="1:7" hidden="1">
      <c r="A192" s="330"/>
      <c r="B192" s="728"/>
      <c r="C192" s="728" t="s">
        <v>19</v>
      </c>
      <c r="E192" s="501">
        <f>SUM(E187:E191)</f>
        <v>0</v>
      </c>
      <c r="G192" s="241">
        <f>SUM(G187:G191)</f>
        <v>0</v>
      </c>
    </row>
    <row r="193" spans="1:7" hidden="1">
      <c r="A193" s="330"/>
      <c r="B193" s="728"/>
      <c r="C193" s="728"/>
      <c r="G193" s="133"/>
    </row>
    <row r="194" spans="1:7" hidden="1">
      <c r="A194" s="330"/>
      <c r="B194" s="728"/>
      <c r="C194" s="728" t="s">
        <v>20</v>
      </c>
      <c r="G194" s="133">
        <f>SUM(E194:E194)</f>
        <v>0</v>
      </c>
    </row>
    <row r="195" spans="1:7" hidden="1">
      <c r="A195" s="330"/>
      <c r="B195" s="728"/>
      <c r="C195" s="728"/>
      <c r="G195" s="133"/>
    </row>
    <row r="196" spans="1:7" ht="15">
      <c r="B196" s="728" t="s">
        <v>690</v>
      </c>
      <c r="C196" s="728" t="s">
        <v>96</v>
      </c>
      <c r="E196" s="928"/>
      <c r="G196" s="133">
        <f>SUM(E196:E196)</f>
        <v>0</v>
      </c>
    </row>
    <row r="197" spans="1:7" ht="15">
      <c r="A197" s="330"/>
      <c r="B197" s="728" t="s">
        <v>114</v>
      </c>
      <c r="C197" s="728" t="s">
        <v>96</v>
      </c>
      <c r="E197" s="928"/>
      <c r="G197" s="133">
        <f>SUM(E197:E197)</f>
        <v>0</v>
      </c>
    </row>
    <row r="198" spans="1:7" ht="13.5" thickBot="1">
      <c r="A198" s="330"/>
      <c r="B198" s="332" t="s">
        <v>543</v>
      </c>
      <c r="C198" s="728"/>
      <c r="G198" s="242"/>
    </row>
    <row r="199" spans="1:7" ht="13.5" thickTop="1">
      <c r="A199" s="330"/>
      <c r="G199" s="133"/>
    </row>
    <row r="200" spans="1:7">
      <c r="A200" s="330"/>
      <c r="B200" s="332"/>
      <c r="C200" s="728" t="s">
        <v>16</v>
      </c>
      <c r="E200" s="501">
        <f t="shared" ref="E200" si="0">+E16+E34+E43+E52+E61+E70+E79+E88+E97+E106+E115+E124+E133+E142+E151+E160+E169+E178+E187+E25+E196+E197</f>
        <v>0</v>
      </c>
      <c r="G200" s="117">
        <f>+G16+G34+G43+G52+G61+G70+G79+G88+G97+G106+G115+G124+G133+G142+G151+G160+G169+G178+G187+G25+G196+G197</f>
        <v>0</v>
      </c>
    </row>
    <row r="201" spans="1:7">
      <c r="A201" s="330"/>
      <c r="B201" s="332"/>
      <c r="C201" s="728" t="s">
        <v>17</v>
      </c>
      <c r="E201" s="501">
        <f>E1*+E18+E36+E45+E54+E62+E63+E72+E81+E90+E99+E108+E117+E126+E135+E144+E153+E162+E171+E180+E189+E27</f>
        <v>0</v>
      </c>
      <c r="G201" s="117">
        <f>+G18+G36+G45+G54+G62+G63+G72+G81+G90+G99+G108+G117+G126+G135+G144+G153+G162+G171+G180+G189+G27</f>
        <v>0</v>
      </c>
    </row>
    <row r="202" spans="1:7">
      <c r="A202" s="330"/>
      <c r="B202" s="332"/>
      <c r="C202" s="728" t="s">
        <v>18</v>
      </c>
      <c r="E202" s="501">
        <f>E1*+E20+E38+E47+E56+E64+E65+E74+E83+E92+E101+E110+E119+E128+E137+E146+E155+E164+E173+E182+E191+E29</f>
        <v>0</v>
      </c>
      <c r="G202" s="117">
        <f>+G20+G38+G47+G56+G64+G65+G74+G83+G92+G101+G110+G119+G128+G137+G146+G155+G164+G173+G182+G191+G29</f>
        <v>0</v>
      </c>
    </row>
    <row r="203" spans="1:7">
      <c r="A203" s="330"/>
      <c r="B203" s="332"/>
      <c r="C203" s="728" t="s">
        <v>457</v>
      </c>
      <c r="E203" s="501">
        <f>+E21+E39+E48+E57+E66+E75+E84+E93+E102+E111+E120+E129+E138+E147+E156+E165+E174+E183+E192+E30+E196+E197</f>
        <v>0</v>
      </c>
      <c r="G203" s="132">
        <f t="shared" ref="G203" si="1">+G21+G39+G48+G57+G66+G75+G84+G93+G102+G111+G120+G129+G138+G147+G156+G165+G174+G183+G192+G30+G196+G197</f>
        <v>0</v>
      </c>
    </row>
    <row r="204" spans="1:7">
      <c r="A204" s="330"/>
      <c r="B204" s="332"/>
      <c r="C204" s="728"/>
      <c r="G204" s="133"/>
    </row>
    <row r="205" spans="1:7">
      <c r="A205" s="330"/>
      <c r="B205" s="728"/>
      <c r="C205" s="728" t="s">
        <v>59</v>
      </c>
      <c r="E205" s="501">
        <f>E1*E23+E41+E50+E59+E68+E77+E86+E95+E104+E113+E194+E32</f>
        <v>0</v>
      </c>
      <c r="G205" s="117">
        <f>G23+G32+G41+G50+G59+G68+G77+G86+G95+G104+G113+G194</f>
        <v>0</v>
      </c>
    </row>
    <row r="206" spans="1:7">
      <c r="A206" s="330"/>
      <c r="B206" s="728"/>
      <c r="C206" s="728" t="s">
        <v>60</v>
      </c>
      <c r="E206" s="501">
        <f>E1*E131+E140+E149+E158+E167+E176+E185+E122</f>
        <v>0</v>
      </c>
      <c r="G206" s="117">
        <f>G131+G140+G149+G158+G167+G176+G185+G122</f>
        <v>0</v>
      </c>
    </row>
    <row r="207" spans="1:7">
      <c r="A207" s="330"/>
      <c r="B207" s="332"/>
      <c r="C207" s="728" t="s">
        <v>458</v>
      </c>
      <c r="E207" s="501">
        <f>E1*+E23+E41+E50+E59+E68+E77+E86+E95+E104+E113+E122+E131+E140+E149+E158+E167+E176+E185+E194+E32</f>
        <v>0</v>
      </c>
      <c r="G207" s="132">
        <f>+G23+G41+G50+G59+G68+G77+G86+G95+G104+G113+G122+G131+G140+G149+G158+G167+G176+G185+G194+G32</f>
        <v>0</v>
      </c>
    </row>
    <row r="208" spans="1:7">
      <c r="A208" s="330"/>
      <c r="B208" s="728"/>
      <c r="C208" s="728"/>
      <c r="G208" s="133"/>
    </row>
    <row r="209" spans="1:7" hidden="1">
      <c r="A209" s="59" t="s">
        <v>459</v>
      </c>
      <c r="B209" s="332"/>
      <c r="C209" s="332"/>
      <c r="G209" s="133"/>
    </row>
    <row r="210" spans="1:7" hidden="1">
      <c r="A210" s="330"/>
      <c r="B210" s="728" t="s">
        <v>15</v>
      </c>
      <c r="C210" s="728" t="s">
        <v>16</v>
      </c>
      <c r="G210" s="133">
        <f>SUM(E210:E210)</f>
        <v>0</v>
      </c>
    </row>
    <row r="211" spans="1:7" hidden="1">
      <c r="A211" s="330"/>
      <c r="B211" s="728"/>
      <c r="C211" s="728"/>
      <c r="G211" s="133"/>
    </row>
    <row r="212" spans="1:7" hidden="1">
      <c r="A212" s="330"/>
      <c r="B212" s="728"/>
      <c r="C212" s="728" t="s">
        <v>17</v>
      </c>
      <c r="G212" s="133">
        <f>SUM(E212:E212)</f>
        <v>0</v>
      </c>
    </row>
    <row r="213" spans="1:7" hidden="1">
      <c r="A213" s="330"/>
      <c r="B213" s="728"/>
      <c r="C213" s="728"/>
      <c r="G213" s="133"/>
    </row>
    <row r="214" spans="1:7" hidden="1">
      <c r="A214" s="330"/>
      <c r="B214" s="728"/>
      <c r="C214" s="728" t="s">
        <v>18</v>
      </c>
      <c r="G214" s="133">
        <f>SUM(E214:E214)</f>
        <v>0</v>
      </c>
    </row>
    <row r="215" spans="1:7" hidden="1">
      <c r="A215" s="330"/>
      <c r="B215" s="728"/>
      <c r="C215" s="728" t="s">
        <v>19</v>
      </c>
      <c r="E215" s="501">
        <f>SUM(E210:E214)</f>
        <v>0</v>
      </c>
      <c r="G215" s="241">
        <f>SUM(G210:G214)</f>
        <v>0</v>
      </c>
    </row>
    <row r="216" spans="1:7" hidden="1">
      <c r="A216" s="330"/>
      <c r="B216" s="728"/>
      <c r="C216" s="728"/>
      <c r="G216" s="133"/>
    </row>
    <row r="217" spans="1:7" hidden="1">
      <c r="A217" s="330"/>
      <c r="B217" s="728"/>
      <c r="C217" s="728" t="s">
        <v>20</v>
      </c>
      <c r="G217" s="133">
        <f>SUM(E217:E217)</f>
        <v>0</v>
      </c>
    </row>
    <row r="218" spans="1:7" hidden="1">
      <c r="A218" s="330"/>
      <c r="B218" s="728"/>
      <c r="C218" s="728"/>
      <c r="G218" s="133"/>
    </row>
    <row r="219" spans="1:7" hidden="1">
      <c r="A219" s="330"/>
      <c r="B219" s="728" t="s">
        <v>88</v>
      </c>
      <c r="C219" s="728" t="s">
        <v>16</v>
      </c>
      <c r="G219" s="133">
        <f>SUM(E219:E219)</f>
        <v>0</v>
      </c>
    </row>
    <row r="220" spans="1:7" hidden="1">
      <c r="A220" s="330"/>
      <c r="B220" s="728"/>
      <c r="C220" s="728"/>
      <c r="G220" s="133"/>
    </row>
    <row r="221" spans="1:7" hidden="1">
      <c r="A221" s="330"/>
      <c r="B221" s="728"/>
      <c r="C221" s="728" t="s">
        <v>17</v>
      </c>
      <c r="G221" s="133">
        <f>SUM(E221:E221)</f>
        <v>0</v>
      </c>
    </row>
    <row r="222" spans="1:7" hidden="1">
      <c r="A222" s="330"/>
      <c r="B222" s="728"/>
      <c r="C222" s="728"/>
      <c r="G222" s="133"/>
    </row>
    <row r="223" spans="1:7" hidden="1">
      <c r="A223" s="330"/>
      <c r="B223" s="728"/>
      <c r="C223" s="728" t="s">
        <v>18</v>
      </c>
      <c r="G223" s="133">
        <f>SUM(E223:E223)</f>
        <v>0</v>
      </c>
    </row>
    <row r="224" spans="1:7" hidden="1">
      <c r="A224" s="330"/>
      <c r="B224" s="728"/>
      <c r="C224" s="728" t="s">
        <v>19</v>
      </c>
      <c r="E224" s="501">
        <f>SUM(E219:E223)</f>
        <v>0</v>
      </c>
      <c r="G224" s="241">
        <f>SUM(G219:G223)</f>
        <v>0</v>
      </c>
    </row>
    <row r="225" spans="1:7" hidden="1">
      <c r="A225" s="330"/>
      <c r="B225" s="728"/>
      <c r="C225" s="728"/>
      <c r="G225" s="133"/>
    </row>
    <row r="226" spans="1:7" hidden="1">
      <c r="A226" s="330"/>
      <c r="B226" s="728"/>
      <c r="C226" s="728" t="s">
        <v>20</v>
      </c>
      <c r="G226" s="133">
        <f>SUM(E226:E226)</f>
        <v>0</v>
      </c>
    </row>
    <row r="227" spans="1:7" ht="13.5" hidden="1" thickBot="1">
      <c r="A227" s="330"/>
      <c r="B227" s="728"/>
      <c r="C227" s="728"/>
      <c r="G227" s="242"/>
    </row>
    <row r="228" spans="1:7" hidden="1">
      <c r="A228" s="330"/>
      <c r="B228" s="728" t="s">
        <v>544</v>
      </c>
      <c r="C228" s="728"/>
      <c r="G228" s="133"/>
    </row>
    <row r="229" spans="1:7" hidden="1">
      <c r="A229" s="330"/>
      <c r="B229" s="332"/>
      <c r="C229" s="728" t="s">
        <v>16</v>
      </c>
      <c r="E229" s="501">
        <f>+E210+E219</f>
        <v>0</v>
      </c>
      <c r="G229" s="133">
        <f>+G210+G219</f>
        <v>0</v>
      </c>
    </row>
    <row r="230" spans="1:7" hidden="1">
      <c r="A230" s="330"/>
      <c r="B230" s="332"/>
      <c r="C230" s="728" t="s">
        <v>17</v>
      </c>
      <c r="E230" s="501">
        <f>+E212+E221</f>
        <v>0</v>
      </c>
      <c r="G230" s="133">
        <f>+G212+G221</f>
        <v>0</v>
      </c>
    </row>
    <row r="231" spans="1:7" hidden="1">
      <c r="A231" s="330"/>
      <c r="B231" s="332"/>
      <c r="C231" s="728" t="s">
        <v>18</v>
      </c>
      <c r="E231" s="501">
        <f>+E214+E223</f>
        <v>0</v>
      </c>
      <c r="G231" s="133">
        <f>+G214+G223</f>
        <v>0</v>
      </c>
    </row>
    <row r="232" spans="1:7" hidden="1">
      <c r="A232" s="330"/>
      <c r="B232" s="332"/>
      <c r="C232" s="728" t="s">
        <v>461</v>
      </c>
      <c r="E232" s="501">
        <f>+E215+E224</f>
        <v>0</v>
      </c>
      <c r="G232" s="241">
        <f>+G215+G224</f>
        <v>0</v>
      </c>
    </row>
    <row r="233" spans="1:7" hidden="1">
      <c r="A233" s="330"/>
      <c r="B233" s="332"/>
      <c r="C233" s="728"/>
      <c r="G233" s="133"/>
    </row>
    <row r="234" spans="1:7" hidden="1">
      <c r="A234" s="330"/>
      <c r="B234" s="332"/>
      <c r="C234" s="728" t="s">
        <v>59</v>
      </c>
      <c r="E234" s="501">
        <f>E217+E226</f>
        <v>0</v>
      </c>
      <c r="G234" s="133">
        <f>G217+G226</f>
        <v>0</v>
      </c>
    </row>
    <row r="235" spans="1:7" hidden="1">
      <c r="A235" s="330"/>
      <c r="B235" s="728"/>
      <c r="C235" s="728" t="s">
        <v>60</v>
      </c>
      <c r="E235" s="501">
        <v>0</v>
      </c>
      <c r="G235" s="133">
        <v>0</v>
      </c>
    </row>
    <row r="236" spans="1:7" hidden="1">
      <c r="A236" s="330"/>
      <c r="B236" s="332"/>
      <c r="C236" s="728" t="s">
        <v>462</v>
      </c>
      <c r="E236" s="501">
        <f>+E217+E226</f>
        <v>0</v>
      </c>
      <c r="G236" s="241">
        <f>+G217+G226</f>
        <v>0</v>
      </c>
    </row>
    <row r="237" spans="1:7" hidden="1">
      <c r="A237" s="330"/>
      <c r="B237" s="113"/>
      <c r="C237" s="114"/>
      <c r="G237" s="133"/>
    </row>
    <row r="238" spans="1:7">
      <c r="A238" s="59" t="s">
        <v>24</v>
      </c>
      <c r="B238" s="113"/>
      <c r="C238" s="114"/>
      <c r="G238" s="133"/>
    </row>
    <row r="239" spans="1:7" ht="15">
      <c r="A239" s="330"/>
      <c r="B239" s="332" t="s">
        <v>15</v>
      </c>
      <c r="C239" s="332" t="s">
        <v>16</v>
      </c>
      <c r="E239" s="928"/>
      <c r="G239" s="133">
        <f>SUM(E239:E239)</f>
        <v>0</v>
      </c>
    </row>
    <row r="240" spans="1:7">
      <c r="A240" s="330"/>
      <c r="B240" s="728"/>
      <c r="C240" s="728"/>
      <c r="G240" s="133"/>
    </row>
    <row r="241" spans="1:7">
      <c r="A241" s="330"/>
      <c r="B241" s="728"/>
      <c r="C241" s="728"/>
      <c r="G241" s="133">
        <f>SUM(E241:E241)</f>
        <v>0</v>
      </c>
    </row>
    <row r="242" spans="1:7">
      <c r="A242" s="330"/>
      <c r="B242" s="728"/>
      <c r="C242" s="728"/>
      <c r="G242" s="133"/>
    </row>
    <row r="243" spans="1:7" ht="15">
      <c r="A243" s="330"/>
      <c r="B243" s="332"/>
      <c r="C243" s="332" t="s">
        <v>18</v>
      </c>
      <c r="E243" s="928"/>
      <c r="G243" s="133">
        <f>SUM(E243:E243)</f>
        <v>0</v>
      </c>
    </row>
    <row r="244" spans="1:7">
      <c r="A244" s="330"/>
      <c r="B244" s="332"/>
      <c r="C244" s="332" t="s">
        <v>19</v>
      </c>
      <c r="E244" s="501">
        <f>SUM(E239:E243)</f>
        <v>0</v>
      </c>
      <c r="G244" s="241">
        <f>SUM(G239:G243)</f>
        <v>0</v>
      </c>
    </row>
    <row r="245" spans="1:7">
      <c r="A245" s="330"/>
      <c r="B245" s="332"/>
      <c r="C245" s="332"/>
      <c r="G245" s="133"/>
    </row>
    <row r="246" spans="1:7">
      <c r="A246" s="330"/>
      <c r="B246" s="332"/>
      <c r="C246" s="332" t="s">
        <v>20</v>
      </c>
      <c r="G246" s="133">
        <f>SUM(E246:E246)</f>
        <v>0</v>
      </c>
    </row>
    <row r="247" spans="1:7">
      <c r="A247" s="330"/>
      <c r="B247" s="728"/>
      <c r="C247" s="728"/>
      <c r="G247" s="133"/>
    </row>
    <row r="248" spans="1:7" ht="15">
      <c r="A248" s="330"/>
      <c r="B248" s="332" t="s">
        <v>809</v>
      </c>
      <c r="C248" s="332" t="s">
        <v>16</v>
      </c>
      <c r="E248" s="928"/>
      <c r="G248" s="133">
        <f>SUM(E248:E248)</f>
        <v>0</v>
      </c>
    </row>
    <row r="249" spans="1:7">
      <c r="A249" s="330"/>
      <c r="B249" s="332"/>
      <c r="C249" s="332"/>
      <c r="G249" s="133"/>
    </row>
    <row r="250" spans="1:7">
      <c r="A250" s="330"/>
      <c r="B250" s="332"/>
      <c r="C250" s="332"/>
      <c r="G250" s="133">
        <f>SUM(E250:E250)</f>
        <v>0</v>
      </c>
    </row>
    <row r="251" spans="1:7">
      <c r="A251" s="330"/>
      <c r="B251" s="728"/>
      <c r="C251" s="728"/>
      <c r="G251" s="133"/>
    </row>
    <row r="252" spans="1:7" ht="15">
      <c r="A252" s="330"/>
      <c r="B252" s="332"/>
      <c r="C252" s="332" t="s">
        <v>18</v>
      </c>
      <c r="E252" s="928"/>
      <c r="G252" s="133">
        <f>SUM(E252:E252)</f>
        <v>0</v>
      </c>
    </row>
    <row r="253" spans="1:7">
      <c r="A253" s="330"/>
      <c r="B253" s="332"/>
      <c r="C253" s="332" t="s">
        <v>19</v>
      </c>
      <c r="E253" s="501">
        <f>SUM(E248:E252)</f>
        <v>0</v>
      </c>
      <c r="G253" s="241">
        <f>SUM(G248:G252)</f>
        <v>0</v>
      </c>
    </row>
    <row r="254" spans="1:7">
      <c r="A254" s="330"/>
      <c r="B254" s="332"/>
      <c r="C254" s="332"/>
      <c r="G254" s="133"/>
    </row>
    <row r="255" spans="1:7">
      <c r="A255" s="330"/>
      <c r="B255" s="332"/>
      <c r="C255" s="332" t="s">
        <v>20</v>
      </c>
      <c r="G255" s="133">
        <f>SUM(E255:E255)</f>
        <v>0</v>
      </c>
    </row>
    <row r="256" spans="1:7">
      <c r="A256" s="330"/>
      <c r="B256" s="728"/>
      <c r="C256" s="728"/>
      <c r="G256" s="133"/>
    </row>
    <row r="257" spans="1:7" ht="15">
      <c r="A257" s="330"/>
      <c r="B257" s="332" t="s">
        <v>810</v>
      </c>
      <c r="C257" s="332" t="s">
        <v>16</v>
      </c>
      <c r="E257" s="928"/>
      <c r="G257" s="133">
        <f>SUM(E257:E257)</f>
        <v>0</v>
      </c>
    </row>
    <row r="258" spans="1:7">
      <c r="A258" s="330"/>
      <c r="B258" s="332"/>
      <c r="C258" s="332"/>
      <c r="G258" s="133"/>
    </row>
    <row r="259" spans="1:7">
      <c r="A259" s="330"/>
      <c r="B259" s="332"/>
      <c r="C259" s="332"/>
      <c r="G259" s="133">
        <f>SUM(E259:E259)</f>
        <v>0</v>
      </c>
    </row>
    <row r="260" spans="1:7">
      <c r="A260" s="330"/>
      <c r="B260" s="728"/>
      <c r="C260" s="728"/>
      <c r="G260" s="133"/>
    </row>
    <row r="261" spans="1:7" ht="15">
      <c r="A261" s="330"/>
      <c r="B261" s="332"/>
      <c r="C261" s="332" t="s">
        <v>18</v>
      </c>
      <c r="E261" s="928"/>
      <c r="G261" s="133">
        <f>SUM(E261:E261)</f>
        <v>0</v>
      </c>
    </row>
    <row r="262" spans="1:7">
      <c r="A262" s="330"/>
      <c r="B262" s="332"/>
      <c r="C262" s="332" t="s">
        <v>19</v>
      </c>
      <c r="E262" s="501">
        <f>SUM(E257:E261)</f>
        <v>0</v>
      </c>
      <c r="G262" s="241">
        <f>SUM(G257:G261)</f>
        <v>0</v>
      </c>
    </row>
    <row r="263" spans="1:7">
      <c r="A263" s="330"/>
      <c r="B263" s="332"/>
      <c r="C263" s="332"/>
      <c r="G263" s="133"/>
    </row>
    <row r="264" spans="1:7">
      <c r="A264" s="330"/>
      <c r="B264" s="332"/>
      <c r="C264" s="332" t="s">
        <v>20</v>
      </c>
      <c r="G264" s="133">
        <f>SUM(E264:E264)</f>
        <v>0</v>
      </c>
    </row>
    <row r="265" spans="1:7">
      <c r="A265" s="330"/>
      <c r="B265" s="728"/>
      <c r="C265" s="728"/>
      <c r="G265" s="133"/>
    </row>
    <row r="266" spans="1:7" hidden="1">
      <c r="A266" s="330"/>
      <c r="B266" s="332" t="s">
        <v>765</v>
      </c>
      <c r="C266" s="332" t="s">
        <v>16</v>
      </c>
      <c r="G266" s="133">
        <f>SUM(E266:E266)</f>
        <v>0</v>
      </c>
    </row>
    <row r="267" spans="1:7" hidden="1">
      <c r="A267" s="330"/>
      <c r="B267" s="332"/>
      <c r="C267" s="332"/>
      <c r="G267" s="133"/>
    </row>
    <row r="268" spans="1:7" hidden="1">
      <c r="A268" s="330"/>
      <c r="B268" s="332"/>
      <c r="C268" s="332"/>
      <c r="G268" s="133">
        <f>SUM(E268:E268)</f>
        <v>0</v>
      </c>
    </row>
    <row r="269" spans="1:7" hidden="1">
      <c r="A269" s="330"/>
      <c r="B269" s="728"/>
      <c r="C269" s="728"/>
      <c r="G269" s="133"/>
    </row>
    <row r="270" spans="1:7" hidden="1">
      <c r="A270" s="330"/>
      <c r="B270" s="332"/>
      <c r="C270" s="332" t="s">
        <v>18</v>
      </c>
      <c r="G270" s="133">
        <f>SUM(E270:E270)</f>
        <v>0</v>
      </c>
    </row>
    <row r="271" spans="1:7" hidden="1">
      <c r="A271" s="330"/>
      <c r="B271" s="332"/>
      <c r="C271" s="332" t="s">
        <v>19</v>
      </c>
      <c r="E271" s="501">
        <f>SUM(E266:E270)</f>
        <v>0</v>
      </c>
      <c r="G271" s="241">
        <f>SUM(G266:G270)</f>
        <v>0</v>
      </c>
    </row>
    <row r="272" spans="1:7" hidden="1">
      <c r="A272" s="330"/>
      <c r="B272" s="332"/>
      <c r="C272" s="332"/>
      <c r="G272" s="133"/>
    </row>
    <row r="273" spans="1:7" hidden="1">
      <c r="A273" s="330"/>
      <c r="B273" s="332"/>
      <c r="C273" s="332" t="s">
        <v>20</v>
      </c>
      <c r="G273" s="133">
        <f>SUM(E273:E273)</f>
        <v>0</v>
      </c>
    </row>
    <row r="274" spans="1:7" hidden="1">
      <c r="A274" s="330"/>
      <c r="B274" s="728"/>
      <c r="C274" s="728"/>
      <c r="G274" s="133"/>
    </row>
    <row r="275" spans="1:7" ht="15">
      <c r="A275" s="330"/>
      <c r="B275" s="332" t="s">
        <v>88</v>
      </c>
      <c r="C275" s="728" t="s">
        <v>16</v>
      </c>
      <c r="E275" s="928"/>
      <c r="G275" s="133">
        <f>SUM(E275:E275)</f>
        <v>0</v>
      </c>
    </row>
    <row r="276" spans="1:7">
      <c r="A276" s="330"/>
      <c r="B276" s="728"/>
      <c r="C276" s="728"/>
      <c r="G276" s="133"/>
    </row>
    <row r="277" spans="1:7" ht="15">
      <c r="A277" s="330"/>
      <c r="B277" s="728"/>
      <c r="C277" s="728" t="s">
        <v>17</v>
      </c>
      <c r="E277" s="928"/>
      <c r="G277" s="133">
        <f>SUM(E277:E277)</f>
        <v>0</v>
      </c>
    </row>
    <row r="278" spans="1:7">
      <c r="A278" s="330"/>
      <c r="B278" s="728"/>
      <c r="C278" s="728"/>
      <c r="G278" s="133"/>
    </row>
    <row r="279" spans="1:7" ht="15">
      <c r="A279" s="330"/>
      <c r="B279" s="332"/>
      <c r="C279" s="728" t="s">
        <v>18</v>
      </c>
      <c r="E279" s="928"/>
      <c r="G279" s="133">
        <f>SUM(E279:E279)</f>
        <v>0</v>
      </c>
    </row>
    <row r="280" spans="1:7">
      <c r="A280" s="330"/>
      <c r="B280" s="332"/>
      <c r="C280" s="728" t="s">
        <v>19</v>
      </c>
      <c r="E280" s="501">
        <f>SUM(E275:E279)</f>
        <v>0</v>
      </c>
      <c r="G280" s="241">
        <f>SUM(G275:G279)</f>
        <v>0</v>
      </c>
    </row>
    <row r="281" spans="1:7">
      <c r="A281" s="330"/>
      <c r="B281" s="332"/>
      <c r="C281" s="728"/>
      <c r="G281" s="133"/>
    </row>
    <row r="282" spans="1:7">
      <c r="A282" s="330"/>
      <c r="B282" s="332"/>
      <c r="C282" s="728" t="s">
        <v>20</v>
      </c>
      <c r="G282" s="133">
        <f>SUM(E282:E282)</f>
        <v>0</v>
      </c>
    </row>
    <row r="283" spans="1:7">
      <c r="A283" s="330"/>
      <c r="B283" s="728"/>
      <c r="C283" s="728"/>
      <c r="G283" s="133"/>
    </row>
    <row r="284" spans="1:7" hidden="1">
      <c r="A284" s="330"/>
      <c r="B284" s="332" t="s">
        <v>89</v>
      </c>
      <c r="C284" s="728" t="s">
        <v>16</v>
      </c>
      <c r="G284" s="133">
        <f>SUM(E284:E284)</f>
        <v>0</v>
      </c>
    </row>
    <row r="285" spans="1:7" hidden="1">
      <c r="A285" s="330"/>
      <c r="B285" s="728"/>
      <c r="C285" s="728"/>
      <c r="G285" s="133"/>
    </row>
    <row r="286" spans="1:7" hidden="1">
      <c r="A286" s="330"/>
      <c r="B286" s="728"/>
      <c r="C286" s="728" t="s">
        <v>17</v>
      </c>
      <c r="G286" s="133">
        <f>SUM(E286:E286)</f>
        <v>0</v>
      </c>
    </row>
    <row r="287" spans="1:7" hidden="1">
      <c r="A287" s="330"/>
      <c r="B287" s="728"/>
      <c r="C287" s="728"/>
      <c r="G287" s="133"/>
    </row>
    <row r="288" spans="1:7" hidden="1">
      <c r="A288" s="330"/>
      <c r="B288" s="332"/>
      <c r="C288" s="728" t="s">
        <v>18</v>
      </c>
      <c r="G288" s="133">
        <f>SUM(E288:E288)</f>
        <v>0</v>
      </c>
    </row>
    <row r="289" spans="1:7" hidden="1">
      <c r="A289" s="330"/>
      <c r="B289" s="332"/>
      <c r="C289" s="728" t="s">
        <v>19</v>
      </c>
      <c r="E289" s="501">
        <f>SUM(E284:E288)</f>
        <v>0</v>
      </c>
      <c r="G289" s="241">
        <f>SUM(G284:G288)</f>
        <v>0</v>
      </c>
    </row>
    <row r="290" spans="1:7" hidden="1">
      <c r="A290" s="330"/>
      <c r="B290" s="332"/>
      <c r="C290" s="728"/>
      <c r="G290" s="133"/>
    </row>
    <row r="291" spans="1:7" hidden="1">
      <c r="A291" s="330"/>
      <c r="B291" s="332"/>
      <c r="C291" s="728" t="s">
        <v>20</v>
      </c>
      <c r="G291" s="133">
        <f>SUM(E291:E291)</f>
        <v>0</v>
      </c>
    </row>
    <row r="292" spans="1:7" hidden="1">
      <c r="A292" s="330"/>
      <c r="B292" s="728"/>
      <c r="C292" s="728"/>
      <c r="G292" s="133"/>
    </row>
    <row r="293" spans="1:7" hidden="1">
      <c r="A293" s="330"/>
      <c r="B293" s="728" t="s">
        <v>25</v>
      </c>
      <c r="C293" s="728" t="s">
        <v>16</v>
      </c>
      <c r="G293" s="133">
        <f>SUM(E293:E293)</f>
        <v>0</v>
      </c>
    </row>
    <row r="294" spans="1:7" hidden="1">
      <c r="A294" s="330"/>
      <c r="B294" s="728" t="s">
        <v>693</v>
      </c>
      <c r="C294" s="728" t="s">
        <v>463</v>
      </c>
      <c r="G294" s="133"/>
    </row>
    <row r="295" spans="1:7" hidden="1">
      <c r="A295" s="330"/>
      <c r="B295" s="728"/>
      <c r="C295" s="728"/>
      <c r="G295" s="133">
        <f>SUM(E295:E295)</f>
        <v>0</v>
      </c>
    </row>
    <row r="296" spans="1:7" hidden="1">
      <c r="A296" s="330"/>
      <c r="B296" s="728"/>
      <c r="C296" s="728"/>
      <c r="G296" s="133"/>
    </row>
    <row r="297" spans="1:7" hidden="1">
      <c r="A297" s="330"/>
      <c r="B297" s="332"/>
      <c r="C297" s="332" t="s">
        <v>18</v>
      </c>
      <c r="G297" s="133">
        <f>SUM(E297:E297)</f>
        <v>0</v>
      </c>
    </row>
    <row r="298" spans="1:7" hidden="1">
      <c r="A298" s="330"/>
      <c r="B298" s="332"/>
      <c r="C298" s="332" t="s">
        <v>19</v>
      </c>
      <c r="E298" s="501">
        <f>SUM(E293:E297)</f>
        <v>0</v>
      </c>
      <c r="G298" s="241">
        <f>SUM(G293:G297)</f>
        <v>0</v>
      </c>
    </row>
    <row r="299" spans="1:7" hidden="1">
      <c r="A299" s="330"/>
      <c r="B299" s="332"/>
      <c r="C299" s="332"/>
      <c r="G299" s="133"/>
    </row>
    <row r="300" spans="1:7" hidden="1">
      <c r="A300" s="330"/>
      <c r="B300" s="332"/>
      <c r="C300" s="332" t="s">
        <v>20</v>
      </c>
      <c r="G300" s="133">
        <f>SUM(E300:E300)</f>
        <v>0</v>
      </c>
    </row>
    <row r="301" spans="1:7" hidden="1">
      <c r="A301" s="330"/>
      <c r="B301" s="728"/>
      <c r="C301" s="728"/>
      <c r="G301" s="133"/>
    </row>
    <row r="302" spans="1:7" ht="15">
      <c r="A302" s="330"/>
      <c r="B302" s="332" t="s">
        <v>26</v>
      </c>
      <c r="C302" s="332" t="s">
        <v>16</v>
      </c>
      <c r="E302" s="928"/>
      <c r="G302" s="133">
        <f>SUM(E302:E302)</f>
        <v>0</v>
      </c>
    </row>
    <row r="303" spans="1:7">
      <c r="A303" s="330"/>
      <c r="B303" s="728"/>
      <c r="C303" s="332"/>
      <c r="G303" s="133"/>
    </row>
    <row r="304" spans="1:7">
      <c r="A304" s="330"/>
      <c r="B304" s="728"/>
      <c r="C304" s="332"/>
      <c r="G304" s="133">
        <f>SUM(E304:E304)</f>
        <v>0</v>
      </c>
    </row>
    <row r="305" spans="1:7">
      <c r="A305" s="330"/>
      <c r="B305" s="728"/>
      <c r="C305" s="332"/>
      <c r="G305" s="133"/>
    </row>
    <row r="306" spans="1:7" ht="15">
      <c r="A306" s="330"/>
      <c r="B306" s="332"/>
      <c r="C306" s="332" t="s">
        <v>18</v>
      </c>
      <c r="E306" s="928"/>
      <c r="G306" s="133">
        <f>SUM(E306:E306)</f>
        <v>0</v>
      </c>
    </row>
    <row r="307" spans="1:7">
      <c r="A307" s="330"/>
      <c r="B307" s="332"/>
      <c r="C307" s="332" t="s">
        <v>19</v>
      </c>
      <c r="E307" s="501">
        <f>SUM(E302:E306)</f>
        <v>0</v>
      </c>
      <c r="G307" s="241">
        <f>SUM(G302:G306)</f>
        <v>0</v>
      </c>
    </row>
    <row r="308" spans="1:7">
      <c r="A308" s="330"/>
      <c r="B308" s="332"/>
      <c r="C308" s="332"/>
      <c r="G308" s="133"/>
    </row>
    <row r="309" spans="1:7">
      <c r="A309" s="330"/>
      <c r="B309" s="332"/>
      <c r="C309" s="332" t="s">
        <v>20</v>
      </c>
      <c r="G309" s="133">
        <f>SUM(E309:E309)</f>
        <v>0</v>
      </c>
    </row>
    <row r="310" spans="1:7">
      <c r="A310" s="330"/>
      <c r="B310" s="728"/>
      <c r="C310" s="728"/>
      <c r="G310" s="133"/>
    </row>
    <row r="311" spans="1:7" ht="15">
      <c r="A311" s="330"/>
      <c r="B311" s="728" t="s">
        <v>25</v>
      </c>
      <c r="C311" s="332" t="s">
        <v>16</v>
      </c>
      <c r="E311" s="928"/>
      <c r="G311" s="133">
        <f>SUM(E311:E311)</f>
        <v>0</v>
      </c>
    </row>
    <row r="312" spans="1:7">
      <c r="A312" s="330"/>
      <c r="B312" s="728" t="s">
        <v>694</v>
      </c>
      <c r="C312" s="332"/>
      <c r="G312" s="133"/>
    </row>
    <row r="313" spans="1:7">
      <c r="A313" s="330"/>
      <c r="B313" s="728"/>
      <c r="C313" s="332"/>
      <c r="G313" s="133">
        <f>SUM(E313:E313)</f>
        <v>0</v>
      </c>
    </row>
    <row r="314" spans="1:7">
      <c r="A314" s="330"/>
      <c r="B314" s="728"/>
      <c r="C314" s="332"/>
      <c r="G314" s="133"/>
    </row>
    <row r="315" spans="1:7" ht="15">
      <c r="A315" s="330"/>
      <c r="B315" s="332"/>
      <c r="C315" s="332" t="s">
        <v>18</v>
      </c>
      <c r="E315" s="928"/>
      <c r="G315" s="133">
        <f>SUM(E315:E315)</f>
        <v>0</v>
      </c>
    </row>
    <row r="316" spans="1:7">
      <c r="A316" s="330"/>
      <c r="B316" s="332"/>
      <c r="C316" s="332" t="s">
        <v>19</v>
      </c>
      <c r="E316" s="501">
        <f>SUM(E311:E315)</f>
        <v>0</v>
      </c>
      <c r="G316" s="241">
        <f>SUM(G311:G315)</f>
        <v>0</v>
      </c>
    </row>
    <row r="317" spans="1:7">
      <c r="A317" s="330"/>
      <c r="B317" s="332"/>
      <c r="C317" s="332"/>
      <c r="G317" s="133"/>
    </row>
    <row r="318" spans="1:7">
      <c r="A318" s="330"/>
      <c r="B318" s="332"/>
      <c r="C318" s="332" t="s">
        <v>20</v>
      </c>
      <c r="G318" s="133">
        <f>SUM(E318:E318)</f>
        <v>0</v>
      </c>
    </row>
    <row r="319" spans="1:7">
      <c r="A319" s="330"/>
      <c r="B319" s="332"/>
      <c r="C319" s="332"/>
      <c r="G319" s="133"/>
    </row>
    <row r="320" spans="1:7" ht="15">
      <c r="A320" s="330"/>
      <c r="B320" s="728" t="s">
        <v>690</v>
      </c>
      <c r="C320" s="728" t="s">
        <v>96</v>
      </c>
      <c r="E320" s="928"/>
      <c r="G320" s="116">
        <f>SUM(E320:E320)</f>
        <v>0</v>
      </c>
    </row>
    <row r="321" spans="1:7" ht="15.75" thickBot="1">
      <c r="A321" s="330"/>
      <c r="B321" s="728" t="s">
        <v>114</v>
      </c>
      <c r="C321" s="728" t="s">
        <v>96</v>
      </c>
      <c r="E321" s="928"/>
      <c r="G321" s="235">
        <f>SUM(E321:E321)</f>
        <v>0</v>
      </c>
    </row>
    <row r="322" spans="1:7" ht="13.5" thickTop="1">
      <c r="A322" s="330"/>
      <c r="B322" s="728" t="s">
        <v>545</v>
      </c>
      <c r="C322" s="728"/>
      <c r="G322" s="133"/>
    </row>
    <row r="323" spans="1:7">
      <c r="A323" s="330"/>
      <c r="B323" s="332"/>
      <c r="C323" s="332" t="s">
        <v>16</v>
      </c>
      <c r="E323" s="501">
        <f>E1*(+E239+E248+E257+E266+E275+E320+E321)</f>
        <v>0</v>
      </c>
      <c r="G323" s="133">
        <f>+G239+G248+G257+G266+G275+G320+G321</f>
        <v>0</v>
      </c>
    </row>
    <row r="324" spans="1:7">
      <c r="A324" s="330"/>
      <c r="B324" s="332"/>
      <c r="C324" s="332" t="s">
        <v>17</v>
      </c>
      <c r="E324" s="501">
        <f>E1*(+E277+E286)</f>
        <v>0</v>
      </c>
      <c r="G324" s="133">
        <f>+G277+G286</f>
        <v>0</v>
      </c>
    </row>
    <row r="325" spans="1:7">
      <c r="A325" s="330"/>
      <c r="B325" s="332"/>
      <c r="C325" s="728" t="s">
        <v>548</v>
      </c>
      <c r="E325" s="501">
        <f>E1*(+E284+E293+E302+E311)</f>
        <v>0</v>
      </c>
      <c r="G325" s="133">
        <f>+G284+G293+G302+G311</f>
        <v>0</v>
      </c>
    </row>
    <row r="326" spans="1:7">
      <c r="A326" s="330"/>
      <c r="B326" s="332"/>
      <c r="C326" s="332" t="s">
        <v>18</v>
      </c>
      <c r="E326" s="501">
        <f>E1*(+E243+E252+E261+E270+E279+E288+E297+E306+E315)</f>
        <v>0</v>
      </c>
      <c r="G326" s="133">
        <f>+G243+G252+G261+G270+G279+G288+G297+G306+G315</f>
        <v>0</v>
      </c>
    </row>
    <row r="327" spans="1:7">
      <c r="A327" s="330"/>
      <c r="B327" s="332"/>
      <c r="C327" s="332" t="s">
        <v>27</v>
      </c>
      <c r="E327" s="501">
        <f t="shared" ref="E327" si="2">E1*+E244+E253+E262+E271+E280+E289+E298+E307+E316+E320+E321</f>
        <v>0</v>
      </c>
      <c r="G327" s="241">
        <f>G1*+G244+G253+G262+G271+G280+G289+G298+G307+G316+G320+G321</f>
        <v>0</v>
      </c>
    </row>
    <row r="328" spans="1:7">
      <c r="A328" s="330"/>
      <c r="B328" s="332"/>
      <c r="C328" s="332"/>
      <c r="G328" s="241"/>
    </row>
    <row r="329" spans="1:7">
      <c r="A329" s="330"/>
      <c r="B329" s="332"/>
      <c r="C329" s="728" t="s">
        <v>59</v>
      </c>
      <c r="E329" s="501">
        <f>E1*(E246+E255+E264+E273+E282+E291)</f>
        <v>0</v>
      </c>
      <c r="G329" s="133">
        <f>G246+G255+G264+G273+G282+G291</f>
        <v>0</v>
      </c>
    </row>
    <row r="330" spans="1:7">
      <c r="A330" s="330"/>
      <c r="B330" s="332"/>
      <c r="C330" s="332" t="s">
        <v>60</v>
      </c>
      <c r="E330" s="501">
        <f>E1*(E309+E318+E300)</f>
        <v>0</v>
      </c>
      <c r="G330" s="133">
        <f>G309+G318+G300</f>
        <v>0</v>
      </c>
    </row>
    <row r="331" spans="1:7">
      <c r="A331" s="330"/>
      <c r="B331" s="332"/>
      <c r="C331" s="332" t="s">
        <v>28</v>
      </c>
      <c r="E331" s="501">
        <f>E1*+E246+E255+E264+E273+E282+E291+E300+E309+E318</f>
        <v>0</v>
      </c>
      <c r="G331" s="241">
        <f>+G246+G255+G264+G273+G282+G291+G300+G309+G318</f>
        <v>0</v>
      </c>
    </row>
    <row r="332" spans="1:7">
      <c r="A332" s="330"/>
      <c r="B332" s="728"/>
      <c r="C332" s="728"/>
      <c r="G332" s="133"/>
    </row>
    <row r="333" spans="1:7" hidden="1">
      <c r="A333" s="59" t="s">
        <v>29</v>
      </c>
      <c r="B333" s="332"/>
      <c r="C333" s="332"/>
      <c r="G333" s="133"/>
    </row>
    <row r="334" spans="1:7" hidden="1">
      <c r="A334" s="330"/>
      <c r="B334" s="728" t="s">
        <v>89</v>
      </c>
      <c r="C334" s="728" t="s">
        <v>16</v>
      </c>
      <c r="G334" s="133">
        <f>SUM(E334:E334)</f>
        <v>0</v>
      </c>
    </row>
    <row r="335" spans="1:7" hidden="1">
      <c r="A335" s="330"/>
      <c r="B335" s="728"/>
      <c r="C335" s="728"/>
      <c r="G335" s="133"/>
    </row>
    <row r="336" spans="1:7" hidden="1">
      <c r="A336" s="330"/>
      <c r="B336" s="728"/>
      <c r="C336" s="728"/>
      <c r="G336" s="133">
        <f>SUM(E336:E336)</f>
        <v>0</v>
      </c>
    </row>
    <row r="337" spans="1:7" hidden="1">
      <c r="A337" s="330"/>
      <c r="B337" s="728"/>
      <c r="C337" s="728"/>
      <c r="G337" s="133"/>
    </row>
    <row r="338" spans="1:7" hidden="1">
      <c r="A338" s="330"/>
      <c r="B338" s="728"/>
      <c r="C338" s="728" t="s">
        <v>18</v>
      </c>
      <c r="G338" s="133">
        <f>SUM(E338:E338)</f>
        <v>0</v>
      </c>
    </row>
    <row r="339" spans="1:7" hidden="1">
      <c r="A339" s="330"/>
      <c r="B339" s="728"/>
      <c r="C339" s="728" t="s">
        <v>19</v>
      </c>
      <c r="E339" s="501">
        <f>SUM(E334:E338)</f>
        <v>0</v>
      </c>
      <c r="G339" s="241">
        <f>SUM(G334:G338)</f>
        <v>0</v>
      </c>
    </row>
    <row r="340" spans="1:7" hidden="1">
      <c r="A340" s="330"/>
      <c r="B340" s="728"/>
      <c r="C340" s="728"/>
      <c r="G340" s="133"/>
    </row>
    <row r="341" spans="1:7" hidden="1">
      <c r="A341" s="330"/>
      <c r="B341" s="728"/>
      <c r="C341" s="728" t="s">
        <v>20</v>
      </c>
      <c r="G341" s="133">
        <f>SUM(E341:E341)</f>
        <v>0</v>
      </c>
    </row>
    <row r="342" spans="1:7" hidden="1">
      <c r="A342" s="330"/>
      <c r="B342" s="332"/>
      <c r="C342" s="332"/>
      <c r="G342" s="133"/>
    </row>
    <row r="343" spans="1:7" hidden="1">
      <c r="A343" s="330"/>
      <c r="B343" s="728" t="s">
        <v>25</v>
      </c>
      <c r="C343" s="728" t="s">
        <v>16</v>
      </c>
      <c r="G343" s="133">
        <f>SUM(E343:E343)</f>
        <v>0</v>
      </c>
    </row>
    <row r="344" spans="1:7" hidden="1">
      <c r="A344" s="330"/>
      <c r="B344" s="728"/>
      <c r="C344" s="728"/>
      <c r="G344" s="133"/>
    </row>
    <row r="345" spans="1:7" hidden="1">
      <c r="A345" s="330"/>
      <c r="B345" s="728"/>
      <c r="C345" s="728"/>
      <c r="G345" s="133">
        <f>SUM(E345:E345)</f>
        <v>0</v>
      </c>
    </row>
    <row r="346" spans="1:7" hidden="1">
      <c r="A346" s="330"/>
      <c r="B346" s="728"/>
      <c r="C346" s="728"/>
      <c r="G346" s="133"/>
    </row>
    <row r="347" spans="1:7" hidden="1">
      <c r="A347" s="330"/>
      <c r="B347" s="728"/>
      <c r="C347" s="728" t="s">
        <v>18</v>
      </c>
      <c r="G347" s="133">
        <f>SUM(E347:E347)</f>
        <v>0</v>
      </c>
    </row>
    <row r="348" spans="1:7" hidden="1">
      <c r="A348" s="330"/>
      <c r="B348" s="728"/>
      <c r="C348" s="728" t="s">
        <v>19</v>
      </c>
      <c r="E348" s="501">
        <f>SUM(E343:E347)</f>
        <v>0</v>
      </c>
      <c r="G348" s="241">
        <f>SUM(G343:G347)</f>
        <v>0</v>
      </c>
    </row>
    <row r="349" spans="1:7" hidden="1">
      <c r="A349" s="330"/>
      <c r="B349" s="728"/>
      <c r="C349" s="728"/>
      <c r="G349" s="133"/>
    </row>
    <row r="350" spans="1:7" hidden="1">
      <c r="A350" s="330"/>
      <c r="B350" s="728"/>
      <c r="C350" s="728" t="s">
        <v>20</v>
      </c>
      <c r="G350" s="133">
        <f>SUM(E350:E350)</f>
        <v>0</v>
      </c>
    </row>
    <row r="351" spans="1:7" ht="13.5" hidden="1" thickBot="1">
      <c r="A351" s="330"/>
      <c r="B351" s="332"/>
      <c r="C351" s="332"/>
      <c r="G351" s="242"/>
    </row>
    <row r="352" spans="1:7" hidden="1">
      <c r="A352" s="330"/>
      <c r="B352" s="332" t="s">
        <v>547</v>
      </c>
      <c r="C352" s="728"/>
      <c r="G352" s="133"/>
    </row>
    <row r="353" spans="1:7" hidden="1">
      <c r="A353" s="330"/>
      <c r="B353" s="332"/>
      <c r="C353" s="728" t="s">
        <v>16</v>
      </c>
      <c r="E353" s="501">
        <f>+E334+E343</f>
        <v>0</v>
      </c>
      <c r="G353" s="133">
        <f>+G334+G343</f>
        <v>0</v>
      </c>
    </row>
    <row r="354" spans="1:7" hidden="1">
      <c r="A354" s="330"/>
      <c r="B354" s="332"/>
      <c r="C354" s="728" t="s">
        <v>18</v>
      </c>
      <c r="E354" s="501">
        <f>+E337+E346</f>
        <v>0</v>
      </c>
      <c r="G354" s="133">
        <f>+G337+G346</f>
        <v>0</v>
      </c>
    </row>
    <row r="355" spans="1:7" hidden="1">
      <c r="A355" s="330"/>
      <c r="B355" s="332"/>
      <c r="C355" s="332" t="s">
        <v>30</v>
      </c>
      <c r="E355" s="501">
        <f>E339+E348</f>
        <v>0</v>
      </c>
      <c r="G355" s="133">
        <f>G339+G348</f>
        <v>0</v>
      </c>
    </row>
    <row r="356" spans="1:7" hidden="1">
      <c r="A356" s="330"/>
      <c r="B356" s="332"/>
      <c r="C356" s="332"/>
      <c r="G356" s="133"/>
    </row>
    <row r="357" spans="1:7" hidden="1">
      <c r="A357" s="330"/>
      <c r="B357" s="728"/>
      <c r="C357" s="332" t="s">
        <v>59</v>
      </c>
      <c r="E357" s="501">
        <f>E341</f>
        <v>0</v>
      </c>
      <c r="G357" s="133">
        <f>G341</f>
        <v>0</v>
      </c>
    </row>
    <row r="358" spans="1:7" hidden="1">
      <c r="A358" s="330"/>
      <c r="B358" s="728"/>
      <c r="C358" s="728" t="s">
        <v>60</v>
      </c>
      <c r="E358" s="501">
        <f>E350</f>
        <v>0</v>
      </c>
      <c r="G358" s="133">
        <f>G350</f>
        <v>0</v>
      </c>
    </row>
    <row r="359" spans="1:7" hidden="1">
      <c r="A359" s="330"/>
      <c r="B359" s="728"/>
      <c r="C359" s="332" t="s">
        <v>31</v>
      </c>
      <c r="E359" s="501">
        <f>E341+E350</f>
        <v>0</v>
      </c>
      <c r="G359" s="133">
        <f>G341+G350</f>
        <v>0</v>
      </c>
    </row>
    <row r="360" spans="1:7" ht="13.5" hidden="1" thickBot="1">
      <c r="A360" s="330"/>
      <c r="B360" s="332"/>
      <c r="C360" s="332"/>
      <c r="G360" s="242"/>
    </row>
    <row r="361" spans="1:7">
      <c r="A361" s="59" t="s">
        <v>32</v>
      </c>
      <c r="B361" s="332"/>
      <c r="C361" s="332"/>
      <c r="G361" s="133"/>
    </row>
    <row r="362" spans="1:7">
      <c r="A362" s="330"/>
      <c r="B362" s="332" t="s">
        <v>659</v>
      </c>
      <c r="C362" s="728"/>
      <c r="G362" s="133"/>
    </row>
    <row r="363" spans="1:7">
      <c r="A363" s="330"/>
      <c r="B363" s="332"/>
      <c r="C363" s="728" t="s">
        <v>16</v>
      </c>
      <c r="E363" s="501">
        <f t="shared" ref="E363" si="3">E1*(E200+E229+E323+E353)</f>
        <v>0</v>
      </c>
      <c r="G363" s="133">
        <f>(G200+G229+G323+G353)</f>
        <v>0</v>
      </c>
    </row>
    <row r="364" spans="1:7">
      <c r="A364" s="330"/>
      <c r="B364" s="332"/>
      <c r="C364" s="728" t="s">
        <v>17</v>
      </c>
      <c r="E364" s="501">
        <f t="shared" ref="E364" si="4">E1*(E201+E230+E324)</f>
        <v>0</v>
      </c>
      <c r="G364" s="133">
        <f>(G201+G230+G324)</f>
        <v>0</v>
      </c>
    </row>
    <row r="365" spans="1:7">
      <c r="A365" s="330"/>
      <c r="B365" s="332"/>
      <c r="C365" s="728" t="s">
        <v>548</v>
      </c>
      <c r="E365" s="501">
        <f t="shared" ref="E365" si="5">E1*(E325)</f>
        <v>0</v>
      </c>
      <c r="G365" s="133">
        <f>(G325)</f>
        <v>0</v>
      </c>
    </row>
    <row r="366" spans="1:7">
      <c r="A366" s="330"/>
      <c r="B366" s="332"/>
      <c r="C366" s="728" t="s">
        <v>18</v>
      </c>
      <c r="E366" s="501">
        <f t="shared" ref="E366" si="6">E1*(E202+E231+E326+E354)</f>
        <v>0</v>
      </c>
      <c r="G366" s="133">
        <f>(G202+G231+G326+G354)</f>
        <v>0</v>
      </c>
    </row>
    <row r="367" spans="1:7">
      <c r="A367" s="330"/>
      <c r="B367" s="332"/>
      <c r="C367" s="728"/>
      <c r="G367" s="133"/>
    </row>
    <row r="368" spans="1:7">
      <c r="A368" s="330"/>
      <c r="B368" s="332"/>
      <c r="C368" s="332" t="s">
        <v>659</v>
      </c>
      <c r="E368" s="501">
        <f t="shared" ref="E368" si="7">E1*(E203+E232+E327+E355)</f>
        <v>0</v>
      </c>
      <c r="G368" s="133">
        <f>(G203+G232+G327+G355)</f>
        <v>0</v>
      </c>
    </row>
    <row r="369" spans="1:7">
      <c r="A369" s="330"/>
      <c r="B369" s="332"/>
      <c r="C369" s="332"/>
      <c r="G369" s="133"/>
    </row>
    <row r="370" spans="1:7">
      <c r="A370" s="330"/>
      <c r="B370" s="728"/>
      <c r="C370" s="332" t="s">
        <v>59</v>
      </c>
      <c r="E370" s="501">
        <f t="shared" ref="E370" si="8">E1*(E205+E234+E329+E357)</f>
        <v>0</v>
      </c>
      <c r="G370" s="133">
        <f>(G205+G234+G329+G357)</f>
        <v>0</v>
      </c>
    </row>
    <row r="371" spans="1:7">
      <c r="A371" s="330"/>
      <c r="B371" s="728"/>
      <c r="C371" s="728" t="s">
        <v>60</v>
      </c>
      <c r="E371" s="501">
        <f t="shared" ref="E371" si="9">E1*(E206+E235+E330+E358)</f>
        <v>0</v>
      </c>
      <c r="G371" s="133">
        <f>(G206+G235+G330+G358)</f>
        <v>0</v>
      </c>
    </row>
    <row r="372" spans="1:7">
      <c r="A372" s="330"/>
      <c r="C372" s="332" t="s">
        <v>33</v>
      </c>
      <c r="E372" s="501">
        <f t="shared" ref="E372" si="10">E1*(E207+E236+E331+E359)</f>
        <v>0</v>
      </c>
      <c r="G372" s="133">
        <f>(G207+G236+G331+G359)</f>
        <v>0</v>
      </c>
    </row>
    <row r="373" spans="1:7">
      <c r="A373" s="330"/>
      <c r="B373" s="106"/>
      <c r="C373" s="106"/>
      <c r="G373" s="133"/>
    </row>
    <row r="374" spans="1:7">
      <c r="A374" s="330"/>
      <c r="B374" s="106"/>
      <c r="C374" s="106"/>
      <c r="G374" s="133"/>
    </row>
    <row r="375" spans="1:7">
      <c r="A375" s="59" t="s">
        <v>167</v>
      </c>
      <c r="B375" s="106"/>
      <c r="C375" s="106"/>
      <c r="G375" s="133"/>
    </row>
    <row r="376" spans="1:7">
      <c r="A376" s="330"/>
      <c r="B376" s="106"/>
      <c r="C376" s="106"/>
      <c r="G376" s="133"/>
    </row>
    <row r="377" spans="1:7">
      <c r="A377" s="134"/>
      <c r="B377" s="106" t="s">
        <v>168</v>
      </c>
      <c r="C377" s="106"/>
      <c r="G377" s="133"/>
    </row>
    <row r="378" spans="1:7">
      <c r="A378" s="134"/>
      <c r="B378" s="106"/>
      <c r="C378" s="106"/>
      <c r="G378" s="133"/>
    </row>
    <row r="379" spans="1:7">
      <c r="A379" s="134">
        <v>483</v>
      </c>
      <c r="B379" s="106" t="s">
        <v>169</v>
      </c>
      <c r="C379" s="106"/>
      <c r="G379" s="133"/>
    </row>
    <row r="380" spans="1:7" ht="15">
      <c r="A380" s="134"/>
      <c r="B380" s="106"/>
      <c r="C380" s="106" t="s">
        <v>14</v>
      </c>
      <c r="E380" s="928"/>
      <c r="G380" s="133">
        <f>SUM(E380:E380)</f>
        <v>0</v>
      </c>
    </row>
    <row r="381" spans="1:7">
      <c r="A381" s="134"/>
      <c r="B381" s="106"/>
      <c r="C381" s="106" t="s">
        <v>24</v>
      </c>
      <c r="G381" s="133">
        <f>SUM(E381:E381)</f>
        <v>0</v>
      </c>
    </row>
    <row r="382" spans="1:7">
      <c r="A382" s="134"/>
      <c r="B382" s="106"/>
      <c r="C382" s="106" t="s">
        <v>170</v>
      </c>
      <c r="E382" s="501">
        <f>SUM(E380:E381)</f>
        <v>0</v>
      </c>
      <c r="G382" s="241">
        <f>SUM(G380:G381)</f>
        <v>0</v>
      </c>
    </row>
    <row r="383" spans="1:7">
      <c r="A383" s="134"/>
      <c r="B383" s="106"/>
      <c r="C383" s="106"/>
      <c r="G383" s="133"/>
    </row>
    <row r="384" spans="1:7">
      <c r="A384" s="134">
        <v>487</v>
      </c>
      <c r="B384" s="106" t="s">
        <v>173</v>
      </c>
      <c r="C384" s="106"/>
      <c r="G384" s="133"/>
    </row>
    <row r="385" spans="1:7" ht="15">
      <c r="A385" s="134"/>
      <c r="B385" s="106"/>
      <c r="C385" s="106" t="s">
        <v>14</v>
      </c>
      <c r="E385" s="928"/>
      <c r="G385" s="133">
        <f>SUM(E385:E385)</f>
        <v>0</v>
      </c>
    </row>
    <row r="386" spans="1:7">
      <c r="A386" s="134"/>
      <c r="B386" s="106"/>
      <c r="C386" s="106" t="s">
        <v>24</v>
      </c>
      <c r="G386" s="133">
        <f>SUM(E386:E386)</f>
        <v>0</v>
      </c>
    </row>
    <row r="387" spans="1:7">
      <c r="A387" s="134"/>
      <c r="B387" s="106"/>
      <c r="C387" s="106" t="s">
        <v>170</v>
      </c>
      <c r="E387" s="501">
        <f>SUM(E385:E386)</f>
        <v>0</v>
      </c>
      <c r="G387" s="241">
        <f>SUM(G385:G386)</f>
        <v>0</v>
      </c>
    </row>
    <row r="388" spans="1:7">
      <c r="A388" s="134"/>
      <c r="B388" s="106"/>
      <c r="C388" s="106"/>
      <c r="G388" s="133"/>
    </row>
    <row r="389" spans="1:7">
      <c r="A389" s="134">
        <v>4860</v>
      </c>
      <c r="B389" s="106" t="s">
        <v>314</v>
      </c>
      <c r="C389" s="106"/>
      <c r="G389" s="133"/>
    </row>
    <row r="390" spans="1:7" ht="15">
      <c r="A390" s="134"/>
      <c r="B390" s="106"/>
      <c r="C390" s="106" t="s">
        <v>14</v>
      </c>
      <c r="E390" s="928"/>
      <c r="G390" s="133">
        <f>SUM(E390:E390)</f>
        <v>0</v>
      </c>
    </row>
    <row r="391" spans="1:7">
      <c r="A391" s="134"/>
      <c r="B391" s="106"/>
      <c r="C391" s="106" t="s">
        <v>24</v>
      </c>
      <c r="G391" s="133">
        <f>SUM(E391:E391)</f>
        <v>0</v>
      </c>
    </row>
    <row r="392" spans="1:7">
      <c r="A392" s="134"/>
      <c r="B392" s="106"/>
      <c r="C392" s="106" t="s">
        <v>170</v>
      </c>
      <c r="E392" s="501">
        <f>SUM(E390:E391)</f>
        <v>0</v>
      </c>
      <c r="G392" s="241">
        <f>SUM(G390:G391)</f>
        <v>0</v>
      </c>
    </row>
    <row r="393" spans="1:7">
      <c r="A393" s="134"/>
      <c r="B393" s="106"/>
      <c r="C393" s="106"/>
      <c r="G393" s="133"/>
    </row>
    <row r="394" spans="1:7">
      <c r="A394" s="134">
        <v>4861</v>
      </c>
      <c r="B394" s="106" t="s">
        <v>315</v>
      </c>
      <c r="C394" s="106"/>
      <c r="G394" s="133"/>
    </row>
    <row r="395" spans="1:7" ht="15">
      <c r="A395" s="134"/>
      <c r="B395" s="106"/>
      <c r="C395" s="106" t="s">
        <v>14</v>
      </c>
      <c r="E395" s="928"/>
      <c r="G395" s="133">
        <f>SUM(E395:E395)</f>
        <v>0</v>
      </c>
    </row>
    <row r="396" spans="1:7">
      <c r="A396" s="134"/>
      <c r="B396" s="106"/>
      <c r="C396" s="106" t="s">
        <v>24</v>
      </c>
      <c r="G396" s="133">
        <f>SUM(E396:E396)</f>
        <v>0</v>
      </c>
    </row>
    <row r="397" spans="1:7">
      <c r="A397" s="134"/>
      <c r="B397" s="106"/>
      <c r="C397" s="106" t="s">
        <v>170</v>
      </c>
      <c r="E397" s="501">
        <f>SUM(E395:E396)</f>
        <v>0</v>
      </c>
      <c r="G397" s="241">
        <f>SUM(G395:G396)</f>
        <v>0</v>
      </c>
    </row>
    <row r="398" spans="1:7">
      <c r="A398" s="134"/>
      <c r="B398" s="106"/>
      <c r="C398" s="106"/>
      <c r="G398" s="133"/>
    </row>
    <row r="399" spans="1:7">
      <c r="A399" s="134">
        <v>4862</v>
      </c>
      <c r="B399" s="106" t="s">
        <v>316</v>
      </c>
      <c r="C399" s="106"/>
      <c r="G399" s="133"/>
    </row>
    <row r="400" spans="1:7" ht="15">
      <c r="A400" s="134"/>
      <c r="B400" s="106"/>
      <c r="C400" s="106" t="s">
        <v>14</v>
      </c>
      <c r="E400" s="928"/>
      <c r="G400" s="133">
        <f>SUM(E400:E400)</f>
        <v>0</v>
      </c>
    </row>
    <row r="401" spans="1:7">
      <c r="A401" s="134"/>
      <c r="B401" s="106"/>
      <c r="C401" s="106" t="s">
        <v>24</v>
      </c>
      <c r="G401" s="133">
        <f>SUM(E401:E401)</f>
        <v>0</v>
      </c>
    </row>
    <row r="402" spans="1:7">
      <c r="A402" s="134"/>
      <c r="B402" s="106"/>
      <c r="C402" s="106" t="s">
        <v>170</v>
      </c>
      <c r="E402" s="501">
        <f>SUM(E400:E401)</f>
        <v>0</v>
      </c>
      <c r="G402" s="241">
        <f>SUM(G400:G401)</f>
        <v>0</v>
      </c>
    </row>
    <row r="403" spans="1:7">
      <c r="A403" s="134"/>
      <c r="B403" s="106"/>
      <c r="C403" s="106"/>
      <c r="G403" s="133"/>
    </row>
    <row r="404" spans="1:7">
      <c r="A404" s="134" t="s">
        <v>411</v>
      </c>
      <c r="B404" s="106" t="s">
        <v>317</v>
      </c>
      <c r="C404" s="106"/>
      <c r="G404" s="133"/>
    </row>
    <row r="405" spans="1:7" ht="15">
      <c r="A405" s="134"/>
      <c r="B405" s="106"/>
      <c r="C405" s="106" t="s">
        <v>14</v>
      </c>
      <c r="E405" s="928"/>
      <c r="G405" s="133">
        <f>SUM(E405:E405)</f>
        <v>0</v>
      </c>
    </row>
    <row r="406" spans="1:7">
      <c r="A406" s="134"/>
      <c r="B406" s="106"/>
      <c r="C406" s="106" t="s">
        <v>24</v>
      </c>
      <c r="G406" s="133">
        <f>SUM(E406:E406)</f>
        <v>0</v>
      </c>
    </row>
    <row r="407" spans="1:7">
      <c r="A407" s="134"/>
      <c r="B407" s="106"/>
      <c r="C407" s="106" t="s">
        <v>170</v>
      </c>
      <c r="E407" s="501">
        <f>SUM(E405:E406)</f>
        <v>0</v>
      </c>
      <c r="G407" s="241">
        <f>SUM(G405:G406)</f>
        <v>0</v>
      </c>
    </row>
    <row r="408" spans="1:7">
      <c r="A408" s="134"/>
      <c r="B408" s="106"/>
      <c r="C408" s="106"/>
      <c r="G408" s="133"/>
    </row>
    <row r="409" spans="1:7">
      <c r="A409" s="134" t="s">
        <v>412</v>
      </c>
      <c r="B409" s="106" t="s">
        <v>318</v>
      </c>
      <c r="C409" s="106"/>
      <c r="G409" s="133"/>
    </row>
    <row r="410" spans="1:7" ht="15">
      <c r="A410" s="134"/>
      <c r="B410" s="106"/>
      <c r="C410" s="106" t="s">
        <v>14</v>
      </c>
      <c r="E410" s="928"/>
      <c r="G410" s="133">
        <f>SUM(E410:E410)</f>
        <v>0</v>
      </c>
    </row>
    <row r="411" spans="1:7">
      <c r="A411" s="134"/>
      <c r="B411" s="106"/>
      <c r="C411" s="106" t="s">
        <v>24</v>
      </c>
      <c r="G411" s="133">
        <f>SUM(E411:E411)</f>
        <v>0</v>
      </c>
    </row>
    <row r="412" spans="1:7">
      <c r="A412" s="134"/>
      <c r="B412" s="106"/>
      <c r="C412" s="106" t="s">
        <v>170</v>
      </c>
      <c r="E412" s="501">
        <f>SUM(E410:E411)</f>
        <v>0</v>
      </c>
      <c r="G412" s="241">
        <f>SUM(G410:G411)</f>
        <v>0</v>
      </c>
    </row>
    <row r="413" spans="1:7">
      <c r="A413" s="134"/>
      <c r="B413" s="106"/>
      <c r="C413" s="106"/>
      <c r="G413" s="133"/>
    </row>
    <row r="414" spans="1:7">
      <c r="A414" s="134" t="s">
        <v>413</v>
      </c>
      <c r="B414" s="106" t="s">
        <v>319</v>
      </c>
      <c r="C414" s="106"/>
      <c r="G414" s="133"/>
    </row>
    <row r="415" spans="1:7" ht="15">
      <c r="A415" s="134"/>
      <c r="B415" s="106"/>
      <c r="C415" s="106" t="s">
        <v>14</v>
      </c>
      <c r="E415" s="928"/>
      <c r="G415" s="133">
        <f>SUM(E415:E415)</f>
        <v>0</v>
      </c>
    </row>
    <row r="416" spans="1:7">
      <c r="A416" s="134"/>
      <c r="B416" s="106"/>
      <c r="C416" s="106" t="s">
        <v>24</v>
      </c>
      <c r="G416" s="133">
        <f>SUM(E416:E416)</f>
        <v>0</v>
      </c>
    </row>
    <row r="417" spans="1:7">
      <c r="A417" s="134"/>
      <c r="B417" s="106"/>
      <c r="C417" s="106" t="s">
        <v>170</v>
      </c>
      <c r="E417" s="501">
        <f>SUM(E415:E416)</f>
        <v>0</v>
      </c>
      <c r="G417" s="241">
        <f>SUM(G415:G416)</f>
        <v>0</v>
      </c>
    </row>
    <row r="418" spans="1:7">
      <c r="A418" s="134"/>
      <c r="B418" s="106"/>
      <c r="C418" s="106"/>
      <c r="G418" s="133"/>
    </row>
    <row r="419" spans="1:7">
      <c r="A419" s="134" t="s">
        <v>414</v>
      </c>
      <c r="B419" s="106" t="s">
        <v>415</v>
      </c>
      <c r="C419" s="106"/>
      <c r="G419" s="133"/>
    </row>
    <row r="420" spans="1:7" ht="15">
      <c r="A420" s="134"/>
      <c r="B420" s="106"/>
      <c r="C420" s="106" t="s">
        <v>14</v>
      </c>
      <c r="E420" s="928"/>
      <c r="G420" s="133">
        <f>SUM(E420:E420)</f>
        <v>0</v>
      </c>
    </row>
    <row r="421" spans="1:7">
      <c r="A421" s="134"/>
      <c r="B421" s="106"/>
      <c r="C421" s="106" t="s">
        <v>24</v>
      </c>
      <c r="G421" s="133">
        <f>SUM(E421:E421)</f>
        <v>0</v>
      </c>
    </row>
    <row r="422" spans="1:7">
      <c r="A422" s="134"/>
      <c r="B422" s="106"/>
      <c r="C422" s="106" t="s">
        <v>170</v>
      </c>
      <c r="E422" s="501">
        <f>SUM(E420:E421)</f>
        <v>0</v>
      </c>
      <c r="G422" s="241">
        <f>SUM(G420:G421)</f>
        <v>0</v>
      </c>
    </row>
    <row r="423" spans="1:7">
      <c r="A423" s="134"/>
      <c r="B423" s="106"/>
      <c r="C423" s="106"/>
      <c r="G423" s="133"/>
    </row>
    <row r="424" spans="1:7">
      <c r="A424" s="134" t="s">
        <v>416</v>
      </c>
      <c r="B424" s="106" t="s">
        <v>320</v>
      </c>
      <c r="C424" s="106"/>
      <c r="G424" s="133"/>
    </row>
    <row r="425" spans="1:7" ht="15">
      <c r="A425" s="134"/>
      <c r="B425" s="106"/>
      <c r="C425" s="106" t="s">
        <v>14</v>
      </c>
      <c r="E425" s="928"/>
      <c r="G425" s="133">
        <f>SUM(E425:E425)</f>
        <v>0</v>
      </c>
    </row>
    <row r="426" spans="1:7">
      <c r="A426" s="134"/>
      <c r="B426" s="106"/>
      <c r="C426" s="106" t="s">
        <v>24</v>
      </c>
      <c r="G426" s="133">
        <f>SUM(E426:E426)</f>
        <v>0</v>
      </c>
    </row>
    <row r="427" spans="1:7">
      <c r="A427" s="134"/>
      <c r="B427" s="106"/>
      <c r="C427" s="106" t="s">
        <v>170</v>
      </c>
      <c r="E427" s="501">
        <f>SUM(E425:E426)</f>
        <v>0</v>
      </c>
      <c r="G427" s="241">
        <f>SUM(G425:G426)</f>
        <v>0</v>
      </c>
    </row>
    <row r="428" spans="1:7">
      <c r="A428" s="134"/>
      <c r="B428" s="106"/>
      <c r="C428" s="106"/>
      <c r="G428" s="133"/>
    </row>
    <row r="429" spans="1:7">
      <c r="A429" s="135" t="s">
        <v>417</v>
      </c>
      <c r="B429" s="106" t="s">
        <v>321</v>
      </c>
      <c r="C429" s="106"/>
      <c r="G429" s="133"/>
    </row>
    <row r="430" spans="1:7" ht="15">
      <c r="A430" s="134"/>
      <c r="B430" s="106"/>
      <c r="C430" s="106" t="s">
        <v>14</v>
      </c>
      <c r="E430" s="928"/>
      <c r="G430" s="133">
        <f>SUM(E430:E430)</f>
        <v>0</v>
      </c>
    </row>
    <row r="431" spans="1:7">
      <c r="A431" s="134"/>
      <c r="B431" s="106"/>
      <c r="C431" s="106" t="s">
        <v>24</v>
      </c>
      <c r="G431" s="133">
        <f>SUM(E431:E431)</f>
        <v>0</v>
      </c>
    </row>
    <row r="432" spans="1:7">
      <c r="A432" s="134"/>
      <c r="B432" s="106"/>
      <c r="C432" s="106" t="s">
        <v>170</v>
      </c>
      <c r="E432" s="501">
        <f>SUM(E430:E431)</f>
        <v>0</v>
      </c>
      <c r="G432" s="241">
        <f>SUM(G430:G431)</f>
        <v>0</v>
      </c>
    </row>
    <row r="433" spans="1:7">
      <c r="A433" s="134"/>
      <c r="B433" s="106"/>
      <c r="C433" s="106"/>
      <c r="G433" s="133"/>
    </row>
    <row r="434" spans="1:7">
      <c r="A434" s="134" t="s">
        <v>418</v>
      </c>
      <c r="B434" s="106" t="s">
        <v>323</v>
      </c>
      <c r="C434" s="106"/>
      <c r="G434" s="133"/>
    </row>
    <row r="435" spans="1:7" ht="15">
      <c r="A435" s="134"/>
      <c r="B435" s="106"/>
      <c r="C435" s="106" t="s">
        <v>14</v>
      </c>
      <c r="E435" s="928"/>
      <c r="G435" s="133">
        <f>SUM(E435:E435)</f>
        <v>0</v>
      </c>
    </row>
    <row r="436" spans="1:7">
      <c r="A436" s="134"/>
      <c r="B436" s="106"/>
      <c r="C436" s="106" t="s">
        <v>24</v>
      </c>
      <c r="G436" s="133">
        <f>SUM(E436:E436)</f>
        <v>0</v>
      </c>
    </row>
    <row r="437" spans="1:7">
      <c r="A437" s="134"/>
      <c r="B437" s="106"/>
      <c r="C437" s="106" t="s">
        <v>170</v>
      </c>
      <c r="E437" s="501">
        <f>SUM(E435:E436)</f>
        <v>0</v>
      </c>
      <c r="G437" s="241">
        <f>SUM(G435:G436)</f>
        <v>0</v>
      </c>
    </row>
    <row r="438" spans="1:7">
      <c r="A438" s="134"/>
      <c r="B438" s="106"/>
      <c r="C438" s="106"/>
      <c r="G438" s="133"/>
    </row>
    <row r="439" spans="1:7">
      <c r="A439" s="134" t="s">
        <v>419</v>
      </c>
      <c r="B439" s="106" t="s">
        <v>324</v>
      </c>
      <c r="C439" s="106"/>
      <c r="G439" s="133"/>
    </row>
    <row r="440" spans="1:7" ht="15">
      <c r="A440" s="134"/>
      <c r="B440" s="106"/>
      <c r="C440" s="106" t="s">
        <v>14</v>
      </c>
      <c r="E440" s="928"/>
      <c r="G440" s="133">
        <f>SUM(E440:E440)</f>
        <v>0</v>
      </c>
    </row>
    <row r="441" spans="1:7">
      <c r="A441" s="134"/>
      <c r="B441" s="106"/>
      <c r="C441" s="106" t="s">
        <v>24</v>
      </c>
      <c r="G441" s="133">
        <f>SUM(E441:E441)</f>
        <v>0</v>
      </c>
    </row>
    <row r="442" spans="1:7">
      <c r="A442" s="134"/>
      <c r="B442" s="106"/>
      <c r="C442" s="106" t="s">
        <v>170</v>
      </c>
      <c r="E442" s="501">
        <f>SUM(E440:E441)</f>
        <v>0</v>
      </c>
      <c r="G442" s="241">
        <f>SUM(G440:G441)</f>
        <v>0</v>
      </c>
    </row>
    <row r="443" spans="1:7">
      <c r="A443" s="134"/>
      <c r="B443" s="106"/>
      <c r="C443" s="106"/>
      <c r="G443" s="133"/>
    </row>
    <row r="444" spans="1:7">
      <c r="A444" s="134" t="s">
        <v>420</v>
      </c>
      <c r="B444" s="106" t="s">
        <v>325</v>
      </c>
      <c r="C444" s="106"/>
      <c r="G444" s="133"/>
    </row>
    <row r="445" spans="1:7" ht="15">
      <c r="A445" s="134"/>
      <c r="B445" s="106"/>
      <c r="C445" s="106" t="s">
        <v>14</v>
      </c>
      <c r="E445" s="928"/>
      <c r="G445" s="133">
        <f>SUM(E445:E445)</f>
        <v>0</v>
      </c>
    </row>
    <row r="446" spans="1:7">
      <c r="A446" s="134"/>
      <c r="B446" s="106"/>
      <c r="C446" s="106" t="s">
        <v>24</v>
      </c>
      <c r="G446" s="133">
        <f>SUM(E446:E446)</f>
        <v>0</v>
      </c>
    </row>
    <row r="447" spans="1:7">
      <c r="A447" s="134"/>
      <c r="B447" s="106"/>
      <c r="C447" s="106" t="s">
        <v>170</v>
      </c>
      <c r="E447" s="501">
        <f>SUM(E445:E446)</f>
        <v>0</v>
      </c>
      <c r="G447" s="241">
        <f>SUM(G445:G446)</f>
        <v>0</v>
      </c>
    </row>
    <row r="448" spans="1:7">
      <c r="A448" s="134"/>
      <c r="B448" s="106"/>
      <c r="C448" s="106"/>
      <c r="G448" s="133"/>
    </row>
    <row r="449" spans="1:7">
      <c r="A449" s="134" t="s">
        <v>421</v>
      </c>
      <c r="B449" s="106" t="s">
        <v>326</v>
      </c>
      <c r="C449" s="106"/>
      <c r="G449" s="133"/>
    </row>
    <row r="450" spans="1:7" ht="15">
      <c r="A450" s="134"/>
      <c r="B450" s="106"/>
      <c r="C450" s="106" t="s">
        <v>14</v>
      </c>
      <c r="E450" s="928"/>
      <c r="G450" s="133">
        <f>SUM(E450:E450)</f>
        <v>0</v>
      </c>
    </row>
    <row r="451" spans="1:7">
      <c r="A451" s="134"/>
      <c r="B451" s="106"/>
      <c r="C451" s="106" t="s">
        <v>24</v>
      </c>
      <c r="G451" s="133">
        <f>SUM(E451:E451)</f>
        <v>0</v>
      </c>
    </row>
    <row r="452" spans="1:7">
      <c r="A452" s="134"/>
      <c r="B452" s="106"/>
      <c r="C452" s="106" t="s">
        <v>170</v>
      </c>
      <c r="E452" s="501">
        <f>SUM(E450:E451)</f>
        <v>0</v>
      </c>
      <c r="G452" s="241">
        <f>SUM(G450:G451)</f>
        <v>0</v>
      </c>
    </row>
    <row r="453" spans="1:7">
      <c r="A453" s="134"/>
      <c r="B453" s="106"/>
      <c r="C453" s="106"/>
      <c r="G453" s="133"/>
    </row>
    <row r="454" spans="1:7">
      <c r="A454" s="134">
        <v>4891</v>
      </c>
      <c r="B454" s="106" t="s">
        <v>327</v>
      </c>
      <c r="C454" s="106"/>
      <c r="G454" s="133"/>
    </row>
    <row r="455" spans="1:7" ht="15">
      <c r="A455" s="134"/>
      <c r="B455" s="106"/>
      <c r="C455" s="106" t="s">
        <v>14</v>
      </c>
      <c r="E455" s="928"/>
      <c r="G455" s="133">
        <f>SUM(E455:E455)</f>
        <v>0</v>
      </c>
    </row>
    <row r="456" spans="1:7">
      <c r="A456" s="134"/>
      <c r="B456" s="106"/>
      <c r="C456" s="106" t="s">
        <v>24</v>
      </c>
      <c r="G456" s="133">
        <f>SUM(E456:E456)</f>
        <v>0</v>
      </c>
    </row>
    <row r="457" spans="1:7">
      <c r="A457" s="134"/>
      <c r="B457" s="106"/>
      <c r="C457" s="106" t="s">
        <v>170</v>
      </c>
      <c r="E457" s="501">
        <f>SUM(E455:E456)</f>
        <v>0</v>
      </c>
      <c r="G457" s="241">
        <f>SUM(G455:G456)</f>
        <v>0</v>
      </c>
    </row>
    <row r="458" spans="1:7">
      <c r="A458" s="134"/>
      <c r="B458" s="106"/>
      <c r="C458" s="106"/>
      <c r="G458" s="133"/>
    </row>
    <row r="459" spans="1:7">
      <c r="A459" s="134">
        <v>490</v>
      </c>
      <c r="B459" s="106" t="s">
        <v>328</v>
      </c>
      <c r="C459" s="106"/>
      <c r="G459" s="133"/>
    </row>
    <row r="460" spans="1:7" ht="15">
      <c r="A460" s="134"/>
      <c r="B460" s="106"/>
      <c r="C460" s="106" t="s">
        <v>14</v>
      </c>
      <c r="E460" s="928"/>
      <c r="G460" s="133">
        <f>SUM(E460:E460)</f>
        <v>0</v>
      </c>
    </row>
    <row r="461" spans="1:7">
      <c r="A461" s="134"/>
      <c r="B461" s="106"/>
      <c r="C461" s="106" t="s">
        <v>24</v>
      </c>
      <c r="G461" s="133">
        <f>SUM(E461:E461)</f>
        <v>0</v>
      </c>
    </row>
    <row r="462" spans="1:7">
      <c r="A462" s="134"/>
      <c r="B462" s="106"/>
      <c r="C462" s="106" t="s">
        <v>170</v>
      </c>
      <c r="E462" s="501">
        <f>SUM(E460:E461)</f>
        <v>0</v>
      </c>
      <c r="G462" s="241">
        <f>SUM(G460:G461)</f>
        <v>0</v>
      </c>
    </row>
    <row r="463" spans="1:7">
      <c r="A463" s="134"/>
      <c r="B463" s="106"/>
      <c r="C463" s="106"/>
      <c r="G463" s="133"/>
    </row>
    <row r="464" spans="1:7">
      <c r="A464" s="134">
        <v>491</v>
      </c>
      <c r="B464" s="106" t="s">
        <v>329</v>
      </c>
      <c r="C464" s="106"/>
      <c r="G464" s="133"/>
    </row>
    <row r="465" spans="1:7" ht="15">
      <c r="A465" s="134"/>
      <c r="B465" s="106"/>
      <c r="C465" s="106" t="s">
        <v>14</v>
      </c>
      <c r="E465" s="928"/>
      <c r="G465" s="133">
        <f>SUM(E465:E465)</f>
        <v>0</v>
      </c>
    </row>
    <row r="466" spans="1:7">
      <c r="A466" s="134"/>
      <c r="B466" s="106"/>
      <c r="C466" s="106" t="s">
        <v>24</v>
      </c>
      <c r="G466" s="133">
        <f>SUM(E466:E466)</f>
        <v>0</v>
      </c>
    </row>
    <row r="467" spans="1:7">
      <c r="A467" s="134"/>
      <c r="B467" s="106"/>
      <c r="C467" s="106" t="s">
        <v>170</v>
      </c>
      <c r="E467" s="501">
        <f>SUM(E465:E466)</f>
        <v>0</v>
      </c>
      <c r="G467" s="241">
        <f>SUM(G465:G466)</f>
        <v>0</v>
      </c>
    </row>
    <row r="468" spans="1:7">
      <c r="A468" s="134"/>
      <c r="B468" s="106"/>
      <c r="C468" s="106"/>
      <c r="G468" s="133"/>
    </row>
    <row r="469" spans="1:7">
      <c r="A469" s="134">
        <v>492</v>
      </c>
      <c r="B469" s="106" t="s">
        <v>330</v>
      </c>
      <c r="C469" s="106"/>
      <c r="G469" s="133"/>
    </row>
    <row r="470" spans="1:7" ht="15">
      <c r="A470" s="134"/>
      <c r="B470" s="106"/>
      <c r="C470" s="106" t="s">
        <v>14</v>
      </c>
      <c r="E470" s="928"/>
      <c r="G470" s="133">
        <f>SUM(E470:E470)</f>
        <v>0</v>
      </c>
    </row>
    <row r="471" spans="1:7">
      <c r="A471" s="134"/>
      <c r="B471" s="106"/>
      <c r="C471" s="106" t="s">
        <v>24</v>
      </c>
      <c r="G471" s="133">
        <f>SUM(E471:E471)</f>
        <v>0</v>
      </c>
    </row>
    <row r="472" spans="1:7">
      <c r="A472" s="134"/>
      <c r="B472" s="106"/>
      <c r="C472" s="106" t="s">
        <v>170</v>
      </c>
      <c r="E472" s="501">
        <f>SUM(E470:E471)</f>
        <v>0</v>
      </c>
      <c r="G472" s="241">
        <f>SUM(G470:G471)</f>
        <v>0</v>
      </c>
    </row>
    <row r="473" spans="1:7">
      <c r="A473" s="134"/>
      <c r="B473" s="106"/>
      <c r="C473" s="106"/>
      <c r="G473" s="133"/>
    </row>
    <row r="474" spans="1:7">
      <c r="A474" s="134">
        <v>493</v>
      </c>
      <c r="B474" s="106" t="s">
        <v>331</v>
      </c>
      <c r="C474" s="106"/>
      <c r="G474" s="133"/>
    </row>
    <row r="475" spans="1:7" ht="15">
      <c r="A475" s="134"/>
      <c r="B475" s="106"/>
      <c r="C475" s="106" t="s">
        <v>14</v>
      </c>
      <c r="E475" s="928"/>
      <c r="G475" s="133">
        <f>SUM(E475:E475)</f>
        <v>0</v>
      </c>
    </row>
    <row r="476" spans="1:7">
      <c r="A476" s="134"/>
      <c r="B476" s="106"/>
      <c r="C476" s="106" t="s">
        <v>24</v>
      </c>
      <c r="G476" s="133">
        <f>SUM(E476:E476)</f>
        <v>0</v>
      </c>
    </row>
    <row r="477" spans="1:7">
      <c r="A477" s="134"/>
      <c r="B477" s="106"/>
      <c r="C477" s="106" t="s">
        <v>170</v>
      </c>
      <c r="E477" s="501">
        <f>SUM(E475:E476)</f>
        <v>0</v>
      </c>
      <c r="G477" s="241">
        <f>SUM(G475:G476)</f>
        <v>0</v>
      </c>
    </row>
    <row r="478" spans="1:7">
      <c r="A478" s="134"/>
      <c r="B478" s="106"/>
      <c r="C478" s="106"/>
      <c r="G478" s="133"/>
    </row>
    <row r="479" spans="1:7">
      <c r="A479" s="134">
        <v>495</v>
      </c>
      <c r="B479" s="106" t="s">
        <v>334</v>
      </c>
      <c r="C479" s="106"/>
      <c r="G479" s="133"/>
    </row>
    <row r="480" spans="1:7" ht="15">
      <c r="A480" s="134"/>
      <c r="B480" s="106"/>
      <c r="C480" s="106" t="s">
        <v>14</v>
      </c>
      <c r="E480" s="928"/>
      <c r="G480" s="133">
        <f>SUM(E480:E480)</f>
        <v>0</v>
      </c>
    </row>
    <row r="481" spans="1:7">
      <c r="A481" s="134"/>
      <c r="B481" s="106"/>
      <c r="C481" s="106" t="s">
        <v>24</v>
      </c>
      <c r="G481" s="133">
        <f>SUM(E481:E481)</f>
        <v>0</v>
      </c>
    </row>
    <row r="482" spans="1:7">
      <c r="A482" s="134"/>
      <c r="B482" s="106"/>
      <c r="C482" s="106" t="s">
        <v>170</v>
      </c>
      <c r="E482" s="501">
        <f>SUM(E480:E481)</f>
        <v>0</v>
      </c>
      <c r="G482" s="241">
        <f>SUM(G480:G481)</f>
        <v>0</v>
      </c>
    </row>
    <row r="483" spans="1:7">
      <c r="A483" s="134"/>
      <c r="B483" s="106"/>
      <c r="C483" s="106"/>
      <c r="G483" s="133"/>
    </row>
    <row r="484" spans="1:7">
      <c r="A484" s="134">
        <v>4951</v>
      </c>
      <c r="B484" s="106" t="s">
        <v>335</v>
      </c>
      <c r="C484" s="106"/>
      <c r="G484" s="133"/>
    </row>
    <row r="485" spans="1:7" ht="15">
      <c r="A485" s="134"/>
      <c r="B485" s="106"/>
      <c r="C485" s="106" t="s">
        <v>14</v>
      </c>
      <c r="E485" s="928"/>
      <c r="G485" s="133">
        <f>SUM(E485:E485)</f>
        <v>0</v>
      </c>
    </row>
    <row r="486" spans="1:7">
      <c r="A486" s="134"/>
      <c r="B486" s="106"/>
      <c r="C486" s="106" t="s">
        <v>24</v>
      </c>
      <c r="G486" s="133">
        <f>SUM(E486:E486)</f>
        <v>0</v>
      </c>
    </row>
    <row r="487" spans="1:7">
      <c r="A487" s="134"/>
      <c r="B487" s="106"/>
      <c r="C487" s="106" t="s">
        <v>170</v>
      </c>
      <c r="E487" s="501">
        <f>SUM(E485:E486)</f>
        <v>0</v>
      </c>
      <c r="G487" s="241">
        <f>SUM(G485:G486)</f>
        <v>0</v>
      </c>
    </row>
    <row r="488" spans="1:7">
      <c r="A488" s="134"/>
      <c r="B488" s="106"/>
      <c r="C488" s="106"/>
      <c r="G488" s="133"/>
    </row>
    <row r="489" spans="1:7">
      <c r="A489" s="134">
        <v>4952</v>
      </c>
      <c r="B489" s="106" t="s">
        <v>336</v>
      </c>
      <c r="C489" s="106"/>
      <c r="G489" s="133"/>
    </row>
    <row r="490" spans="1:7" ht="15">
      <c r="A490" s="134"/>
      <c r="B490" s="106"/>
      <c r="C490" s="106" t="s">
        <v>14</v>
      </c>
      <c r="E490" s="928"/>
      <c r="G490" s="133">
        <f>SUM(E490:E490)</f>
        <v>0</v>
      </c>
    </row>
    <row r="491" spans="1:7">
      <c r="A491" s="134"/>
      <c r="B491" s="106"/>
      <c r="C491" s="106" t="s">
        <v>24</v>
      </c>
      <c r="G491" s="133">
        <f>SUM(E491:E491)</f>
        <v>0</v>
      </c>
    </row>
    <row r="492" spans="1:7">
      <c r="A492" s="134"/>
      <c r="B492" s="106"/>
      <c r="C492" s="106" t="s">
        <v>170</v>
      </c>
      <c r="E492" s="501">
        <f>SUM(E490:E491)</f>
        <v>0</v>
      </c>
      <c r="G492" s="241">
        <f>SUM(G490:G491)</f>
        <v>0</v>
      </c>
    </row>
    <row r="493" spans="1:7">
      <c r="A493" s="134"/>
      <c r="B493" s="106"/>
      <c r="C493" s="106"/>
      <c r="G493" s="133"/>
    </row>
    <row r="494" spans="1:7">
      <c r="A494" s="134">
        <v>4974</v>
      </c>
      <c r="B494" s="106" t="s">
        <v>340</v>
      </c>
      <c r="C494" s="106"/>
      <c r="G494" s="133"/>
    </row>
    <row r="495" spans="1:7" ht="15">
      <c r="A495" s="330"/>
      <c r="B495" s="106"/>
      <c r="C495" s="106" t="s">
        <v>14</v>
      </c>
      <c r="E495" s="928"/>
      <c r="G495" s="133">
        <f>SUM(E495:E495)</f>
        <v>0</v>
      </c>
    </row>
    <row r="496" spans="1:7">
      <c r="A496" s="330"/>
      <c r="B496" s="106"/>
      <c r="C496" s="106" t="s">
        <v>24</v>
      </c>
      <c r="G496" s="133">
        <f>SUM(E496:E496)</f>
        <v>0</v>
      </c>
    </row>
    <row r="497" spans="1:7">
      <c r="A497" s="330"/>
      <c r="B497" s="106"/>
      <c r="C497" s="106" t="s">
        <v>170</v>
      </c>
      <c r="E497" s="501">
        <f>SUM(E495:E496)</f>
        <v>0</v>
      </c>
      <c r="G497" s="241">
        <f>SUM(G495:G496)</f>
        <v>0</v>
      </c>
    </row>
    <row r="498" spans="1:7" ht="13.5" thickBot="1">
      <c r="A498" s="330"/>
      <c r="B498" s="106"/>
      <c r="C498" s="106"/>
      <c r="G498" s="242"/>
    </row>
    <row r="499" spans="1:7" ht="13.5" thickTop="1">
      <c r="A499" s="59" t="s">
        <v>549</v>
      </c>
      <c r="B499" s="106"/>
      <c r="C499" s="106"/>
      <c r="G499" s="133"/>
    </row>
    <row r="500" spans="1:7">
      <c r="A500" s="330"/>
      <c r="B500" s="33" t="s">
        <v>552</v>
      </c>
      <c r="C500" s="106"/>
      <c r="G500" s="133"/>
    </row>
    <row r="501" spans="1:7">
      <c r="A501" s="330"/>
      <c r="B501" s="35"/>
      <c r="C501" s="116" t="s">
        <v>553</v>
      </c>
      <c r="E501" s="501">
        <f>E380+E460+E465+E470+E475+E480+E485+E490</f>
        <v>0</v>
      </c>
      <c r="G501" s="133">
        <f>G380+G460+G465+G470+G475+G480+G485+G490</f>
        <v>0</v>
      </c>
    </row>
    <row r="502" spans="1:7">
      <c r="A502" s="330"/>
      <c r="B502" s="35"/>
      <c r="C502" s="116" t="s">
        <v>554</v>
      </c>
      <c r="E502" s="501">
        <f>E385+E390+E395+E400+E405+E410+E415+E420+E425+E430+E435+E440+E445+E450+E455+E495</f>
        <v>0</v>
      </c>
      <c r="G502" s="133">
        <f>G385+G390+G395+G400+G405+G410+G415+G420+G425+G430+G435+G440+G445+G450+G455+G495</f>
        <v>0</v>
      </c>
    </row>
    <row r="503" spans="1:7">
      <c r="A503" s="330"/>
      <c r="B503" s="35"/>
      <c r="C503" s="60" t="s">
        <v>555</v>
      </c>
      <c r="E503" s="501">
        <f>E380+E385+E390+E395+E400+E405+E410+E415+E420+E425+E430+E435+E440+E445+E450+E455+E460+E465+E470+E475+E480+E485+E490+E495</f>
        <v>0</v>
      </c>
      <c r="G503" s="133">
        <f>G380+G385+G390+G395+G400+G405+G410+G415+G420+G425+G430+G435+G440+G445+G450+G455+G460+G465+G470+G475+G480+G485+G490+G495</f>
        <v>0</v>
      </c>
    </row>
    <row r="504" spans="1:7">
      <c r="A504" s="330"/>
      <c r="B504" s="35" t="s">
        <v>556</v>
      </c>
      <c r="C504" s="116"/>
      <c r="G504" s="133"/>
    </row>
    <row r="505" spans="1:7">
      <c r="A505" s="330"/>
      <c r="B505" s="35"/>
      <c r="C505" s="116" t="s">
        <v>553</v>
      </c>
      <c r="E505" s="501">
        <f>E486+E491</f>
        <v>0</v>
      </c>
      <c r="G505" s="133">
        <f>G486+G491</f>
        <v>0</v>
      </c>
    </row>
    <row r="506" spans="1:7">
      <c r="A506" s="330"/>
      <c r="B506" s="35"/>
      <c r="C506" s="116" t="s">
        <v>554</v>
      </c>
      <c r="E506" s="501">
        <f>E381+E386+E391+E396+E401+E406+E411+E416+E421+E426+E431+E436+E441+E446+E451+E456+E461+E466+E471+E476+E481+E496</f>
        <v>0</v>
      </c>
      <c r="G506" s="133">
        <f>G381+G386+G391+G396+G401+G406+G411+G416+G421+G426+G431+G436+G441+G446+G451+G456+G461+G466+G471+G476+G481+G496</f>
        <v>0</v>
      </c>
    </row>
    <row r="507" spans="1:7">
      <c r="A507" s="330"/>
      <c r="B507" s="35"/>
      <c r="C507" s="60" t="s">
        <v>557</v>
      </c>
      <c r="E507" s="501">
        <f>E381+E386+E391+E396+E401+E406+E411+E416+E421+E426+E431+E436+E441+E446+E451+E456+E461+E466+E471+E476+E481+E486+E491+E496</f>
        <v>0</v>
      </c>
      <c r="G507" s="133">
        <f>G381+G386+G391+G396+G401+G406+G411+G416+G421+G426+G431+G436+G441+G446+G451+G456+G461+G466+G471+G476+G481+G486+G491+G496</f>
        <v>0</v>
      </c>
    </row>
    <row r="508" spans="1:7">
      <c r="A508" s="330"/>
      <c r="B508" s="35"/>
      <c r="C508" s="116"/>
      <c r="G508" s="133"/>
    </row>
    <row r="509" spans="1:7">
      <c r="A509" s="330"/>
      <c r="B509" s="35" t="s">
        <v>558</v>
      </c>
      <c r="C509" s="116"/>
      <c r="E509" s="501">
        <f>E382+E387+E392+E397+E402+E407+E412+E417+E422+E427+E432+E437+E442+E447+E452+E457+E462+E467+E472+E477+E482+E487+E492+E497</f>
        <v>0</v>
      </c>
      <c r="G509" s="133">
        <f>G382+G387+G392+G397+G402+G407+G412+G417+G422+G427+G432+G437+G442+G447+G452+G457+G462+G467+G472+G477+G482+G487+G492+G497</f>
        <v>0</v>
      </c>
    </row>
    <row r="510" spans="1:7">
      <c r="A510" s="330"/>
      <c r="B510" s="35"/>
      <c r="C510" s="116"/>
      <c r="G510" s="133"/>
    </row>
    <row r="511" spans="1:7">
      <c r="A511" s="330"/>
      <c r="B511" s="35"/>
      <c r="C511" s="116"/>
      <c r="G511" s="133"/>
    </row>
    <row r="512" spans="1:7">
      <c r="A512" s="59" t="s">
        <v>341</v>
      </c>
      <c r="B512" s="35"/>
      <c r="C512" s="116"/>
      <c r="E512" s="501">
        <f>E368+E509</f>
        <v>0</v>
      </c>
      <c r="G512" s="133">
        <f>SUM(E512:E512)</f>
        <v>0</v>
      </c>
    </row>
    <row r="513" spans="1:7">
      <c r="A513" s="330"/>
      <c r="B513" s="106"/>
      <c r="C513" s="106"/>
      <c r="G513" s="133"/>
    </row>
    <row r="514" spans="1:7">
      <c r="A514" s="330"/>
      <c r="B514" s="106"/>
      <c r="C514" s="106"/>
      <c r="G514" s="133"/>
    </row>
    <row r="515" spans="1:7">
      <c r="A515" s="221"/>
      <c r="B515" s="221"/>
      <c r="C515" s="221"/>
      <c r="G515" s="133"/>
    </row>
    <row r="516" spans="1:7">
      <c r="A516" s="59" t="s">
        <v>343</v>
      </c>
      <c r="B516" s="106"/>
      <c r="C516" s="106"/>
      <c r="G516" s="133"/>
    </row>
    <row r="517" spans="1:7">
      <c r="A517" s="330"/>
      <c r="B517" s="106"/>
      <c r="C517" s="106"/>
      <c r="G517" s="133"/>
    </row>
    <row r="518" spans="1:7">
      <c r="A518" s="134"/>
      <c r="B518" s="106" t="s">
        <v>168</v>
      </c>
      <c r="C518" s="106"/>
      <c r="G518" s="133"/>
    </row>
    <row r="519" spans="1:7">
      <c r="A519" s="134"/>
      <c r="B519" s="106"/>
      <c r="C519" s="106"/>
      <c r="G519" s="133"/>
    </row>
    <row r="520" spans="1:7">
      <c r="A520" s="134">
        <v>758</v>
      </c>
      <c r="B520" s="106" t="s">
        <v>344</v>
      </c>
      <c r="C520" s="106"/>
      <c r="G520" s="133"/>
    </row>
    <row r="521" spans="1:7" ht="15">
      <c r="A521" s="134"/>
      <c r="B521" s="106"/>
      <c r="C521" s="106" t="s">
        <v>14</v>
      </c>
      <c r="E521" s="928"/>
      <c r="G521" s="133">
        <f>SUM(E521:E521)</f>
        <v>0</v>
      </c>
    </row>
    <row r="522" spans="1:7">
      <c r="A522" s="134"/>
      <c r="B522" s="106"/>
      <c r="C522" s="106" t="s">
        <v>24</v>
      </c>
      <c r="G522" s="133">
        <f>SUM(E522:E522)</f>
        <v>0</v>
      </c>
    </row>
    <row r="523" spans="1:7">
      <c r="A523" s="134"/>
      <c r="B523" s="106"/>
      <c r="C523" s="106" t="s">
        <v>170</v>
      </c>
      <c r="E523" s="501">
        <f>SUM(E521:E522)</f>
        <v>0</v>
      </c>
      <c r="G523" s="241">
        <f>SUM(G521:G522)</f>
        <v>0</v>
      </c>
    </row>
    <row r="524" spans="1:7">
      <c r="A524" s="134"/>
      <c r="B524" s="106"/>
      <c r="C524" s="106"/>
      <c r="G524" s="133"/>
    </row>
    <row r="525" spans="1:7">
      <c r="A525" s="134">
        <v>758.1</v>
      </c>
      <c r="B525" s="106" t="s">
        <v>345</v>
      </c>
      <c r="C525" s="106"/>
      <c r="G525" s="133"/>
    </row>
    <row r="526" spans="1:7" ht="15">
      <c r="A526" s="134"/>
      <c r="B526" s="106"/>
      <c r="C526" s="106" t="s">
        <v>14</v>
      </c>
      <c r="E526" s="928"/>
      <c r="G526" s="133">
        <f>SUM(E526:E526)</f>
        <v>0</v>
      </c>
    </row>
    <row r="527" spans="1:7">
      <c r="A527" s="134"/>
      <c r="B527" s="106"/>
      <c r="C527" s="106" t="s">
        <v>24</v>
      </c>
      <c r="G527" s="133">
        <f>SUM(E527:E527)</f>
        <v>0</v>
      </c>
    </row>
    <row r="528" spans="1:7">
      <c r="A528" s="134"/>
      <c r="B528" s="106"/>
      <c r="C528" s="106" t="s">
        <v>170</v>
      </c>
      <c r="E528" s="501">
        <f>SUM(E526:E527)</f>
        <v>0</v>
      </c>
      <c r="G528" s="241">
        <f>SUM(G526:G527)</f>
        <v>0</v>
      </c>
    </row>
    <row r="529" spans="1:7">
      <c r="A529" s="134"/>
      <c r="B529" s="106"/>
      <c r="C529" s="106"/>
      <c r="G529" s="133"/>
    </row>
    <row r="530" spans="1:7">
      <c r="A530" s="134">
        <v>759</v>
      </c>
      <c r="B530" s="106" t="s">
        <v>347</v>
      </c>
      <c r="C530" s="106"/>
      <c r="G530" s="133"/>
    </row>
    <row r="531" spans="1:7" ht="15">
      <c r="A531" s="134"/>
      <c r="B531" s="106"/>
      <c r="C531" s="106" t="s">
        <v>14</v>
      </c>
      <c r="E531" s="928"/>
      <c r="G531" s="133">
        <f>SUM(E531:E531)</f>
        <v>0</v>
      </c>
    </row>
    <row r="532" spans="1:7">
      <c r="A532" s="134"/>
      <c r="B532" s="106"/>
      <c r="C532" s="106" t="s">
        <v>24</v>
      </c>
      <c r="G532" s="133">
        <f>SUM(E532:E532)</f>
        <v>0</v>
      </c>
    </row>
    <row r="533" spans="1:7">
      <c r="A533" s="134"/>
      <c r="B533" s="106"/>
      <c r="C533" s="106" t="s">
        <v>170</v>
      </c>
      <c r="E533" s="501">
        <f>SUM(E531:E532)</f>
        <v>0</v>
      </c>
      <c r="G533" s="241">
        <f>SUM(G531:G532)</f>
        <v>0</v>
      </c>
    </row>
    <row r="534" spans="1:7">
      <c r="A534" s="134"/>
      <c r="B534" s="106"/>
      <c r="C534" s="106"/>
      <c r="G534" s="133"/>
    </row>
    <row r="535" spans="1:7">
      <c r="A535" s="134">
        <v>759</v>
      </c>
      <c r="B535" s="106" t="s">
        <v>348</v>
      </c>
      <c r="C535" s="106"/>
      <c r="G535" s="133"/>
    </row>
    <row r="536" spans="1:7" ht="15">
      <c r="A536" s="134"/>
      <c r="B536" s="106"/>
      <c r="C536" s="106" t="s">
        <v>14</v>
      </c>
      <c r="E536" s="928"/>
      <c r="G536" s="133">
        <f>SUM(E536:E536)</f>
        <v>0</v>
      </c>
    </row>
    <row r="537" spans="1:7">
      <c r="A537" s="134"/>
      <c r="B537" s="106"/>
      <c r="C537" s="106" t="s">
        <v>24</v>
      </c>
      <c r="G537" s="133">
        <f>SUM(E537:E537)</f>
        <v>0</v>
      </c>
    </row>
    <row r="538" spans="1:7">
      <c r="A538" s="134"/>
      <c r="B538" s="106"/>
      <c r="C538" s="106" t="s">
        <v>170</v>
      </c>
      <c r="E538" s="501">
        <f>SUM(E536:E537)</f>
        <v>0</v>
      </c>
      <c r="G538" s="241">
        <f>SUM(G536:G537)</f>
        <v>0</v>
      </c>
    </row>
    <row r="539" spans="1:7">
      <c r="A539" s="134"/>
      <c r="B539" s="106"/>
      <c r="C539" s="106"/>
      <c r="G539" s="133"/>
    </row>
    <row r="540" spans="1:7">
      <c r="A540" s="134">
        <v>800</v>
      </c>
      <c r="B540" s="106" t="s">
        <v>349</v>
      </c>
      <c r="C540" s="106"/>
      <c r="G540" s="133"/>
    </row>
    <row r="541" spans="1:7" ht="15">
      <c r="A541" s="134"/>
      <c r="B541" s="106"/>
      <c r="C541" s="106" t="s">
        <v>14</v>
      </c>
      <c r="E541" s="928"/>
      <c r="G541" s="133">
        <f>SUM(E541:E541)</f>
        <v>0</v>
      </c>
    </row>
    <row r="542" spans="1:7">
      <c r="A542" s="134"/>
      <c r="B542" s="106"/>
      <c r="C542" s="106" t="s">
        <v>24</v>
      </c>
      <c r="G542" s="133">
        <f>SUM(E542:E542)</f>
        <v>0</v>
      </c>
    </row>
    <row r="543" spans="1:7">
      <c r="A543" s="134"/>
      <c r="B543" s="106"/>
      <c r="C543" s="106" t="s">
        <v>170</v>
      </c>
      <c r="E543" s="501">
        <f>SUM(E541:E542)</f>
        <v>0</v>
      </c>
      <c r="G543" s="241">
        <f>SUM(G541:G542)</f>
        <v>0</v>
      </c>
    </row>
    <row r="544" spans="1:7">
      <c r="A544" s="134"/>
      <c r="B544" s="106"/>
      <c r="C544" s="106"/>
      <c r="G544" s="133"/>
    </row>
    <row r="545" spans="1:7">
      <c r="A545" s="134">
        <v>801</v>
      </c>
      <c r="B545" s="106" t="s">
        <v>350</v>
      </c>
      <c r="C545" s="106"/>
      <c r="G545" s="133"/>
    </row>
    <row r="546" spans="1:7" ht="15">
      <c r="A546" s="134"/>
      <c r="B546" s="106"/>
      <c r="C546" s="106" t="s">
        <v>14</v>
      </c>
      <c r="E546" s="928"/>
      <c r="G546" s="133">
        <f>SUM(E546:E546)</f>
        <v>0</v>
      </c>
    </row>
    <row r="547" spans="1:7">
      <c r="A547" s="134"/>
      <c r="B547" s="106"/>
      <c r="C547" s="106" t="s">
        <v>24</v>
      </c>
      <c r="G547" s="133">
        <f>SUM(E547:E547)</f>
        <v>0</v>
      </c>
    </row>
    <row r="548" spans="1:7">
      <c r="A548" s="134"/>
      <c r="B548" s="106"/>
      <c r="C548" s="106" t="s">
        <v>170</v>
      </c>
      <c r="E548" s="501">
        <f>SUM(E546:E547)</f>
        <v>0</v>
      </c>
      <c r="G548" s="241">
        <f>SUM(G546:G547)</f>
        <v>0</v>
      </c>
    </row>
    <row r="549" spans="1:7">
      <c r="A549" s="134"/>
      <c r="B549" s="106"/>
      <c r="C549" s="106"/>
      <c r="G549" s="133"/>
    </row>
    <row r="550" spans="1:7">
      <c r="A550" s="134">
        <v>802</v>
      </c>
      <c r="B550" s="106" t="s">
        <v>351</v>
      </c>
      <c r="C550" s="106"/>
      <c r="G550" s="133"/>
    </row>
    <row r="551" spans="1:7" ht="15">
      <c r="A551" s="134"/>
      <c r="B551" s="106"/>
      <c r="C551" s="106" t="s">
        <v>14</v>
      </c>
      <c r="E551" s="928"/>
      <c r="G551" s="133">
        <f>SUM(E551:E551)</f>
        <v>0</v>
      </c>
    </row>
    <row r="552" spans="1:7">
      <c r="A552" s="134"/>
      <c r="B552" s="106"/>
      <c r="C552" s="106" t="s">
        <v>24</v>
      </c>
      <c r="G552" s="133">
        <f>SUM(E552:E552)</f>
        <v>0</v>
      </c>
    </row>
    <row r="553" spans="1:7">
      <c r="A553" s="134"/>
      <c r="B553" s="106"/>
      <c r="C553" s="106" t="s">
        <v>170</v>
      </c>
      <c r="E553" s="501">
        <f>SUM(E551:E552)</f>
        <v>0</v>
      </c>
      <c r="G553" s="241">
        <f>SUM(G551:G552)</f>
        <v>0</v>
      </c>
    </row>
    <row r="554" spans="1:7">
      <c r="A554" s="134"/>
      <c r="B554" s="106"/>
      <c r="C554" s="106"/>
      <c r="G554" s="133"/>
    </row>
    <row r="555" spans="1:7">
      <c r="A555" s="134">
        <v>803</v>
      </c>
      <c r="B555" s="106" t="s">
        <v>352</v>
      </c>
      <c r="C555" s="106"/>
      <c r="G555" s="133"/>
    </row>
    <row r="556" spans="1:7" ht="15">
      <c r="A556" s="134"/>
      <c r="B556" s="106"/>
      <c r="C556" s="106" t="s">
        <v>14</v>
      </c>
      <c r="E556" s="928"/>
      <c r="G556" s="133">
        <f>SUM(E556:E556)</f>
        <v>0</v>
      </c>
    </row>
    <row r="557" spans="1:7">
      <c r="A557" s="134"/>
      <c r="B557" s="106"/>
      <c r="C557" s="106" t="s">
        <v>24</v>
      </c>
      <c r="G557" s="133">
        <f>SUM(E557:E557)</f>
        <v>0</v>
      </c>
    </row>
    <row r="558" spans="1:7">
      <c r="A558" s="134"/>
      <c r="B558" s="106"/>
      <c r="C558" s="106" t="s">
        <v>170</v>
      </c>
      <c r="E558" s="501">
        <f>SUM(E556:E557)</f>
        <v>0</v>
      </c>
      <c r="G558" s="241">
        <f>SUM(G556:G557)</f>
        <v>0</v>
      </c>
    </row>
    <row r="559" spans="1:7">
      <c r="A559" s="134"/>
      <c r="B559" s="106"/>
      <c r="C559" s="106"/>
      <c r="G559" s="133"/>
    </row>
    <row r="560" spans="1:7">
      <c r="A560" s="134">
        <v>804</v>
      </c>
      <c r="B560" s="106" t="s">
        <v>354</v>
      </c>
      <c r="C560" s="106"/>
      <c r="G560" s="133"/>
    </row>
    <row r="561" spans="1:7" ht="15">
      <c r="A561" s="134"/>
      <c r="B561" s="106"/>
      <c r="C561" s="106" t="s">
        <v>14</v>
      </c>
      <c r="E561" s="928"/>
      <c r="G561" s="133">
        <f>SUM(E561:E561)</f>
        <v>0</v>
      </c>
    </row>
    <row r="562" spans="1:7">
      <c r="A562" s="134"/>
      <c r="B562" s="106"/>
      <c r="C562" s="106" t="s">
        <v>24</v>
      </c>
      <c r="G562" s="133">
        <f>SUM(E562:E562)</f>
        <v>0</v>
      </c>
    </row>
    <row r="563" spans="1:7">
      <c r="A563" s="134"/>
      <c r="B563" s="106"/>
      <c r="C563" s="106" t="s">
        <v>170</v>
      </c>
      <c r="E563" s="501">
        <f>SUM(E561:E562)</f>
        <v>0</v>
      </c>
      <c r="G563" s="241">
        <f>SUM(G561:G562)</f>
        <v>0</v>
      </c>
    </row>
    <row r="564" spans="1:7">
      <c r="A564" s="134"/>
      <c r="B564" s="106"/>
      <c r="C564" s="106"/>
      <c r="G564" s="133"/>
    </row>
    <row r="565" spans="1:7">
      <c r="A565" s="134">
        <v>804.1</v>
      </c>
      <c r="B565" s="106" t="s">
        <v>355</v>
      </c>
      <c r="C565" s="106"/>
      <c r="G565" s="133"/>
    </row>
    <row r="566" spans="1:7" ht="15">
      <c r="A566" s="134"/>
      <c r="B566" s="106"/>
      <c r="C566" s="106" t="s">
        <v>14</v>
      </c>
      <c r="E566" s="928"/>
      <c r="G566" s="133">
        <f>SUM(E566:E566)</f>
        <v>0</v>
      </c>
    </row>
    <row r="567" spans="1:7">
      <c r="A567" s="134"/>
      <c r="B567" s="106"/>
      <c r="C567" s="106" t="s">
        <v>24</v>
      </c>
      <c r="G567" s="133">
        <f>SUM(E567:E567)</f>
        <v>0</v>
      </c>
    </row>
    <row r="568" spans="1:7">
      <c r="A568" s="134"/>
      <c r="B568" s="106"/>
      <c r="C568" s="106" t="s">
        <v>170</v>
      </c>
      <c r="E568" s="501">
        <f>SUM(E566:E567)</f>
        <v>0</v>
      </c>
      <c r="G568" s="241">
        <f>SUM(G566:G567)</f>
        <v>0</v>
      </c>
    </row>
    <row r="569" spans="1:7">
      <c r="A569" s="134"/>
      <c r="B569" s="106"/>
      <c r="C569" s="106"/>
      <c r="G569" s="133"/>
    </row>
    <row r="570" spans="1:7">
      <c r="A570" s="134">
        <v>805</v>
      </c>
      <c r="B570" s="106" t="s">
        <v>357</v>
      </c>
      <c r="C570" s="106"/>
      <c r="G570" s="133"/>
    </row>
    <row r="571" spans="1:7" ht="15">
      <c r="A571" s="134"/>
      <c r="B571" s="106"/>
      <c r="C571" s="106" t="s">
        <v>14</v>
      </c>
      <c r="E571" s="928"/>
      <c r="G571" s="133">
        <f>SUM(E571:E571)</f>
        <v>0</v>
      </c>
    </row>
    <row r="572" spans="1:7">
      <c r="A572" s="134"/>
      <c r="B572" s="106"/>
      <c r="C572" s="106" t="s">
        <v>24</v>
      </c>
      <c r="G572" s="133">
        <f>SUM(E572:E572)</f>
        <v>0</v>
      </c>
    </row>
    <row r="573" spans="1:7">
      <c r="A573" s="134"/>
      <c r="B573" s="106"/>
      <c r="C573" s="106" t="s">
        <v>170</v>
      </c>
      <c r="E573" s="501">
        <f>SUM(E571:E572)</f>
        <v>0</v>
      </c>
      <c r="G573" s="241">
        <f>SUM(G571:G572)</f>
        <v>0</v>
      </c>
    </row>
    <row r="574" spans="1:7">
      <c r="A574" s="134"/>
      <c r="B574" s="106"/>
      <c r="C574" s="106"/>
      <c r="G574" s="133"/>
    </row>
    <row r="575" spans="1:7">
      <c r="A575" s="134">
        <v>805.1</v>
      </c>
      <c r="B575" s="106" t="s">
        <v>358</v>
      </c>
      <c r="C575" s="106"/>
      <c r="G575" s="133"/>
    </row>
    <row r="576" spans="1:7" ht="15">
      <c r="A576" s="134"/>
      <c r="B576" s="106"/>
      <c r="C576" s="106" t="s">
        <v>14</v>
      </c>
      <c r="E576" s="928"/>
      <c r="G576" s="133">
        <f>SUM(E576:E576)</f>
        <v>0</v>
      </c>
    </row>
    <row r="577" spans="1:7">
      <c r="A577" s="134"/>
      <c r="B577" s="106"/>
      <c r="C577" s="106" t="s">
        <v>24</v>
      </c>
      <c r="G577" s="133">
        <f>SUM(E577:E577)</f>
        <v>0</v>
      </c>
    </row>
    <row r="578" spans="1:7">
      <c r="A578" s="134"/>
      <c r="B578" s="106"/>
      <c r="C578" s="106" t="s">
        <v>170</v>
      </c>
      <c r="E578" s="501">
        <f>SUM(E576:E577)</f>
        <v>0</v>
      </c>
      <c r="G578" s="241">
        <f>SUM(G576:G577)</f>
        <v>0</v>
      </c>
    </row>
    <row r="579" spans="1:7">
      <c r="A579" s="134"/>
      <c r="B579" s="106"/>
      <c r="C579" s="106"/>
      <c r="G579" s="133"/>
    </row>
    <row r="580" spans="1:7">
      <c r="A580" s="134">
        <v>806</v>
      </c>
      <c r="B580" s="106" t="s">
        <v>359</v>
      </c>
      <c r="C580" s="106"/>
      <c r="G580" s="133"/>
    </row>
    <row r="581" spans="1:7" ht="15">
      <c r="A581" s="134"/>
      <c r="B581" s="106"/>
      <c r="C581" s="106" t="s">
        <v>14</v>
      </c>
      <c r="E581" s="928"/>
      <c r="G581" s="133">
        <f>SUM(E581:E581)</f>
        <v>0</v>
      </c>
    </row>
    <row r="582" spans="1:7">
      <c r="A582" s="134"/>
      <c r="B582" s="106"/>
      <c r="C582" s="106" t="s">
        <v>24</v>
      </c>
      <c r="G582" s="133">
        <f>SUM(E582:E582)</f>
        <v>0</v>
      </c>
    </row>
    <row r="583" spans="1:7">
      <c r="A583" s="134"/>
      <c r="B583" s="106"/>
      <c r="C583" s="106" t="s">
        <v>170</v>
      </c>
      <c r="E583" s="501">
        <f>SUM(E581:E582)</f>
        <v>0</v>
      </c>
      <c r="G583" s="241">
        <f>SUM(G581:G582)</f>
        <v>0</v>
      </c>
    </row>
    <row r="584" spans="1:7">
      <c r="A584" s="134"/>
      <c r="B584" s="106"/>
      <c r="C584" s="106"/>
      <c r="G584" s="133"/>
    </row>
    <row r="585" spans="1:7">
      <c r="A585" s="134">
        <v>808.1</v>
      </c>
      <c r="B585" s="106" t="s">
        <v>360</v>
      </c>
      <c r="C585" s="106"/>
      <c r="G585" s="133"/>
    </row>
    <row r="586" spans="1:7" ht="15">
      <c r="A586" s="134"/>
      <c r="B586" s="106"/>
      <c r="C586" s="106" t="s">
        <v>14</v>
      </c>
      <c r="E586" s="928"/>
      <c r="G586" s="133">
        <f>SUM(E586:E586)</f>
        <v>0</v>
      </c>
    </row>
    <row r="587" spans="1:7">
      <c r="A587" s="134"/>
      <c r="B587" s="106"/>
      <c r="C587" s="106" t="s">
        <v>24</v>
      </c>
      <c r="G587" s="133">
        <f>SUM(E587:E587)</f>
        <v>0</v>
      </c>
    </row>
    <row r="588" spans="1:7">
      <c r="A588" s="134"/>
      <c r="B588" s="106"/>
      <c r="C588" s="106" t="s">
        <v>170</v>
      </c>
      <c r="E588" s="501">
        <f>SUM(E586:E587)</f>
        <v>0</v>
      </c>
      <c r="G588" s="241">
        <f>SUM(G586:G587)</f>
        <v>0</v>
      </c>
    </row>
    <row r="589" spans="1:7">
      <c r="A589" s="134"/>
      <c r="B589" s="106"/>
      <c r="C589" s="106"/>
      <c r="G589" s="133"/>
    </row>
    <row r="590" spans="1:7">
      <c r="A590" s="134">
        <v>808.2</v>
      </c>
      <c r="B590" s="106" t="s">
        <v>361</v>
      </c>
      <c r="C590" s="106"/>
      <c r="G590" s="133"/>
    </row>
    <row r="591" spans="1:7" ht="15">
      <c r="A591" s="134"/>
      <c r="B591" s="106"/>
      <c r="C591" s="106" t="s">
        <v>14</v>
      </c>
      <c r="E591" s="928"/>
      <c r="G591" s="133">
        <f>SUM(E591:E591)</f>
        <v>0</v>
      </c>
    </row>
    <row r="592" spans="1:7">
      <c r="A592" s="134"/>
      <c r="B592" s="106"/>
      <c r="C592" s="106" t="s">
        <v>24</v>
      </c>
      <c r="G592" s="133">
        <f>SUM(E592:E592)</f>
        <v>0</v>
      </c>
    </row>
    <row r="593" spans="1:7">
      <c r="A593" s="134"/>
      <c r="B593" s="106"/>
      <c r="C593" s="106" t="s">
        <v>170</v>
      </c>
      <c r="E593" s="501">
        <f>SUM(E591:E592)</f>
        <v>0</v>
      </c>
      <c r="G593" s="241">
        <f>SUM(G591:G592)</f>
        <v>0</v>
      </c>
    </row>
    <row r="594" spans="1:7">
      <c r="A594" s="134"/>
      <c r="B594" s="106"/>
      <c r="C594" s="106"/>
      <c r="G594" s="133"/>
    </row>
    <row r="595" spans="1:7">
      <c r="A595" s="134">
        <v>808.3</v>
      </c>
      <c r="B595" s="106" t="s">
        <v>359</v>
      </c>
      <c r="C595" s="106"/>
      <c r="G595" s="133"/>
    </row>
    <row r="596" spans="1:7" ht="15">
      <c r="A596" s="134"/>
      <c r="B596" s="106"/>
      <c r="C596" s="106" t="s">
        <v>14</v>
      </c>
      <c r="E596" s="928"/>
      <c r="G596" s="133">
        <f>SUM(E596:E596)</f>
        <v>0</v>
      </c>
    </row>
    <row r="597" spans="1:7">
      <c r="A597" s="134"/>
      <c r="B597" s="106"/>
      <c r="C597" s="106" t="s">
        <v>24</v>
      </c>
      <c r="G597" s="133">
        <f>SUM(E597:E597)</f>
        <v>0</v>
      </c>
    </row>
    <row r="598" spans="1:7">
      <c r="A598" s="134"/>
      <c r="B598" s="106"/>
      <c r="C598" s="106" t="s">
        <v>170</v>
      </c>
      <c r="E598" s="501">
        <f>SUM(E596:E597)</f>
        <v>0</v>
      </c>
      <c r="G598" s="241">
        <f>SUM(G596:G597)</f>
        <v>0</v>
      </c>
    </row>
    <row r="599" spans="1:7">
      <c r="A599" s="134"/>
      <c r="B599" s="106"/>
      <c r="C599" s="106"/>
      <c r="G599" s="133"/>
    </row>
    <row r="600" spans="1:7">
      <c r="A600" s="134">
        <v>813</v>
      </c>
      <c r="B600" s="106" t="s">
        <v>362</v>
      </c>
      <c r="C600" s="106"/>
      <c r="G600" s="133"/>
    </row>
    <row r="601" spans="1:7" ht="15">
      <c r="A601" s="134"/>
      <c r="B601" s="106"/>
      <c r="C601" s="106" t="s">
        <v>14</v>
      </c>
      <c r="E601" s="928"/>
      <c r="G601" s="133">
        <f>SUM(E601:E601)</f>
        <v>0</v>
      </c>
    </row>
    <row r="602" spans="1:7">
      <c r="A602" s="134"/>
      <c r="B602" s="106"/>
      <c r="C602" s="106" t="s">
        <v>24</v>
      </c>
      <c r="G602" s="133">
        <f>SUM(E602:E602)</f>
        <v>0</v>
      </c>
    </row>
    <row r="603" spans="1:7">
      <c r="A603" s="134"/>
      <c r="B603" s="106"/>
      <c r="C603" s="106" t="s">
        <v>170</v>
      </c>
      <c r="E603" s="501">
        <f>SUM(E601:E602)</f>
        <v>0</v>
      </c>
      <c r="G603" s="241">
        <f>SUM(G601:G602)</f>
        <v>0</v>
      </c>
    </row>
    <row r="604" spans="1:7">
      <c r="A604" s="134"/>
      <c r="B604" s="106"/>
      <c r="C604" s="106"/>
      <c r="G604" s="133"/>
    </row>
    <row r="605" spans="1:7">
      <c r="A605" s="134">
        <v>813</v>
      </c>
      <c r="B605" s="106" t="s">
        <v>363</v>
      </c>
      <c r="C605" s="106"/>
      <c r="G605" s="133"/>
    </row>
    <row r="606" spans="1:7" ht="15">
      <c r="A606" s="134"/>
      <c r="B606" s="106"/>
      <c r="C606" s="106" t="s">
        <v>14</v>
      </c>
      <c r="E606" s="928"/>
      <c r="G606" s="133">
        <f>SUM(E606:E606)</f>
        <v>0</v>
      </c>
    </row>
    <row r="607" spans="1:7">
      <c r="A607" s="134"/>
      <c r="B607" s="106"/>
      <c r="C607" s="106" t="s">
        <v>24</v>
      </c>
      <c r="G607" s="133">
        <f>SUM(E607:E607)</f>
        <v>0</v>
      </c>
    </row>
    <row r="608" spans="1:7">
      <c r="A608" s="134"/>
      <c r="B608" s="106"/>
      <c r="C608" s="106" t="s">
        <v>170</v>
      </c>
      <c r="E608" s="501">
        <f>SUM(E606:E607)</f>
        <v>0</v>
      </c>
      <c r="G608" s="241">
        <f>SUM(G606:G607)</f>
        <v>0</v>
      </c>
    </row>
    <row r="609" spans="1:7">
      <c r="A609" s="134"/>
      <c r="B609" s="106"/>
      <c r="C609" s="106"/>
      <c r="G609" s="133"/>
    </row>
    <row r="610" spans="1:7">
      <c r="A610" s="134" t="s">
        <v>695</v>
      </c>
      <c r="B610" s="106" t="s">
        <v>364</v>
      </c>
      <c r="C610" s="106"/>
      <c r="G610" s="133"/>
    </row>
    <row r="611" spans="1:7" ht="15">
      <c r="A611" s="134"/>
      <c r="B611" s="106"/>
      <c r="C611" s="106" t="s">
        <v>14</v>
      </c>
      <c r="E611" s="928"/>
      <c r="G611" s="133">
        <f>SUM(E611:E611)</f>
        <v>0</v>
      </c>
    </row>
    <row r="612" spans="1:7">
      <c r="A612" s="134"/>
      <c r="B612" s="106"/>
      <c r="C612" s="106" t="s">
        <v>24</v>
      </c>
      <c r="G612" s="133">
        <f>SUM(E612:E612)</f>
        <v>0</v>
      </c>
    </row>
    <row r="613" spans="1:7">
      <c r="A613" s="134"/>
      <c r="B613" s="106"/>
      <c r="C613" s="106" t="s">
        <v>170</v>
      </c>
      <c r="E613" s="501">
        <f>SUM(E611:E612)</f>
        <v>0</v>
      </c>
      <c r="G613" s="241">
        <f>SUM(G611:G612)</f>
        <v>0</v>
      </c>
    </row>
    <row r="614" spans="1:7">
      <c r="A614" s="134"/>
      <c r="B614" s="106"/>
      <c r="C614" s="106"/>
      <c r="G614" s="133"/>
    </row>
    <row r="615" spans="1:7">
      <c r="A615" s="134">
        <v>858</v>
      </c>
      <c r="B615" s="106" t="s">
        <v>365</v>
      </c>
      <c r="C615" s="106"/>
      <c r="G615" s="133"/>
    </row>
    <row r="616" spans="1:7" ht="15">
      <c r="A616" s="134"/>
      <c r="B616" s="106"/>
      <c r="C616" s="106" t="s">
        <v>14</v>
      </c>
      <c r="E616" s="928"/>
      <c r="G616" s="133">
        <f>SUM(E616:E616)</f>
        <v>0</v>
      </c>
    </row>
    <row r="617" spans="1:7">
      <c r="A617" s="134"/>
      <c r="B617" s="106"/>
      <c r="C617" s="106" t="s">
        <v>24</v>
      </c>
      <c r="G617" s="133">
        <f>SUM(E617:E617)</f>
        <v>0</v>
      </c>
    </row>
    <row r="618" spans="1:7">
      <c r="A618" s="134"/>
      <c r="B618" s="106"/>
      <c r="C618" s="106" t="s">
        <v>170</v>
      </c>
      <c r="E618" s="501">
        <f t="shared" ref="E618" si="11">SUM(E616:E617)</f>
        <v>0</v>
      </c>
      <c r="G618" s="241">
        <f>SUM(G616:G617)</f>
        <v>0</v>
      </c>
    </row>
    <row r="619" spans="1:7">
      <c r="A619" s="134"/>
      <c r="B619" s="106"/>
      <c r="C619" s="106"/>
      <c r="G619" s="133"/>
    </row>
    <row r="620" spans="1:7">
      <c r="A620" s="134">
        <v>858</v>
      </c>
      <c r="B620" s="106" t="s">
        <v>366</v>
      </c>
      <c r="C620" s="106"/>
      <c r="G620" s="133"/>
    </row>
    <row r="621" spans="1:7" ht="15">
      <c r="A621" s="330"/>
      <c r="B621" s="106"/>
      <c r="C621" s="106" t="s">
        <v>14</v>
      </c>
      <c r="E621" s="928"/>
      <c r="G621" s="133">
        <f>SUM(E621:E621)</f>
        <v>0</v>
      </c>
    </row>
    <row r="622" spans="1:7">
      <c r="A622" s="330"/>
      <c r="B622" s="106"/>
      <c r="C622" s="106" t="s">
        <v>24</v>
      </c>
      <c r="G622" s="133">
        <f>SUM(E622:E622)</f>
        <v>0</v>
      </c>
    </row>
    <row r="623" spans="1:7">
      <c r="A623" s="330"/>
      <c r="B623" s="106"/>
      <c r="C623" s="106" t="s">
        <v>170</v>
      </c>
      <c r="E623" s="501">
        <f t="shared" ref="E623" si="12">SUM(E621:E622)</f>
        <v>0</v>
      </c>
      <c r="G623" s="241">
        <f>SUM(G621:G622)</f>
        <v>0</v>
      </c>
    </row>
    <row r="624" spans="1:7">
      <c r="A624" s="330"/>
      <c r="B624" s="106"/>
      <c r="C624" s="106"/>
      <c r="G624" s="133"/>
    </row>
    <row r="625" spans="1:7">
      <c r="A625" s="330"/>
      <c r="B625" s="119" t="s">
        <v>289</v>
      </c>
      <c r="C625" s="102"/>
      <c r="G625" s="133"/>
    </row>
    <row r="626" spans="1:7" ht="15">
      <c r="A626" s="330"/>
      <c r="B626" s="102"/>
      <c r="C626" s="102" t="s">
        <v>287</v>
      </c>
      <c r="E626" s="928"/>
      <c r="G626" s="133">
        <f>SUM(E626:E626)</f>
        <v>0</v>
      </c>
    </row>
    <row r="627" spans="1:7" ht="15">
      <c r="A627" s="330"/>
      <c r="B627" s="102"/>
      <c r="C627" s="102" t="s">
        <v>288</v>
      </c>
      <c r="E627" s="928"/>
      <c r="G627" s="133">
        <f>SUM(E627:E627)</f>
        <v>0</v>
      </c>
    </row>
    <row r="628" spans="1:7">
      <c r="A628" s="330"/>
      <c r="B628" s="102"/>
      <c r="C628" s="102" t="s">
        <v>170</v>
      </c>
      <c r="E628" s="501">
        <f t="shared" ref="E628" si="13">SUM(E626:E627)</f>
        <v>0</v>
      </c>
      <c r="G628" s="241">
        <f>SUM(G626:G627)</f>
        <v>0</v>
      </c>
    </row>
    <row r="629" spans="1:7" ht="13.5" thickBot="1">
      <c r="A629" s="330"/>
      <c r="B629" s="106"/>
      <c r="C629" s="106"/>
      <c r="G629" s="242"/>
    </row>
    <row r="630" spans="1:7" ht="13.5" thickTop="1">
      <c r="A630" s="59" t="s">
        <v>561</v>
      </c>
      <c r="B630" s="106"/>
      <c r="C630" s="106"/>
      <c r="G630" s="133"/>
    </row>
    <row r="631" spans="1:7">
      <c r="A631" s="330"/>
      <c r="B631" s="106" t="s">
        <v>696</v>
      </c>
      <c r="C631" s="106"/>
      <c r="E631" s="501">
        <f>E536+E611+E628</f>
        <v>0</v>
      </c>
      <c r="G631" s="133">
        <f>G536+G611+G628</f>
        <v>0</v>
      </c>
    </row>
    <row r="632" spans="1:7">
      <c r="A632" s="330"/>
      <c r="B632" s="106" t="s">
        <v>697</v>
      </c>
      <c r="C632" s="106"/>
      <c r="E632" s="501">
        <f t="shared" ref="E632" si="14">E521+E526+E531+E541+E546+E551+E556+E561+E566+E571+E576+E581+E586+E591+E596+E601+E606+E616+E621</f>
        <v>0</v>
      </c>
      <c r="G632" s="133">
        <f>G521+G526+G531+G541+G546+G551+G556+G561+G566+G571+G576+G581+G586+G591+G596+G601+G606+G616+G621</f>
        <v>0</v>
      </c>
    </row>
    <row r="633" spans="1:7">
      <c r="A633" s="330"/>
      <c r="B633" s="106" t="s">
        <v>700</v>
      </c>
      <c r="C633" s="106"/>
      <c r="E633" s="501">
        <f t="shared" ref="E633" si="15">E537+E612</f>
        <v>0</v>
      </c>
      <c r="G633" s="133">
        <f>G537+G612</f>
        <v>0</v>
      </c>
    </row>
    <row r="634" spans="1:7">
      <c r="A634" s="330"/>
      <c r="B634" s="106" t="s">
        <v>701</v>
      </c>
      <c r="C634" s="106"/>
      <c r="E634" s="501">
        <f t="shared" ref="E634" si="16">E522+E527+E532+E542+E547+E552+E557+E562+E567+E572+E577+E582+E587+E592+E597+E602+E607+E617+E622</f>
        <v>0</v>
      </c>
      <c r="G634" s="133">
        <f>G522+G527+G532+G542+G547+G552+G557+G562+G567+G572+G577+G582+G587+G592+G597+G602+G607+G617+G622</f>
        <v>0</v>
      </c>
    </row>
    <row r="635" spans="1:7">
      <c r="A635" s="330"/>
      <c r="B635" s="106" t="s">
        <v>698</v>
      </c>
      <c r="C635" s="106"/>
      <c r="E635" s="501">
        <f t="shared" ref="E635" si="17">+(E201+E202+E230+E231+E501)-E632</f>
        <v>0</v>
      </c>
      <c r="G635" s="116">
        <f>+(G201+G202+G230+G231+G501)-G632</f>
        <v>0</v>
      </c>
    </row>
    <row r="636" spans="1:7">
      <c r="A636" s="330"/>
      <c r="B636" s="106" t="s">
        <v>699</v>
      </c>
      <c r="C636" s="106"/>
      <c r="E636" s="501">
        <f t="shared" ref="E636" si="18">+(E324+E326+E354+E505)-E634</f>
        <v>0</v>
      </c>
      <c r="G636" s="133">
        <f>+(G324+G326+G354+G505)-G634-G633</f>
        <v>0</v>
      </c>
    </row>
    <row r="637" spans="1:7" ht="13.5" thickBot="1">
      <c r="A637" s="330"/>
      <c r="B637" s="106"/>
      <c r="C637" s="106"/>
      <c r="G637" s="242"/>
    </row>
    <row r="638" spans="1:7" ht="13.5" thickTop="1">
      <c r="A638" s="330"/>
      <c r="B638" s="106"/>
      <c r="C638" s="106"/>
      <c r="G638" s="133"/>
    </row>
    <row r="639" spans="1:7">
      <c r="A639" s="330"/>
      <c r="B639" s="61" t="s">
        <v>561</v>
      </c>
      <c r="C639" s="106"/>
      <c r="E639" s="501">
        <f>E523+E528+E533+E538+E543+E548+E553+E558+E563+E568+E573+E578+E583+E588+E593+E598+E603+E608+E613+E618+E623+E635+E636</f>
        <v>0</v>
      </c>
      <c r="G639" s="133">
        <f>G523+G528+G533+G538+G543+G548+G553+G558+G563+G568+G573+G578+G583+G588+G593+G598+G603+G608+G613+G618+G623+G635+G636</f>
        <v>0</v>
      </c>
    </row>
    <row r="640" spans="1:7">
      <c r="A640" s="330"/>
      <c r="B640" s="106"/>
      <c r="C640" s="106"/>
      <c r="G640" s="133"/>
    </row>
    <row r="641" spans="1:7">
      <c r="A641" s="330"/>
      <c r="B641" s="106"/>
      <c r="C641" s="106"/>
      <c r="G641" s="133"/>
    </row>
    <row r="642" spans="1:7">
      <c r="A642" s="59" t="s">
        <v>367</v>
      </c>
      <c r="B642" s="106"/>
      <c r="C642" s="106"/>
      <c r="G642" s="133"/>
    </row>
    <row r="643" spans="1:7">
      <c r="A643" s="330"/>
      <c r="B643" s="106"/>
      <c r="C643" s="106"/>
      <c r="G643" s="133"/>
    </row>
    <row r="644" spans="1:7">
      <c r="A644" s="59" t="s">
        <v>368</v>
      </c>
      <c r="B644" s="106"/>
      <c r="C644" s="106"/>
      <c r="G644" s="133"/>
    </row>
    <row r="645" spans="1:7">
      <c r="A645" s="330"/>
      <c r="B645" s="106"/>
      <c r="C645" s="106"/>
      <c r="G645" s="133"/>
    </row>
    <row r="646" spans="1:7" ht="15">
      <c r="A646" s="134">
        <v>810</v>
      </c>
      <c r="B646" s="106" t="s">
        <v>369</v>
      </c>
      <c r="C646" s="106"/>
      <c r="E646" s="928"/>
      <c r="G646" s="133">
        <f>SUM(E646:E646)</f>
        <v>0</v>
      </c>
    </row>
    <row r="647" spans="1:7" ht="15">
      <c r="A647" s="134">
        <v>812</v>
      </c>
      <c r="B647" s="106" t="s">
        <v>372</v>
      </c>
      <c r="C647" s="106"/>
      <c r="E647" s="928"/>
      <c r="G647" s="133">
        <f>SUM(E647:E647)</f>
        <v>0</v>
      </c>
    </row>
    <row r="648" spans="1:7" ht="13.5" thickBot="1">
      <c r="A648" s="330"/>
      <c r="B648" s="106"/>
      <c r="C648" s="106"/>
      <c r="G648" s="262"/>
    </row>
    <row r="649" spans="1:7">
      <c r="A649" s="330"/>
      <c r="B649" s="61" t="s">
        <v>373</v>
      </c>
      <c r="C649" s="106"/>
      <c r="E649" s="501">
        <f>SUM(E646:E647)</f>
        <v>0</v>
      </c>
      <c r="G649" s="133">
        <f>SUM(G646:G647)</f>
        <v>0</v>
      </c>
    </row>
    <row r="650" spans="1:7">
      <c r="A650" s="330"/>
      <c r="B650" s="106"/>
      <c r="C650" s="106"/>
      <c r="G650" s="133"/>
    </row>
    <row r="651" spans="1:7">
      <c r="A651" s="59" t="s">
        <v>374</v>
      </c>
      <c r="B651" s="106"/>
      <c r="C651" s="106"/>
      <c r="G651" s="133"/>
    </row>
    <row r="652" spans="1:7">
      <c r="A652" s="330"/>
      <c r="B652" s="106" t="s">
        <v>838</v>
      </c>
      <c r="C652" s="106"/>
      <c r="G652" s="133"/>
    </row>
    <row r="653" spans="1:7">
      <c r="A653" s="134">
        <v>870</v>
      </c>
      <c r="B653" s="106" t="s">
        <v>375</v>
      </c>
      <c r="C653" s="106"/>
      <c r="G653" s="133"/>
    </row>
    <row r="654" spans="1:7" ht="15">
      <c r="A654" s="134"/>
      <c r="B654" s="106"/>
      <c r="C654" s="106" t="s">
        <v>14</v>
      </c>
      <c r="E654" s="928"/>
      <c r="G654" s="133">
        <f>SUM(E654:E654)</f>
        <v>0</v>
      </c>
    </row>
    <row r="655" spans="1:7">
      <c r="A655" s="134"/>
      <c r="B655" s="106"/>
      <c r="C655" s="106" t="s">
        <v>24</v>
      </c>
      <c r="G655" s="133">
        <f>SUM(E655:E655)</f>
        <v>0</v>
      </c>
    </row>
    <row r="656" spans="1:7">
      <c r="A656" s="134"/>
      <c r="B656" s="106"/>
      <c r="C656" s="106" t="s">
        <v>170</v>
      </c>
      <c r="E656" s="501">
        <f>SUM(E654:E655)</f>
        <v>0</v>
      </c>
      <c r="G656" s="241">
        <f>SUM(G654:G655)</f>
        <v>0</v>
      </c>
    </row>
    <row r="657" spans="1:7">
      <c r="A657" s="134"/>
      <c r="B657" s="106"/>
      <c r="C657" s="106"/>
      <c r="G657" s="133"/>
    </row>
    <row r="658" spans="1:7">
      <c r="A658" s="134">
        <v>871</v>
      </c>
      <c r="B658" s="106" t="s">
        <v>376</v>
      </c>
      <c r="C658" s="106"/>
      <c r="G658" s="133"/>
    </row>
    <row r="659" spans="1:7" ht="15">
      <c r="A659" s="134"/>
      <c r="B659" s="106"/>
      <c r="C659" s="106" t="s">
        <v>14</v>
      </c>
      <c r="E659" s="928"/>
      <c r="G659" s="133">
        <f>SUM(E659:E659)</f>
        <v>0</v>
      </c>
    </row>
    <row r="660" spans="1:7">
      <c r="A660" s="134"/>
      <c r="B660" s="106"/>
      <c r="C660" s="106" t="s">
        <v>24</v>
      </c>
      <c r="G660" s="133">
        <f>SUM(E660:E660)</f>
        <v>0</v>
      </c>
    </row>
    <row r="661" spans="1:7">
      <c r="A661" s="134"/>
      <c r="B661" s="106"/>
      <c r="C661" s="106" t="s">
        <v>170</v>
      </c>
      <c r="E661" s="501">
        <f>SUM(E659:E660)</f>
        <v>0</v>
      </c>
      <c r="G661" s="241">
        <f>SUM(G659:G660)</f>
        <v>0</v>
      </c>
    </row>
    <row r="662" spans="1:7">
      <c r="A662" s="134"/>
      <c r="B662" s="106"/>
      <c r="C662" s="106"/>
      <c r="G662" s="133"/>
    </row>
    <row r="663" spans="1:7">
      <c r="A663" s="134">
        <v>872</v>
      </c>
      <c r="B663" s="106" t="s">
        <v>378</v>
      </c>
      <c r="C663" s="106"/>
      <c r="G663" s="133"/>
    </row>
    <row r="664" spans="1:7" ht="15">
      <c r="A664" s="134"/>
      <c r="B664" s="106"/>
      <c r="C664" s="106" t="s">
        <v>14</v>
      </c>
      <c r="E664" s="928"/>
      <c r="G664" s="133">
        <f>SUM(E664:E664)</f>
        <v>0</v>
      </c>
    </row>
    <row r="665" spans="1:7">
      <c r="A665" s="134"/>
      <c r="B665" s="106"/>
      <c r="C665" s="106" t="s">
        <v>24</v>
      </c>
      <c r="G665" s="133">
        <f>SUM(E665:E665)</f>
        <v>0</v>
      </c>
    </row>
    <row r="666" spans="1:7">
      <c r="A666" s="134"/>
      <c r="B666" s="106"/>
      <c r="C666" s="106" t="s">
        <v>170</v>
      </c>
      <c r="E666" s="501">
        <f>SUM(E664:E665)</f>
        <v>0</v>
      </c>
      <c r="G666" s="241">
        <f>SUM(G664:G665)</f>
        <v>0</v>
      </c>
    </row>
    <row r="667" spans="1:7">
      <c r="A667" s="134"/>
      <c r="B667" s="106"/>
      <c r="C667" s="106"/>
      <c r="G667" s="133"/>
    </row>
    <row r="668" spans="1:7">
      <c r="A668" s="134">
        <v>873</v>
      </c>
      <c r="B668" s="106" t="s">
        <v>379</v>
      </c>
      <c r="C668" s="106"/>
      <c r="G668" s="133"/>
    </row>
    <row r="669" spans="1:7" ht="15">
      <c r="A669" s="134"/>
      <c r="B669" s="106"/>
      <c r="C669" s="106" t="s">
        <v>14</v>
      </c>
      <c r="E669" s="928"/>
      <c r="G669" s="133">
        <f>SUM(E669:E669)</f>
        <v>0</v>
      </c>
    </row>
    <row r="670" spans="1:7">
      <c r="A670" s="134"/>
      <c r="B670" s="106"/>
      <c r="C670" s="106" t="s">
        <v>24</v>
      </c>
      <c r="G670" s="133">
        <f>SUM(E670:E670)</f>
        <v>0</v>
      </c>
    </row>
    <row r="671" spans="1:7">
      <c r="A671" s="134"/>
      <c r="B671" s="106"/>
      <c r="C671" s="106" t="s">
        <v>170</v>
      </c>
      <c r="E671" s="501">
        <f>SUM(E669:E670)</f>
        <v>0</v>
      </c>
      <c r="G671" s="241">
        <f>SUM(G669:G670)</f>
        <v>0</v>
      </c>
    </row>
    <row r="672" spans="1:7">
      <c r="A672" s="134"/>
      <c r="B672" s="106"/>
      <c r="C672" s="106"/>
      <c r="G672" s="133"/>
    </row>
    <row r="673" spans="1:7">
      <c r="A673" s="134">
        <v>874</v>
      </c>
      <c r="B673" s="106" t="s">
        <v>380</v>
      </c>
      <c r="C673" s="106"/>
      <c r="G673" s="133"/>
    </row>
    <row r="674" spans="1:7" ht="15">
      <c r="A674" s="134"/>
      <c r="B674" s="106"/>
      <c r="C674" s="106" t="s">
        <v>14</v>
      </c>
      <c r="E674" s="928"/>
      <c r="G674" s="133">
        <f>SUM(E674:E674)</f>
        <v>0</v>
      </c>
    </row>
    <row r="675" spans="1:7">
      <c r="A675" s="134"/>
      <c r="B675" s="106"/>
      <c r="C675" s="106" t="s">
        <v>24</v>
      </c>
      <c r="G675" s="133">
        <f>SUM(E675:E675)</f>
        <v>0</v>
      </c>
    </row>
    <row r="676" spans="1:7">
      <c r="A676" s="134"/>
      <c r="B676" s="106"/>
      <c r="C676" s="106" t="s">
        <v>170</v>
      </c>
      <c r="E676" s="501">
        <f>SUM(E674:E675)</f>
        <v>0</v>
      </c>
      <c r="G676" s="241">
        <f>SUM(G674:G675)</f>
        <v>0</v>
      </c>
    </row>
    <row r="677" spans="1:7">
      <c r="A677" s="134"/>
      <c r="B677" s="106"/>
      <c r="C677" s="106"/>
      <c r="G677" s="133"/>
    </row>
    <row r="678" spans="1:7">
      <c r="A678" s="134">
        <v>875</v>
      </c>
      <c r="B678" s="106" t="s">
        <v>381</v>
      </c>
      <c r="C678" s="106"/>
      <c r="G678" s="133"/>
    </row>
    <row r="679" spans="1:7" ht="15">
      <c r="A679" s="134"/>
      <c r="B679" s="106"/>
      <c r="C679" s="106" t="s">
        <v>14</v>
      </c>
      <c r="E679" s="928"/>
      <c r="G679" s="133">
        <f>SUM(E679:E679)</f>
        <v>0</v>
      </c>
    </row>
    <row r="680" spans="1:7">
      <c r="A680" s="134"/>
      <c r="B680" s="106"/>
      <c r="C680" s="106" t="s">
        <v>24</v>
      </c>
      <c r="G680" s="133">
        <f>SUM(E680:E680)</f>
        <v>0</v>
      </c>
    </row>
    <row r="681" spans="1:7">
      <c r="A681" s="134"/>
      <c r="B681" s="106"/>
      <c r="C681" s="106" t="s">
        <v>170</v>
      </c>
      <c r="E681" s="501">
        <f>SUM(E679:E680)</f>
        <v>0</v>
      </c>
      <c r="G681" s="241">
        <f>SUM(G679:G680)</f>
        <v>0</v>
      </c>
    </row>
    <row r="682" spans="1:7">
      <c r="A682" s="134"/>
      <c r="B682" s="106"/>
      <c r="C682" s="106"/>
      <c r="G682" s="133"/>
    </row>
    <row r="683" spans="1:7">
      <c r="A683" s="134">
        <v>878</v>
      </c>
      <c r="B683" s="106" t="s">
        <v>382</v>
      </c>
      <c r="C683" s="106"/>
      <c r="G683" s="133"/>
    </row>
    <row r="684" spans="1:7" ht="15">
      <c r="A684" s="134"/>
      <c r="B684" s="106"/>
      <c r="C684" s="106" t="s">
        <v>14</v>
      </c>
      <c r="E684" s="928"/>
      <c r="G684" s="133">
        <f>SUM(E684:E684)</f>
        <v>0</v>
      </c>
    </row>
    <row r="685" spans="1:7">
      <c r="A685" s="134"/>
      <c r="B685" s="106"/>
      <c r="C685" s="106" t="s">
        <v>24</v>
      </c>
      <c r="G685" s="133">
        <f>SUM(E685:E685)</f>
        <v>0</v>
      </c>
    </row>
    <row r="686" spans="1:7">
      <c r="A686" s="134"/>
      <c r="B686" s="106"/>
      <c r="C686" s="106" t="s">
        <v>170</v>
      </c>
      <c r="E686" s="501">
        <f>SUM(E684:E685)</f>
        <v>0</v>
      </c>
      <c r="G686" s="241">
        <f>SUM(G684:G685)</f>
        <v>0</v>
      </c>
    </row>
    <row r="687" spans="1:7">
      <c r="A687" s="134"/>
      <c r="B687" s="106"/>
      <c r="C687" s="106"/>
      <c r="G687" s="133"/>
    </row>
    <row r="688" spans="1:7">
      <c r="A688" s="134">
        <v>879</v>
      </c>
      <c r="B688" s="106" t="s">
        <v>383</v>
      </c>
      <c r="C688" s="106"/>
      <c r="G688" s="133"/>
    </row>
    <row r="689" spans="1:7" ht="15">
      <c r="A689" s="134"/>
      <c r="B689" s="106"/>
      <c r="C689" s="106" t="s">
        <v>14</v>
      </c>
      <c r="E689" s="928"/>
      <c r="G689" s="133">
        <f>SUM(E689:E689)</f>
        <v>0</v>
      </c>
    </row>
    <row r="690" spans="1:7">
      <c r="A690" s="134"/>
      <c r="B690" s="106"/>
      <c r="C690" s="106" t="s">
        <v>24</v>
      </c>
      <c r="G690" s="133">
        <f>SUM(E690:E690)</f>
        <v>0</v>
      </c>
    </row>
    <row r="691" spans="1:7">
      <c r="A691" s="134"/>
      <c r="B691" s="106"/>
      <c r="C691" s="106" t="s">
        <v>170</v>
      </c>
      <c r="E691" s="501">
        <f>SUM(E689:E690)</f>
        <v>0</v>
      </c>
      <c r="G691" s="241">
        <f>SUM(G689:G690)</f>
        <v>0</v>
      </c>
    </row>
    <row r="692" spans="1:7">
      <c r="A692" s="134"/>
      <c r="B692" s="106"/>
      <c r="C692" s="106"/>
      <c r="G692" s="133"/>
    </row>
    <row r="693" spans="1:7">
      <c r="A693" s="134">
        <v>880</v>
      </c>
      <c r="B693" s="106" t="s">
        <v>384</v>
      </c>
      <c r="C693" s="106"/>
      <c r="G693" s="133"/>
    </row>
    <row r="694" spans="1:7" ht="15">
      <c r="A694" s="134"/>
      <c r="B694" s="106"/>
      <c r="C694" s="106" t="s">
        <v>14</v>
      </c>
      <c r="E694" s="928"/>
      <c r="G694" s="133">
        <f>SUM(E694:E694)</f>
        <v>0</v>
      </c>
    </row>
    <row r="695" spans="1:7">
      <c r="A695" s="134"/>
      <c r="B695" s="106"/>
      <c r="C695" s="106" t="s">
        <v>24</v>
      </c>
      <c r="G695" s="133">
        <f>SUM(E695:E695)</f>
        <v>0</v>
      </c>
    </row>
    <row r="696" spans="1:7">
      <c r="A696" s="134"/>
      <c r="B696" s="106"/>
      <c r="C696" s="106" t="s">
        <v>170</v>
      </c>
      <c r="E696" s="501">
        <f>SUM(E694:E695)</f>
        <v>0</v>
      </c>
      <c r="G696" s="241">
        <f>SUM(G694:G695)</f>
        <v>0</v>
      </c>
    </row>
    <row r="697" spans="1:7">
      <c r="A697" s="134"/>
      <c r="B697" s="106"/>
      <c r="C697" s="106"/>
      <c r="G697" s="133"/>
    </row>
    <row r="698" spans="1:7">
      <c r="A698" s="134">
        <v>881</v>
      </c>
      <c r="B698" s="106" t="s">
        <v>385</v>
      </c>
      <c r="C698" s="106"/>
      <c r="G698" s="133"/>
    </row>
    <row r="699" spans="1:7" ht="15">
      <c r="A699" s="134"/>
      <c r="B699" s="106"/>
      <c r="C699" s="106" t="s">
        <v>14</v>
      </c>
      <c r="E699" s="928"/>
      <c r="G699" s="133">
        <f>SUM(E699:E699)</f>
        <v>0</v>
      </c>
    </row>
    <row r="700" spans="1:7">
      <c r="A700" s="134"/>
      <c r="B700" s="106"/>
      <c r="C700" s="106" t="s">
        <v>24</v>
      </c>
      <c r="G700" s="133">
        <f>SUM(E700:E700)</f>
        <v>0</v>
      </c>
    </row>
    <row r="701" spans="1:7">
      <c r="A701" s="134"/>
      <c r="B701" s="106"/>
      <c r="C701" s="106" t="s">
        <v>170</v>
      </c>
      <c r="E701" s="501">
        <f>SUM(E699:E700)</f>
        <v>0</v>
      </c>
      <c r="G701" s="241">
        <f>SUM(G699:G700)</f>
        <v>0</v>
      </c>
    </row>
    <row r="702" spans="1:7">
      <c r="A702" s="134"/>
      <c r="B702" s="106"/>
      <c r="C702" s="106"/>
      <c r="G702" s="133"/>
    </row>
    <row r="703" spans="1:7">
      <c r="A703" s="134">
        <v>885</v>
      </c>
      <c r="B703" s="106" t="s">
        <v>386</v>
      </c>
      <c r="C703" s="106"/>
      <c r="G703" s="133"/>
    </row>
    <row r="704" spans="1:7" ht="15">
      <c r="A704" s="134"/>
      <c r="B704" s="106"/>
      <c r="C704" s="106" t="s">
        <v>14</v>
      </c>
      <c r="E704" s="928"/>
      <c r="G704" s="133">
        <f>SUM(E704:E704)</f>
        <v>0</v>
      </c>
    </row>
    <row r="705" spans="1:7">
      <c r="A705" s="134"/>
      <c r="B705" s="106"/>
      <c r="C705" s="106" t="s">
        <v>24</v>
      </c>
      <c r="G705" s="133">
        <f>SUM(E705:E705)</f>
        <v>0</v>
      </c>
    </row>
    <row r="706" spans="1:7">
      <c r="A706" s="134"/>
      <c r="B706" s="106"/>
      <c r="C706" s="106" t="s">
        <v>170</v>
      </c>
      <c r="E706" s="501">
        <f>SUM(E704:E705)</f>
        <v>0</v>
      </c>
      <c r="G706" s="241">
        <f>SUM(G704:G705)</f>
        <v>0</v>
      </c>
    </row>
    <row r="707" spans="1:7">
      <c r="A707" s="134"/>
      <c r="B707" s="106"/>
      <c r="C707" s="106"/>
      <c r="G707" s="133"/>
    </row>
    <row r="708" spans="1:7">
      <c r="A708" s="134">
        <v>886</v>
      </c>
      <c r="B708" s="106" t="s">
        <v>387</v>
      </c>
      <c r="C708" s="106"/>
      <c r="G708" s="133"/>
    </row>
    <row r="709" spans="1:7" ht="15">
      <c r="A709" s="134"/>
      <c r="B709" s="106"/>
      <c r="C709" s="106" t="s">
        <v>14</v>
      </c>
      <c r="E709" s="928"/>
      <c r="G709" s="133">
        <f>SUM(E709:E709)</f>
        <v>0</v>
      </c>
    </row>
    <row r="710" spans="1:7">
      <c r="A710" s="134"/>
      <c r="B710" s="106"/>
      <c r="C710" s="106" t="s">
        <v>24</v>
      </c>
      <c r="G710" s="133">
        <f>SUM(E710:E710)</f>
        <v>0</v>
      </c>
    </row>
    <row r="711" spans="1:7">
      <c r="A711" s="134"/>
      <c r="B711" s="106"/>
      <c r="C711" s="106" t="s">
        <v>170</v>
      </c>
      <c r="E711" s="501">
        <f>SUM(E709:E710)</f>
        <v>0</v>
      </c>
      <c r="G711" s="241">
        <f>SUM(G709:G710)</f>
        <v>0</v>
      </c>
    </row>
    <row r="712" spans="1:7">
      <c r="A712" s="134"/>
      <c r="B712" s="106"/>
      <c r="C712" s="106"/>
      <c r="G712" s="133"/>
    </row>
    <row r="713" spans="1:7">
      <c r="A713" s="134">
        <v>887</v>
      </c>
      <c r="B713" s="106" t="s">
        <v>388</v>
      </c>
      <c r="C713" s="106"/>
      <c r="G713" s="133"/>
    </row>
    <row r="714" spans="1:7" ht="15">
      <c r="A714" s="134"/>
      <c r="B714" s="106"/>
      <c r="C714" s="106" t="s">
        <v>14</v>
      </c>
      <c r="E714" s="928"/>
      <c r="G714" s="133">
        <f>SUM(E714:E714)</f>
        <v>0</v>
      </c>
    </row>
    <row r="715" spans="1:7">
      <c r="A715" s="134"/>
      <c r="B715" s="106"/>
      <c r="C715" s="106" t="s">
        <v>24</v>
      </c>
      <c r="G715" s="133">
        <f>SUM(E715:E715)</f>
        <v>0</v>
      </c>
    </row>
    <row r="716" spans="1:7">
      <c r="A716" s="134"/>
      <c r="B716" s="106"/>
      <c r="C716" s="106" t="s">
        <v>170</v>
      </c>
      <c r="E716" s="501">
        <f>SUM(E714:E715)</f>
        <v>0</v>
      </c>
      <c r="G716" s="241">
        <f>SUM(G714:G715)</f>
        <v>0</v>
      </c>
    </row>
    <row r="717" spans="1:7">
      <c r="A717" s="134"/>
      <c r="B717" s="106"/>
      <c r="C717" s="106"/>
      <c r="G717" s="133"/>
    </row>
    <row r="718" spans="1:7">
      <c r="A718" s="134">
        <v>888</v>
      </c>
      <c r="B718" s="106" t="s">
        <v>389</v>
      </c>
      <c r="C718" s="106"/>
      <c r="G718" s="133"/>
    </row>
    <row r="719" spans="1:7" ht="15">
      <c r="A719" s="134"/>
      <c r="B719" s="106"/>
      <c r="C719" s="106" t="s">
        <v>14</v>
      </c>
      <c r="E719" s="928"/>
      <c r="G719" s="133">
        <f>SUM(E719:E719)</f>
        <v>0</v>
      </c>
    </row>
    <row r="720" spans="1:7">
      <c r="A720" s="134"/>
      <c r="B720" s="106"/>
      <c r="C720" s="106" t="s">
        <v>24</v>
      </c>
      <c r="G720" s="133">
        <f>SUM(E720:E720)</f>
        <v>0</v>
      </c>
    </row>
    <row r="721" spans="1:7">
      <c r="A721" s="134"/>
      <c r="B721" s="106"/>
      <c r="C721" s="106" t="s">
        <v>170</v>
      </c>
      <c r="E721" s="501">
        <f>SUM(E719:E720)</f>
        <v>0</v>
      </c>
      <c r="G721" s="241">
        <f>SUM(G719:G720)</f>
        <v>0</v>
      </c>
    </row>
    <row r="722" spans="1:7">
      <c r="A722" s="134"/>
      <c r="B722" s="106"/>
      <c r="C722" s="106"/>
      <c r="G722" s="133"/>
    </row>
    <row r="723" spans="1:7">
      <c r="A723" s="134">
        <v>889</v>
      </c>
      <c r="B723" s="106" t="s">
        <v>391</v>
      </c>
      <c r="C723" s="106"/>
      <c r="G723" s="133"/>
    </row>
    <row r="724" spans="1:7" ht="15">
      <c r="A724" s="134"/>
      <c r="B724" s="106"/>
      <c r="C724" s="106" t="s">
        <v>14</v>
      </c>
      <c r="E724" s="928"/>
      <c r="G724" s="133">
        <f>SUM(E724:E724)</f>
        <v>0</v>
      </c>
    </row>
    <row r="725" spans="1:7">
      <c r="A725" s="134"/>
      <c r="B725" s="106"/>
      <c r="C725" s="106" t="s">
        <v>24</v>
      </c>
      <c r="G725" s="133">
        <f>SUM(E725:E725)</f>
        <v>0</v>
      </c>
    </row>
    <row r="726" spans="1:7">
      <c r="A726" s="134"/>
      <c r="B726" s="106"/>
      <c r="C726" s="106" t="s">
        <v>170</v>
      </c>
      <c r="E726" s="501">
        <f>SUM(E724:E725)</f>
        <v>0</v>
      </c>
      <c r="G726" s="241">
        <f>SUM(G724:G725)</f>
        <v>0</v>
      </c>
    </row>
    <row r="727" spans="1:7">
      <c r="A727" s="134"/>
      <c r="B727" s="106"/>
      <c r="C727" s="106"/>
      <c r="G727" s="133"/>
    </row>
    <row r="728" spans="1:7">
      <c r="A728" s="134">
        <v>892</v>
      </c>
      <c r="B728" s="106" t="s">
        <v>392</v>
      </c>
      <c r="C728" s="106"/>
      <c r="G728" s="133"/>
    </row>
    <row r="729" spans="1:7" ht="15">
      <c r="A729" s="134"/>
      <c r="B729" s="106"/>
      <c r="C729" s="106" t="s">
        <v>14</v>
      </c>
      <c r="E729" s="928"/>
      <c r="G729" s="133">
        <f>SUM(E729:E729)</f>
        <v>0</v>
      </c>
    </row>
    <row r="730" spans="1:7">
      <c r="A730" s="134"/>
      <c r="B730" s="106"/>
      <c r="C730" s="106" t="s">
        <v>24</v>
      </c>
      <c r="G730" s="133">
        <f>SUM(E730:E730)</f>
        <v>0</v>
      </c>
    </row>
    <row r="731" spans="1:7">
      <c r="A731" s="134"/>
      <c r="B731" s="106"/>
      <c r="C731" s="106" t="s">
        <v>170</v>
      </c>
      <c r="E731" s="501">
        <f>SUM(E729:E730)</f>
        <v>0</v>
      </c>
      <c r="G731" s="241">
        <f>SUM(G729:G730)</f>
        <v>0</v>
      </c>
    </row>
    <row r="732" spans="1:7">
      <c r="A732" s="134"/>
      <c r="B732" s="106"/>
      <c r="C732" s="106"/>
      <c r="G732" s="133"/>
    </row>
    <row r="733" spans="1:7">
      <c r="A733" s="134">
        <v>893</v>
      </c>
      <c r="B733" s="106" t="s">
        <v>395</v>
      </c>
      <c r="C733" s="106"/>
      <c r="G733" s="133"/>
    </row>
    <row r="734" spans="1:7" ht="15">
      <c r="A734" s="134"/>
      <c r="B734" s="106"/>
      <c r="C734" s="106" t="s">
        <v>14</v>
      </c>
      <c r="E734" s="928"/>
      <c r="G734" s="133">
        <f>SUM(E734:E734)</f>
        <v>0</v>
      </c>
    </row>
    <row r="735" spans="1:7">
      <c r="A735" s="134"/>
      <c r="B735" s="106"/>
      <c r="C735" s="106" t="s">
        <v>24</v>
      </c>
      <c r="G735" s="133">
        <f>SUM(E735:E735)</f>
        <v>0</v>
      </c>
    </row>
    <row r="736" spans="1:7">
      <c r="A736" s="134"/>
      <c r="B736" s="106"/>
      <c r="C736" s="106" t="s">
        <v>170</v>
      </c>
      <c r="E736" s="501">
        <f>SUM(E734:E735)</f>
        <v>0</v>
      </c>
      <c r="G736" s="241">
        <f>SUM(G734:G735)</f>
        <v>0</v>
      </c>
    </row>
    <row r="737" spans="1:7">
      <c r="A737" s="134"/>
      <c r="B737" s="106"/>
      <c r="C737" s="106"/>
      <c r="G737" s="133"/>
    </row>
    <row r="738" spans="1:7">
      <c r="A738" s="134">
        <v>8941</v>
      </c>
      <c r="B738" s="106" t="s">
        <v>397</v>
      </c>
      <c r="C738" s="106"/>
      <c r="G738" s="133"/>
    </row>
    <row r="739" spans="1:7" ht="15">
      <c r="A739" s="134"/>
      <c r="B739" s="106"/>
      <c r="C739" s="106" t="s">
        <v>14</v>
      </c>
      <c r="E739" s="928"/>
      <c r="G739" s="133">
        <f>SUM(E739:E739)</f>
        <v>0</v>
      </c>
    </row>
    <row r="740" spans="1:7">
      <c r="A740" s="134"/>
      <c r="B740" s="106"/>
      <c r="C740" s="106" t="s">
        <v>24</v>
      </c>
      <c r="G740" s="133">
        <f>SUM(E740:E740)</f>
        <v>0</v>
      </c>
    </row>
    <row r="741" spans="1:7">
      <c r="A741" s="134"/>
      <c r="B741" s="106"/>
      <c r="C741" s="106" t="s">
        <v>170</v>
      </c>
      <c r="E741" s="501">
        <f>SUM(E739:E740)</f>
        <v>0</v>
      </c>
      <c r="G741" s="241">
        <f>SUM(G739:G740)</f>
        <v>0</v>
      </c>
    </row>
    <row r="742" spans="1:7">
      <c r="A742" s="134"/>
      <c r="B742" s="106"/>
      <c r="C742" s="106"/>
      <c r="G742" s="133"/>
    </row>
    <row r="743" spans="1:7">
      <c r="A743" s="134">
        <v>8942</v>
      </c>
      <c r="B743" s="106" t="s">
        <v>399</v>
      </c>
      <c r="C743" s="106"/>
      <c r="G743" s="133"/>
    </row>
    <row r="744" spans="1:7" ht="15">
      <c r="A744" s="330"/>
      <c r="B744" s="106"/>
      <c r="C744" s="106" t="s">
        <v>14</v>
      </c>
      <c r="E744" s="928"/>
      <c r="G744" s="133">
        <f>SUM(E744:E744)</f>
        <v>0</v>
      </c>
    </row>
    <row r="745" spans="1:7">
      <c r="A745" s="330"/>
      <c r="B745" s="106"/>
      <c r="C745" s="106" t="s">
        <v>24</v>
      </c>
      <c r="G745" s="133">
        <f>SUM(E745:E745)</f>
        <v>0</v>
      </c>
    </row>
    <row r="746" spans="1:7">
      <c r="A746" s="330"/>
      <c r="B746" s="106"/>
      <c r="C746" s="106" t="s">
        <v>170</v>
      </c>
      <c r="E746" s="501">
        <f>SUM(E744:E745)</f>
        <v>0</v>
      </c>
      <c r="G746" s="241">
        <f>SUM(G744:G745)</f>
        <v>0</v>
      </c>
    </row>
    <row r="747" spans="1:7" ht="13.5" thickBot="1">
      <c r="A747" s="330"/>
      <c r="B747" s="106"/>
      <c r="C747" s="106"/>
      <c r="G747" s="242"/>
    </row>
    <row r="748" spans="1:7" ht="13.5" thickTop="1">
      <c r="A748" s="59" t="s">
        <v>564</v>
      </c>
      <c r="B748" s="106"/>
      <c r="C748" s="106"/>
      <c r="G748" s="133"/>
    </row>
    <row r="749" spans="1:7">
      <c r="A749" s="330"/>
      <c r="B749" s="106" t="s">
        <v>562</v>
      </c>
      <c r="C749" s="106"/>
      <c r="E749" s="501">
        <f t="shared" ref="E749:E750" si="19">E654+E659+E664+E669+E674+E679+E684+E689+E694+E699+E704+E709+E714+E719+E724+E729+E734+E739+E744</f>
        <v>0</v>
      </c>
      <c r="G749" s="133">
        <f>G654+G659+G664+G669+G674+G679+G684+G689+G694+G699+G704+G709+G714+G719+G724+G729+G734+G739+G744</f>
        <v>0</v>
      </c>
    </row>
    <row r="750" spans="1:7">
      <c r="A750" s="330"/>
      <c r="B750" s="106" t="s">
        <v>563</v>
      </c>
      <c r="C750" s="106"/>
      <c r="E750" s="501">
        <f t="shared" si="19"/>
        <v>0</v>
      </c>
      <c r="G750" s="133">
        <f>G655+G660+G665+G670+G675+G680+G685+G690+G695+G700+G705+G710+G715+G720+G725+G730+G735+G740+G745</f>
        <v>0</v>
      </c>
    </row>
    <row r="751" spans="1:7" ht="13.5" thickBot="1">
      <c r="A751" s="330"/>
      <c r="B751" s="106"/>
      <c r="C751" s="106"/>
      <c r="G751" s="262"/>
    </row>
    <row r="752" spans="1:7">
      <c r="A752" s="330"/>
      <c r="B752" s="61" t="s">
        <v>564</v>
      </c>
      <c r="C752" s="106"/>
      <c r="E752" s="501">
        <f>E656+E661+E666+E671+E676+E681+E686+E691+E696+E701+E706+E711+E716+E721+E726+E731+E736+E741+E746</f>
        <v>0</v>
      </c>
      <c r="G752" s="133">
        <f>G656+G661+G666+G671+G676+G681+G686+G691+G696+G701+G706+G711+G716+G721+G726+G731+G736+G741+G746</f>
        <v>0</v>
      </c>
    </row>
    <row r="753" spans="1:7">
      <c r="A753" s="330"/>
      <c r="B753" s="106"/>
      <c r="C753" s="106"/>
      <c r="G753" s="133"/>
    </row>
    <row r="754" spans="1:7">
      <c r="A754" s="59" t="s">
        <v>400</v>
      </c>
      <c r="B754" s="106"/>
      <c r="C754" s="106"/>
      <c r="G754" s="133"/>
    </row>
    <row r="755" spans="1:7">
      <c r="A755" s="330"/>
      <c r="B755" s="106"/>
      <c r="C755" s="106"/>
      <c r="G755" s="133"/>
    </row>
    <row r="756" spans="1:7">
      <c r="A756" s="134">
        <v>901</v>
      </c>
      <c r="B756" s="106" t="s">
        <v>402</v>
      </c>
      <c r="C756" s="106"/>
      <c r="G756" s="133"/>
    </row>
    <row r="757" spans="1:7" ht="15">
      <c r="A757" s="134"/>
      <c r="B757" s="106"/>
      <c r="C757" s="106" t="s">
        <v>14</v>
      </c>
      <c r="E757" s="928"/>
      <c r="G757" s="133">
        <f>SUM(E757:E757)</f>
        <v>0</v>
      </c>
    </row>
    <row r="758" spans="1:7">
      <c r="A758" s="134"/>
      <c r="B758" s="106"/>
      <c r="C758" s="106" t="s">
        <v>24</v>
      </c>
      <c r="G758" s="133">
        <f>SUM(E758:E758)</f>
        <v>0</v>
      </c>
    </row>
    <row r="759" spans="1:7">
      <c r="A759" s="134"/>
      <c r="B759" s="106"/>
      <c r="C759" s="106" t="s">
        <v>170</v>
      </c>
      <c r="E759" s="501">
        <f>SUM(E757:E758)</f>
        <v>0</v>
      </c>
      <c r="G759" s="241">
        <f>SUM(G757:G758)</f>
        <v>0</v>
      </c>
    </row>
    <row r="760" spans="1:7">
      <c r="A760" s="134"/>
      <c r="B760" s="106"/>
      <c r="C760" s="106"/>
      <c r="G760" s="133"/>
    </row>
    <row r="761" spans="1:7">
      <c r="A761" s="134">
        <v>902</v>
      </c>
      <c r="B761" s="106" t="s">
        <v>403</v>
      </c>
      <c r="C761" s="106"/>
      <c r="G761" s="133"/>
    </row>
    <row r="762" spans="1:7" ht="15">
      <c r="A762" s="134"/>
      <c r="B762" s="106"/>
      <c r="C762" s="106" t="s">
        <v>14</v>
      </c>
      <c r="E762" s="928"/>
      <c r="G762" s="133">
        <f>SUM(E762:E762)</f>
        <v>0</v>
      </c>
    </row>
    <row r="763" spans="1:7">
      <c r="A763" s="134"/>
      <c r="B763" s="106"/>
      <c r="C763" s="106" t="s">
        <v>24</v>
      </c>
      <c r="G763" s="133">
        <f>SUM(E763:E763)</f>
        <v>0</v>
      </c>
    </row>
    <row r="764" spans="1:7">
      <c r="A764" s="134"/>
      <c r="B764" s="106"/>
      <c r="C764" s="106" t="s">
        <v>170</v>
      </c>
      <c r="E764" s="501">
        <f>SUM(E762:E763)</f>
        <v>0</v>
      </c>
      <c r="G764" s="241">
        <f>SUM(G762:G763)</f>
        <v>0</v>
      </c>
    </row>
    <row r="765" spans="1:7">
      <c r="A765" s="134"/>
      <c r="B765" s="106"/>
      <c r="C765" s="106"/>
      <c r="G765" s="133"/>
    </row>
    <row r="766" spans="1:7">
      <c r="A766" s="134">
        <v>9031</v>
      </c>
      <c r="B766" s="106" t="s">
        <v>404</v>
      </c>
      <c r="C766" s="106"/>
      <c r="G766" s="133"/>
    </row>
    <row r="767" spans="1:7" ht="15">
      <c r="A767" s="134"/>
      <c r="B767" s="106"/>
      <c r="C767" s="106" t="s">
        <v>14</v>
      </c>
      <c r="E767" s="928"/>
      <c r="G767" s="133">
        <f>SUM(E767:E767)</f>
        <v>0</v>
      </c>
    </row>
    <row r="768" spans="1:7">
      <c r="A768" s="134"/>
      <c r="B768" s="106"/>
      <c r="C768" s="106" t="s">
        <v>24</v>
      </c>
      <c r="G768" s="133">
        <f>SUM(E768:E768)</f>
        <v>0</v>
      </c>
    </row>
    <row r="769" spans="1:7">
      <c r="A769" s="134"/>
      <c r="B769" s="106"/>
      <c r="C769" s="106" t="s">
        <v>170</v>
      </c>
      <c r="E769" s="501">
        <f>SUM(E767:E768)</f>
        <v>0</v>
      </c>
      <c r="G769" s="241">
        <f>SUM(G767:G768)</f>
        <v>0</v>
      </c>
    </row>
    <row r="770" spans="1:7">
      <c r="A770" s="134"/>
      <c r="B770" s="106"/>
      <c r="C770" s="106"/>
      <c r="G770" s="133"/>
    </row>
    <row r="771" spans="1:7">
      <c r="A771" s="134">
        <v>9032</v>
      </c>
      <c r="B771" s="106" t="s">
        <v>405</v>
      </c>
      <c r="C771" s="106"/>
      <c r="G771" s="133"/>
    </row>
    <row r="772" spans="1:7" ht="15">
      <c r="A772" s="134"/>
      <c r="B772" s="106"/>
      <c r="C772" s="106" t="s">
        <v>14</v>
      </c>
      <c r="E772" s="928"/>
      <c r="G772" s="133">
        <f>SUM(E772:E772)</f>
        <v>0</v>
      </c>
    </row>
    <row r="773" spans="1:7">
      <c r="A773" s="134"/>
      <c r="B773" s="106"/>
      <c r="C773" s="106" t="s">
        <v>24</v>
      </c>
      <c r="G773" s="133">
        <f>SUM(E773:E773)</f>
        <v>0</v>
      </c>
    </row>
    <row r="774" spans="1:7">
      <c r="A774" s="134"/>
      <c r="B774" s="106"/>
      <c r="C774" s="106" t="s">
        <v>170</v>
      </c>
      <c r="E774" s="501">
        <f>SUM(E772:E773)</f>
        <v>0</v>
      </c>
      <c r="G774" s="241">
        <f>SUM(G772:G773)</f>
        <v>0</v>
      </c>
    </row>
    <row r="775" spans="1:7">
      <c r="A775" s="134"/>
      <c r="B775" s="106"/>
      <c r="C775" s="106"/>
      <c r="G775" s="133"/>
    </row>
    <row r="776" spans="1:7">
      <c r="A776" s="134">
        <v>9033</v>
      </c>
      <c r="B776" s="106" t="s">
        <v>406</v>
      </c>
      <c r="C776" s="106"/>
      <c r="G776" s="133"/>
    </row>
    <row r="777" spans="1:7" ht="15">
      <c r="A777" s="134"/>
      <c r="B777" s="106"/>
      <c r="C777" s="106" t="s">
        <v>14</v>
      </c>
      <c r="E777" s="928"/>
      <c r="G777" s="133">
        <f>SUM(E777:E777)</f>
        <v>0</v>
      </c>
    </row>
    <row r="778" spans="1:7">
      <c r="A778" s="134"/>
      <c r="B778" s="106"/>
      <c r="C778" s="106" t="s">
        <v>24</v>
      </c>
      <c r="G778" s="133">
        <f>SUM(E778:E778)</f>
        <v>0</v>
      </c>
    </row>
    <row r="779" spans="1:7">
      <c r="A779" s="134"/>
      <c r="B779" s="106"/>
      <c r="C779" s="106" t="s">
        <v>170</v>
      </c>
      <c r="E779" s="501">
        <f>SUM(E777:E778)</f>
        <v>0</v>
      </c>
      <c r="G779" s="241">
        <f>SUM(G777:G778)</f>
        <v>0</v>
      </c>
    </row>
    <row r="780" spans="1:7">
      <c r="A780" s="134"/>
      <c r="B780" s="106"/>
      <c r="C780" s="106"/>
      <c r="G780" s="133"/>
    </row>
    <row r="781" spans="1:7">
      <c r="A781" s="134" t="s">
        <v>0</v>
      </c>
      <c r="B781" s="106" t="s">
        <v>21</v>
      </c>
      <c r="C781" s="106"/>
      <c r="G781" s="133"/>
    </row>
    <row r="782" spans="1:7" ht="15">
      <c r="A782" s="134"/>
      <c r="B782" s="106"/>
      <c r="C782" s="106" t="s">
        <v>14</v>
      </c>
      <c r="E782" s="928"/>
      <c r="G782" s="133">
        <f>SUM(E782:E782)</f>
        <v>0</v>
      </c>
    </row>
    <row r="783" spans="1:7">
      <c r="A783" s="134"/>
      <c r="B783" s="106"/>
      <c r="C783" s="106" t="s">
        <v>24</v>
      </c>
      <c r="G783" s="133">
        <f>SUM(E783:E783)</f>
        <v>0</v>
      </c>
    </row>
    <row r="784" spans="1:7">
      <c r="A784" s="134"/>
      <c r="B784" s="106"/>
      <c r="C784" s="106" t="s">
        <v>170</v>
      </c>
      <c r="E784" s="501">
        <f>SUM(E782:E783)</f>
        <v>0</v>
      </c>
      <c r="G784" s="241">
        <f>SUM(G782:G783)</f>
        <v>0</v>
      </c>
    </row>
    <row r="785" spans="1:7">
      <c r="A785" s="134"/>
      <c r="B785" s="106"/>
      <c r="C785" s="106"/>
      <c r="G785" s="133"/>
    </row>
    <row r="786" spans="1:7">
      <c r="A786" s="134" t="s">
        <v>1</v>
      </c>
      <c r="B786" s="106" t="s">
        <v>22</v>
      </c>
      <c r="C786" s="106"/>
      <c r="G786" s="133"/>
    </row>
    <row r="787" spans="1:7" ht="15">
      <c r="A787" s="134"/>
      <c r="B787" s="106"/>
      <c r="C787" s="106" t="s">
        <v>14</v>
      </c>
      <c r="E787" s="928"/>
      <c r="G787" s="133">
        <f>SUM(E787:E787)</f>
        <v>0</v>
      </c>
    </row>
    <row r="788" spans="1:7">
      <c r="A788" s="134"/>
      <c r="B788" s="106"/>
      <c r="C788" s="106" t="s">
        <v>24</v>
      </c>
      <c r="G788" s="133">
        <f>SUM(E788:E788)</f>
        <v>0</v>
      </c>
    </row>
    <row r="789" spans="1:7">
      <c r="A789" s="134"/>
      <c r="B789" s="106"/>
      <c r="C789" s="106" t="s">
        <v>170</v>
      </c>
      <c r="E789" s="501">
        <f t="shared" ref="E789" si="20">SUM(E787:E788)</f>
        <v>0</v>
      </c>
      <c r="G789" s="241">
        <f>SUM(G787:G788)</f>
        <v>0</v>
      </c>
    </row>
    <row r="790" spans="1:7">
      <c r="A790" s="134"/>
      <c r="B790" s="106"/>
      <c r="C790" s="106"/>
      <c r="G790" s="133"/>
    </row>
    <row r="791" spans="1:7">
      <c r="A791" s="134" t="s">
        <v>2</v>
      </c>
      <c r="B791" s="106" t="s">
        <v>23</v>
      </c>
      <c r="C791" s="106"/>
      <c r="G791" s="133"/>
    </row>
    <row r="792" spans="1:7" ht="15">
      <c r="A792" s="134"/>
      <c r="B792" s="106"/>
      <c r="C792" s="106" t="s">
        <v>14</v>
      </c>
      <c r="E792" s="928"/>
      <c r="G792" s="133">
        <f>SUM(E792:E792)</f>
        <v>0</v>
      </c>
    </row>
    <row r="793" spans="1:7">
      <c r="A793" s="134"/>
      <c r="B793" s="106"/>
      <c r="C793" s="106" t="s">
        <v>24</v>
      </c>
      <c r="G793" s="133">
        <f>SUM(E793:E793)</f>
        <v>0</v>
      </c>
    </row>
    <row r="794" spans="1:7">
      <c r="A794" s="134"/>
      <c r="B794" s="106"/>
      <c r="C794" s="106" t="s">
        <v>170</v>
      </c>
      <c r="E794" s="501">
        <f>SUM(E792:E793)</f>
        <v>0</v>
      </c>
      <c r="G794" s="241">
        <f>SUM(G792:G793)</f>
        <v>0</v>
      </c>
    </row>
    <row r="795" spans="1:7">
      <c r="A795" s="134"/>
      <c r="B795" s="106"/>
      <c r="C795" s="106"/>
      <c r="G795" s="133"/>
    </row>
    <row r="796" spans="1:7">
      <c r="A796" s="134">
        <v>905</v>
      </c>
      <c r="B796" s="106" t="s">
        <v>408</v>
      </c>
      <c r="C796" s="106"/>
      <c r="G796" s="133"/>
    </row>
    <row r="797" spans="1:7" ht="15">
      <c r="A797" s="330"/>
      <c r="B797" s="106"/>
      <c r="C797" s="106" t="s">
        <v>14</v>
      </c>
      <c r="E797" s="928"/>
      <c r="G797" s="133">
        <f>SUM(E797:E797)</f>
        <v>0</v>
      </c>
    </row>
    <row r="798" spans="1:7">
      <c r="A798" s="330"/>
      <c r="B798" s="106"/>
      <c r="C798" s="106" t="s">
        <v>24</v>
      </c>
      <c r="G798" s="133">
        <f>SUM(E798:E798)</f>
        <v>0</v>
      </c>
    </row>
    <row r="799" spans="1:7">
      <c r="A799" s="330"/>
      <c r="B799" s="106"/>
      <c r="C799" s="106" t="s">
        <v>170</v>
      </c>
      <c r="E799" s="501">
        <f>SUM(E797:E798)</f>
        <v>0</v>
      </c>
      <c r="G799" s="241">
        <f>SUM(G797:G798)</f>
        <v>0</v>
      </c>
    </row>
    <row r="800" spans="1:7" ht="13.5" thickBot="1">
      <c r="A800" s="330"/>
      <c r="B800" s="106"/>
      <c r="C800" s="106"/>
      <c r="G800" s="242"/>
    </row>
    <row r="801" spans="1:7" ht="13.5" thickTop="1">
      <c r="A801" s="59" t="s">
        <v>646</v>
      </c>
      <c r="B801" s="106"/>
      <c r="C801" s="106"/>
      <c r="G801" s="133"/>
    </row>
    <row r="802" spans="1:7">
      <c r="A802" s="330"/>
      <c r="B802" s="106" t="s">
        <v>647</v>
      </c>
      <c r="C802" s="106"/>
      <c r="E802" s="501">
        <f t="shared" ref="E802" si="21">E757+E762+E767+E772+E777+E782+E797+E792+E787</f>
        <v>0</v>
      </c>
      <c r="G802" s="133">
        <f>G757+G762+G767+G772+G777+G782+G797+G787+G792</f>
        <v>0</v>
      </c>
    </row>
    <row r="803" spans="1:7">
      <c r="A803" s="330"/>
      <c r="B803" s="106" t="s">
        <v>649</v>
      </c>
      <c r="C803" s="106"/>
      <c r="E803" s="501">
        <f>E758+E763+E768+E773+E778+E783+E798</f>
        <v>0</v>
      </c>
      <c r="G803" s="133">
        <f>G758+G763+G768+G773+G778+G783+G798</f>
        <v>0</v>
      </c>
    </row>
    <row r="804" spans="1:7" ht="13.5" thickBot="1">
      <c r="A804" s="330"/>
      <c r="B804" s="106"/>
      <c r="C804" s="106"/>
      <c r="G804" s="262"/>
    </row>
    <row r="805" spans="1:7">
      <c r="A805" s="330"/>
      <c r="B805" s="61" t="s">
        <v>646</v>
      </c>
      <c r="C805" s="106"/>
      <c r="E805" s="501">
        <f t="shared" ref="E805" si="22">E759+E764+E769+E774+E794+E789+E784+E799+E779</f>
        <v>0</v>
      </c>
      <c r="G805" s="133">
        <f>G759+G764+G769+G774+G779+G784+G799+G789+G794</f>
        <v>0</v>
      </c>
    </row>
    <row r="806" spans="1:7">
      <c r="A806" s="330"/>
      <c r="B806" s="106"/>
      <c r="C806" s="106"/>
      <c r="G806" s="133"/>
    </row>
    <row r="807" spans="1:7">
      <c r="A807" s="59" t="s">
        <v>409</v>
      </c>
      <c r="B807" s="106"/>
      <c r="C807" s="106"/>
      <c r="G807" s="133"/>
    </row>
    <row r="808" spans="1:7">
      <c r="A808" s="330"/>
      <c r="B808" s="106"/>
      <c r="C808" s="106"/>
      <c r="G808" s="133"/>
    </row>
    <row r="809" spans="1:7">
      <c r="A809" s="134">
        <v>907</v>
      </c>
      <c r="B809" s="106" t="s">
        <v>402</v>
      </c>
      <c r="C809" s="106"/>
      <c r="G809" s="133"/>
    </row>
    <row r="810" spans="1:7" ht="15">
      <c r="A810" s="134"/>
      <c r="B810" s="106"/>
      <c r="C810" s="106" t="s">
        <v>14</v>
      </c>
      <c r="E810" s="928"/>
      <c r="G810" s="133">
        <f>SUM(E810:E810)</f>
        <v>0</v>
      </c>
    </row>
    <row r="811" spans="1:7">
      <c r="A811" s="134"/>
      <c r="B811" s="106"/>
      <c r="C811" s="106" t="s">
        <v>24</v>
      </c>
      <c r="G811" s="133">
        <f>SUM(E811:E811)</f>
        <v>0</v>
      </c>
    </row>
    <row r="812" spans="1:7">
      <c r="A812" s="134"/>
      <c r="B812" s="106"/>
      <c r="C812" s="106" t="s">
        <v>170</v>
      </c>
      <c r="E812" s="501">
        <f>SUM(E810:E811)</f>
        <v>0</v>
      </c>
      <c r="G812" s="241">
        <f>SUM(G810:G811)</f>
        <v>0</v>
      </c>
    </row>
    <row r="813" spans="1:7">
      <c r="A813" s="134"/>
      <c r="B813" s="106"/>
      <c r="C813" s="106"/>
      <c r="G813" s="133"/>
    </row>
    <row r="814" spans="1:7">
      <c r="A814" s="134">
        <v>908</v>
      </c>
      <c r="B814" s="106" t="s">
        <v>410</v>
      </c>
      <c r="C814" s="106"/>
      <c r="G814" s="133"/>
    </row>
    <row r="815" spans="1:7" ht="15">
      <c r="A815" s="134"/>
      <c r="B815" s="106"/>
      <c r="C815" s="106" t="s">
        <v>14</v>
      </c>
      <c r="E815" s="928"/>
      <c r="G815" s="133">
        <f>SUM(E815:E815)</f>
        <v>0</v>
      </c>
    </row>
    <row r="816" spans="1:7">
      <c r="A816" s="134"/>
      <c r="B816" s="106"/>
      <c r="C816" s="106" t="s">
        <v>24</v>
      </c>
      <c r="G816" s="133">
        <f>SUM(E816:E816)</f>
        <v>0</v>
      </c>
    </row>
    <row r="817" spans="1:7">
      <c r="A817" s="134"/>
      <c r="B817" s="106"/>
      <c r="C817" s="106" t="s">
        <v>170</v>
      </c>
      <c r="E817" s="501">
        <f t="shared" ref="E817" si="23">SUM(E815:E816)</f>
        <v>0</v>
      </c>
      <c r="G817" s="241">
        <f>SUM(G815:G816)</f>
        <v>0</v>
      </c>
    </row>
    <row r="818" spans="1:7">
      <c r="A818" s="134"/>
      <c r="B818" s="106"/>
      <c r="C818" s="106"/>
      <c r="G818" s="133"/>
    </row>
    <row r="819" spans="1:7">
      <c r="A819" s="134">
        <v>909</v>
      </c>
      <c r="B819" s="106" t="s">
        <v>423</v>
      </c>
      <c r="C819" s="106"/>
      <c r="G819" s="133"/>
    </row>
    <row r="820" spans="1:7" ht="15">
      <c r="A820" s="134"/>
      <c r="B820" s="106"/>
      <c r="C820" s="106" t="s">
        <v>14</v>
      </c>
      <c r="E820" s="928"/>
      <c r="G820" s="133">
        <f>SUM(E820:E820)</f>
        <v>0</v>
      </c>
    </row>
    <row r="821" spans="1:7">
      <c r="A821" s="134"/>
      <c r="B821" s="106"/>
      <c r="C821" s="106" t="s">
        <v>24</v>
      </c>
      <c r="G821" s="133">
        <f>SUM(E821:E821)</f>
        <v>0</v>
      </c>
    </row>
    <row r="822" spans="1:7">
      <c r="A822" s="134"/>
      <c r="B822" s="106"/>
      <c r="C822" s="106" t="s">
        <v>170</v>
      </c>
      <c r="E822" s="501">
        <f>SUM(E820:E821)</f>
        <v>0</v>
      </c>
      <c r="G822" s="241">
        <f>SUM(G820:G821)</f>
        <v>0</v>
      </c>
    </row>
    <row r="823" spans="1:7">
      <c r="A823" s="134"/>
      <c r="B823" s="106"/>
      <c r="C823" s="106"/>
      <c r="G823" s="133"/>
    </row>
    <row r="824" spans="1:7">
      <c r="A824" s="134">
        <v>910</v>
      </c>
      <c r="B824" s="106" t="s">
        <v>424</v>
      </c>
      <c r="C824" s="106"/>
      <c r="G824" s="133"/>
    </row>
    <row r="825" spans="1:7" ht="15">
      <c r="A825" s="330"/>
      <c r="B825" s="106"/>
      <c r="C825" s="106" t="s">
        <v>14</v>
      </c>
      <c r="E825" s="928"/>
      <c r="G825" s="133">
        <f>SUM(E825:E825)</f>
        <v>0</v>
      </c>
    </row>
    <row r="826" spans="1:7">
      <c r="A826" s="330"/>
      <c r="B826" s="106"/>
      <c r="C826" s="106" t="s">
        <v>24</v>
      </c>
      <c r="G826" s="133">
        <f>SUM(E826:E826)</f>
        <v>0</v>
      </c>
    </row>
    <row r="827" spans="1:7">
      <c r="A827" s="330"/>
      <c r="B827" s="106"/>
      <c r="C827" s="106" t="s">
        <v>170</v>
      </c>
      <c r="E827" s="501">
        <f>SUM(E825:E826)</f>
        <v>0</v>
      </c>
      <c r="G827" s="241">
        <f>SUM(G825:G826)</f>
        <v>0</v>
      </c>
    </row>
    <row r="828" spans="1:7" ht="13.5" thickBot="1">
      <c r="A828" s="330"/>
      <c r="B828" s="106"/>
      <c r="C828" s="106"/>
      <c r="G828" s="242"/>
    </row>
    <row r="829" spans="1:7" ht="13.5" thickTop="1">
      <c r="A829" s="59" t="s">
        <v>650</v>
      </c>
      <c r="B829" s="106"/>
      <c r="C829" s="106"/>
      <c r="G829" s="133"/>
    </row>
    <row r="830" spans="1:7">
      <c r="A830" s="330"/>
      <c r="B830" s="231" t="s">
        <v>651</v>
      </c>
      <c r="C830" s="106"/>
      <c r="E830" s="501">
        <f t="shared" ref="E830:E831" si="24">E810+E815+E820+E825</f>
        <v>0</v>
      </c>
      <c r="G830" s="133">
        <f>G810+G815+G820+G825</f>
        <v>0</v>
      </c>
    </row>
    <row r="831" spans="1:7">
      <c r="A831" s="330"/>
      <c r="B831" s="231" t="s">
        <v>652</v>
      </c>
      <c r="C831" s="106"/>
      <c r="E831" s="501">
        <f t="shared" si="24"/>
        <v>0</v>
      </c>
      <c r="G831" s="133">
        <f>G811+G816+G821+G826</f>
        <v>0</v>
      </c>
    </row>
    <row r="832" spans="1:7" ht="13.5" thickBot="1">
      <c r="A832" s="330"/>
      <c r="B832" s="106"/>
      <c r="C832" s="106"/>
      <c r="G832" s="262"/>
    </row>
    <row r="833" spans="1:7">
      <c r="A833" s="330"/>
      <c r="B833" s="61" t="s">
        <v>650</v>
      </c>
      <c r="C833" s="106"/>
      <c r="E833" s="501">
        <f>E812+E817+E822+E827</f>
        <v>0</v>
      </c>
      <c r="G833" s="133">
        <f>SUM(E833:E833)</f>
        <v>0</v>
      </c>
    </row>
    <row r="834" spans="1:7">
      <c r="A834" s="330"/>
      <c r="B834" s="106"/>
      <c r="C834" s="106"/>
      <c r="G834" s="133"/>
    </row>
    <row r="835" spans="1:7">
      <c r="A835" s="59" t="s">
        <v>425</v>
      </c>
      <c r="B835" s="106"/>
      <c r="C835" s="106"/>
      <c r="G835" s="133"/>
    </row>
    <row r="836" spans="1:7">
      <c r="A836" s="330"/>
      <c r="B836" s="106"/>
      <c r="C836" s="106"/>
      <c r="G836" s="133"/>
    </row>
    <row r="837" spans="1:7">
      <c r="A837" s="134">
        <v>920</v>
      </c>
      <c r="B837" s="106" t="s">
        <v>426</v>
      </c>
      <c r="C837" s="106"/>
      <c r="G837" s="133"/>
    </row>
    <row r="838" spans="1:7" ht="15">
      <c r="A838" s="330"/>
      <c r="B838" s="106"/>
      <c r="C838" s="106" t="s">
        <v>14</v>
      </c>
      <c r="E838" s="928"/>
      <c r="G838" s="133">
        <f>SUM(E838:E838)</f>
        <v>0</v>
      </c>
    </row>
    <row r="839" spans="1:7">
      <c r="A839" s="330"/>
      <c r="B839" s="106"/>
      <c r="C839" s="106" t="s">
        <v>24</v>
      </c>
      <c r="G839" s="133">
        <f>SUM(E839:E839)</f>
        <v>0</v>
      </c>
    </row>
    <row r="840" spans="1:7">
      <c r="A840" s="134"/>
      <c r="B840" s="106"/>
      <c r="C840" s="106" t="s">
        <v>170</v>
      </c>
      <c r="E840" s="501">
        <f>SUM(E838:E839)</f>
        <v>0</v>
      </c>
      <c r="G840" s="241">
        <f>SUM(E840:E840)</f>
        <v>0</v>
      </c>
    </row>
    <row r="841" spans="1:7">
      <c r="A841" s="134">
        <v>921</v>
      </c>
      <c r="B841" s="106" t="s">
        <v>427</v>
      </c>
      <c r="C841" s="106"/>
      <c r="G841" s="133"/>
    </row>
    <row r="842" spans="1:7" ht="15">
      <c r="A842" s="134"/>
      <c r="B842" s="106"/>
      <c r="C842" s="106" t="s">
        <v>14</v>
      </c>
      <c r="E842" s="928"/>
      <c r="G842" s="133">
        <f>SUM(E842:E842)</f>
        <v>0</v>
      </c>
    </row>
    <row r="843" spans="1:7">
      <c r="A843" s="134"/>
      <c r="B843" s="106"/>
      <c r="C843" s="106" t="s">
        <v>24</v>
      </c>
      <c r="G843" s="133">
        <f>SUM(E843:E843)</f>
        <v>0</v>
      </c>
    </row>
    <row r="844" spans="1:7">
      <c r="A844" s="134"/>
      <c r="B844" s="106"/>
      <c r="C844" s="106" t="s">
        <v>170</v>
      </c>
      <c r="E844" s="501">
        <f>SUM(E842:E843)</f>
        <v>0</v>
      </c>
      <c r="G844" s="241">
        <f>SUM(E844:E844)</f>
        <v>0</v>
      </c>
    </row>
    <row r="845" spans="1:7">
      <c r="A845" s="134">
        <v>922</v>
      </c>
      <c r="B845" s="106" t="s">
        <v>428</v>
      </c>
      <c r="C845" s="106"/>
      <c r="G845" s="133"/>
    </row>
    <row r="846" spans="1:7" ht="15">
      <c r="A846" s="134"/>
      <c r="B846" s="106"/>
      <c r="C846" s="106" t="s">
        <v>14</v>
      </c>
      <c r="E846" s="928"/>
      <c r="G846" s="133">
        <f>SUM(E846:E846)</f>
        <v>0</v>
      </c>
    </row>
    <row r="847" spans="1:7">
      <c r="A847" s="134"/>
      <c r="B847" s="106"/>
      <c r="C847" s="106" t="s">
        <v>24</v>
      </c>
      <c r="G847" s="133">
        <f>SUM(E847:E847)</f>
        <v>0</v>
      </c>
    </row>
    <row r="848" spans="1:7">
      <c r="A848" s="134"/>
      <c r="B848" s="106"/>
      <c r="C848" s="106" t="s">
        <v>170</v>
      </c>
      <c r="E848" s="501">
        <f>SUM(E846:E847)</f>
        <v>0</v>
      </c>
      <c r="G848" s="241">
        <f>SUM(E848:E848)</f>
        <v>0</v>
      </c>
    </row>
    <row r="849" spans="1:7">
      <c r="A849" s="134">
        <v>923</v>
      </c>
      <c r="B849" s="106" t="s">
        <v>429</v>
      </c>
      <c r="C849" s="106"/>
      <c r="G849" s="133"/>
    </row>
    <row r="850" spans="1:7" ht="15">
      <c r="A850" s="134"/>
      <c r="B850" s="106"/>
      <c r="C850" s="106" t="s">
        <v>14</v>
      </c>
      <c r="E850" s="928"/>
      <c r="G850" s="133">
        <f>SUM(E850:E850)</f>
        <v>0</v>
      </c>
    </row>
    <row r="851" spans="1:7">
      <c r="A851" s="134"/>
      <c r="B851" s="106"/>
      <c r="C851" s="106" t="s">
        <v>24</v>
      </c>
      <c r="G851" s="133">
        <f>SUM(E851:E851)</f>
        <v>0</v>
      </c>
    </row>
    <row r="852" spans="1:7">
      <c r="A852" s="134"/>
      <c r="B852" s="106"/>
      <c r="C852" s="106" t="s">
        <v>170</v>
      </c>
      <c r="E852" s="501">
        <f>SUM(E850:E851)</f>
        <v>0</v>
      </c>
      <c r="G852" s="241">
        <f>SUM(E852:E852)</f>
        <v>0</v>
      </c>
    </row>
    <row r="853" spans="1:7">
      <c r="A853" s="134">
        <v>924</v>
      </c>
      <c r="B853" s="106" t="s">
        <v>430</v>
      </c>
      <c r="C853" s="106"/>
      <c r="G853" s="133"/>
    </row>
    <row r="854" spans="1:7" ht="15">
      <c r="A854" s="134"/>
      <c r="B854" s="106"/>
      <c r="C854" s="106" t="s">
        <v>14</v>
      </c>
      <c r="E854" s="928"/>
      <c r="G854" s="133">
        <f>SUM(E854:E854)</f>
        <v>0</v>
      </c>
    </row>
    <row r="855" spans="1:7">
      <c r="A855" s="134"/>
      <c r="B855" s="106"/>
      <c r="C855" s="106" t="s">
        <v>24</v>
      </c>
      <c r="G855" s="133">
        <f>SUM(E855:E855)</f>
        <v>0</v>
      </c>
    </row>
    <row r="856" spans="1:7">
      <c r="A856" s="134"/>
      <c r="B856" s="106"/>
      <c r="C856" s="106" t="s">
        <v>170</v>
      </c>
      <c r="E856" s="501">
        <f>SUM(E854:E855)</f>
        <v>0</v>
      </c>
      <c r="G856" s="241">
        <f>SUM(E856:E856)</f>
        <v>0</v>
      </c>
    </row>
    <row r="857" spans="1:7">
      <c r="A857" s="134">
        <v>925</v>
      </c>
      <c r="B857" s="106" t="s">
        <v>431</v>
      </c>
      <c r="C857" s="106"/>
      <c r="G857" s="133"/>
    </row>
    <row r="858" spans="1:7" ht="15">
      <c r="A858" s="134"/>
      <c r="B858" s="106"/>
      <c r="C858" s="106" t="s">
        <v>14</v>
      </c>
      <c r="E858" s="928"/>
      <c r="G858" s="133">
        <f>SUM(E858:E858)</f>
        <v>0</v>
      </c>
    </row>
    <row r="859" spans="1:7">
      <c r="A859" s="134"/>
      <c r="B859" s="106"/>
      <c r="C859" s="106" t="s">
        <v>24</v>
      </c>
      <c r="G859" s="133">
        <f>SUM(E859:E859)</f>
        <v>0</v>
      </c>
    </row>
    <row r="860" spans="1:7">
      <c r="A860" s="134"/>
      <c r="B860" s="106"/>
      <c r="C860" s="106" t="s">
        <v>170</v>
      </c>
      <c r="E860" s="501">
        <f>SUM(E858:E859)</f>
        <v>0</v>
      </c>
      <c r="G860" s="241">
        <f>SUM(E860:E860)</f>
        <v>0</v>
      </c>
    </row>
    <row r="861" spans="1:7">
      <c r="A861" s="134">
        <v>926</v>
      </c>
      <c r="B861" s="106" t="s">
        <v>432</v>
      </c>
      <c r="C861" s="106"/>
      <c r="G861" s="133"/>
    </row>
    <row r="862" spans="1:7" ht="15">
      <c r="A862" s="134"/>
      <c r="B862" s="106"/>
      <c r="C862" s="106" t="s">
        <v>14</v>
      </c>
      <c r="E862" s="928"/>
      <c r="G862" s="133">
        <f>SUM(E862:E862)</f>
        <v>0</v>
      </c>
    </row>
    <row r="863" spans="1:7">
      <c r="A863" s="134"/>
      <c r="B863" s="106"/>
      <c r="C863" s="106" t="s">
        <v>24</v>
      </c>
      <c r="G863" s="133">
        <f>SUM(E863:E863)</f>
        <v>0</v>
      </c>
    </row>
    <row r="864" spans="1:7">
      <c r="A864" s="134"/>
      <c r="B864" s="106"/>
      <c r="C864" s="106" t="s">
        <v>170</v>
      </c>
      <c r="E864" s="501">
        <f>SUM(E862:E863)</f>
        <v>0</v>
      </c>
      <c r="G864" s="241">
        <f>SUM(E864:E864)</f>
        <v>0</v>
      </c>
    </row>
    <row r="865" spans="1:7">
      <c r="A865" s="134" t="s">
        <v>826</v>
      </c>
      <c r="B865" s="166" t="s">
        <v>827</v>
      </c>
      <c r="C865" s="106"/>
      <c r="G865" s="133"/>
    </row>
    <row r="866" spans="1:7" ht="15">
      <c r="A866" s="134"/>
      <c r="B866" s="106"/>
      <c r="C866" s="106" t="s">
        <v>14</v>
      </c>
      <c r="E866" s="928"/>
      <c r="G866" s="133">
        <f>SUM(E866:E866)</f>
        <v>0</v>
      </c>
    </row>
    <row r="867" spans="1:7">
      <c r="A867" s="134"/>
      <c r="B867" s="106"/>
      <c r="C867" s="106" t="s">
        <v>24</v>
      </c>
      <c r="G867" s="133">
        <f>SUM(E867:E867)</f>
        <v>0</v>
      </c>
    </row>
    <row r="868" spans="1:7">
      <c r="A868" s="134"/>
      <c r="B868" s="166"/>
      <c r="C868" s="106" t="s">
        <v>170</v>
      </c>
      <c r="E868" s="501">
        <f>SUM(E866:E867)</f>
        <v>0</v>
      </c>
      <c r="G868" s="241">
        <f>SUM(E868:E868)</f>
        <v>0</v>
      </c>
    </row>
    <row r="869" spans="1:7">
      <c r="A869" s="134">
        <v>9301</v>
      </c>
      <c r="B869" s="106" t="s">
        <v>433</v>
      </c>
      <c r="C869" s="106"/>
      <c r="G869" s="133"/>
    </row>
    <row r="870" spans="1:7" ht="15">
      <c r="A870" s="134"/>
      <c r="B870" s="166"/>
      <c r="C870" s="106" t="s">
        <v>14</v>
      </c>
      <c r="E870" s="928"/>
      <c r="G870" s="133">
        <f>SUM(E870:E870)</f>
        <v>0</v>
      </c>
    </row>
    <row r="871" spans="1:7">
      <c r="A871" s="134"/>
      <c r="B871" s="166"/>
      <c r="C871" s="106" t="s">
        <v>24</v>
      </c>
      <c r="G871" s="133">
        <f>SUM(E871:E871)</f>
        <v>0</v>
      </c>
    </row>
    <row r="872" spans="1:7">
      <c r="A872" s="134"/>
      <c r="B872" s="106"/>
      <c r="C872" s="106" t="s">
        <v>170</v>
      </c>
      <c r="E872" s="501">
        <f>SUM(E870:E871)</f>
        <v>0</v>
      </c>
      <c r="G872" s="241">
        <f>SUM(E872:E872)</f>
        <v>0</v>
      </c>
    </row>
    <row r="873" spans="1:7">
      <c r="A873" s="134">
        <v>9302</v>
      </c>
      <c r="B873" s="106" t="s">
        <v>435</v>
      </c>
      <c r="C873" s="106"/>
      <c r="G873" s="133"/>
    </row>
    <row r="874" spans="1:7" ht="15">
      <c r="A874" s="134"/>
      <c r="B874" s="106"/>
      <c r="C874" s="106" t="s">
        <v>14</v>
      </c>
      <c r="E874" s="928"/>
      <c r="G874" s="133">
        <f>SUM(E874:E874)</f>
        <v>0</v>
      </c>
    </row>
    <row r="875" spans="1:7">
      <c r="A875" s="134"/>
      <c r="B875" s="106"/>
      <c r="C875" s="106" t="s">
        <v>24</v>
      </c>
      <c r="G875" s="133">
        <f>SUM(E875:E875)</f>
        <v>0</v>
      </c>
    </row>
    <row r="876" spans="1:7">
      <c r="A876" s="134"/>
      <c r="B876" s="106"/>
      <c r="C876" s="106" t="s">
        <v>170</v>
      </c>
      <c r="E876" s="501">
        <f>SUM(E874:E875)</f>
        <v>0</v>
      </c>
      <c r="G876" s="241">
        <f>SUM(E876:E876)</f>
        <v>0</v>
      </c>
    </row>
    <row r="877" spans="1:7">
      <c r="A877" s="134">
        <v>931</v>
      </c>
      <c r="B877" s="106" t="s">
        <v>385</v>
      </c>
      <c r="C877" s="106"/>
      <c r="G877" s="133"/>
    </row>
    <row r="878" spans="1:7" ht="15">
      <c r="A878" s="134"/>
      <c r="B878" s="106"/>
      <c r="C878" s="106" t="s">
        <v>14</v>
      </c>
      <c r="E878" s="928"/>
      <c r="G878" s="133">
        <f>SUM(E878:E878)</f>
        <v>0</v>
      </c>
    </row>
    <row r="879" spans="1:7">
      <c r="A879" s="134"/>
      <c r="B879" s="106"/>
      <c r="C879" s="106" t="s">
        <v>24</v>
      </c>
      <c r="G879" s="133">
        <f>SUM(E879:E879)</f>
        <v>0</v>
      </c>
    </row>
    <row r="880" spans="1:7">
      <c r="A880" s="134"/>
      <c r="B880" s="106"/>
      <c r="C880" s="106" t="s">
        <v>170</v>
      </c>
      <c r="E880" s="501">
        <f>SUM(E878:E879)</f>
        <v>0</v>
      </c>
      <c r="G880" s="241">
        <f>SUM(E880:E880)</f>
        <v>0</v>
      </c>
    </row>
    <row r="881" spans="1:7">
      <c r="A881" s="134">
        <v>935</v>
      </c>
      <c r="B881" s="106" t="s">
        <v>436</v>
      </c>
      <c r="C881" s="106"/>
      <c r="G881" s="133"/>
    </row>
    <row r="882" spans="1:7" ht="15">
      <c r="A882" s="134"/>
      <c r="B882" s="106"/>
      <c r="C882" s="106" t="s">
        <v>14</v>
      </c>
      <c r="E882" s="928">
        <v>0</v>
      </c>
      <c r="G882" s="133">
        <f>SUM(E882:E882)</f>
        <v>0</v>
      </c>
    </row>
    <row r="883" spans="1:7">
      <c r="A883" s="134"/>
      <c r="B883" s="106"/>
      <c r="C883" s="106" t="s">
        <v>24</v>
      </c>
      <c r="G883" s="133">
        <f>SUM(E883:E883)</f>
        <v>0</v>
      </c>
    </row>
    <row r="884" spans="1:7">
      <c r="A884" s="134"/>
      <c r="B884" s="106"/>
      <c r="C884" s="106" t="s">
        <v>170</v>
      </c>
      <c r="E884" s="501">
        <f>SUM(E882:E883)</f>
        <v>0</v>
      </c>
      <c r="G884" s="241">
        <f>SUM(E884:E884)</f>
        <v>0</v>
      </c>
    </row>
    <row r="885" spans="1:7">
      <c r="A885" s="59" t="s">
        <v>831</v>
      </c>
      <c r="B885" s="106"/>
      <c r="C885" s="106"/>
      <c r="G885" s="133"/>
    </row>
    <row r="886" spans="1:7">
      <c r="A886" s="134"/>
      <c r="B886" s="231" t="s">
        <v>829</v>
      </c>
      <c r="C886" s="106"/>
      <c r="E886" s="501">
        <f t="shared" ref="E886:E887" si="25">E838+E842+E846+E850+E854+E858+E862+E866+E870+E874+E878+E882</f>
        <v>0</v>
      </c>
      <c r="G886" s="133">
        <f>SUM(E886:E886)</f>
        <v>0</v>
      </c>
    </row>
    <row r="887" spans="1:7">
      <c r="A887" s="134"/>
      <c r="B887" s="231" t="s">
        <v>830</v>
      </c>
      <c r="C887" s="106"/>
      <c r="E887" s="501">
        <f t="shared" si="25"/>
        <v>0</v>
      </c>
      <c r="G887" s="133">
        <f>SUM(E887:E887)</f>
        <v>0</v>
      </c>
    </row>
    <row r="888" spans="1:7" ht="13.5" thickBot="1">
      <c r="A888" s="330"/>
      <c r="B888" s="106"/>
      <c r="C888" s="106"/>
      <c r="G888" s="262"/>
    </row>
    <row r="889" spans="1:7">
      <c r="A889" s="330"/>
      <c r="B889" s="61" t="s">
        <v>437</v>
      </c>
      <c r="C889" s="106"/>
      <c r="E889" s="501">
        <f>IF((E886+E887)=E884+E880+E876+E872+E868+E864+E860+E856+E852+E848+E844+E840,E886+E887,"ERROR")</f>
        <v>0</v>
      </c>
      <c r="G889" s="133">
        <f>SUM(E889:E889)</f>
        <v>0</v>
      </c>
    </row>
    <row r="890" spans="1:7" ht="13.5" thickBot="1">
      <c r="A890" s="330"/>
      <c r="B890" s="106"/>
      <c r="C890" s="106"/>
      <c r="G890" s="242"/>
    </row>
    <row r="891" spans="1:7" ht="13.5" thickTop="1">
      <c r="A891" s="330"/>
      <c r="B891" s="106"/>
      <c r="C891" s="106"/>
      <c r="G891" s="133"/>
    </row>
    <row r="892" spans="1:7">
      <c r="A892" s="330"/>
      <c r="B892" s="61" t="s">
        <v>653</v>
      </c>
      <c r="C892" s="106"/>
      <c r="E892" s="501">
        <f>E649+E752+E805+E833+E889</f>
        <v>0</v>
      </c>
      <c r="G892" s="133">
        <f>SUM(E892:E892)</f>
        <v>0</v>
      </c>
    </row>
    <row r="893" spans="1:7">
      <c r="A893" s="330"/>
      <c r="B893" s="106"/>
      <c r="C893" s="106"/>
      <c r="G893" s="133"/>
    </row>
    <row r="894" spans="1:7">
      <c r="A894" s="330"/>
      <c r="B894" s="106"/>
      <c r="C894" s="106"/>
      <c r="G894" s="133"/>
    </row>
    <row r="895" spans="1:7">
      <c r="A895" s="59" t="s">
        <v>438</v>
      </c>
      <c r="B895" s="106"/>
      <c r="C895" s="106"/>
      <c r="G895" s="133"/>
    </row>
    <row r="896" spans="1:7">
      <c r="A896" s="330"/>
      <c r="B896" s="106"/>
      <c r="C896" s="106"/>
      <c r="G896" s="133"/>
    </row>
    <row r="897" spans="1:7">
      <c r="A897" s="59" t="s">
        <v>439</v>
      </c>
      <c r="B897" s="106"/>
      <c r="C897" s="106"/>
      <c r="G897" s="133"/>
    </row>
    <row r="898" spans="1:7">
      <c r="A898" s="330"/>
      <c r="B898" s="106"/>
      <c r="C898" s="106"/>
      <c r="G898" s="133"/>
    </row>
    <row r="899" spans="1:7">
      <c r="A899" s="134">
        <v>403</v>
      </c>
      <c r="B899" s="106" t="s">
        <v>442</v>
      </c>
      <c r="C899" s="106"/>
      <c r="G899" s="133"/>
    </row>
    <row r="900" spans="1:7" ht="15">
      <c r="A900" s="134"/>
      <c r="B900" s="106"/>
      <c r="C900" s="106" t="s">
        <v>443</v>
      </c>
      <c r="E900" s="928"/>
      <c r="G900" s="133">
        <f>SUM(E900:E900)</f>
        <v>0</v>
      </c>
    </row>
    <row r="901" spans="1:7">
      <c r="A901" s="134"/>
      <c r="B901" s="106"/>
      <c r="C901" s="106" t="s">
        <v>592</v>
      </c>
      <c r="G901" s="133">
        <f>SUM(E901:E901)</f>
        <v>0</v>
      </c>
    </row>
    <row r="902" spans="1:7" ht="15">
      <c r="A902" s="134"/>
      <c r="B902" s="106"/>
      <c r="C902" s="106" t="s">
        <v>593</v>
      </c>
      <c r="E902" s="928"/>
      <c r="G902" s="133">
        <f>SUM(E902:E902)</f>
        <v>0</v>
      </c>
    </row>
    <row r="903" spans="1:7" ht="15">
      <c r="A903" s="134"/>
      <c r="B903" s="106"/>
      <c r="C903" s="106" t="s">
        <v>595</v>
      </c>
      <c r="E903" s="928"/>
      <c r="G903" s="133">
        <f>SUM(E903:E903)</f>
        <v>0</v>
      </c>
    </row>
    <row r="904" spans="1:7">
      <c r="A904" s="134"/>
      <c r="B904" s="106"/>
      <c r="C904" s="106" t="s">
        <v>596</v>
      </c>
      <c r="E904" s="501">
        <f>SUM(E900:E903)</f>
        <v>0</v>
      </c>
      <c r="G904" s="241">
        <f>SUM(G900:G903)</f>
        <v>0</v>
      </c>
    </row>
    <row r="905" spans="1:7">
      <c r="A905" s="134"/>
      <c r="B905" s="106"/>
      <c r="C905" s="106"/>
      <c r="G905" s="133"/>
    </row>
    <row r="906" spans="1:7">
      <c r="A906" s="134">
        <v>404</v>
      </c>
      <c r="B906" s="106" t="s">
        <v>597</v>
      </c>
      <c r="C906" s="106"/>
      <c r="G906" s="133"/>
    </row>
    <row r="907" spans="1:7" ht="15">
      <c r="A907" s="134"/>
      <c r="B907" s="106"/>
      <c r="C907" s="106" t="s">
        <v>443</v>
      </c>
      <c r="E907" s="928"/>
      <c r="G907" s="133">
        <f>SUM(E907:E907)</f>
        <v>0</v>
      </c>
    </row>
    <row r="908" spans="1:7">
      <c r="A908" s="134"/>
      <c r="B908" s="106"/>
      <c r="C908" s="106" t="s">
        <v>592</v>
      </c>
      <c r="G908" s="133">
        <f>SUM(E908:E908)</f>
        <v>0</v>
      </c>
    </row>
    <row r="909" spans="1:7" ht="15">
      <c r="A909" s="134"/>
      <c r="B909" s="106"/>
      <c r="C909" s="106" t="s">
        <v>593</v>
      </c>
      <c r="E909" s="928"/>
      <c r="G909" s="133">
        <f>SUM(E909:E909)</f>
        <v>0</v>
      </c>
    </row>
    <row r="910" spans="1:7" ht="15">
      <c r="A910" s="134"/>
      <c r="B910" s="106"/>
      <c r="C910" s="106" t="s">
        <v>595</v>
      </c>
      <c r="E910" s="928"/>
      <c r="G910" s="133">
        <f>SUM(E910:E910)</f>
        <v>0</v>
      </c>
    </row>
    <row r="911" spans="1:7">
      <c r="A911" s="134"/>
      <c r="B911" s="106"/>
      <c r="C911" s="106" t="s">
        <v>598</v>
      </c>
      <c r="E911" s="501">
        <f>SUM(E907:E910)</f>
        <v>0</v>
      </c>
      <c r="G911" s="241">
        <f>SUM(G907:G910)</f>
        <v>0</v>
      </c>
    </row>
    <row r="912" spans="1:7" ht="13.5" thickBot="1">
      <c r="A912" s="134"/>
      <c r="B912" s="106"/>
      <c r="C912" s="106"/>
      <c r="G912" s="262"/>
    </row>
    <row r="913" spans="1:7">
      <c r="A913" s="134"/>
      <c r="B913" s="61" t="s">
        <v>656</v>
      </c>
      <c r="C913" s="106"/>
      <c r="E913" s="501">
        <f>E904+E911</f>
        <v>0</v>
      </c>
      <c r="G913" s="133">
        <f>SUM(E913:E913)</f>
        <v>0</v>
      </c>
    </row>
    <row r="914" spans="1:7">
      <c r="A914" s="134"/>
      <c r="B914" s="106"/>
      <c r="C914" s="106"/>
      <c r="G914" s="133"/>
    </row>
    <row r="915" spans="1:7">
      <c r="A915" s="62" t="s">
        <v>657</v>
      </c>
      <c r="B915" s="106"/>
      <c r="C915" s="106"/>
      <c r="G915" s="133"/>
    </row>
    <row r="916" spans="1:7">
      <c r="A916" s="134">
        <v>408</v>
      </c>
      <c r="B916" s="106" t="s">
        <v>599</v>
      </c>
      <c r="C916" s="106"/>
      <c r="G916" s="133"/>
    </row>
    <row r="917" spans="1:7" ht="15">
      <c r="A917" s="330"/>
      <c r="B917" s="106"/>
      <c r="C917" s="106" t="s">
        <v>443</v>
      </c>
      <c r="E917" s="928"/>
      <c r="G917" s="133">
        <f>SUM(E917:E917)</f>
        <v>0</v>
      </c>
    </row>
    <row r="918" spans="1:7">
      <c r="A918" s="330"/>
      <c r="B918" s="106"/>
      <c r="C918" s="106" t="s">
        <v>592</v>
      </c>
      <c r="G918" s="133">
        <f>SUM(E918:E918)</f>
        <v>0</v>
      </c>
    </row>
    <row r="919" spans="1:7" ht="15">
      <c r="A919" s="330"/>
      <c r="B919" s="106"/>
      <c r="C919" s="106" t="s">
        <v>593</v>
      </c>
      <c r="E919" s="928"/>
      <c r="G919" s="133">
        <f>SUM(E919:E919)</f>
        <v>0</v>
      </c>
    </row>
    <row r="920" spans="1:7" ht="15">
      <c r="A920" s="330"/>
      <c r="B920" s="106"/>
      <c r="C920" s="106" t="s">
        <v>595</v>
      </c>
      <c r="E920" s="928"/>
      <c r="G920" s="133">
        <f>SUM(E920:E920)</f>
        <v>0</v>
      </c>
    </row>
    <row r="921" spans="1:7">
      <c r="A921" s="330"/>
      <c r="B921" s="106"/>
      <c r="C921" s="106" t="s">
        <v>600</v>
      </c>
      <c r="E921" s="501">
        <f>SUM(E917:E920)</f>
        <v>0</v>
      </c>
      <c r="G921" s="241">
        <f>SUM(G917:G920)</f>
        <v>0</v>
      </c>
    </row>
    <row r="922" spans="1:7">
      <c r="A922" s="330"/>
      <c r="B922" s="106"/>
      <c r="C922" s="106"/>
      <c r="G922" s="133"/>
    </row>
    <row r="923" spans="1:7">
      <c r="A923" s="134">
        <v>4090</v>
      </c>
      <c r="B923" s="106" t="s">
        <v>602</v>
      </c>
      <c r="C923" s="106"/>
      <c r="E923" s="501">
        <v>0</v>
      </c>
      <c r="G923" s="116">
        <f>((G512)-(G639+G892+G913+G921-G925))*Taxes!$L$23</f>
        <v>0</v>
      </c>
    </row>
    <row r="924" spans="1:7">
      <c r="A924" s="134"/>
      <c r="B924" s="106"/>
      <c r="C924" s="106"/>
      <c r="G924" s="133"/>
    </row>
    <row r="925" spans="1:7" ht="15">
      <c r="A925" s="134">
        <v>4091</v>
      </c>
      <c r="B925" s="106" t="s">
        <v>603</v>
      </c>
      <c r="C925" s="106"/>
      <c r="E925" s="928"/>
      <c r="G925" s="133">
        <f>SUM(E925:E925)</f>
        <v>0</v>
      </c>
    </row>
    <row r="926" spans="1:7">
      <c r="A926" s="134"/>
      <c r="B926" s="106"/>
      <c r="C926" s="106"/>
      <c r="G926" s="133"/>
    </row>
    <row r="927" spans="1:7" ht="15">
      <c r="A927" s="134">
        <v>4101</v>
      </c>
      <c r="B927" s="106" t="s">
        <v>604</v>
      </c>
      <c r="C927" s="106"/>
      <c r="E927" s="928"/>
      <c r="G927" s="133">
        <f>SUM(E927:E927)</f>
        <v>0</v>
      </c>
    </row>
    <row r="928" spans="1:7">
      <c r="A928" s="134"/>
      <c r="B928" s="106"/>
      <c r="C928" s="106"/>
      <c r="G928" s="133"/>
    </row>
    <row r="929" spans="1:7" ht="15">
      <c r="A929" s="134">
        <v>4111</v>
      </c>
      <c r="B929" s="106" t="s">
        <v>605</v>
      </c>
      <c r="C929" s="106"/>
      <c r="E929" s="928"/>
      <c r="G929" s="133">
        <f>SUM(E929:E929)</f>
        <v>0</v>
      </c>
    </row>
    <row r="930" spans="1:7">
      <c r="A930" s="134"/>
      <c r="B930" s="106"/>
      <c r="C930" s="106"/>
      <c r="G930" s="133"/>
    </row>
    <row r="931" spans="1:7" ht="15">
      <c r="A931" s="134">
        <v>4114</v>
      </c>
      <c r="B931" s="106" t="s">
        <v>606</v>
      </c>
      <c r="C931" s="106"/>
      <c r="E931" s="928"/>
      <c r="G931" s="133">
        <f>SUM(E931:E931)</f>
        <v>0</v>
      </c>
    </row>
    <row r="932" spans="1:7" ht="13.5" thickBot="1">
      <c r="A932" s="330"/>
      <c r="B932" s="106"/>
      <c r="C932" s="106"/>
      <c r="G932" s="262"/>
    </row>
    <row r="933" spans="1:7">
      <c r="A933" s="330"/>
      <c r="B933" s="61" t="s">
        <v>658</v>
      </c>
      <c r="C933" s="106"/>
      <c r="E933" s="501">
        <f>E921+E923+E925+E927+E929+E931</f>
        <v>0</v>
      </c>
      <c r="G933" s="133">
        <f>SUM(E933:E933)</f>
        <v>0</v>
      </c>
    </row>
    <row r="934" spans="1:7" ht="13.5" thickBot="1">
      <c r="A934" s="330"/>
      <c r="B934" s="106"/>
      <c r="C934" s="106"/>
      <c r="G934" s="242"/>
    </row>
    <row r="935" spans="1:7" ht="13.5" thickTop="1">
      <c r="A935" s="330"/>
      <c r="B935" s="106"/>
      <c r="C935" s="106"/>
      <c r="G935" s="133"/>
    </row>
    <row r="936" spans="1:7">
      <c r="A936" s="59"/>
      <c r="B936" s="61" t="s">
        <v>655</v>
      </c>
      <c r="C936" s="106"/>
      <c r="E936" s="501">
        <f>E913+E933</f>
        <v>0</v>
      </c>
      <c r="G936" s="133">
        <f>SUM(E936:E936)</f>
        <v>0</v>
      </c>
    </row>
    <row r="937" spans="1:7" ht="13.5" thickBot="1">
      <c r="A937" s="330"/>
      <c r="B937" s="106"/>
      <c r="C937" s="106"/>
      <c r="G937" s="242"/>
    </row>
    <row r="938" spans="1:7" ht="13.5" thickTop="1">
      <c r="A938" s="330"/>
      <c r="B938" s="106"/>
      <c r="C938" s="106"/>
      <c r="G938" s="133"/>
    </row>
    <row r="939" spans="1:7">
      <c r="A939" s="59" t="s">
        <v>654</v>
      </c>
      <c r="B939" s="106"/>
      <c r="C939" s="106"/>
      <c r="E939" s="501">
        <f>E639+E892+E936</f>
        <v>0</v>
      </c>
      <c r="G939" s="133">
        <f>SUM(E939:E939)</f>
        <v>0</v>
      </c>
    </row>
    <row r="940" spans="1:7">
      <c r="A940" s="330"/>
      <c r="B940" s="106"/>
      <c r="C940" s="106"/>
      <c r="G940" s="133"/>
    </row>
    <row r="941" spans="1:7">
      <c r="A941" s="59"/>
      <c r="B941" s="33"/>
      <c r="C941" s="33"/>
      <c r="G941" s="100"/>
    </row>
    <row r="942" spans="1:7">
      <c r="A942" s="59"/>
      <c r="B942" s="33"/>
      <c r="C942" s="33"/>
      <c r="G942" s="100"/>
    </row>
    <row r="943" spans="1:7" ht="13.5" thickBot="1">
      <c r="A943" s="47" t="s">
        <v>841</v>
      </c>
      <c r="B943" s="48"/>
      <c r="C943" s="221"/>
      <c r="G943" s="126"/>
    </row>
    <row r="944" spans="1:7">
      <c r="A944" s="330"/>
      <c r="B944" s="106"/>
      <c r="C944" s="106"/>
      <c r="G944" s="133"/>
    </row>
    <row r="945" spans="1:7">
      <c r="A945" s="221"/>
      <c r="B945" s="221"/>
      <c r="C945" s="221"/>
      <c r="G945" s="133"/>
    </row>
    <row r="946" spans="1:7">
      <c r="A946" s="36" t="s">
        <v>302</v>
      </c>
      <c r="B946" s="102"/>
      <c r="C946" s="102"/>
      <c r="G946" s="133"/>
    </row>
    <row r="947" spans="1:7">
      <c r="A947" s="102" t="s">
        <v>298</v>
      </c>
      <c r="B947" s="102"/>
      <c r="C947" s="102"/>
      <c r="G947" s="133"/>
    </row>
    <row r="948" spans="1:7">
      <c r="A948" s="253"/>
      <c r="B948" s="102" t="s">
        <v>217</v>
      </c>
      <c r="C948" s="102"/>
      <c r="G948" s="133"/>
    </row>
    <row r="949" spans="1:7">
      <c r="A949" s="102" t="s">
        <v>218</v>
      </c>
      <c r="B949" s="102" t="s">
        <v>219</v>
      </c>
      <c r="C949" s="102"/>
      <c r="G949" s="133"/>
    </row>
    <row r="950" spans="1:7">
      <c r="A950" s="102"/>
      <c r="B950" s="102" t="s">
        <v>592</v>
      </c>
      <c r="C950" s="102"/>
      <c r="G950" s="133">
        <f>SUM(E950:E950)</f>
        <v>0</v>
      </c>
    </row>
    <row r="951" spans="1:7" ht="15">
      <c r="A951" s="102"/>
      <c r="B951" s="102" t="s">
        <v>593</v>
      </c>
      <c r="C951" s="102"/>
      <c r="E951" s="928"/>
      <c r="G951" s="133">
        <f>SUM(E951:E951)</f>
        <v>0</v>
      </c>
    </row>
    <row r="952" spans="1:7">
      <c r="A952" s="14"/>
      <c r="B952" s="102"/>
      <c r="C952" s="102"/>
      <c r="G952" s="133"/>
    </row>
    <row r="953" spans="1:7">
      <c r="A953" s="102"/>
      <c r="B953" s="102" t="s">
        <v>220</v>
      </c>
      <c r="C953" s="102"/>
      <c r="E953" s="501">
        <f>SUM(E950:E951)</f>
        <v>0</v>
      </c>
      <c r="G953" s="133">
        <f>SUM(E953:E953)</f>
        <v>0</v>
      </c>
    </row>
    <row r="954" spans="1:7">
      <c r="A954" s="102"/>
      <c r="B954" s="102"/>
      <c r="C954" s="102"/>
      <c r="G954" s="133"/>
    </row>
    <row r="955" spans="1:7">
      <c r="A955" s="253"/>
      <c r="B955" s="102" t="s">
        <v>221</v>
      </c>
      <c r="C955" s="102"/>
      <c r="G955" s="133"/>
    </row>
    <row r="956" spans="1:7" ht="15">
      <c r="A956" s="253" t="s">
        <v>222</v>
      </c>
      <c r="B956" s="102" t="s">
        <v>223</v>
      </c>
      <c r="C956" s="102"/>
      <c r="E956" s="928"/>
      <c r="G956" s="133">
        <f t="shared" ref="G956:G962" si="26">SUM(E956:E956)</f>
        <v>0</v>
      </c>
    </row>
    <row r="957" spans="1:7" ht="15">
      <c r="A957" s="253" t="s">
        <v>224</v>
      </c>
      <c r="B957" s="102" t="s">
        <v>225</v>
      </c>
      <c r="C957" s="102"/>
      <c r="E957" s="928"/>
      <c r="G957" s="133">
        <f t="shared" si="26"/>
        <v>0</v>
      </c>
    </row>
    <row r="958" spans="1:7" ht="15">
      <c r="A958" s="253" t="s">
        <v>226</v>
      </c>
      <c r="B958" s="102" t="s">
        <v>227</v>
      </c>
      <c r="C958" s="102"/>
      <c r="E958" s="928"/>
      <c r="G958" s="133">
        <f t="shared" si="26"/>
        <v>0</v>
      </c>
    </row>
    <row r="959" spans="1:7" ht="15">
      <c r="A959" s="253" t="s">
        <v>228</v>
      </c>
      <c r="B959" s="102" t="s">
        <v>229</v>
      </c>
      <c r="C959" s="102"/>
      <c r="E959" s="928"/>
      <c r="G959" s="133">
        <f t="shared" si="26"/>
        <v>0</v>
      </c>
    </row>
    <row r="960" spans="1:7" ht="15">
      <c r="A960" s="253" t="s">
        <v>230</v>
      </c>
      <c r="B960" s="102" t="s">
        <v>231</v>
      </c>
      <c r="C960" s="102"/>
      <c r="E960" s="928"/>
      <c r="G960" s="133">
        <f t="shared" si="26"/>
        <v>0</v>
      </c>
    </row>
    <row r="961" spans="1:7" ht="15">
      <c r="A961" s="253" t="s">
        <v>232</v>
      </c>
      <c r="B961" s="102" t="s">
        <v>233</v>
      </c>
      <c r="C961" s="102"/>
      <c r="E961" s="928"/>
      <c r="G961" s="133">
        <f t="shared" si="26"/>
        <v>0</v>
      </c>
    </row>
    <row r="962" spans="1:7" ht="15">
      <c r="A962" s="102" t="s">
        <v>234</v>
      </c>
      <c r="B962" s="102" t="s">
        <v>235</v>
      </c>
      <c r="C962" s="102"/>
      <c r="E962" s="928"/>
      <c r="G962" s="133">
        <f t="shared" si="26"/>
        <v>0</v>
      </c>
    </row>
    <row r="963" spans="1:7">
      <c r="A963" s="14"/>
      <c r="B963" s="102"/>
      <c r="C963" s="102"/>
      <c r="G963" s="133"/>
    </row>
    <row r="964" spans="1:7">
      <c r="A964" s="102"/>
      <c r="B964" s="102" t="s">
        <v>236</v>
      </c>
      <c r="C964" s="102"/>
      <c r="E964" s="501">
        <f>SUM(E956:E962)</f>
        <v>0</v>
      </c>
      <c r="G964" s="133">
        <f>+G1091</f>
        <v>0</v>
      </c>
    </row>
    <row r="965" spans="1:7">
      <c r="A965" s="102"/>
      <c r="B965" s="102"/>
      <c r="C965" s="102"/>
      <c r="G965" s="133"/>
    </row>
    <row r="966" spans="1:7">
      <c r="A966" s="102"/>
      <c r="B966" s="102" t="s">
        <v>237</v>
      </c>
      <c r="C966" s="102"/>
      <c r="G966" s="133"/>
    </row>
    <row r="967" spans="1:7">
      <c r="A967" s="102" t="s">
        <v>238</v>
      </c>
      <c r="B967" s="102" t="s">
        <v>223</v>
      </c>
      <c r="C967" s="102"/>
      <c r="G967" s="133"/>
    </row>
    <row r="968" spans="1:7">
      <c r="A968" s="102"/>
      <c r="B968" s="102"/>
      <c r="C968" s="102" t="s">
        <v>24</v>
      </c>
      <c r="G968" s="133">
        <f>SUM(E968:E968)</f>
        <v>0</v>
      </c>
    </row>
    <row r="969" spans="1:7" ht="15">
      <c r="A969" s="102"/>
      <c r="B969" s="102"/>
      <c r="C969" s="102" t="s">
        <v>14</v>
      </c>
      <c r="E969" s="928"/>
      <c r="G969" s="133">
        <f>SUM(E969:E969)</f>
        <v>0</v>
      </c>
    </row>
    <row r="970" spans="1:7">
      <c r="A970" s="102"/>
      <c r="B970" s="102"/>
      <c r="C970" s="102" t="s">
        <v>170</v>
      </c>
      <c r="E970" s="501">
        <f>SUM(E968:E969)</f>
        <v>0</v>
      </c>
      <c r="G970" s="133">
        <f>SUM(E970:E970)</f>
        <v>0</v>
      </c>
    </row>
    <row r="971" spans="1:7">
      <c r="A971" s="102"/>
      <c r="B971" s="102"/>
      <c r="C971" s="102"/>
      <c r="G971" s="133"/>
    </row>
    <row r="972" spans="1:7">
      <c r="A972" s="102" t="s">
        <v>239</v>
      </c>
      <c r="B972" s="102" t="s">
        <v>240</v>
      </c>
      <c r="C972" s="102"/>
      <c r="G972" s="133"/>
    </row>
    <row r="973" spans="1:7">
      <c r="A973" s="102"/>
      <c r="B973" s="102"/>
      <c r="C973" s="102" t="s">
        <v>24</v>
      </c>
      <c r="G973" s="133">
        <f>SUM(E973:E973)</f>
        <v>0</v>
      </c>
    </row>
    <row r="974" spans="1:7" ht="15">
      <c r="A974" s="102"/>
      <c r="B974" s="102"/>
      <c r="C974" s="102" t="s">
        <v>14</v>
      </c>
      <c r="E974" s="928"/>
      <c r="G974" s="133">
        <f>SUM(E974:E974)</f>
        <v>0</v>
      </c>
    </row>
    <row r="975" spans="1:7">
      <c r="A975" s="102"/>
      <c r="B975" s="102"/>
      <c r="C975" s="102" t="s">
        <v>170</v>
      </c>
      <c r="E975" s="501">
        <f>SUM(E973:E974)</f>
        <v>0</v>
      </c>
      <c r="G975" s="133">
        <f>SUM(E975:E975)</f>
        <v>0</v>
      </c>
    </row>
    <row r="976" spans="1:7">
      <c r="A976" s="102"/>
      <c r="B976" s="102"/>
      <c r="C976" s="102"/>
      <c r="G976" s="133"/>
    </row>
    <row r="977" spans="1:7">
      <c r="A977" s="102" t="s">
        <v>244</v>
      </c>
      <c r="B977" s="102" t="s">
        <v>245</v>
      </c>
      <c r="C977" s="102"/>
      <c r="G977" s="133"/>
    </row>
    <row r="978" spans="1:7">
      <c r="A978" s="102"/>
      <c r="B978" s="102"/>
      <c r="C978" s="102" t="s">
        <v>57</v>
      </c>
      <c r="G978" s="133">
        <f t="shared" ref="G978:G986" si="27">SUM(E978:E978)</f>
        <v>0</v>
      </c>
    </row>
    <row r="979" spans="1:7">
      <c r="A979" s="102"/>
      <c r="B979" s="102"/>
      <c r="C979" s="102" t="s">
        <v>532</v>
      </c>
      <c r="G979" s="133">
        <f t="shared" si="27"/>
        <v>0</v>
      </c>
    </row>
    <row r="980" spans="1:7">
      <c r="A980" s="102"/>
      <c r="B980" s="102"/>
      <c r="C980" s="102" t="s">
        <v>533</v>
      </c>
      <c r="G980" s="133">
        <f t="shared" si="27"/>
        <v>0</v>
      </c>
    </row>
    <row r="981" spans="1:7">
      <c r="A981" s="102"/>
      <c r="B981" s="102"/>
      <c r="C981" s="102" t="s">
        <v>534</v>
      </c>
      <c r="G981" s="133">
        <f t="shared" si="27"/>
        <v>0</v>
      </c>
    </row>
    <row r="982" spans="1:7" ht="15">
      <c r="A982" s="102"/>
      <c r="B982" s="102"/>
      <c r="C982" s="102" t="s">
        <v>535</v>
      </c>
      <c r="E982" s="928"/>
      <c r="G982" s="133">
        <f t="shared" si="27"/>
        <v>0</v>
      </c>
    </row>
    <row r="983" spans="1:7" ht="15">
      <c r="A983" s="102"/>
      <c r="B983" s="102"/>
      <c r="C983" s="102" t="s">
        <v>536</v>
      </c>
      <c r="E983" s="928"/>
      <c r="G983" s="133">
        <f t="shared" si="27"/>
        <v>0</v>
      </c>
    </row>
    <row r="984" spans="1:7" ht="15">
      <c r="A984" s="102"/>
      <c r="B984" s="102"/>
      <c r="C984" s="102" t="s">
        <v>537</v>
      </c>
      <c r="E984" s="928"/>
      <c r="G984" s="133">
        <f t="shared" si="27"/>
        <v>0</v>
      </c>
    </row>
    <row r="985" spans="1:7">
      <c r="A985" s="102"/>
      <c r="B985" s="102"/>
      <c r="C985" s="102" t="s">
        <v>538</v>
      </c>
      <c r="E985" s="501">
        <f>SUM(E982:E984)</f>
        <v>0</v>
      </c>
      <c r="G985" s="133">
        <f t="shared" si="27"/>
        <v>0</v>
      </c>
    </row>
    <row r="986" spans="1:7">
      <c r="A986" s="102"/>
      <c r="B986" s="102"/>
      <c r="C986" s="102" t="s">
        <v>713</v>
      </c>
      <c r="E986" s="501">
        <f>SUM(E985,E981)</f>
        <v>0</v>
      </c>
      <c r="G986" s="133">
        <f t="shared" si="27"/>
        <v>0</v>
      </c>
    </row>
    <row r="987" spans="1:7">
      <c r="A987" s="102"/>
      <c r="B987" s="102"/>
      <c r="C987" s="102"/>
      <c r="G987" s="133"/>
    </row>
    <row r="988" spans="1:7">
      <c r="A988" s="102" t="s">
        <v>246</v>
      </c>
      <c r="B988" s="102" t="s">
        <v>248</v>
      </c>
      <c r="C988" s="102"/>
      <c r="G988" s="133"/>
    </row>
    <row r="989" spans="1:7">
      <c r="A989" s="102"/>
      <c r="B989" s="102"/>
      <c r="C989" s="102" t="s">
        <v>24</v>
      </c>
      <c r="G989" s="133">
        <f>SUM(E989:E989)</f>
        <v>0</v>
      </c>
    </row>
    <row r="990" spans="1:7" ht="15">
      <c r="A990" s="102"/>
      <c r="B990" s="102"/>
      <c r="C990" s="102" t="s">
        <v>14</v>
      </c>
      <c r="E990" s="928"/>
      <c r="G990" s="133">
        <f>SUM(E990:E990)</f>
        <v>0</v>
      </c>
    </row>
    <row r="991" spans="1:7">
      <c r="A991" s="102"/>
      <c r="B991" s="102"/>
      <c r="C991" s="102" t="s">
        <v>170</v>
      </c>
      <c r="E991" s="501">
        <f>SUM(E989:E990)</f>
        <v>0</v>
      </c>
      <c r="G991" s="133">
        <f>SUM(E991:E991)</f>
        <v>0</v>
      </c>
    </row>
    <row r="992" spans="1:7">
      <c r="A992" s="102"/>
      <c r="B992" s="102"/>
      <c r="C992" s="102"/>
      <c r="G992" s="133"/>
    </row>
    <row r="993" spans="1:7">
      <c r="A993" s="102" t="s">
        <v>249</v>
      </c>
      <c r="B993" s="102" t="s">
        <v>250</v>
      </c>
      <c r="C993" s="102"/>
      <c r="G993" s="133"/>
    </row>
    <row r="994" spans="1:7">
      <c r="A994" s="102"/>
      <c r="B994" s="102"/>
      <c r="C994" s="102" t="s">
        <v>24</v>
      </c>
      <c r="G994" s="133">
        <f>SUM(E994:E994)</f>
        <v>0</v>
      </c>
    </row>
    <row r="995" spans="1:7" ht="15">
      <c r="A995" s="102"/>
      <c r="B995" s="102"/>
      <c r="C995" s="102" t="s">
        <v>14</v>
      </c>
      <c r="E995" s="928"/>
      <c r="G995" s="133">
        <f>SUM(E995:E995)</f>
        <v>0</v>
      </c>
    </row>
    <row r="996" spans="1:7">
      <c r="A996" s="102"/>
      <c r="B996" s="102"/>
      <c r="C996" s="102" t="s">
        <v>170</v>
      </c>
      <c r="E996" s="501">
        <f>SUM(E994:E995)</f>
        <v>0</v>
      </c>
      <c r="G996" s="133">
        <f>SUM(E996:E996)</f>
        <v>0</v>
      </c>
    </row>
    <row r="997" spans="1:7">
      <c r="A997" s="102"/>
      <c r="B997" s="102"/>
      <c r="C997" s="102"/>
      <c r="G997" s="133"/>
    </row>
    <row r="998" spans="1:7">
      <c r="A998" s="102" t="s">
        <v>251</v>
      </c>
      <c r="B998" s="102" t="s">
        <v>780</v>
      </c>
      <c r="C998" s="102"/>
      <c r="G998" s="133"/>
    </row>
    <row r="999" spans="1:7">
      <c r="A999" s="102"/>
      <c r="B999" s="102"/>
      <c r="C999" s="102" t="s">
        <v>24</v>
      </c>
      <c r="G999" s="133">
        <f>SUM(E999:E999)</f>
        <v>0</v>
      </c>
    </row>
    <row r="1000" spans="1:7" ht="15">
      <c r="A1000" s="102"/>
      <c r="B1000" s="102"/>
      <c r="C1000" s="102" t="s">
        <v>14</v>
      </c>
      <c r="E1000" s="928"/>
      <c r="G1000" s="133">
        <f>SUM(E1000:E1000)</f>
        <v>0</v>
      </c>
    </row>
    <row r="1001" spans="1:7">
      <c r="A1001" s="102"/>
      <c r="B1001" s="102"/>
      <c r="C1001" s="102" t="s">
        <v>170</v>
      </c>
      <c r="E1001" s="501">
        <f>SUM(E999:E1000)</f>
        <v>0</v>
      </c>
      <c r="G1001" s="133">
        <f>SUM(E1001:E1001)</f>
        <v>0</v>
      </c>
    </row>
    <row r="1002" spans="1:7">
      <c r="A1002" s="102"/>
      <c r="B1002" s="102"/>
      <c r="C1002" s="102"/>
      <c r="G1002" s="133"/>
    </row>
    <row r="1003" spans="1:7">
      <c r="A1003" s="102" t="s">
        <v>252</v>
      </c>
      <c r="B1003" s="102" t="s">
        <v>253</v>
      </c>
      <c r="C1003" s="102"/>
      <c r="G1003" s="133"/>
    </row>
    <row r="1004" spans="1:7">
      <c r="A1004" s="102"/>
      <c r="B1004" s="102"/>
      <c r="C1004" s="102" t="s">
        <v>24</v>
      </c>
      <c r="G1004" s="133">
        <f>SUM(E1004:E1004)</f>
        <v>0</v>
      </c>
    </row>
    <row r="1005" spans="1:7" ht="15">
      <c r="A1005" s="102"/>
      <c r="B1005" s="102"/>
      <c r="C1005" s="102" t="s">
        <v>14</v>
      </c>
      <c r="E1005" s="928"/>
      <c r="G1005" s="133">
        <f>SUM(E1005:E1005)</f>
        <v>0</v>
      </c>
    </row>
    <row r="1006" spans="1:7">
      <c r="A1006" s="102"/>
      <c r="B1006" s="102"/>
      <c r="C1006" s="102" t="s">
        <v>170</v>
      </c>
      <c r="E1006" s="501">
        <f>SUM(E1004:E1005)</f>
        <v>0</v>
      </c>
      <c r="G1006" s="133">
        <f>SUM(E1006:E1006)</f>
        <v>0</v>
      </c>
    </row>
    <row r="1007" spans="1:7">
      <c r="A1007" s="102"/>
      <c r="B1007" s="102"/>
      <c r="C1007" s="102"/>
      <c r="G1007" s="133"/>
    </row>
    <row r="1008" spans="1:7">
      <c r="A1008" s="102" t="s">
        <v>254</v>
      </c>
      <c r="B1008" s="102" t="s">
        <v>255</v>
      </c>
      <c r="C1008" s="102"/>
      <c r="G1008" s="133"/>
    </row>
    <row r="1009" spans="1:7">
      <c r="A1009" s="102"/>
      <c r="B1009" s="102"/>
      <c r="C1009" s="102" t="s">
        <v>24</v>
      </c>
      <c r="G1009" s="133">
        <f>SUM(E1009:E1009)</f>
        <v>0</v>
      </c>
    </row>
    <row r="1010" spans="1:7" ht="15">
      <c r="A1010" s="102"/>
      <c r="B1010" s="102"/>
      <c r="C1010" s="102" t="s">
        <v>14</v>
      </c>
      <c r="E1010" s="928"/>
      <c r="G1010" s="133">
        <f>SUM(E1010:E1010)</f>
        <v>0</v>
      </c>
    </row>
    <row r="1011" spans="1:7">
      <c r="A1011" s="102"/>
      <c r="B1011" s="102"/>
      <c r="C1011" s="102" t="s">
        <v>170</v>
      </c>
      <c r="E1011" s="501">
        <f>SUM(E1009:E1010)</f>
        <v>0</v>
      </c>
      <c r="G1011" s="133">
        <f>SUM(E1011:E1011)</f>
        <v>0</v>
      </c>
    </row>
    <row r="1012" spans="1:7">
      <c r="A1012" s="102"/>
      <c r="B1012" s="102"/>
      <c r="C1012" s="102"/>
      <c r="G1012" s="133"/>
    </row>
    <row r="1013" spans="1:7">
      <c r="A1013" s="102" t="s">
        <v>256</v>
      </c>
      <c r="B1013" s="102" t="s">
        <v>235</v>
      </c>
      <c r="C1013" s="102"/>
      <c r="G1013" s="133"/>
    </row>
    <row r="1014" spans="1:7">
      <c r="A1014" s="102"/>
      <c r="B1014" s="102"/>
      <c r="C1014" s="102" t="s">
        <v>24</v>
      </c>
      <c r="G1014" s="133">
        <f>SUM(E1014:E1014)</f>
        <v>0</v>
      </c>
    </row>
    <row r="1015" spans="1:7" ht="15">
      <c r="A1015" s="102"/>
      <c r="B1015" s="102"/>
      <c r="C1015" s="102" t="s">
        <v>14</v>
      </c>
      <c r="E1015" s="928"/>
      <c r="G1015" s="133">
        <f>SUM(E1015:E1015)</f>
        <v>0</v>
      </c>
    </row>
    <row r="1016" spans="1:7">
      <c r="A1016" s="102"/>
      <c r="B1016" s="102"/>
      <c r="C1016" s="102" t="s">
        <v>170</v>
      </c>
      <c r="E1016" s="501">
        <f>SUM(E1014:E1015)</f>
        <v>0</v>
      </c>
      <c r="G1016" s="133">
        <f>SUM(E1016:E1016)</f>
        <v>0</v>
      </c>
    </row>
    <row r="1017" spans="1:7">
      <c r="A1017" s="102"/>
      <c r="B1017" s="102"/>
      <c r="C1017" s="102"/>
      <c r="G1017" s="133"/>
    </row>
    <row r="1018" spans="1:7">
      <c r="A1018" s="102" t="s">
        <v>371</v>
      </c>
      <c r="B1018" s="102" t="s">
        <v>280</v>
      </c>
      <c r="C1018" s="102"/>
      <c r="G1018" s="133"/>
    </row>
    <row r="1019" spans="1:7">
      <c r="A1019" s="102"/>
      <c r="B1019" s="102"/>
      <c r="C1019" s="102" t="s">
        <v>24</v>
      </c>
      <c r="G1019" s="133">
        <f>SUM(E1019:E1019)</f>
        <v>0</v>
      </c>
    </row>
    <row r="1020" spans="1:7" ht="15">
      <c r="A1020" s="102"/>
      <c r="B1020" s="102"/>
      <c r="C1020" s="102" t="s">
        <v>14</v>
      </c>
      <c r="E1020" s="928"/>
      <c r="G1020" s="133">
        <f>SUM(E1020:E1020)</f>
        <v>0</v>
      </c>
    </row>
    <row r="1021" spans="1:7">
      <c r="A1021" s="102"/>
      <c r="B1021" s="102"/>
      <c r="C1021" s="102" t="s">
        <v>170</v>
      </c>
      <c r="E1021" s="501">
        <f>SUM(E1019:E1020)</f>
        <v>0</v>
      </c>
      <c r="G1021" s="133">
        <f>SUM(E1021:E1021)</f>
        <v>0</v>
      </c>
    </row>
    <row r="1022" spans="1:7">
      <c r="A1022" s="14"/>
      <c r="B1022" s="102"/>
      <c r="C1022" s="102"/>
      <c r="G1022" s="133"/>
    </row>
    <row r="1023" spans="1:7">
      <c r="A1023" s="102"/>
      <c r="B1023" s="102" t="s">
        <v>257</v>
      </c>
      <c r="C1023" s="102"/>
      <c r="E1023" s="501">
        <f>+E1021+E1016+E1011+E1006+E1001+E996+E991+E986+E975+E970</f>
        <v>0</v>
      </c>
      <c r="G1023" s="133">
        <f>+G1021+G1016+G1011+G1006+G1001+G996+G991+G986+G975+G970</f>
        <v>0</v>
      </c>
    </row>
    <row r="1024" spans="1:7">
      <c r="A1024" s="102"/>
      <c r="B1024" s="102"/>
      <c r="C1024" s="102"/>
      <c r="G1024" s="133"/>
    </row>
    <row r="1025" spans="1:7">
      <c r="A1025" s="102"/>
      <c r="B1025" s="102"/>
      <c r="C1025" s="102"/>
      <c r="G1025" s="133"/>
    </row>
    <row r="1026" spans="1:7">
      <c r="A1026" s="102" t="s">
        <v>258</v>
      </c>
      <c r="B1026" s="102" t="s">
        <v>223</v>
      </c>
      <c r="C1026" s="102"/>
      <c r="G1026" s="133"/>
    </row>
    <row r="1027" spans="1:7">
      <c r="A1027" s="102"/>
      <c r="B1027" s="102"/>
      <c r="C1027" s="102" t="s">
        <v>592</v>
      </c>
      <c r="G1027" s="133">
        <f>SUM(E1027:E1027)</f>
        <v>0</v>
      </c>
    </row>
    <row r="1028" spans="1:7" ht="15">
      <c r="A1028" s="102"/>
      <c r="B1028" s="102"/>
      <c r="C1028" s="102" t="s">
        <v>593</v>
      </c>
      <c r="E1028" s="928"/>
      <c r="G1028" s="133">
        <f>SUM(E1028:E1028)</f>
        <v>0</v>
      </c>
    </row>
    <row r="1029" spans="1:7">
      <c r="A1029" s="102"/>
      <c r="B1029" s="102"/>
      <c r="C1029" s="102" t="s">
        <v>170</v>
      </c>
      <c r="E1029" s="501">
        <f>SUM(E1027:E1028)</f>
        <v>0</v>
      </c>
      <c r="G1029" s="133">
        <f>SUM(E1029:E1029)</f>
        <v>0</v>
      </c>
    </row>
    <row r="1030" spans="1:7">
      <c r="A1030" s="102"/>
      <c r="B1030" s="102"/>
      <c r="C1030" s="102"/>
      <c r="G1030" s="133"/>
    </row>
    <row r="1031" spans="1:7">
      <c r="A1031" s="102" t="s">
        <v>259</v>
      </c>
      <c r="B1031" s="102" t="s">
        <v>240</v>
      </c>
      <c r="C1031" s="102"/>
      <c r="G1031" s="133"/>
    </row>
    <row r="1032" spans="1:7">
      <c r="A1032" s="102"/>
      <c r="B1032" s="102"/>
      <c r="C1032" s="102" t="s">
        <v>592</v>
      </c>
      <c r="G1032" s="133">
        <f>SUM(E1032:E1032)</f>
        <v>0</v>
      </c>
    </row>
    <row r="1033" spans="1:7" ht="15">
      <c r="A1033" s="102"/>
      <c r="B1033" s="102"/>
      <c r="C1033" s="102" t="s">
        <v>593</v>
      </c>
      <c r="E1033" s="928"/>
      <c r="G1033" s="133">
        <f>SUM(E1033:E1033)</f>
        <v>0</v>
      </c>
    </row>
    <row r="1034" spans="1:7" ht="15">
      <c r="A1034" s="102"/>
      <c r="B1034" s="102"/>
      <c r="C1034" s="102" t="s">
        <v>595</v>
      </c>
      <c r="E1034" s="928"/>
      <c r="G1034" s="133">
        <f>SUM(E1034:E1034)</f>
        <v>0</v>
      </c>
    </row>
    <row r="1035" spans="1:7">
      <c r="A1035" s="102"/>
      <c r="B1035" s="102"/>
      <c r="C1035" s="102" t="s">
        <v>170</v>
      </c>
      <c r="E1035" s="501">
        <f>SUM(E1032:E1034)</f>
        <v>0</v>
      </c>
      <c r="G1035" s="133">
        <f>SUM(E1035:E1035)</f>
        <v>0</v>
      </c>
    </row>
    <row r="1036" spans="1:7">
      <c r="A1036" s="102"/>
      <c r="B1036" s="102"/>
      <c r="C1036" s="102"/>
      <c r="G1036" s="133"/>
    </row>
    <row r="1037" spans="1:7">
      <c r="A1037" s="102" t="s">
        <v>260</v>
      </c>
      <c r="B1037" s="102" t="s">
        <v>261</v>
      </c>
      <c r="C1037" s="102"/>
      <c r="G1037" s="133"/>
    </row>
    <row r="1038" spans="1:7">
      <c r="A1038" s="102"/>
      <c r="B1038" s="102"/>
      <c r="C1038" s="102" t="s">
        <v>592</v>
      </c>
      <c r="G1038" s="133">
        <f>SUM(E1038:E1038)</f>
        <v>0</v>
      </c>
    </row>
    <row r="1039" spans="1:7" ht="15">
      <c r="A1039" s="102"/>
      <c r="B1039" s="102"/>
      <c r="C1039" s="102" t="s">
        <v>593</v>
      </c>
      <c r="E1039" s="928"/>
      <c r="G1039" s="133">
        <f>SUM(E1039:E1039)</f>
        <v>0</v>
      </c>
    </row>
    <row r="1040" spans="1:7" ht="15">
      <c r="A1040" s="102"/>
      <c r="B1040" s="102"/>
      <c r="C1040" s="102" t="s">
        <v>595</v>
      </c>
      <c r="E1040" s="928"/>
      <c r="G1040" s="133">
        <f>SUM(E1040:E1040)</f>
        <v>0</v>
      </c>
    </row>
    <row r="1041" spans="1:7">
      <c r="A1041" s="102"/>
      <c r="B1041" s="102"/>
      <c r="C1041" s="102" t="s">
        <v>170</v>
      </c>
      <c r="E1041" s="501">
        <f>SUM(E1038:E1040)</f>
        <v>0</v>
      </c>
      <c r="G1041" s="133">
        <f>SUM(E1041:E1041)</f>
        <v>0</v>
      </c>
    </row>
    <row r="1042" spans="1:7">
      <c r="A1042" s="102"/>
      <c r="B1042" s="102"/>
      <c r="C1042" s="102"/>
      <c r="G1042" s="133"/>
    </row>
    <row r="1043" spans="1:7">
      <c r="A1043" s="102" t="s">
        <v>262</v>
      </c>
      <c r="B1043" s="102" t="s">
        <v>263</v>
      </c>
      <c r="C1043" s="102"/>
      <c r="G1043" s="133"/>
    </row>
    <row r="1044" spans="1:7">
      <c r="A1044" s="102"/>
      <c r="B1044" s="102"/>
      <c r="C1044" s="102" t="s">
        <v>592</v>
      </c>
      <c r="G1044" s="133">
        <f>SUM(E1044:E1044)</f>
        <v>0</v>
      </c>
    </row>
    <row r="1045" spans="1:7" ht="15">
      <c r="A1045" s="102"/>
      <c r="B1045" s="102"/>
      <c r="C1045" s="102" t="s">
        <v>593</v>
      </c>
      <c r="E1045" s="928"/>
      <c r="G1045" s="133">
        <f>SUM(E1045:E1045)</f>
        <v>0</v>
      </c>
    </row>
    <row r="1046" spans="1:7" ht="15">
      <c r="A1046" s="102"/>
      <c r="B1046" s="102"/>
      <c r="C1046" s="102" t="s">
        <v>595</v>
      </c>
      <c r="E1046" s="928"/>
      <c r="G1046" s="133">
        <f>SUM(E1046:E1046)</f>
        <v>0</v>
      </c>
    </row>
    <row r="1047" spans="1:7">
      <c r="A1047" s="102"/>
      <c r="B1047" s="102"/>
      <c r="C1047" s="102" t="s">
        <v>170</v>
      </c>
      <c r="E1047" s="501">
        <f>SUM(E1044:E1046)</f>
        <v>0</v>
      </c>
      <c r="G1047" s="133">
        <f>SUM(E1047:E1047)</f>
        <v>0</v>
      </c>
    </row>
    <row r="1048" spans="1:7">
      <c r="A1048" s="102"/>
      <c r="B1048" s="102"/>
      <c r="C1048" s="102"/>
      <c r="G1048" s="133"/>
    </row>
    <row r="1049" spans="1:7">
      <c r="A1049" s="102" t="s">
        <v>264</v>
      </c>
      <c r="B1049" s="102" t="s">
        <v>265</v>
      </c>
      <c r="C1049" s="102"/>
      <c r="G1049" s="133"/>
    </row>
    <row r="1050" spans="1:7">
      <c r="A1050" s="102"/>
      <c r="B1050" s="102"/>
      <c r="C1050" s="102" t="s">
        <v>592</v>
      </c>
      <c r="G1050" s="133">
        <f>SUM(E1050:E1050)</f>
        <v>0</v>
      </c>
    </row>
    <row r="1051" spans="1:7" ht="15">
      <c r="A1051" s="102"/>
      <c r="B1051" s="102"/>
      <c r="C1051" s="102" t="s">
        <v>593</v>
      </c>
      <c r="E1051" s="928"/>
      <c r="G1051" s="133">
        <f>SUM(E1051:E1051)</f>
        <v>0</v>
      </c>
    </row>
    <row r="1052" spans="1:7">
      <c r="A1052" s="102"/>
      <c r="B1052" s="102"/>
      <c r="C1052" s="102" t="s">
        <v>170</v>
      </c>
      <c r="E1052" s="501">
        <f>SUM(E1050:E1051)</f>
        <v>0</v>
      </c>
      <c r="G1052" s="133">
        <f>SUM(E1052:E1052)</f>
        <v>0</v>
      </c>
    </row>
    <row r="1053" spans="1:7">
      <c r="A1053" s="102"/>
      <c r="B1053" s="102"/>
      <c r="C1053" s="102"/>
      <c r="G1053" s="133"/>
    </row>
    <row r="1054" spans="1:7">
      <c r="A1054" s="102" t="s">
        <v>266</v>
      </c>
      <c r="B1054" s="102" t="s">
        <v>267</v>
      </c>
      <c r="C1054" s="102"/>
      <c r="G1054" s="133"/>
    </row>
    <row r="1055" spans="1:7">
      <c r="A1055" s="102"/>
      <c r="B1055" s="102"/>
      <c r="C1055" s="102" t="s">
        <v>592</v>
      </c>
      <c r="G1055" s="133">
        <f>SUM(E1055:E1055)</f>
        <v>0</v>
      </c>
    </row>
    <row r="1056" spans="1:7" ht="15">
      <c r="A1056" s="102"/>
      <c r="B1056" s="102"/>
      <c r="C1056" s="102" t="s">
        <v>593</v>
      </c>
      <c r="E1056" s="928"/>
      <c r="G1056" s="133">
        <f>SUM(E1056:E1056)</f>
        <v>0</v>
      </c>
    </row>
    <row r="1057" spans="1:7" ht="15">
      <c r="A1057" s="102"/>
      <c r="B1057" s="102"/>
      <c r="C1057" s="102" t="s">
        <v>595</v>
      </c>
      <c r="E1057" s="928"/>
      <c r="G1057" s="133">
        <f>SUM(E1057:E1057)</f>
        <v>0</v>
      </c>
    </row>
    <row r="1058" spans="1:7">
      <c r="A1058" s="102"/>
      <c r="B1058" s="102"/>
      <c r="C1058" s="102" t="s">
        <v>170</v>
      </c>
      <c r="E1058" s="501">
        <f>SUM(E1055:E1057)</f>
        <v>0</v>
      </c>
      <c r="G1058" s="133">
        <f>SUM(E1058:E1058)</f>
        <v>0</v>
      </c>
    </row>
    <row r="1059" spans="1:7">
      <c r="A1059" s="102"/>
      <c r="B1059" s="102"/>
      <c r="C1059" s="102"/>
      <c r="G1059" s="133"/>
    </row>
    <row r="1060" spans="1:7">
      <c r="A1060" s="102" t="s">
        <v>268</v>
      </c>
      <c r="B1060" s="102" t="s">
        <v>269</v>
      </c>
      <c r="C1060" s="102"/>
      <c r="G1060" s="133"/>
    </row>
    <row r="1061" spans="1:7">
      <c r="A1061" s="102"/>
      <c r="B1061" s="102"/>
      <c r="C1061" s="102" t="s">
        <v>592</v>
      </c>
      <c r="G1061" s="133">
        <f>SUM(E1061:E1061)</f>
        <v>0</v>
      </c>
    </row>
    <row r="1062" spans="1:7" ht="15">
      <c r="A1062" s="102"/>
      <c r="B1062" s="102"/>
      <c r="C1062" s="102" t="s">
        <v>593</v>
      </c>
      <c r="E1062" s="928"/>
      <c r="G1062" s="133">
        <f>SUM(E1062:E1062)</f>
        <v>0</v>
      </c>
    </row>
    <row r="1063" spans="1:7" ht="15">
      <c r="A1063" s="102"/>
      <c r="B1063" s="102"/>
      <c r="C1063" s="102" t="s">
        <v>595</v>
      </c>
      <c r="E1063" s="928"/>
      <c r="G1063" s="133">
        <f>SUM(E1063:E1063)</f>
        <v>0</v>
      </c>
    </row>
    <row r="1064" spans="1:7">
      <c r="A1064" s="102"/>
      <c r="B1064" s="102"/>
      <c r="C1064" s="102" t="s">
        <v>170</v>
      </c>
      <c r="E1064" s="501">
        <f>SUM(E1061:E1063)</f>
        <v>0</v>
      </c>
      <c r="G1064" s="133">
        <f>SUM(E1064:E1064)</f>
        <v>0</v>
      </c>
    </row>
    <row r="1065" spans="1:7">
      <c r="A1065" s="102"/>
      <c r="B1065" s="102"/>
      <c r="C1065" s="102"/>
      <c r="G1065" s="133"/>
    </row>
    <row r="1066" spans="1:7">
      <c r="A1066" s="102" t="s">
        <v>270</v>
      </c>
      <c r="B1066" s="102" t="s">
        <v>271</v>
      </c>
      <c r="C1066" s="102"/>
      <c r="G1066" s="133"/>
    </row>
    <row r="1067" spans="1:7">
      <c r="A1067" s="102"/>
      <c r="B1067" s="102"/>
      <c r="C1067" s="102" t="s">
        <v>592</v>
      </c>
      <c r="G1067" s="133">
        <f>SUM(E1067:E1067)</f>
        <v>0</v>
      </c>
    </row>
    <row r="1068" spans="1:7" ht="15">
      <c r="A1068" s="102"/>
      <c r="B1068" s="102"/>
      <c r="C1068" s="102" t="s">
        <v>593</v>
      </c>
      <c r="E1068" s="928"/>
      <c r="G1068" s="133">
        <f>SUM(E1068:E1068)</f>
        <v>0</v>
      </c>
    </row>
    <row r="1069" spans="1:7" ht="15">
      <c r="A1069" s="102"/>
      <c r="B1069" s="102"/>
      <c r="C1069" s="102" t="s">
        <v>595</v>
      </c>
      <c r="E1069" s="928"/>
      <c r="G1069" s="133">
        <f>SUM(E1069:E1069)</f>
        <v>0</v>
      </c>
    </row>
    <row r="1070" spans="1:7">
      <c r="A1070" s="102"/>
      <c r="B1070" s="102"/>
      <c r="C1070" s="102" t="s">
        <v>170</v>
      </c>
      <c r="E1070" s="501">
        <f>SUM(E1067:E1069)</f>
        <v>0</v>
      </c>
      <c r="G1070" s="133">
        <f>SUM(E1070:E1070)</f>
        <v>0</v>
      </c>
    </row>
    <row r="1071" spans="1:7">
      <c r="A1071" s="102"/>
      <c r="B1071" s="102"/>
      <c r="C1071" s="102"/>
      <c r="G1071" s="133"/>
    </row>
    <row r="1072" spans="1:7">
      <c r="A1072" s="102" t="s">
        <v>272</v>
      </c>
      <c r="B1072" s="102" t="s">
        <v>273</v>
      </c>
      <c r="C1072" s="102"/>
      <c r="G1072" s="133"/>
    </row>
    <row r="1073" spans="1:7">
      <c r="A1073" s="102"/>
      <c r="B1073" s="102"/>
      <c r="C1073" s="102" t="s">
        <v>592</v>
      </c>
      <c r="G1073" s="133">
        <f>SUM(E1073:E1073)</f>
        <v>0</v>
      </c>
    </row>
    <row r="1074" spans="1:7" ht="15">
      <c r="A1074" s="102"/>
      <c r="B1074" s="102"/>
      <c r="C1074" s="102" t="s">
        <v>593</v>
      </c>
      <c r="E1074" s="928"/>
      <c r="G1074" s="133">
        <f>SUM(E1074:E1074)</f>
        <v>0</v>
      </c>
    </row>
    <row r="1075" spans="1:7">
      <c r="A1075" s="102"/>
      <c r="B1075" s="102"/>
      <c r="C1075" s="102" t="s">
        <v>170</v>
      </c>
      <c r="E1075" s="501">
        <f>SUM(E1073:E1074)</f>
        <v>0</v>
      </c>
      <c r="G1075" s="133">
        <f>SUM(E1075:E1075)</f>
        <v>0</v>
      </c>
    </row>
    <row r="1076" spans="1:7">
      <c r="A1076" s="102"/>
      <c r="B1076" s="102"/>
      <c r="C1076" s="102"/>
      <c r="G1076" s="133"/>
    </row>
    <row r="1077" spans="1:7">
      <c r="A1077" s="102" t="s">
        <v>274</v>
      </c>
      <c r="B1077" s="102" t="s">
        <v>275</v>
      </c>
      <c r="C1077" s="102"/>
      <c r="G1077" s="133"/>
    </row>
    <row r="1078" spans="1:7">
      <c r="A1078" s="102"/>
      <c r="B1078" s="102"/>
      <c r="C1078" s="102" t="s">
        <v>592</v>
      </c>
      <c r="G1078" s="133">
        <f>SUM(E1078:E1078)</f>
        <v>0</v>
      </c>
    </row>
    <row r="1079" spans="1:7" ht="15">
      <c r="A1079" s="102"/>
      <c r="B1079" s="102"/>
      <c r="C1079" s="102" t="s">
        <v>593</v>
      </c>
      <c r="E1079" s="928"/>
      <c r="G1079" s="133">
        <f>SUM(E1079:E1079)</f>
        <v>0</v>
      </c>
    </row>
    <row r="1080" spans="1:7" ht="15">
      <c r="A1080" s="102"/>
      <c r="B1080" s="102"/>
      <c r="C1080" s="102" t="s">
        <v>595</v>
      </c>
      <c r="E1080" s="928"/>
      <c r="G1080" s="133">
        <f>SUM(E1080:E1080)</f>
        <v>0</v>
      </c>
    </row>
    <row r="1081" spans="1:7">
      <c r="A1081" s="102"/>
      <c r="B1081" s="102"/>
      <c r="C1081" s="102" t="s">
        <v>170</v>
      </c>
      <c r="E1081" s="501">
        <f>SUM(E1078:E1080)</f>
        <v>0</v>
      </c>
      <c r="G1081" s="133">
        <f>SUM(E1081:E1081)</f>
        <v>0</v>
      </c>
    </row>
    <row r="1082" spans="1:7">
      <c r="A1082" s="102"/>
      <c r="B1082" s="102"/>
      <c r="C1082" s="102"/>
      <c r="G1082" s="133"/>
    </row>
    <row r="1083" spans="1:7">
      <c r="A1083" s="102" t="s">
        <v>76</v>
      </c>
      <c r="B1083" s="102" t="s">
        <v>280</v>
      </c>
      <c r="C1083" s="102"/>
      <c r="G1083" s="133"/>
    </row>
    <row r="1084" spans="1:7">
      <c r="A1084" s="102"/>
      <c r="B1084" s="102"/>
      <c r="C1084" s="102" t="s">
        <v>24</v>
      </c>
      <c r="G1084" s="133">
        <f>SUM(E1084:E1084)</f>
        <v>0</v>
      </c>
    </row>
    <row r="1085" spans="1:7" ht="15">
      <c r="A1085" s="102"/>
      <c r="B1085" s="102"/>
      <c r="C1085" s="102" t="s">
        <v>14</v>
      </c>
      <c r="E1085" s="928"/>
      <c r="G1085" s="133">
        <f>SUM(E1085:E1085)</f>
        <v>0</v>
      </c>
    </row>
    <row r="1086" spans="1:7">
      <c r="A1086" s="102"/>
      <c r="B1086" s="102"/>
      <c r="C1086" s="102" t="s">
        <v>170</v>
      </c>
      <c r="E1086" s="501">
        <f>SUM(E1084:E1085)</f>
        <v>0</v>
      </c>
      <c r="G1086" s="133">
        <f>SUM(E1086:E1086)</f>
        <v>0</v>
      </c>
    </row>
    <row r="1087" spans="1:7">
      <c r="A1087" s="102"/>
      <c r="B1087" s="102"/>
      <c r="C1087" s="102"/>
      <c r="G1087" s="133"/>
    </row>
    <row r="1088" spans="1:7">
      <c r="A1088" s="102"/>
      <c r="B1088" s="102" t="s">
        <v>276</v>
      </c>
      <c r="C1088" s="102"/>
      <c r="E1088" s="501">
        <f>(E1081+E1075+E1070+E1064+E1058+E1052+E1047+E1041+E1035+E1029+E1086)</f>
        <v>0</v>
      </c>
      <c r="G1088" s="133">
        <f>SUM(E1088:E1088)</f>
        <v>0</v>
      </c>
    </row>
    <row r="1089" spans="1:7">
      <c r="A1089" s="330"/>
      <c r="B1089" s="106"/>
      <c r="C1089" s="106"/>
      <c r="G1089" s="133"/>
    </row>
    <row r="1090" spans="1:7">
      <c r="A1090" s="134">
        <v>101</v>
      </c>
      <c r="B1090" s="106" t="s">
        <v>660</v>
      </c>
      <c r="C1090" s="106"/>
      <c r="G1090" s="133"/>
    </row>
    <row r="1091" spans="1:7">
      <c r="A1091" s="134"/>
      <c r="B1091" s="106"/>
      <c r="C1091" s="106" t="s">
        <v>443</v>
      </c>
      <c r="E1091" s="213">
        <f>+E964</f>
        <v>0</v>
      </c>
      <c r="G1091" s="133">
        <f>SUM(E1091:E1091)</f>
        <v>0</v>
      </c>
    </row>
    <row r="1092" spans="1:7">
      <c r="A1092" s="134"/>
      <c r="B1092" s="106"/>
      <c r="C1092" s="106" t="s">
        <v>592</v>
      </c>
      <c r="E1092" s="501">
        <f>(+E950+E968+E973+E981+E989+E994+E999+E1004+E1009+E1014+E1019)</f>
        <v>0</v>
      </c>
      <c r="G1092" s="133">
        <f>SUM(E1092:E1092)</f>
        <v>0</v>
      </c>
    </row>
    <row r="1093" spans="1:7">
      <c r="A1093" s="134"/>
      <c r="B1093" s="106"/>
      <c r="C1093" s="106" t="s">
        <v>593</v>
      </c>
      <c r="E1093" s="501">
        <f>(+E951+E969+E974+E985+E990+E995+E1000+E1005+E1010+E1015+E1020)</f>
        <v>0</v>
      </c>
      <c r="G1093" s="133">
        <f>SUM(E1093:E1093)</f>
        <v>0</v>
      </c>
    </row>
    <row r="1094" spans="1:7">
      <c r="A1094" s="134"/>
      <c r="B1094" s="106"/>
      <c r="C1094" s="106" t="s">
        <v>595</v>
      </c>
      <c r="E1094" s="501">
        <f>+E1088</f>
        <v>0</v>
      </c>
      <c r="G1094" s="133">
        <f>SUM(E1094:E1094)</f>
        <v>0</v>
      </c>
    </row>
    <row r="1095" spans="1:7">
      <c r="A1095" s="134"/>
      <c r="B1095" s="106"/>
      <c r="C1095" s="106" t="s">
        <v>660</v>
      </c>
      <c r="E1095" s="501">
        <f>SUM(E1091:E1094)</f>
        <v>0</v>
      </c>
      <c r="G1095" s="241">
        <f>SUM(G1091:G1094)</f>
        <v>0</v>
      </c>
    </row>
    <row r="1096" spans="1:7">
      <c r="A1096" s="134"/>
      <c r="B1096" s="106"/>
      <c r="C1096" s="106"/>
      <c r="G1096" s="133"/>
    </row>
    <row r="1097" spans="1:7">
      <c r="A1097" s="134">
        <v>105</v>
      </c>
      <c r="B1097" s="106" t="s">
        <v>299</v>
      </c>
      <c r="C1097" s="106"/>
      <c r="G1097" s="133"/>
    </row>
    <row r="1098" spans="1:7" ht="15">
      <c r="A1098" s="134"/>
      <c r="B1098" s="106"/>
      <c r="C1098" s="106" t="s">
        <v>593</v>
      </c>
      <c r="E1098" s="928"/>
      <c r="G1098" s="133">
        <f>SUM(E1098:E1098)</f>
        <v>0</v>
      </c>
    </row>
    <row r="1099" spans="1:7">
      <c r="A1099" s="134"/>
      <c r="B1099" s="106"/>
      <c r="C1099" s="106" t="s">
        <v>170</v>
      </c>
      <c r="E1099" s="501">
        <f>SUM(E1098)</f>
        <v>0</v>
      </c>
      <c r="G1099" s="241">
        <f>SUM(G1098)</f>
        <v>0</v>
      </c>
    </row>
    <row r="1100" spans="1:7">
      <c r="A1100" s="134"/>
      <c r="B1100" s="106"/>
      <c r="C1100" s="106"/>
      <c r="G1100" s="133"/>
    </row>
    <row r="1101" spans="1:7">
      <c r="A1101" s="134">
        <v>106</v>
      </c>
      <c r="B1101" s="106" t="s">
        <v>661</v>
      </c>
      <c r="C1101" s="106"/>
      <c r="G1101" s="133"/>
    </row>
    <row r="1102" spans="1:7" ht="15">
      <c r="A1102" s="134"/>
      <c r="B1102" s="106"/>
      <c r="C1102" s="106" t="s">
        <v>443</v>
      </c>
      <c r="E1102" s="928"/>
      <c r="G1102" s="133">
        <f>SUM(E1102:E1102)</f>
        <v>0</v>
      </c>
    </row>
    <row r="1103" spans="1:7">
      <c r="A1103" s="134"/>
      <c r="B1103" s="106"/>
      <c r="C1103" s="106" t="s">
        <v>592</v>
      </c>
      <c r="G1103" s="133">
        <f>SUM(E1103:E1103)</f>
        <v>0</v>
      </c>
    </row>
    <row r="1104" spans="1:7" ht="15">
      <c r="A1104" s="134"/>
      <c r="B1104" s="106"/>
      <c r="C1104" s="106" t="s">
        <v>593</v>
      </c>
      <c r="E1104" s="928"/>
      <c r="G1104" s="133">
        <f>SUM(E1104:E1104)</f>
        <v>0</v>
      </c>
    </row>
    <row r="1105" spans="1:7" ht="15">
      <c r="A1105" s="134"/>
      <c r="B1105" s="106"/>
      <c r="C1105" s="106" t="s">
        <v>595</v>
      </c>
      <c r="E1105" s="928"/>
      <c r="G1105" s="133">
        <f>SUM(E1105:E1105)</f>
        <v>0</v>
      </c>
    </row>
    <row r="1106" spans="1:7">
      <c r="A1106" s="134"/>
      <c r="B1106" s="106"/>
      <c r="C1106" s="106" t="s">
        <v>170</v>
      </c>
      <c r="E1106" s="501">
        <f>SUM(E1102:E1105)</f>
        <v>0</v>
      </c>
      <c r="G1106" s="241">
        <f>SUM(G1102:G1105)</f>
        <v>0</v>
      </c>
    </row>
    <row r="1107" spans="1:7">
      <c r="A1107" s="134"/>
      <c r="B1107" s="106"/>
      <c r="C1107" s="106"/>
      <c r="G1107" s="133"/>
    </row>
    <row r="1108" spans="1:7">
      <c r="A1108" s="134">
        <v>108</v>
      </c>
      <c r="B1108" s="106" t="s">
        <v>662</v>
      </c>
      <c r="C1108" s="106"/>
      <c r="G1108" s="133"/>
    </row>
    <row r="1109" spans="1:7" ht="15">
      <c r="A1109" s="134"/>
      <c r="B1109" s="106"/>
      <c r="C1109" s="106" t="s">
        <v>443</v>
      </c>
      <c r="E1109" s="928"/>
      <c r="G1109" s="133">
        <f>SUM(E1109:E1109)</f>
        <v>0</v>
      </c>
    </row>
    <row r="1110" spans="1:7">
      <c r="A1110" s="134"/>
      <c r="B1110" s="106"/>
      <c r="C1110" s="106" t="s">
        <v>592</v>
      </c>
      <c r="G1110" s="133">
        <f>SUM(E1110:E1110)</f>
        <v>0</v>
      </c>
    </row>
    <row r="1111" spans="1:7" ht="15">
      <c r="A1111" s="134"/>
      <c r="B1111" s="106"/>
      <c r="C1111" s="106" t="s">
        <v>593</v>
      </c>
      <c r="E1111" s="928"/>
      <c r="G1111" s="133">
        <f>SUM(E1111:E1111)</f>
        <v>0</v>
      </c>
    </row>
    <row r="1112" spans="1:7" ht="15">
      <c r="A1112" s="134"/>
      <c r="B1112" s="106"/>
      <c r="C1112" s="106" t="s">
        <v>595</v>
      </c>
      <c r="E1112" s="928"/>
      <c r="G1112" s="133">
        <f>SUM(E1112:E1112)</f>
        <v>0</v>
      </c>
    </row>
    <row r="1113" spans="1:7">
      <c r="A1113" s="134"/>
      <c r="B1113" s="106"/>
      <c r="C1113" s="106" t="s">
        <v>170</v>
      </c>
      <c r="E1113" s="501">
        <f>SUM(E1109:E1112)</f>
        <v>0</v>
      </c>
      <c r="G1113" s="241">
        <f>SUM(G1109:G1112)</f>
        <v>0</v>
      </c>
    </row>
    <row r="1114" spans="1:7">
      <c r="A1114" s="134"/>
      <c r="B1114" s="106"/>
      <c r="C1114" s="106"/>
      <c r="G1114" s="133"/>
    </row>
    <row r="1115" spans="1:7">
      <c r="A1115" s="134">
        <v>111</v>
      </c>
      <c r="B1115" s="106" t="s">
        <v>300</v>
      </c>
      <c r="C1115" s="106"/>
      <c r="G1115" s="133"/>
    </row>
    <row r="1116" spans="1:7" ht="15">
      <c r="A1116" s="330"/>
      <c r="B1116" s="106"/>
      <c r="C1116" s="106" t="s">
        <v>443</v>
      </c>
      <c r="E1116" s="928"/>
      <c r="G1116" s="133">
        <f>SUM(E1116:E1116)</f>
        <v>0</v>
      </c>
    </row>
    <row r="1117" spans="1:7">
      <c r="A1117" s="330"/>
      <c r="B1117" s="106"/>
      <c r="C1117" s="106" t="s">
        <v>592</v>
      </c>
      <c r="G1117" s="133">
        <f>SUM(E1117:E1117)</f>
        <v>0</v>
      </c>
    </row>
    <row r="1118" spans="1:7" ht="15">
      <c r="A1118" s="330"/>
      <c r="B1118" s="106"/>
      <c r="C1118" s="106" t="s">
        <v>593</v>
      </c>
      <c r="E1118" s="928"/>
      <c r="G1118" s="133">
        <f>SUM(E1118:E1118)</f>
        <v>0</v>
      </c>
    </row>
    <row r="1119" spans="1:7" ht="15">
      <c r="A1119" s="330"/>
      <c r="B1119" s="106"/>
      <c r="C1119" s="106" t="s">
        <v>595</v>
      </c>
      <c r="E1119" s="928"/>
      <c r="G1119" s="133">
        <f>SUM(E1119:E1119)</f>
        <v>0</v>
      </c>
    </row>
    <row r="1120" spans="1:7">
      <c r="A1120" s="330"/>
      <c r="B1120" s="106"/>
      <c r="C1120" s="106" t="s">
        <v>170</v>
      </c>
      <c r="E1120" s="501">
        <f>SUM(E1116:E1119)</f>
        <v>0</v>
      </c>
      <c r="G1120" s="241">
        <f>SUM(G1116:G1119)</f>
        <v>0</v>
      </c>
    </row>
    <row r="1121" spans="1:7" ht="13.5" thickBot="1">
      <c r="A1121" s="330"/>
      <c r="B1121" s="106"/>
      <c r="C1121" s="106"/>
      <c r="G1121" s="242"/>
    </row>
    <row r="1122" spans="1:7" ht="13.5" thickTop="1">
      <c r="A1122" s="330"/>
      <c r="B1122" s="106"/>
      <c r="C1122" s="106"/>
      <c r="G1122" s="133"/>
    </row>
    <row r="1123" spans="1:7">
      <c r="A1123" s="59" t="s">
        <v>663</v>
      </c>
      <c r="B1123" s="106"/>
      <c r="C1123" s="106"/>
      <c r="G1123" s="133"/>
    </row>
    <row r="1124" spans="1:7">
      <c r="A1124" s="330"/>
      <c r="B1124" s="106" t="s">
        <v>443</v>
      </c>
      <c r="C1124" s="106"/>
      <c r="E1124" s="501">
        <f>E1091+E1102+E1109+E1116</f>
        <v>0</v>
      </c>
      <c r="G1124" s="133">
        <f>G1091+G1102+G1109+G1116</f>
        <v>0</v>
      </c>
    </row>
    <row r="1125" spans="1:7">
      <c r="A1125" s="330"/>
      <c r="B1125" s="106" t="s">
        <v>592</v>
      </c>
      <c r="C1125" s="106"/>
      <c r="E1125" s="501">
        <f>E1092+E1103+E1110+E1117</f>
        <v>0</v>
      </c>
      <c r="G1125" s="133">
        <f>G1092+G1103+G1110+G1117</f>
        <v>0</v>
      </c>
    </row>
    <row r="1126" spans="1:7">
      <c r="A1126" s="330"/>
      <c r="B1126" s="106" t="s">
        <v>593</v>
      </c>
      <c r="C1126" s="106"/>
      <c r="E1126" s="501">
        <f>E1093+E1098+E1104+E1111+E1118</f>
        <v>0</v>
      </c>
      <c r="G1126" s="133">
        <f>G1093+G1098+G1104+G1111+G1118</f>
        <v>0</v>
      </c>
    </row>
    <row r="1127" spans="1:7">
      <c r="A1127" s="330"/>
      <c r="B1127" s="106" t="s">
        <v>595</v>
      </c>
      <c r="C1127" s="106"/>
      <c r="E1127" s="501">
        <f>E1094+E1105+E1112+E1119</f>
        <v>0</v>
      </c>
      <c r="G1127" s="133">
        <f>G1094+G1105+G1112+G1119</f>
        <v>0</v>
      </c>
    </row>
    <row r="1128" spans="1:7" ht="13.5" thickBot="1">
      <c r="A1128" s="330"/>
      <c r="B1128" s="106"/>
      <c r="C1128" s="106"/>
      <c r="G1128" s="242"/>
    </row>
    <row r="1129" spans="1:7" ht="13.5" thickTop="1">
      <c r="A1129" s="330"/>
      <c r="B1129" s="106"/>
      <c r="C1129" s="106"/>
      <c r="G1129" s="133"/>
    </row>
    <row r="1130" spans="1:7">
      <c r="A1130" s="330"/>
      <c r="B1130" s="61" t="s">
        <v>663</v>
      </c>
      <c r="C1130" s="106"/>
      <c r="E1130" s="501">
        <f>E1095+E1099+E1106+E1113+E1120</f>
        <v>0</v>
      </c>
      <c r="G1130" s="133">
        <f>G1095+G1099+G1106+G1113+G1120</f>
        <v>0</v>
      </c>
    </row>
    <row r="1131" spans="1:7">
      <c r="A1131" s="330"/>
      <c r="B1131" s="106"/>
      <c r="C1131" s="106"/>
      <c r="G1131" s="133"/>
    </row>
    <row r="1132" spans="1:7">
      <c r="A1132" s="330"/>
      <c r="B1132" s="106"/>
      <c r="C1132" s="106"/>
      <c r="G1132" s="133"/>
    </row>
    <row r="1133" spans="1:7">
      <c r="A1133" s="59" t="s">
        <v>307</v>
      </c>
      <c r="B1133" s="106"/>
      <c r="C1133" s="106"/>
      <c r="G1133" s="133"/>
    </row>
    <row r="1134" spans="1:7">
      <c r="A1134" s="330"/>
      <c r="B1134" s="106"/>
      <c r="C1134" s="106"/>
      <c r="G1134" s="133"/>
    </row>
    <row r="1135" spans="1:7">
      <c r="A1135" s="134">
        <v>154</v>
      </c>
      <c r="B1135" s="106" t="s">
        <v>308</v>
      </c>
      <c r="C1135" s="106"/>
      <c r="G1135" s="133"/>
    </row>
    <row r="1136" spans="1:7">
      <c r="A1136" s="134"/>
      <c r="B1136" s="106"/>
      <c r="C1136" s="106" t="s">
        <v>592</v>
      </c>
      <c r="G1136" s="133">
        <f>SUM(E1136:E1136)</f>
        <v>0</v>
      </c>
    </row>
    <row r="1137" spans="1:7" ht="15">
      <c r="A1137" s="134"/>
      <c r="B1137" s="106"/>
      <c r="C1137" s="106" t="s">
        <v>593</v>
      </c>
      <c r="E1137" s="928"/>
      <c r="G1137" s="133">
        <f>SUM(E1137:E1137)</f>
        <v>0</v>
      </c>
    </row>
    <row r="1138" spans="1:7">
      <c r="A1138" s="134"/>
      <c r="B1138" s="106"/>
      <c r="C1138" s="106" t="s">
        <v>170</v>
      </c>
      <c r="E1138" s="501">
        <f>SUM(E1136:E1137)</f>
        <v>0</v>
      </c>
      <c r="G1138" s="241">
        <f>SUM(G1136:G1137)</f>
        <v>0</v>
      </c>
    </row>
    <row r="1139" spans="1:7">
      <c r="A1139" s="134"/>
      <c r="B1139" s="106"/>
      <c r="C1139" s="106"/>
      <c r="G1139" s="133"/>
    </row>
    <row r="1140" spans="1:7">
      <c r="A1140" s="134">
        <v>1641</v>
      </c>
      <c r="B1140" s="106" t="s">
        <v>309</v>
      </c>
      <c r="C1140" s="106"/>
      <c r="G1140" s="133"/>
    </row>
    <row r="1141" spans="1:7" ht="15">
      <c r="A1141" s="134"/>
      <c r="B1141" s="106"/>
      <c r="C1141" s="106" t="s">
        <v>443</v>
      </c>
      <c r="E1141" s="928"/>
      <c r="G1141" s="133">
        <f>SUM(E1141:E1141)</f>
        <v>0</v>
      </c>
    </row>
    <row r="1142" spans="1:7">
      <c r="A1142" s="134"/>
      <c r="B1142" s="106"/>
      <c r="C1142" s="106" t="s">
        <v>170</v>
      </c>
      <c r="E1142" s="501">
        <f>SUM(E1141)</f>
        <v>0</v>
      </c>
      <c r="G1142" s="241">
        <f>SUM(G1141)</f>
        <v>0</v>
      </c>
    </row>
    <row r="1143" spans="1:7">
      <c r="A1143" s="134"/>
      <c r="B1143" s="106"/>
      <c r="C1143" s="106"/>
      <c r="G1143" s="133"/>
    </row>
    <row r="1144" spans="1:7">
      <c r="A1144" s="134">
        <v>165</v>
      </c>
      <c r="B1144" s="106" t="s">
        <v>310</v>
      </c>
      <c r="C1144" s="106"/>
      <c r="G1144" s="133"/>
    </row>
    <row r="1145" spans="1:7" ht="15">
      <c r="A1145" s="134"/>
      <c r="B1145" s="106"/>
      <c r="C1145" s="106" t="s">
        <v>595</v>
      </c>
      <c r="E1145" s="928"/>
      <c r="G1145" s="133">
        <f>SUM(E1145:E1145)</f>
        <v>0</v>
      </c>
    </row>
    <row r="1146" spans="1:7">
      <c r="A1146" s="134"/>
      <c r="B1146" s="106"/>
      <c r="C1146" s="106" t="s">
        <v>170</v>
      </c>
      <c r="E1146" s="501">
        <f>SUM(E1145)</f>
        <v>0</v>
      </c>
      <c r="G1146" s="241">
        <f>SUM(G1145)</f>
        <v>0</v>
      </c>
    </row>
    <row r="1147" spans="1:7">
      <c r="A1147" s="134"/>
      <c r="B1147" s="106"/>
      <c r="C1147" s="106"/>
      <c r="G1147" s="133"/>
    </row>
    <row r="1148" spans="1:7">
      <c r="A1148" s="238" t="s">
        <v>303</v>
      </c>
      <c r="B1148" s="119" t="s">
        <v>305</v>
      </c>
      <c r="C1148" s="102"/>
      <c r="G1148" s="133"/>
    </row>
    <row r="1149" spans="1:7" ht="15">
      <c r="A1149" s="136"/>
      <c r="B1149" s="102"/>
      <c r="C1149" s="102" t="s">
        <v>443</v>
      </c>
      <c r="E1149" s="928"/>
      <c r="G1149" s="133">
        <f>SUM(E1149:E1149)</f>
        <v>0</v>
      </c>
    </row>
    <row r="1150" spans="1:7">
      <c r="A1150" s="136"/>
      <c r="B1150" s="102"/>
      <c r="C1150" s="102" t="s">
        <v>592</v>
      </c>
      <c r="G1150" s="133">
        <f>SUM(E1150:E1150)</f>
        <v>0</v>
      </c>
    </row>
    <row r="1151" spans="1:7" ht="15">
      <c r="A1151" s="136"/>
      <c r="B1151" s="102"/>
      <c r="C1151" s="102" t="s">
        <v>593</v>
      </c>
      <c r="E1151" s="928"/>
      <c r="G1151" s="133">
        <f>SUM(E1151:E1151)</f>
        <v>0</v>
      </c>
    </row>
    <row r="1152" spans="1:7" ht="15">
      <c r="A1152" s="136"/>
      <c r="B1152" s="102"/>
      <c r="C1152" s="102" t="s">
        <v>595</v>
      </c>
      <c r="E1152" s="928"/>
      <c r="G1152" s="133">
        <f>SUM(E1152:E1152)</f>
        <v>0</v>
      </c>
    </row>
    <row r="1153" spans="1:7">
      <c r="A1153" s="136"/>
      <c r="B1153" s="102"/>
      <c r="C1153" s="102" t="s">
        <v>170</v>
      </c>
      <c r="E1153" s="501">
        <f>SUM(E1149:E1152)</f>
        <v>0</v>
      </c>
      <c r="G1153" s="241">
        <f>SUM(G1149:G1152)</f>
        <v>0</v>
      </c>
    </row>
    <row r="1154" spans="1:7">
      <c r="A1154" s="136"/>
      <c r="B1154" s="102"/>
      <c r="C1154" s="102"/>
      <c r="G1154" s="133"/>
    </row>
    <row r="1155" spans="1:7">
      <c r="A1155" s="238" t="s">
        <v>304</v>
      </c>
      <c r="B1155" s="119" t="s">
        <v>306</v>
      </c>
      <c r="C1155" s="102"/>
      <c r="G1155" s="133"/>
    </row>
    <row r="1156" spans="1:7" ht="15">
      <c r="A1156" s="136"/>
      <c r="B1156" s="102"/>
      <c r="C1156" s="102" t="s">
        <v>443</v>
      </c>
      <c r="E1156" s="928"/>
      <c r="G1156" s="133">
        <f>SUM(E1156:E1156)</f>
        <v>0</v>
      </c>
    </row>
    <row r="1157" spans="1:7">
      <c r="A1157" s="136"/>
      <c r="B1157" s="102"/>
      <c r="C1157" s="102" t="s">
        <v>592</v>
      </c>
      <c r="G1157" s="133">
        <f>SUM(E1157:E1157)</f>
        <v>0</v>
      </c>
    </row>
    <row r="1158" spans="1:7" ht="15">
      <c r="A1158" s="136"/>
      <c r="B1158" s="102"/>
      <c r="C1158" s="102" t="s">
        <v>593</v>
      </c>
      <c r="E1158" s="928"/>
      <c r="G1158" s="133">
        <f>SUM(E1158:E1158)</f>
        <v>0</v>
      </c>
    </row>
    <row r="1159" spans="1:7" ht="15">
      <c r="A1159" s="136"/>
      <c r="B1159" s="102"/>
      <c r="C1159" s="102" t="s">
        <v>595</v>
      </c>
      <c r="E1159" s="928"/>
      <c r="G1159" s="133">
        <f>SUM(E1159:E1159)</f>
        <v>0</v>
      </c>
    </row>
    <row r="1160" spans="1:7">
      <c r="A1160" s="136"/>
      <c r="B1160" s="102"/>
      <c r="C1160" s="102" t="s">
        <v>170</v>
      </c>
      <c r="E1160" s="501">
        <f>SUM(E1156:E1159)</f>
        <v>0</v>
      </c>
      <c r="G1160" s="241">
        <f>SUM(G1156:G1159)</f>
        <v>0</v>
      </c>
    </row>
    <row r="1161" spans="1:7">
      <c r="A1161" s="134"/>
      <c r="B1161" s="106"/>
      <c r="C1161" s="106"/>
      <c r="G1161" s="133"/>
    </row>
    <row r="1162" spans="1:7">
      <c r="A1162" s="134">
        <v>2351</v>
      </c>
      <c r="B1162" s="114" t="s">
        <v>311</v>
      </c>
      <c r="C1162" s="106"/>
      <c r="G1162" s="133"/>
    </row>
    <row r="1163" spans="1:7">
      <c r="A1163" s="134"/>
      <c r="B1163" s="106"/>
      <c r="C1163" s="106" t="s">
        <v>592</v>
      </c>
      <c r="G1163" s="133">
        <f>SUM(E1163:E1163)</f>
        <v>0</v>
      </c>
    </row>
    <row r="1164" spans="1:7" ht="15">
      <c r="A1164" s="134"/>
      <c r="B1164" s="106"/>
      <c r="C1164" s="106" t="s">
        <v>593</v>
      </c>
      <c r="E1164" s="928"/>
      <c r="G1164" s="133">
        <f>SUM(E1164:E1164)</f>
        <v>0</v>
      </c>
    </row>
    <row r="1165" spans="1:7">
      <c r="A1165" s="134"/>
      <c r="B1165" s="106"/>
      <c r="C1165" s="106" t="s">
        <v>170</v>
      </c>
      <c r="E1165" s="501">
        <f>SUM(E1163:E1164)</f>
        <v>0</v>
      </c>
      <c r="G1165" s="241">
        <f>SUM(G1163:G1164)</f>
        <v>0</v>
      </c>
    </row>
    <row r="1166" spans="1:7">
      <c r="A1166" s="134"/>
      <c r="B1166" s="106"/>
      <c r="C1166" s="106"/>
      <c r="G1166" s="133"/>
    </row>
    <row r="1167" spans="1:7">
      <c r="A1167" s="212">
        <v>252</v>
      </c>
      <c r="B1167" s="114" t="s">
        <v>493</v>
      </c>
      <c r="C1167" s="102"/>
      <c r="G1167" s="133"/>
    </row>
    <row r="1168" spans="1:7">
      <c r="A1168" s="212"/>
      <c r="B1168" s="114"/>
      <c r="C1168" s="106" t="s">
        <v>592</v>
      </c>
      <c r="G1168" s="133">
        <f>SUM(E1168:E1168)</f>
        <v>0</v>
      </c>
    </row>
    <row r="1169" spans="1:7" ht="15">
      <c r="A1169" s="212"/>
      <c r="B1169" s="102"/>
      <c r="C1169" s="106" t="s">
        <v>593</v>
      </c>
      <c r="E1169" s="928"/>
      <c r="G1169" s="133">
        <f>SUM(E1169:E1169)</f>
        <v>0</v>
      </c>
    </row>
    <row r="1170" spans="1:7">
      <c r="A1170" s="212"/>
      <c r="B1170" s="102"/>
      <c r="C1170" s="102" t="s">
        <v>170</v>
      </c>
      <c r="E1170" s="501">
        <f>SUM(E1168:E1169)</f>
        <v>0</v>
      </c>
      <c r="G1170" s="133">
        <f>SUM(G1168:G1169)</f>
        <v>0</v>
      </c>
    </row>
    <row r="1171" spans="1:7">
      <c r="A1171" s="212"/>
      <c r="B1171" s="102"/>
      <c r="C1171" s="102"/>
      <c r="G1171" s="133"/>
    </row>
    <row r="1172" spans="1:7">
      <c r="A1172" s="134">
        <v>2531</v>
      </c>
      <c r="B1172" s="106" t="s">
        <v>312</v>
      </c>
      <c r="C1172" s="106"/>
      <c r="G1172" s="133"/>
    </row>
    <row r="1173" spans="1:7" ht="15">
      <c r="A1173" s="134"/>
      <c r="B1173" s="106"/>
      <c r="C1173" s="106" t="s">
        <v>595</v>
      </c>
      <c r="E1173" s="928"/>
      <c r="G1173" s="133">
        <f>SUM(E1173:E1173)</f>
        <v>0</v>
      </c>
    </row>
    <row r="1174" spans="1:7">
      <c r="A1174" s="134"/>
      <c r="B1174" s="106"/>
      <c r="C1174" s="106" t="s">
        <v>170</v>
      </c>
      <c r="E1174" s="501">
        <f>SUM(E1173)</f>
        <v>0</v>
      </c>
      <c r="G1174" s="241">
        <f>SUM(G1173)</f>
        <v>0</v>
      </c>
    </row>
    <row r="1175" spans="1:7">
      <c r="A1175" s="134"/>
      <c r="B1175" s="106"/>
      <c r="C1175" s="106"/>
      <c r="G1175" s="133"/>
    </row>
    <row r="1176" spans="1:7">
      <c r="A1176" s="134">
        <v>255</v>
      </c>
      <c r="B1176" s="106" t="s">
        <v>313</v>
      </c>
      <c r="C1176" s="106"/>
      <c r="G1176" s="133"/>
    </row>
    <row r="1177" spans="1:7" ht="15">
      <c r="A1177" s="134"/>
      <c r="B1177" s="106"/>
      <c r="C1177" s="106" t="s">
        <v>443</v>
      </c>
      <c r="E1177" s="928"/>
      <c r="G1177" s="133">
        <f>SUM(E1177:E1177)</f>
        <v>0</v>
      </c>
    </row>
    <row r="1178" spans="1:7">
      <c r="A1178" s="134"/>
      <c r="B1178" s="106"/>
      <c r="C1178" s="106" t="s">
        <v>592</v>
      </c>
      <c r="G1178" s="133">
        <f>SUM(E1178:E1178)</f>
        <v>0</v>
      </c>
    </row>
    <row r="1179" spans="1:7" ht="15">
      <c r="A1179" s="134"/>
      <c r="B1179" s="106"/>
      <c r="C1179" s="106" t="s">
        <v>593</v>
      </c>
      <c r="E1179" s="928"/>
      <c r="G1179" s="133">
        <f>SUM(E1179:E1179)</f>
        <v>0</v>
      </c>
    </row>
    <row r="1180" spans="1:7" ht="15">
      <c r="A1180" s="134"/>
      <c r="B1180" s="106"/>
      <c r="C1180" s="106" t="s">
        <v>595</v>
      </c>
      <c r="E1180" s="928"/>
      <c r="G1180" s="133">
        <f>SUM(E1180:E1180)</f>
        <v>0</v>
      </c>
    </row>
    <row r="1181" spans="1:7">
      <c r="A1181" s="134"/>
      <c r="B1181" s="106"/>
      <c r="C1181" s="106" t="s">
        <v>170</v>
      </c>
      <c r="E1181" s="501">
        <f>SUM(E1177:E1180)</f>
        <v>0</v>
      </c>
      <c r="G1181" s="241">
        <f>SUM(G1177:G1180)</f>
        <v>0</v>
      </c>
    </row>
    <row r="1182" spans="1:7">
      <c r="A1182" s="134"/>
      <c r="B1182" s="106"/>
      <c r="C1182" s="106"/>
      <c r="G1182" s="133"/>
    </row>
    <row r="1183" spans="1:7">
      <c r="A1183" s="134">
        <v>2820</v>
      </c>
      <c r="B1183" s="106" t="s">
        <v>477</v>
      </c>
      <c r="C1183" s="106"/>
      <c r="G1183" s="133"/>
    </row>
    <row r="1184" spans="1:7" ht="15">
      <c r="A1184" s="134"/>
      <c r="B1184" s="106"/>
      <c r="C1184" s="106" t="s">
        <v>443</v>
      </c>
      <c r="E1184" s="928"/>
      <c r="G1184" s="133">
        <f>SUM(E1184:E1184)</f>
        <v>0</v>
      </c>
    </row>
    <row r="1185" spans="1:7">
      <c r="A1185" s="134"/>
      <c r="B1185" s="106"/>
      <c r="C1185" s="106" t="s">
        <v>592</v>
      </c>
      <c r="G1185" s="133">
        <f>SUM(E1185:E1185)</f>
        <v>0</v>
      </c>
    </row>
    <row r="1186" spans="1:7" ht="15">
      <c r="A1186" s="134"/>
      <c r="B1186" s="106"/>
      <c r="C1186" s="106" t="s">
        <v>593</v>
      </c>
      <c r="E1186" s="928"/>
      <c r="G1186" s="133">
        <f>SUM(E1186:E1186)</f>
        <v>0</v>
      </c>
    </row>
    <row r="1187" spans="1:7" ht="15">
      <c r="A1187" s="134"/>
      <c r="B1187" s="106"/>
      <c r="C1187" s="106" t="s">
        <v>595</v>
      </c>
      <c r="E1187" s="928"/>
      <c r="G1187" s="133">
        <f>SUM(E1187:E1187)</f>
        <v>0</v>
      </c>
    </row>
    <row r="1188" spans="1:7">
      <c r="A1188" s="134"/>
      <c r="B1188" s="106"/>
      <c r="C1188" s="106" t="s">
        <v>170</v>
      </c>
      <c r="E1188" s="501">
        <f>SUM(E1184:E1187)</f>
        <v>0</v>
      </c>
      <c r="G1188" s="241">
        <f>SUM(G1184:G1187)</f>
        <v>0</v>
      </c>
    </row>
    <row r="1189" spans="1:7">
      <c r="A1189" s="134"/>
      <c r="B1189" s="106"/>
      <c r="C1189" s="106"/>
      <c r="G1189" s="133"/>
    </row>
    <row r="1190" spans="1:7">
      <c r="A1190" s="134">
        <v>2821</v>
      </c>
      <c r="B1190" s="106" t="s">
        <v>478</v>
      </c>
      <c r="C1190" s="106"/>
      <c r="G1190" s="133"/>
    </row>
    <row r="1191" spans="1:7" ht="15">
      <c r="A1191" s="134"/>
      <c r="B1191" s="106"/>
      <c r="C1191" s="106" t="s">
        <v>443</v>
      </c>
      <c r="E1191" s="928"/>
      <c r="G1191" s="133">
        <f>SUM(E1191:E1191)</f>
        <v>0</v>
      </c>
    </row>
    <row r="1192" spans="1:7">
      <c r="A1192" s="134"/>
      <c r="B1192" s="106"/>
      <c r="C1192" s="106" t="s">
        <v>592</v>
      </c>
      <c r="G1192" s="133">
        <f>SUM(E1192:E1192)</f>
        <v>0</v>
      </c>
    </row>
    <row r="1193" spans="1:7" ht="15">
      <c r="A1193" s="134"/>
      <c r="B1193" s="106"/>
      <c r="C1193" s="106" t="s">
        <v>593</v>
      </c>
      <c r="E1193" s="928"/>
      <c r="G1193" s="133">
        <f>SUM(E1193:E1193)</f>
        <v>0</v>
      </c>
    </row>
    <row r="1194" spans="1:7" ht="15">
      <c r="A1194" s="134"/>
      <c r="B1194" s="106"/>
      <c r="C1194" s="106" t="s">
        <v>595</v>
      </c>
      <c r="E1194" s="928"/>
      <c r="G1194" s="133">
        <f>SUM(E1194:E1194)</f>
        <v>0</v>
      </c>
    </row>
    <row r="1195" spans="1:7">
      <c r="A1195" s="134"/>
      <c r="B1195" s="106"/>
      <c r="C1195" s="106" t="s">
        <v>170</v>
      </c>
      <c r="E1195" s="501">
        <f>SUM(E1191:E1194)</f>
        <v>0</v>
      </c>
      <c r="G1195" s="241">
        <f>SUM(G1191:G1194)</f>
        <v>0</v>
      </c>
    </row>
    <row r="1196" spans="1:7">
      <c r="A1196" s="134"/>
      <c r="B1196" s="106"/>
      <c r="C1196" s="106"/>
      <c r="G1196" s="133"/>
    </row>
    <row r="1197" spans="1:7">
      <c r="A1197" s="388" t="s">
        <v>158</v>
      </c>
      <c r="B1197" s="119" t="s">
        <v>157</v>
      </c>
      <c r="C1197" s="106"/>
      <c r="G1197" s="133"/>
    </row>
    <row r="1198" spans="1:7" ht="15">
      <c r="A1198" s="330"/>
      <c r="B1198" s="106" t="s">
        <v>595</v>
      </c>
      <c r="C1198" s="106"/>
      <c r="E1198" s="928"/>
      <c r="G1198" s="133">
        <f>SUM(E1198:E1198)</f>
        <v>0</v>
      </c>
    </row>
    <row r="1199" spans="1:7">
      <c r="A1199" s="330"/>
      <c r="B1199" s="106" t="s">
        <v>170</v>
      </c>
      <c r="C1199" s="106"/>
      <c r="E1199" s="501">
        <f>SUM(E1198)</f>
        <v>0</v>
      </c>
      <c r="G1199" s="241">
        <f>SUM(G1198)</f>
        <v>0</v>
      </c>
    </row>
    <row r="1200" spans="1:7" ht="13.5" thickBot="1">
      <c r="A1200" s="330"/>
      <c r="B1200" s="106"/>
      <c r="C1200" s="106"/>
      <c r="G1200" s="242"/>
    </row>
    <row r="1201" spans="1:7" ht="13.5" thickTop="1">
      <c r="A1201" s="59" t="s">
        <v>664</v>
      </c>
      <c r="B1201" s="106"/>
      <c r="C1201" s="106"/>
      <c r="G1201" s="133"/>
    </row>
    <row r="1202" spans="1:7">
      <c r="A1202" s="330"/>
      <c r="B1202" s="106" t="s">
        <v>443</v>
      </c>
      <c r="C1202" s="106"/>
      <c r="E1202" s="501">
        <f>E1141+E1149+E1156+E1177+E1184+E1191</f>
        <v>0</v>
      </c>
      <c r="G1202" s="106">
        <f>G1141+G1149+G1156+G1177+G1184+G1191</f>
        <v>0</v>
      </c>
    </row>
    <row r="1203" spans="1:7">
      <c r="A1203" s="330"/>
      <c r="B1203" s="106" t="s">
        <v>592</v>
      </c>
      <c r="C1203" s="106"/>
      <c r="E1203" s="501">
        <f>E1136+E1150+E1157+E1163+E1178+E1185+E1192+E1168</f>
        <v>0</v>
      </c>
      <c r="G1203" s="106">
        <f>G1136+G1150+G1157+G1163+G1178+G1185+G1192+G1168</f>
        <v>0</v>
      </c>
    </row>
    <row r="1204" spans="1:7">
      <c r="A1204" s="330"/>
      <c r="B1204" s="106" t="s">
        <v>593</v>
      </c>
      <c r="C1204" s="106"/>
      <c r="E1204" s="501">
        <f>E1137+E1151+E1158+E1164+E1179+E1186+E1193+E1169</f>
        <v>0</v>
      </c>
      <c r="G1204" s="106">
        <f>G1137+G1151+G1158+G1164+G1179+G1186+G1193+G1169</f>
        <v>0</v>
      </c>
    </row>
    <row r="1205" spans="1:7">
      <c r="A1205" s="330"/>
      <c r="B1205" s="106" t="s">
        <v>595</v>
      </c>
      <c r="C1205" s="106"/>
      <c r="E1205" s="501">
        <f>E1145+E1152+E1159+E1173+E1180+E1187+E1194+E1198</f>
        <v>0</v>
      </c>
      <c r="G1205" s="106">
        <f>G1145+G1152+G1159+G1173+G1180+G1187+G1194+G1198</f>
        <v>0</v>
      </c>
    </row>
    <row r="1206" spans="1:7" ht="13.5" thickBot="1">
      <c r="A1206" s="330"/>
      <c r="B1206" s="106"/>
      <c r="C1206" s="106"/>
      <c r="G1206" s="263"/>
    </row>
    <row r="1207" spans="1:7" ht="13.5" thickTop="1">
      <c r="A1207" s="330"/>
      <c r="B1207" s="106"/>
      <c r="C1207" s="106"/>
      <c r="G1207" s="243"/>
    </row>
    <row r="1208" spans="1:7">
      <c r="A1208" s="330"/>
      <c r="B1208" s="61" t="s">
        <v>664</v>
      </c>
      <c r="C1208" s="106"/>
      <c r="E1208" s="501">
        <f t="shared" ref="E1208" si="28">+E1138+E1142+E1146+E1153+E1160+E1165+E1170+E1174+E1181+E1188+E1195+E1199</f>
        <v>0</v>
      </c>
      <c r="G1208" s="243">
        <f>+G1138+G1142+G1146+G1153+G1160+G1165+G1170+G1174+G1181+G1188+G1195+G1199</f>
        <v>0</v>
      </c>
    </row>
    <row r="1209" spans="1:7">
      <c r="A1209" s="330"/>
      <c r="B1209" s="106"/>
      <c r="C1209" s="106"/>
      <c r="G1209" s="133"/>
    </row>
    <row r="1210" spans="1:7">
      <c r="A1210" s="61" t="s">
        <v>687</v>
      </c>
      <c r="B1210" s="106"/>
      <c r="C1210" s="106"/>
      <c r="G1210" s="243"/>
    </row>
    <row r="1211" spans="1:7">
      <c r="A1211" s="61"/>
      <c r="B1211" s="106" t="s">
        <v>443</v>
      </c>
      <c r="C1211" s="106"/>
      <c r="E1211" s="501">
        <f t="shared" ref="E1211:E1214" si="29">E1124+E1202</f>
        <v>0</v>
      </c>
      <c r="G1211" s="133">
        <f>G1124+G1202</f>
        <v>0</v>
      </c>
    </row>
    <row r="1212" spans="1:7">
      <c r="A1212" s="61"/>
      <c r="B1212" s="106" t="s">
        <v>592</v>
      </c>
      <c r="C1212" s="106"/>
      <c r="E1212" s="501">
        <f t="shared" si="29"/>
        <v>0</v>
      </c>
      <c r="G1212" s="133">
        <f>G1125+G1203</f>
        <v>0</v>
      </c>
    </row>
    <row r="1213" spans="1:7">
      <c r="A1213" s="61"/>
      <c r="B1213" s="106" t="s">
        <v>593</v>
      </c>
      <c r="C1213" s="106"/>
      <c r="E1213" s="501">
        <f t="shared" si="29"/>
        <v>0</v>
      </c>
      <c r="G1213" s="133">
        <f>G1126+G1204</f>
        <v>0</v>
      </c>
    </row>
    <row r="1214" spans="1:7">
      <c r="A1214" s="61"/>
      <c r="B1214" s="106" t="s">
        <v>595</v>
      </c>
      <c r="C1214" s="106"/>
      <c r="E1214" s="501">
        <f t="shared" si="29"/>
        <v>0</v>
      </c>
      <c r="G1214" s="133">
        <f>G1127+G1205</f>
        <v>0</v>
      </c>
    </row>
    <row r="1215" spans="1:7" ht="13.5" thickBot="1">
      <c r="A1215" s="61"/>
      <c r="B1215" s="106"/>
      <c r="C1215" s="106"/>
      <c r="G1215" s="242"/>
    </row>
    <row r="1216" spans="1:7" ht="13.5" thickTop="1">
      <c r="A1216" s="61"/>
      <c r="B1216" s="106"/>
      <c r="C1216" s="106"/>
      <c r="G1216" s="133"/>
    </row>
    <row r="1217" spans="1:7">
      <c r="A1217" s="231"/>
      <c r="B1217" s="61" t="s">
        <v>687</v>
      </c>
      <c r="C1217" s="106"/>
      <c r="E1217" s="501">
        <f>E1130+E1208</f>
        <v>0</v>
      </c>
      <c r="G1217" s="133">
        <f>G1130+G1208</f>
        <v>0</v>
      </c>
    </row>
    <row r="1218" spans="1:7">
      <c r="G1218" s="551"/>
    </row>
    <row r="1219" spans="1:7">
      <c r="A1219" s="61" t="s">
        <v>691</v>
      </c>
      <c r="B1219" s="106"/>
      <c r="C1219" s="106"/>
      <c r="G1219" s="133"/>
    </row>
    <row r="1220" spans="1:7">
      <c r="A1220" s="231"/>
      <c r="B1220" s="106"/>
      <c r="C1220" s="106"/>
      <c r="G1220" s="133"/>
    </row>
    <row r="1221" spans="1:7">
      <c r="A1221" s="231"/>
      <c r="B1221" s="33" t="s">
        <v>481</v>
      </c>
      <c r="C1221" s="106"/>
      <c r="G1221" s="133"/>
    </row>
    <row r="1222" spans="1:7">
      <c r="A1222" s="231"/>
      <c r="B1222" s="106"/>
      <c r="C1222" s="106" t="s">
        <v>482</v>
      </c>
      <c r="E1222" s="501">
        <f>E639</f>
        <v>0</v>
      </c>
      <c r="G1222" s="133">
        <f t="shared" ref="G1222:G1230" si="30">SUM(E1222:E1222)</f>
        <v>0</v>
      </c>
    </row>
    <row r="1223" spans="1:7">
      <c r="A1223" s="231"/>
      <c r="B1223" s="106"/>
      <c r="C1223" s="106" t="s">
        <v>483</v>
      </c>
      <c r="E1223" s="501">
        <f>E892</f>
        <v>0</v>
      </c>
      <c r="G1223" s="133">
        <f t="shared" si="30"/>
        <v>0</v>
      </c>
    </row>
    <row r="1224" spans="1:7">
      <c r="A1224" s="231"/>
      <c r="B1224" s="106"/>
      <c r="C1224" s="106" t="s">
        <v>665</v>
      </c>
      <c r="E1224" s="501">
        <v>0</v>
      </c>
      <c r="G1224" s="133">
        <f t="shared" si="30"/>
        <v>0</v>
      </c>
    </row>
    <row r="1225" spans="1:7">
      <c r="A1225" s="231"/>
      <c r="B1225" s="106"/>
      <c r="C1225" s="106" t="s">
        <v>484</v>
      </c>
      <c r="E1225" s="501">
        <f>E921</f>
        <v>0</v>
      </c>
      <c r="G1225" s="133">
        <f t="shared" si="30"/>
        <v>0</v>
      </c>
    </row>
    <row r="1226" spans="1:7">
      <c r="A1226" s="231"/>
      <c r="B1226" s="106"/>
      <c r="C1226" s="106" t="s">
        <v>485</v>
      </c>
      <c r="E1226" s="501">
        <f>E923+E925+E927</f>
        <v>0</v>
      </c>
      <c r="G1226" s="133">
        <f t="shared" si="30"/>
        <v>0</v>
      </c>
    </row>
    <row r="1227" spans="1:7">
      <c r="A1227" s="231"/>
      <c r="B1227" s="106"/>
      <c r="C1227" s="106" t="s">
        <v>605</v>
      </c>
      <c r="E1227" s="501">
        <v>0</v>
      </c>
      <c r="G1227" s="133">
        <f t="shared" si="30"/>
        <v>0</v>
      </c>
    </row>
    <row r="1228" spans="1:7">
      <c r="A1228" s="231"/>
      <c r="B1228" s="106"/>
      <c r="C1228" s="106" t="s">
        <v>606</v>
      </c>
      <c r="E1228" s="501">
        <v>0</v>
      </c>
      <c r="G1228" s="133">
        <f t="shared" si="30"/>
        <v>0</v>
      </c>
    </row>
    <row r="1229" spans="1:7" ht="13.5" thickBot="1">
      <c r="A1229" s="231"/>
      <c r="B1229" s="106"/>
      <c r="C1229" s="106"/>
      <c r="G1229" s="262">
        <f t="shared" si="30"/>
        <v>0</v>
      </c>
    </row>
    <row r="1230" spans="1:7">
      <c r="A1230" s="231"/>
      <c r="B1230" s="106"/>
      <c r="C1230" s="33" t="s">
        <v>481</v>
      </c>
      <c r="E1230" s="501">
        <f>SUM(E1222:E1228)</f>
        <v>0</v>
      </c>
      <c r="G1230" s="133">
        <f t="shared" si="30"/>
        <v>0</v>
      </c>
    </row>
    <row r="1231" spans="1:7">
      <c r="A1231" s="231"/>
      <c r="B1231" s="106"/>
      <c r="C1231" s="33"/>
      <c r="G1231" s="133"/>
    </row>
    <row r="1232" spans="1:7">
      <c r="A1232" s="231"/>
      <c r="B1232" s="106"/>
      <c r="C1232" s="33" t="s">
        <v>671</v>
      </c>
      <c r="E1232" s="501">
        <f>+E1230/365</f>
        <v>0</v>
      </c>
      <c r="G1232" s="133">
        <f>SUM(E1232:E1232)</f>
        <v>0</v>
      </c>
    </row>
    <row r="1233" spans="1:7">
      <c r="A1233" s="231"/>
      <c r="B1233" s="106"/>
      <c r="C1233" s="106"/>
      <c r="G1233" s="133"/>
    </row>
    <row r="1234" spans="1:7">
      <c r="A1234" s="231"/>
      <c r="B1234" s="33" t="s">
        <v>486</v>
      </c>
      <c r="C1234" s="106"/>
      <c r="E1234" s="244">
        <f>'Control Panel'!$F$21</f>
        <v>1.0149999999999999</v>
      </c>
      <c r="G1234" s="244">
        <f>'Control Panel'!$F$21</f>
        <v>1.0149999999999999</v>
      </c>
    </row>
    <row r="1235" spans="1:7" ht="13.5" thickBot="1">
      <c r="A1235" s="231"/>
      <c r="B1235" s="106"/>
      <c r="C1235" s="106"/>
      <c r="G1235" s="242"/>
    </row>
    <row r="1236" spans="1:7" ht="13.5" thickTop="1">
      <c r="A1236" s="231"/>
      <c r="B1236" s="106"/>
      <c r="C1236" s="106"/>
      <c r="G1236" s="133"/>
    </row>
    <row r="1237" spans="1:7">
      <c r="A1237" s="231"/>
      <c r="B1237" s="61" t="s">
        <v>691</v>
      </c>
      <c r="C1237" s="106"/>
      <c r="E1237" s="501">
        <f>E1232*E1234</f>
        <v>0</v>
      </c>
      <c r="G1237" s="133">
        <f>SUM(E1237:E1237)</f>
        <v>0</v>
      </c>
    </row>
    <row r="1238" spans="1:7" ht="13.5" thickBot="1">
      <c r="A1238" s="231"/>
      <c r="B1238" s="106"/>
      <c r="C1238" s="106"/>
      <c r="G1238" s="242">
        <f>G1234*G1232</f>
        <v>0</v>
      </c>
    </row>
    <row r="1239" spans="1:7" ht="13.5" thickTop="1">
      <c r="A1239" s="231"/>
      <c r="B1239" s="106"/>
      <c r="C1239" s="106"/>
      <c r="G1239" s="133"/>
    </row>
    <row r="1240" spans="1:7">
      <c r="A1240" s="61" t="s">
        <v>284</v>
      </c>
      <c r="B1240" s="106"/>
      <c r="C1240" s="106"/>
      <c r="G1240" s="133"/>
    </row>
    <row r="1241" spans="1:7">
      <c r="A1241" s="61"/>
      <c r="B1241" s="106" t="s">
        <v>443</v>
      </c>
      <c r="C1241" s="106"/>
      <c r="E1241" s="501">
        <f t="shared" ref="E1241:E1243" si="31">E1211</f>
        <v>0</v>
      </c>
      <c r="G1241" s="133">
        <f>SUM(E1241:E1241)</f>
        <v>0</v>
      </c>
    </row>
    <row r="1242" spans="1:7">
      <c r="A1242" s="61"/>
      <c r="B1242" s="106" t="s">
        <v>592</v>
      </c>
      <c r="C1242" s="106"/>
      <c r="E1242" s="501">
        <f t="shared" si="31"/>
        <v>0</v>
      </c>
      <c r="G1242" s="133">
        <f>SUM(E1242:E1242)</f>
        <v>0</v>
      </c>
    </row>
    <row r="1243" spans="1:7">
      <c r="A1243" s="61"/>
      <c r="B1243" s="106" t="s">
        <v>593</v>
      </c>
      <c r="C1243" s="106"/>
      <c r="E1243" s="501">
        <f t="shared" si="31"/>
        <v>0</v>
      </c>
      <c r="G1243" s="133">
        <f>SUM(E1243:E1243)</f>
        <v>0</v>
      </c>
    </row>
    <row r="1244" spans="1:7">
      <c r="A1244" s="61"/>
      <c r="B1244" s="106" t="s">
        <v>595</v>
      </c>
      <c r="C1244" s="106"/>
      <c r="E1244" s="501">
        <f>E1214+E1237</f>
        <v>0</v>
      </c>
      <c r="G1244" s="133">
        <f>G1214+G1237</f>
        <v>0</v>
      </c>
    </row>
    <row r="1245" spans="1:7" ht="13.5" thickBot="1">
      <c r="A1245" s="61"/>
      <c r="B1245" s="106"/>
      <c r="C1245" s="106"/>
      <c r="G1245" s="242">
        <f>SUM(E1245:E1245)</f>
        <v>0</v>
      </c>
    </row>
    <row r="1246" spans="1:7" ht="13.5" thickTop="1">
      <c r="A1246" s="61"/>
      <c r="B1246" s="106"/>
      <c r="C1246" s="106"/>
      <c r="G1246" s="133">
        <f>SUM(E1246:E1246)</f>
        <v>0</v>
      </c>
    </row>
    <row r="1247" spans="1:7">
      <c r="A1247" s="231"/>
      <c r="B1247" s="61" t="s">
        <v>284</v>
      </c>
      <c r="C1247" s="106"/>
      <c r="E1247" s="501">
        <f>E1217+E1237</f>
        <v>0</v>
      </c>
      <c r="G1247" s="133">
        <f>SUM(E1247:E1247)</f>
        <v>0</v>
      </c>
    </row>
    <row r="1248" spans="1:7">
      <c r="A1248" s="231"/>
      <c r="B1248" s="61"/>
      <c r="C1248" s="10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51329" r:id="rId3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330" r:id="rId4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331" r:id="rId5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332" r:id="rId6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248"/>
  <sheetViews>
    <sheetView workbookViewId="0">
      <selection activeCell="F24" sqref="F24"/>
    </sheetView>
  </sheetViews>
  <sheetFormatPr defaultRowHeight="12.75"/>
  <cols>
    <col min="1" max="1" width="7.28515625" style="15" customWidth="1"/>
    <col min="2" max="2" width="14.42578125" style="15" customWidth="1"/>
    <col min="3" max="3" width="33.85546875" style="15" customWidth="1"/>
    <col min="4" max="4" width="9.140625" style="221"/>
    <col min="5" max="5" width="10.28515625" style="501" bestFit="1" customWidth="1"/>
    <col min="6" max="6" width="9.140625" style="221"/>
    <col min="7" max="7" width="19" style="221" bestFit="1" customWidth="1"/>
    <col min="8" max="8" width="22" customWidth="1"/>
    <col min="9" max="9" width="7.42578125" style="1" customWidth="1"/>
    <col min="10" max="10" width="73.5703125" style="1" bestFit="1" customWidth="1"/>
    <col min="11" max="11" width="12.28515625" style="11" customWidth="1"/>
    <col min="12" max="12" width="24.7109375" style="11" bestFit="1" customWidth="1"/>
    <col min="13" max="13" width="14.5703125" style="1" bestFit="1" customWidth="1"/>
    <col min="14" max="14" width="7.42578125" style="1" customWidth="1"/>
    <col min="15" max="15" width="33.5703125" style="1" customWidth="1"/>
  </cols>
  <sheetData>
    <row r="1" spans="1:12" ht="15">
      <c r="A1" s="1141" t="str">
        <f>'Control Panel'!$B$1</f>
        <v>Dominion Energy</v>
      </c>
      <c r="I1" s="1279"/>
      <c r="J1" s="1280"/>
      <c r="K1" s="1281"/>
      <c r="L1" s="1281"/>
    </row>
    <row r="2" spans="1:12" ht="15.75">
      <c r="A2" s="1141" t="str">
        <f>'Control Panel'!$B$2</f>
        <v>Utah - DEC 2019 Adjusted Avg  Results</v>
      </c>
      <c r="B2" s="116"/>
      <c r="C2" s="116"/>
      <c r="I2" s="1279"/>
      <c r="J2" s="1282" t="s">
        <v>1315</v>
      </c>
      <c r="K2" s="1282"/>
      <c r="L2" s="1281"/>
    </row>
    <row r="3" spans="1:12" ht="15.75">
      <c r="A3" s="1141" t="str">
        <f>'Control Panel'!$B$3</f>
        <v>12 Months Ended : Dec-2019</v>
      </c>
      <c r="B3" s="116"/>
      <c r="C3" s="116"/>
      <c r="I3" s="1279"/>
      <c r="J3" s="1283" t="s">
        <v>1598</v>
      </c>
      <c r="K3" s="1284"/>
      <c r="L3" s="1285"/>
    </row>
    <row r="4" spans="1:12" ht="15">
      <c r="A4" s="123"/>
      <c r="B4" s="116"/>
      <c r="C4" s="116"/>
      <c r="I4" s="1280"/>
      <c r="J4" s="1280"/>
      <c r="K4" s="1281"/>
      <c r="L4" s="1281"/>
    </row>
    <row r="5" spans="1:12" ht="15.75">
      <c r="A5" s="105"/>
      <c r="B5" s="116"/>
      <c r="C5" s="239"/>
      <c r="H5" s="966"/>
      <c r="I5" s="1279"/>
      <c r="J5" s="1286">
        <v>43070</v>
      </c>
      <c r="K5" s="1287"/>
      <c r="L5" s="1287"/>
    </row>
    <row r="6" spans="1:12" ht="15.75">
      <c r="A6" s="127"/>
      <c r="B6" s="116"/>
      <c r="C6" s="116"/>
      <c r="I6" s="1279">
        <v>1</v>
      </c>
      <c r="J6" s="1283"/>
      <c r="K6" s="1281"/>
      <c r="L6" s="1288"/>
    </row>
    <row r="7" spans="1:12" ht="15.75">
      <c r="A7" s="53"/>
      <c r="B7" s="116"/>
      <c r="C7" s="116"/>
      <c r="I7" s="1279">
        <f t="shared" ref="I7:I49" si="0">+I6+1</f>
        <v>2</v>
      </c>
      <c r="J7" s="1280"/>
      <c r="K7" s="1281"/>
      <c r="L7" s="1288" t="s">
        <v>170</v>
      </c>
    </row>
    <row r="8" spans="1:12" ht="15.75">
      <c r="A8" s="738"/>
      <c r="B8" s="116"/>
      <c r="C8" s="116"/>
      <c r="I8" s="1279">
        <f t="shared" si="0"/>
        <v>3</v>
      </c>
      <c r="J8" s="1288" t="s">
        <v>1316</v>
      </c>
      <c r="K8" s="1281"/>
      <c r="L8" s="1288" t="s">
        <v>1317</v>
      </c>
    </row>
    <row r="9" spans="1:12" ht="16.5" thickBot="1">
      <c r="A9" s="55" t="s">
        <v>841</v>
      </c>
      <c r="B9" s="56"/>
      <c r="C9" s="554" t="s">
        <v>842</v>
      </c>
      <c r="D9" s="927"/>
      <c r="E9" s="560" t="s">
        <v>607</v>
      </c>
      <c r="G9" s="555" t="s">
        <v>1200</v>
      </c>
      <c r="H9" s="966"/>
      <c r="I9" s="1279">
        <f t="shared" si="0"/>
        <v>4</v>
      </c>
      <c r="J9" s="1289" t="s">
        <v>1318</v>
      </c>
      <c r="K9" s="1281"/>
      <c r="L9" s="1288" t="s">
        <v>668</v>
      </c>
    </row>
    <row r="10" spans="1:12" ht="15">
      <c r="A10" s="59" t="s">
        <v>425</v>
      </c>
      <c r="B10" s="106"/>
      <c r="C10" s="106"/>
      <c r="G10" s="133"/>
      <c r="I10" s="1279">
        <f t="shared" si="0"/>
        <v>5</v>
      </c>
      <c r="J10" s="1280" t="s">
        <v>1129</v>
      </c>
      <c r="K10" s="1281"/>
      <c r="L10" s="1290">
        <v>24830604.719999999</v>
      </c>
    </row>
    <row r="11" spans="1:12" ht="15">
      <c r="A11" s="330"/>
      <c r="B11" s="106"/>
      <c r="C11" s="106"/>
      <c r="G11" s="133"/>
      <c r="H11" s="966"/>
      <c r="I11" s="1279">
        <f t="shared" si="0"/>
        <v>6</v>
      </c>
      <c r="J11" s="1280" t="s">
        <v>1319</v>
      </c>
      <c r="K11" s="1281"/>
      <c r="L11" s="1291">
        <v>904985.62999999989</v>
      </c>
    </row>
    <row r="12" spans="1:12" ht="15">
      <c r="A12" s="134">
        <v>920</v>
      </c>
      <c r="B12" s="106" t="s">
        <v>426</v>
      </c>
      <c r="C12" s="106"/>
      <c r="G12" s="133"/>
      <c r="I12" s="1279">
        <f t="shared" si="0"/>
        <v>7</v>
      </c>
      <c r="J12" s="1280" t="s">
        <v>132</v>
      </c>
      <c r="K12" s="1281"/>
      <c r="L12" s="1291">
        <v>27214256.850000001</v>
      </c>
    </row>
    <row r="13" spans="1:12" ht="15">
      <c r="A13" s="330"/>
      <c r="B13" s="106"/>
      <c r="C13" s="106" t="s">
        <v>14</v>
      </c>
      <c r="E13" s="501">
        <f>L48</f>
        <v>2583753.6325391629</v>
      </c>
      <c r="G13" s="133">
        <f>SUM(E13:E13)</f>
        <v>2583753.6325391629</v>
      </c>
      <c r="I13" s="1279">
        <f t="shared" si="0"/>
        <v>8</v>
      </c>
      <c r="J13" s="1292" t="s">
        <v>1130</v>
      </c>
      <c r="K13" s="1293"/>
      <c r="L13" s="1291">
        <v>2308712.8300000005</v>
      </c>
    </row>
    <row r="14" spans="1:12" ht="15">
      <c r="A14" s="330"/>
      <c r="B14" s="106"/>
      <c r="C14" s="106" t="s">
        <v>24</v>
      </c>
      <c r="E14" s="501">
        <f>L49</f>
        <v>85769.781536129623</v>
      </c>
      <c r="G14" s="133">
        <f>SUM(E14:E14)</f>
        <v>85769.781536129623</v>
      </c>
      <c r="I14" s="1279">
        <f t="shared" si="0"/>
        <v>9</v>
      </c>
      <c r="J14" s="1280" t="s">
        <v>1320</v>
      </c>
      <c r="K14" s="1281"/>
      <c r="L14" s="1416">
        <v>55258560.030000001</v>
      </c>
    </row>
    <row r="15" spans="1:12" ht="15.75">
      <c r="A15" s="134"/>
      <c r="B15" s="106"/>
      <c r="C15" s="106" t="s">
        <v>170</v>
      </c>
      <c r="E15" s="241">
        <f>SUM(E13:E14)</f>
        <v>2669523.4140752926</v>
      </c>
      <c r="G15" s="241">
        <f>SUM(E15:E15)</f>
        <v>2669523.4140752926</v>
      </c>
      <c r="I15" s="1279">
        <f t="shared" si="0"/>
        <v>10</v>
      </c>
      <c r="J15" s="1282"/>
      <c r="K15" s="1281"/>
      <c r="L15" s="1281"/>
    </row>
    <row r="16" spans="1:12" ht="15">
      <c r="A16"/>
      <c r="B16"/>
      <c r="C16"/>
      <c r="D16"/>
      <c r="E16"/>
      <c r="F16"/>
      <c r="G16"/>
      <c r="I16" s="1279">
        <f t="shared" si="0"/>
        <v>11</v>
      </c>
      <c r="J16" s="1294" t="s">
        <v>9</v>
      </c>
      <c r="K16" s="1281"/>
      <c r="L16" s="1295">
        <v>7251384</v>
      </c>
    </row>
    <row r="17" spans="1:12" ht="15.75">
      <c r="A17"/>
      <c r="B17" s="1420" t="s">
        <v>1379</v>
      </c>
      <c r="C17" s="1421">
        <v>0.96774779651955156</v>
      </c>
      <c r="D17"/>
      <c r="E17" s="953">
        <f>E15*C17</f>
        <v>2583425.4017287148</v>
      </c>
      <c r="F17"/>
      <c r="G17" s="133">
        <f>SUM(E17:E17)</f>
        <v>2583425.4017287148</v>
      </c>
      <c r="I17" s="1279">
        <f t="shared" si="0"/>
        <v>12</v>
      </c>
      <c r="J17" s="1296" t="s">
        <v>1321</v>
      </c>
      <c r="K17" s="1297"/>
      <c r="L17" s="1417">
        <v>62509944.030000001</v>
      </c>
    </row>
    <row r="18" spans="1:12" ht="15">
      <c r="A18"/>
      <c r="B18" s="1420" t="s">
        <v>1380</v>
      </c>
      <c r="C18" s="1421">
        <v>3.2252203480448438E-2</v>
      </c>
      <c r="D18"/>
      <c r="E18" s="953">
        <f>E15*C18</f>
        <v>86098.012346577743</v>
      </c>
      <c r="F18"/>
      <c r="G18" s="133">
        <f>SUM(E18:E18)</f>
        <v>86098.012346577743</v>
      </c>
      <c r="I18" s="1279">
        <f t="shared" si="0"/>
        <v>13</v>
      </c>
      <c r="J18" s="1280"/>
      <c r="K18" s="1281"/>
      <c r="L18" s="1281"/>
    </row>
    <row r="19" spans="1:12" ht="15">
      <c r="A19"/>
      <c r="B19"/>
      <c r="C19"/>
      <c r="D19"/>
      <c r="E19" s="241">
        <f>SUM(C19:C19)</f>
        <v>0</v>
      </c>
      <c r="F19"/>
      <c r="G19" s="241">
        <f>SUM(E19:E19)</f>
        <v>0</v>
      </c>
      <c r="I19" s="1279">
        <f t="shared" si="0"/>
        <v>14</v>
      </c>
      <c r="J19" s="1280" t="s">
        <v>132</v>
      </c>
      <c r="K19" s="1281"/>
      <c r="L19" s="1295">
        <v>27214256.850000001</v>
      </c>
    </row>
    <row r="20" spans="1:12" ht="15">
      <c r="A20"/>
      <c r="B20"/>
      <c r="C20"/>
      <c r="D20"/>
      <c r="E20"/>
      <c r="F20"/>
      <c r="G20"/>
      <c r="I20" s="1279">
        <f t="shared" si="0"/>
        <v>15</v>
      </c>
      <c r="J20" s="1280" t="s">
        <v>1123</v>
      </c>
      <c r="K20" s="1281"/>
      <c r="L20" s="1295">
        <v>4999735.99</v>
      </c>
    </row>
    <row r="21" spans="1:12" ht="15">
      <c r="A21"/>
      <c r="D21"/>
      <c r="E21"/>
      <c r="F21"/>
      <c r="G21"/>
      <c r="I21" s="1279">
        <f t="shared" si="0"/>
        <v>16</v>
      </c>
      <c r="J21" s="1280" t="s">
        <v>1130</v>
      </c>
      <c r="K21" s="1281"/>
      <c r="L21" s="1295">
        <v>242700.87000000002</v>
      </c>
    </row>
    <row r="22" spans="1:12" ht="15.75">
      <c r="A22"/>
      <c r="D22"/>
      <c r="E22"/>
      <c r="F22"/>
      <c r="G22"/>
      <c r="I22" s="1279">
        <f t="shared" si="0"/>
        <v>17</v>
      </c>
      <c r="J22" s="1296" t="s">
        <v>1322</v>
      </c>
      <c r="K22" s="1297"/>
      <c r="L22" s="1418">
        <v>32456693.710000005</v>
      </c>
    </row>
    <row r="23" spans="1:12" ht="15">
      <c r="A23"/>
      <c r="B23"/>
      <c r="C23"/>
      <c r="D23"/>
      <c r="E23"/>
      <c r="F23"/>
      <c r="G23"/>
      <c r="I23" s="1279">
        <f t="shared" si="0"/>
        <v>18</v>
      </c>
      <c r="J23" s="1280"/>
      <c r="K23" s="1281"/>
      <c r="L23" s="1281"/>
    </row>
    <row r="24" spans="1:12" ht="15">
      <c r="A24"/>
      <c r="B24"/>
      <c r="C24"/>
      <c r="D24"/>
      <c r="E24"/>
      <c r="F24"/>
      <c r="G24"/>
      <c r="I24" s="1279">
        <f t="shared" si="0"/>
        <v>19</v>
      </c>
      <c r="K24" s="1281"/>
      <c r="L24" s="1281"/>
    </row>
    <row r="25" spans="1:12" ht="15.75">
      <c r="A25"/>
      <c r="B25"/>
      <c r="C25"/>
      <c r="D25"/>
      <c r="E25"/>
      <c r="F25"/>
      <c r="G25"/>
      <c r="I25" s="1279">
        <f t="shared" si="0"/>
        <v>20</v>
      </c>
      <c r="J25" s="1282" t="s">
        <v>1323</v>
      </c>
      <c r="K25" s="1281"/>
      <c r="L25" s="1281"/>
    </row>
    <row r="26" spans="1:12" ht="16.5" thickBot="1">
      <c r="A26"/>
      <c r="B26"/>
      <c r="C26"/>
      <c r="D26"/>
      <c r="E26"/>
      <c r="F26"/>
      <c r="G26"/>
      <c r="I26" s="1279">
        <f t="shared" si="0"/>
        <v>21</v>
      </c>
      <c r="J26" s="1298" t="s">
        <v>1324</v>
      </c>
      <c r="K26" s="1281"/>
      <c r="L26" s="1281"/>
    </row>
    <row r="27" spans="1:12" ht="15">
      <c r="A27"/>
      <c r="B27"/>
      <c r="C27"/>
      <c r="D27"/>
      <c r="E27"/>
      <c r="F27"/>
      <c r="G27"/>
      <c r="I27" s="1279">
        <f t="shared" si="0"/>
        <v>22</v>
      </c>
      <c r="J27" s="1299" t="s">
        <v>1325</v>
      </c>
      <c r="K27" s="1281"/>
      <c r="L27" s="1291">
        <v>-9230557</v>
      </c>
    </row>
    <row r="28" spans="1:12" ht="15">
      <c r="A28"/>
      <c r="B28"/>
      <c r="C28"/>
      <c r="D28"/>
      <c r="E28"/>
      <c r="F28"/>
      <c r="G28"/>
      <c r="I28" s="1279">
        <f t="shared" si="0"/>
        <v>23</v>
      </c>
      <c r="J28" s="1299" t="s">
        <v>1326</v>
      </c>
      <c r="K28" s="1281"/>
      <c r="L28" s="1291">
        <v>9528322.9799999986</v>
      </c>
    </row>
    <row r="29" spans="1:12" ht="15">
      <c r="A29"/>
      <c r="B29"/>
      <c r="C29"/>
      <c r="D29"/>
      <c r="E29"/>
      <c r="F29"/>
      <c r="G29"/>
      <c r="I29" s="1279">
        <f t="shared" si="0"/>
        <v>24</v>
      </c>
      <c r="J29" s="1299" t="s">
        <v>1327</v>
      </c>
      <c r="K29" s="1281"/>
      <c r="L29" s="1291">
        <v>4131278.7600000002</v>
      </c>
    </row>
    <row r="30" spans="1:12" ht="15">
      <c r="A30"/>
      <c r="B30"/>
      <c r="C30"/>
      <c r="D30"/>
      <c r="E30"/>
      <c r="F30"/>
      <c r="G30"/>
      <c r="I30" s="1279">
        <f t="shared" si="0"/>
        <v>25</v>
      </c>
      <c r="J30" s="1299" t="s">
        <v>1328</v>
      </c>
      <c r="K30" s="1281"/>
      <c r="L30" s="1291">
        <v>-1959989</v>
      </c>
    </row>
    <row r="31" spans="1:12" ht="15">
      <c r="A31"/>
      <c r="B31"/>
      <c r="C31"/>
      <c r="D31"/>
      <c r="E31"/>
      <c r="F31"/>
      <c r="G31"/>
      <c r="I31" s="1279">
        <f t="shared" si="0"/>
        <v>26</v>
      </c>
      <c r="J31" s="1299" t="s">
        <v>1329</v>
      </c>
      <c r="K31" s="1281"/>
      <c r="L31" s="1291">
        <v>11744338.940000001</v>
      </c>
    </row>
    <row r="32" spans="1:12" ht="15">
      <c r="A32"/>
      <c r="B32"/>
      <c r="C32"/>
      <c r="D32"/>
      <c r="E32"/>
      <c r="F32"/>
      <c r="G32"/>
      <c r="I32" s="1279">
        <f t="shared" si="0"/>
        <v>27</v>
      </c>
      <c r="J32" s="1299" t="s">
        <v>1130</v>
      </c>
      <c r="K32" s="1281"/>
      <c r="L32" s="1291">
        <v>3975723.8800000027</v>
      </c>
    </row>
    <row r="33" spans="1:12" ht="15.75">
      <c r="A33"/>
      <c r="B33"/>
      <c r="C33"/>
      <c r="D33"/>
      <c r="E33"/>
      <c r="F33"/>
      <c r="G33"/>
      <c r="I33" s="1279">
        <f t="shared" si="0"/>
        <v>28</v>
      </c>
      <c r="J33" s="1296" t="s">
        <v>1330</v>
      </c>
      <c r="K33" s="1297"/>
      <c r="L33" s="1417">
        <f>SUM(L27:L32)</f>
        <v>18189118.560000002</v>
      </c>
    </row>
    <row r="34" spans="1:12" ht="15">
      <c r="A34"/>
      <c r="B34"/>
      <c r="C34"/>
      <c r="D34"/>
      <c r="E34"/>
      <c r="F34"/>
      <c r="G34"/>
      <c r="I34" s="1279">
        <f t="shared" si="0"/>
        <v>29</v>
      </c>
      <c r="J34" s="1280"/>
      <c r="K34" s="1281"/>
      <c r="L34" s="1281"/>
    </row>
    <row r="35" spans="1:12" ht="15.75">
      <c r="A35"/>
      <c r="B35"/>
      <c r="C35"/>
      <c r="D35"/>
      <c r="E35"/>
      <c r="F35"/>
      <c r="G35"/>
      <c r="I35" s="1279">
        <f t="shared" si="0"/>
        <v>30</v>
      </c>
      <c r="J35" s="1296" t="s">
        <v>1331</v>
      </c>
      <c r="K35" s="1281"/>
      <c r="L35" s="1300">
        <v>8695970.6799999997</v>
      </c>
    </row>
    <row r="36" spans="1:12" ht="15.75">
      <c r="A36"/>
      <c r="B36"/>
      <c r="C36"/>
      <c r="D36"/>
      <c r="E36"/>
      <c r="F36"/>
      <c r="G36"/>
      <c r="I36" s="1279">
        <f t="shared" si="0"/>
        <v>31</v>
      </c>
      <c r="J36" s="1296"/>
      <c r="K36" s="1281"/>
      <c r="L36" s="1300"/>
    </row>
    <row r="37" spans="1:12" ht="15.75">
      <c r="A37"/>
      <c r="B37"/>
      <c r="C37"/>
      <c r="D37"/>
      <c r="E37"/>
      <c r="F37"/>
      <c r="G37"/>
      <c r="I37" s="1279">
        <f t="shared" si="0"/>
        <v>32</v>
      </c>
      <c r="J37" s="1296" t="s">
        <v>1332</v>
      </c>
      <c r="K37" s="1281"/>
      <c r="L37" s="1301">
        <v>80699062.590000004</v>
      </c>
    </row>
    <row r="38" spans="1:12" ht="15.75">
      <c r="A38"/>
      <c r="B38"/>
      <c r="C38"/>
      <c r="D38"/>
      <c r="E38"/>
      <c r="F38"/>
      <c r="G38"/>
      <c r="I38" s="1279">
        <f t="shared" si="0"/>
        <v>33</v>
      </c>
      <c r="J38" s="1280"/>
      <c r="K38" s="1281"/>
      <c r="L38" s="1302"/>
    </row>
    <row r="39" spans="1:12" ht="15.75">
      <c r="A39"/>
      <c r="B39"/>
      <c r="C39"/>
      <c r="D39"/>
      <c r="E39"/>
      <c r="F39"/>
      <c r="G39"/>
      <c r="I39" s="1279">
        <f t="shared" si="0"/>
        <v>34</v>
      </c>
      <c r="J39" s="1296" t="s">
        <v>1333</v>
      </c>
      <c r="K39" s="1281"/>
      <c r="L39" s="1303">
        <v>41152664.390000001</v>
      </c>
    </row>
    <row r="40" spans="1:12" ht="15">
      <c r="A40"/>
      <c r="B40"/>
      <c r="C40"/>
      <c r="D40"/>
      <c r="E40"/>
      <c r="F40"/>
      <c r="G40"/>
      <c r="I40" s="1279">
        <f t="shared" si="0"/>
        <v>35</v>
      </c>
      <c r="J40" s="1280"/>
      <c r="K40" s="1281"/>
      <c r="L40" s="1281"/>
    </row>
    <row r="41" spans="1:12" ht="15">
      <c r="A41"/>
      <c r="B41"/>
      <c r="C41"/>
      <c r="D41"/>
      <c r="E41"/>
      <c r="F41"/>
      <c r="G41"/>
      <c r="I41" s="1279">
        <f t="shared" si="0"/>
        <v>36</v>
      </c>
      <c r="J41" s="1304" t="s">
        <v>1334</v>
      </c>
      <c r="K41" s="1281"/>
    </row>
    <row r="42" spans="1:12" ht="15.75">
      <c r="A42"/>
      <c r="B42"/>
      <c r="C42"/>
      <c r="D42"/>
      <c r="E42"/>
      <c r="F42"/>
      <c r="G42"/>
      <c r="I42" s="1279">
        <f t="shared" si="0"/>
        <v>37</v>
      </c>
      <c r="J42" s="1305" t="s">
        <v>1335</v>
      </c>
      <c r="K42" s="1306">
        <v>0.5430321790318493</v>
      </c>
      <c r="L42" s="1307">
        <v>43822187.804075293</v>
      </c>
    </row>
    <row r="43" spans="1:12" ht="15.75">
      <c r="A43"/>
      <c r="B43"/>
      <c r="C43"/>
      <c r="D43"/>
      <c r="E43"/>
      <c r="F43"/>
      <c r="G43"/>
      <c r="I43" s="1279">
        <f t="shared" si="0"/>
        <v>38</v>
      </c>
      <c r="J43" s="1305" t="s">
        <v>1336</v>
      </c>
      <c r="K43" s="1306">
        <v>0.50995219856617668</v>
      </c>
      <c r="L43" s="1307">
        <v>41152664.390000001</v>
      </c>
    </row>
    <row r="44" spans="1:12" ht="15.75">
      <c r="A44"/>
      <c r="B44"/>
      <c r="C44"/>
      <c r="D44"/>
      <c r="E44"/>
      <c r="F44"/>
      <c r="G44"/>
      <c r="I44" s="1279">
        <f t="shared" si="0"/>
        <v>39</v>
      </c>
      <c r="K44" s="1281"/>
      <c r="L44" s="1307"/>
    </row>
    <row r="45" spans="1:12" ht="15.75">
      <c r="A45"/>
      <c r="B45"/>
      <c r="C45"/>
      <c r="D45"/>
      <c r="E45"/>
      <c r="F45"/>
      <c r="G45"/>
      <c r="I45" s="1279">
        <f t="shared" si="0"/>
        <v>40</v>
      </c>
      <c r="K45" s="1281"/>
      <c r="L45" s="1307"/>
    </row>
    <row r="46" spans="1:12" ht="15.75">
      <c r="A46"/>
      <c r="B46"/>
      <c r="C46"/>
      <c r="D46"/>
      <c r="E46"/>
      <c r="F46"/>
      <c r="G46"/>
      <c r="I46" s="1279">
        <f t="shared" si="0"/>
        <v>41</v>
      </c>
      <c r="J46" s="1296" t="s">
        <v>1337</v>
      </c>
      <c r="K46" s="1281"/>
      <c r="L46" s="1308">
        <v>2669523.4140752926</v>
      </c>
    </row>
    <row r="47" spans="1:12" ht="15.75">
      <c r="A47"/>
      <c r="B47"/>
      <c r="C47"/>
      <c r="D47"/>
      <c r="E47"/>
      <c r="F47"/>
      <c r="G47"/>
      <c r="I47" s="1279">
        <f t="shared" si="0"/>
        <v>42</v>
      </c>
      <c r="J47" s="1280"/>
      <c r="L47" s="1309"/>
    </row>
    <row r="48" spans="1:12" ht="15">
      <c r="A48"/>
      <c r="B48"/>
      <c r="C48"/>
      <c r="D48"/>
      <c r="E48"/>
      <c r="F48"/>
      <c r="G48"/>
      <c r="I48" s="1279">
        <f t="shared" si="0"/>
        <v>43</v>
      </c>
      <c r="J48" s="1310" t="s">
        <v>14</v>
      </c>
      <c r="K48" s="1419">
        <v>0.96787075135437994</v>
      </c>
      <c r="L48" s="1295">
        <v>2583753.6325391629</v>
      </c>
    </row>
    <row r="49" spans="1:12" ht="15">
      <c r="A49"/>
      <c r="B49"/>
      <c r="C49"/>
      <c r="D49"/>
      <c r="E49"/>
      <c r="F49"/>
      <c r="G49"/>
      <c r="I49" s="1279">
        <f t="shared" si="0"/>
        <v>44</v>
      </c>
      <c r="J49" s="1310" t="s">
        <v>24</v>
      </c>
      <c r="K49" s="1419">
        <v>3.2129248645620057E-2</v>
      </c>
      <c r="L49" s="1295">
        <v>85769.781536129623</v>
      </c>
    </row>
    <row r="50" spans="1:12" ht="15">
      <c r="A50"/>
      <c r="B50"/>
      <c r="C50"/>
      <c r="D50"/>
      <c r="E50"/>
      <c r="F50"/>
      <c r="G50"/>
      <c r="I50" s="1279"/>
      <c r="J50" s="1280"/>
      <c r="K50" s="1281"/>
      <c r="L50" s="1295"/>
    </row>
    <row r="51" spans="1:12">
      <c r="A51"/>
      <c r="B51"/>
      <c r="C51"/>
      <c r="D51"/>
      <c r="E51"/>
      <c r="F51"/>
      <c r="G51"/>
    </row>
    <row r="52" spans="1:12">
      <c r="A52"/>
      <c r="B52"/>
      <c r="C52"/>
      <c r="D52"/>
      <c r="E52"/>
      <c r="F52"/>
      <c r="G52"/>
    </row>
    <row r="53" spans="1:12">
      <c r="A53"/>
      <c r="B53"/>
      <c r="C53"/>
      <c r="D53"/>
      <c r="E53"/>
      <c r="F53"/>
      <c r="G53"/>
    </row>
    <row r="54" spans="1:12">
      <c r="A54"/>
      <c r="B54"/>
      <c r="C54"/>
      <c r="D54"/>
      <c r="E54"/>
      <c r="F54"/>
      <c r="G54"/>
    </row>
    <row r="55" spans="1:12">
      <c r="A55"/>
      <c r="B55"/>
      <c r="C55"/>
      <c r="D55"/>
      <c r="E55"/>
      <c r="F55"/>
      <c r="G55"/>
    </row>
    <row r="56" spans="1:12">
      <c r="A56"/>
      <c r="B56"/>
      <c r="C56"/>
      <c r="D56"/>
      <c r="E56"/>
      <c r="F56"/>
      <c r="G56"/>
    </row>
    <row r="57" spans="1:12">
      <c r="A57"/>
      <c r="B57"/>
      <c r="C57"/>
      <c r="D57"/>
      <c r="E57"/>
      <c r="F57"/>
      <c r="G57"/>
    </row>
    <row r="58" spans="1:12">
      <c r="A58"/>
      <c r="B58"/>
      <c r="C58"/>
      <c r="D58"/>
      <c r="E58"/>
      <c r="F58"/>
      <c r="G58"/>
    </row>
    <row r="59" spans="1:12">
      <c r="A59"/>
      <c r="B59"/>
      <c r="C59"/>
      <c r="D59"/>
      <c r="E59"/>
      <c r="F59"/>
      <c r="G59"/>
    </row>
    <row r="60" spans="1:12">
      <c r="A60"/>
      <c r="B60"/>
      <c r="C60"/>
      <c r="D60"/>
      <c r="E60"/>
      <c r="F60"/>
      <c r="G60"/>
    </row>
    <row r="61" spans="1:12">
      <c r="A61"/>
      <c r="B61"/>
      <c r="C61"/>
      <c r="D61"/>
      <c r="E61"/>
      <c r="F61"/>
      <c r="G61"/>
    </row>
    <row r="62" spans="1:12">
      <c r="A62"/>
      <c r="B62"/>
      <c r="C62"/>
      <c r="D62"/>
      <c r="E62"/>
      <c r="F62"/>
      <c r="G62"/>
    </row>
    <row r="63" spans="1:12">
      <c r="A63"/>
      <c r="B63"/>
      <c r="C63"/>
      <c r="D63"/>
      <c r="E63"/>
      <c r="F63"/>
      <c r="G63"/>
    </row>
    <row r="64" spans="1:12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spans="1:7">
      <c r="A81"/>
      <c r="B81"/>
      <c r="C81"/>
      <c r="D81"/>
      <c r="E81"/>
      <c r="F81"/>
      <c r="G81"/>
    </row>
    <row r="82" spans="1:7">
      <c r="A82"/>
      <c r="B82"/>
      <c r="C82"/>
      <c r="D82"/>
      <c r="E82"/>
      <c r="F82"/>
      <c r="G82"/>
    </row>
    <row r="83" spans="1:7">
      <c r="A83"/>
      <c r="B83"/>
      <c r="C83"/>
      <c r="D83"/>
      <c r="E83"/>
      <c r="F83"/>
      <c r="G83"/>
    </row>
    <row r="84" spans="1:7">
      <c r="A84"/>
      <c r="B84"/>
      <c r="C84"/>
      <c r="D84"/>
      <c r="E84"/>
      <c r="F84"/>
      <c r="G84"/>
    </row>
    <row r="85" spans="1:7">
      <c r="A85"/>
      <c r="B85"/>
      <c r="C85"/>
      <c r="D85"/>
      <c r="E85"/>
      <c r="F85"/>
      <c r="G85"/>
    </row>
    <row r="86" spans="1:7">
      <c r="A86"/>
      <c r="B86"/>
      <c r="C86"/>
      <c r="D86"/>
      <c r="E86"/>
      <c r="F86"/>
      <c r="G86"/>
    </row>
    <row r="87" spans="1:7">
      <c r="A87"/>
      <c r="B87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>
      <c r="A89"/>
      <c r="B89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>
      <c r="A92"/>
      <c r="B92"/>
      <c r="C92"/>
      <c r="D92"/>
      <c r="E92"/>
      <c r="F92"/>
      <c r="G92"/>
    </row>
    <row r="93" spans="1:7">
      <c r="A93"/>
      <c r="B93"/>
      <c r="C93"/>
      <c r="D93"/>
      <c r="E93"/>
      <c r="F93"/>
      <c r="G93"/>
    </row>
    <row r="94" spans="1:7">
      <c r="A94"/>
      <c r="B94"/>
      <c r="C94"/>
      <c r="D94"/>
      <c r="E94"/>
      <c r="F94"/>
      <c r="G94"/>
    </row>
    <row r="95" spans="1:7">
      <c r="A95"/>
      <c r="B95"/>
      <c r="C95"/>
      <c r="D95"/>
      <c r="E95"/>
      <c r="F95"/>
      <c r="G95"/>
    </row>
    <row r="96" spans="1:7">
      <c r="A96"/>
      <c r="B96"/>
      <c r="C96"/>
      <c r="D96"/>
      <c r="E96"/>
      <c r="F96"/>
      <c r="G96"/>
    </row>
    <row r="97" spans="1:7">
      <c r="A97"/>
      <c r="B97"/>
      <c r="C97"/>
      <c r="D97"/>
      <c r="E97"/>
      <c r="F97"/>
      <c r="G97"/>
    </row>
    <row r="98" spans="1:7">
      <c r="A98"/>
      <c r="B98"/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/>
      <c r="B100"/>
      <c r="C100"/>
      <c r="D100"/>
      <c r="E100"/>
      <c r="F100"/>
      <c r="G100"/>
    </row>
    <row r="101" spans="1:7">
      <c r="A101"/>
      <c r="B101"/>
      <c r="C101"/>
      <c r="D101"/>
      <c r="E101"/>
      <c r="F101"/>
      <c r="G101"/>
    </row>
    <row r="102" spans="1:7">
      <c r="A102"/>
      <c r="B102"/>
      <c r="C102"/>
      <c r="D102"/>
      <c r="E102"/>
      <c r="F102"/>
      <c r="G102"/>
    </row>
    <row r="103" spans="1:7">
      <c r="A103"/>
      <c r="B103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  <row r="116" spans="1:7">
      <c r="A116"/>
      <c r="B116"/>
      <c r="C116"/>
      <c r="D116"/>
      <c r="E116"/>
      <c r="F116"/>
      <c r="G116"/>
    </row>
    <row r="117" spans="1:7">
      <c r="A117"/>
      <c r="B117"/>
      <c r="C117"/>
      <c r="D117"/>
      <c r="E117"/>
      <c r="F117"/>
      <c r="G117"/>
    </row>
    <row r="118" spans="1:7">
      <c r="A118"/>
      <c r="B118"/>
      <c r="C118"/>
      <c r="D118"/>
      <c r="E118"/>
      <c r="F118"/>
      <c r="G118"/>
    </row>
    <row r="119" spans="1:7">
      <c r="A119"/>
      <c r="B119"/>
      <c r="C119"/>
      <c r="D119"/>
      <c r="E119"/>
      <c r="F119"/>
      <c r="G119"/>
    </row>
    <row r="120" spans="1:7">
      <c r="A120"/>
      <c r="B120"/>
      <c r="C120"/>
      <c r="D120"/>
      <c r="E120"/>
      <c r="F120"/>
      <c r="G120"/>
    </row>
    <row r="121" spans="1:7">
      <c r="A121"/>
      <c r="B121"/>
      <c r="C121"/>
      <c r="D121"/>
      <c r="E121"/>
      <c r="F121"/>
      <c r="G121"/>
    </row>
    <row r="122" spans="1:7">
      <c r="A122"/>
      <c r="B122"/>
      <c r="C122"/>
      <c r="D122"/>
      <c r="E122"/>
      <c r="F122"/>
      <c r="G122"/>
    </row>
    <row r="123" spans="1:7">
      <c r="A123"/>
      <c r="B123"/>
      <c r="C123"/>
      <c r="D123"/>
      <c r="E123"/>
      <c r="F123"/>
      <c r="G123"/>
    </row>
    <row r="124" spans="1:7">
      <c r="A124"/>
      <c r="B124"/>
      <c r="C124"/>
      <c r="D124"/>
      <c r="E124"/>
      <c r="F124"/>
      <c r="G124"/>
    </row>
    <row r="125" spans="1:7">
      <c r="A125"/>
      <c r="B125"/>
      <c r="C125"/>
      <c r="D125"/>
      <c r="E125"/>
      <c r="F125"/>
      <c r="G125"/>
    </row>
    <row r="126" spans="1:7">
      <c r="A126"/>
      <c r="B126"/>
      <c r="C126"/>
      <c r="D126"/>
      <c r="E126"/>
      <c r="F126"/>
      <c r="G126"/>
    </row>
    <row r="127" spans="1:7">
      <c r="A127"/>
      <c r="B127"/>
      <c r="C127"/>
      <c r="D127"/>
      <c r="E127"/>
      <c r="F127"/>
      <c r="G127"/>
    </row>
    <row r="128" spans="1:7">
      <c r="A128"/>
      <c r="B128"/>
      <c r="C128"/>
      <c r="D128"/>
      <c r="E128"/>
      <c r="F128"/>
      <c r="G128"/>
    </row>
    <row r="129" spans="1:7">
      <c r="A129"/>
      <c r="B129"/>
      <c r="C129"/>
      <c r="D129"/>
      <c r="E129"/>
      <c r="F129"/>
      <c r="G129"/>
    </row>
    <row r="130" spans="1:7">
      <c r="A130"/>
      <c r="B130"/>
      <c r="C130"/>
      <c r="D130"/>
      <c r="E130"/>
      <c r="F130"/>
      <c r="G130"/>
    </row>
    <row r="131" spans="1:7">
      <c r="A131"/>
      <c r="B131"/>
      <c r="C131"/>
      <c r="D131"/>
      <c r="E131"/>
      <c r="F131"/>
      <c r="G131"/>
    </row>
    <row r="132" spans="1:7">
      <c r="A132"/>
      <c r="B132"/>
      <c r="C132"/>
      <c r="D132"/>
      <c r="E132"/>
      <c r="F132"/>
      <c r="G132"/>
    </row>
    <row r="133" spans="1:7">
      <c r="A133"/>
      <c r="B133"/>
      <c r="C133"/>
      <c r="D133"/>
      <c r="E133"/>
      <c r="F133"/>
      <c r="G133"/>
    </row>
    <row r="134" spans="1:7">
      <c r="A134"/>
      <c r="B134"/>
      <c r="C134"/>
      <c r="D134"/>
      <c r="E134"/>
      <c r="F134"/>
      <c r="G134"/>
    </row>
    <row r="135" spans="1:7">
      <c r="A135"/>
      <c r="B135"/>
      <c r="C135"/>
      <c r="D135"/>
      <c r="E135"/>
      <c r="F135"/>
      <c r="G135"/>
    </row>
    <row r="136" spans="1:7">
      <c r="A136"/>
      <c r="B136"/>
      <c r="C136"/>
      <c r="D136"/>
      <c r="E136"/>
      <c r="F136"/>
      <c r="G136"/>
    </row>
    <row r="137" spans="1:7">
      <c r="A137"/>
      <c r="B137"/>
      <c r="C137"/>
      <c r="D137"/>
      <c r="E137"/>
      <c r="F137"/>
      <c r="G137"/>
    </row>
    <row r="138" spans="1:7">
      <c r="A138"/>
      <c r="B138"/>
      <c r="C138"/>
      <c r="D138"/>
      <c r="E138"/>
      <c r="F138"/>
      <c r="G138"/>
    </row>
    <row r="139" spans="1:7">
      <c r="A139"/>
      <c r="B139"/>
      <c r="C139"/>
      <c r="D139"/>
      <c r="E139"/>
      <c r="F139"/>
      <c r="G139"/>
    </row>
    <row r="140" spans="1:7">
      <c r="A140"/>
      <c r="B140"/>
      <c r="C140"/>
      <c r="D140"/>
      <c r="E140"/>
      <c r="F140"/>
      <c r="G140"/>
    </row>
    <row r="141" spans="1:7">
      <c r="A141"/>
      <c r="B141"/>
      <c r="C141"/>
      <c r="D141"/>
      <c r="E141"/>
      <c r="F141"/>
      <c r="G141"/>
    </row>
    <row r="142" spans="1:7">
      <c r="A142"/>
      <c r="B142"/>
      <c r="C142"/>
      <c r="D142"/>
      <c r="E142"/>
      <c r="F142"/>
      <c r="G142"/>
    </row>
    <row r="143" spans="1:7">
      <c r="A143"/>
      <c r="B143"/>
      <c r="C143"/>
      <c r="D143"/>
      <c r="E143"/>
      <c r="F143"/>
      <c r="G143"/>
    </row>
    <row r="144" spans="1:7">
      <c r="A144"/>
      <c r="B144"/>
      <c r="C144"/>
      <c r="D144"/>
      <c r="E144"/>
      <c r="F144"/>
      <c r="G144"/>
    </row>
    <row r="145" spans="1:7">
      <c r="A145"/>
      <c r="B145"/>
      <c r="C145"/>
      <c r="D145"/>
      <c r="E145"/>
      <c r="F145"/>
      <c r="G145"/>
    </row>
    <row r="146" spans="1:7">
      <c r="A146"/>
      <c r="B146"/>
      <c r="C146"/>
      <c r="D146"/>
      <c r="E146"/>
      <c r="F146"/>
      <c r="G146"/>
    </row>
    <row r="147" spans="1:7">
      <c r="A147"/>
      <c r="B147"/>
      <c r="C147"/>
      <c r="D147"/>
      <c r="E147"/>
      <c r="F147"/>
      <c r="G147"/>
    </row>
    <row r="148" spans="1:7">
      <c r="A148"/>
      <c r="B148"/>
      <c r="C148"/>
      <c r="D148"/>
      <c r="E148"/>
      <c r="F148"/>
      <c r="G148"/>
    </row>
    <row r="149" spans="1:7">
      <c r="A149"/>
      <c r="B149"/>
      <c r="C149"/>
      <c r="D149"/>
      <c r="E149"/>
      <c r="F149"/>
      <c r="G149"/>
    </row>
    <row r="150" spans="1:7">
      <c r="A150"/>
      <c r="B150"/>
      <c r="C150"/>
      <c r="D150"/>
      <c r="E150"/>
      <c r="F150"/>
      <c r="G150"/>
    </row>
    <row r="151" spans="1:7">
      <c r="A151"/>
      <c r="B151"/>
      <c r="C151"/>
      <c r="D151"/>
      <c r="E151"/>
      <c r="F151"/>
      <c r="G151"/>
    </row>
    <row r="152" spans="1:7">
      <c r="A152"/>
      <c r="B152"/>
      <c r="C152"/>
      <c r="D152"/>
      <c r="E152"/>
      <c r="F152"/>
      <c r="G152"/>
    </row>
    <row r="153" spans="1:7">
      <c r="A153"/>
      <c r="B153"/>
      <c r="C153"/>
      <c r="D153"/>
      <c r="E153"/>
      <c r="F153"/>
      <c r="G153"/>
    </row>
    <row r="154" spans="1:7">
      <c r="A154"/>
      <c r="B154"/>
      <c r="C154"/>
      <c r="D154"/>
      <c r="E154"/>
      <c r="F154"/>
      <c r="G154"/>
    </row>
    <row r="155" spans="1:7">
      <c r="A155"/>
      <c r="B155"/>
      <c r="C155"/>
      <c r="D155"/>
      <c r="E155"/>
      <c r="F155"/>
      <c r="G155"/>
    </row>
    <row r="156" spans="1:7">
      <c r="A156"/>
      <c r="B156"/>
      <c r="C156"/>
      <c r="D156"/>
      <c r="E156"/>
      <c r="F156"/>
      <c r="G156"/>
    </row>
    <row r="157" spans="1:7">
      <c r="A157"/>
      <c r="B157"/>
      <c r="C157"/>
      <c r="D157"/>
      <c r="E157"/>
      <c r="F157"/>
      <c r="G157"/>
    </row>
    <row r="158" spans="1:7">
      <c r="A158"/>
      <c r="B158"/>
      <c r="C158"/>
      <c r="D158"/>
      <c r="E158"/>
      <c r="F158"/>
      <c r="G158"/>
    </row>
    <row r="159" spans="1:7">
      <c r="A159"/>
      <c r="B159"/>
      <c r="C159"/>
      <c r="D159"/>
      <c r="E159"/>
      <c r="F159"/>
      <c r="G159"/>
    </row>
    <row r="160" spans="1:7">
      <c r="A160"/>
      <c r="B160"/>
      <c r="C160"/>
      <c r="D160"/>
      <c r="E160"/>
      <c r="F160"/>
      <c r="G160"/>
    </row>
    <row r="161" spans="1:7">
      <c r="A161"/>
      <c r="B161"/>
      <c r="C161"/>
      <c r="D161"/>
      <c r="E161"/>
      <c r="F161"/>
      <c r="G161"/>
    </row>
    <row r="162" spans="1:7">
      <c r="A162"/>
      <c r="B162"/>
      <c r="C162"/>
      <c r="D162"/>
      <c r="E162"/>
      <c r="F162"/>
      <c r="G162"/>
    </row>
    <row r="163" spans="1:7">
      <c r="A163"/>
      <c r="B163"/>
      <c r="C163"/>
      <c r="D163"/>
      <c r="E163"/>
      <c r="F163"/>
      <c r="G163"/>
    </row>
    <row r="164" spans="1:7">
      <c r="A164"/>
      <c r="B164"/>
      <c r="C164"/>
      <c r="D164"/>
      <c r="E164"/>
      <c r="F164"/>
      <c r="G164"/>
    </row>
    <row r="165" spans="1:7">
      <c r="A165"/>
      <c r="B165"/>
      <c r="C165"/>
      <c r="D165"/>
      <c r="E165"/>
      <c r="F165"/>
      <c r="G165"/>
    </row>
    <row r="166" spans="1:7">
      <c r="A166"/>
      <c r="B166"/>
      <c r="C166"/>
      <c r="D166"/>
      <c r="E166"/>
      <c r="F166"/>
      <c r="G166"/>
    </row>
    <row r="167" spans="1:7">
      <c r="A167"/>
      <c r="B167"/>
      <c r="C167"/>
      <c r="D167"/>
      <c r="E167"/>
      <c r="F167"/>
      <c r="G167"/>
    </row>
    <row r="168" spans="1:7">
      <c r="A168"/>
      <c r="B168"/>
      <c r="C168"/>
      <c r="D168"/>
      <c r="E168"/>
      <c r="F168"/>
      <c r="G168"/>
    </row>
    <row r="169" spans="1:7">
      <c r="A169"/>
      <c r="B169"/>
      <c r="C169"/>
      <c r="D169"/>
      <c r="E169"/>
      <c r="F169"/>
      <c r="G169"/>
    </row>
    <row r="170" spans="1:7">
      <c r="A170"/>
      <c r="B170"/>
      <c r="C170"/>
      <c r="D170"/>
      <c r="E170"/>
      <c r="F170"/>
      <c r="G170"/>
    </row>
    <row r="171" spans="1:7">
      <c r="A171"/>
      <c r="B171"/>
      <c r="C171"/>
      <c r="D171"/>
      <c r="E171"/>
      <c r="F171"/>
      <c r="G171"/>
    </row>
    <row r="172" spans="1:7">
      <c r="A172"/>
      <c r="B172"/>
      <c r="C172"/>
      <c r="D172"/>
      <c r="E172"/>
      <c r="F172"/>
      <c r="G172"/>
    </row>
    <row r="173" spans="1:7">
      <c r="A173"/>
      <c r="B173"/>
      <c r="C173"/>
      <c r="D173"/>
      <c r="E173"/>
      <c r="F173"/>
      <c r="G173"/>
    </row>
    <row r="174" spans="1:7">
      <c r="A174"/>
      <c r="B174"/>
      <c r="C174"/>
      <c r="D174"/>
      <c r="E174"/>
      <c r="F174"/>
      <c r="G174"/>
    </row>
    <row r="175" spans="1:7">
      <c r="A175"/>
      <c r="B175"/>
      <c r="C175"/>
      <c r="D175"/>
      <c r="E175"/>
      <c r="F175"/>
      <c r="G175"/>
    </row>
    <row r="176" spans="1:7">
      <c r="A176"/>
      <c r="B176"/>
      <c r="C176"/>
      <c r="D176"/>
      <c r="E176"/>
      <c r="F176"/>
      <c r="G176"/>
    </row>
    <row r="177" spans="1:7">
      <c r="A177"/>
      <c r="B177"/>
      <c r="C177"/>
      <c r="D177"/>
      <c r="E177"/>
      <c r="F177"/>
      <c r="G177"/>
    </row>
    <row r="178" spans="1:7">
      <c r="A178"/>
      <c r="B178"/>
      <c r="C178"/>
      <c r="D178"/>
      <c r="E178"/>
      <c r="F178"/>
      <c r="G178"/>
    </row>
    <row r="179" spans="1:7">
      <c r="A179"/>
      <c r="B179"/>
      <c r="C179"/>
      <c r="D179"/>
      <c r="E179"/>
      <c r="F179"/>
      <c r="G179"/>
    </row>
    <row r="180" spans="1:7">
      <c r="A180"/>
      <c r="B180"/>
      <c r="C180"/>
      <c r="D180"/>
      <c r="E180"/>
      <c r="F180"/>
      <c r="G180"/>
    </row>
    <row r="181" spans="1:7">
      <c r="A181"/>
      <c r="B181"/>
      <c r="C181"/>
      <c r="D181"/>
      <c r="E181"/>
      <c r="F181"/>
      <c r="G181"/>
    </row>
    <row r="182" spans="1:7">
      <c r="A182"/>
      <c r="B182"/>
      <c r="C182"/>
      <c r="D182"/>
      <c r="E182"/>
      <c r="F182"/>
      <c r="G182"/>
    </row>
    <row r="183" spans="1:7">
      <c r="A183"/>
      <c r="B183"/>
      <c r="C183"/>
      <c r="D183"/>
      <c r="E183"/>
      <c r="F183"/>
      <c r="G183"/>
    </row>
    <row r="184" spans="1:7">
      <c r="A184"/>
      <c r="B184"/>
      <c r="C184"/>
      <c r="D184"/>
      <c r="E184"/>
      <c r="F184"/>
      <c r="G184"/>
    </row>
    <row r="185" spans="1:7">
      <c r="A185"/>
      <c r="B185"/>
      <c r="C185"/>
      <c r="D185"/>
      <c r="E185"/>
      <c r="F185"/>
      <c r="G185"/>
    </row>
    <row r="186" spans="1:7">
      <c r="A186"/>
      <c r="B186"/>
      <c r="C186"/>
      <c r="D186"/>
      <c r="E186"/>
      <c r="F186"/>
      <c r="G186"/>
    </row>
    <row r="187" spans="1:7">
      <c r="A187"/>
      <c r="B187"/>
      <c r="C187"/>
      <c r="D187"/>
      <c r="E187"/>
      <c r="F187"/>
      <c r="G187"/>
    </row>
    <row r="188" spans="1:7">
      <c r="A188"/>
      <c r="B188"/>
      <c r="C188"/>
      <c r="D188"/>
      <c r="E188"/>
      <c r="F188"/>
      <c r="G188"/>
    </row>
    <row r="189" spans="1:7">
      <c r="A189"/>
      <c r="B189"/>
      <c r="C189"/>
      <c r="D189"/>
      <c r="E189"/>
      <c r="F189"/>
      <c r="G189"/>
    </row>
    <row r="190" spans="1:7">
      <c r="A190"/>
      <c r="B190"/>
      <c r="C190"/>
      <c r="D190"/>
      <c r="E190"/>
      <c r="F190"/>
      <c r="G190"/>
    </row>
    <row r="191" spans="1:7">
      <c r="A191"/>
      <c r="B191"/>
      <c r="C191"/>
      <c r="D191"/>
      <c r="E191"/>
      <c r="F191"/>
      <c r="G191"/>
    </row>
    <row r="192" spans="1:7">
      <c r="A192"/>
      <c r="B192"/>
      <c r="C192"/>
      <c r="D192"/>
      <c r="E192"/>
      <c r="F192"/>
      <c r="G192"/>
    </row>
    <row r="193" spans="1:7">
      <c r="A193"/>
      <c r="B193"/>
      <c r="C193"/>
      <c r="D193"/>
      <c r="E193"/>
      <c r="F193"/>
      <c r="G193"/>
    </row>
    <row r="194" spans="1:7">
      <c r="A194"/>
      <c r="B194"/>
      <c r="C194"/>
      <c r="D194"/>
      <c r="E194"/>
      <c r="F194"/>
      <c r="G194"/>
    </row>
    <row r="195" spans="1:7">
      <c r="A195"/>
      <c r="B195"/>
      <c r="C195"/>
      <c r="D195"/>
      <c r="E195"/>
      <c r="F195"/>
      <c r="G195"/>
    </row>
    <row r="196" spans="1:7">
      <c r="A196"/>
      <c r="B196"/>
      <c r="C196"/>
      <c r="D196"/>
      <c r="E196"/>
      <c r="F196"/>
      <c r="G196"/>
    </row>
    <row r="197" spans="1:7">
      <c r="A197"/>
      <c r="B197"/>
      <c r="C197"/>
      <c r="D197"/>
      <c r="E197"/>
      <c r="F197"/>
      <c r="G197"/>
    </row>
    <row r="198" spans="1:7">
      <c r="A198"/>
      <c r="B198"/>
      <c r="C198"/>
      <c r="D198"/>
      <c r="E198"/>
      <c r="F198"/>
      <c r="G198"/>
    </row>
    <row r="199" spans="1:7">
      <c r="A199"/>
      <c r="B199"/>
      <c r="C199"/>
      <c r="D199"/>
      <c r="E199"/>
      <c r="F199"/>
      <c r="G199"/>
    </row>
    <row r="200" spans="1:7">
      <c r="A200"/>
      <c r="B200"/>
      <c r="C200"/>
      <c r="D200"/>
      <c r="E200"/>
      <c r="F200"/>
      <c r="G200"/>
    </row>
    <row r="201" spans="1:7">
      <c r="A201"/>
      <c r="B201"/>
      <c r="C201"/>
      <c r="D201"/>
      <c r="E201"/>
      <c r="F201"/>
      <c r="G201"/>
    </row>
    <row r="202" spans="1:7">
      <c r="A202"/>
      <c r="B202"/>
      <c r="C202"/>
      <c r="D202"/>
      <c r="E202"/>
      <c r="F202"/>
      <c r="G202"/>
    </row>
    <row r="203" spans="1:7">
      <c r="A203"/>
      <c r="B203"/>
      <c r="C203"/>
      <c r="D203"/>
      <c r="E203"/>
      <c r="F203"/>
      <c r="G203"/>
    </row>
    <row r="204" spans="1:7">
      <c r="A204"/>
      <c r="B204"/>
      <c r="C204"/>
      <c r="D204"/>
      <c r="E204"/>
      <c r="F204"/>
      <c r="G204"/>
    </row>
    <row r="205" spans="1:7">
      <c r="A205"/>
      <c r="B205"/>
      <c r="C205"/>
      <c r="D205"/>
      <c r="E205"/>
      <c r="F205"/>
      <c r="G205"/>
    </row>
    <row r="206" spans="1:7">
      <c r="A206"/>
      <c r="B206"/>
      <c r="C206"/>
      <c r="D206"/>
      <c r="E206"/>
      <c r="F206"/>
      <c r="G206"/>
    </row>
    <row r="207" spans="1:7">
      <c r="A207"/>
      <c r="B207"/>
      <c r="C207"/>
      <c r="D207"/>
      <c r="E207"/>
      <c r="F207"/>
      <c r="G207"/>
    </row>
    <row r="208" spans="1:7">
      <c r="A208"/>
      <c r="B208"/>
      <c r="C208"/>
      <c r="D208"/>
      <c r="E208"/>
      <c r="F208"/>
      <c r="G208"/>
    </row>
    <row r="209" spans="1:7">
      <c r="A209"/>
      <c r="B209"/>
      <c r="C209"/>
      <c r="D209"/>
      <c r="E209"/>
      <c r="F209"/>
      <c r="G209"/>
    </row>
    <row r="210" spans="1:7">
      <c r="A210"/>
      <c r="B210"/>
      <c r="C210"/>
      <c r="D210"/>
      <c r="E210"/>
      <c r="F210"/>
      <c r="G210"/>
    </row>
    <row r="211" spans="1:7">
      <c r="A211"/>
      <c r="B211"/>
      <c r="C211"/>
      <c r="D211"/>
      <c r="E211"/>
      <c r="F211"/>
      <c r="G211"/>
    </row>
    <row r="212" spans="1:7">
      <c r="A212"/>
      <c r="B212"/>
      <c r="C212"/>
      <c r="D212"/>
      <c r="E212"/>
      <c r="F212"/>
      <c r="G212"/>
    </row>
    <row r="213" spans="1:7">
      <c r="A213"/>
      <c r="B213"/>
      <c r="C213"/>
      <c r="D213"/>
      <c r="E213"/>
      <c r="F213"/>
      <c r="G213"/>
    </row>
    <row r="214" spans="1:7">
      <c r="A214"/>
      <c r="B214"/>
      <c r="C214"/>
      <c r="D214"/>
      <c r="E214"/>
      <c r="F214"/>
      <c r="G214"/>
    </row>
    <row r="215" spans="1:7">
      <c r="A215"/>
      <c r="B215"/>
      <c r="C215"/>
      <c r="D215"/>
      <c r="E215"/>
      <c r="F215"/>
      <c r="G215"/>
    </row>
    <row r="216" spans="1:7">
      <c r="A216"/>
      <c r="B216"/>
      <c r="C216"/>
      <c r="D216"/>
      <c r="E216"/>
      <c r="F216"/>
      <c r="G216"/>
    </row>
    <row r="217" spans="1:7">
      <c r="A217"/>
      <c r="B217"/>
      <c r="C217"/>
      <c r="D217"/>
      <c r="E217"/>
      <c r="F217"/>
      <c r="G217"/>
    </row>
    <row r="218" spans="1:7">
      <c r="A218"/>
      <c r="B218"/>
      <c r="C218"/>
      <c r="D218"/>
      <c r="E218"/>
      <c r="F218"/>
      <c r="G218"/>
    </row>
    <row r="219" spans="1:7">
      <c r="A219"/>
      <c r="B219"/>
      <c r="C219"/>
      <c r="D219"/>
      <c r="E219"/>
      <c r="F219"/>
      <c r="G219"/>
    </row>
    <row r="220" spans="1:7">
      <c r="A220"/>
      <c r="B220"/>
      <c r="C220"/>
      <c r="D220"/>
      <c r="E220"/>
      <c r="F220"/>
      <c r="G220"/>
    </row>
    <row r="221" spans="1:7">
      <c r="A221"/>
      <c r="B221"/>
      <c r="C221"/>
      <c r="D221"/>
      <c r="E221"/>
      <c r="F221"/>
      <c r="G221"/>
    </row>
    <row r="222" spans="1:7">
      <c r="A222"/>
      <c r="B222"/>
      <c r="C222"/>
      <c r="D222"/>
      <c r="E222"/>
      <c r="F222"/>
      <c r="G222"/>
    </row>
    <row r="223" spans="1:7">
      <c r="A223"/>
      <c r="B223"/>
      <c r="C223"/>
      <c r="D223"/>
      <c r="E223"/>
      <c r="F223"/>
      <c r="G223"/>
    </row>
    <row r="224" spans="1:7">
      <c r="A224"/>
      <c r="B224"/>
      <c r="C224"/>
      <c r="D224"/>
      <c r="E224"/>
      <c r="F224"/>
      <c r="G224"/>
    </row>
    <row r="225" spans="1:7">
      <c r="A225"/>
      <c r="B225"/>
      <c r="C225"/>
      <c r="D225"/>
      <c r="E225"/>
      <c r="F225"/>
      <c r="G225"/>
    </row>
    <row r="226" spans="1:7">
      <c r="A226"/>
      <c r="B226"/>
      <c r="C226"/>
      <c r="D226"/>
      <c r="E226"/>
      <c r="F226"/>
      <c r="G226"/>
    </row>
    <row r="227" spans="1:7">
      <c r="A227"/>
      <c r="B227"/>
      <c r="C227"/>
      <c r="D227"/>
      <c r="E227"/>
      <c r="F227"/>
      <c r="G227"/>
    </row>
    <row r="228" spans="1:7">
      <c r="A228"/>
      <c r="B228"/>
      <c r="C228"/>
      <c r="D228"/>
      <c r="E228"/>
      <c r="F228"/>
      <c r="G228"/>
    </row>
    <row r="229" spans="1:7">
      <c r="A229"/>
      <c r="B229"/>
      <c r="C229"/>
      <c r="D229"/>
      <c r="E229"/>
      <c r="F229"/>
      <c r="G229"/>
    </row>
    <row r="230" spans="1:7">
      <c r="A230"/>
      <c r="B230"/>
      <c r="C230"/>
      <c r="D230"/>
      <c r="E230"/>
      <c r="F230"/>
      <c r="G230"/>
    </row>
    <row r="231" spans="1:7">
      <c r="A231"/>
      <c r="B231"/>
      <c r="C231"/>
      <c r="D231"/>
      <c r="E231"/>
      <c r="F231"/>
      <c r="G231"/>
    </row>
    <row r="232" spans="1:7">
      <c r="A232"/>
      <c r="B232"/>
      <c r="C232"/>
      <c r="D232"/>
      <c r="E232"/>
      <c r="F232"/>
      <c r="G232"/>
    </row>
    <row r="233" spans="1:7">
      <c r="A233"/>
      <c r="B233"/>
      <c r="C233"/>
      <c r="D233"/>
      <c r="E233"/>
      <c r="F233"/>
      <c r="G233"/>
    </row>
    <row r="234" spans="1:7">
      <c r="A234"/>
      <c r="B234"/>
      <c r="C234"/>
      <c r="D234"/>
      <c r="E234"/>
      <c r="F234"/>
      <c r="G234"/>
    </row>
    <row r="235" spans="1:7">
      <c r="A235"/>
      <c r="B235"/>
      <c r="C235"/>
      <c r="D235"/>
      <c r="E235"/>
      <c r="F235"/>
      <c r="G235"/>
    </row>
    <row r="236" spans="1:7">
      <c r="A236"/>
      <c r="B236"/>
      <c r="C236"/>
      <c r="D236"/>
      <c r="E236"/>
      <c r="F236"/>
      <c r="G236"/>
    </row>
    <row r="237" spans="1:7">
      <c r="A237"/>
      <c r="B237"/>
      <c r="C237"/>
      <c r="D237"/>
      <c r="E237"/>
      <c r="F237"/>
      <c r="G237"/>
    </row>
    <row r="238" spans="1:7">
      <c r="A238"/>
      <c r="B238"/>
      <c r="C238"/>
      <c r="D238"/>
      <c r="E238"/>
      <c r="F238"/>
      <c r="G238"/>
    </row>
    <row r="239" spans="1:7">
      <c r="A239"/>
      <c r="B239"/>
      <c r="C239"/>
      <c r="D239"/>
      <c r="E239"/>
      <c r="F239"/>
      <c r="G239"/>
    </row>
    <row r="240" spans="1:7">
      <c r="A240"/>
      <c r="B240"/>
      <c r="C240"/>
      <c r="D240"/>
      <c r="E240"/>
      <c r="F240"/>
      <c r="G240"/>
    </row>
    <row r="241" spans="1:7">
      <c r="A241"/>
      <c r="B241"/>
      <c r="C241"/>
      <c r="D241"/>
      <c r="E241"/>
      <c r="F241"/>
      <c r="G241"/>
    </row>
    <row r="242" spans="1:7">
      <c r="A242"/>
      <c r="B242"/>
      <c r="C242"/>
      <c r="D242"/>
      <c r="E242"/>
      <c r="F242"/>
      <c r="G242"/>
    </row>
    <row r="243" spans="1:7">
      <c r="A243"/>
      <c r="B243"/>
      <c r="C243"/>
      <c r="D243"/>
      <c r="E243"/>
      <c r="F243"/>
      <c r="G243"/>
    </row>
    <row r="244" spans="1:7">
      <c r="A244"/>
      <c r="B244"/>
      <c r="C244"/>
      <c r="D244"/>
      <c r="E244"/>
      <c r="F244"/>
      <c r="G244"/>
    </row>
    <row r="245" spans="1:7">
      <c r="A245"/>
      <c r="B245"/>
      <c r="C245"/>
      <c r="D245"/>
      <c r="E245"/>
      <c r="F245"/>
      <c r="G245"/>
    </row>
    <row r="246" spans="1:7">
      <c r="A246"/>
      <c r="B246"/>
      <c r="C246"/>
      <c r="D246"/>
      <c r="E246"/>
      <c r="F246"/>
      <c r="G246"/>
    </row>
    <row r="247" spans="1:7">
      <c r="A247"/>
      <c r="B247"/>
      <c r="C247"/>
      <c r="D247"/>
      <c r="E247"/>
      <c r="F247"/>
      <c r="G247"/>
    </row>
    <row r="248" spans="1:7">
      <c r="A248"/>
      <c r="B248"/>
      <c r="C248"/>
      <c r="D248"/>
      <c r="E248"/>
      <c r="F248"/>
      <c r="G248"/>
    </row>
    <row r="249" spans="1:7">
      <c r="A249"/>
      <c r="B249"/>
      <c r="C249"/>
      <c r="D249"/>
      <c r="E249"/>
      <c r="F249"/>
      <c r="G249"/>
    </row>
    <row r="250" spans="1:7">
      <c r="A250"/>
      <c r="B250"/>
      <c r="C250"/>
      <c r="D250"/>
      <c r="E250"/>
      <c r="F250"/>
      <c r="G250"/>
    </row>
    <row r="251" spans="1:7">
      <c r="A251"/>
      <c r="B251"/>
      <c r="C251"/>
      <c r="D251"/>
      <c r="E251"/>
      <c r="F251"/>
      <c r="G251"/>
    </row>
    <row r="252" spans="1:7">
      <c r="A252"/>
      <c r="B252"/>
      <c r="C252"/>
      <c r="D252"/>
      <c r="E252"/>
      <c r="F252"/>
      <c r="G252"/>
    </row>
    <row r="253" spans="1:7">
      <c r="A253"/>
      <c r="B253"/>
      <c r="C253"/>
      <c r="D253"/>
      <c r="E253"/>
      <c r="F253"/>
      <c r="G253"/>
    </row>
    <row r="254" spans="1:7">
      <c r="A254"/>
      <c r="B254"/>
      <c r="C254"/>
      <c r="D254"/>
      <c r="E254"/>
      <c r="F254"/>
      <c r="G254"/>
    </row>
    <row r="255" spans="1:7">
      <c r="A255"/>
      <c r="B255"/>
      <c r="C255"/>
      <c r="D255"/>
      <c r="E255"/>
      <c r="F255"/>
      <c r="G255"/>
    </row>
    <row r="256" spans="1:7">
      <c r="A256"/>
      <c r="B256"/>
      <c r="C256"/>
      <c r="D256"/>
      <c r="E256"/>
      <c r="F256"/>
      <c r="G256"/>
    </row>
    <row r="257" spans="1:7">
      <c r="A257"/>
      <c r="B257"/>
      <c r="C257"/>
      <c r="D257"/>
      <c r="E257"/>
      <c r="F257"/>
      <c r="G257"/>
    </row>
    <row r="258" spans="1:7">
      <c r="A258"/>
      <c r="B258"/>
      <c r="C258"/>
      <c r="D258"/>
      <c r="E258"/>
      <c r="F258"/>
      <c r="G258"/>
    </row>
    <row r="259" spans="1:7">
      <c r="A259"/>
      <c r="B259"/>
      <c r="C259"/>
      <c r="D259"/>
      <c r="E259"/>
      <c r="F259"/>
      <c r="G259"/>
    </row>
    <row r="260" spans="1:7">
      <c r="A260"/>
      <c r="B260"/>
      <c r="C260"/>
      <c r="D260"/>
      <c r="E260"/>
      <c r="F260"/>
      <c r="G260"/>
    </row>
    <row r="261" spans="1:7">
      <c r="A261"/>
      <c r="B261"/>
      <c r="C261"/>
      <c r="D261"/>
      <c r="E261"/>
      <c r="F261"/>
      <c r="G261"/>
    </row>
    <row r="262" spans="1:7">
      <c r="A262"/>
      <c r="B262"/>
      <c r="C262"/>
      <c r="D262"/>
      <c r="E262"/>
      <c r="F262"/>
      <c r="G262"/>
    </row>
    <row r="263" spans="1:7">
      <c r="A263"/>
      <c r="B263"/>
      <c r="C263"/>
      <c r="D263"/>
      <c r="E263"/>
      <c r="F263"/>
      <c r="G263"/>
    </row>
    <row r="264" spans="1:7">
      <c r="A264"/>
      <c r="B264"/>
      <c r="C264"/>
      <c r="D264"/>
      <c r="E264"/>
      <c r="F264"/>
      <c r="G264"/>
    </row>
    <row r="265" spans="1:7">
      <c r="A265"/>
      <c r="B265"/>
      <c r="C265"/>
      <c r="D265"/>
      <c r="E265"/>
      <c r="F265"/>
      <c r="G265"/>
    </row>
    <row r="266" spans="1:7">
      <c r="A266"/>
      <c r="B266"/>
      <c r="C266"/>
      <c r="D266"/>
      <c r="E266"/>
      <c r="F266"/>
      <c r="G266"/>
    </row>
    <row r="267" spans="1:7">
      <c r="A267"/>
      <c r="B267"/>
      <c r="C267"/>
      <c r="D267"/>
      <c r="E267"/>
      <c r="F267"/>
      <c r="G267"/>
    </row>
    <row r="268" spans="1:7">
      <c r="A268"/>
      <c r="B268"/>
      <c r="C268"/>
      <c r="D268"/>
      <c r="E268"/>
      <c r="F268"/>
      <c r="G268"/>
    </row>
    <row r="269" spans="1:7">
      <c r="A269"/>
      <c r="B269"/>
      <c r="C269"/>
      <c r="D269"/>
      <c r="E269"/>
      <c r="F269"/>
      <c r="G269"/>
    </row>
    <row r="270" spans="1:7">
      <c r="A270"/>
      <c r="B270"/>
      <c r="C270"/>
      <c r="D270"/>
      <c r="E270"/>
      <c r="F270"/>
      <c r="G270"/>
    </row>
    <row r="271" spans="1:7">
      <c r="A271"/>
      <c r="B271"/>
      <c r="C271"/>
      <c r="D271"/>
      <c r="E271"/>
      <c r="F271"/>
      <c r="G271"/>
    </row>
    <row r="272" spans="1:7">
      <c r="A272"/>
      <c r="B272"/>
      <c r="C272"/>
      <c r="D272"/>
      <c r="E272"/>
      <c r="F272"/>
      <c r="G272"/>
    </row>
    <row r="273" spans="1:7">
      <c r="A273"/>
      <c r="B273"/>
      <c r="C273"/>
      <c r="D273"/>
      <c r="E273"/>
      <c r="F273"/>
      <c r="G273"/>
    </row>
    <row r="274" spans="1:7">
      <c r="A274"/>
      <c r="B274"/>
      <c r="C274"/>
      <c r="D274"/>
      <c r="E274"/>
      <c r="F274"/>
      <c r="G274"/>
    </row>
    <row r="275" spans="1:7">
      <c r="A275"/>
      <c r="B275"/>
      <c r="C275"/>
      <c r="D275"/>
      <c r="E275"/>
      <c r="F275"/>
      <c r="G275"/>
    </row>
    <row r="276" spans="1:7">
      <c r="A276"/>
      <c r="B276"/>
      <c r="C276"/>
      <c r="D276"/>
      <c r="E276"/>
      <c r="F276"/>
      <c r="G276"/>
    </row>
    <row r="277" spans="1:7">
      <c r="A277"/>
      <c r="B277"/>
      <c r="C277"/>
      <c r="D277"/>
      <c r="E277"/>
      <c r="F277"/>
      <c r="G277"/>
    </row>
    <row r="278" spans="1:7">
      <c r="A278"/>
      <c r="B278"/>
      <c r="C278"/>
      <c r="D278"/>
      <c r="E278"/>
      <c r="F278"/>
      <c r="G278"/>
    </row>
    <row r="279" spans="1:7">
      <c r="A279"/>
      <c r="B279"/>
      <c r="C279"/>
      <c r="D279"/>
      <c r="E279"/>
      <c r="F279"/>
      <c r="G279"/>
    </row>
    <row r="280" spans="1:7">
      <c r="A280"/>
      <c r="B280"/>
      <c r="C280"/>
      <c r="D280"/>
      <c r="E280"/>
      <c r="F280"/>
      <c r="G280"/>
    </row>
    <row r="281" spans="1:7">
      <c r="A281"/>
      <c r="B281"/>
      <c r="C281"/>
      <c r="D281"/>
      <c r="E281"/>
      <c r="F281"/>
      <c r="G281"/>
    </row>
    <row r="282" spans="1:7">
      <c r="A282"/>
      <c r="B282"/>
      <c r="C282"/>
      <c r="D282"/>
      <c r="E282"/>
      <c r="F282"/>
      <c r="G282"/>
    </row>
    <row r="283" spans="1:7">
      <c r="A283"/>
      <c r="B283"/>
      <c r="C283"/>
      <c r="D283"/>
      <c r="E283"/>
      <c r="F283"/>
      <c r="G283"/>
    </row>
    <row r="284" spans="1:7">
      <c r="A284"/>
      <c r="B284"/>
      <c r="C284"/>
      <c r="D284"/>
      <c r="E284"/>
      <c r="F284"/>
      <c r="G284"/>
    </row>
    <row r="285" spans="1:7">
      <c r="A285"/>
      <c r="B285"/>
      <c r="C285"/>
      <c r="D285"/>
      <c r="E285"/>
      <c r="F285"/>
      <c r="G285"/>
    </row>
    <row r="286" spans="1:7">
      <c r="A286"/>
      <c r="B286"/>
      <c r="C286"/>
      <c r="D286"/>
      <c r="E286"/>
      <c r="F286"/>
      <c r="G286"/>
    </row>
    <row r="287" spans="1:7">
      <c r="A287"/>
      <c r="B287"/>
      <c r="C287"/>
      <c r="D287"/>
      <c r="E287"/>
      <c r="F287"/>
      <c r="G287"/>
    </row>
    <row r="288" spans="1:7">
      <c r="A288"/>
      <c r="B288"/>
      <c r="C288"/>
      <c r="D288"/>
      <c r="E288"/>
      <c r="F288"/>
      <c r="G288"/>
    </row>
    <row r="289" spans="1:7">
      <c r="A289"/>
      <c r="B289"/>
      <c r="C289"/>
      <c r="D289"/>
      <c r="E289"/>
      <c r="F289"/>
      <c r="G289"/>
    </row>
    <row r="290" spans="1:7">
      <c r="A290"/>
      <c r="B290"/>
      <c r="C290"/>
      <c r="D290"/>
      <c r="E290"/>
      <c r="F290"/>
      <c r="G290"/>
    </row>
    <row r="291" spans="1:7">
      <c r="A291"/>
      <c r="B291"/>
      <c r="C291"/>
      <c r="D291"/>
      <c r="E291"/>
      <c r="F291"/>
      <c r="G291"/>
    </row>
    <row r="292" spans="1:7">
      <c r="A292"/>
      <c r="B292"/>
      <c r="C292"/>
      <c r="D292"/>
      <c r="E292"/>
      <c r="F292"/>
      <c r="G292"/>
    </row>
    <row r="293" spans="1:7">
      <c r="A293"/>
      <c r="B293"/>
      <c r="C293"/>
      <c r="D293"/>
      <c r="E293"/>
      <c r="F293"/>
      <c r="G293"/>
    </row>
    <row r="294" spans="1:7">
      <c r="A294"/>
      <c r="B294"/>
      <c r="C294"/>
      <c r="D294"/>
      <c r="E294"/>
      <c r="F294"/>
      <c r="G294"/>
    </row>
    <row r="295" spans="1:7">
      <c r="A295"/>
      <c r="B295"/>
      <c r="C295"/>
      <c r="D295"/>
      <c r="E295"/>
      <c r="F295"/>
      <c r="G295"/>
    </row>
    <row r="296" spans="1:7">
      <c r="A296"/>
      <c r="B296"/>
      <c r="C296"/>
      <c r="D296"/>
      <c r="E296"/>
      <c r="F296"/>
      <c r="G296"/>
    </row>
    <row r="297" spans="1:7">
      <c r="A297"/>
      <c r="B297"/>
      <c r="C297"/>
      <c r="D297"/>
      <c r="E297"/>
      <c r="F297"/>
      <c r="G297"/>
    </row>
    <row r="298" spans="1:7">
      <c r="A298"/>
      <c r="B298"/>
      <c r="C298"/>
      <c r="D298"/>
      <c r="E298"/>
      <c r="F298"/>
      <c r="G298"/>
    </row>
    <row r="299" spans="1:7">
      <c r="A299"/>
      <c r="B299"/>
      <c r="C299"/>
      <c r="D299"/>
      <c r="E299"/>
      <c r="F299"/>
      <c r="G299"/>
    </row>
    <row r="300" spans="1:7">
      <c r="A300"/>
      <c r="B300"/>
      <c r="C300"/>
      <c r="D300"/>
      <c r="E300"/>
      <c r="F300"/>
      <c r="G300"/>
    </row>
    <row r="301" spans="1:7">
      <c r="A301"/>
      <c r="B301"/>
      <c r="C301"/>
      <c r="D301"/>
      <c r="E301"/>
      <c r="F301"/>
      <c r="G301"/>
    </row>
    <row r="302" spans="1:7">
      <c r="A302"/>
      <c r="B302"/>
      <c r="C302"/>
      <c r="D302"/>
      <c r="E302"/>
      <c r="F302"/>
      <c r="G302"/>
    </row>
    <row r="303" spans="1:7">
      <c r="A303"/>
      <c r="B303"/>
      <c r="C303"/>
      <c r="D303"/>
      <c r="E303"/>
      <c r="F303"/>
      <c r="G303"/>
    </row>
    <row r="304" spans="1:7">
      <c r="A304"/>
      <c r="B304"/>
      <c r="C304"/>
      <c r="D304"/>
      <c r="E304"/>
      <c r="F304"/>
      <c r="G304"/>
    </row>
    <row r="305" spans="1:7">
      <c r="A305"/>
      <c r="B305"/>
      <c r="C305"/>
      <c r="D305"/>
      <c r="E305"/>
      <c r="F305"/>
      <c r="G305"/>
    </row>
    <row r="306" spans="1:7">
      <c r="A306"/>
      <c r="B306"/>
      <c r="C306"/>
      <c r="D306"/>
      <c r="E306"/>
      <c r="F306"/>
      <c r="G306"/>
    </row>
    <row r="307" spans="1:7">
      <c r="A307"/>
      <c r="B307"/>
      <c r="C307"/>
      <c r="D307"/>
      <c r="E307"/>
      <c r="F307"/>
      <c r="G307"/>
    </row>
    <row r="308" spans="1:7">
      <c r="A308"/>
      <c r="B308"/>
      <c r="C308"/>
      <c r="D308"/>
      <c r="E308"/>
      <c r="F308"/>
      <c r="G308"/>
    </row>
    <row r="309" spans="1:7">
      <c r="A309"/>
      <c r="B309"/>
      <c r="C309"/>
      <c r="D309"/>
      <c r="E309"/>
      <c r="F309"/>
      <c r="G309"/>
    </row>
    <row r="310" spans="1:7">
      <c r="A310"/>
      <c r="B310"/>
      <c r="C310"/>
      <c r="D310"/>
      <c r="E310"/>
      <c r="F310"/>
      <c r="G310"/>
    </row>
    <row r="311" spans="1:7">
      <c r="A311"/>
      <c r="B311"/>
      <c r="C311"/>
      <c r="D311"/>
      <c r="E311"/>
      <c r="F311"/>
      <c r="G311"/>
    </row>
    <row r="312" spans="1:7">
      <c r="A312"/>
      <c r="B312"/>
      <c r="C312"/>
      <c r="D312"/>
      <c r="E312"/>
      <c r="F312"/>
      <c r="G312"/>
    </row>
    <row r="313" spans="1:7">
      <c r="A313"/>
      <c r="B313"/>
      <c r="C313"/>
      <c r="D313"/>
      <c r="E313"/>
      <c r="F313"/>
      <c r="G313"/>
    </row>
    <row r="314" spans="1:7">
      <c r="A314"/>
      <c r="B314"/>
      <c r="C314"/>
      <c r="D314"/>
      <c r="E314"/>
      <c r="F314"/>
      <c r="G314"/>
    </row>
    <row r="315" spans="1:7">
      <c r="A315"/>
      <c r="B315"/>
      <c r="C315"/>
      <c r="D315"/>
      <c r="E315"/>
      <c r="F315"/>
      <c r="G315"/>
    </row>
    <row r="316" spans="1:7">
      <c r="A316"/>
      <c r="B316"/>
      <c r="C316"/>
      <c r="D316"/>
      <c r="E316"/>
      <c r="F316"/>
      <c r="G316"/>
    </row>
    <row r="317" spans="1:7">
      <c r="A317"/>
      <c r="B317"/>
      <c r="C317"/>
      <c r="D317"/>
      <c r="E317"/>
      <c r="F317"/>
      <c r="G317"/>
    </row>
    <row r="318" spans="1:7">
      <c r="A318"/>
      <c r="B318"/>
      <c r="C318"/>
      <c r="D318"/>
      <c r="E318"/>
      <c r="F318"/>
      <c r="G318"/>
    </row>
    <row r="319" spans="1:7">
      <c r="A319"/>
      <c r="B319"/>
      <c r="C319"/>
      <c r="D319"/>
      <c r="E319"/>
      <c r="F319"/>
      <c r="G319"/>
    </row>
    <row r="320" spans="1:7">
      <c r="A320"/>
      <c r="B320"/>
      <c r="C320"/>
      <c r="D320"/>
      <c r="E320"/>
      <c r="F320"/>
      <c r="G320"/>
    </row>
    <row r="321" spans="1:7">
      <c r="A321"/>
      <c r="B321"/>
      <c r="C321"/>
      <c r="D321"/>
      <c r="E321"/>
      <c r="F321"/>
      <c r="G321"/>
    </row>
    <row r="322" spans="1:7">
      <c r="A322"/>
      <c r="B322"/>
      <c r="C322"/>
      <c r="D322"/>
      <c r="E322"/>
      <c r="F322"/>
      <c r="G322"/>
    </row>
    <row r="323" spans="1:7">
      <c r="A323"/>
      <c r="B323"/>
      <c r="C323"/>
      <c r="D323"/>
      <c r="E323"/>
      <c r="F323"/>
      <c r="G323"/>
    </row>
    <row r="324" spans="1:7">
      <c r="A324"/>
      <c r="B324"/>
      <c r="C324"/>
      <c r="D324"/>
      <c r="E324"/>
      <c r="F324"/>
      <c r="G324"/>
    </row>
    <row r="325" spans="1:7">
      <c r="A325"/>
      <c r="B325"/>
      <c r="C325"/>
      <c r="D325"/>
      <c r="E325"/>
      <c r="F325"/>
      <c r="G325"/>
    </row>
    <row r="326" spans="1:7">
      <c r="A326"/>
      <c r="B326"/>
      <c r="C326"/>
      <c r="D326"/>
      <c r="E326"/>
      <c r="F326"/>
      <c r="G326"/>
    </row>
    <row r="327" spans="1:7">
      <c r="A327"/>
      <c r="B327"/>
      <c r="C327"/>
      <c r="D327"/>
      <c r="E327"/>
      <c r="F327"/>
      <c r="G327"/>
    </row>
    <row r="328" spans="1:7">
      <c r="A328"/>
      <c r="B328"/>
      <c r="C328"/>
      <c r="D328"/>
      <c r="E328"/>
      <c r="F328"/>
      <c r="G328"/>
    </row>
    <row r="329" spans="1:7">
      <c r="A329"/>
      <c r="B329"/>
      <c r="C329"/>
      <c r="D329"/>
      <c r="E329"/>
      <c r="F329"/>
      <c r="G329"/>
    </row>
    <row r="330" spans="1:7">
      <c r="A330"/>
      <c r="B330"/>
      <c r="C330"/>
      <c r="D330"/>
      <c r="E330"/>
      <c r="F330"/>
      <c r="G330"/>
    </row>
    <row r="331" spans="1:7">
      <c r="A331"/>
      <c r="B331"/>
      <c r="C331"/>
      <c r="D331"/>
      <c r="E331"/>
      <c r="F331"/>
      <c r="G331"/>
    </row>
    <row r="332" spans="1:7">
      <c r="A332"/>
      <c r="B332"/>
      <c r="C332"/>
      <c r="D332"/>
      <c r="E332"/>
      <c r="F332"/>
      <c r="G332"/>
    </row>
    <row r="333" spans="1:7">
      <c r="A333"/>
      <c r="B333"/>
      <c r="C333"/>
      <c r="D333"/>
      <c r="E333"/>
      <c r="F333"/>
      <c r="G333"/>
    </row>
    <row r="334" spans="1:7">
      <c r="A334"/>
      <c r="B334"/>
      <c r="C334"/>
      <c r="D334"/>
      <c r="E334"/>
      <c r="F334"/>
      <c r="G334"/>
    </row>
    <row r="335" spans="1:7">
      <c r="A335"/>
      <c r="B335"/>
      <c r="C335"/>
      <c r="D335"/>
      <c r="E335"/>
      <c r="F335"/>
      <c r="G335"/>
    </row>
    <row r="336" spans="1:7">
      <c r="A336"/>
      <c r="B336"/>
      <c r="C336"/>
      <c r="D336"/>
      <c r="E336"/>
      <c r="F336"/>
      <c r="G336"/>
    </row>
    <row r="337" spans="1:7">
      <c r="A337"/>
      <c r="B337"/>
      <c r="C337"/>
      <c r="D337"/>
      <c r="E337"/>
      <c r="F337"/>
      <c r="G337"/>
    </row>
    <row r="338" spans="1:7">
      <c r="A338"/>
      <c r="B338"/>
      <c r="C338"/>
      <c r="D338"/>
      <c r="E338"/>
      <c r="F338"/>
      <c r="G338"/>
    </row>
    <row r="339" spans="1:7">
      <c r="A339"/>
      <c r="B339"/>
      <c r="C339"/>
      <c r="D339"/>
      <c r="E339"/>
      <c r="F339"/>
      <c r="G339"/>
    </row>
    <row r="340" spans="1:7">
      <c r="A340"/>
      <c r="B340"/>
      <c r="C340"/>
      <c r="D340"/>
      <c r="E340"/>
      <c r="F340"/>
      <c r="G340"/>
    </row>
    <row r="341" spans="1:7">
      <c r="A341"/>
      <c r="B341"/>
      <c r="C341"/>
      <c r="D341"/>
      <c r="E341"/>
      <c r="F341"/>
      <c r="G341"/>
    </row>
    <row r="342" spans="1:7">
      <c r="A342"/>
      <c r="B342"/>
      <c r="C342"/>
      <c r="D342"/>
      <c r="E342"/>
      <c r="F342"/>
      <c r="G342"/>
    </row>
    <row r="343" spans="1:7">
      <c r="A343"/>
      <c r="B343"/>
      <c r="C343"/>
      <c r="D343"/>
      <c r="E343"/>
      <c r="F343"/>
      <c r="G343"/>
    </row>
    <row r="344" spans="1:7">
      <c r="A344"/>
      <c r="B344"/>
      <c r="C344"/>
      <c r="D344"/>
      <c r="E344"/>
      <c r="F344"/>
      <c r="G344"/>
    </row>
    <row r="345" spans="1:7">
      <c r="A345"/>
      <c r="B345"/>
      <c r="C345"/>
      <c r="D345"/>
      <c r="E345"/>
      <c r="F345"/>
      <c r="G345"/>
    </row>
    <row r="346" spans="1:7">
      <c r="A346"/>
      <c r="B346"/>
      <c r="C346"/>
      <c r="D346"/>
      <c r="E346"/>
      <c r="F346"/>
      <c r="G346"/>
    </row>
    <row r="347" spans="1:7">
      <c r="A347"/>
      <c r="B347"/>
      <c r="C347"/>
      <c r="D347"/>
      <c r="E347"/>
      <c r="F347"/>
      <c r="G347"/>
    </row>
    <row r="348" spans="1:7">
      <c r="A348"/>
      <c r="B348"/>
      <c r="C348"/>
      <c r="D348"/>
      <c r="E348"/>
      <c r="F348"/>
      <c r="G348"/>
    </row>
    <row r="349" spans="1:7">
      <c r="A349"/>
      <c r="B349"/>
      <c r="C349"/>
      <c r="D349"/>
      <c r="E349"/>
      <c r="F349"/>
      <c r="G349"/>
    </row>
    <row r="350" spans="1:7">
      <c r="A350"/>
      <c r="B350"/>
      <c r="C350"/>
      <c r="D350"/>
      <c r="E350"/>
      <c r="F350"/>
      <c r="G350"/>
    </row>
    <row r="351" spans="1:7">
      <c r="A351"/>
      <c r="B351"/>
      <c r="C351"/>
      <c r="D351"/>
      <c r="E351"/>
      <c r="F351"/>
      <c r="G351"/>
    </row>
    <row r="352" spans="1:7">
      <c r="A352"/>
      <c r="B352"/>
      <c r="C352"/>
      <c r="D352"/>
      <c r="E352"/>
      <c r="F352"/>
      <c r="G352"/>
    </row>
    <row r="353" spans="1:7">
      <c r="A353"/>
      <c r="B353"/>
      <c r="C353"/>
      <c r="D353"/>
      <c r="E353"/>
      <c r="F353"/>
      <c r="G353"/>
    </row>
    <row r="354" spans="1:7">
      <c r="A354"/>
      <c r="B354"/>
      <c r="C354"/>
      <c r="D354"/>
      <c r="E354"/>
      <c r="F354"/>
      <c r="G354"/>
    </row>
    <row r="355" spans="1:7">
      <c r="A355"/>
      <c r="B355"/>
      <c r="C355"/>
      <c r="D355"/>
      <c r="E355"/>
      <c r="F355"/>
      <c r="G355"/>
    </row>
    <row r="356" spans="1:7">
      <c r="A356"/>
      <c r="B356"/>
      <c r="C356"/>
      <c r="D356"/>
      <c r="E356"/>
      <c r="F356"/>
      <c r="G356"/>
    </row>
    <row r="357" spans="1:7">
      <c r="A357"/>
      <c r="B357"/>
      <c r="C357"/>
      <c r="D357"/>
      <c r="E357"/>
      <c r="F357"/>
      <c r="G357"/>
    </row>
    <row r="358" spans="1:7">
      <c r="A358"/>
      <c r="B358"/>
      <c r="C358"/>
      <c r="D358"/>
      <c r="E358"/>
      <c r="F358"/>
      <c r="G358"/>
    </row>
    <row r="359" spans="1:7">
      <c r="A359"/>
      <c r="B359"/>
      <c r="C359"/>
      <c r="D359"/>
      <c r="E359"/>
      <c r="F359"/>
      <c r="G359"/>
    </row>
    <row r="360" spans="1:7">
      <c r="A360"/>
      <c r="B360"/>
      <c r="C360"/>
      <c r="D360"/>
      <c r="E360"/>
      <c r="F360"/>
      <c r="G360"/>
    </row>
    <row r="361" spans="1:7">
      <c r="A361"/>
      <c r="B361"/>
      <c r="C361"/>
      <c r="D361"/>
      <c r="E361"/>
      <c r="F361"/>
      <c r="G361"/>
    </row>
    <row r="362" spans="1:7">
      <c r="A362"/>
      <c r="B362"/>
      <c r="C362"/>
      <c r="D362"/>
      <c r="E362"/>
      <c r="F362"/>
      <c r="G362"/>
    </row>
    <row r="363" spans="1:7">
      <c r="A363"/>
      <c r="B363"/>
      <c r="C363"/>
      <c r="D363"/>
      <c r="E363"/>
      <c r="F363"/>
      <c r="G363"/>
    </row>
    <row r="364" spans="1:7">
      <c r="A364"/>
      <c r="B364"/>
      <c r="C364"/>
      <c r="D364"/>
      <c r="E364"/>
      <c r="F364"/>
      <c r="G364"/>
    </row>
    <row r="365" spans="1:7">
      <c r="A365"/>
      <c r="B365"/>
      <c r="C365"/>
      <c r="D365"/>
      <c r="E365"/>
      <c r="F365"/>
      <c r="G365"/>
    </row>
    <row r="366" spans="1:7">
      <c r="A366"/>
      <c r="B366"/>
      <c r="C366"/>
      <c r="D366"/>
      <c r="E366"/>
      <c r="F366"/>
      <c r="G366"/>
    </row>
    <row r="367" spans="1:7">
      <c r="A367"/>
      <c r="B367"/>
      <c r="C367"/>
      <c r="D367"/>
      <c r="E367"/>
      <c r="F367"/>
      <c r="G367"/>
    </row>
    <row r="368" spans="1:7">
      <c r="A368"/>
      <c r="B368"/>
      <c r="C368"/>
      <c r="D368"/>
      <c r="E368"/>
      <c r="F368"/>
      <c r="G368"/>
    </row>
    <row r="369" spans="1:7">
      <c r="A369"/>
      <c r="B369"/>
      <c r="C369"/>
      <c r="D369"/>
      <c r="E369"/>
      <c r="F369"/>
      <c r="G369"/>
    </row>
    <row r="370" spans="1:7">
      <c r="A370"/>
      <c r="B370"/>
      <c r="C370"/>
      <c r="D370"/>
      <c r="E370"/>
      <c r="F370"/>
      <c r="G370"/>
    </row>
    <row r="371" spans="1:7">
      <c r="A371"/>
      <c r="B371"/>
      <c r="C371"/>
      <c r="D371"/>
      <c r="E371"/>
      <c r="F371"/>
      <c r="G371"/>
    </row>
    <row r="372" spans="1:7">
      <c r="A372"/>
      <c r="B372"/>
      <c r="C372"/>
      <c r="D372"/>
      <c r="E372"/>
      <c r="F372"/>
      <c r="G372"/>
    </row>
    <row r="373" spans="1:7">
      <c r="A373"/>
      <c r="B373"/>
      <c r="C373"/>
      <c r="D373"/>
      <c r="E373"/>
      <c r="F373"/>
      <c r="G373"/>
    </row>
    <row r="374" spans="1:7">
      <c r="A374"/>
      <c r="B374"/>
      <c r="C374"/>
      <c r="D374"/>
      <c r="E374"/>
      <c r="F374"/>
      <c r="G374"/>
    </row>
    <row r="375" spans="1:7">
      <c r="A375"/>
      <c r="B375"/>
      <c r="C375"/>
      <c r="D375"/>
      <c r="E375"/>
      <c r="F375"/>
      <c r="G375"/>
    </row>
    <row r="376" spans="1:7">
      <c r="A376"/>
      <c r="B376"/>
      <c r="C376"/>
      <c r="D376"/>
      <c r="E376"/>
      <c r="F376"/>
      <c r="G376"/>
    </row>
    <row r="377" spans="1:7">
      <c r="A377"/>
      <c r="B377"/>
      <c r="C377"/>
      <c r="D377"/>
      <c r="E377"/>
      <c r="F377"/>
      <c r="G377"/>
    </row>
    <row r="378" spans="1:7">
      <c r="A378"/>
      <c r="B378"/>
      <c r="C378"/>
      <c r="D378"/>
      <c r="E378"/>
      <c r="F378"/>
      <c r="G378"/>
    </row>
    <row r="379" spans="1:7">
      <c r="A379"/>
      <c r="B379"/>
      <c r="C379"/>
      <c r="D379"/>
      <c r="E379"/>
      <c r="F379"/>
      <c r="G379"/>
    </row>
    <row r="380" spans="1:7">
      <c r="A380"/>
      <c r="B380"/>
      <c r="C380"/>
      <c r="D380"/>
      <c r="E380"/>
      <c r="F380"/>
      <c r="G380"/>
    </row>
    <row r="381" spans="1:7">
      <c r="A381"/>
      <c r="B381"/>
      <c r="C381"/>
      <c r="D381"/>
      <c r="E381"/>
      <c r="F381"/>
      <c r="G381"/>
    </row>
    <row r="382" spans="1:7">
      <c r="A382"/>
      <c r="B382"/>
      <c r="C382"/>
      <c r="D382"/>
      <c r="E382"/>
      <c r="F382"/>
      <c r="G382"/>
    </row>
    <row r="383" spans="1:7">
      <c r="A383"/>
      <c r="B383"/>
      <c r="C383"/>
      <c r="D383"/>
      <c r="E383"/>
      <c r="F383"/>
      <c r="G383"/>
    </row>
    <row r="384" spans="1:7">
      <c r="A384"/>
      <c r="B384"/>
      <c r="C384"/>
      <c r="D384"/>
      <c r="E384"/>
      <c r="F384"/>
      <c r="G384"/>
    </row>
    <row r="385" spans="1:7">
      <c r="A385"/>
      <c r="B385"/>
      <c r="C385"/>
      <c r="D385"/>
      <c r="E385"/>
      <c r="F385"/>
      <c r="G385"/>
    </row>
    <row r="386" spans="1:7">
      <c r="A386"/>
      <c r="B386"/>
      <c r="C386"/>
      <c r="D386"/>
      <c r="E386"/>
      <c r="F386"/>
      <c r="G386"/>
    </row>
    <row r="387" spans="1:7">
      <c r="A387"/>
      <c r="B387"/>
      <c r="C387"/>
      <c r="D387"/>
      <c r="E387"/>
      <c r="F387"/>
      <c r="G387"/>
    </row>
    <row r="388" spans="1:7">
      <c r="A388"/>
      <c r="B388"/>
      <c r="C388"/>
      <c r="D388"/>
      <c r="E388"/>
      <c r="F388"/>
      <c r="G388"/>
    </row>
    <row r="389" spans="1:7">
      <c r="A389"/>
      <c r="B389"/>
      <c r="C389"/>
      <c r="D389"/>
      <c r="E389"/>
      <c r="F389"/>
      <c r="G389"/>
    </row>
    <row r="390" spans="1:7">
      <c r="A390"/>
      <c r="B390"/>
      <c r="C390"/>
      <c r="D390"/>
      <c r="E390"/>
      <c r="F390"/>
      <c r="G390"/>
    </row>
    <row r="391" spans="1:7">
      <c r="A391"/>
      <c r="B391"/>
      <c r="C391"/>
      <c r="D391"/>
      <c r="E391"/>
      <c r="F391"/>
      <c r="G391"/>
    </row>
    <row r="392" spans="1:7">
      <c r="A392"/>
      <c r="B392"/>
      <c r="C392"/>
      <c r="D392"/>
      <c r="E392"/>
      <c r="F392"/>
      <c r="G392"/>
    </row>
    <row r="393" spans="1:7">
      <c r="A393"/>
      <c r="B393"/>
      <c r="C393"/>
      <c r="D393"/>
      <c r="E393"/>
      <c r="F393"/>
      <c r="G393"/>
    </row>
    <row r="394" spans="1:7">
      <c r="A394"/>
      <c r="B394"/>
      <c r="C394"/>
      <c r="D394"/>
      <c r="E394"/>
      <c r="F394"/>
      <c r="G394"/>
    </row>
    <row r="395" spans="1:7">
      <c r="A395"/>
      <c r="B395"/>
      <c r="C395"/>
      <c r="D395"/>
      <c r="E395"/>
      <c r="F395"/>
      <c r="G395"/>
    </row>
    <row r="396" spans="1:7">
      <c r="A396"/>
      <c r="B396"/>
      <c r="C396"/>
      <c r="D396"/>
      <c r="E396"/>
      <c r="F396"/>
      <c r="G396"/>
    </row>
    <row r="397" spans="1:7">
      <c r="A397"/>
      <c r="B397"/>
      <c r="C397"/>
      <c r="D397"/>
      <c r="E397"/>
      <c r="F397"/>
      <c r="G397"/>
    </row>
    <row r="398" spans="1:7">
      <c r="A398"/>
      <c r="B398"/>
      <c r="C398"/>
      <c r="D398"/>
      <c r="E398"/>
      <c r="F398"/>
      <c r="G398"/>
    </row>
    <row r="399" spans="1:7">
      <c r="A399"/>
      <c r="B399"/>
      <c r="C399"/>
      <c r="D399"/>
      <c r="E399"/>
      <c r="F399"/>
      <c r="G399"/>
    </row>
    <row r="400" spans="1:7">
      <c r="A400"/>
      <c r="B400"/>
      <c r="C400"/>
      <c r="D400"/>
      <c r="E400"/>
      <c r="F400"/>
      <c r="G400"/>
    </row>
    <row r="401" spans="1:7">
      <c r="A401"/>
      <c r="B401"/>
      <c r="C401"/>
      <c r="D401"/>
      <c r="E401"/>
      <c r="F401"/>
      <c r="G401"/>
    </row>
    <row r="402" spans="1:7">
      <c r="A402"/>
      <c r="B402"/>
      <c r="C402"/>
      <c r="D402"/>
      <c r="E402"/>
      <c r="F402"/>
      <c r="G402"/>
    </row>
    <row r="403" spans="1:7">
      <c r="A403"/>
      <c r="B403"/>
      <c r="C403"/>
      <c r="D403"/>
      <c r="E403"/>
      <c r="F403"/>
      <c r="G403"/>
    </row>
    <row r="404" spans="1:7">
      <c r="A404"/>
      <c r="B404"/>
      <c r="C404"/>
      <c r="D404"/>
      <c r="E404"/>
      <c r="F404"/>
      <c r="G404"/>
    </row>
    <row r="405" spans="1:7">
      <c r="A405"/>
      <c r="B405"/>
      <c r="C405"/>
      <c r="D405"/>
      <c r="E405"/>
      <c r="F405"/>
      <c r="G405"/>
    </row>
    <row r="406" spans="1:7">
      <c r="A406"/>
      <c r="B406"/>
      <c r="C406"/>
      <c r="D406"/>
      <c r="E406"/>
      <c r="F406"/>
      <c r="G406"/>
    </row>
    <row r="407" spans="1:7">
      <c r="A407"/>
      <c r="B407"/>
      <c r="C407"/>
      <c r="D407"/>
      <c r="E407"/>
      <c r="F407"/>
      <c r="G407"/>
    </row>
    <row r="408" spans="1:7">
      <c r="A408"/>
      <c r="B408"/>
      <c r="C408"/>
      <c r="D408"/>
      <c r="E408"/>
      <c r="F408"/>
      <c r="G408"/>
    </row>
    <row r="409" spans="1:7">
      <c r="A409"/>
      <c r="B409"/>
      <c r="C409"/>
      <c r="D409"/>
      <c r="E409"/>
      <c r="F409"/>
      <c r="G409"/>
    </row>
    <row r="410" spans="1:7">
      <c r="A410"/>
      <c r="B410"/>
      <c r="C410"/>
      <c r="D410"/>
      <c r="E410"/>
      <c r="F410"/>
      <c r="G410"/>
    </row>
    <row r="411" spans="1:7">
      <c r="A411"/>
      <c r="B411"/>
      <c r="C411"/>
      <c r="D411"/>
      <c r="E411"/>
      <c r="F411"/>
      <c r="G411"/>
    </row>
    <row r="412" spans="1:7">
      <c r="A412"/>
      <c r="B412"/>
      <c r="C412"/>
      <c r="D412"/>
      <c r="E412"/>
      <c r="F412"/>
      <c r="G412"/>
    </row>
    <row r="413" spans="1:7">
      <c r="A413"/>
      <c r="B413"/>
      <c r="C413"/>
      <c r="D413"/>
      <c r="E413"/>
      <c r="F413"/>
      <c r="G413"/>
    </row>
    <row r="414" spans="1:7">
      <c r="A414"/>
      <c r="B414"/>
      <c r="C414"/>
      <c r="D414"/>
      <c r="E414"/>
      <c r="F414"/>
      <c r="G414"/>
    </row>
    <row r="415" spans="1:7">
      <c r="A415"/>
      <c r="B415"/>
      <c r="C415"/>
      <c r="D415"/>
      <c r="E415"/>
      <c r="F415"/>
      <c r="G415"/>
    </row>
    <row r="416" spans="1:7">
      <c r="A416"/>
      <c r="B416"/>
      <c r="C416"/>
      <c r="D416"/>
      <c r="E416"/>
      <c r="F416"/>
      <c r="G416"/>
    </row>
    <row r="417" spans="1:7">
      <c r="A417"/>
      <c r="B417"/>
      <c r="C417"/>
      <c r="D417"/>
      <c r="E417"/>
      <c r="F417"/>
      <c r="G417"/>
    </row>
    <row r="418" spans="1:7">
      <c r="A418"/>
      <c r="B418"/>
      <c r="C418"/>
      <c r="D418"/>
      <c r="E418"/>
      <c r="F418"/>
      <c r="G418"/>
    </row>
    <row r="419" spans="1:7">
      <c r="A419"/>
      <c r="B419"/>
      <c r="C419"/>
      <c r="D419"/>
      <c r="E419"/>
      <c r="F419"/>
      <c r="G419"/>
    </row>
    <row r="420" spans="1:7">
      <c r="A420"/>
      <c r="B420"/>
      <c r="C420"/>
      <c r="D420"/>
      <c r="E420"/>
      <c r="F420"/>
      <c r="G420"/>
    </row>
    <row r="421" spans="1:7">
      <c r="A421"/>
      <c r="B421"/>
      <c r="C421"/>
      <c r="D421"/>
      <c r="E421"/>
      <c r="F421"/>
      <c r="G421"/>
    </row>
    <row r="422" spans="1:7">
      <c r="A422"/>
      <c r="B422"/>
      <c r="C422"/>
      <c r="D422"/>
      <c r="E422"/>
      <c r="F422"/>
      <c r="G422"/>
    </row>
    <row r="423" spans="1:7">
      <c r="A423"/>
      <c r="B423"/>
      <c r="C423"/>
      <c r="D423"/>
      <c r="E423"/>
      <c r="F423"/>
      <c r="G423"/>
    </row>
    <row r="424" spans="1:7">
      <c r="A424"/>
      <c r="B424"/>
      <c r="C424"/>
      <c r="D424"/>
      <c r="E424"/>
      <c r="F424"/>
      <c r="G424"/>
    </row>
    <row r="425" spans="1:7">
      <c r="A425"/>
      <c r="B425"/>
      <c r="C425"/>
      <c r="D425"/>
      <c r="E425"/>
      <c r="F425"/>
      <c r="G425"/>
    </row>
    <row r="426" spans="1:7">
      <c r="A426"/>
      <c r="B426"/>
      <c r="C426"/>
      <c r="D426"/>
      <c r="E426"/>
      <c r="F426"/>
      <c r="G426"/>
    </row>
    <row r="427" spans="1:7">
      <c r="A427"/>
      <c r="B427"/>
      <c r="C427"/>
      <c r="D427"/>
      <c r="E427"/>
      <c r="F427"/>
      <c r="G427"/>
    </row>
    <row r="428" spans="1:7">
      <c r="A428"/>
      <c r="B428"/>
      <c r="C428"/>
      <c r="D428"/>
      <c r="E428"/>
      <c r="F428"/>
      <c r="G428"/>
    </row>
    <row r="429" spans="1:7">
      <c r="A429"/>
      <c r="B429"/>
      <c r="C429"/>
      <c r="D429"/>
      <c r="E429"/>
      <c r="F429"/>
      <c r="G429"/>
    </row>
    <row r="430" spans="1:7">
      <c r="A430"/>
      <c r="B430"/>
      <c r="C430"/>
      <c r="D430"/>
      <c r="E430"/>
      <c r="F430"/>
      <c r="G430"/>
    </row>
    <row r="431" spans="1:7">
      <c r="A431"/>
      <c r="B431"/>
      <c r="C431"/>
      <c r="D431"/>
      <c r="E431"/>
      <c r="F431"/>
      <c r="G431"/>
    </row>
    <row r="432" spans="1:7">
      <c r="A432"/>
      <c r="B432"/>
      <c r="C432"/>
      <c r="D432"/>
      <c r="E432"/>
      <c r="F432"/>
      <c r="G432"/>
    </row>
    <row r="433" spans="1:7">
      <c r="A433"/>
      <c r="B433"/>
      <c r="C433"/>
      <c r="D433"/>
      <c r="E433"/>
      <c r="F433"/>
      <c r="G433"/>
    </row>
    <row r="434" spans="1:7">
      <c r="A434"/>
      <c r="B434"/>
      <c r="C434"/>
      <c r="D434"/>
      <c r="E434"/>
      <c r="F434"/>
      <c r="G434"/>
    </row>
    <row r="435" spans="1:7">
      <c r="A435"/>
      <c r="B435"/>
      <c r="C435"/>
      <c r="D435"/>
      <c r="E435"/>
      <c r="F435"/>
      <c r="G435"/>
    </row>
    <row r="436" spans="1:7">
      <c r="A436"/>
      <c r="B436"/>
      <c r="C436"/>
      <c r="D436"/>
      <c r="E436"/>
      <c r="F436"/>
      <c r="G436"/>
    </row>
    <row r="437" spans="1:7">
      <c r="A437"/>
      <c r="B437"/>
      <c r="C437"/>
      <c r="D437"/>
      <c r="E437"/>
      <c r="F437"/>
      <c r="G437"/>
    </row>
    <row r="438" spans="1:7">
      <c r="A438"/>
      <c r="B438"/>
      <c r="C438"/>
      <c r="D438"/>
      <c r="E438"/>
      <c r="F438"/>
      <c r="G438"/>
    </row>
    <row r="439" spans="1:7">
      <c r="A439"/>
      <c r="B439"/>
      <c r="C439"/>
      <c r="D439"/>
      <c r="E439"/>
      <c r="F439"/>
      <c r="G439"/>
    </row>
    <row r="440" spans="1:7">
      <c r="A440"/>
      <c r="B440"/>
      <c r="C440"/>
      <c r="D440"/>
      <c r="E440"/>
      <c r="F440"/>
      <c r="G440"/>
    </row>
    <row r="441" spans="1:7">
      <c r="A441"/>
      <c r="B441"/>
      <c r="C441"/>
      <c r="D441"/>
      <c r="E441"/>
      <c r="F441"/>
      <c r="G441"/>
    </row>
    <row r="442" spans="1:7">
      <c r="A442"/>
      <c r="B442"/>
      <c r="C442"/>
      <c r="D442"/>
      <c r="E442"/>
      <c r="F442"/>
      <c r="G442"/>
    </row>
    <row r="443" spans="1:7">
      <c r="A443"/>
      <c r="B443"/>
      <c r="C443"/>
      <c r="D443"/>
      <c r="E443"/>
      <c r="F443"/>
      <c r="G443"/>
    </row>
    <row r="444" spans="1:7">
      <c r="A444"/>
      <c r="B444"/>
      <c r="C444"/>
      <c r="D444"/>
      <c r="E444"/>
      <c r="F444"/>
      <c r="G444"/>
    </row>
    <row r="445" spans="1:7">
      <c r="A445"/>
      <c r="B445"/>
      <c r="C445"/>
      <c r="D445"/>
      <c r="E445"/>
      <c r="F445"/>
      <c r="G445"/>
    </row>
    <row r="446" spans="1:7">
      <c r="A446"/>
      <c r="B446"/>
      <c r="C446"/>
      <c r="D446"/>
      <c r="E446"/>
      <c r="F446"/>
      <c r="G446"/>
    </row>
    <row r="447" spans="1:7">
      <c r="A447"/>
      <c r="B447"/>
      <c r="C447"/>
      <c r="D447"/>
      <c r="E447"/>
      <c r="F447"/>
      <c r="G447"/>
    </row>
    <row r="448" spans="1:7">
      <c r="A448"/>
      <c r="B448"/>
      <c r="C448"/>
      <c r="D448"/>
      <c r="E448"/>
      <c r="F448"/>
      <c r="G448"/>
    </row>
    <row r="449" spans="1:7">
      <c r="A449"/>
      <c r="B449"/>
      <c r="C449"/>
      <c r="D449"/>
      <c r="E449"/>
      <c r="F449"/>
      <c r="G449"/>
    </row>
    <row r="450" spans="1:7">
      <c r="A450"/>
      <c r="B450"/>
      <c r="C450"/>
      <c r="D450"/>
      <c r="E450"/>
      <c r="F450"/>
      <c r="G450"/>
    </row>
    <row r="451" spans="1:7">
      <c r="A451"/>
      <c r="B451"/>
      <c r="C451"/>
      <c r="D451"/>
      <c r="E451"/>
      <c r="F451"/>
      <c r="G451"/>
    </row>
    <row r="452" spans="1:7">
      <c r="A452"/>
      <c r="B452"/>
      <c r="C452"/>
      <c r="D452"/>
      <c r="E452"/>
      <c r="F452"/>
      <c r="G452"/>
    </row>
    <row r="453" spans="1:7">
      <c r="A453"/>
      <c r="B453"/>
      <c r="C453"/>
      <c r="D453"/>
      <c r="E453"/>
      <c r="F453"/>
      <c r="G453"/>
    </row>
    <row r="454" spans="1:7">
      <c r="A454"/>
      <c r="B454"/>
      <c r="C454"/>
      <c r="D454"/>
      <c r="E454"/>
      <c r="F454"/>
      <c r="G454"/>
    </row>
    <row r="455" spans="1:7">
      <c r="A455"/>
      <c r="B455"/>
      <c r="C455"/>
      <c r="D455"/>
      <c r="E455"/>
      <c r="F455"/>
      <c r="G455"/>
    </row>
    <row r="456" spans="1:7">
      <c r="A456"/>
      <c r="B456"/>
      <c r="C456"/>
      <c r="D456"/>
      <c r="E456"/>
      <c r="F456"/>
      <c r="G456"/>
    </row>
    <row r="457" spans="1:7">
      <c r="A457"/>
      <c r="B457"/>
      <c r="C457"/>
      <c r="D457"/>
      <c r="E457"/>
      <c r="F457"/>
      <c r="G457"/>
    </row>
    <row r="458" spans="1:7">
      <c r="A458"/>
      <c r="B458"/>
      <c r="C458"/>
      <c r="D458"/>
      <c r="E458"/>
      <c r="F458"/>
      <c r="G458"/>
    </row>
    <row r="459" spans="1:7">
      <c r="A459"/>
      <c r="B459"/>
      <c r="C459"/>
      <c r="D459"/>
      <c r="E459"/>
      <c r="F459"/>
      <c r="G459"/>
    </row>
    <row r="460" spans="1:7">
      <c r="A460"/>
      <c r="B460"/>
      <c r="C460"/>
      <c r="D460"/>
      <c r="E460"/>
      <c r="F460"/>
      <c r="G460"/>
    </row>
    <row r="461" spans="1:7">
      <c r="A461"/>
      <c r="B461"/>
      <c r="C461"/>
      <c r="D461"/>
      <c r="E461"/>
      <c r="F461"/>
      <c r="G461"/>
    </row>
    <row r="462" spans="1:7">
      <c r="A462"/>
      <c r="B462"/>
      <c r="C462"/>
      <c r="D462"/>
      <c r="E462"/>
      <c r="F462"/>
      <c r="G462"/>
    </row>
    <row r="463" spans="1:7">
      <c r="A463"/>
      <c r="B463"/>
      <c r="C463"/>
      <c r="D463"/>
      <c r="E463"/>
      <c r="F463"/>
      <c r="G463"/>
    </row>
    <row r="464" spans="1:7">
      <c r="A464"/>
      <c r="B464"/>
      <c r="C464"/>
      <c r="D464"/>
      <c r="E464"/>
      <c r="F464"/>
      <c r="G464"/>
    </row>
    <row r="465" spans="1:7">
      <c r="A465"/>
      <c r="B465"/>
      <c r="C465"/>
      <c r="D465"/>
      <c r="E465"/>
      <c r="F465"/>
      <c r="G465"/>
    </row>
    <row r="466" spans="1:7">
      <c r="A466"/>
      <c r="B466"/>
      <c r="C466"/>
      <c r="D466"/>
      <c r="E466"/>
      <c r="F466"/>
      <c r="G466"/>
    </row>
    <row r="467" spans="1:7">
      <c r="A467"/>
      <c r="B467"/>
      <c r="C467"/>
      <c r="D467"/>
      <c r="E467"/>
      <c r="F467"/>
      <c r="G467"/>
    </row>
    <row r="468" spans="1:7">
      <c r="A468"/>
      <c r="B468"/>
      <c r="C468"/>
      <c r="D468"/>
      <c r="E468"/>
      <c r="F468"/>
      <c r="G468"/>
    </row>
    <row r="469" spans="1:7">
      <c r="A469"/>
      <c r="B469"/>
      <c r="C469"/>
      <c r="D469"/>
      <c r="E469"/>
      <c r="F469"/>
      <c r="G469"/>
    </row>
    <row r="470" spans="1:7">
      <c r="A470"/>
      <c r="B470"/>
      <c r="C470"/>
      <c r="D470"/>
      <c r="E470"/>
      <c r="F470"/>
      <c r="G470"/>
    </row>
    <row r="471" spans="1:7">
      <c r="A471"/>
      <c r="B471"/>
      <c r="C471"/>
      <c r="D471"/>
      <c r="E471"/>
      <c r="F471"/>
      <c r="G471"/>
    </row>
    <row r="472" spans="1:7">
      <c r="A472"/>
      <c r="B472"/>
      <c r="C472"/>
      <c r="D472"/>
      <c r="E472"/>
      <c r="F472"/>
      <c r="G472"/>
    </row>
    <row r="473" spans="1:7">
      <c r="A473"/>
      <c r="B473"/>
      <c r="C473"/>
      <c r="D473"/>
      <c r="E473"/>
      <c r="F473"/>
      <c r="G473"/>
    </row>
    <row r="474" spans="1:7">
      <c r="A474"/>
      <c r="B474"/>
      <c r="C474"/>
      <c r="D474"/>
      <c r="E474"/>
      <c r="F474"/>
      <c r="G474"/>
    </row>
    <row r="475" spans="1:7">
      <c r="A475"/>
      <c r="B475"/>
      <c r="C475"/>
      <c r="D475"/>
      <c r="E475"/>
      <c r="F475"/>
      <c r="G475"/>
    </row>
    <row r="476" spans="1:7">
      <c r="A476"/>
      <c r="B476"/>
      <c r="C476"/>
      <c r="D476"/>
      <c r="E476"/>
      <c r="F476"/>
      <c r="G476"/>
    </row>
    <row r="477" spans="1:7">
      <c r="A477"/>
      <c r="B477"/>
      <c r="C477"/>
      <c r="D477"/>
      <c r="E477"/>
      <c r="F477"/>
      <c r="G477"/>
    </row>
    <row r="478" spans="1:7">
      <c r="A478"/>
      <c r="B478"/>
      <c r="C478"/>
      <c r="D478"/>
      <c r="E478"/>
      <c r="F478"/>
      <c r="G478"/>
    </row>
    <row r="479" spans="1:7">
      <c r="A479"/>
      <c r="B479"/>
      <c r="C479"/>
      <c r="D479"/>
      <c r="E479"/>
      <c r="F479"/>
      <c r="G479"/>
    </row>
    <row r="480" spans="1:7">
      <c r="A480"/>
      <c r="B480"/>
      <c r="C480"/>
      <c r="D480"/>
      <c r="E480"/>
      <c r="F480"/>
      <c r="G480"/>
    </row>
    <row r="481" spans="1:7">
      <c r="A481"/>
      <c r="B481"/>
      <c r="C481"/>
      <c r="D481"/>
      <c r="E481"/>
      <c r="F481"/>
      <c r="G481"/>
    </row>
    <row r="482" spans="1:7">
      <c r="A482"/>
      <c r="B482"/>
      <c r="C482"/>
      <c r="D482"/>
      <c r="E482"/>
      <c r="F482"/>
      <c r="G482"/>
    </row>
    <row r="483" spans="1:7">
      <c r="A483"/>
      <c r="B483"/>
      <c r="C483"/>
      <c r="D483"/>
      <c r="E483"/>
      <c r="F483"/>
      <c r="G483"/>
    </row>
    <row r="484" spans="1:7">
      <c r="A484"/>
      <c r="B484"/>
      <c r="C484"/>
      <c r="D484"/>
      <c r="E484"/>
      <c r="F484"/>
      <c r="G484"/>
    </row>
    <row r="485" spans="1:7">
      <c r="A485"/>
      <c r="B485"/>
      <c r="C485"/>
      <c r="D485"/>
      <c r="E485"/>
      <c r="F485"/>
      <c r="G485"/>
    </row>
    <row r="486" spans="1:7">
      <c r="A486"/>
      <c r="B486"/>
      <c r="C486"/>
      <c r="D486"/>
      <c r="E486"/>
      <c r="F486"/>
      <c r="G486"/>
    </row>
    <row r="487" spans="1:7">
      <c r="A487"/>
      <c r="B487"/>
      <c r="C487"/>
      <c r="D487"/>
      <c r="E487"/>
      <c r="F487"/>
      <c r="G487"/>
    </row>
    <row r="488" spans="1:7">
      <c r="A488"/>
      <c r="B488"/>
      <c r="C488"/>
      <c r="D488"/>
      <c r="E488"/>
      <c r="F488"/>
      <c r="G488"/>
    </row>
    <row r="489" spans="1:7">
      <c r="A489"/>
      <c r="B489"/>
      <c r="C489"/>
      <c r="D489"/>
      <c r="E489"/>
      <c r="F489"/>
      <c r="G489"/>
    </row>
    <row r="490" spans="1:7">
      <c r="A490"/>
      <c r="B490"/>
      <c r="C490"/>
      <c r="D490"/>
      <c r="E490"/>
      <c r="F490"/>
      <c r="G490"/>
    </row>
    <row r="491" spans="1:7">
      <c r="A491"/>
      <c r="B491"/>
      <c r="C491"/>
      <c r="D491"/>
      <c r="E491"/>
      <c r="F491"/>
      <c r="G491"/>
    </row>
    <row r="492" spans="1:7">
      <c r="A492"/>
      <c r="B492"/>
      <c r="C492"/>
      <c r="D492"/>
      <c r="E492"/>
      <c r="F492"/>
      <c r="G492"/>
    </row>
    <row r="493" spans="1:7">
      <c r="A493"/>
      <c r="B493"/>
      <c r="C493"/>
      <c r="D493"/>
      <c r="E493"/>
      <c r="F493"/>
      <c r="G493"/>
    </row>
    <row r="494" spans="1:7">
      <c r="A494"/>
      <c r="B494"/>
      <c r="C494"/>
      <c r="D494"/>
      <c r="E494"/>
      <c r="F494"/>
      <c r="G494"/>
    </row>
    <row r="495" spans="1:7">
      <c r="A495"/>
      <c r="B495"/>
      <c r="C495"/>
      <c r="D495"/>
      <c r="E495"/>
      <c r="F495"/>
      <c r="G495"/>
    </row>
    <row r="496" spans="1:7">
      <c r="A496"/>
      <c r="B496"/>
      <c r="C496"/>
      <c r="D496"/>
      <c r="E496"/>
      <c r="F496"/>
      <c r="G496"/>
    </row>
    <row r="497" spans="1:7">
      <c r="A497"/>
      <c r="B497"/>
      <c r="C497"/>
      <c r="D497"/>
      <c r="E497"/>
      <c r="F497"/>
      <c r="G497"/>
    </row>
    <row r="498" spans="1:7">
      <c r="A498"/>
      <c r="B498"/>
      <c r="C498"/>
      <c r="D498"/>
      <c r="E498"/>
      <c r="F498"/>
      <c r="G498"/>
    </row>
    <row r="499" spans="1:7">
      <c r="A499"/>
      <c r="B499"/>
      <c r="C499"/>
      <c r="D499"/>
      <c r="E499"/>
      <c r="F499"/>
      <c r="G499"/>
    </row>
    <row r="500" spans="1:7">
      <c r="A500"/>
      <c r="B500"/>
      <c r="C500"/>
      <c r="D500"/>
      <c r="E500"/>
      <c r="F500"/>
      <c r="G500"/>
    </row>
    <row r="501" spans="1:7">
      <c r="A501"/>
      <c r="B501"/>
      <c r="C501"/>
      <c r="D501"/>
      <c r="E501"/>
      <c r="F501"/>
      <c r="G501"/>
    </row>
    <row r="502" spans="1:7">
      <c r="A502"/>
      <c r="B502"/>
      <c r="C502"/>
      <c r="D502"/>
      <c r="E502"/>
      <c r="F502"/>
      <c r="G502"/>
    </row>
    <row r="503" spans="1:7">
      <c r="A503"/>
      <c r="B503"/>
      <c r="C503"/>
      <c r="D503"/>
      <c r="E503"/>
      <c r="F503"/>
      <c r="G503"/>
    </row>
    <row r="504" spans="1:7">
      <c r="A504"/>
      <c r="B504"/>
      <c r="C504"/>
      <c r="D504"/>
      <c r="E504"/>
      <c r="F504"/>
      <c r="G504"/>
    </row>
    <row r="505" spans="1:7">
      <c r="A505"/>
      <c r="B505"/>
      <c r="C505"/>
      <c r="D505"/>
      <c r="E505"/>
      <c r="F505"/>
      <c r="G505"/>
    </row>
    <row r="506" spans="1:7">
      <c r="A506"/>
      <c r="B506"/>
      <c r="C506"/>
      <c r="D506"/>
      <c r="E506"/>
      <c r="F506"/>
      <c r="G506"/>
    </row>
    <row r="507" spans="1:7">
      <c r="A507"/>
      <c r="B507"/>
      <c r="C507"/>
      <c r="D507"/>
      <c r="E507"/>
      <c r="F507"/>
      <c r="G507"/>
    </row>
    <row r="508" spans="1:7">
      <c r="A508"/>
      <c r="B508"/>
      <c r="C508"/>
      <c r="D508"/>
      <c r="E508"/>
      <c r="F508"/>
      <c r="G508"/>
    </row>
    <row r="509" spans="1:7">
      <c r="A509"/>
      <c r="B509"/>
      <c r="C509"/>
      <c r="D509"/>
      <c r="E509"/>
      <c r="F509"/>
      <c r="G509"/>
    </row>
    <row r="510" spans="1:7">
      <c r="A510"/>
      <c r="B510"/>
      <c r="C510"/>
      <c r="D510"/>
      <c r="E510"/>
      <c r="F510"/>
      <c r="G510"/>
    </row>
    <row r="511" spans="1:7">
      <c r="A511"/>
      <c r="B511"/>
      <c r="C511"/>
      <c r="D511"/>
      <c r="E511"/>
      <c r="F511"/>
      <c r="G511"/>
    </row>
    <row r="512" spans="1:7">
      <c r="A512"/>
      <c r="B512"/>
      <c r="C512"/>
      <c r="D512"/>
      <c r="E512"/>
      <c r="F512"/>
      <c r="G512"/>
    </row>
    <row r="513" spans="1:7">
      <c r="A513"/>
      <c r="B513"/>
      <c r="C513"/>
      <c r="D513"/>
      <c r="E513"/>
      <c r="F513"/>
      <c r="G513"/>
    </row>
    <row r="514" spans="1:7">
      <c r="A514"/>
      <c r="B514"/>
      <c r="C514"/>
      <c r="D514"/>
      <c r="E514"/>
      <c r="F514"/>
      <c r="G514"/>
    </row>
    <row r="515" spans="1:7">
      <c r="A515"/>
      <c r="B515"/>
      <c r="C515"/>
      <c r="D515"/>
      <c r="E515"/>
      <c r="F515"/>
      <c r="G515"/>
    </row>
    <row r="516" spans="1:7">
      <c r="A516"/>
      <c r="B516"/>
      <c r="C516"/>
      <c r="D516"/>
      <c r="E516"/>
      <c r="F516"/>
      <c r="G516"/>
    </row>
    <row r="517" spans="1:7">
      <c r="A517"/>
      <c r="B517"/>
      <c r="C517"/>
      <c r="D517"/>
      <c r="E517"/>
      <c r="F517"/>
      <c r="G517"/>
    </row>
    <row r="518" spans="1:7">
      <c r="A518"/>
      <c r="B518"/>
      <c r="C518"/>
      <c r="D518"/>
      <c r="E518"/>
      <c r="F518"/>
      <c r="G518"/>
    </row>
    <row r="519" spans="1:7">
      <c r="A519"/>
      <c r="B519"/>
      <c r="C519"/>
      <c r="D519"/>
      <c r="E519"/>
      <c r="F519"/>
      <c r="G519"/>
    </row>
    <row r="520" spans="1:7">
      <c r="A520"/>
      <c r="B520"/>
      <c r="C520"/>
      <c r="D520"/>
      <c r="E520"/>
      <c r="F520"/>
      <c r="G520"/>
    </row>
    <row r="521" spans="1:7">
      <c r="A521"/>
      <c r="B521"/>
      <c r="C521"/>
      <c r="D521"/>
      <c r="E521"/>
      <c r="F521"/>
      <c r="G521"/>
    </row>
    <row r="522" spans="1:7">
      <c r="A522"/>
      <c r="B522"/>
      <c r="C522"/>
      <c r="D522"/>
      <c r="E522"/>
      <c r="F522"/>
      <c r="G522"/>
    </row>
    <row r="523" spans="1:7">
      <c r="A523"/>
      <c r="B523"/>
      <c r="C523"/>
      <c r="D523"/>
      <c r="E523"/>
      <c r="F523"/>
      <c r="G523"/>
    </row>
    <row r="524" spans="1:7">
      <c r="A524"/>
      <c r="B524"/>
      <c r="C524"/>
      <c r="D524"/>
      <c r="E524"/>
      <c r="F524"/>
      <c r="G524"/>
    </row>
    <row r="525" spans="1:7">
      <c r="A525"/>
      <c r="B525"/>
      <c r="C525"/>
      <c r="D525"/>
      <c r="E525"/>
      <c r="F525"/>
      <c r="G525"/>
    </row>
    <row r="526" spans="1:7">
      <c r="A526"/>
      <c r="B526"/>
      <c r="C526"/>
      <c r="D526"/>
      <c r="E526"/>
      <c r="F526"/>
      <c r="G526"/>
    </row>
    <row r="527" spans="1:7">
      <c r="A527"/>
      <c r="B527"/>
      <c r="C527"/>
      <c r="D527"/>
      <c r="E527"/>
      <c r="F527"/>
      <c r="G527"/>
    </row>
    <row r="528" spans="1:7">
      <c r="A528"/>
      <c r="B528"/>
      <c r="C528"/>
      <c r="D528"/>
      <c r="E528"/>
      <c r="F528"/>
      <c r="G528"/>
    </row>
    <row r="529" spans="1:7">
      <c r="A529"/>
      <c r="B529"/>
      <c r="C529"/>
      <c r="D529"/>
      <c r="E529"/>
      <c r="F529"/>
      <c r="G529"/>
    </row>
    <row r="530" spans="1:7">
      <c r="A530"/>
      <c r="B530"/>
      <c r="C530"/>
      <c r="D530"/>
      <c r="E530"/>
      <c r="F530"/>
      <c r="G530"/>
    </row>
    <row r="531" spans="1:7">
      <c r="A531"/>
      <c r="B531"/>
      <c r="C531"/>
      <c r="D531"/>
      <c r="E531"/>
      <c r="F531"/>
      <c r="G531"/>
    </row>
    <row r="532" spans="1:7">
      <c r="A532"/>
      <c r="B532"/>
      <c r="C532"/>
      <c r="D532"/>
      <c r="E532"/>
      <c r="F532"/>
      <c r="G532"/>
    </row>
    <row r="533" spans="1:7">
      <c r="A533"/>
      <c r="B533"/>
      <c r="C533"/>
      <c r="D533"/>
      <c r="E533"/>
      <c r="F533"/>
      <c r="G533"/>
    </row>
    <row r="534" spans="1:7">
      <c r="A534"/>
      <c r="B534"/>
      <c r="C534"/>
      <c r="D534"/>
      <c r="E534"/>
      <c r="F534"/>
      <c r="G534"/>
    </row>
    <row r="535" spans="1:7">
      <c r="A535"/>
      <c r="B535"/>
      <c r="C535"/>
      <c r="D535"/>
      <c r="E535"/>
      <c r="F535"/>
      <c r="G535"/>
    </row>
    <row r="536" spans="1:7">
      <c r="A536"/>
      <c r="B536"/>
      <c r="C536"/>
      <c r="D536"/>
      <c r="E536"/>
      <c r="F536"/>
      <c r="G536"/>
    </row>
    <row r="537" spans="1:7">
      <c r="A537"/>
      <c r="B537"/>
      <c r="C537"/>
      <c r="D537"/>
      <c r="E537"/>
      <c r="F537"/>
      <c r="G537"/>
    </row>
    <row r="538" spans="1:7">
      <c r="A538"/>
      <c r="B538"/>
      <c r="C538"/>
      <c r="D538"/>
      <c r="E538"/>
      <c r="F538"/>
      <c r="G538"/>
    </row>
    <row r="539" spans="1:7">
      <c r="A539"/>
      <c r="B539"/>
      <c r="C539"/>
      <c r="D539"/>
      <c r="E539"/>
      <c r="F539"/>
      <c r="G539"/>
    </row>
    <row r="540" spans="1:7">
      <c r="A540"/>
      <c r="B540"/>
      <c r="C540"/>
      <c r="D540"/>
      <c r="E540"/>
      <c r="F540"/>
      <c r="G540"/>
    </row>
    <row r="541" spans="1:7">
      <c r="A541"/>
      <c r="B541"/>
      <c r="C541"/>
      <c r="D541"/>
      <c r="E541"/>
      <c r="F541"/>
      <c r="G541"/>
    </row>
    <row r="542" spans="1:7">
      <c r="A542"/>
      <c r="B542"/>
      <c r="C542"/>
      <c r="D542"/>
      <c r="E542"/>
      <c r="F542"/>
      <c r="G542"/>
    </row>
    <row r="543" spans="1:7">
      <c r="A543"/>
      <c r="B543"/>
      <c r="C543"/>
      <c r="D543"/>
      <c r="E543"/>
      <c r="F543"/>
      <c r="G543"/>
    </row>
    <row r="544" spans="1:7">
      <c r="A544"/>
      <c r="B544"/>
      <c r="C544"/>
      <c r="D544"/>
      <c r="E544"/>
      <c r="F544"/>
      <c r="G544"/>
    </row>
    <row r="545" spans="1:7">
      <c r="A545"/>
      <c r="B545"/>
      <c r="C545"/>
      <c r="D545"/>
      <c r="E545"/>
      <c r="F545"/>
      <c r="G545"/>
    </row>
    <row r="546" spans="1:7">
      <c r="A546"/>
      <c r="B546"/>
      <c r="C546"/>
      <c r="D546"/>
      <c r="E546"/>
      <c r="F546"/>
      <c r="G546"/>
    </row>
    <row r="547" spans="1:7">
      <c r="A547"/>
      <c r="B547"/>
      <c r="C547"/>
      <c r="D547"/>
      <c r="E547"/>
      <c r="F547"/>
      <c r="G547"/>
    </row>
    <row r="548" spans="1:7">
      <c r="A548"/>
      <c r="B548"/>
      <c r="C548"/>
      <c r="D548"/>
      <c r="E548"/>
      <c r="F548"/>
      <c r="G548"/>
    </row>
    <row r="549" spans="1:7">
      <c r="A549"/>
      <c r="B549"/>
      <c r="C549"/>
      <c r="D549"/>
      <c r="E549"/>
      <c r="F549"/>
      <c r="G549"/>
    </row>
    <row r="550" spans="1:7">
      <c r="A550"/>
      <c r="B550"/>
      <c r="C550"/>
      <c r="D550"/>
      <c r="E550"/>
      <c r="F550"/>
      <c r="G550"/>
    </row>
    <row r="551" spans="1:7">
      <c r="A551"/>
      <c r="B551"/>
      <c r="C551"/>
      <c r="D551"/>
      <c r="E551"/>
      <c r="F551"/>
      <c r="G551"/>
    </row>
    <row r="552" spans="1:7">
      <c r="A552"/>
      <c r="B552"/>
      <c r="C552"/>
      <c r="D552"/>
      <c r="E552"/>
      <c r="F552"/>
      <c r="G552"/>
    </row>
    <row r="553" spans="1:7">
      <c r="A553"/>
      <c r="B553"/>
      <c r="C553"/>
      <c r="D553"/>
      <c r="E553"/>
      <c r="F553"/>
      <c r="G553"/>
    </row>
    <row r="554" spans="1:7">
      <c r="A554"/>
      <c r="B554"/>
      <c r="C554"/>
      <c r="D554"/>
      <c r="E554"/>
      <c r="F554"/>
      <c r="G554"/>
    </row>
    <row r="555" spans="1:7">
      <c r="A555"/>
      <c r="B555"/>
      <c r="C555"/>
      <c r="D555"/>
      <c r="E555"/>
      <c r="F555"/>
      <c r="G555"/>
    </row>
    <row r="556" spans="1:7">
      <c r="A556"/>
      <c r="B556"/>
      <c r="C556"/>
      <c r="D556"/>
      <c r="E556"/>
      <c r="F556"/>
      <c r="G556"/>
    </row>
    <row r="557" spans="1:7">
      <c r="A557"/>
      <c r="B557"/>
      <c r="C557"/>
      <c r="D557"/>
      <c r="E557"/>
      <c r="F557"/>
      <c r="G557"/>
    </row>
    <row r="558" spans="1:7">
      <c r="A558"/>
      <c r="B558"/>
      <c r="C558"/>
      <c r="D558"/>
      <c r="E558"/>
      <c r="F558"/>
      <c r="G558"/>
    </row>
    <row r="559" spans="1:7">
      <c r="A559"/>
      <c r="B559"/>
      <c r="C559"/>
      <c r="D559"/>
      <c r="E559"/>
      <c r="F559"/>
      <c r="G559"/>
    </row>
    <row r="560" spans="1:7">
      <c r="A560"/>
      <c r="B560"/>
      <c r="C560"/>
      <c r="D560"/>
      <c r="E560"/>
      <c r="F560"/>
      <c r="G560"/>
    </row>
    <row r="561" spans="1:7">
      <c r="A561"/>
      <c r="B561"/>
      <c r="C561"/>
      <c r="D561"/>
      <c r="E561"/>
      <c r="F561"/>
      <c r="G561"/>
    </row>
    <row r="562" spans="1:7">
      <c r="A562"/>
      <c r="B562"/>
      <c r="C562"/>
      <c r="D562"/>
      <c r="E562"/>
      <c r="F562"/>
      <c r="G562"/>
    </row>
    <row r="563" spans="1:7">
      <c r="A563"/>
      <c r="B563"/>
      <c r="C563"/>
      <c r="D563"/>
      <c r="E563"/>
      <c r="F563"/>
      <c r="G563"/>
    </row>
    <row r="564" spans="1:7">
      <c r="A564"/>
      <c r="B564"/>
      <c r="C564"/>
      <c r="D564"/>
      <c r="E564"/>
      <c r="F564"/>
      <c r="G564"/>
    </row>
    <row r="565" spans="1:7">
      <c r="A565"/>
      <c r="B565"/>
      <c r="C565"/>
      <c r="D565"/>
      <c r="E565"/>
      <c r="F565"/>
      <c r="G565"/>
    </row>
    <row r="566" spans="1:7">
      <c r="A566"/>
      <c r="B566"/>
      <c r="C566"/>
      <c r="D566"/>
      <c r="E566"/>
      <c r="F566"/>
      <c r="G566"/>
    </row>
    <row r="567" spans="1:7">
      <c r="A567"/>
      <c r="B567"/>
      <c r="C567"/>
      <c r="D567"/>
      <c r="E567"/>
      <c r="F567"/>
      <c r="G567"/>
    </row>
    <row r="568" spans="1:7">
      <c r="A568"/>
      <c r="B568"/>
      <c r="C568"/>
      <c r="D568"/>
      <c r="E568"/>
      <c r="F568"/>
      <c r="G568"/>
    </row>
    <row r="569" spans="1:7">
      <c r="A569"/>
      <c r="B569"/>
      <c r="C569"/>
      <c r="D569"/>
      <c r="E569"/>
      <c r="F569"/>
      <c r="G569"/>
    </row>
    <row r="570" spans="1:7">
      <c r="A570"/>
      <c r="B570"/>
      <c r="C570"/>
      <c r="D570"/>
      <c r="E570"/>
      <c r="F570"/>
      <c r="G570"/>
    </row>
    <row r="571" spans="1:7">
      <c r="A571"/>
      <c r="B571"/>
      <c r="C571"/>
      <c r="D571"/>
      <c r="E571"/>
      <c r="F571"/>
      <c r="G571"/>
    </row>
    <row r="572" spans="1:7">
      <c r="A572"/>
      <c r="B572"/>
      <c r="C572"/>
      <c r="D572"/>
      <c r="E572"/>
      <c r="F572"/>
      <c r="G572"/>
    </row>
    <row r="573" spans="1:7">
      <c r="A573"/>
      <c r="B573"/>
      <c r="C573"/>
      <c r="D573"/>
      <c r="E573"/>
      <c r="F573"/>
      <c r="G573"/>
    </row>
    <row r="574" spans="1:7">
      <c r="A574"/>
      <c r="B574"/>
      <c r="C574"/>
      <c r="D574"/>
      <c r="E574"/>
      <c r="F574"/>
      <c r="G574"/>
    </row>
    <row r="575" spans="1:7">
      <c r="A575"/>
      <c r="B575"/>
      <c r="C575"/>
      <c r="D575"/>
      <c r="E575"/>
      <c r="F575"/>
      <c r="G575"/>
    </row>
    <row r="576" spans="1:7">
      <c r="A576"/>
      <c r="B576"/>
      <c r="C576"/>
      <c r="D576"/>
      <c r="E576"/>
      <c r="F576"/>
      <c r="G576"/>
    </row>
    <row r="577" spans="1:7">
      <c r="A577"/>
      <c r="B577"/>
      <c r="C577"/>
      <c r="D577"/>
      <c r="E577"/>
      <c r="F577"/>
      <c r="G577"/>
    </row>
    <row r="578" spans="1:7">
      <c r="A578"/>
      <c r="B578"/>
      <c r="C578"/>
      <c r="D578"/>
      <c r="E578"/>
      <c r="F578"/>
      <c r="G578"/>
    </row>
    <row r="579" spans="1:7">
      <c r="A579"/>
      <c r="B579"/>
      <c r="C579"/>
      <c r="D579"/>
      <c r="E579"/>
      <c r="F579"/>
      <c r="G579"/>
    </row>
    <row r="580" spans="1:7">
      <c r="A580"/>
      <c r="B580"/>
      <c r="C580"/>
      <c r="D580"/>
      <c r="E580"/>
      <c r="F580"/>
      <c r="G580"/>
    </row>
    <row r="581" spans="1:7">
      <c r="A581"/>
      <c r="B581"/>
      <c r="C581"/>
      <c r="D581"/>
      <c r="E581"/>
      <c r="F581"/>
      <c r="G581"/>
    </row>
    <row r="582" spans="1:7">
      <c r="A582"/>
      <c r="B582"/>
      <c r="C582"/>
      <c r="D582"/>
      <c r="E582"/>
      <c r="F582"/>
      <c r="G582"/>
    </row>
    <row r="583" spans="1:7">
      <c r="A583"/>
      <c r="B583"/>
      <c r="C583"/>
      <c r="D583"/>
      <c r="E583"/>
      <c r="F583"/>
      <c r="G583"/>
    </row>
    <row r="584" spans="1:7">
      <c r="A584"/>
      <c r="B584"/>
      <c r="C584"/>
      <c r="D584"/>
      <c r="E584"/>
      <c r="F584"/>
      <c r="G584"/>
    </row>
    <row r="585" spans="1:7">
      <c r="A585"/>
      <c r="B585"/>
      <c r="C585"/>
      <c r="D585"/>
      <c r="E585"/>
      <c r="F585"/>
      <c r="G585"/>
    </row>
    <row r="586" spans="1:7">
      <c r="A586"/>
      <c r="B586"/>
      <c r="C586"/>
      <c r="D586"/>
      <c r="E586"/>
      <c r="F586"/>
      <c r="G586"/>
    </row>
    <row r="587" spans="1:7">
      <c r="A587"/>
      <c r="B587"/>
      <c r="C587"/>
      <c r="D587"/>
      <c r="E587"/>
      <c r="F587"/>
      <c r="G587"/>
    </row>
    <row r="588" spans="1:7">
      <c r="A588"/>
      <c r="B588"/>
      <c r="C588"/>
      <c r="D588"/>
      <c r="E588"/>
      <c r="F588"/>
      <c r="G588"/>
    </row>
    <row r="589" spans="1:7">
      <c r="A589"/>
      <c r="B589"/>
      <c r="C589"/>
      <c r="D589"/>
      <c r="E589"/>
      <c r="F589"/>
      <c r="G589"/>
    </row>
    <row r="590" spans="1:7">
      <c r="A590"/>
      <c r="B590"/>
      <c r="C590"/>
      <c r="D590"/>
      <c r="E590"/>
      <c r="F590"/>
      <c r="G590"/>
    </row>
    <row r="591" spans="1:7">
      <c r="A591"/>
      <c r="B591"/>
      <c r="C591"/>
      <c r="D591"/>
      <c r="E591"/>
      <c r="F591"/>
      <c r="G591"/>
    </row>
    <row r="592" spans="1:7">
      <c r="A592"/>
      <c r="B592"/>
      <c r="C592"/>
      <c r="D592"/>
      <c r="E592"/>
      <c r="F592"/>
      <c r="G592"/>
    </row>
    <row r="593" spans="1:7">
      <c r="A593"/>
      <c r="B593"/>
      <c r="C593"/>
      <c r="D593"/>
      <c r="E593"/>
      <c r="F593"/>
      <c r="G593"/>
    </row>
    <row r="594" spans="1:7">
      <c r="A594"/>
      <c r="B594"/>
      <c r="C594"/>
      <c r="D594"/>
      <c r="E594"/>
      <c r="F594"/>
      <c r="G594"/>
    </row>
    <row r="595" spans="1:7">
      <c r="A595"/>
      <c r="B595"/>
      <c r="C595"/>
      <c r="D595"/>
      <c r="E595"/>
      <c r="F595"/>
      <c r="G595"/>
    </row>
    <row r="596" spans="1:7">
      <c r="A596"/>
      <c r="B596"/>
      <c r="C596"/>
      <c r="D596"/>
      <c r="E596"/>
      <c r="F596"/>
      <c r="G596"/>
    </row>
    <row r="597" spans="1:7">
      <c r="A597"/>
      <c r="B597"/>
      <c r="C597"/>
      <c r="D597"/>
      <c r="E597"/>
      <c r="F597"/>
      <c r="G597"/>
    </row>
    <row r="598" spans="1:7">
      <c r="A598"/>
      <c r="B598"/>
      <c r="C598"/>
      <c r="D598"/>
      <c r="E598"/>
      <c r="F598"/>
      <c r="G598"/>
    </row>
    <row r="599" spans="1:7">
      <c r="A599"/>
      <c r="B599"/>
      <c r="C599"/>
      <c r="D599"/>
      <c r="E599"/>
      <c r="F599"/>
      <c r="G599"/>
    </row>
    <row r="600" spans="1:7">
      <c r="A600"/>
      <c r="B600"/>
      <c r="C600"/>
      <c r="D600"/>
      <c r="E600"/>
      <c r="F600"/>
      <c r="G600"/>
    </row>
    <row r="601" spans="1:7">
      <c r="A601"/>
      <c r="B601"/>
      <c r="C601"/>
      <c r="D601"/>
      <c r="E601"/>
      <c r="F601"/>
      <c r="G601"/>
    </row>
    <row r="602" spans="1:7">
      <c r="A602"/>
      <c r="B602"/>
      <c r="C602"/>
      <c r="D602"/>
      <c r="E602"/>
      <c r="F602"/>
      <c r="G602"/>
    </row>
    <row r="603" spans="1:7">
      <c r="A603"/>
      <c r="B603"/>
      <c r="C603"/>
      <c r="D603"/>
      <c r="E603"/>
      <c r="F603"/>
      <c r="G603"/>
    </row>
    <row r="604" spans="1:7">
      <c r="A604"/>
      <c r="B604"/>
      <c r="C604"/>
      <c r="D604"/>
      <c r="E604"/>
      <c r="F604"/>
      <c r="G604"/>
    </row>
    <row r="605" spans="1:7">
      <c r="A605"/>
      <c r="B605"/>
      <c r="C605"/>
      <c r="D605"/>
      <c r="E605"/>
      <c r="F605"/>
      <c r="G605"/>
    </row>
    <row r="606" spans="1:7">
      <c r="A606"/>
      <c r="B606"/>
      <c r="C606"/>
      <c r="D606"/>
      <c r="E606"/>
      <c r="F606"/>
      <c r="G606"/>
    </row>
    <row r="607" spans="1:7">
      <c r="A607"/>
      <c r="B607"/>
      <c r="C607"/>
      <c r="D607"/>
      <c r="E607"/>
      <c r="F607"/>
      <c r="G607"/>
    </row>
    <row r="608" spans="1:7">
      <c r="A608"/>
      <c r="B608"/>
      <c r="C608"/>
      <c r="D608"/>
      <c r="E608"/>
      <c r="F608"/>
      <c r="G608"/>
    </row>
    <row r="609" spans="1:7">
      <c r="A609"/>
      <c r="B609"/>
      <c r="C609"/>
      <c r="D609"/>
      <c r="E609"/>
      <c r="F609"/>
      <c r="G609"/>
    </row>
    <row r="610" spans="1:7">
      <c r="A610"/>
      <c r="B610"/>
      <c r="C610"/>
      <c r="D610"/>
      <c r="E610"/>
      <c r="F610"/>
      <c r="G610"/>
    </row>
    <row r="611" spans="1:7">
      <c r="A611"/>
      <c r="B611"/>
      <c r="C611"/>
      <c r="D611"/>
      <c r="E611"/>
      <c r="F611"/>
      <c r="G611"/>
    </row>
    <row r="612" spans="1:7">
      <c r="A612"/>
      <c r="B612"/>
      <c r="C612"/>
      <c r="D612"/>
      <c r="E612"/>
      <c r="F612"/>
      <c r="G612"/>
    </row>
    <row r="613" spans="1:7">
      <c r="A613"/>
      <c r="B613"/>
      <c r="C613"/>
      <c r="D613"/>
      <c r="E613"/>
      <c r="F613"/>
      <c r="G613"/>
    </row>
    <row r="614" spans="1:7">
      <c r="A614"/>
      <c r="B614"/>
      <c r="C614"/>
      <c r="D614"/>
      <c r="E614"/>
      <c r="F614"/>
      <c r="G614"/>
    </row>
    <row r="615" spans="1:7">
      <c r="A615"/>
      <c r="B615"/>
      <c r="C615"/>
      <c r="D615"/>
      <c r="E615"/>
      <c r="F615"/>
      <c r="G615"/>
    </row>
    <row r="616" spans="1:7">
      <c r="A616"/>
      <c r="B616"/>
      <c r="C616"/>
      <c r="D616"/>
      <c r="E616"/>
      <c r="F616"/>
      <c r="G616"/>
    </row>
    <row r="617" spans="1:7">
      <c r="A617"/>
      <c r="B617"/>
      <c r="C617"/>
      <c r="D617"/>
      <c r="E617"/>
      <c r="F617"/>
      <c r="G617"/>
    </row>
    <row r="618" spans="1:7">
      <c r="A618"/>
      <c r="B618"/>
      <c r="C618"/>
      <c r="D618"/>
      <c r="E618"/>
      <c r="F618"/>
      <c r="G618"/>
    </row>
    <row r="619" spans="1:7">
      <c r="A619"/>
      <c r="B619"/>
      <c r="C619"/>
      <c r="D619"/>
      <c r="E619"/>
      <c r="F619"/>
      <c r="G619"/>
    </row>
    <row r="620" spans="1:7">
      <c r="A620"/>
      <c r="B620"/>
      <c r="C620"/>
      <c r="D620"/>
      <c r="E620"/>
      <c r="F620"/>
      <c r="G620"/>
    </row>
    <row r="621" spans="1:7">
      <c r="A621"/>
      <c r="B621"/>
      <c r="C621"/>
      <c r="D621"/>
      <c r="E621"/>
      <c r="F621"/>
      <c r="G621"/>
    </row>
    <row r="622" spans="1:7">
      <c r="A622"/>
      <c r="B622"/>
      <c r="C622"/>
      <c r="D622"/>
      <c r="E622"/>
      <c r="F622"/>
      <c r="G622"/>
    </row>
    <row r="623" spans="1:7">
      <c r="A623"/>
      <c r="B623"/>
      <c r="C623"/>
      <c r="D623"/>
      <c r="E623"/>
      <c r="F623"/>
      <c r="G623"/>
    </row>
    <row r="624" spans="1:7">
      <c r="A624"/>
      <c r="B624"/>
      <c r="C624"/>
      <c r="D624"/>
      <c r="E624"/>
      <c r="F624"/>
      <c r="G624"/>
    </row>
    <row r="625" spans="1:7">
      <c r="A625"/>
      <c r="B625"/>
      <c r="C625"/>
      <c r="D625"/>
      <c r="E625"/>
      <c r="F625"/>
      <c r="G625"/>
    </row>
    <row r="626" spans="1:7">
      <c r="A626"/>
      <c r="B626"/>
      <c r="C626"/>
      <c r="D626"/>
      <c r="E626"/>
      <c r="F626"/>
      <c r="G626"/>
    </row>
    <row r="627" spans="1:7">
      <c r="A627"/>
      <c r="B627"/>
      <c r="C627"/>
      <c r="D627"/>
      <c r="E627"/>
      <c r="F627"/>
      <c r="G627"/>
    </row>
    <row r="628" spans="1:7">
      <c r="A628"/>
      <c r="B628"/>
      <c r="C628"/>
      <c r="D628"/>
      <c r="E628"/>
      <c r="F628"/>
      <c r="G628"/>
    </row>
    <row r="629" spans="1:7">
      <c r="A629"/>
      <c r="B629"/>
      <c r="C629"/>
      <c r="D629"/>
      <c r="E629"/>
      <c r="F629"/>
      <c r="G629"/>
    </row>
    <row r="630" spans="1:7">
      <c r="A630"/>
      <c r="B630"/>
      <c r="C630"/>
      <c r="D630"/>
      <c r="E630"/>
      <c r="F630"/>
      <c r="G630"/>
    </row>
    <row r="631" spans="1:7">
      <c r="A631"/>
      <c r="B631"/>
      <c r="C631"/>
      <c r="D631"/>
      <c r="E631"/>
      <c r="F631"/>
      <c r="G631"/>
    </row>
    <row r="632" spans="1:7">
      <c r="A632"/>
      <c r="B632"/>
      <c r="C632"/>
      <c r="D632"/>
      <c r="E632"/>
      <c r="F632"/>
      <c r="G632"/>
    </row>
    <row r="633" spans="1:7">
      <c r="A633"/>
      <c r="B633"/>
      <c r="C633"/>
      <c r="D633"/>
      <c r="E633"/>
      <c r="F633"/>
      <c r="G633"/>
    </row>
    <row r="634" spans="1:7">
      <c r="A634"/>
      <c r="B634"/>
      <c r="C634"/>
      <c r="D634"/>
      <c r="E634"/>
      <c r="F634"/>
      <c r="G634"/>
    </row>
    <row r="635" spans="1:7">
      <c r="A635"/>
      <c r="B635"/>
      <c r="C635"/>
      <c r="D635"/>
      <c r="E635"/>
      <c r="F635"/>
      <c r="G635"/>
    </row>
    <row r="636" spans="1:7">
      <c r="A636"/>
      <c r="B636"/>
      <c r="C636"/>
      <c r="D636"/>
      <c r="E636"/>
      <c r="F636"/>
      <c r="G636"/>
    </row>
    <row r="637" spans="1:7">
      <c r="A637"/>
      <c r="B637"/>
      <c r="C637"/>
      <c r="D637"/>
      <c r="E637"/>
      <c r="F637"/>
      <c r="G637"/>
    </row>
    <row r="638" spans="1:7">
      <c r="A638"/>
      <c r="B638"/>
      <c r="C638"/>
      <c r="D638"/>
      <c r="E638"/>
      <c r="F638"/>
      <c r="G638"/>
    </row>
    <row r="639" spans="1:7">
      <c r="A639"/>
      <c r="B639"/>
      <c r="C639"/>
      <c r="D639"/>
      <c r="E639"/>
      <c r="F639"/>
      <c r="G639"/>
    </row>
    <row r="640" spans="1:7">
      <c r="A640"/>
      <c r="B640"/>
      <c r="C640"/>
      <c r="D640"/>
      <c r="E640"/>
      <c r="F640"/>
      <c r="G640"/>
    </row>
    <row r="641" spans="1:7">
      <c r="A641"/>
      <c r="B641"/>
      <c r="C641"/>
      <c r="D641"/>
      <c r="E641"/>
      <c r="F641"/>
      <c r="G641"/>
    </row>
    <row r="642" spans="1:7">
      <c r="A642"/>
      <c r="B642"/>
      <c r="C642"/>
      <c r="D642"/>
      <c r="E642"/>
      <c r="F642"/>
      <c r="G642"/>
    </row>
    <row r="643" spans="1:7">
      <c r="A643"/>
      <c r="B643"/>
      <c r="C643"/>
      <c r="D643"/>
      <c r="E643"/>
      <c r="F643"/>
      <c r="G643"/>
    </row>
    <row r="644" spans="1:7">
      <c r="A644"/>
      <c r="B644"/>
      <c r="C644"/>
      <c r="D644"/>
      <c r="E644"/>
      <c r="F644"/>
      <c r="G644"/>
    </row>
    <row r="645" spans="1:7">
      <c r="A645"/>
      <c r="B645"/>
      <c r="C645"/>
      <c r="D645"/>
      <c r="E645"/>
      <c r="F645"/>
      <c r="G645"/>
    </row>
    <row r="646" spans="1:7">
      <c r="A646"/>
      <c r="B646"/>
      <c r="C646"/>
      <c r="D646"/>
      <c r="E646"/>
      <c r="F646"/>
      <c r="G646"/>
    </row>
    <row r="647" spans="1:7">
      <c r="A647"/>
      <c r="B647"/>
      <c r="C647"/>
      <c r="D647"/>
      <c r="E647"/>
      <c r="F647"/>
      <c r="G647"/>
    </row>
    <row r="648" spans="1:7">
      <c r="A648"/>
      <c r="B648"/>
      <c r="C648"/>
      <c r="D648"/>
      <c r="E648"/>
      <c r="F648"/>
      <c r="G648"/>
    </row>
    <row r="649" spans="1:7">
      <c r="A649"/>
      <c r="B649"/>
      <c r="C649"/>
      <c r="D649"/>
      <c r="E649"/>
      <c r="F649"/>
      <c r="G649"/>
    </row>
    <row r="650" spans="1:7">
      <c r="A650"/>
      <c r="B650"/>
      <c r="C650"/>
      <c r="D650"/>
      <c r="E650"/>
      <c r="F650"/>
      <c r="G650"/>
    </row>
    <row r="651" spans="1:7">
      <c r="A651"/>
      <c r="B651"/>
      <c r="C651"/>
      <c r="D651"/>
      <c r="E651"/>
      <c r="F651"/>
      <c r="G651"/>
    </row>
    <row r="652" spans="1:7">
      <c r="A652"/>
      <c r="B652"/>
      <c r="C652"/>
      <c r="D652"/>
      <c r="E652"/>
      <c r="F652"/>
      <c r="G652"/>
    </row>
    <row r="653" spans="1:7">
      <c r="A653"/>
      <c r="B653"/>
      <c r="C653"/>
      <c r="D653"/>
      <c r="E653"/>
      <c r="F653"/>
      <c r="G653"/>
    </row>
    <row r="654" spans="1:7">
      <c r="A654"/>
      <c r="B654"/>
      <c r="C654"/>
      <c r="D654"/>
      <c r="E654"/>
      <c r="F654"/>
      <c r="G654"/>
    </row>
    <row r="655" spans="1:7">
      <c r="A655"/>
      <c r="B655"/>
      <c r="C655"/>
      <c r="D655"/>
      <c r="E655"/>
      <c r="F655"/>
      <c r="G655"/>
    </row>
    <row r="656" spans="1:7">
      <c r="A656"/>
      <c r="B656"/>
      <c r="C656"/>
      <c r="D656"/>
      <c r="E656"/>
      <c r="F656"/>
      <c r="G656"/>
    </row>
    <row r="657" spans="1:7">
      <c r="A657"/>
      <c r="B657"/>
      <c r="C657"/>
      <c r="D657"/>
      <c r="E657"/>
      <c r="F657"/>
      <c r="G657"/>
    </row>
    <row r="658" spans="1:7">
      <c r="A658"/>
      <c r="B658"/>
      <c r="C658"/>
      <c r="D658"/>
      <c r="E658"/>
      <c r="F658"/>
      <c r="G658"/>
    </row>
    <row r="659" spans="1:7">
      <c r="A659"/>
      <c r="B659"/>
      <c r="C659"/>
      <c r="D659"/>
      <c r="E659"/>
      <c r="F659"/>
      <c r="G659"/>
    </row>
    <row r="660" spans="1:7">
      <c r="A660"/>
      <c r="B660"/>
      <c r="C660"/>
      <c r="D660"/>
      <c r="E660"/>
      <c r="F660"/>
      <c r="G660"/>
    </row>
    <row r="661" spans="1:7">
      <c r="A661"/>
      <c r="B661"/>
      <c r="C661"/>
      <c r="D661"/>
      <c r="E661"/>
      <c r="F661"/>
      <c r="G661"/>
    </row>
    <row r="662" spans="1:7">
      <c r="A662"/>
      <c r="B662"/>
      <c r="C662"/>
      <c r="D662"/>
      <c r="E662"/>
      <c r="F662"/>
      <c r="G662"/>
    </row>
    <row r="663" spans="1:7">
      <c r="A663"/>
      <c r="B663"/>
      <c r="C663"/>
      <c r="D663"/>
      <c r="E663"/>
      <c r="F663"/>
      <c r="G663"/>
    </row>
    <row r="664" spans="1:7">
      <c r="A664"/>
      <c r="B664"/>
      <c r="C664"/>
      <c r="D664"/>
      <c r="E664"/>
      <c r="F664"/>
      <c r="G664"/>
    </row>
    <row r="665" spans="1:7">
      <c r="A665"/>
      <c r="B665"/>
      <c r="C665"/>
      <c r="D665"/>
      <c r="E665"/>
      <c r="F665"/>
      <c r="G665"/>
    </row>
    <row r="666" spans="1:7">
      <c r="A666"/>
      <c r="B666"/>
      <c r="C666"/>
      <c r="D666"/>
      <c r="E666"/>
      <c r="F666"/>
      <c r="G666"/>
    </row>
    <row r="667" spans="1:7">
      <c r="A667"/>
      <c r="B667"/>
      <c r="C667"/>
      <c r="D667"/>
      <c r="E667"/>
      <c r="F667"/>
      <c r="G667"/>
    </row>
    <row r="668" spans="1:7">
      <c r="A668"/>
      <c r="B668"/>
      <c r="C668"/>
      <c r="D668"/>
      <c r="E668"/>
      <c r="F668"/>
      <c r="G668"/>
    </row>
    <row r="669" spans="1:7">
      <c r="A669"/>
      <c r="B669"/>
      <c r="C669"/>
      <c r="D669"/>
      <c r="E669"/>
      <c r="F669"/>
      <c r="G669"/>
    </row>
    <row r="670" spans="1:7">
      <c r="A670"/>
      <c r="B670"/>
      <c r="C670"/>
      <c r="D670"/>
      <c r="E670"/>
      <c r="F670"/>
      <c r="G670"/>
    </row>
    <row r="671" spans="1:7">
      <c r="A671"/>
      <c r="B671"/>
      <c r="C671"/>
      <c r="D671"/>
      <c r="E671"/>
      <c r="F671"/>
      <c r="G671"/>
    </row>
    <row r="672" spans="1:7">
      <c r="A672"/>
      <c r="B672"/>
      <c r="C672"/>
      <c r="D672"/>
      <c r="E672"/>
      <c r="F672"/>
      <c r="G672"/>
    </row>
    <row r="673" spans="1:7">
      <c r="A673"/>
      <c r="B673"/>
      <c r="C673"/>
      <c r="D673"/>
      <c r="E673"/>
      <c r="F673"/>
      <c r="G673"/>
    </row>
    <row r="674" spans="1:7">
      <c r="A674"/>
      <c r="B674"/>
      <c r="C674"/>
      <c r="D674"/>
      <c r="E674"/>
      <c r="F674"/>
      <c r="G674"/>
    </row>
    <row r="675" spans="1:7">
      <c r="A675"/>
      <c r="B675"/>
      <c r="C675"/>
      <c r="D675"/>
      <c r="E675"/>
      <c r="F675"/>
      <c r="G675"/>
    </row>
    <row r="676" spans="1:7">
      <c r="A676"/>
      <c r="B676"/>
      <c r="C676"/>
      <c r="D676"/>
      <c r="E676"/>
      <c r="F676"/>
      <c r="G676"/>
    </row>
    <row r="677" spans="1:7">
      <c r="A677"/>
      <c r="B677"/>
      <c r="C677"/>
      <c r="D677"/>
      <c r="E677"/>
      <c r="F677"/>
      <c r="G677"/>
    </row>
    <row r="678" spans="1:7">
      <c r="A678"/>
      <c r="B678"/>
      <c r="C678"/>
      <c r="D678"/>
      <c r="E678"/>
      <c r="F678"/>
      <c r="G678"/>
    </row>
    <row r="679" spans="1:7">
      <c r="A679"/>
      <c r="B679"/>
      <c r="C679"/>
      <c r="D679"/>
      <c r="E679"/>
      <c r="F679"/>
      <c r="G679"/>
    </row>
    <row r="680" spans="1:7">
      <c r="A680"/>
      <c r="B680"/>
      <c r="C680"/>
      <c r="D680"/>
      <c r="E680"/>
      <c r="F680"/>
      <c r="G680"/>
    </row>
    <row r="681" spans="1:7">
      <c r="A681"/>
      <c r="B681"/>
      <c r="C681"/>
      <c r="D681"/>
      <c r="E681"/>
      <c r="F681"/>
      <c r="G681"/>
    </row>
    <row r="682" spans="1:7">
      <c r="A682"/>
      <c r="B682"/>
      <c r="C682"/>
      <c r="D682"/>
      <c r="E682"/>
      <c r="F682"/>
      <c r="G682"/>
    </row>
    <row r="683" spans="1:7">
      <c r="A683"/>
      <c r="B683"/>
      <c r="C683"/>
      <c r="D683"/>
      <c r="E683"/>
      <c r="F683"/>
      <c r="G683"/>
    </row>
    <row r="684" spans="1:7">
      <c r="A684"/>
      <c r="B684"/>
      <c r="C684"/>
      <c r="D684"/>
      <c r="E684"/>
      <c r="F684"/>
      <c r="G684"/>
    </row>
    <row r="685" spans="1:7">
      <c r="A685"/>
      <c r="B685"/>
      <c r="C685"/>
      <c r="D685"/>
      <c r="E685"/>
      <c r="F685"/>
      <c r="G685"/>
    </row>
    <row r="686" spans="1:7">
      <c r="A686"/>
      <c r="B686"/>
      <c r="C686"/>
      <c r="D686"/>
      <c r="E686"/>
      <c r="F686"/>
      <c r="G686"/>
    </row>
    <row r="687" spans="1:7">
      <c r="A687"/>
      <c r="B687"/>
      <c r="C687"/>
      <c r="D687"/>
      <c r="E687"/>
      <c r="F687"/>
      <c r="G687"/>
    </row>
    <row r="688" spans="1:7">
      <c r="A688"/>
      <c r="B688"/>
      <c r="C688"/>
      <c r="D688"/>
      <c r="E688"/>
      <c r="F688"/>
      <c r="G688"/>
    </row>
    <row r="689" spans="1:7">
      <c r="A689"/>
      <c r="B689"/>
      <c r="C689"/>
      <c r="D689"/>
      <c r="E689"/>
      <c r="F689"/>
      <c r="G689"/>
    </row>
    <row r="690" spans="1:7">
      <c r="A690"/>
      <c r="B690"/>
      <c r="C690"/>
      <c r="D690"/>
      <c r="E690"/>
      <c r="F690"/>
      <c r="G690"/>
    </row>
    <row r="691" spans="1:7">
      <c r="A691"/>
      <c r="B691"/>
      <c r="C691"/>
      <c r="D691"/>
      <c r="E691"/>
      <c r="F691"/>
      <c r="G691"/>
    </row>
    <row r="692" spans="1:7">
      <c r="A692"/>
      <c r="B692"/>
      <c r="C692"/>
      <c r="D692"/>
      <c r="E692"/>
      <c r="F692"/>
      <c r="G692"/>
    </row>
    <row r="693" spans="1:7">
      <c r="A693"/>
      <c r="B693"/>
      <c r="C693"/>
      <c r="D693"/>
      <c r="E693"/>
      <c r="F693"/>
      <c r="G693"/>
    </row>
    <row r="694" spans="1:7">
      <c r="A694"/>
      <c r="B694"/>
      <c r="C694"/>
      <c r="D694"/>
      <c r="E694"/>
      <c r="F694"/>
      <c r="G694"/>
    </row>
    <row r="695" spans="1:7">
      <c r="A695"/>
      <c r="B695"/>
      <c r="C695"/>
      <c r="D695"/>
      <c r="E695"/>
      <c r="F695"/>
      <c r="G695"/>
    </row>
    <row r="696" spans="1:7">
      <c r="A696"/>
      <c r="B696"/>
      <c r="C696"/>
      <c r="D696"/>
      <c r="E696"/>
      <c r="F696"/>
      <c r="G696"/>
    </row>
    <row r="697" spans="1:7">
      <c r="A697"/>
      <c r="B697"/>
      <c r="C697"/>
      <c r="D697"/>
      <c r="E697"/>
      <c r="F697"/>
      <c r="G697"/>
    </row>
    <row r="698" spans="1:7">
      <c r="A698"/>
      <c r="B698"/>
      <c r="C698"/>
      <c r="D698"/>
      <c r="E698"/>
      <c r="F698"/>
      <c r="G698"/>
    </row>
    <row r="699" spans="1:7">
      <c r="A699"/>
      <c r="B699"/>
      <c r="C699"/>
      <c r="D699"/>
      <c r="E699"/>
      <c r="F699"/>
      <c r="G699"/>
    </row>
    <row r="700" spans="1:7">
      <c r="A700"/>
      <c r="B700"/>
      <c r="C700"/>
      <c r="D700"/>
      <c r="E700"/>
      <c r="F700"/>
      <c r="G700"/>
    </row>
    <row r="701" spans="1:7">
      <c r="A701"/>
      <c r="B701"/>
      <c r="C701"/>
      <c r="D701"/>
      <c r="E701"/>
      <c r="F701"/>
      <c r="G701"/>
    </row>
    <row r="702" spans="1:7">
      <c r="A702"/>
      <c r="B702"/>
      <c r="C702"/>
      <c r="D702"/>
      <c r="E702"/>
      <c r="F702"/>
      <c r="G702"/>
    </row>
    <row r="703" spans="1:7">
      <c r="A703"/>
      <c r="B703"/>
      <c r="C703"/>
      <c r="D703"/>
      <c r="E703"/>
      <c r="F703"/>
      <c r="G703"/>
    </row>
    <row r="704" spans="1:7">
      <c r="A704"/>
      <c r="B704"/>
      <c r="C704"/>
      <c r="D704"/>
      <c r="E704"/>
      <c r="F704"/>
      <c r="G704"/>
    </row>
    <row r="705" spans="1:7">
      <c r="A705"/>
      <c r="B705"/>
      <c r="C705"/>
      <c r="D705"/>
      <c r="E705"/>
      <c r="F705"/>
      <c r="G705"/>
    </row>
    <row r="706" spans="1:7">
      <c r="A706"/>
      <c r="B706"/>
      <c r="C706"/>
      <c r="D706"/>
      <c r="E706"/>
      <c r="F706"/>
      <c r="G706"/>
    </row>
    <row r="707" spans="1:7">
      <c r="A707"/>
      <c r="B707"/>
      <c r="C707"/>
      <c r="D707"/>
      <c r="E707"/>
      <c r="F707"/>
      <c r="G707"/>
    </row>
    <row r="708" spans="1:7">
      <c r="A708"/>
      <c r="B708"/>
      <c r="C708"/>
      <c r="D708"/>
      <c r="E708"/>
      <c r="F708"/>
      <c r="G708"/>
    </row>
    <row r="709" spans="1:7">
      <c r="A709"/>
      <c r="B709"/>
      <c r="C709"/>
      <c r="D709"/>
      <c r="E709"/>
      <c r="F709"/>
      <c r="G709"/>
    </row>
    <row r="710" spans="1:7">
      <c r="A710"/>
      <c r="B710"/>
      <c r="C710"/>
      <c r="D710"/>
      <c r="E710"/>
      <c r="F710"/>
      <c r="G710"/>
    </row>
    <row r="711" spans="1:7">
      <c r="A711"/>
      <c r="B711"/>
      <c r="C711"/>
      <c r="D711"/>
      <c r="E711"/>
      <c r="F711"/>
      <c r="G711"/>
    </row>
    <row r="712" spans="1:7">
      <c r="A712"/>
      <c r="B712"/>
      <c r="C712"/>
      <c r="D712"/>
      <c r="E712"/>
      <c r="F712"/>
      <c r="G712"/>
    </row>
    <row r="713" spans="1:7">
      <c r="A713"/>
      <c r="B713"/>
      <c r="C713"/>
      <c r="D713"/>
      <c r="E713"/>
      <c r="F713"/>
      <c r="G713"/>
    </row>
    <row r="714" spans="1:7">
      <c r="A714"/>
      <c r="B714"/>
      <c r="C714"/>
      <c r="D714"/>
      <c r="E714"/>
      <c r="F714"/>
      <c r="G714"/>
    </row>
    <row r="715" spans="1:7">
      <c r="A715"/>
      <c r="B715"/>
      <c r="C715"/>
      <c r="D715"/>
      <c r="E715"/>
      <c r="F715"/>
      <c r="G715"/>
    </row>
    <row r="716" spans="1:7">
      <c r="A716"/>
      <c r="B716"/>
      <c r="C716"/>
      <c r="D716"/>
      <c r="E716"/>
      <c r="F716"/>
      <c r="G716"/>
    </row>
    <row r="717" spans="1:7">
      <c r="A717"/>
      <c r="B717"/>
      <c r="C717"/>
      <c r="D717"/>
      <c r="E717"/>
      <c r="F717"/>
      <c r="G717"/>
    </row>
    <row r="718" spans="1:7">
      <c r="A718"/>
      <c r="B718"/>
      <c r="C718"/>
      <c r="D718"/>
      <c r="E718"/>
      <c r="F718"/>
      <c r="G718"/>
    </row>
    <row r="719" spans="1:7">
      <c r="A719"/>
      <c r="B719"/>
      <c r="C719"/>
      <c r="D719"/>
      <c r="E719"/>
      <c r="F719"/>
      <c r="G719"/>
    </row>
    <row r="720" spans="1:7">
      <c r="A720"/>
      <c r="B720"/>
      <c r="C720"/>
      <c r="D720"/>
      <c r="E720"/>
      <c r="F720"/>
      <c r="G720"/>
    </row>
    <row r="721" spans="1:7">
      <c r="A721"/>
      <c r="B721"/>
      <c r="C721"/>
      <c r="D721"/>
      <c r="E721"/>
      <c r="F721"/>
      <c r="G721"/>
    </row>
    <row r="722" spans="1:7">
      <c r="A722"/>
      <c r="B722"/>
      <c r="C722"/>
      <c r="D722"/>
      <c r="E722"/>
      <c r="F722"/>
      <c r="G722"/>
    </row>
    <row r="723" spans="1:7">
      <c r="A723"/>
      <c r="B723"/>
      <c r="C723"/>
      <c r="D723"/>
      <c r="E723"/>
      <c r="F723"/>
      <c r="G723"/>
    </row>
    <row r="724" spans="1:7">
      <c r="A724"/>
      <c r="B724"/>
      <c r="C724"/>
      <c r="D724"/>
      <c r="E724"/>
      <c r="F724"/>
      <c r="G724"/>
    </row>
    <row r="725" spans="1:7">
      <c r="A725"/>
      <c r="B725"/>
      <c r="C725"/>
      <c r="D725"/>
      <c r="E725"/>
      <c r="F725"/>
      <c r="G725"/>
    </row>
    <row r="726" spans="1:7">
      <c r="A726"/>
      <c r="B726"/>
      <c r="C726"/>
      <c r="D726"/>
      <c r="E726"/>
      <c r="F726"/>
      <c r="G726"/>
    </row>
    <row r="727" spans="1:7">
      <c r="A727"/>
      <c r="B727"/>
      <c r="C727"/>
      <c r="D727"/>
      <c r="E727"/>
      <c r="F727"/>
      <c r="G727"/>
    </row>
    <row r="728" spans="1:7">
      <c r="A728"/>
      <c r="B728"/>
      <c r="C728"/>
      <c r="D728"/>
      <c r="E728"/>
      <c r="F728"/>
      <c r="G728"/>
    </row>
    <row r="729" spans="1:7">
      <c r="A729"/>
      <c r="B729"/>
      <c r="C729"/>
      <c r="D729"/>
      <c r="E729"/>
      <c r="F729"/>
      <c r="G729"/>
    </row>
    <row r="730" spans="1:7">
      <c r="A730"/>
      <c r="B730"/>
      <c r="C730"/>
      <c r="D730"/>
      <c r="E730"/>
      <c r="F730"/>
      <c r="G730"/>
    </row>
    <row r="731" spans="1:7">
      <c r="A731"/>
      <c r="B731"/>
      <c r="C731"/>
      <c r="D731"/>
      <c r="E731"/>
      <c r="F731"/>
      <c r="G731"/>
    </row>
    <row r="732" spans="1:7">
      <c r="A732"/>
      <c r="B732"/>
      <c r="C732"/>
      <c r="D732"/>
      <c r="E732"/>
      <c r="F732"/>
      <c r="G732"/>
    </row>
    <row r="733" spans="1:7">
      <c r="A733"/>
      <c r="B733"/>
      <c r="C733"/>
      <c r="D733"/>
      <c r="E733"/>
      <c r="F733"/>
      <c r="G733"/>
    </row>
    <row r="734" spans="1:7">
      <c r="A734"/>
      <c r="B734"/>
      <c r="C734"/>
      <c r="D734"/>
      <c r="E734"/>
      <c r="F734"/>
      <c r="G734"/>
    </row>
    <row r="735" spans="1:7">
      <c r="A735"/>
      <c r="B735"/>
      <c r="C735"/>
      <c r="D735"/>
      <c r="E735"/>
      <c r="F735"/>
      <c r="G735"/>
    </row>
    <row r="736" spans="1:7">
      <c r="A736"/>
      <c r="B736"/>
      <c r="C736"/>
      <c r="D736"/>
      <c r="E736"/>
      <c r="F736"/>
      <c r="G736"/>
    </row>
    <row r="737" spans="1:7">
      <c r="A737"/>
      <c r="B737"/>
      <c r="C737"/>
      <c r="D737"/>
      <c r="E737"/>
      <c r="F737"/>
      <c r="G737"/>
    </row>
    <row r="738" spans="1:7">
      <c r="A738"/>
      <c r="B738"/>
      <c r="C738"/>
      <c r="D738"/>
      <c r="E738"/>
      <c r="F738"/>
      <c r="G738"/>
    </row>
    <row r="739" spans="1:7">
      <c r="A739"/>
      <c r="B739"/>
      <c r="C739"/>
      <c r="D739"/>
      <c r="E739"/>
      <c r="F739"/>
      <c r="G739"/>
    </row>
    <row r="740" spans="1:7">
      <c r="A740"/>
      <c r="B740"/>
      <c r="C740"/>
      <c r="D740"/>
      <c r="E740"/>
      <c r="F740"/>
      <c r="G740"/>
    </row>
    <row r="741" spans="1:7">
      <c r="A741"/>
      <c r="B741"/>
      <c r="C741"/>
      <c r="D741"/>
      <c r="E741"/>
      <c r="F741"/>
      <c r="G741"/>
    </row>
    <row r="742" spans="1:7">
      <c r="A742"/>
      <c r="B742"/>
      <c r="C742"/>
      <c r="D742"/>
      <c r="E742"/>
      <c r="F742"/>
      <c r="G742"/>
    </row>
    <row r="743" spans="1:7">
      <c r="A743"/>
      <c r="B743"/>
      <c r="C743"/>
      <c r="D743"/>
      <c r="E743"/>
      <c r="F743"/>
      <c r="G743"/>
    </row>
    <row r="744" spans="1:7">
      <c r="A744"/>
      <c r="B744"/>
      <c r="C744"/>
      <c r="D744"/>
      <c r="E744"/>
      <c r="F744"/>
      <c r="G744"/>
    </row>
    <row r="745" spans="1:7">
      <c r="A745"/>
      <c r="B745"/>
      <c r="C745"/>
      <c r="D745"/>
      <c r="E745"/>
      <c r="F745"/>
      <c r="G745"/>
    </row>
    <row r="746" spans="1:7">
      <c r="A746"/>
      <c r="B746"/>
      <c r="C746"/>
      <c r="D746"/>
      <c r="E746"/>
      <c r="F746"/>
      <c r="G746"/>
    </row>
    <row r="747" spans="1:7">
      <c r="A747"/>
      <c r="B747"/>
      <c r="C747"/>
      <c r="D747"/>
      <c r="E747"/>
      <c r="F747"/>
      <c r="G747"/>
    </row>
    <row r="748" spans="1:7">
      <c r="A748"/>
      <c r="B748"/>
      <c r="C748"/>
      <c r="D748"/>
      <c r="E748"/>
      <c r="F748"/>
      <c r="G748"/>
    </row>
    <row r="749" spans="1:7">
      <c r="A749"/>
      <c r="B749"/>
      <c r="C749"/>
      <c r="D749"/>
      <c r="E749"/>
      <c r="F749"/>
      <c r="G749"/>
    </row>
    <row r="750" spans="1:7">
      <c r="A750"/>
      <c r="B750"/>
      <c r="C750"/>
      <c r="D750"/>
      <c r="E750"/>
      <c r="F750"/>
      <c r="G750"/>
    </row>
    <row r="751" spans="1:7">
      <c r="A751"/>
      <c r="B751"/>
      <c r="C751"/>
      <c r="D751"/>
      <c r="E751"/>
      <c r="F751"/>
      <c r="G751"/>
    </row>
    <row r="752" spans="1:7">
      <c r="A752"/>
      <c r="B752"/>
      <c r="C752"/>
      <c r="D752"/>
      <c r="E752"/>
      <c r="F752"/>
      <c r="G752"/>
    </row>
    <row r="753" spans="1:7">
      <c r="A753"/>
      <c r="B753"/>
      <c r="C753"/>
      <c r="D753"/>
      <c r="E753"/>
      <c r="F753"/>
      <c r="G753"/>
    </row>
    <row r="754" spans="1:7">
      <c r="A754"/>
      <c r="B754"/>
      <c r="C754"/>
      <c r="D754"/>
      <c r="E754"/>
      <c r="F754"/>
      <c r="G754"/>
    </row>
    <row r="755" spans="1:7">
      <c r="A755"/>
      <c r="B755"/>
      <c r="C755"/>
      <c r="D755"/>
      <c r="E755"/>
      <c r="F755"/>
      <c r="G755"/>
    </row>
    <row r="756" spans="1:7">
      <c r="A756"/>
      <c r="B756"/>
      <c r="C756"/>
      <c r="D756"/>
      <c r="E756"/>
      <c r="F756"/>
      <c r="G756"/>
    </row>
    <row r="757" spans="1:7">
      <c r="A757"/>
      <c r="B757"/>
      <c r="C757"/>
      <c r="D757"/>
      <c r="E757"/>
      <c r="F757"/>
      <c r="G757"/>
    </row>
    <row r="758" spans="1:7">
      <c r="A758"/>
      <c r="B758"/>
      <c r="C758"/>
      <c r="D758"/>
      <c r="E758"/>
      <c r="F758"/>
      <c r="G758"/>
    </row>
    <row r="759" spans="1:7">
      <c r="A759"/>
      <c r="B759"/>
      <c r="C759"/>
      <c r="D759"/>
      <c r="E759"/>
      <c r="F759"/>
      <c r="G759"/>
    </row>
    <row r="760" spans="1:7">
      <c r="A760"/>
      <c r="B760"/>
      <c r="C760"/>
      <c r="D760"/>
      <c r="E760"/>
      <c r="F760"/>
      <c r="G760"/>
    </row>
    <row r="761" spans="1:7">
      <c r="A761"/>
      <c r="B761"/>
      <c r="C761"/>
      <c r="D761"/>
      <c r="E761"/>
      <c r="F761"/>
      <c r="G761"/>
    </row>
    <row r="762" spans="1:7">
      <c r="A762"/>
      <c r="B762"/>
      <c r="C762"/>
      <c r="D762"/>
      <c r="E762"/>
      <c r="F762"/>
      <c r="G762"/>
    </row>
    <row r="763" spans="1:7">
      <c r="A763"/>
      <c r="B763"/>
      <c r="C763"/>
      <c r="D763"/>
      <c r="E763"/>
      <c r="F763"/>
      <c r="G763"/>
    </row>
    <row r="764" spans="1:7">
      <c r="A764"/>
      <c r="B764"/>
      <c r="C764"/>
      <c r="D764"/>
      <c r="E764"/>
      <c r="F764"/>
      <c r="G764"/>
    </row>
    <row r="765" spans="1:7">
      <c r="A765"/>
      <c r="B765"/>
      <c r="C765"/>
      <c r="D765"/>
      <c r="E765"/>
      <c r="F765"/>
      <c r="G765"/>
    </row>
    <row r="766" spans="1:7">
      <c r="A766"/>
      <c r="B766"/>
      <c r="C766"/>
      <c r="D766"/>
      <c r="E766"/>
      <c r="F766"/>
      <c r="G766"/>
    </row>
    <row r="767" spans="1:7">
      <c r="A767"/>
      <c r="B767"/>
      <c r="C767"/>
      <c r="D767"/>
      <c r="E767"/>
      <c r="F767"/>
      <c r="G767"/>
    </row>
    <row r="768" spans="1:7">
      <c r="A768"/>
      <c r="B768"/>
      <c r="C768"/>
      <c r="D768"/>
      <c r="E768"/>
      <c r="F768"/>
      <c r="G768"/>
    </row>
    <row r="769" spans="1:7">
      <c r="A769"/>
      <c r="B769"/>
      <c r="C769"/>
      <c r="D769"/>
      <c r="E769"/>
      <c r="F769"/>
      <c r="G769"/>
    </row>
    <row r="770" spans="1:7">
      <c r="A770"/>
      <c r="B770"/>
      <c r="C770"/>
      <c r="D770"/>
      <c r="E770"/>
      <c r="F770"/>
      <c r="G770"/>
    </row>
    <row r="771" spans="1:7">
      <c r="A771"/>
      <c r="B771"/>
      <c r="C771"/>
      <c r="D771"/>
      <c r="E771"/>
      <c r="F771"/>
      <c r="G771"/>
    </row>
    <row r="772" spans="1:7">
      <c r="A772"/>
      <c r="B772"/>
      <c r="C772"/>
      <c r="D772"/>
      <c r="E772"/>
      <c r="F772"/>
      <c r="G772"/>
    </row>
    <row r="773" spans="1:7">
      <c r="A773"/>
      <c r="B773"/>
      <c r="C773"/>
      <c r="D773"/>
      <c r="E773"/>
      <c r="F773"/>
      <c r="G773"/>
    </row>
    <row r="774" spans="1:7">
      <c r="A774"/>
      <c r="B774"/>
      <c r="C774"/>
      <c r="D774"/>
      <c r="E774"/>
      <c r="F774"/>
      <c r="G774"/>
    </row>
    <row r="775" spans="1:7">
      <c r="A775"/>
      <c r="B775"/>
      <c r="C775"/>
      <c r="D775"/>
      <c r="E775"/>
      <c r="F775"/>
      <c r="G775"/>
    </row>
    <row r="776" spans="1:7">
      <c r="A776"/>
      <c r="B776"/>
      <c r="C776"/>
      <c r="D776"/>
      <c r="E776"/>
      <c r="F776"/>
      <c r="G776"/>
    </row>
    <row r="777" spans="1:7">
      <c r="A777"/>
      <c r="B777"/>
      <c r="C777"/>
      <c r="D777"/>
      <c r="E777"/>
      <c r="F777"/>
      <c r="G777"/>
    </row>
    <row r="778" spans="1:7">
      <c r="A778"/>
      <c r="B778"/>
      <c r="C778"/>
      <c r="D778"/>
      <c r="E778"/>
      <c r="F778"/>
      <c r="G778"/>
    </row>
    <row r="779" spans="1:7">
      <c r="A779"/>
      <c r="B779"/>
      <c r="C779"/>
      <c r="D779"/>
      <c r="E779"/>
      <c r="F779"/>
      <c r="G779"/>
    </row>
    <row r="780" spans="1:7">
      <c r="A780"/>
      <c r="B780"/>
      <c r="C780"/>
      <c r="D780"/>
      <c r="E780"/>
      <c r="F780"/>
      <c r="G780"/>
    </row>
    <row r="781" spans="1:7">
      <c r="A781"/>
      <c r="B781"/>
      <c r="C781"/>
      <c r="D781"/>
      <c r="E781"/>
      <c r="F781"/>
      <c r="G781"/>
    </row>
    <row r="782" spans="1:7">
      <c r="A782"/>
      <c r="B782"/>
      <c r="C782"/>
      <c r="D782"/>
      <c r="E782"/>
      <c r="F782"/>
      <c r="G782"/>
    </row>
    <row r="783" spans="1:7">
      <c r="A783"/>
      <c r="B783"/>
      <c r="C783"/>
      <c r="D783"/>
      <c r="E783"/>
      <c r="F783"/>
      <c r="G783"/>
    </row>
    <row r="784" spans="1:7">
      <c r="A784"/>
      <c r="B784"/>
      <c r="C784"/>
      <c r="D784"/>
      <c r="E784"/>
      <c r="F784"/>
      <c r="G784"/>
    </row>
    <row r="785" spans="1:7">
      <c r="A785"/>
      <c r="B785"/>
      <c r="C785"/>
      <c r="D785"/>
      <c r="E785"/>
      <c r="F785"/>
      <c r="G785"/>
    </row>
    <row r="786" spans="1:7">
      <c r="A786"/>
      <c r="B786"/>
      <c r="C786"/>
      <c r="D786"/>
      <c r="E786"/>
      <c r="F786"/>
      <c r="G786"/>
    </row>
    <row r="787" spans="1:7">
      <c r="A787"/>
      <c r="B787"/>
      <c r="C787"/>
      <c r="D787"/>
      <c r="E787"/>
      <c r="F787"/>
      <c r="G787"/>
    </row>
    <row r="788" spans="1:7">
      <c r="A788"/>
      <c r="B788"/>
      <c r="C788"/>
      <c r="D788"/>
      <c r="E788"/>
      <c r="F788"/>
      <c r="G788"/>
    </row>
    <row r="789" spans="1:7">
      <c r="A789"/>
      <c r="B789"/>
      <c r="C789"/>
      <c r="D789"/>
      <c r="E789"/>
      <c r="F789"/>
      <c r="G789"/>
    </row>
    <row r="790" spans="1:7">
      <c r="A790"/>
      <c r="B790"/>
      <c r="C790"/>
      <c r="D790"/>
      <c r="E790"/>
      <c r="F790"/>
      <c r="G790"/>
    </row>
    <row r="791" spans="1:7">
      <c r="A791"/>
      <c r="B791"/>
      <c r="C791"/>
      <c r="D791"/>
      <c r="E791"/>
      <c r="F791"/>
      <c r="G791"/>
    </row>
    <row r="792" spans="1:7">
      <c r="A792"/>
      <c r="B792"/>
      <c r="C792"/>
      <c r="D792"/>
      <c r="E792"/>
      <c r="F792"/>
      <c r="G792"/>
    </row>
    <row r="793" spans="1:7">
      <c r="A793"/>
      <c r="B793"/>
      <c r="C793"/>
      <c r="D793"/>
      <c r="E793"/>
      <c r="F793"/>
      <c r="G793"/>
    </row>
    <row r="794" spans="1:7">
      <c r="A794"/>
      <c r="B794"/>
      <c r="C794"/>
      <c r="D794"/>
      <c r="E794"/>
      <c r="F794"/>
      <c r="G794"/>
    </row>
    <row r="795" spans="1:7">
      <c r="A795"/>
      <c r="B795"/>
      <c r="C795"/>
      <c r="D795"/>
      <c r="E795"/>
      <c r="F795"/>
      <c r="G795"/>
    </row>
    <row r="796" spans="1:7">
      <c r="A796"/>
      <c r="B796"/>
      <c r="C796"/>
      <c r="D796"/>
      <c r="E796"/>
      <c r="F796"/>
      <c r="G796"/>
    </row>
    <row r="797" spans="1:7">
      <c r="A797"/>
      <c r="B797"/>
      <c r="C797"/>
      <c r="D797"/>
      <c r="E797"/>
      <c r="F797"/>
      <c r="G797"/>
    </row>
    <row r="798" spans="1:7">
      <c r="A798"/>
      <c r="B798"/>
      <c r="C798"/>
      <c r="D798"/>
      <c r="E798"/>
      <c r="F798"/>
      <c r="G798"/>
    </row>
    <row r="799" spans="1:7">
      <c r="A799"/>
      <c r="B799"/>
      <c r="C799"/>
      <c r="D799"/>
      <c r="E799"/>
      <c r="F799"/>
      <c r="G799"/>
    </row>
    <row r="800" spans="1:7">
      <c r="A800"/>
      <c r="B800"/>
      <c r="C800"/>
      <c r="D800"/>
      <c r="E800"/>
      <c r="F800"/>
      <c r="G800"/>
    </row>
    <row r="801" spans="1:7">
      <c r="A801"/>
      <c r="B801"/>
      <c r="C801"/>
      <c r="D801"/>
      <c r="E801"/>
      <c r="F801"/>
      <c r="G801"/>
    </row>
    <row r="802" spans="1:7">
      <c r="A802"/>
      <c r="B802"/>
      <c r="C802"/>
      <c r="D802"/>
      <c r="E802"/>
      <c r="F802"/>
      <c r="G802"/>
    </row>
    <row r="803" spans="1:7">
      <c r="A803"/>
      <c r="B803"/>
      <c r="C803"/>
      <c r="D803"/>
      <c r="E803"/>
      <c r="F803"/>
      <c r="G803"/>
    </row>
    <row r="804" spans="1:7">
      <c r="A804"/>
      <c r="B804"/>
      <c r="C804"/>
      <c r="D804"/>
      <c r="E804"/>
      <c r="F804"/>
      <c r="G804"/>
    </row>
    <row r="805" spans="1:7">
      <c r="A805"/>
      <c r="B805"/>
      <c r="C805"/>
      <c r="D805"/>
      <c r="E805"/>
      <c r="F805"/>
      <c r="G805"/>
    </row>
    <row r="806" spans="1:7">
      <c r="A806"/>
      <c r="B806"/>
      <c r="C806"/>
      <c r="D806"/>
      <c r="E806"/>
      <c r="F806"/>
      <c r="G806"/>
    </row>
    <row r="807" spans="1:7">
      <c r="A807"/>
      <c r="B807"/>
      <c r="C807"/>
      <c r="D807"/>
      <c r="E807"/>
      <c r="F807"/>
      <c r="G807"/>
    </row>
    <row r="808" spans="1:7">
      <c r="A808"/>
      <c r="B808"/>
      <c r="C808"/>
      <c r="D808"/>
      <c r="E808"/>
      <c r="F808"/>
      <c r="G808"/>
    </row>
    <row r="809" spans="1:7">
      <c r="A809"/>
      <c r="B809"/>
      <c r="C809"/>
      <c r="D809"/>
      <c r="E809"/>
      <c r="F809"/>
      <c r="G809"/>
    </row>
    <row r="810" spans="1:7">
      <c r="A810"/>
      <c r="B810"/>
      <c r="C810"/>
      <c r="D810"/>
      <c r="E810"/>
      <c r="F810"/>
      <c r="G810"/>
    </row>
    <row r="811" spans="1:7">
      <c r="A811"/>
      <c r="B811"/>
      <c r="C811"/>
      <c r="D811"/>
      <c r="E811"/>
      <c r="F811"/>
      <c r="G811"/>
    </row>
    <row r="812" spans="1:7">
      <c r="A812"/>
      <c r="B812"/>
      <c r="C812"/>
      <c r="D812"/>
      <c r="E812"/>
      <c r="F812"/>
      <c r="G812"/>
    </row>
    <row r="813" spans="1:7">
      <c r="A813"/>
      <c r="B813"/>
      <c r="C813"/>
      <c r="D813"/>
      <c r="E813"/>
      <c r="F813"/>
      <c r="G813"/>
    </row>
    <row r="814" spans="1:7">
      <c r="A814"/>
      <c r="B814"/>
      <c r="C814"/>
      <c r="D814"/>
      <c r="E814"/>
      <c r="F814"/>
      <c r="G814"/>
    </row>
    <row r="815" spans="1:7">
      <c r="A815"/>
      <c r="B815"/>
      <c r="C815"/>
      <c r="D815"/>
      <c r="E815"/>
      <c r="F815"/>
      <c r="G815"/>
    </row>
    <row r="816" spans="1:7">
      <c r="A816"/>
      <c r="B816"/>
      <c r="C816"/>
      <c r="D816"/>
      <c r="E816"/>
      <c r="F816"/>
      <c r="G816"/>
    </row>
    <row r="817" spans="1:7">
      <c r="A817"/>
      <c r="B817"/>
      <c r="C817"/>
      <c r="D817"/>
      <c r="E817"/>
      <c r="F817"/>
      <c r="G817"/>
    </row>
    <row r="818" spans="1:7">
      <c r="A818"/>
      <c r="B818"/>
      <c r="C818"/>
      <c r="D818"/>
      <c r="E818"/>
      <c r="F818"/>
      <c r="G818"/>
    </row>
    <row r="819" spans="1:7">
      <c r="A819"/>
      <c r="B819"/>
      <c r="C819"/>
      <c r="D819"/>
      <c r="E819"/>
      <c r="F819"/>
      <c r="G819"/>
    </row>
    <row r="820" spans="1:7">
      <c r="A820"/>
      <c r="B820"/>
      <c r="C820"/>
      <c r="D820"/>
      <c r="E820"/>
      <c r="F820"/>
      <c r="G820"/>
    </row>
    <row r="821" spans="1:7">
      <c r="A821"/>
      <c r="B821"/>
      <c r="C821"/>
      <c r="D821"/>
      <c r="E821"/>
      <c r="F821"/>
      <c r="G821"/>
    </row>
    <row r="822" spans="1:7">
      <c r="A822"/>
      <c r="B822"/>
      <c r="C822"/>
      <c r="D822"/>
      <c r="E822"/>
      <c r="F822"/>
      <c r="G822"/>
    </row>
    <row r="823" spans="1:7">
      <c r="A823"/>
      <c r="B823"/>
      <c r="C823"/>
      <c r="D823"/>
      <c r="E823"/>
      <c r="F823"/>
      <c r="G823"/>
    </row>
    <row r="824" spans="1:7">
      <c r="A824"/>
      <c r="B824"/>
      <c r="C824"/>
      <c r="D824"/>
      <c r="E824"/>
      <c r="F824"/>
      <c r="G824"/>
    </row>
    <row r="825" spans="1:7">
      <c r="A825"/>
      <c r="B825"/>
      <c r="C825"/>
      <c r="D825"/>
      <c r="E825"/>
      <c r="F825"/>
      <c r="G825"/>
    </row>
    <row r="826" spans="1:7">
      <c r="A826"/>
      <c r="B826"/>
      <c r="C826"/>
      <c r="D826"/>
      <c r="E826"/>
      <c r="F826"/>
      <c r="G826"/>
    </row>
    <row r="827" spans="1:7">
      <c r="A827"/>
      <c r="B827"/>
      <c r="C827"/>
      <c r="D827"/>
      <c r="E827"/>
      <c r="F827"/>
      <c r="G827"/>
    </row>
    <row r="828" spans="1:7">
      <c r="A828"/>
      <c r="B828"/>
      <c r="C828"/>
      <c r="D828"/>
      <c r="E828"/>
      <c r="F828"/>
      <c r="G828"/>
    </row>
    <row r="829" spans="1:7">
      <c r="A829"/>
      <c r="B829"/>
      <c r="C829"/>
      <c r="D829"/>
      <c r="E829"/>
      <c r="F829"/>
      <c r="G829"/>
    </row>
    <row r="830" spans="1:7">
      <c r="A830"/>
      <c r="B830"/>
      <c r="C830"/>
      <c r="D830"/>
      <c r="E830"/>
      <c r="F830"/>
      <c r="G830"/>
    </row>
    <row r="831" spans="1:7">
      <c r="A831"/>
      <c r="B831"/>
      <c r="C831"/>
      <c r="D831"/>
      <c r="E831"/>
      <c r="F831"/>
      <c r="G831"/>
    </row>
    <row r="832" spans="1:7">
      <c r="A832"/>
      <c r="B832"/>
      <c r="C832"/>
      <c r="D832"/>
      <c r="E832"/>
      <c r="F832"/>
      <c r="G832"/>
    </row>
    <row r="833" spans="1:7">
      <c r="A833"/>
      <c r="B833"/>
      <c r="C833"/>
      <c r="D833"/>
      <c r="E833"/>
      <c r="F833"/>
      <c r="G833"/>
    </row>
    <row r="834" spans="1:7">
      <c r="A834"/>
      <c r="B834"/>
      <c r="C834"/>
      <c r="D834"/>
      <c r="E834"/>
      <c r="F834"/>
      <c r="G834"/>
    </row>
    <row r="835" spans="1:7">
      <c r="A835"/>
      <c r="B835"/>
      <c r="C835"/>
      <c r="D835"/>
      <c r="E835"/>
      <c r="F835"/>
      <c r="G835"/>
    </row>
    <row r="836" spans="1:7">
      <c r="A836"/>
      <c r="B836"/>
      <c r="C836"/>
      <c r="D836"/>
      <c r="E836"/>
      <c r="F836"/>
      <c r="G836"/>
    </row>
    <row r="837" spans="1:7">
      <c r="A837"/>
      <c r="B837"/>
      <c r="C837"/>
      <c r="D837"/>
      <c r="E837"/>
      <c r="F837"/>
      <c r="G837"/>
    </row>
    <row r="838" spans="1:7">
      <c r="A838"/>
      <c r="B838"/>
      <c r="C838"/>
      <c r="D838"/>
      <c r="E838"/>
      <c r="F838"/>
      <c r="G838"/>
    </row>
    <row r="839" spans="1:7">
      <c r="A839"/>
      <c r="B839"/>
      <c r="C839"/>
      <c r="D839"/>
      <c r="E839"/>
      <c r="F839"/>
      <c r="G839"/>
    </row>
    <row r="840" spans="1:7">
      <c r="A840"/>
      <c r="B840"/>
      <c r="C840"/>
      <c r="D840"/>
      <c r="E840"/>
      <c r="F840"/>
      <c r="G840"/>
    </row>
    <row r="841" spans="1:7">
      <c r="A841"/>
      <c r="B841"/>
      <c r="C841"/>
      <c r="D841"/>
      <c r="E841"/>
      <c r="F841"/>
      <c r="G841"/>
    </row>
    <row r="842" spans="1:7">
      <c r="A842"/>
      <c r="B842"/>
      <c r="C842"/>
      <c r="D842"/>
      <c r="E842"/>
      <c r="F842"/>
      <c r="G842"/>
    </row>
    <row r="843" spans="1:7">
      <c r="A843"/>
      <c r="B843"/>
      <c r="C843"/>
      <c r="D843"/>
      <c r="E843"/>
      <c r="F843"/>
      <c r="G843"/>
    </row>
    <row r="844" spans="1:7">
      <c r="A844"/>
      <c r="B844"/>
      <c r="C844"/>
      <c r="D844"/>
      <c r="E844"/>
      <c r="F844"/>
      <c r="G844"/>
    </row>
    <row r="845" spans="1:7">
      <c r="A845"/>
      <c r="B845"/>
      <c r="C845"/>
      <c r="D845"/>
      <c r="E845"/>
      <c r="F845"/>
      <c r="G845"/>
    </row>
    <row r="846" spans="1:7">
      <c r="A846"/>
      <c r="B846"/>
      <c r="C846"/>
      <c r="D846"/>
      <c r="E846"/>
      <c r="F846"/>
      <c r="G846"/>
    </row>
    <row r="847" spans="1:7">
      <c r="A847"/>
      <c r="B847"/>
      <c r="C847"/>
      <c r="D847"/>
      <c r="E847"/>
      <c r="F847"/>
      <c r="G847"/>
    </row>
    <row r="848" spans="1:7">
      <c r="A848"/>
      <c r="B848"/>
      <c r="C848"/>
      <c r="D848"/>
      <c r="E848"/>
      <c r="F848"/>
      <c r="G848"/>
    </row>
    <row r="849" spans="1:7">
      <c r="A849"/>
      <c r="B849"/>
      <c r="C849"/>
      <c r="D849"/>
      <c r="E849"/>
      <c r="F849"/>
      <c r="G849"/>
    </row>
    <row r="850" spans="1:7">
      <c r="A850"/>
      <c r="B850"/>
      <c r="C850"/>
      <c r="D850"/>
      <c r="E850"/>
      <c r="F850"/>
      <c r="G850"/>
    </row>
    <row r="851" spans="1:7">
      <c r="A851"/>
      <c r="B851"/>
      <c r="C851"/>
      <c r="D851"/>
      <c r="E851"/>
      <c r="F851"/>
      <c r="G851"/>
    </row>
    <row r="852" spans="1:7">
      <c r="A852"/>
      <c r="B852"/>
      <c r="C852"/>
      <c r="D852"/>
      <c r="E852"/>
      <c r="F852"/>
      <c r="G852"/>
    </row>
    <row r="853" spans="1:7">
      <c r="A853"/>
      <c r="B853"/>
      <c r="C853"/>
      <c r="D853"/>
      <c r="E853"/>
      <c r="F853"/>
      <c r="G853"/>
    </row>
    <row r="854" spans="1:7">
      <c r="A854"/>
      <c r="B854"/>
      <c r="C854"/>
      <c r="D854"/>
      <c r="E854"/>
      <c r="F854"/>
      <c r="G854"/>
    </row>
    <row r="855" spans="1:7">
      <c r="A855"/>
      <c r="B855"/>
      <c r="C855"/>
      <c r="D855"/>
      <c r="E855"/>
      <c r="F855"/>
      <c r="G855"/>
    </row>
    <row r="856" spans="1:7">
      <c r="A856"/>
      <c r="B856"/>
      <c r="C856"/>
      <c r="D856"/>
      <c r="E856"/>
      <c r="F856"/>
      <c r="G856"/>
    </row>
    <row r="857" spans="1:7">
      <c r="A857"/>
      <c r="B857"/>
      <c r="C857"/>
      <c r="D857"/>
      <c r="E857"/>
      <c r="F857"/>
      <c r="G857"/>
    </row>
    <row r="858" spans="1:7">
      <c r="A858"/>
      <c r="B858"/>
      <c r="C858"/>
      <c r="D858"/>
      <c r="E858"/>
      <c r="F858"/>
      <c r="G858"/>
    </row>
    <row r="859" spans="1:7">
      <c r="A859"/>
      <c r="B859"/>
      <c r="C859"/>
      <c r="D859"/>
      <c r="E859"/>
      <c r="F859"/>
      <c r="G859"/>
    </row>
    <row r="860" spans="1:7">
      <c r="A860"/>
      <c r="B860"/>
      <c r="C860"/>
      <c r="D860"/>
      <c r="E860"/>
      <c r="F860"/>
      <c r="G860"/>
    </row>
    <row r="861" spans="1:7">
      <c r="A861"/>
      <c r="B861"/>
      <c r="C861"/>
      <c r="D861"/>
      <c r="E861"/>
      <c r="F861"/>
      <c r="G861"/>
    </row>
    <row r="862" spans="1:7">
      <c r="A862"/>
      <c r="B862"/>
      <c r="C862"/>
      <c r="D862"/>
      <c r="E862"/>
      <c r="F862"/>
      <c r="G862"/>
    </row>
    <row r="863" spans="1:7">
      <c r="A863"/>
      <c r="B863"/>
      <c r="C863"/>
      <c r="D863"/>
      <c r="E863"/>
      <c r="F863"/>
      <c r="G863"/>
    </row>
    <row r="864" spans="1:7">
      <c r="A864"/>
      <c r="B864"/>
      <c r="C864"/>
      <c r="D864"/>
      <c r="E864"/>
      <c r="F864"/>
      <c r="G864"/>
    </row>
    <row r="865" spans="1:7">
      <c r="A865"/>
      <c r="B865"/>
      <c r="C865"/>
      <c r="D865"/>
      <c r="E865"/>
      <c r="F865"/>
      <c r="G865"/>
    </row>
    <row r="866" spans="1:7">
      <c r="A866"/>
      <c r="B866"/>
      <c r="C866"/>
      <c r="D866"/>
      <c r="E866"/>
      <c r="F866"/>
      <c r="G866"/>
    </row>
    <row r="867" spans="1:7">
      <c r="A867"/>
      <c r="B867"/>
      <c r="C867"/>
      <c r="D867"/>
      <c r="E867"/>
      <c r="F867"/>
      <c r="G867"/>
    </row>
    <row r="868" spans="1:7">
      <c r="A868"/>
      <c r="B868"/>
      <c r="C868"/>
      <c r="D868"/>
      <c r="E868"/>
      <c r="F868"/>
      <c r="G868"/>
    </row>
    <row r="869" spans="1:7">
      <c r="A869"/>
      <c r="B869"/>
      <c r="C869"/>
      <c r="D869"/>
      <c r="E869"/>
      <c r="F869"/>
      <c r="G869"/>
    </row>
    <row r="870" spans="1:7">
      <c r="A870"/>
      <c r="B870"/>
      <c r="C870"/>
      <c r="D870"/>
      <c r="E870"/>
      <c r="F870"/>
      <c r="G870"/>
    </row>
    <row r="871" spans="1:7">
      <c r="A871"/>
      <c r="B871"/>
      <c r="C871"/>
      <c r="D871"/>
      <c r="E871"/>
      <c r="F871"/>
      <c r="G871"/>
    </row>
    <row r="872" spans="1:7">
      <c r="A872"/>
      <c r="B872"/>
      <c r="C872"/>
      <c r="D872"/>
      <c r="E872"/>
      <c r="F872"/>
      <c r="G872"/>
    </row>
    <row r="873" spans="1:7">
      <c r="A873"/>
      <c r="B873"/>
      <c r="C873"/>
      <c r="D873"/>
      <c r="E873"/>
      <c r="F873"/>
      <c r="G873"/>
    </row>
    <row r="874" spans="1:7">
      <c r="A874"/>
      <c r="B874"/>
      <c r="C874"/>
      <c r="D874"/>
      <c r="E874"/>
      <c r="F874"/>
      <c r="G874"/>
    </row>
    <row r="875" spans="1:7">
      <c r="A875"/>
      <c r="B875"/>
      <c r="C875"/>
      <c r="D875"/>
      <c r="E875"/>
      <c r="F875"/>
      <c r="G875"/>
    </row>
    <row r="876" spans="1:7">
      <c r="A876"/>
      <c r="B876"/>
      <c r="C876"/>
      <c r="D876"/>
      <c r="E876"/>
      <c r="F876"/>
      <c r="G876"/>
    </row>
    <row r="877" spans="1:7">
      <c r="A877"/>
      <c r="B877"/>
      <c r="C877"/>
      <c r="D877"/>
      <c r="E877"/>
      <c r="F877"/>
      <c r="G877"/>
    </row>
    <row r="878" spans="1:7">
      <c r="A878"/>
      <c r="B878"/>
      <c r="C878"/>
      <c r="D878"/>
      <c r="E878"/>
      <c r="F878"/>
      <c r="G878"/>
    </row>
    <row r="879" spans="1:7">
      <c r="A879"/>
      <c r="B879"/>
      <c r="C879"/>
      <c r="D879"/>
      <c r="E879"/>
      <c r="F879"/>
      <c r="G879"/>
    </row>
    <row r="880" spans="1:7">
      <c r="A880"/>
      <c r="B880"/>
      <c r="C880"/>
      <c r="D880"/>
      <c r="E880"/>
      <c r="F880"/>
      <c r="G880"/>
    </row>
    <row r="881" spans="1:7">
      <c r="A881"/>
      <c r="B881"/>
      <c r="C881"/>
      <c r="D881"/>
      <c r="E881"/>
      <c r="F881"/>
      <c r="G881"/>
    </row>
    <row r="882" spans="1:7">
      <c r="A882"/>
      <c r="B882"/>
      <c r="C882"/>
      <c r="D882"/>
      <c r="E882"/>
      <c r="F882"/>
      <c r="G882"/>
    </row>
    <row r="883" spans="1:7">
      <c r="A883"/>
      <c r="B883"/>
      <c r="C883"/>
      <c r="D883"/>
      <c r="E883"/>
      <c r="F883"/>
      <c r="G883"/>
    </row>
    <row r="884" spans="1:7">
      <c r="A884"/>
      <c r="B884"/>
      <c r="C884"/>
      <c r="D884"/>
      <c r="E884"/>
      <c r="F884"/>
      <c r="G884"/>
    </row>
    <row r="885" spans="1:7">
      <c r="A885"/>
      <c r="B885"/>
      <c r="C885"/>
      <c r="D885"/>
      <c r="E885"/>
      <c r="F885"/>
      <c r="G885"/>
    </row>
    <row r="886" spans="1:7">
      <c r="A886"/>
      <c r="B886"/>
      <c r="C886"/>
      <c r="D886"/>
      <c r="E886"/>
      <c r="F886"/>
      <c r="G886"/>
    </row>
    <row r="887" spans="1:7">
      <c r="A887"/>
      <c r="B887"/>
      <c r="C887"/>
      <c r="D887"/>
      <c r="E887"/>
      <c r="F887"/>
      <c r="G887"/>
    </row>
    <row r="888" spans="1:7">
      <c r="A888"/>
      <c r="B888"/>
      <c r="C888"/>
      <c r="D888"/>
      <c r="E888"/>
      <c r="F888"/>
      <c r="G888"/>
    </row>
    <row r="889" spans="1:7">
      <c r="A889"/>
      <c r="B889"/>
      <c r="C889"/>
      <c r="D889"/>
      <c r="E889"/>
      <c r="F889"/>
      <c r="G889"/>
    </row>
    <row r="890" spans="1:7">
      <c r="A890"/>
      <c r="B890"/>
      <c r="C890"/>
      <c r="D890"/>
      <c r="E890"/>
      <c r="F890"/>
      <c r="G890"/>
    </row>
    <row r="891" spans="1:7">
      <c r="A891"/>
      <c r="B891"/>
      <c r="C891"/>
      <c r="D891"/>
      <c r="E891"/>
      <c r="F891"/>
      <c r="G891"/>
    </row>
    <row r="892" spans="1:7">
      <c r="A892"/>
      <c r="B892"/>
      <c r="C892"/>
      <c r="D892"/>
      <c r="E892"/>
      <c r="F892"/>
      <c r="G892"/>
    </row>
    <row r="893" spans="1:7">
      <c r="A893"/>
      <c r="B893"/>
      <c r="C893"/>
      <c r="D893"/>
      <c r="E893"/>
      <c r="F893"/>
      <c r="G893"/>
    </row>
    <row r="894" spans="1:7">
      <c r="A894"/>
      <c r="B894"/>
      <c r="C894"/>
      <c r="D894"/>
      <c r="E894"/>
      <c r="F894"/>
      <c r="G894"/>
    </row>
    <row r="895" spans="1:7">
      <c r="A895"/>
      <c r="B895"/>
      <c r="C895"/>
      <c r="D895"/>
      <c r="E895"/>
      <c r="F895"/>
      <c r="G895"/>
    </row>
    <row r="896" spans="1:7">
      <c r="A896"/>
      <c r="B896"/>
      <c r="C896"/>
      <c r="D896"/>
      <c r="E896"/>
      <c r="F896"/>
      <c r="G896"/>
    </row>
    <row r="897" spans="1:7">
      <c r="A897"/>
      <c r="B897"/>
      <c r="C897"/>
      <c r="D897"/>
      <c r="E897"/>
      <c r="F897"/>
      <c r="G897"/>
    </row>
    <row r="898" spans="1:7">
      <c r="A898"/>
      <c r="B898"/>
      <c r="C898"/>
      <c r="D898"/>
      <c r="E898"/>
      <c r="F898"/>
      <c r="G898"/>
    </row>
    <row r="899" spans="1:7">
      <c r="A899"/>
      <c r="B899"/>
      <c r="C899"/>
      <c r="D899"/>
      <c r="E899"/>
      <c r="F899"/>
      <c r="G899"/>
    </row>
    <row r="900" spans="1:7">
      <c r="A900"/>
      <c r="B900"/>
      <c r="C900"/>
      <c r="D900"/>
      <c r="E900"/>
      <c r="F900"/>
      <c r="G900"/>
    </row>
    <row r="901" spans="1:7">
      <c r="A901"/>
      <c r="B901"/>
      <c r="C901"/>
      <c r="D901"/>
      <c r="E901"/>
      <c r="F901"/>
      <c r="G901"/>
    </row>
    <row r="902" spans="1:7">
      <c r="A902"/>
      <c r="B902"/>
      <c r="C902"/>
      <c r="D902"/>
      <c r="E902"/>
      <c r="F902"/>
      <c r="G902"/>
    </row>
    <row r="903" spans="1:7">
      <c r="A903"/>
      <c r="B903"/>
      <c r="C903"/>
      <c r="D903"/>
      <c r="E903"/>
      <c r="F903"/>
      <c r="G903"/>
    </row>
    <row r="904" spans="1:7">
      <c r="A904"/>
      <c r="B904"/>
      <c r="C904"/>
      <c r="D904"/>
      <c r="E904"/>
      <c r="F904"/>
      <c r="G904"/>
    </row>
    <row r="905" spans="1:7">
      <c r="A905"/>
      <c r="B905"/>
      <c r="C905"/>
      <c r="D905"/>
      <c r="E905"/>
      <c r="F905"/>
      <c r="G905"/>
    </row>
    <row r="906" spans="1:7">
      <c r="A906"/>
      <c r="B906"/>
      <c r="C906"/>
      <c r="D906"/>
      <c r="E906"/>
      <c r="F906"/>
      <c r="G906"/>
    </row>
    <row r="907" spans="1:7">
      <c r="A907"/>
      <c r="B907"/>
      <c r="C907"/>
      <c r="D907"/>
      <c r="E907"/>
      <c r="F907"/>
      <c r="G907"/>
    </row>
    <row r="908" spans="1:7">
      <c r="A908"/>
      <c r="B908"/>
      <c r="C908"/>
      <c r="D908"/>
      <c r="E908"/>
      <c r="F908"/>
      <c r="G908"/>
    </row>
    <row r="909" spans="1:7">
      <c r="A909"/>
      <c r="B909"/>
      <c r="C909"/>
      <c r="D909"/>
      <c r="E909"/>
      <c r="F909"/>
      <c r="G909"/>
    </row>
    <row r="910" spans="1:7">
      <c r="A910"/>
      <c r="B910"/>
      <c r="C910"/>
      <c r="D910"/>
      <c r="E910"/>
      <c r="F910"/>
      <c r="G910"/>
    </row>
    <row r="911" spans="1:7">
      <c r="A911"/>
      <c r="B911"/>
      <c r="C911"/>
      <c r="D911"/>
      <c r="E911"/>
      <c r="F911"/>
      <c r="G911"/>
    </row>
    <row r="912" spans="1:7">
      <c r="A912"/>
      <c r="B912"/>
      <c r="C912"/>
      <c r="D912"/>
      <c r="E912"/>
      <c r="F912"/>
      <c r="G912"/>
    </row>
    <row r="913" spans="1:7">
      <c r="A913"/>
      <c r="B913"/>
      <c r="C913"/>
      <c r="D913"/>
      <c r="E913"/>
      <c r="F913"/>
      <c r="G913"/>
    </row>
    <row r="914" spans="1:7">
      <c r="A914"/>
      <c r="B914"/>
      <c r="C914"/>
      <c r="D914"/>
      <c r="E914"/>
      <c r="F914"/>
      <c r="G914"/>
    </row>
    <row r="915" spans="1:7">
      <c r="A915"/>
      <c r="B915"/>
      <c r="C915"/>
      <c r="D915"/>
      <c r="E915"/>
      <c r="F915"/>
      <c r="G915"/>
    </row>
    <row r="916" spans="1:7">
      <c r="A916"/>
      <c r="B916"/>
      <c r="C916"/>
      <c r="D916"/>
      <c r="E916"/>
      <c r="F916"/>
      <c r="G916"/>
    </row>
    <row r="917" spans="1:7">
      <c r="A917"/>
      <c r="B917"/>
      <c r="C917"/>
      <c r="D917"/>
      <c r="E917"/>
      <c r="F917"/>
      <c r="G917"/>
    </row>
    <row r="918" spans="1:7">
      <c r="A918"/>
      <c r="B918"/>
      <c r="C918"/>
      <c r="D918"/>
      <c r="E918"/>
      <c r="F918"/>
      <c r="G918"/>
    </row>
    <row r="919" spans="1:7">
      <c r="A919"/>
      <c r="B919"/>
      <c r="C919"/>
      <c r="D919"/>
      <c r="E919"/>
      <c r="F919"/>
      <c r="G919"/>
    </row>
    <row r="920" spans="1:7">
      <c r="A920"/>
      <c r="B920"/>
      <c r="C920"/>
      <c r="D920"/>
      <c r="E920"/>
      <c r="F920"/>
      <c r="G920"/>
    </row>
    <row r="921" spans="1:7">
      <c r="A921"/>
      <c r="B921"/>
      <c r="C921"/>
      <c r="D921"/>
      <c r="E921"/>
      <c r="F921"/>
      <c r="G921"/>
    </row>
    <row r="922" spans="1:7">
      <c r="A922"/>
      <c r="B922"/>
      <c r="C922"/>
      <c r="D922"/>
      <c r="E922"/>
      <c r="F922"/>
      <c r="G922"/>
    </row>
    <row r="923" spans="1:7">
      <c r="A923"/>
      <c r="B923"/>
      <c r="C923"/>
      <c r="D923"/>
      <c r="E923"/>
      <c r="F923"/>
      <c r="G923"/>
    </row>
    <row r="924" spans="1:7">
      <c r="A924"/>
      <c r="B924"/>
      <c r="C924"/>
      <c r="D924"/>
      <c r="E924"/>
      <c r="F924"/>
      <c r="G924"/>
    </row>
    <row r="925" spans="1:7">
      <c r="A925"/>
      <c r="B925"/>
      <c r="C925"/>
      <c r="D925"/>
      <c r="E925"/>
      <c r="F925"/>
      <c r="G925"/>
    </row>
    <row r="926" spans="1:7">
      <c r="A926"/>
      <c r="B926"/>
      <c r="C926"/>
      <c r="D926"/>
      <c r="E926"/>
      <c r="F926"/>
      <c r="G926"/>
    </row>
    <row r="927" spans="1:7">
      <c r="A927"/>
      <c r="B927"/>
      <c r="C927"/>
      <c r="D927"/>
      <c r="E927"/>
      <c r="F927"/>
      <c r="G927"/>
    </row>
    <row r="928" spans="1:7">
      <c r="A928"/>
      <c r="B928"/>
      <c r="C928"/>
      <c r="D928"/>
      <c r="E928"/>
      <c r="F928"/>
      <c r="G928"/>
    </row>
    <row r="929" spans="1:7">
      <c r="A929"/>
      <c r="B929"/>
      <c r="C929"/>
      <c r="D929"/>
      <c r="E929"/>
      <c r="F929"/>
      <c r="G929"/>
    </row>
    <row r="930" spans="1:7">
      <c r="A930"/>
      <c r="B930"/>
      <c r="C930"/>
      <c r="D930"/>
      <c r="E930"/>
      <c r="F930"/>
      <c r="G930"/>
    </row>
    <row r="931" spans="1:7">
      <c r="A931"/>
      <c r="B931"/>
      <c r="C931"/>
      <c r="D931"/>
      <c r="E931"/>
      <c r="F931"/>
      <c r="G931"/>
    </row>
    <row r="932" spans="1:7">
      <c r="A932"/>
      <c r="B932"/>
      <c r="C932"/>
      <c r="D932"/>
      <c r="E932"/>
      <c r="F932"/>
      <c r="G932"/>
    </row>
    <row r="933" spans="1:7">
      <c r="A933"/>
      <c r="B933"/>
      <c r="C933"/>
      <c r="D933"/>
      <c r="E933"/>
      <c r="F933"/>
      <c r="G933"/>
    </row>
    <row r="934" spans="1:7">
      <c r="A934"/>
      <c r="B934"/>
      <c r="C934"/>
      <c r="D934"/>
      <c r="E934"/>
      <c r="F934"/>
      <c r="G934"/>
    </row>
    <row r="935" spans="1:7">
      <c r="A935"/>
      <c r="B935"/>
      <c r="C935"/>
      <c r="D935"/>
      <c r="E935"/>
      <c r="F935"/>
      <c r="G935"/>
    </row>
    <row r="936" spans="1:7">
      <c r="A936"/>
      <c r="B936"/>
      <c r="C936"/>
      <c r="D936"/>
      <c r="E936"/>
      <c r="F936"/>
      <c r="G936"/>
    </row>
    <row r="937" spans="1:7">
      <c r="A937"/>
      <c r="B937"/>
      <c r="C937"/>
      <c r="D937"/>
      <c r="E937"/>
      <c r="F937"/>
      <c r="G937"/>
    </row>
    <row r="938" spans="1:7">
      <c r="A938"/>
      <c r="B938"/>
      <c r="C938"/>
      <c r="D938"/>
      <c r="E938"/>
      <c r="F938"/>
      <c r="G938"/>
    </row>
    <row r="939" spans="1:7">
      <c r="A939"/>
      <c r="B939"/>
      <c r="C939"/>
      <c r="D939"/>
      <c r="E939"/>
      <c r="F939"/>
      <c r="G939"/>
    </row>
    <row r="940" spans="1:7">
      <c r="A940"/>
      <c r="B940"/>
      <c r="C940"/>
      <c r="D940"/>
      <c r="E940"/>
      <c r="F940"/>
      <c r="G940"/>
    </row>
    <row r="941" spans="1:7">
      <c r="A941"/>
      <c r="B941"/>
      <c r="C941"/>
      <c r="D941"/>
      <c r="E941"/>
      <c r="F941"/>
      <c r="G941"/>
    </row>
    <row r="942" spans="1:7">
      <c r="A942"/>
      <c r="B942"/>
      <c r="C942"/>
      <c r="D942"/>
      <c r="E942"/>
      <c r="F942"/>
      <c r="G942"/>
    </row>
    <row r="943" spans="1:7">
      <c r="A943"/>
      <c r="B943"/>
      <c r="C943"/>
      <c r="D943"/>
      <c r="E943"/>
      <c r="F943"/>
      <c r="G943"/>
    </row>
    <row r="944" spans="1:7">
      <c r="A944"/>
      <c r="B944"/>
      <c r="C944"/>
      <c r="D944"/>
      <c r="E944"/>
      <c r="F944"/>
      <c r="G944"/>
    </row>
    <row r="945" spans="1:7">
      <c r="A945"/>
      <c r="B945"/>
      <c r="C945"/>
      <c r="D945"/>
      <c r="E945"/>
      <c r="F945"/>
      <c r="G945"/>
    </row>
    <row r="946" spans="1:7">
      <c r="A946"/>
      <c r="B946"/>
      <c r="C946"/>
      <c r="D946"/>
      <c r="E946"/>
      <c r="F946"/>
      <c r="G946"/>
    </row>
    <row r="947" spans="1:7">
      <c r="A947"/>
      <c r="B947"/>
      <c r="C947"/>
      <c r="D947"/>
      <c r="E947"/>
      <c r="F947"/>
      <c r="G947"/>
    </row>
    <row r="948" spans="1:7">
      <c r="A948"/>
      <c r="B948"/>
      <c r="C948"/>
      <c r="D948"/>
      <c r="E948"/>
      <c r="F948"/>
      <c r="G948"/>
    </row>
    <row r="949" spans="1:7">
      <c r="A949"/>
      <c r="B949"/>
      <c r="C949"/>
      <c r="D949"/>
      <c r="E949"/>
      <c r="F949"/>
      <c r="G949"/>
    </row>
    <row r="950" spans="1:7">
      <c r="A950"/>
      <c r="B950"/>
      <c r="C950"/>
      <c r="D950"/>
      <c r="E950"/>
      <c r="F950"/>
      <c r="G950"/>
    </row>
    <row r="951" spans="1:7">
      <c r="A951"/>
      <c r="B951"/>
      <c r="C951"/>
      <c r="D951"/>
      <c r="E951"/>
      <c r="F951"/>
      <c r="G951"/>
    </row>
    <row r="952" spans="1:7">
      <c r="A952"/>
      <c r="B952"/>
      <c r="C952"/>
      <c r="D952"/>
      <c r="E952"/>
      <c r="F952"/>
      <c r="G952"/>
    </row>
    <row r="953" spans="1:7">
      <c r="A953"/>
      <c r="B953"/>
      <c r="C953"/>
      <c r="D953"/>
      <c r="E953"/>
      <c r="F953"/>
      <c r="G953"/>
    </row>
    <row r="954" spans="1:7">
      <c r="A954"/>
      <c r="B954"/>
      <c r="C954"/>
      <c r="D954"/>
      <c r="E954"/>
      <c r="F954"/>
      <c r="G954"/>
    </row>
    <row r="955" spans="1:7">
      <c r="A955"/>
      <c r="B955"/>
      <c r="C955"/>
      <c r="D955"/>
      <c r="E955"/>
      <c r="F955"/>
      <c r="G955"/>
    </row>
    <row r="956" spans="1:7">
      <c r="A956"/>
      <c r="B956"/>
      <c r="C956"/>
      <c r="D956"/>
      <c r="E956"/>
      <c r="F956"/>
      <c r="G956"/>
    </row>
    <row r="957" spans="1:7">
      <c r="A957"/>
      <c r="B957"/>
      <c r="C957"/>
      <c r="D957"/>
      <c r="E957"/>
      <c r="F957"/>
      <c r="G957"/>
    </row>
    <row r="958" spans="1:7">
      <c r="A958"/>
      <c r="B958"/>
      <c r="C958"/>
      <c r="D958"/>
      <c r="E958"/>
      <c r="F958"/>
      <c r="G958"/>
    </row>
    <row r="959" spans="1:7">
      <c r="A959"/>
      <c r="B959"/>
      <c r="C959"/>
      <c r="D959"/>
      <c r="E959"/>
      <c r="F959"/>
      <c r="G959"/>
    </row>
    <row r="960" spans="1:7">
      <c r="A960"/>
      <c r="B960"/>
      <c r="C960"/>
      <c r="D960"/>
      <c r="E960"/>
      <c r="F960"/>
      <c r="G960"/>
    </row>
    <row r="961" spans="1:7">
      <c r="A961"/>
      <c r="B961"/>
      <c r="C961"/>
      <c r="D961"/>
      <c r="E961"/>
      <c r="F961"/>
      <c r="G961"/>
    </row>
    <row r="962" spans="1:7">
      <c r="A962"/>
      <c r="B962"/>
      <c r="C962"/>
      <c r="D962"/>
      <c r="E962"/>
      <c r="F962"/>
      <c r="G962"/>
    </row>
    <row r="963" spans="1:7">
      <c r="A963"/>
      <c r="B963"/>
      <c r="C963"/>
      <c r="D963"/>
      <c r="E963"/>
      <c r="F963"/>
      <c r="G963"/>
    </row>
    <row r="964" spans="1:7">
      <c r="A964"/>
      <c r="B964"/>
      <c r="C964"/>
      <c r="D964"/>
      <c r="E964"/>
      <c r="F964"/>
      <c r="G964"/>
    </row>
    <row r="965" spans="1:7">
      <c r="A965"/>
      <c r="B965"/>
      <c r="C965"/>
      <c r="D965"/>
      <c r="E965"/>
      <c r="F965"/>
      <c r="G965"/>
    </row>
    <row r="966" spans="1:7">
      <c r="A966"/>
      <c r="B966"/>
      <c r="C966"/>
      <c r="D966"/>
      <c r="E966"/>
      <c r="F966"/>
      <c r="G966"/>
    </row>
    <row r="967" spans="1:7">
      <c r="A967"/>
      <c r="B967"/>
      <c r="C967"/>
      <c r="D967"/>
      <c r="E967"/>
      <c r="F967"/>
      <c r="G967"/>
    </row>
    <row r="968" spans="1:7">
      <c r="A968"/>
      <c r="B968"/>
      <c r="C968"/>
      <c r="D968"/>
      <c r="E968"/>
      <c r="F968"/>
      <c r="G968"/>
    </row>
    <row r="969" spans="1:7">
      <c r="A969"/>
      <c r="B969"/>
      <c r="C969"/>
      <c r="D969"/>
      <c r="E969"/>
      <c r="F969"/>
      <c r="G969"/>
    </row>
    <row r="970" spans="1:7">
      <c r="A970"/>
      <c r="B970"/>
      <c r="C970"/>
      <c r="D970"/>
      <c r="E970"/>
      <c r="F970"/>
      <c r="G970"/>
    </row>
    <row r="971" spans="1:7">
      <c r="A971"/>
      <c r="B971"/>
      <c r="C971"/>
      <c r="D971"/>
      <c r="E971"/>
      <c r="F971"/>
      <c r="G971"/>
    </row>
    <row r="972" spans="1:7">
      <c r="A972"/>
      <c r="B972"/>
      <c r="C972"/>
      <c r="D972"/>
      <c r="E972"/>
      <c r="F972"/>
      <c r="G972"/>
    </row>
    <row r="973" spans="1:7">
      <c r="A973"/>
      <c r="B973"/>
      <c r="C973"/>
      <c r="D973"/>
      <c r="E973"/>
      <c r="F973"/>
      <c r="G973"/>
    </row>
    <row r="974" spans="1:7">
      <c r="A974"/>
      <c r="B974"/>
      <c r="C974"/>
      <c r="D974"/>
      <c r="E974"/>
      <c r="F974"/>
      <c r="G974"/>
    </row>
    <row r="975" spans="1:7">
      <c r="A975"/>
      <c r="B975"/>
      <c r="C975"/>
      <c r="D975"/>
      <c r="E975"/>
      <c r="F975"/>
      <c r="G975"/>
    </row>
    <row r="976" spans="1:7">
      <c r="A976"/>
      <c r="B976"/>
      <c r="C976"/>
      <c r="D976"/>
      <c r="E976"/>
      <c r="F976"/>
      <c r="G976"/>
    </row>
    <row r="977" spans="1:7">
      <c r="A977"/>
      <c r="B977"/>
      <c r="C977"/>
      <c r="D977"/>
      <c r="E977"/>
      <c r="F977"/>
      <c r="G977"/>
    </row>
    <row r="978" spans="1:7">
      <c r="A978"/>
      <c r="B978"/>
      <c r="C978"/>
      <c r="D978"/>
      <c r="E978"/>
      <c r="F978"/>
      <c r="G978"/>
    </row>
    <row r="979" spans="1:7">
      <c r="A979"/>
      <c r="B979"/>
      <c r="C979"/>
      <c r="D979"/>
      <c r="E979"/>
      <c r="F979"/>
      <c r="G979"/>
    </row>
    <row r="980" spans="1:7">
      <c r="A980"/>
      <c r="B980"/>
      <c r="C980"/>
      <c r="D980"/>
      <c r="E980"/>
      <c r="F980"/>
      <c r="G980"/>
    </row>
    <row r="981" spans="1:7">
      <c r="A981"/>
      <c r="B981"/>
      <c r="C981"/>
      <c r="D981"/>
      <c r="E981"/>
      <c r="F981"/>
      <c r="G981"/>
    </row>
    <row r="982" spans="1:7">
      <c r="A982"/>
      <c r="B982"/>
      <c r="C982"/>
      <c r="D982"/>
      <c r="E982"/>
      <c r="F982"/>
      <c r="G982"/>
    </row>
    <row r="983" spans="1:7">
      <c r="A983"/>
      <c r="B983"/>
      <c r="C983"/>
      <c r="D983"/>
      <c r="E983"/>
      <c r="F983"/>
      <c r="G983"/>
    </row>
    <row r="984" spans="1:7">
      <c r="A984"/>
      <c r="B984"/>
      <c r="C984"/>
      <c r="D984"/>
      <c r="E984"/>
      <c r="F984"/>
      <c r="G984"/>
    </row>
    <row r="985" spans="1:7">
      <c r="A985"/>
      <c r="B985"/>
      <c r="C985"/>
      <c r="D985"/>
      <c r="E985"/>
      <c r="F985"/>
      <c r="G985"/>
    </row>
    <row r="986" spans="1:7">
      <c r="A986"/>
      <c r="B986"/>
      <c r="C986"/>
      <c r="D986"/>
      <c r="E986"/>
      <c r="F986"/>
      <c r="G986"/>
    </row>
    <row r="987" spans="1:7">
      <c r="A987"/>
      <c r="B987"/>
      <c r="C987"/>
      <c r="D987"/>
      <c r="E987"/>
      <c r="F987"/>
      <c r="G987"/>
    </row>
    <row r="988" spans="1:7">
      <c r="A988"/>
      <c r="B988"/>
      <c r="C988"/>
      <c r="D988"/>
      <c r="E988"/>
      <c r="F988"/>
      <c r="G988"/>
    </row>
    <row r="989" spans="1:7">
      <c r="A989"/>
      <c r="B989"/>
      <c r="C989"/>
      <c r="D989"/>
      <c r="E989"/>
      <c r="F989"/>
      <c r="G989"/>
    </row>
    <row r="990" spans="1:7">
      <c r="A990"/>
      <c r="B990"/>
      <c r="C990"/>
      <c r="D990"/>
      <c r="E990"/>
      <c r="F990"/>
      <c r="G990"/>
    </row>
    <row r="991" spans="1:7">
      <c r="A991"/>
      <c r="B991"/>
      <c r="C991"/>
      <c r="D991"/>
      <c r="E991"/>
      <c r="F991"/>
      <c r="G991"/>
    </row>
    <row r="992" spans="1:7">
      <c r="A992"/>
      <c r="B992"/>
      <c r="C992"/>
      <c r="D992"/>
      <c r="E992"/>
      <c r="F992"/>
      <c r="G992"/>
    </row>
    <row r="993" spans="1:7">
      <c r="A993"/>
      <c r="B993"/>
      <c r="C993"/>
      <c r="D993"/>
      <c r="E993"/>
      <c r="F993"/>
      <c r="G993"/>
    </row>
    <row r="994" spans="1:7">
      <c r="A994"/>
      <c r="B994"/>
      <c r="C994"/>
      <c r="D994"/>
      <c r="E994"/>
      <c r="F994"/>
      <c r="G994"/>
    </row>
    <row r="995" spans="1:7">
      <c r="A995"/>
      <c r="B995"/>
      <c r="C995"/>
      <c r="D995"/>
      <c r="E995"/>
      <c r="F995"/>
      <c r="G995"/>
    </row>
    <row r="996" spans="1:7">
      <c r="A996"/>
      <c r="B996"/>
      <c r="C996"/>
      <c r="D996"/>
      <c r="E996"/>
      <c r="F996"/>
      <c r="G996"/>
    </row>
    <row r="997" spans="1:7">
      <c r="A997"/>
      <c r="B997"/>
      <c r="C997"/>
      <c r="D997"/>
      <c r="E997"/>
      <c r="F997"/>
      <c r="G997"/>
    </row>
    <row r="998" spans="1:7">
      <c r="A998"/>
      <c r="B998"/>
      <c r="C998"/>
      <c r="D998"/>
      <c r="E998"/>
      <c r="F998"/>
      <c r="G998"/>
    </row>
    <row r="999" spans="1:7">
      <c r="A999"/>
      <c r="B999"/>
      <c r="C999"/>
      <c r="D999"/>
      <c r="E999"/>
      <c r="F999"/>
      <c r="G999"/>
    </row>
    <row r="1000" spans="1:7">
      <c r="A1000"/>
      <c r="B1000"/>
      <c r="C1000"/>
      <c r="D1000"/>
      <c r="E1000"/>
      <c r="F1000"/>
      <c r="G1000"/>
    </row>
    <row r="1001" spans="1:7">
      <c r="A1001"/>
      <c r="B1001"/>
      <c r="C1001"/>
      <c r="D1001"/>
      <c r="E1001"/>
      <c r="F1001"/>
      <c r="G1001"/>
    </row>
    <row r="1002" spans="1:7">
      <c r="A1002"/>
      <c r="B1002"/>
      <c r="C1002"/>
      <c r="D1002"/>
      <c r="E1002"/>
      <c r="F1002"/>
      <c r="G1002"/>
    </row>
    <row r="1003" spans="1:7">
      <c r="A1003"/>
      <c r="B1003"/>
      <c r="C1003"/>
      <c r="D1003"/>
      <c r="E1003"/>
      <c r="F1003"/>
      <c r="G1003"/>
    </row>
    <row r="1004" spans="1:7">
      <c r="A1004"/>
      <c r="B1004"/>
      <c r="C1004"/>
      <c r="D1004"/>
      <c r="E1004"/>
      <c r="F1004"/>
      <c r="G1004"/>
    </row>
    <row r="1005" spans="1:7">
      <c r="A1005"/>
      <c r="B1005"/>
      <c r="C1005"/>
      <c r="D1005"/>
      <c r="E1005"/>
      <c r="F1005"/>
      <c r="G1005"/>
    </row>
    <row r="1006" spans="1:7">
      <c r="A1006"/>
      <c r="B1006"/>
      <c r="C1006"/>
      <c r="D1006"/>
      <c r="E1006"/>
      <c r="F1006"/>
      <c r="G1006"/>
    </row>
    <row r="1007" spans="1:7">
      <c r="A1007"/>
      <c r="B1007"/>
      <c r="C1007"/>
      <c r="D1007"/>
      <c r="E1007"/>
      <c r="F1007"/>
      <c r="G1007"/>
    </row>
    <row r="1008" spans="1:7">
      <c r="A1008"/>
      <c r="B1008"/>
      <c r="C1008"/>
      <c r="D1008"/>
      <c r="E1008"/>
      <c r="F1008"/>
      <c r="G1008"/>
    </row>
    <row r="1009" spans="1:7">
      <c r="A1009"/>
      <c r="B1009"/>
      <c r="C1009"/>
      <c r="D1009"/>
      <c r="E1009"/>
      <c r="F1009"/>
      <c r="G1009"/>
    </row>
    <row r="1010" spans="1:7">
      <c r="A1010"/>
      <c r="B1010"/>
      <c r="C1010"/>
      <c r="D1010"/>
      <c r="E1010"/>
      <c r="F1010"/>
      <c r="G1010"/>
    </row>
    <row r="1011" spans="1:7">
      <c r="A1011"/>
      <c r="B1011"/>
      <c r="C1011"/>
      <c r="D1011"/>
      <c r="E1011"/>
      <c r="F1011"/>
      <c r="G1011"/>
    </row>
    <row r="1012" spans="1:7">
      <c r="A1012"/>
      <c r="B1012"/>
      <c r="C1012"/>
      <c r="D1012"/>
      <c r="E1012"/>
      <c r="F1012"/>
      <c r="G1012"/>
    </row>
    <row r="1013" spans="1:7">
      <c r="A1013"/>
      <c r="B1013"/>
      <c r="C1013"/>
      <c r="D1013"/>
      <c r="E1013"/>
      <c r="F1013"/>
      <c r="G1013"/>
    </row>
    <row r="1014" spans="1:7">
      <c r="A1014"/>
      <c r="B1014"/>
      <c r="C1014"/>
      <c r="D1014"/>
      <c r="E1014"/>
      <c r="F1014"/>
      <c r="G1014"/>
    </row>
    <row r="1015" spans="1:7">
      <c r="A1015"/>
      <c r="B1015"/>
      <c r="C1015"/>
      <c r="D1015"/>
      <c r="E1015"/>
      <c r="F1015"/>
      <c r="G1015"/>
    </row>
    <row r="1016" spans="1:7">
      <c r="A1016"/>
      <c r="B1016"/>
      <c r="C1016"/>
      <c r="D1016"/>
      <c r="E1016"/>
      <c r="F1016"/>
      <c r="G1016"/>
    </row>
    <row r="1017" spans="1:7">
      <c r="A1017"/>
      <c r="B1017"/>
      <c r="C1017"/>
      <c r="D1017"/>
      <c r="E1017"/>
      <c r="F1017"/>
      <c r="G1017"/>
    </row>
    <row r="1018" spans="1:7">
      <c r="A1018"/>
      <c r="B1018"/>
      <c r="C1018"/>
      <c r="D1018"/>
      <c r="E1018"/>
      <c r="F1018"/>
      <c r="G1018"/>
    </row>
    <row r="1019" spans="1:7">
      <c r="A1019"/>
      <c r="B1019"/>
      <c r="C1019"/>
      <c r="D1019"/>
      <c r="E1019"/>
      <c r="F1019"/>
      <c r="G1019"/>
    </row>
    <row r="1020" spans="1:7">
      <c r="A1020"/>
      <c r="B1020"/>
      <c r="C1020"/>
      <c r="D1020"/>
      <c r="E1020"/>
      <c r="F1020"/>
      <c r="G1020"/>
    </row>
    <row r="1021" spans="1:7">
      <c r="A1021"/>
      <c r="B1021"/>
      <c r="C1021"/>
      <c r="D1021"/>
      <c r="E1021"/>
      <c r="F1021"/>
      <c r="G1021"/>
    </row>
    <row r="1022" spans="1:7">
      <c r="A1022"/>
      <c r="B1022"/>
      <c r="C1022"/>
      <c r="D1022"/>
      <c r="E1022"/>
      <c r="F1022"/>
      <c r="G1022"/>
    </row>
    <row r="1023" spans="1:7">
      <c r="A1023"/>
      <c r="B1023"/>
      <c r="C1023"/>
      <c r="D1023"/>
      <c r="E1023"/>
      <c r="F1023"/>
      <c r="G1023"/>
    </row>
    <row r="1024" spans="1:7">
      <c r="A1024"/>
      <c r="B1024"/>
      <c r="C1024"/>
      <c r="D1024"/>
      <c r="E1024"/>
      <c r="F1024"/>
      <c r="G1024"/>
    </row>
    <row r="1025" spans="1:7">
      <c r="A1025"/>
      <c r="B1025"/>
      <c r="C1025"/>
      <c r="D1025"/>
      <c r="E1025"/>
      <c r="F1025"/>
      <c r="G1025"/>
    </row>
    <row r="1026" spans="1:7">
      <c r="A1026"/>
      <c r="B1026"/>
      <c r="C1026"/>
      <c r="D1026"/>
      <c r="E1026"/>
      <c r="F1026"/>
      <c r="G1026"/>
    </row>
    <row r="1027" spans="1:7">
      <c r="A1027"/>
      <c r="B1027"/>
      <c r="C1027"/>
      <c r="D1027"/>
      <c r="E1027"/>
      <c r="F1027"/>
      <c r="G1027"/>
    </row>
    <row r="1028" spans="1:7">
      <c r="A1028"/>
      <c r="B1028"/>
      <c r="C1028"/>
      <c r="D1028"/>
      <c r="E1028"/>
      <c r="F1028"/>
      <c r="G1028"/>
    </row>
    <row r="1029" spans="1:7">
      <c r="A1029"/>
      <c r="B1029"/>
      <c r="C1029"/>
      <c r="D1029"/>
      <c r="E1029"/>
      <c r="F1029"/>
      <c r="G1029"/>
    </row>
    <row r="1030" spans="1:7">
      <c r="A1030"/>
      <c r="B1030"/>
      <c r="C1030"/>
      <c r="D1030"/>
      <c r="E1030"/>
      <c r="F1030"/>
      <c r="G1030"/>
    </row>
    <row r="1031" spans="1:7">
      <c r="A1031"/>
      <c r="B1031"/>
      <c r="C1031"/>
      <c r="D1031"/>
      <c r="E1031"/>
      <c r="F1031"/>
      <c r="G1031"/>
    </row>
    <row r="1032" spans="1:7">
      <c r="A1032"/>
      <c r="B1032"/>
      <c r="C1032"/>
      <c r="D1032"/>
      <c r="E1032"/>
      <c r="F1032"/>
      <c r="G1032"/>
    </row>
    <row r="1033" spans="1:7">
      <c r="A1033"/>
      <c r="B1033"/>
      <c r="C1033"/>
      <c r="D1033"/>
      <c r="E1033"/>
      <c r="F1033"/>
      <c r="G1033"/>
    </row>
    <row r="1034" spans="1:7">
      <c r="A1034"/>
      <c r="B1034"/>
      <c r="C1034"/>
      <c r="D1034"/>
      <c r="E1034"/>
      <c r="F1034"/>
      <c r="G1034"/>
    </row>
    <row r="1035" spans="1:7">
      <c r="A1035"/>
      <c r="B1035"/>
      <c r="C1035"/>
      <c r="D1035"/>
      <c r="E1035"/>
      <c r="F1035"/>
      <c r="G1035"/>
    </row>
    <row r="1036" spans="1:7">
      <c r="A1036"/>
      <c r="B1036"/>
      <c r="C1036"/>
      <c r="D1036"/>
      <c r="E1036"/>
      <c r="F1036"/>
      <c r="G1036"/>
    </row>
    <row r="1037" spans="1:7">
      <c r="A1037"/>
      <c r="B1037"/>
      <c r="C1037"/>
      <c r="D1037"/>
      <c r="E1037"/>
      <c r="F1037"/>
      <c r="G1037"/>
    </row>
    <row r="1038" spans="1:7">
      <c r="A1038"/>
      <c r="B1038"/>
      <c r="C1038"/>
      <c r="D1038"/>
      <c r="E1038"/>
      <c r="F1038"/>
      <c r="G1038"/>
    </row>
    <row r="1039" spans="1:7">
      <c r="A1039"/>
      <c r="B1039"/>
      <c r="C1039"/>
      <c r="D1039"/>
      <c r="E1039"/>
      <c r="F1039"/>
      <c r="G1039"/>
    </row>
    <row r="1040" spans="1:7">
      <c r="A1040"/>
      <c r="B1040"/>
      <c r="C1040"/>
      <c r="D1040"/>
      <c r="E1040"/>
      <c r="F1040"/>
      <c r="G1040"/>
    </row>
    <row r="1041" spans="1:7">
      <c r="A1041"/>
      <c r="B1041"/>
      <c r="C1041"/>
      <c r="D1041"/>
      <c r="E1041"/>
      <c r="F1041"/>
      <c r="G1041"/>
    </row>
    <row r="1042" spans="1:7">
      <c r="A1042"/>
      <c r="B1042"/>
      <c r="C1042"/>
      <c r="D1042"/>
      <c r="E1042"/>
      <c r="F1042"/>
      <c r="G1042"/>
    </row>
    <row r="1043" spans="1:7">
      <c r="A1043"/>
      <c r="B1043"/>
      <c r="C1043"/>
      <c r="D1043"/>
      <c r="E1043"/>
      <c r="F1043"/>
      <c r="G1043"/>
    </row>
    <row r="1044" spans="1:7">
      <c r="A1044"/>
      <c r="B1044"/>
      <c r="C1044"/>
      <c r="D1044"/>
      <c r="E1044"/>
      <c r="F1044"/>
      <c r="G1044"/>
    </row>
    <row r="1045" spans="1:7">
      <c r="A1045"/>
      <c r="B1045"/>
      <c r="C1045"/>
      <c r="D1045"/>
      <c r="E1045"/>
      <c r="F1045"/>
      <c r="G1045"/>
    </row>
    <row r="1046" spans="1:7">
      <c r="A1046"/>
      <c r="B1046"/>
      <c r="C1046"/>
      <c r="D1046"/>
      <c r="E1046"/>
      <c r="F1046"/>
      <c r="G1046"/>
    </row>
    <row r="1047" spans="1:7">
      <c r="A1047"/>
      <c r="B1047"/>
      <c r="C1047"/>
      <c r="D1047"/>
      <c r="E1047"/>
      <c r="F1047"/>
      <c r="G1047"/>
    </row>
    <row r="1048" spans="1:7">
      <c r="A1048"/>
      <c r="B1048"/>
      <c r="C1048"/>
      <c r="D1048"/>
      <c r="E1048"/>
      <c r="F1048"/>
      <c r="G1048"/>
    </row>
    <row r="1049" spans="1:7">
      <c r="A1049"/>
      <c r="B1049"/>
      <c r="C1049"/>
      <c r="D1049"/>
      <c r="E1049"/>
      <c r="F1049"/>
      <c r="G1049"/>
    </row>
    <row r="1050" spans="1:7">
      <c r="A1050"/>
      <c r="B1050"/>
      <c r="C1050"/>
      <c r="D1050"/>
      <c r="E1050"/>
      <c r="F1050"/>
      <c r="G1050"/>
    </row>
    <row r="1051" spans="1:7">
      <c r="A1051"/>
      <c r="B1051"/>
      <c r="C1051"/>
      <c r="D1051"/>
      <c r="E1051"/>
      <c r="F1051"/>
      <c r="G1051"/>
    </row>
    <row r="1052" spans="1:7">
      <c r="A1052"/>
      <c r="B1052"/>
      <c r="C1052"/>
      <c r="D1052"/>
      <c r="E1052"/>
      <c r="F1052"/>
      <c r="G1052"/>
    </row>
    <row r="1053" spans="1:7">
      <c r="A1053"/>
      <c r="B1053"/>
      <c r="C1053"/>
      <c r="D1053"/>
      <c r="E1053"/>
      <c r="F1053"/>
      <c r="G1053"/>
    </row>
    <row r="1054" spans="1:7">
      <c r="A1054"/>
      <c r="B1054"/>
      <c r="C1054"/>
      <c r="D1054"/>
      <c r="E1054"/>
      <c r="F1054"/>
      <c r="G1054"/>
    </row>
    <row r="1055" spans="1:7">
      <c r="A1055"/>
      <c r="B1055"/>
      <c r="C1055"/>
      <c r="D1055"/>
      <c r="E1055"/>
      <c r="F1055"/>
      <c r="G1055"/>
    </row>
    <row r="1056" spans="1:7">
      <c r="A1056"/>
      <c r="B1056"/>
      <c r="C1056"/>
      <c r="D1056"/>
      <c r="E1056"/>
      <c r="F1056"/>
      <c r="G1056"/>
    </row>
    <row r="1057" spans="1:7">
      <c r="A1057"/>
      <c r="B1057"/>
      <c r="C1057"/>
      <c r="D1057"/>
      <c r="E1057"/>
      <c r="F1057"/>
      <c r="G1057"/>
    </row>
    <row r="1058" spans="1:7">
      <c r="A1058"/>
      <c r="B1058"/>
      <c r="C1058"/>
      <c r="D1058"/>
      <c r="E1058"/>
      <c r="F1058"/>
      <c r="G1058"/>
    </row>
    <row r="1059" spans="1:7">
      <c r="A1059"/>
      <c r="B1059"/>
      <c r="C1059"/>
      <c r="D1059"/>
      <c r="E1059"/>
      <c r="F1059"/>
      <c r="G1059"/>
    </row>
    <row r="1060" spans="1:7">
      <c r="A1060"/>
      <c r="B1060"/>
      <c r="C1060"/>
      <c r="D1060"/>
      <c r="E1060"/>
      <c r="F1060"/>
      <c r="G1060"/>
    </row>
    <row r="1061" spans="1:7">
      <c r="A1061"/>
      <c r="B1061"/>
      <c r="C1061"/>
      <c r="D1061"/>
      <c r="E1061"/>
      <c r="F1061"/>
      <c r="G1061"/>
    </row>
    <row r="1062" spans="1:7">
      <c r="A1062"/>
      <c r="B1062"/>
      <c r="C1062"/>
      <c r="D1062"/>
      <c r="E1062"/>
      <c r="F1062"/>
      <c r="G1062"/>
    </row>
    <row r="1063" spans="1:7">
      <c r="A1063"/>
      <c r="B1063"/>
      <c r="C1063"/>
      <c r="D1063"/>
      <c r="E1063"/>
      <c r="F1063"/>
      <c r="G1063"/>
    </row>
    <row r="1064" spans="1:7">
      <c r="A1064"/>
      <c r="B1064"/>
      <c r="C1064"/>
      <c r="D1064"/>
      <c r="E1064"/>
      <c r="F1064"/>
      <c r="G1064"/>
    </row>
    <row r="1065" spans="1:7">
      <c r="A1065"/>
      <c r="B1065"/>
      <c r="C1065"/>
      <c r="D1065"/>
      <c r="E1065"/>
      <c r="F1065"/>
      <c r="G1065"/>
    </row>
    <row r="1066" spans="1:7">
      <c r="A1066"/>
      <c r="B1066"/>
      <c r="C1066"/>
      <c r="D1066"/>
      <c r="E1066"/>
      <c r="F1066"/>
      <c r="G1066"/>
    </row>
    <row r="1067" spans="1:7">
      <c r="A1067"/>
      <c r="B1067"/>
      <c r="C1067"/>
      <c r="D1067"/>
      <c r="E1067"/>
      <c r="F1067"/>
      <c r="G1067"/>
    </row>
    <row r="1068" spans="1:7">
      <c r="A1068"/>
      <c r="B1068"/>
      <c r="C1068"/>
      <c r="D1068"/>
      <c r="E1068"/>
      <c r="F1068"/>
      <c r="G1068"/>
    </row>
    <row r="1069" spans="1:7">
      <c r="A1069"/>
      <c r="B1069"/>
      <c r="C1069"/>
      <c r="D1069"/>
      <c r="E1069"/>
      <c r="F1069"/>
      <c r="G1069"/>
    </row>
    <row r="1070" spans="1:7">
      <c r="A1070"/>
      <c r="B1070"/>
      <c r="C1070"/>
      <c r="D1070"/>
      <c r="E1070"/>
      <c r="F1070"/>
      <c r="G1070"/>
    </row>
    <row r="1071" spans="1:7">
      <c r="A1071"/>
      <c r="B1071"/>
      <c r="C1071"/>
      <c r="D1071"/>
      <c r="E1071"/>
      <c r="F1071"/>
      <c r="G1071"/>
    </row>
    <row r="1072" spans="1:7">
      <c r="A1072"/>
      <c r="B1072"/>
      <c r="C1072"/>
      <c r="D1072"/>
      <c r="E1072"/>
      <c r="F1072"/>
      <c r="G1072"/>
    </row>
    <row r="1073" spans="1:7">
      <c r="A1073"/>
      <c r="B1073"/>
      <c r="C1073"/>
      <c r="D1073"/>
      <c r="E1073"/>
      <c r="F1073"/>
      <c r="G1073"/>
    </row>
    <row r="1074" spans="1:7">
      <c r="A1074"/>
      <c r="B1074"/>
      <c r="C1074"/>
      <c r="D1074"/>
      <c r="E1074"/>
      <c r="F1074"/>
      <c r="G1074"/>
    </row>
    <row r="1075" spans="1:7">
      <c r="A1075"/>
      <c r="B1075"/>
      <c r="C1075"/>
      <c r="D1075"/>
      <c r="E1075"/>
      <c r="F1075"/>
      <c r="G1075"/>
    </row>
    <row r="1076" spans="1:7">
      <c r="A1076"/>
      <c r="B1076"/>
      <c r="C1076"/>
      <c r="D1076"/>
      <c r="E1076"/>
      <c r="F1076"/>
      <c r="G1076"/>
    </row>
    <row r="1077" spans="1:7">
      <c r="A1077"/>
      <c r="B1077"/>
      <c r="C1077"/>
      <c r="D1077"/>
      <c r="E1077"/>
      <c r="F1077"/>
      <c r="G1077"/>
    </row>
    <row r="1078" spans="1:7">
      <c r="A1078"/>
      <c r="B1078"/>
      <c r="C1078"/>
      <c r="D1078"/>
      <c r="E1078"/>
      <c r="F1078"/>
      <c r="G1078"/>
    </row>
    <row r="1079" spans="1:7">
      <c r="A1079"/>
      <c r="B1079"/>
      <c r="C1079"/>
      <c r="D1079"/>
      <c r="E1079"/>
      <c r="F1079"/>
      <c r="G1079"/>
    </row>
    <row r="1080" spans="1:7">
      <c r="A1080"/>
      <c r="B1080"/>
      <c r="C1080"/>
      <c r="D1080"/>
      <c r="E1080"/>
      <c r="F1080"/>
      <c r="G1080"/>
    </row>
    <row r="1081" spans="1:7">
      <c r="A1081"/>
      <c r="B1081"/>
      <c r="C1081"/>
      <c r="D1081"/>
      <c r="E1081"/>
      <c r="F1081"/>
      <c r="G1081"/>
    </row>
    <row r="1082" spans="1:7">
      <c r="A1082"/>
      <c r="B1082"/>
      <c r="C1082"/>
      <c r="D1082"/>
      <c r="E1082"/>
      <c r="F1082"/>
      <c r="G1082"/>
    </row>
    <row r="1083" spans="1:7">
      <c r="A1083"/>
      <c r="B1083"/>
      <c r="C1083"/>
      <c r="D1083"/>
      <c r="E1083"/>
      <c r="F1083"/>
      <c r="G1083"/>
    </row>
    <row r="1084" spans="1:7">
      <c r="A1084"/>
      <c r="B1084"/>
      <c r="C1084"/>
      <c r="D1084"/>
      <c r="E1084"/>
      <c r="F1084"/>
      <c r="G1084"/>
    </row>
    <row r="1085" spans="1:7">
      <c r="A1085"/>
      <c r="B1085"/>
      <c r="C1085"/>
      <c r="D1085"/>
      <c r="E1085"/>
      <c r="F1085"/>
      <c r="G1085"/>
    </row>
    <row r="1086" spans="1:7">
      <c r="A1086"/>
      <c r="B1086"/>
      <c r="C1086"/>
      <c r="D1086"/>
      <c r="E1086"/>
      <c r="F1086"/>
      <c r="G1086"/>
    </row>
    <row r="1087" spans="1:7">
      <c r="A1087"/>
      <c r="B1087"/>
      <c r="C1087"/>
      <c r="D1087"/>
      <c r="E1087"/>
      <c r="F1087"/>
      <c r="G1087"/>
    </row>
    <row r="1088" spans="1:7">
      <c r="A1088"/>
      <c r="B1088"/>
      <c r="C1088"/>
      <c r="D1088"/>
      <c r="E1088"/>
      <c r="F1088"/>
      <c r="G1088"/>
    </row>
    <row r="1089" spans="1:7">
      <c r="A1089"/>
      <c r="B1089"/>
      <c r="C1089"/>
      <c r="D1089"/>
      <c r="E1089"/>
      <c r="F1089"/>
      <c r="G1089"/>
    </row>
    <row r="1090" spans="1:7">
      <c r="A1090"/>
      <c r="B1090"/>
      <c r="C1090"/>
      <c r="D1090"/>
      <c r="E1090"/>
      <c r="F1090"/>
      <c r="G1090"/>
    </row>
    <row r="1091" spans="1:7">
      <c r="A1091"/>
      <c r="B1091"/>
      <c r="C1091"/>
      <c r="D1091"/>
      <c r="E1091"/>
      <c r="F1091"/>
      <c r="G1091"/>
    </row>
    <row r="1092" spans="1:7">
      <c r="A1092"/>
      <c r="B1092"/>
      <c r="C1092"/>
      <c r="D1092"/>
      <c r="E1092"/>
      <c r="F1092"/>
      <c r="G1092"/>
    </row>
    <row r="1093" spans="1:7">
      <c r="A1093"/>
      <c r="B1093"/>
      <c r="C1093"/>
      <c r="D1093"/>
      <c r="E1093"/>
      <c r="F1093"/>
      <c r="G1093"/>
    </row>
    <row r="1094" spans="1:7">
      <c r="A1094"/>
      <c r="B1094"/>
      <c r="C1094"/>
      <c r="D1094"/>
      <c r="E1094"/>
      <c r="F1094"/>
      <c r="G1094"/>
    </row>
    <row r="1095" spans="1:7">
      <c r="A1095"/>
      <c r="B1095"/>
      <c r="C1095"/>
      <c r="D1095"/>
      <c r="E1095"/>
      <c r="F1095"/>
      <c r="G1095"/>
    </row>
    <row r="1096" spans="1:7">
      <c r="A1096"/>
      <c r="B1096"/>
      <c r="C1096"/>
      <c r="D1096"/>
      <c r="E1096"/>
      <c r="F1096"/>
      <c r="G1096"/>
    </row>
    <row r="1097" spans="1:7">
      <c r="A1097"/>
      <c r="B1097"/>
      <c r="C1097"/>
      <c r="D1097"/>
      <c r="E1097"/>
      <c r="F1097"/>
      <c r="G1097"/>
    </row>
    <row r="1098" spans="1:7">
      <c r="A1098"/>
      <c r="B1098"/>
      <c r="C1098"/>
      <c r="D1098"/>
      <c r="E1098"/>
      <c r="F1098"/>
      <c r="G1098"/>
    </row>
    <row r="1099" spans="1:7">
      <c r="A1099"/>
      <c r="B1099"/>
      <c r="C1099"/>
      <c r="D1099"/>
      <c r="E1099"/>
      <c r="F1099"/>
      <c r="G1099"/>
    </row>
    <row r="1100" spans="1:7">
      <c r="A1100"/>
      <c r="B1100"/>
      <c r="C1100"/>
      <c r="D1100"/>
      <c r="E1100"/>
      <c r="F1100"/>
      <c r="G1100"/>
    </row>
    <row r="1101" spans="1:7">
      <c r="A1101"/>
      <c r="B1101"/>
      <c r="C1101"/>
      <c r="D1101"/>
      <c r="E1101"/>
      <c r="F1101"/>
      <c r="G1101"/>
    </row>
    <row r="1102" spans="1:7">
      <c r="A1102"/>
      <c r="B1102"/>
      <c r="C1102"/>
      <c r="D1102"/>
      <c r="E1102"/>
      <c r="F1102"/>
      <c r="G1102"/>
    </row>
    <row r="1103" spans="1:7">
      <c r="A1103"/>
      <c r="B1103"/>
      <c r="C1103"/>
      <c r="D1103"/>
      <c r="E1103"/>
      <c r="F1103"/>
      <c r="G1103"/>
    </row>
    <row r="1104" spans="1:7">
      <c r="A1104"/>
      <c r="B1104"/>
      <c r="C1104"/>
      <c r="D1104"/>
      <c r="E1104"/>
      <c r="F1104"/>
      <c r="G1104"/>
    </row>
    <row r="1105" spans="1:7">
      <c r="A1105"/>
      <c r="B1105"/>
      <c r="C1105"/>
      <c r="D1105"/>
      <c r="E1105"/>
      <c r="F1105"/>
      <c r="G1105"/>
    </row>
    <row r="1106" spans="1:7">
      <c r="A1106"/>
      <c r="B1106"/>
      <c r="C1106"/>
      <c r="D1106"/>
      <c r="E1106"/>
      <c r="F1106"/>
      <c r="G1106"/>
    </row>
    <row r="1107" spans="1:7">
      <c r="A1107"/>
      <c r="B1107"/>
      <c r="C1107"/>
      <c r="D1107"/>
      <c r="E1107"/>
      <c r="F1107"/>
      <c r="G1107"/>
    </row>
    <row r="1108" spans="1:7">
      <c r="A1108"/>
      <c r="B1108"/>
      <c r="C1108"/>
      <c r="D1108"/>
      <c r="E1108"/>
      <c r="F1108"/>
      <c r="G1108"/>
    </row>
    <row r="1109" spans="1:7">
      <c r="A1109"/>
      <c r="B1109"/>
      <c r="C1109"/>
      <c r="D1109"/>
      <c r="E1109"/>
      <c r="F1109"/>
      <c r="G1109"/>
    </row>
    <row r="1110" spans="1:7">
      <c r="A1110"/>
      <c r="B1110"/>
      <c r="C1110"/>
      <c r="D1110"/>
      <c r="E1110"/>
      <c r="F1110"/>
      <c r="G1110"/>
    </row>
    <row r="1111" spans="1:7">
      <c r="A1111"/>
      <c r="B1111"/>
      <c r="C1111"/>
      <c r="D1111"/>
      <c r="E1111"/>
      <c r="F1111"/>
      <c r="G1111"/>
    </row>
    <row r="1112" spans="1:7">
      <c r="A1112"/>
      <c r="B1112"/>
      <c r="C1112"/>
      <c r="D1112"/>
      <c r="E1112"/>
      <c r="F1112"/>
      <c r="G1112"/>
    </row>
    <row r="1113" spans="1:7">
      <c r="A1113"/>
      <c r="B1113"/>
      <c r="C1113"/>
      <c r="D1113"/>
      <c r="E1113"/>
      <c r="F1113"/>
      <c r="G1113"/>
    </row>
    <row r="1114" spans="1:7">
      <c r="A1114"/>
      <c r="B1114"/>
      <c r="C1114"/>
      <c r="D1114"/>
      <c r="E1114"/>
      <c r="F1114"/>
      <c r="G1114"/>
    </row>
    <row r="1115" spans="1:7">
      <c r="A1115"/>
      <c r="B1115"/>
      <c r="C1115"/>
      <c r="D1115"/>
      <c r="E1115"/>
      <c r="F1115"/>
      <c r="G1115"/>
    </row>
    <row r="1116" spans="1:7">
      <c r="A1116"/>
      <c r="B1116"/>
      <c r="C1116"/>
      <c r="D1116"/>
      <c r="E1116"/>
      <c r="F1116"/>
      <c r="G1116"/>
    </row>
    <row r="1117" spans="1:7">
      <c r="A1117"/>
      <c r="B1117"/>
      <c r="C1117"/>
      <c r="D1117"/>
      <c r="E1117"/>
      <c r="F1117"/>
      <c r="G1117"/>
    </row>
    <row r="1118" spans="1:7">
      <c r="A1118"/>
      <c r="B1118"/>
      <c r="C1118"/>
      <c r="D1118"/>
      <c r="E1118"/>
      <c r="F1118"/>
      <c r="G1118"/>
    </row>
    <row r="1119" spans="1:7">
      <c r="A1119"/>
      <c r="B1119"/>
      <c r="C1119"/>
      <c r="D1119"/>
      <c r="E1119"/>
      <c r="F1119"/>
      <c r="G1119"/>
    </row>
    <row r="1120" spans="1:7">
      <c r="A1120"/>
      <c r="B1120"/>
      <c r="C1120"/>
      <c r="D1120"/>
      <c r="E1120"/>
      <c r="F1120"/>
      <c r="G1120"/>
    </row>
    <row r="1121" spans="1:7">
      <c r="A1121"/>
      <c r="B1121"/>
      <c r="C1121"/>
      <c r="D1121"/>
      <c r="E1121"/>
      <c r="F1121"/>
      <c r="G1121"/>
    </row>
    <row r="1122" spans="1:7">
      <c r="A1122"/>
      <c r="B1122"/>
      <c r="C1122"/>
      <c r="D1122"/>
      <c r="E1122"/>
      <c r="F1122"/>
      <c r="G1122"/>
    </row>
    <row r="1123" spans="1:7">
      <c r="A1123"/>
      <c r="B1123"/>
      <c r="C1123"/>
      <c r="D1123"/>
      <c r="E1123"/>
      <c r="F1123"/>
      <c r="G1123"/>
    </row>
    <row r="1124" spans="1:7">
      <c r="A1124"/>
      <c r="B1124"/>
      <c r="C1124"/>
      <c r="D1124"/>
      <c r="E1124"/>
      <c r="F1124"/>
      <c r="G1124"/>
    </row>
    <row r="1125" spans="1:7">
      <c r="A1125"/>
      <c r="B1125"/>
      <c r="C1125"/>
      <c r="D1125"/>
      <c r="E1125"/>
      <c r="F1125"/>
      <c r="G1125"/>
    </row>
    <row r="1126" spans="1:7">
      <c r="A1126"/>
      <c r="B1126"/>
      <c r="C1126"/>
      <c r="D1126"/>
      <c r="E1126"/>
      <c r="F1126"/>
      <c r="G1126"/>
    </row>
    <row r="1127" spans="1:7">
      <c r="A1127"/>
      <c r="B1127"/>
      <c r="C1127"/>
      <c r="D1127"/>
      <c r="E1127"/>
      <c r="F1127"/>
      <c r="G1127"/>
    </row>
    <row r="1128" spans="1:7">
      <c r="A1128"/>
      <c r="B1128"/>
      <c r="C1128"/>
      <c r="D1128"/>
      <c r="E1128"/>
      <c r="F1128"/>
      <c r="G1128"/>
    </row>
    <row r="1129" spans="1:7">
      <c r="A1129"/>
      <c r="B1129"/>
      <c r="C1129"/>
      <c r="D1129"/>
      <c r="E1129"/>
      <c r="F1129"/>
      <c r="G1129"/>
    </row>
    <row r="1130" spans="1:7">
      <c r="A1130"/>
      <c r="B1130"/>
      <c r="C1130"/>
      <c r="D1130"/>
      <c r="E1130"/>
      <c r="F1130"/>
      <c r="G1130"/>
    </row>
    <row r="1131" spans="1:7">
      <c r="A1131"/>
      <c r="B1131"/>
      <c r="C1131"/>
      <c r="D1131"/>
      <c r="E1131"/>
      <c r="F1131"/>
      <c r="G1131"/>
    </row>
    <row r="1132" spans="1:7">
      <c r="A1132"/>
      <c r="B1132"/>
      <c r="C1132"/>
      <c r="D1132"/>
      <c r="E1132"/>
      <c r="F1132"/>
      <c r="G1132"/>
    </row>
    <row r="1133" spans="1:7">
      <c r="A1133"/>
      <c r="B1133"/>
      <c r="C1133"/>
      <c r="D1133"/>
      <c r="E1133"/>
      <c r="F1133"/>
      <c r="G1133"/>
    </row>
    <row r="1134" spans="1:7">
      <c r="A1134"/>
      <c r="B1134"/>
      <c r="C1134"/>
      <c r="D1134"/>
      <c r="E1134"/>
      <c r="F1134"/>
      <c r="G1134"/>
    </row>
    <row r="1135" spans="1:7">
      <c r="A1135"/>
      <c r="B1135"/>
      <c r="C1135"/>
      <c r="D1135"/>
      <c r="E1135"/>
      <c r="F1135"/>
      <c r="G1135"/>
    </row>
    <row r="1136" spans="1:7">
      <c r="A1136"/>
      <c r="B1136"/>
      <c r="C1136"/>
      <c r="D1136"/>
      <c r="E1136"/>
      <c r="F1136"/>
      <c r="G1136"/>
    </row>
    <row r="1137" spans="1:7">
      <c r="A1137"/>
      <c r="B1137"/>
      <c r="C1137"/>
      <c r="D1137"/>
      <c r="E1137"/>
      <c r="F1137"/>
      <c r="G1137"/>
    </row>
    <row r="1138" spans="1:7">
      <c r="A1138"/>
      <c r="B1138"/>
      <c r="C1138"/>
      <c r="D1138"/>
      <c r="E1138"/>
      <c r="F1138"/>
      <c r="G1138"/>
    </row>
    <row r="1139" spans="1:7">
      <c r="A1139"/>
      <c r="B1139"/>
      <c r="C1139"/>
      <c r="D1139"/>
      <c r="E1139"/>
      <c r="F1139"/>
      <c r="G1139"/>
    </row>
    <row r="1140" spans="1:7">
      <c r="A1140"/>
      <c r="B1140"/>
      <c r="C1140"/>
      <c r="D1140"/>
      <c r="E1140"/>
      <c r="F1140"/>
      <c r="G1140"/>
    </row>
    <row r="1141" spans="1:7">
      <c r="A1141"/>
      <c r="B1141"/>
      <c r="C1141"/>
      <c r="D1141"/>
      <c r="E1141"/>
      <c r="F1141"/>
      <c r="G1141"/>
    </row>
    <row r="1142" spans="1:7">
      <c r="A1142"/>
      <c r="B1142"/>
      <c r="C1142"/>
      <c r="D1142"/>
      <c r="E1142"/>
      <c r="F1142"/>
      <c r="G1142"/>
    </row>
    <row r="1143" spans="1:7">
      <c r="A1143"/>
      <c r="B1143"/>
      <c r="C1143"/>
      <c r="D1143"/>
      <c r="E1143"/>
      <c r="F1143"/>
      <c r="G1143"/>
    </row>
    <row r="1144" spans="1:7">
      <c r="A1144"/>
      <c r="B1144"/>
      <c r="C1144"/>
      <c r="D1144"/>
      <c r="E1144"/>
      <c r="F1144"/>
      <c r="G1144"/>
    </row>
    <row r="1145" spans="1:7">
      <c r="A1145"/>
      <c r="B1145"/>
      <c r="C1145"/>
      <c r="D1145"/>
      <c r="E1145"/>
      <c r="F1145"/>
      <c r="G1145"/>
    </row>
    <row r="1146" spans="1:7">
      <c r="A1146"/>
      <c r="B1146"/>
      <c r="C1146"/>
      <c r="D1146"/>
      <c r="E1146"/>
      <c r="F1146"/>
      <c r="G1146"/>
    </row>
    <row r="1147" spans="1:7">
      <c r="A1147"/>
      <c r="B1147"/>
      <c r="C1147"/>
      <c r="D1147"/>
      <c r="E1147"/>
      <c r="F1147"/>
      <c r="G1147"/>
    </row>
    <row r="1148" spans="1:7">
      <c r="A1148"/>
      <c r="B1148"/>
      <c r="C1148"/>
      <c r="D1148"/>
      <c r="E1148"/>
      <c r="F1148"/>
      <c r="G1148"/>
    </row>
    <row r="1149" spans="1:7">
      <c r="A1149"/>
      <c r="B1149"/>
      <c r="C1149"/>
      <c r="D1149"/>
      <c r="E1149"/>
      <c r="F1149"/>
      <c r="G1149"/>
    </row>
    <row r="1150" spans="1:7">
      <c r="A1150"/>
      <c r="B1150"/>
      <c r="C1150"/>
      <c r="D1150"/>
      <c r="E1150"/>
      <c r="F1150"/>
      <c r="G1150"/>
    </row>
    <row r="1151" spans="1:7">
      <c r="A1151"/>
      <c r="B1151"/>
      <c r="C1151"/>
      <c r="D1151"/>
      <c r="E1151"/>
      <c r="F1151"/>
      <c r="G1151"/>
    </row>
    <row r="1152" spans="1:7">
      <c r="A1152"/>
      <c r="B1152"/>
      <c r="C1152"/>
      <c r="D1152"/>
      <c r="E1152"/>
      <c r="F1152"/>
      <c r="G1152"/>
    </row>
    <row r="1153" spans="1:7">
      <c r="A1153"/>
      <c r="B1153"/>
      <c r="C1153"/>
      <c r="D1153"/>
      <c r="E1153"/>
      <c r="F1153"/>
      <c r="G1153"/>
    </row>
    <row r="1154" spans="1:7">
      <c r="A1154"/>
      <c r="B1154"/>
      <c r="C1154"/>
      <c r="D1154"/>
      <c r="E1154"/>
      <c r="F1154"/>
      <c r="G1154"/>
    </row>
    <row r="1155" spans="1:7">
      <c r="A1155"/>
      <c r="B1155"/>
      <c r="C1155"/>
      <c r="D1155"/>
      <c r="E1155"/>
      <c r="F1155"/>
      <c r="G1155"/>
    </row>
    <row r="1156" spans="1:7">
      <c r="A1156"/>
      <c r="B1156"/>
      <c r="C1156"/>
      <c r="D1156"/>
      <c r="E1156"/>
      <c r="F1156"/>
      <c r="G1156"/>
    </row>
    <row r="1157" spans="1:7">
      <c r="A1157"/>
      <c r="B1157"/>
      <c r="C1157"/>
      <c r="D1157"/>
      <c r="E1157"/>
      <c r="F1157"/>
      <c r="G1157"/>
    </row>
    <row r="1158" spans="1:7">
      <c r="A1158"/>
      <c r="B1158"/>
      <c r="C1158"/>
      <c r="D1158"/>
      <c r="E1158"/>
      <c r="F1158"/>
      <c r="G1158"/>
    </row>
    <row r="1159" spans="1:7">
      <c r="A1159"/>
      <c r="B1159"/>
      <c r="C1159"/>
      <c r="D1159"/>
      <c r="E1159"/>
      <c r="F1159"/>
      <c r="G1159"/>
    </row>
    <row r="1160" spans="1:7">
      <c r="A1160"/>
      <c r="B1160"/>
      <c r="C1160"/>
      <c r="D1160"/>
      <c r="E1160"/>
      <c r="F1160"/>
      <c r="G1160"/>
    </row>
    <row r="1161" spans="1:7">
      <c r="A1161"/>
      <c r="B1161"/>
      <c r="C1161"/>
      <c r="D1161"/>
      <c r="E1161"/>
      <c r="F1161"/>
      <c r="G1161"/>
    </row>
    <row r="1162" spans="1:7">
      <c r="A1162"/>
      <c r="B1162"/>
      <c r="C1162"/>
      <c r="D1162"/>
      <c r="E1162"/>
      <c r="F1162"/>
      <c r="G1162"/>
    </row>
    <row r="1163" spans="1:7">
      <c r="A1163"/>
      <c r="B1163"/>
      <c r="C1163"/>
      <c r="D1163"/>
      <c r="E1163"/>
      <c r="F1163"/>
      <c r="G1163"/>
    </row>
    <row r="1164" spans="1:7">
      <c r="A1164"/>
      <c r="B1164"/>
      <c r="C1164"/>
      <c r="D1164"/>
      <c r="E1164"/>
      <c r="F1164"/>
      <c r="G1164"/>
    </row>
    <row r="1165" spans="1:7">
      <c r="A1165"/>
      <c r="B1165"/>
      <c r="C1165"/>
      <c r="D1165"/>
      <c r="E1165"/>
      <c r="F1165"/>
      <c r="G1165"/>
    </row>
    <row r="1166" spans="1:7">
      <c r="A1166"/>
      <c r="B1166"/>
      <c r="C1166"/>
      <c r="D1166"/>
      <c r="E1166"/>
      <c r="F1166"/>
      <c r="G1166"/>
    </row>
    <row r="1167" spans="1:7">
      <c r="A1167"/>
      <c r="B1167"/>
      <c r="C1167"/>
      <c r="D1167"/>
      <c r="E1167"/>
      <c r="F1167"/>
      <c r="G1167"/>
    </row>
    <row r="1168" spans="1:7">
      <c r="A1168"/>
      <c r="B1168"/>
      <c r="C1168"/>
      <c r="D1168"/>
      <c r="E1168"/>
      <c r="F1168"/>
      <c r="G1168"/>
    </row>
    <row r="1169" spans="1:7">
      <c r="A1169"/>
      <c r="B1169"/>
      <c r="C1169"/>
      <c r="D1169"/>
      <c r="E1169"/>
      <c r="F1169"/>
      <c r="G1169"/>
    </row>
    <row r="1170" spans="1:7">
      <c r="A1170"/>
      <c r="B1170"/>
      <c r="C1170"/>
      <c r="D1170"/>
      <c r="E1170"/>
      <c r="F1170"/>
      <c r="G1170"/>
    </row>
    <row r="1171" spans="1:7">
      <c r="A1171"/>
      <c r="B1171"/>
      <c r="C1171"/>
      <c r="D1171"/>
      <c r="E1171"/>
      <c r="F1171"/>
      <c r="G1171"/>
    </row>
    <row r="1172" spans="1:7">
      <c r="A1172"/>
      <c r="B1172"/>
      <c r="C1172"/>
      <c r="D1172"/>
      <c r="E1172"/>
      <c r="F1172"/>
      <c r="G1172"/>
    </row>
    <row r="1173" spans="1:7">
      <c r="A1173"/>
      <c r="B1173"/>
      <c r="C1173"/>
      <c r="D1173"/>
      <c r="E1173"/>
      <c r="F1173"/>
      <c r="G1173"/>
    </row>
    <row r="1174" spans="1:7">
      <c r="A1174"/>
      <c r="B1174"/>
      <c r="C1174"/>
      <c r="D1174"/>
      <c r="E1174"/>
      <c r="F1174"/>
      <c r="G1174"/>
    </row>
    <row r="1175" spans="1:7">
      <c r="A1175"/>
      <c r="B1175"/>
      <c r="C1175"/>
      <c r="D1175"/>
      <c r="E1175"/>
      <c r="F1175"/>
      <c r="G1175"/>
    </row>
    <row r="1176" spans="1:7">
      <c r="A1176"/>
      <c r="B1176"/>
      <c r="C1176"/>
      <c r="D1176"/>
      <c r="E1176"/>
      <c r="F1176"/>
      <c r="G1176"/>
    </row>
    <row r="1177" spans="1:7">
      <c r="A1177"/>
      <c r="B1177"/>
      <c r="C1177"/>
      <c r="D1177"/>
      <c r="E1177"/>
      <c r="F1177"/>
      <c r="G1177"/>
    </row>
    <row r="1178" spans="1:7">
      <c r="A1178"/>
      <c r="B1178"/>
      <c r="C1178"/>
      <c r="D1178"/>
      <c r="E1178"/>
      <c r="F1178"/>
      <c r="G1178"/>
    </row>
    <row r="1179" spans="1:7">
      <c r="A1179"/>
      <c r="B1179"/>
      <c r="C1179"/>
      <c r="D1179"/>
      <c r="E1179"/>
      <c r="F1179"/>
      <c r="G1179"/>
    </row>
    <row r="1180" spans="1:7">
      <c r="A1180"/>
      <c r="B1180"/>
      <c r="C1180"/>
      <c r="D1180"/>
      <c r="E1180"/>
      <c r="F1180"/>
      <c r="G1180"/>
    </row>
    <row r="1181" spans="1:7">
      <c r="A1181"/>
      <c r="B1181"/>
      <c r="C1181"/>
      <c r="D1181"/>
      <c r="E1181"/>
      <c r="F1181"/>
      <c r="G1181"/>
    </row>
    <row r="1182" spans="1:7">
      <c r="A1182"/>
      <c r="B1182"/>
      <c r="C1182"/>
      <c r="D1182"/>
      <c r="E1182"/>
      <c r="F1182"/>
      <c r="G1182"/>
    </row>
    <row r="1183" spans="1:7">
      <c r="A1183"/>
      <c r="B1183"/>
      <c r="C1183"/>
      <c r="D1183"/>
      <c r="E1183"/>
      <c r="F1183"/>
      <c r="G1183"/>
    </row>
    <row r="1184" spans="1:7">
      <c r="A1184"/>
      <c r="B1184"/>
      <c r="C1184"/>
      <c r="D1184"/>
      <c r="E1184"/>
      <c r="F1184"/>
      <c r="G1184"/>
    </row>
    <row r="1185" spans="1:7">
      <c r="A1185"/>
      <c r="B1185"/>
      <c r="C1185"/>
      <c r="D1185"/>
      <c r="E1185"/>
      <c r="F1185"/>
      <c r="G1185"/>
    </row>
    <row r="1186" spans="1:7">
      <c r="A1186"/>
      <c r="B1186"/>
      <c r="C1186"/>
      <c r="D1186"/>
      <c r="E1186"/>
      <c r="F1186"/>
      <c r="G1186"/>
    </row>
    <row r="1187" spans="1:7">
      <c r="A1187"/>
      <c r="B1187"/>
      <c r="C1187"/>
      <c r="D1187"/>
      <c r="E1187"/>
      <c r="F1187"/>
      <c r="G1187"/>
    </row>
    <row r="1188" spans="1:7">
      <c r="A1188"/>
      <c r="B1188"/>
      <c r="C1188"/>
      <c r="D1188"/>
      <c r="E1188"/>
      <c r="F1188"/>
      <c r="G1188"/>
    </row>
    <row r="1189" spans="1:7">
      <c r="A1189"/>
      <c r="B1189"/>
      <c r="C1189"/>
      <c r="D1189"/>
      <c r="E1189"/>
      <c r="F1189"/>
      <c r="G1189"/>
    </row>
    <row r="1190" spans="1:7">
      <c r="A1190"/>
      <c r="B1190"/>
      <c r="C1190"/>
      <c r="D1190"/>
      <c r="E1190"/>
      <c r="F1190"/>
      <c r="G1190"/>
    </row>
    <row r="1191" spans="1:7">
      <c r="A1191"/>
      <c r="B1191"/>
      <c r="C1191"/>
      <c r="D1191"/>
      <c r="E1191"/>
      <c r="F1191"/>
      <c r="G1191"/>
    </row>
    <row r="1192" spans="1:7">
      <c r="A1192"/>
      <c r="B1192"/>
      <c r="C1192"/>
      <c r="D1192"/>
      <c r="E1192"/>
      <c r="F1192"/>
      <c r="G1192"/>
    </row>
    <row r="1193" spans="1:7">
      <c r="A1193"/>
      <c r="B1193"/>
      <c r="C1193"/>
      <c r="D1193"/>
      <c r="E1193"/>
      <c r="F1193"/>
      <c r="G1193"/>
    </row>
    <row r="1194" spans="1:7">
      <c r="A1194"/>
      <c r="B1194"/>
      <c r="C1194"/>
      <c r="D1194"/>
      <c r="E1194"/>
      <c r="F1194"/>
      <c r="G1194"/>
    </row>
    <row r="1195" spans="1:7">
      <c r="A1195"/>
      <c r="B1195"/>
      <c r="C1195"/>
      <c r="D1195"/>
      <c r="E1195"/>
      <c r="F1195"/>
      <c r="G1195"/>
    </row>
    <row r="1196" spans="1:7">
      <c r="A1196"/>
      <c r="B1196"/>
      <c r="C1196"/>
      <c r="D1196"/>
      <c r="E1196"/>
      <c r="F1196"/>
      <c r="G1196"/>
    </row>
    <row r="1197" spans="1:7">
      <c r="A1197"/>
      <c r="B1197"/>
      <c r="C1197"/>
      <c r="D1197"/>
      <c r="E1197"/>
      <c r="F1197"/>
      <c r="G1197"/>
    </row>
    <row r="1198" spans="1:7">
      <c r="A1198"/>
      <c r="B1198"/>
      <c r="C1198"/>
      <c r="D1198"/>
      <c r="E1198"/>
      <c r="F1198"/>
      <c r="G1198"/>
    </row>
    <row r="1199" spans="1:7">
      <c r="A1199"/>
      <c r="B1199"/>
      <c r="C1199"/>
      <c r="D1199"/>
      <c r="E1199"/>
      <c r="F1199"/>
      <c r="G1199"/>
    </row>
    <row r="1200" spans="1:7">
      <c r="A1200"/>
      <c r="B1200"/>
      <c r="C1200"/>
      <c r="D1200"/>
      <c r="E1200"/>
      <c r="F1200"/>
      <c r="G1200"/>
    </row>
    <row r="1201" spans="1:7">
      <c r="A1201"/>
      <c r="B1201"/>
      <c r="C1201"/>
      <c r="D1201"/>
      <c r="E1201"/>
      <c r="F1201"/>
      <c r="G1201"/>
    </row>
    <row r="1202" spans="1:7">
      <c r="A1202"/>
      <c r="B1202"/>
      <c r="C1202"/>
      <c r="D1202"/>
      <c r="E1202"/>
      <c r="F1202"/>
      <c r="G1202"/>
    </row>
    <row r="1203" spans="1:7">
      <c r="A1203"/>
      <c r="B1203"/>
      <c r="C1203"/>
      <c r="D1203"/>
      <c r="E1203"/>
      <c r="F1203"/>
      <c r="G1203"/>
    </row>
    <row r="1204" spans="1:7">
      <c r="A1204"/>
      <c r="B1204"/>
      <c r="C1204"/>
      <c r="D1204"/>
      <c r="E1204"/>
      <c r="F1204"/>
      <c r="G1204"/>
    </row>
    <row r="1205" spans="1:7">
      <c r="A1205"/>
      <c r="B1205"/>
      <c r="C1205"/>
      <c r="D1205"/>
      <c r="E1205"/>
      <c r="F1205"/>
      <c r="G1205"/>
    </row>
    <row r="1206" spans="1:7">
      <c r="A1206"/>
      <c r="B1206"/>
      <c r="C1206"/>
      <c r="D1206"/>
      <c r="E1206"/>
      <c r="F1206"/>
      <c r="G1206"/>
    </row>
    <row r="1207" spans="1:7">
      <c r="A1207"/>
      <c r="B1207"/>
      <c r="C1207"/>
      <c r="D1207"/>
      <c r="E1207"/>
      <c r="F1207"/>
      <c r="G1207"/>
    </row>
    <row r="1208" spans="1:7">
      <c r="A1208"/>
      <c r="B1208"/>
      <c r="C1208"/>
      <c r="D1208"/>
      <c r="E1208"/>
      <c r="F1208"/>
      <c r="G1208"/>
    </row>
    <row r="1209" spans="1:7">
      <c r="A1209"/>
      <c r="B1209"/>
      <c r="C1209"/>
      <c r="D1209"/>
      <c r="E1209"/>
      <c r="F1209"/>
      <c r="G1209"/>
    </row>
    <row r="1210" spans="1:7">
      <c r="A1210"/>
      <c r="B1210"/>
      <c r="C1210"/>
      <c r="D1210"/>
      <c r="E1210"/>
      <c r="F1210"/>
      <c r="G1210"/>
    </row>
    <row r="1211" spans="1:7">
      <c r="A1211"/>
      <c r="B1211"/>
      <c r="C1211"/>
      <c r="D1211"/>
      <c r="E1211"/>
      <c r="F1211"/>
      <c r="G1211"/>
    </row>
    <row r="1212" spans="1:7">
      <c r="A1212"/>
      <c r="B1212"/>
      <c r="C1212"/>
      <c r="D1212"/>
      <c r="E1212"/>
      <c r="F1212"/>
      <c r="G1212"/>
    </row>
    <row r="1213" spans="1:7">
      <c r="A1213"/>
      <c r="B1213"/>
      <c r="C1213"/>
      <c r="D1213"/>
      <c r="E1213"/>
      <c r="F1213"/>
      <c r="G1213"/>
    </row>
    <row r="1214" spans="1:7">
      <c r="A1214"/>
      <c r="B1214"/>
      <c r="C1214"/>
      <c r="D1214"/>
      <c r="E1214"/>
      <c r="F1214"/>
      <c r="G1214"/>
    </row>
    <row r="1215" spans="1:7">
      <c r="A1215"/>
      <c r="B1215"/>
      <c r="C1215"/>
      <c r="D1215"/>
      <c r="E1215"/>
      <c r="F1215"/>
      <c r="G1215"/>
    </row>
    <row r="1216" spans="1:7">
      <c r="A1216"/>
      <c r="B1216"/>
      <c r="C1216"/>
      <c r="D1216"/>
      <c r="E1216"/>
      <c r="F1216"/>
      <c r="G1216"/>
    </row>
    <row r="1217" spans="1:7">
      <c r="A1217"/>
      <c r="B1217"/>
      <c r="C1217"/>
      <c r="D1217"/>
      <c r="E1217"/>
      <c r="F1217"/>
      <c r="G1217"/>
    </row>
    <row r="1218" spans="1:7">
      <c r="A1218"/>
      <c r="B1218"/>
      <c r="C1218"/>
      <c r="D1218"/>
      <c r="E1218"/>
      <c r="F1218"/>
      <c r="G1218"/>
    </row>
    <row r="1219" spans="1:7">
      <c r="A1219"/>
      <c r="B1219"/>
      <c r="C1219"/>
      <c r="D1219"/>
      <c r="E1219"/>
      <c r="F1219"/>
      <c r="G1219"/>
    </row>
    <row r="1220" spans="1:7">
      <c r="A1220"/>
      <c r="B1220"/>
      <c r="C1220"/>
      <c r="D1220"/>
      <c r="E1220"/>
      <c r="F1220"/>
      <c r="G1220"/>
    </row>
    <row r="1221" spans="1:7">
      <c r="A1221"/>
      <c r="B1221"/>
      <c r="C1221"/>
      <c r="D1221"/>
      <c r="E1221"/>
      <c r="F1221"/>
      <c r="G1221"/>
    </row>
    <row r="1222" spans="1:7">
      <c r="A1222"/>
      <c r="B1222"/>
      <c r="C1222"/>
      <c r="D1222"/>
      <c r="E1222"/>
      <c r="F1222"/>
      <c r="G1222"/>
    </row>
    <row r="1223" spans="1:7">
      <c r="A1223"/>
      <c r="B1223"/>
      <c r="C1223"/>
      <c r="D1223"/>
      <c r="E1223"/>
      <c r="F1223"/>
      <c r="G1223"/>
    </row>
    <row r="1224" spans="1:7">
      <c r="A1224"/>
      <c r="B1224"/>
      <c r="C1224"/>
      <c r="D1224"/>
      <c r="E1224"/>
      <c r="F1224"/>
      <c r="G1224"/>
    </row>
    <row r="1225" spans="1:7">
      <c r="A1225"/>
      <c r="B1225"/>
      <c r="C1225"/>
      <c r="D1225"/>
      <c r="E1225"/>
      <c r="F1225"/>
      <c r="G1225"/>
    </row>
    <row r="1226" spans="1:7">
      <c r="A1226"/>
      <c r="B1226"/>
      <c r="C1226"/>
      <c r="D1226"/>
      <c r="E1226"/>
      <c r="F1226"/>
      <c r="G1226"/>
    </row>
    <row r="1227" spans="1:7">
      <c r="A1227"/>
      <c r="B1227"/>
      <c r="C1227"/>
      <c r="D1227"/>
      <c r="E1227"/>
      <c r="F1227"/>
      <c r="G1227"/>
    </row>
    <row r="1228" spans="1:7">
      <c r="A1228"/>
      <c r="B1228"/>
      <c r="C1228"/>
      <c r="D1228"/>
      <c r="E1228"/>
      <c r="F1228"/>
      <c r="G1228"/>
    </row>
    <row r="1229" spans="1:7">
      <c r="A1229"/>
      <c r="B1229"/>
      <c r="C1229"/>
      <c r="D1229"/>
      <c r="E1229"/>
      <c r="F1229"/>
      <c r="G1229"/>
    </row>
    <row r="1230" spans="1:7">
      <c r="A1230"/>
      <c r="B1230"/>
      <c r="C1230"/>
      <c r="D1230"/>
      <c r="E1230"/>
      <c r="F1230"/>
      <c r="G1230"/>
    </row>
    <row r="1231" spans="1:7">
      <c r="A1231"/>
      <c r="B1231"/>
      <c r="C1231"/>
      <c r="D1231"/>
      <c r="E1231"/>
      <c r="F1231"/>
      <c r="G1231"/>
    </row>
    <row r="1232" spans="1:7">
      <c r="A1232"/>
      <c r="B1232"/>
      <c r="C1232"/>
      <c r="D1232"/>
      <c r="E1232"/>
      <c r="F1232"/>
      <c r="G1232"/>
    </row>
    <row r="1233" spans="1:7">
      <c r="A1233"/>
      <c r="B1233"/>
      <c r="C1233"/>
      <c r="D1233"/>
      <c r="E1233"/>
      <c r="F1233"/>
      <c r="G1233"/>
    </row>
    <row r="1234" spans="1:7">
      <c r="A1234"/>
      <c r="B1234"/>
      <c r="C1234"/>
      <c r="D1234"/>
      <c r="E1234"/>
      <c r="F1234"/>
      <c r="G1234"/>
    </row>
    <row r="1235" spans="1:7">
      <c r="A1235"/>
      <c r="B1235"/>
      <c r="C1235"/>
      <c r="D1235"/>
      <c r="E1235"/>
      <c r="F1235"/>
      <c r="G1235"/>
    </row>
    <row r="1236" spans="1:7">
      <c r="A1236"/>
      <c r="B1236"/>
      <c r="C1236"/>
      <c r="D1236"/>
      <c r="E1236"/>
      <c r="F1236"/>
      <c r="G1236"/>
    </row>
    <row r="1237" spans="1:7">
      <c r="A1237"/>
      <c r="B1237"/>
      <c r="C1237"/>
      <c r="D1237"/>
      <c r="E1237"/>
      <c r="F1237"/>
      <c r="G1237"/>
    </row>
    <row r="1238" spans="1:7">
      <c r="A1238"/>
      <c r="B1238"/>
      <c r="C1238"/>
      <c r="D1238"/>
      <c r="E1238"/>
      <c r="F1238"/>
      <c r="G1238"/>
    </row>
    <row r="1239" spans="1:7">
      <c r="A1239"/>
      <c r="B1239"/>
      <c r="C1239"/>
      <c r="D1239"/>
      <c r="E1239"/>
      <c r="F1239"/>
      <c r="G1239"/>
    </row>
    <row r="1240" spans="1:7">
      <c r="A1240"/>
      <c r="B1240"/>
      <c r="C1240"/>
      <c r="D1240"/>
      <c r="E1240"/>
      <c r="F1240"/>
      <c r="G1240"/>
    </row>
    <row r="1241" spans="1:7">
      <c r="A1241"/>
      <c r="B1241"/>
      <c r="C1241"/>
      <c r="D1241"/>
      <c r="E1241"/>
      <c r="F1241"/>
      <c r="G1241"/>
    </row>
    <row r="1242" spans="1:7">
      <c r="A1242"/>
      <c r="B1242"/>
      <c r="C1242"/>
      <c r="D1242"/>
      <c r="E1242"/>
      <c r="F1242"/>
      <c r="G1242"/>
    </row>
    <row r="1243" spans="1:7">
      <c r="A1243"/>
      <c r="B1243"/>
      <c r="C1243"/>
      <c r="D1243"/>
      <c r="E1243"/>
      <c r="F1243"/>
      <c r="G1243"/>
    </row>
    <row r="1244" spans="1:7">
      <c r="A1244"/>
      <c r="B1244"/>
      <c r="C1244"/>
      <c r="D1244"/>
      <c r="E1244"/>
      <c r="F1244"/>
      <c r="G1244"/>
    </row>
    <row r="1245" spans="1:7">
      <c r="A1245"/>
      <c r="B1245"/>
      <c r="C1245"/>
      <c r="D1245"/>
      <c r="E1245"/>
      <c r="F1245"/>
      <c r="G1245"/>
    </row>
    <row r="1246" spans="1:7">
      <c r="A1246"/>
      <c r="B1246"/>
      <c r="C1246"/>
      <c r="D1246"/>
      <c r="E1246"/>
      <c r="F1246"/>
      <c r="G1246"/>
    </row>
    <row r="1247" spans="1:7">
      <c r="A1247"/>
      <c r="B1247"/>
      <c r="C1247"/>
      <c r="D1247"/>
      <c r="E1247"/>
      <c r="F1247"/>
      <c r="G1247"/>
    </row>
    <row r="1248" spans="1:7">
      <c r="A1248"/>
      <c r="B1248"/>
      <c r="C1248"/>
      <c r="D1248"/>
      <c r="E1248"/>
      <c r="F1248"/>
      <c r="G1248"/>
    </row>
  </sheetData>
  <pageMargins left="0.7" right="0.7" top="0.75" bottom="0.75" header="0.3" footer="0.3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49985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986" r:id="rId5" name="Button 2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987" r:id="rId6" name="Button 3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988" r:id="rId7" name="Button 4">
              <controlPr defaultSize="0" print="0" autoFill="0" autoPict="0" macro="[0]!Macro5">
                <anchor moveWithCells="1" sizeWithCells="1">
                  <from>
                    <xdr:col>0</xdr:col>
                    <xdr:colOff>104775</xdr:colOff>
                    <xdr:row>1765</xdr:row>
                    <xdr:rowOff>47625</xdr:rowOff>
                  </from>
                  <to>
                    <xdr:col>1</xdr:col>
                    <xdr:colOff>238125</xdr:colOff>
                    <xdr:row>1766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tabColor rgb="FFFFFF00"/>
  </sheetPr>
  <dimension ref="A1:U650"/>
  <sheetViews>
    <sheetView workbookViewId="0"/>
  </sheetViews>
  <sheetFormatPr defaultColWidth="16.42578125" defaultRowHeight="12.75"/>
  <cols>
    <col min="1" max="1" width="5.140625" style="15" customWidth="1"/>
    <col min="2" max="2" width="7.42578125" style="194" customWidth="1"/>
    <col min="3" max="3" width="23.85546875" style="15" bestFit="1" customWidth="1"/>
    <col min="4" max="4" width="30.5703125" style="15" customWidth="1"/>
    <col min="5" max="6" width="3.5703125" style="15" customWidth="1"/>
    <col min="7" max="18" width="13.85546875" style="15" customWidth="1"/>
    <col min="19" max="19" width="12.28515625" style="15" bestFit="1" customWidth="1"/>
    <col min="20" max="20" width="13.5703125" style="15" bestFit="1" customWidth="1"/>
    <col min="21" max="21" width="12.28515625" style="15" bestFit="1" customWidth="1"/>
    <col min="22" max="16384" width="16.42578125" style="15"/>
  </cols>
  <sheetData>
    <row r="1" spans="1:21">
      <c r="A1" s="193"/>
      <c r="C1" s="193"/>
      <c r="G1" s="728">
        <v>3</v>
      </c>
      <c r="H1" s="728">
        <v>4</v>
      </c>
      <c r="I1" s="728">
        <v>5</v>
      </c>
      <c r="J1" s="728">
        <v>6</v>
      </c>
      <c r="K1" s="728">
        <v>7</v>
      </c>
      <c r="L1" s="728">
        <v>8</v>
      </c>
      <c r="M1" s="728">
        <v>9</v>
      </c>
      <c r="N1" s="728">
        <v>10</v>
      </c>
      <c r="O1" s="728">
        <v>11</v>
      </c>
      <c r="P1" s="728">
        <v>12</v>
      </c>
      <c r="Q1" s="728">
        <v>13</v>
      </c>
      <c r="R1" s="728">
        <v>14</v>
      </c>
      <c r="S1" s="728"/>
    </row>
    <row r="2" spans="1:21">
      <c r="A2" s="193"/>
    </row>
    <row r="3" spans="1:21">
      <c r="A3" s="193"/>
      <c r="D3" s="175" t="s">
        <v>77</v>
      </c>
    </row>
    <row r="4" spans="1:21">
      <c r="A4" s="195"/>
      <c r="C4" s="728"/>
      <c r="D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</row>
    <row r="5" spans="1:21">
      <c r="A5" s="196"/>
    </row>
    <row r="6" spans="1:21">
      <c r="A6" s="196"/>
    </row>
    <row r="7" spans="1:21">
      <c r="A7" s="728"/>
      <c r="B7" s="929"/>
      <c r="C7" s="835"/>
      <c r="D7" s="863" t="s">
        <v>838</v>
      </c>
      <c r="E7" s="194"/>
      <c r="F7" s="194"/>
      <c r="G7" s="930"/>
      <c r="H7" s="930"/>
      <c r="I7" s="930"/>
      <c r="J7" s="930"/>
      <c r="K7" s="930"/>
      <c r="L7" s="930"/>
      <c r="M7" s="930"/>
      <c r="N7" s="930"/>
      <c r="O7" s="930"/>
      <c r="P7" s="930"/>
      <c r="Q7" s="930"/>
      <c r="R7" s="930"/>
      <c r="S7" s="930" t="s">
        <v>78</v>
      </c>
      <c r="T7" s="15" t="s">
        <v>886</v>
      </c>
    </row>
    <row r="8" spans="1:21" ht="13.5" thickBot="1">
      <c r="A8" s="728"/>
      <c r="B8" s="872" t="s">
        <v>836</v>
      </c>
      <c r="C8" s="870"/>
      <c r="D8" s="870" t="s">
        <v>842</v>
      </c>
      <c r="E8" s="661"/>
      <c r="F8" s="931"/>
      <c r="G8" s="932">
        <v>39455</v>
      </c>
      <c r="H8" s="932">
        <v>39486</v>
      </c>
      <c r="I8" s="932">
        <v>39515</v>
      </c>
      <c r="J8" s="932">
        <v>39546</v>
      </c>
      <c r="K8" s="932">
        <v>39576</v>
      </c>
      <c r="L8" s="932">
        <v>39607</v>
      </c>
      <c r="M8" s="932">
        <v>39637</v>
      </c>
      <c r="N8" s="932">
        <v>39668</v>
      </c>
      <c r="O8" s="932">
        <v>39699</v>
      </c>
      <c r="P8" s="932">
        <v>39729</v>
      </c>
      <c r="Q8" s="932">
        <v>39760</v>
      </c>
      <c r="R8" s="932">
        <v>39790</v>
      </c>
      <c r="S8" s="932" t="s">
        <v>170</v>
      </c>
    </row>
    <row r="9" spans="1:21">
      <c r="A9" s="728"/>
      <c r="B9" s="933"/>
      <c r="C9" s="934"/>
      <c r="D9" s="934"/>
      <c r="G9" s="935"/>
      <c r="H9" s="935"/>
      <c r="I9" s="935"/>
      <c r="J9" s="935"/>
      <c r="K9" s="935"/>
      <c r="L9" s="935"/>
      <c r="M9" s="935"/>
      <c r="N9" s="935"/>
      <c r="O9" s="935"/>
      <c r="P9" s="935"/>
      <c r="Q9" s="935"/>
      <c r="R9" s="935"/>
      <c r="S9" s="935"/>
    </row>
    <row r="10" spans="1:21">
      <c r="A10" s="728"/>
      <c r="B10" s="868" t="s">
        <v>843</v>
      </c>
      <c r="C10" s="728"/>
      <c r="D10" s="728"/>
      <c r="G10" s="930"/>
      <c r="H10" s="930"/>
      <c r="I10" s="930"/>
      <c r="J10" s="930"/>
      <c r="K10" s="930"/>
      <c r="L10" s="930"/>
      <c r="M10" s="930"/>
      <c r="N10" s="930"/>
      <c r="O10" s="930"/>
      <c r="P10" s="930"/>
      <c r="Q10" s="930"/>
      <c r="R10" s="930"/>
      <c r="S10" s="930"/>
    </row>
    <row r="11" spans="1:21">
      <c r="A11" s="728"/>
      <c r="B11" s="869" t="s">
        <v>13</v>
      </c>
      <c r="C11" s="870"/>
      <c r="D11" s="870"/>
      <c r="G11" s="930"/>
      <c r="H11" s="930"/>
      <c r="I11" s="930"/>
      <c r="J11" s="930"/>
      <c r="K11" s="930"/>
      <c r="L11" s="930"/>
      <c r="M11" s="930"/>
      <c r="N11" s="930"/>
      <c r="O11" s="930"/>
      <c r="P11" s="930"/>
      <c r="Q11" s="930"/>
      <c r="R11" s="930"/>
      <c r="S11" s="930"/>
    </row>
    <row r="12" spans="1:21">
      <c r="A12" s="728"/>
      <c r="B12" s="872"/>
      <c r="C12" s="870"/>
      <c r="D12" s="870"/>
      <c r="G12" s="930"/>
      <c r="H12" s="930"/>
      <c r="I12" s="930"/>
      <c r="J12" s="930"/>
      <c r="K12" s="930"/>
      <c r="L12" s="930"/>
      <c r="M12" s="930"/>
      <c r="N12" s="930"/>
      <c r="O12" s="930"/>
      <c r="P12" s="930"/>
      <c r="Q12" s="930"/>
      <c r="R12" s="930"/>
      <c r="S12" s="930"/>
    </row>
    <row r="13" spans="1:21">
      <c r="A13" s="728">
        <v>13</v>
      </c>
      <c r="B13" s="869" t="s">
        <v>14</v>
      </c>
      <c r="C13" s="728"/>
      <c r="D13" s="728"/>
      <c r="G13" s="930"/>
      <c r="H13" s="930" t="s">
        <v>838</v>
      </c>
      <c r="I13" s="930" t="s">
        <v>838</v>
      </c>
      <c r="J13" s="930" t="s">
        <v>838</v>
      </c>
      <c r="K13" s="930" t="s">
        <v>838</v>
      </c>
      <c r="L13" s="930" t="s">
        <v>838</v>
      </c>
      <c r="M13" s="930" t="s">
        <v>838</v>
      </c>
      <c r="N13" s="930" t="s">
        <v>838</v>
      </c>
      <c r="O13" s="930" t="s">
        <v>838</v>
      </c>
      <c r="P13" s="930" t="s">
        <v>838</v>
      </c>
      <c r="Q13" s="930" t="s">
        <v>838</v>
      </c>
      <c r="R13" s="930" t="s">
        <v>838</v>
      </c>
      <c r="S13" s="930"/>
    </row>
    <row r="14" spans="1:21">
      <c r="A14" s="728">
        <v>14</v>
      </c>
      <c r="B14" s="868"/>
      <c r="C14" s="728" t="s">
        <v>880</v>
      </c>
      <c r="D14" s="728" t="s">
        <v>16</v>
      </c>
      <c r="G14" s="444">
        <v>26252423</v>
      </c>
      <c r="H14" s="444">
        <v>21637302</v>
      </c>
      <c r="I14" s="444">
        <v>18613101</v>
      </c>
      <c r="J14" s="444">
        <v>11827858</v>
      </c>
      <c r="K14" s="444">
        <v>9198069</v>
      </c>
      <c r="L14" s="444">
        <v>7369025</v>
      </c>
      <c r="M14" s="444">
        <v>6746232</v>
      </c>
      <c r="N14" s="444">
        <v>6606228</v>
      </c>
      <c r="O14" s="444">
        <v>6811332</v>
      </c>
      <c r="P14" s="444">
        <v>9507736</v>
      </c>
      <c r="Q14" s="444">
        <v>17248649</v>
      </c>
      <c r="R14" s="444">
        <v>24580135</v>
      </c>
      <c r="S14" s="444">
        <v>166398090</v>
      </c>
      <c r="T14" s="444">
        <f>(S14/($S$14+$S$23))*$S$32</f>
        <v>2064626.5970019037</v>
      </c>
      <c r="U14" s="95">
        <f>SUM(S14:T14)</f>
        <v>168462716.59700191</v>
      </c>
    </row>
    <row r="15" spans="1:21">
      <c r="A15" s="728">
        <v>15</v>
      </c>
      <c r="B15" s="868"/>
      <c r="C15" s="728"/>
      <c r="D15" s="728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</row>
    <row r="16" spans="1:21">
      <c r="A16" s="728">
        <v>16</v>
      </c>
      <c r="B16" s="868"/>
      <c r="C16" s="728"/>
      <c r="D16" s="728" t="s">
        <v>17</v>
      </c>
      <c r="G16" s="444">
        <v>13971789</v>
      </c>
      <c r="H16" s="444">
        <v>11069256</v>
      </c>
      <c r="I16" s="444">
        <v>9164248</v>
      </c>
      <c r="J16" s="444">
        <v>2733374</v>
      </c>
      <c r="K16" s="444">
        <v>1812308</v>
      </c>
      <c r="L16" s="444">
        <v>1172605</v>
      </c>
      <c r="M16" s="444">
        <v>955918</v>
      </c>
      <c r="N16" s="444">
        <v>906344</v>
      </c>
      <c r="O16" s="444">
        <v>978160</v>
      </c>
      <c r="P16" s="444">
        <v>1916925</v>
      </c>
      <c r="Q16" s="444">
        <v>8284873</v>
      </c>
      <c r="R16" s="444">
        <v>12879379</v>
      </c>
      <c r="S16" s="444">
        <v>65845179</v>
      </c>
    </row>
    <row r="17" spans="1:21">
      <c r="A17" s="728">
        <v>17</v>
      </c>
      <c r="B17" s="868"/>
      <c r="C17" s="728"/>
      <c r="D17" s="728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</row>
    <row r="18" spans="1:21">
      <c r="A18" s="728">
        <v>18</v>
      </c>
      <c r="B18" s="868"/>
      <c r="C18" s="728"/>
      <c r="D18" s="728" t="s">
        <v>18</v>
      </c>
      <c r="G18" s="444">
        <v>61020385</v>
      </c>
      <c r="H18" s="444">
        <v>48343864</v>
      </c>
      <c r="I18" s="444">
        <v>40023932</v>
      </c>
      <c r="J18" s="444">
        <v>25425540</v>
      </c>
      <c r="K18" s="444">
        <v>16857884</v>
      </c>
      <c r="L18" s="444">
        <v>10907445</v>
      </c>
      <c r="M18" s="444">
        <v>8891842</v>
      </c>
      <c r="N18" s="444">
        <v>8430715</v>
      </c>
      <c r="O18" s="444">
        <v>9098733</v>
      </c>
      <c r="P18" s="444">
        <v>17831028</v>
      </c>
      <c r="Q18" s="444">
        <v>36183350</v>
      </c>
      <c r="R18" s="444">
        <v>56249395</v>
      </c>
      <c r="S18" s="444">
        <v>339264113</v>
      </c>
    </row>
    <row r="19" spans="1:21">
      <c r="A19" s="728">
        <v>19</v>
      </c>
      <c r="B19" s="868"/>
      <c r="C19" s="728"/>
      <c r="D19" s="728" t="s">
        <v>19</v>
      </c>
      <c r="G19" s="936">
        <v>101244597</v>
      </c>
      <c r="H19" s="936">
        <v>81050422</v>
      </c>
      <c r="I19" s="936">
        <v>67801281</v>
      </c>
      <c r="J19" s="936">
        <v>39986772</v>
      </c>
      <c r="K19" s="936">
        <v>27868261</v>
      </c>
      <c r="L19" s="936">
        <v>19449075</v>
      </c>
      <c r="M19" s="936">
        <v>16593992</v>
      </c>
      <c r="N19" s="936">
        <v>15943287</v>
      </c>
      <c r="O19" s="936">
        <v>16888225</v>
      </c>
      <c r="P19" s="936">
        <v>29255689</v>
      </c>
      <c r="Q19" s="936">
        <v>61716872</v>
      </c>
      <c r="R19" s="936">
        <v>93708909</v>
      </c>
      <c r="S19" s="936">
        <v>571507382</v>
      </c>
    </row>
    <row r="20" spans="1:21">
      <c r="A20" s="728">
        <v>20</v>
      </c>
      <c r="B20" s="868"/>
      <c r="C20" s="728"/>
      <c r="D20" s="728"/>
      <c r="G20" s="936"/>
      <c r="H20" s="936"/>
      <c r="I20" s="936"/>
      <c r="J20" s="936"/>
      <c r="K20" s="936"/>
      <c r="L20" s="936"/>
      <c r="M20" s="936"/>
      <c r="N20" s="936"/>
      <c r="O20" s="936"/>
      <c r="P20" s="936"/>
      <c r="Q20" s="936"/>
      <c r="R20" s="936"/>
      <c r="S20" s="936"/>
    </row>
    <row r="21" spans="1:21">
      <c r="A21" s="728">
        <v>21</v>
      </c>
      <c r="B21" s="868"/>
      <c r="C21" s="728"/>
      <c r="D21" s="728" t="s">
        <v>20</v>
      </c>
      <c r="G21" s="444">
        <v>11358716</v>
      </c>
      <c r="H21" s="444">
        <v>8999029</v>
      </c>
      <c r="I21" s="444">
        <v>7450305</v>
      </c>
      <c r="J21" s="444">
        <v>4732869</v>
      </c>
      <c r="K21" s="444">
        <v>3138032</v>
      </c>
      <c r="L21" s="444">
        <v>2030380</v>
      </c>
      <c r="M21" s="444">
        <v>1655183</v>
      </c>
      <c r="N21" s="444">
        <v>1569346</v>
      </c>
      <c r="O21" s="444">
        <v>1693695</v>
      </c>
      <c r="P21" s="444">
        <v>3319179</v>
      </c>
      <c r="Q21" s="444">
        <v>6735395</v>
      </c>
      <c r="R21" s="444">
        <v>10470614</v>
      </c>
      <c r="S21" s="444">
        <v>63152743</v>
      </c>
      <c r="T21" s="444">
        <f>(S21/($S$21+$S$30))*$S$39</f>
        <v>457034.42389544362</v>
      </c>
      <c r="U21" s="95">
        <f>SUM(S21:T21)</f>
        <v>63609777.423895441</v>
      </c>
    </row>
    <row r="22" spans="1:21">
      <c r="A22" s="728">
        <v>22</v>
      </c>
      <c r="B22" s="868"/>
      <c r="C22" s="728"/>
      <c r="D22" s="728"/>
      <c r="G22" s="444"/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</row>
    <row r="23" spans="1:21">
      <c r="A23" s="728">
        <v>23</v>
      </c>
      <c r="B23" s="868"/>
      <c r="C23" s="728" t="s">
        <v>247</v>
      </c>
      <c r="D23" s="728" t="s">
        <v>16</v>
      </c>
      <c r="G23" s="444">
        <v>6123949</v>
      </c>
      <c r="H23" s="444">
        <v>5232348</v>
      </c>
      <c r="I23" s="444">
        <v>4411072</v>
      </c>
      <c r="J23" s="444">
        <v>2478180</v>
      </c>
      <c r="K23" s="444">
        <v>1742791</v>
      </c>
      <c r="L23" s="444">
        <v>1302200</v>
      </c>
      <c r="M23" s="444">
        <v>1141464</v>
      </c>
      <c r="N23" s="444">
        <v>1116971</v>
      </c>
      <c r="O23" s="444">
        <v>1179594</v>
      </c>
      <c r="P23" s="444">
        <v>1744667</v>
      </c>
      <c r="Q23" s="444">
        <v>3757099</v>
      </c>
      <c r="R23" s="444">
        <v>5538056</v>
      </c>
      <c r="S23" s="444">
        <v>35768391</v>
      </c>
      <c r="T23" s="444">
        <f>(S23/($S$14+$S$23))*$S$32</f>
        <v>443805.40299809643</v>
      </c>
      <c r="U23" s="95">
        <f>SUM(S23:T23)</f>
        <v>36212196.402998097</v>
      </c>
    </row>
    <row r="24" spans="1:21">
      <c r="A24" s="728">
        <v>24</v>
      </c>
      <c r="B24" s="868"/>
      <c r="C24" s="728"/>
      <c r="D24" s="728"/>
      <c r="G24" s="444"/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</row>
    <row r="25" spans="1:21">
      <c r="A25" s="728">
        <v>25</v>
      </c>
      <c r="B25" s="868"/>
      <c r="C25" s="728"/>
      <c r="D25" s="728" t="s">
        <v>17</v>
      </c>
      <c r="G25" s="444">
        <v>5950874</v>
      </c>
      <c r="H25" s="444">
        <v>4938535</v>
      </c>
      <c r="I25" s="444">
        <v>4019388</v>
      </c>
      <c r="J25" s="444">
        <v>1145971</v>
      </c>
      <c r="K25" s="444">
        <v>687279</v>
      </c>
      <c r="L25" s="444">
        <v>415629</v>
      </c>
      <c r="M25" s="444">
        <v>317913</v>
      </c>
      <c r="N25" s="444">
        <v>303932</v>
      </c>
      <c r="O25" s="444">
        <v>342922</v>
      </c>
      <c r="P25" s="444">
        <v>690629</v>
      </c>
      <c r="Q25" s="444">
        <v>3300716</v>
      </c>
      <c r="R25" s="444">
        <v>5270747</v>
      </c>
      <c r="S25" s="444">
        <v>27384535</v>
      </c>
    </row>
    <row r="26" spans="1:21">
      <c r="A26" s="728">
        <v>26</v>
      </c>
      <c r="B26" s="868"/>
      <c r="C26" s="728"/>
      <c r="D26" s="728"/>
      <c r="G26" s="444"/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</row>
    <row r="27" spans="1:21">
      <c r="A27" s="728">
        <v>27</v>
      </c>
      <c r="B27" s="868"/>
      <c r="C27" s="728"/>
      <c r="D27" s="728" t="s">
        <v>18</v>
      </c>
      <c r="G27" s="444">
        <v>25989844</v>
      </c>
      <c r="H27" s="444">
        <v>21568557</v>
      </c>
      <c r="I27" s="444">
        <v>17554272</v>
      </c>
      <c r="J27" s="444">
        <v>10659694</v>
      </c>
      <c r="K27" s="444">
        <v>6392989</v>
      </c>
      <c r="L27" s="444">
        <v>3866132</v>
      </c>
      <c r="M27" s="444">
        <v>2957191</v>
      </c>
      <c r="N27" s="444">
        <v>2827143</v>
      </c>
      <c r="O27" s="444">
        <v>3189820</v>
      </c>
      <c r="P27" s="444">
        <v>6424153</v>
      </c>
      <c r="Q27" s="444">
        <v>14415547</v>
      </c>
      <c r="R27" s="444">
        <v>23019459</v>
      </c>
      <c r="S27" s="444">
        <v>138864801</v>
      </c>
    </row>
    <row r="28" spans="1:21">
      <c r="A28" s="728">
        <v>28</v>
      </c>
      <c r="B28" s="868"/>
      <c r="C28" s="728"/>
      <c r="D28" s="728" t="s">
        <v>19</v>
      </c>
      <c r="G28" s="936">
        <v>38064667</v>
      </c>
      <c r="H28" s="936">
        <v>31739440</v>
      </c>
      <c r="I28" s="936">
        <v>25984732</v>
      </c>
      <c r="J28" s="936">
        <v>14283845</v>
      </c>
      <c r="K28" s="936">
        <v>8823059</v>
      </c>
      <c r="L28" s="936">
        <v>5583961</v>
      </c>
      <c r="M28" s="936">
        <v>4416568</v>
      </c>
      <c r="N28" s="936">
        <v>4248046</v>
      </c>
      <c r="O28" s="936">
        <v>4712336</v>
      </c>
      <c r="P28" s="936">
        <v>8859449</v>
      </c>
      <c r="Q28" s="936">
        <v>21473362</v>
      </c>
      <c r="R28" s="936">
        <v>33828262</v>
      </c>
      <c r="S28" s="936">
        <v>202017727</v>
      </c>
    </row>
    <row r="29" spans="1:21">
      <c r="A29" s="728">
        <v>29</v>
      </c>
      <c r="B29" s="868"/>
      <c r="C29" s="728"/>
      <c r="D29" s="728"/>
      <c r="G29" s="936"/>
      <c r="H29" s="936"/>
      <c r="I29" s="936"/>
      <c r="J29" s="936"/>
      <c r="K29" s="936"/>
      <c r="L29" s="936"/>
      <c r="M29" s="936"/>
      <c r="N29" s="936"/>
      <c r="O29" s="936"/>
      <c r="P29" s="936"/>
      <c r="Q29" s="936"/>
      <c r="R29" s="936"/>
      <c r="S29" s="936"/>
    </row>
    <row r="30" spans="1:21">
      <c r="A30" s="728">
        <v>30</v>
      </c>
      <c r="B30" s="868"/>
      <c r="C30" s="728"/>
      <c r="D30" s="728" t="s">
        <v>20</v>
      </c>
      <c r="G30" s="444">
        <v>4837912</v>
      </c>
      <c r="H30" s="444">
        <v>4014906</v>
      </c>
      <c r="I30" s="444">
        <v>3267662</v>
      </c>
      <c r="J30" s="444">
        <v>1984262</v>
      </c>
      <c r="K30" s="444">
        <v>1190031</v>
      </c>
      <c r="L30" s="444">
        <v>719666</v>
      </c>
      <c r="M30" s="444">
        <v>550470</v>
      </c>
      <c r="N30" s="444">
        <v>526262</v>
      </c>
      <c r="O30" s="444">
        <v>593773</v>
      </c>
      <c r="P30" s="444">
        <v>1195832</v>
      </c>
      <c r="Q30" s="444">
        <v>2683400</v>
      </c>
      <c r="R30" s="444">
        <v>4284986</v>
      </c>
      <c r="S30" s="444">
        <v>25849162</v>
      </c>
      <c r="T30" s="444">
        <f>(S30/($S$21+$S$30))*$S$39</f>
        <v>187069.57610455638</v>
      </c>
      <c r="U30" s="95">
        <f>SUM(S30:T30)</f>
        <v>26036231.576104555</v>
      </c>
    </row>
    <row r="31" spans="1:21">
      <c r="A31" s="728">
        <v>31</v>
      </c>
      <c r="B31" s="382"/>
      <c r="C31" s="332"/>
      <c r="D31" s="728"/>
      <c r="G31" s="444"/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</row>
    <row r="32" spans="1:21">
      <c r="A32" s="728">
        <v>32</v>
      </c>
      <c r="B32" s="382"/>
      <c r="C32" s="728" t="s">
        <v>808</v>
      </c>
      <c r="D32" s="728" t="s">
        <v>16</v>
      </c>
      <c r="G32" s="444">
        <v>447830</v>
      </c>
      <c r="H32" s="444">
        <v>360011</v>
      </c>
      <c r="I32" s="444">
        <v>275801</v>
      </c>
      <c r="J32" s="444">
        <v>186929</v>
      </c>
      <c r="K32" s="444">
        <v>106582</v>
      </c>
      <c r="L32" s="444">
        <v>73941</v>
      </c>
      <c r="M32" s="444">
        <v>67880</v>
      </c>
      <c r="N32" s="444">
        <v>66203</v>
      </c>
      <c r="O32" s="444">
        <v>83019</v>
      </c>
      <c r="P32" s="444">
        <v>152175</v>
      </c>
      <c r="Q32" s="444">
        <v>273232</v>
      </c>
      <c r="R32" s="444">
        <v>414829</v>
      </c>
      <c r="S32" s="444">
        <v>2508432</v>
      </c>
    </row>
    <row r="33" spans="1:19">
      <c r="A33" s="728">
        <v>33</v>
      </c>
      <c r="B33" s="382"/>
      <c r="C33" s="728"/>
      <c r="D33" s="728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</row>
    <row r="34" spans="1:19">
      <c r="A34" s="728">
        <v>34</v>
      </c>
      <c r="B34" s="382"/>
      <c r="C34" s="728"/>
      <c r="D34" s="728" t="s">
        <v>17</v>
      </c>
      <c r="G34" s="444">
        <v>143209</v>
      </c>
      <c r="H34" s="444">
        <v>115010</v>
      </c>
      <c r="I34" s="444">
        <v>87886</v>
      </c>
      <c r="J34" s="444">
        <v>28575</v>
      </c>
      <c r="K34" s="444">
        <v>15664</v>
      </c>
      <c r="L34" s="444">
        <v>10002</v>
      </c>
      <c r="M34" s="444">
        <v>8850</v>
      </c>
      <c r="N34" s="444">
        <v>8531</v>
      </c>
      <c r="O34" s="444">
        <v>11663</v>
      </c>
      <c r="P34" s="444">
        <v>23064</v>
      </c>
      <c r="Q34" s="444">
        <v>87056</v>
      </c>
      <c r="R34" s="444">
        <v>132615</v>
      </c>
      <c r="S34" s="444">
        <v>672125</v>
      </c>
    </row>
    <row r="35" spans="1:19">
      <c r="A35" s="728">
        <v>35</v>
      </c>
      <c r="B35" s="382"/>
      <c r="C35" s="728"/>
      <c r="D35" s="728"/>
      <c r="G35" s="444"/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</row>
    <row r="36" spans="1:19">
      <c r="A36" s="728">
        <v>36</v>
      </c>
      <c r="B36" s="382"/>
      <c r="C36" s="728"/>
      <c r="D36" s="728" t="s">
        <v>18</v>
      </c>
      <c r="G36" s="444">
        <v>625449</v>
      </c>
      <c r="H36" s="444">
        <v>502293</v>
      </c>
      <c r="I36" s="444">
        <v>383833</v>
      </c>
      <c r="J36" s="444">
        <v>265802</v>
      </c>
      <c r="K36" s="444">
        <v>145703</v>
      </c>
      <c r="L36" s="444">
        <v>93034</v>
      </c>
      <c r="M36" s="444">
        <v>82322</v>
      </c>
      <c r="N36" s="444">
        <v>79352</v>
      </c>
      <c r="O36" s="444">
        <v>108490</v>
      </c>
      <c r="P36" s="444">
        <v>214536</v>
      </c>
      <c r="Q36" s="444">
        <v>380206</v>
      </c>
      <c r="R36" s="444">
        <v>579184</v>
      </c>
      <c r="S36" s="444">
        <v>3460204</v>
      </c>
    </row>
    <row r="37" spans="1:19">
      <c r="A37" s="728">
        <v>37</v>
      </c>
      <c r="B37" s="382"/>
      <c r="C37" s="728"/>
      <c r="D37" s="728" t="s">
        <v>19</v>
      </c>
      <c r="G37" s="936">
        <v>1216488</v>
      </c>
      <c r="H37" s="936">
        <v>977314</v>
      </c>
      <c r="I37" s="936">
        <v>747520</v>
      </c>
      <c r="J37" s="936">
        <v>481306</v>
      </c>
      <c r="K37" s="936">
        <v>267949</v>
      </c>
      <c r="L37" s="936">
        <v>176977</v>
      </c>
      <c r="M37" s="936">
        <v>159052</v>
      </c>
      <c r="N37" s="936">
        <v>154086</v>
      </c>
      <c r="O37" s="936">
        <v>203172</v>
      </c>
      <c r="P37" s="936">
        <v>389775</v>
      </c>
      <c r="Q37" s="936">
        <v>740494</v>
      </c>
      <c r="R37" s="936">
        <v>1126628</v>
      </c>
      <c r="S37" s="936">
        <v>6640761</v>
      </c>
    </row>
    <row r="38" spans="1:19">
      <c r="A38" s="728">
        <v>38</v>
      </c>
      <c r="B38" s="382"/>
      <c r="C38" s="728"/>
      <c r="D38" s="728"/>
      <c r="G38" s="936"/>
      <c r="H38" s="936"/>
      <c r="I38" s="936"/>
      <c r="J38" s="936"/>
      <c r="K38" s="936"/>
      <c r="L38" s="936"/>
      <c r="M38" s="936"/>
      <c r="N38" s="936"/>
      <c r="O38" s="936"/>
      <c r="P38" s="936"/>
      <c r="Q38" s="936"/>
      <c r="R38" s="936"/>
      <c r="S38" s="936"/>
    </row>
    <row r="39" spans="1:19">
      <c r="A39" s="728">
        <v>39</v>
      </c>
      <c r="B39" s="382"/>
      <c r="C39" s="728"/>
      <c r="D39" s="728" t="s">
        <v>20</v>
      </c>
      <c r="G39" s="444">
        <v>116425</v>
      </c>
      <c r="H39" s="444">
        <v>93500</v>
      </c>
      <c r="I39" s="444">
        <v>71449</v>
      </c>
      <c r="J39" s="444">
        <v>49478</v>
      </c>
      <c r="K39" s="444">
        <v>27122</v>
      </c>
      <c r="L39" s="444">
        <v>17318</v>
      </c>
      <c r="M39" s="444">
        <v>15324</v>
      </c>
      <c r="N39" s="444">
        <v>14771</v>
      </c>
      <c r="O39" s="444">
        <v>20195</v>
      </c>
      <c r="P39" s="444">
        <v>39935</v>
      </c>
      <c r="Q39" s="444">
        <v>70774</v>
      </c>
      <c r="R39" s="444">
        <v>107813</v>
      </c>
      <c r="S39" s="444">
        <v>644104</v>
      </c>
    </row>
    <row r="40" spans="1:19">
      <c r="A40" s="728">
        <v>40</v>
      </c>
      <c r="B40" s="382"/>
      <c r="C40" s="332"/>
      <c r="D40" s="332"/>
      <c r="G40" s="444"/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</row>
    <row r="41" spans="1:19">
      <c r="A41" s="728">
        <v>41</v>
      </c>
      <c r="B41" s="382"/>
      <c r="C41" s="728" t="s">
        <v>887</v>
      </c>
      <c r="D41" s="728" t="s">
        <v>16</v>
      </c>
      <c r="G41" s="444">
        <v>351842</v>
      </c>
      <c r="H41" s="444">
        <v>345676</v>
      </c>
      <c r="I41" s="444">
        <v>340348</v>
      </c>
      <c r="J41" s="444">
        <v>263151</v>
      </c>
      <c r="K41" s="444">
        <v>229700</v>
      </c>
      <c r="L41" s="444">
        <v>226841</v>
      </c>
      <c r="M41" s="444">
        <v>198371</v>
      </c>
      <c r="N41" s="444">
        <v>195492</v>
      </c>
      <c r="O41" s="444">
        <v>210599</v>
      </c>
      <c r="P41" s="444">
        <v>230949</v>
      </c>
      <c r="Q41" s="444">
        <v>298072</v>
      </c>
      <c r="R41" s="444">
        <v>355072</v>
      </c>
      <c r="S41" s="444">
        <v>3246113</v>
      </c>
    </row>
    <row r="42" spans="1:19">
      <c r="A42" s="728">
        <v>42</v>
      </c>
      <c r="B42" s="382"/>
      <c r="C42" s="728"/>
      <c r="D42" s="728"/>
      <c r="G42" s="444"/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</row>
    <row r="43" spans="1:19">
      <c r="A43" s="728">
        <v>43</v>
      </c>
      <c r="B43" s="382"/>
      <c r="C43" s="728"/>
      <c r="D43" s="728" t="s">
        <v>17</v>
      </c>
      <c r="G43" s="444">
        <v>886964</v>
      </c>
      <c r="H43" s="444">
        <v>869773</v>
      </c>
      <c r="I43" s="444">
        <v>854921</v>
      </c>
      <c r="J43" s="444">
        <v>363301</v>
      </c>
      <c r="K43" s="444">
        <v>310218</v>
      </c>
      <c r="L43" s="444">
        <v>305681</v>
      </c>
      <c r="M43" s="444">
        <v>260507</v>
      </c>
      <c r="N43" s="444">
        <v>255940</v>
      </c>
      <c r="O43" s="444">
        <v>279909</v>
      </c>
      <c r="P43" s="444">
        <v>312199</v>
      </c>
      <c r="Q43" s="444">
        <v>737073</v>
      </c>
      <c r="R43" s="444">
        <v>895969</v>
      </c>
      <c r="S43" s="444">
        <v>6332455</v>
      </c>
    </row>
    <row r="44" spans="1:19">
      <c r="A44" s="728">
        <v>44</v>
      </c>
      <c r="B44" s="382"/>
      <c r="C44" s="728"/>
      <c r="D44" s="728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</row>
    <row r="45" spans="1:19">
      <c r="A45" s="728">
        <v>45</v>
      </c>
      <c r="B45" s="382"/>
      <c r="C45" s="728"/>
      <c r="D45" s="728" t="s">
        <v>18</v>
      </c>
      <c r="G45" s="444">
        <v>3948063</v>
      </c>
      <c r="H45" s="444">
        <v>3871545</v>
      </c>
      <c r="I45" s="444">
        <v>3805436</v>
      </c>
      <c r="J45" s="444">
        <v>3354663</v>
      </c>
      <c r="K45" s="444">
        <v>2864508</v>
      </c>
      <c r="L45" s="444">
        <v>2822609</v>
      </c>
      <c r="M45" s="444">
        <v>2405479</v>
      </c>
      <c r="N45" s="444">
        <v>2363314</v>
      </c>
      <c r="O45" s="444">
        <v>2584635</v>
      </c>
      <c r="P45" s="444">
        <v>2882799</v>
      </c>
      <c r="Q45" s="444">
        <v>3280869</v>
      </c>
      <c r="R45" s="444">
        <v>3988148</v>
      </c>
      <c r="S45" s="444">
        <v>38172068</v>
      </c>
    </row>
    <row r="46" spans="1:19">
      <c r="A46" s="728">
        <v>46</v>
      </c>
      <c r="B46" s="382"/>
      <c r="C46" s="728"/>
      <c r="D46" s="728" t="s">
        <v>19</v>
      </c>
      <c r="G46" s="936">
        <v>5186869</v>
      </c>
      <c r="H46" s="936">
        <v>5086994</v>
      </c>
      <c r="I46" s="936">
        <v>5000705</v>
      </c>
      <c r="J46" s="936">
        <v>3981115</v>
      </c>
      <c r="K46" s="936">
        <v>3404426</v>
      </c>
      <c r="L46" s="936">
        <v>3355131</v>
      </c>
      <c r="M46" s="936">
        <v>2864357</v>
      </c>
      <c r="N46" s="936">
        <v>2814746</v>
      </c>
      <c r="O46" s="936">
        <v>3075143</v>
      </c>
      <c r="P46" s="936">
        <v>3425947</v>
      </c>
      <c r="Q46" s="936">
        <v>4316014</v>
      </c>
      <c r="R46" s="936">
        <v>5239189</v>
      </c>
      <c r="S46" s="936">
        <v>47750636</v>
      </c>
    </row>
    <row r="47" spans="1:19">
      <c r="A47" s="728">
        <v>47</v>
      </c>
      <c r="B47" s="382"/>
      <c r="C47" s="728"/>
      <c r="D47" s="728"/>
      <c r="G47" s="936"/>
      <c r="H47" s="936"/>
      <c r="I47" s="936"/>
      <c r="J47" s="936"/>
      <c r="K47" s="936"/>
      <c r="L47" s="936"/>
      <c r="M47" s="936"/>
      <c r="N47" s="936"/>
      <c r="O47" s="936"/>
      <c r="P47" s="936"/>
      <c r="Q47" s="936"/>
      <c r="R47" s="936"/>
      <c r="S47" s="936"/>
    </row>
    <row r="48" spans="1:19">
      <c r="A48" s="728">
        <v>48</v>
      </c>
      <c r="B48" s="382"/>
      <c r="C48" s="728"/>
      <c r="D48" s="728" t="s">
        <v>20</v>
      </c>
      <c r="G48" s="444">
        <v>740358</v>
      </c>
      <c r="H48" s="444">
        <v>726009</v>
      </c>
      <c r="I48" s="444">
        <v>713612</v>
      </c>
      <c r="J48" s="444">
        <v>629081</v>
      </c>
      <c r="K48" s="444">
        <v>537165</v>
      </c>
      <c r="L48" s="444">
        <v>529308</v>
      </c>
      <c r="M48" s="444">
        <v>451086</v>
      </c>
      <c r="N48" s="444">
        <v>443179</v>
      </c>
      <c r="O48" s="444">
        <v>484682</v>
      </c>
      <c r="P48" s="444">
        <v>540595</v>
      </c>
      <c r="Q48" s="444">
        <v>615243</v>
      </c>
      <c r="R48" s="444">
        <v>747875</v>
      </c>
      <c r="S48" s="444">
        <v>7158193</v>
      </c>
    </row>
    <row r="49" spans="1:19">
      <c r="A49" s="728">
        <v>49</v>
      </c>
      <c r="B49" s="382"/>
      <c r="C49" s="332"/>
      <c r="D49" s="332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</row>
    <row r="50" spans="1:19">
      <c r="A50" s="728">
        <v>50</v>
      </c>
      <c r="B50" s="382"/>
      <c r="C50" s="728" t="s">
        <v>811</v>
      </c>
      <c r="D50" s="728" t="s">
        <v>16</v>
      </c>
      <c r="G50" s="444">
        <v>0</v>
      </c>
      <c r="H50" s="444">
        <v>0</v>
      </c>
      <c r="I50" s="444">
        <v>0</v>
      </c>
      <c r="J50" s="444">
        <v>0</v>
      </c>
      <c r="K50" s="444">
        <v>0</v>
      </c>
      <c r="L50" s="444">
        <v>0</v>
      </c>
      <c r="M50" s="444">
        <v>0</v>
      </c>
      <c r="N50" s="444">
        <v>0</v>
      </c>
      <c r="O50" s="444">
        <v>0</v>
      </c>
      <c r="P50" s="444">
        <v>0</v>
      </c>
      <c r="Q50" s="444">
        <v>0</v>
      </c>
      <c r="R50" s="444">
        <v>0</v>
      </c>
      <c r="S50" s="444">
        <v>0</v>
      </c>
    </row>
    <row r="51" spans="1:19">
      <c r="A51" s="728">
        <v>51</v>
      </c>
      <c r="B51" s="382"/>
      <c r="C51" s="728"/>
      <c r="D51" s="728" t="s">
        <v>17</v>
      </c>
      <c r="G51" s="444"/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>
        <v>0</v>
      </c>
    </row>
    <row r="52" spans="1:19">
      <c r="A52" s="728">
        <v>52</v>
      </c>
      <c r="B52" s="382"/>
      <c r="C52" s="332"/>
      <c r="D52" s="728" t="s">
        <v>812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444">
        <v>0</v>
      </c>
      <c r="M52" s="444">
        <v>0</v>
      </c>
      <c r="N52" s="444">
        <v>0</v>
      </c>
      <c r="O52" s="444">
        <v>0</v>
      </c>
      <c r="P52" s="444">
        <v>0</v>
      </c>
      <c r="Q52" s="444">
        <v>0</v>
      </c>
      <c r="R52" s="444">
        <v>0</v>
      </c>
      <c r="S52" s="444">
        <v>0</v>
      </c>
    </row>
    <row r="53" spans="1:19">
      <c r="A53" s="728">
        <v>53</v>
      </c>
      <c r="B53" s="382"/>
      <c r="C53" s="728"/>
      <c r="D53" s="728" t="s">
        <v>813</v>
      </c>
      <c r="G53" s="444"/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>
        <v>0</v>
      </c>
    </row>
    <row r="54" spans="1:19">
      <c r="A54" s="728">
        <v>54</v>
      </c>
      <c r="B54" s="382"/>
      <c r="C54" s="332"/>
      <c r="D54" s="332" t="s">
        <v>814</v>
      </c>
      <c r="G54" s="444">
        <v>0</v>
      </c>
      <c r="H54" s="444">
        <v>0</v>
      </c>
      <c r="I54" s="444">
        <v>0</v>
      </c>
      <c r="J54" s="444">
        <v>0</v>
      </c>
      <c r="K54" s="444">
        <v>0</v>
      </c>
      <c r="L54" s="444">
        <v>0</v>
      </c>
      <c r="M54" s="444">
        <v>0</v>
      </c>
      <c r="N54" s="444">
        <v>0</v>
      </c>
      <c r="O54" s="444">
        <v>0</v>
      </c>
      <c r="P54" s="444">
        <v>0</v>
      </c>
      <c r="Q54" s="444">
        <v>0</v>
      </c>
      <c r="R54" s="444">
        <v>0</v>
      </c>
      <c r="S54" s="444">
        <v>0</v>
      </c>
    </row>
    <row r="55" spans="1:19">
      <c r="A55" s="728">
        <v>55</v>
      </c>
      <c r="B55" s="382"/>
      <c r="C55" s="332"/>
      <c r="D55" s="728" t="s">
        <v>19</v>
      </c>
      <c r="G55" s="936">
        <v>0</v>
      </c>
      <c r="H55" s="936">
        <v>0</v>
      </c>
      <c r="I55" s="936">
        <v>0</v>
      </c>
      <c r="J55" s="936">
        <v>0</v>
      </c>
      <c r="K55" s="936">
        <v>0</v>
      </c>
      <c r="L55" s="936">
        <v>0</v>
      </c>
      <c r="M55" s="936">
        <v>0</v>
      </c>
      <c r="N55" s="936">
        <v>0</v>
      </c>
      <c r="O55" s="936">
        <v>0</v>
      </c>
      <c r="P55" s="936">
        <v>0</v>
      </c>
      <c r="Q55" s="936">
        <v>0</v>
      </c>
      <c r="R55" s="936">
        <v>0</v>
      </c>
      <c r="S55" s="936">
        <v>0</v>
      </c>
    </row>
    <row r="56" spans="1:19">
      <c r="A56" s="728">
        <v>56</v>
      </c>
      <c r="B56" s="382"/>
      <c r="C56" s="332"/>
      <c r="D56" s="728"/>
      <c r="G56" s="936"/>
      <c r="H56" s="936"/>
      <c r="I56" s="936"/>
      <c r="J56" s="936"/>
      <c r="K56" s="936"/>
      <c r="L56" s="936"/>
      <c r="M56" s="936"/>
      <c r="N56" s="936"/>
      <c r="O56" s="936"/>
      <c r="P56" s="936"/>
      <c r="Q56" s="936"/>
      <c r="R56" s="936"/>
      <c r="S56" s="936"/>
    </row>
    <row r="57" spans="1:19">
      <c r="A57" s="728">
        <v>57</v>
      </c>
      <c r="B57" s="382"/>
      <c r="C57" s="332"/>
      <c r="D57" s="332" t="s">
        <v>83</v>
      </c>
      <c r="G57" s="444">
        <v>0</v>
      </c>
      <c r="H57" s="444">
        <v>0</v>
      </c>
      <c r="I57" s="444">
        <v>0</v>
      </c>
      <c r="J57" s="444">
        <v>0</v>
      </c>
      <c r="K57" s="444">
        <v>0</v>
      </c>
      <c r="L57" s="444">
        <v>0</v>
      </c>
      <c r="M57" s="444">
        <v>0</v>
      </c>
      <c r="N57" s="444">
        <v>0</v>
      </c>
      <c r="O57" s="444">
        <v>0</v>
      </c>
      <c r="P57" s="444">
        <v>0</v>
      </c>
      <c r="Q57" s="444">
        <v>0</v>
      </c>
      <c r="R57" s="444">
        <v>0</v>
      </c>
      <c r="S57" s="444">
        <v>0</v>
      </c>
    </row>
    <row r="58" spans="1:19">
      <c r="A58" s="728">
        <v>58</v>
      </c>
      <c r="B58" s="382"/>
      <c r="C58" s="332"/>
      <c r="D58" s="332"/>
      <c r="G58" s="444"/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</row>
    <row r="59" spans="1:19">
      <c r="A59" s="728">
        <v>59</v>
      </c>
      <c r="B59" s="382"/>
      <c r="C59" s="728" t="s">
        <v>810</v>
      </c>
      <c r="D59" s="728" t="s">
        <v>16</v>
      </c>
      <c r="G59" s="444">
        <v>21481</v>
      </c>
      <c r="H59" s="444">
        <v>27006</v>
      </c>
      <c r="I59" s="444">
        <v>25140</v>
      </c>
      <c r="J59" s="444">
        <v>27129</v>
      </c>
      <c r="K59" s="444">
        <v>27768</v>
      </c>
      <c r="L59" s="444">
        <v>32007</v>
      </c>
      <c r="M59" s="444">
        <v>30259</v>
      </c>
      <c r="N59" s="444">
        <v>29778</v>
      </c>
      <c r="O59" s="444">
        <v>31864</v>
      </c>
      <c r="P59" s="444">
        <v>30619</v>
      </c>
      <c r="Q59" s="444">
        <v>34996</v>
      </c>
      <c r="R59" s="444">
        <v>33291</v>
      </c>
      <c r="S59" s="444">
        <v>351338</v>
      </c>
    </row>
    <row r="60" spans="1:19">
      <c r="A60" s="728">
        <v>60</v>
      </c>
      <c r="B60" s="382"/>
      <c r="C60" s="728"/>
      <c r="D60" s="728"/>
      <c r="G60" s="444"/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</row>
    <row r="61" spans="1:19">
      <c r="A61" s="728">
        <v>61</v>
      </c>
      <c r="B61" s="382"/>
      <c r="C61" s="728"/>
      <c r="D61" s="728" t="s">
        <v>17</v>
      </c>
      <c r="G61" s="444">
        <v>7458</v>
      </c>
      <c r="H61" s="444">
        <v>9376</v>
      </c>
      <c r="I61" s="444">
        <v>8728</v>
      </c>
      <c r="J61" s="444">
        <v>9419</v>
      </c>
      <c r="K61" s="444">
        <v>9641</v>
      </c>
      <c r="L61" s="444">
        <v>11112</v>
      </c>
      <c r="M61" s="444">
        <v>10505</v>
      </c>
      <c r="N61" s="444">
        <v>10338</v>
      </c>
      <c r="O61" s="444">
        <v>11063</v>
      </c>
      <c r="P61" s="444">
        <v>10630</v>
      </c>
      <c r="Q61" s="444">
        <v>12150</v>
      </c>
      <c r="R61" s="444">
        <v>11558</v>
      </c>
      <c r="S61" s="444">
        <v>121978</v>
      </c>
    </row>
    <row r="62" spans="1:19">
      <c r="A62" s="728">
        <v>62</v>
      </c>
      <c r="B62" s="382"/>
      <c r="C62" s="728"/>
      <c r="D62" s="728"/>
      <c r="G62" s="444"/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</row>
    <row r="63" spans="1:19">
      <c r="A63" s="728">
        <v>63</v>
      </c>
      <c r="B63" s="382"/>
      <c r="C63" s="728"/>
      <c r="D63" s="728" t="s">
        <v>18</v>
      </c>
      <c r="G63" s="444">
        <v>44805</v>
      </c>
      <c r="H63" s="444">
        <v>56329</v>
      </c>
      <c r="I63" s="444">
        <v>52436</v>
      </c>
      <c r="J63" s="444">
        <v>56585</v>
      </c>
      <c r="K63" s="444">
        <v>57918</v>
      </c>
      <c r="L63" s="444">
        <v>66759</v>
      </c>
      <c r="M63" s="444">
        <v>63112</v>
      </c>
      <c r="N63" s="444">
        <v>62109</v>
      </c>
      <c r="O63" s="444">
        <v>66461</v>
      </c>
      <c r="P63" s="444">
        <v>63864</v>
      </c>
      <c r="Q63" s="444">
        <v>72993</v>
      </c>
      <c r="R63" s="444">
        <v>69436</v>
      </c>
      <c r="S63" s="444">
        <v>732807</v>
      </c>
    </row>
    <row r="64" spans="1:19">
      <c r="A64" s="728">
        <v>64</v>
      </c>
      <c r="B64" s="382"/>
      <c r="C64" s="728"/>
      <c r="D64" s="728" t="s">
        <v>19</v>
      </c>
      <c r="G64" s="936">
        <v>73744</v>
      </c>
      <c r="H64" s="936">
        <v>92711</v>
      </c>
      <c r="I64" s="936">
        <v>86304</v>
      </c>
      <c r="J64" s="936">
        <v>93133</v>
      </c>
      <c r="K64" s="936">
        <v>95327</v>
      </c>
      <c r="L64" s="936">
        <v>109878</v>
      </c>
      <c r="M64" s="936">
        <v>103876</v>
      </c>
      <c r="N64" s="936">
        <v>102225</v>
      </c>
      <c r="O64" s="936">
        <v>109388</v>
      </c>
      <c r="P64" s="936">
        <v>105113</v>
      </c>
      <c r="Q64" s="936">
        <v>120139</v>
      </c>
      <c r="R64" s="936">
        <v>114285</v>
      </c>
      <c r="S64" s="936">
        <v>1206123</v>
      </c>
    </row>
    <row r="65" spans="1:19">
      <c r="A65" s="728">
        <v>65</v>
      </c>
      <c r="B65" s="382"/>
      <c r="C65" s="728"/>
      <c r="D65" s="728"/>
      <c r="G65" s="936"/>
      <c r="H65" s="936"/>
      <c r="I65" s="936"/>
      <c r="J65" s="936"/>
      <c r="K65" s="936"/>
      <c r="L65" s="936"/>
      <c r="M65" s="936"/>
      <c r="N65" s="936"/>
      <c r="O65" s="936"/>
      <c r="P65" s="936"/>
      <c r="Q65" s="936"/>
      <c r="R65" s="936"/>
      <c r="S65" s="936"/>
    </row>
    <row r="66" spans="1:19">
      <c r="A66" s="728">
        <v>66</v>
      </c>
      <c r="B66" s="382"/>
      <c r="C66" s="728"/>
      <c r="D66" s="728" t="s">
        <v>20</v>
      </c>
      <c r="G66" s="444">
        <v>8402</v>
      </c>
      <c r="H66" s="444">
        <v>10563</v>
      </c>
      <c r="I66" s="444">
        <v>9833</v>
      </c>
      <c r="J66" s="444">
        <v>10611</v>
      </c>
      <c r="K66" s="444">
        <v>10861</v>
      </c>
      <c r="L66" s="444">
        <v>12519</v>
      </c>
      <c r="M66" s="444">
        <v>11835</v>
      </c>
      <c r="N66" s="444">
        <v>11647</v>
      </c>
      <c r="O66" s="444">
        <v>12463</v>
      </c>
      <c r="P66" s="444">
        <v>11976</v>
      </c>
      <c r="Q66" s="444">
        <v>13688</v>
      </c>
      <c r="R66" s="444">
        <v>13021</v>
      </c>
      <c r="S66" s="444">
        <v>137419</v>
      </c>
    </row>
    <row r="67" spans="1:19">
      <c r="A67" s="728">
        <v>67</v>
      </c>
      <c r="B67" s="382"/>
      <c r="C67" s="332"/>
      <c r="D67" s="332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</row>
    <row r="68" spans="1:19">
      <c r="A68" s="728">
        <v>68</v>
      </c>
      <c r="B68" s="382"/>
      <c r="C68" s="728" t="s">
        <v>4</v>
      </c>
      <c r="D68" s="728" t="s">
        <v>16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  <c r="P68" s="444">
        <v>0</v>
      </c>
      <c r="Q68" s="444">
        <v>0</v>
      </c>
      <c r="R68" s="444">
        <v>0</v>
      </c>
      <c r="S68" s="444">
        <v>0</v>
      </c>
    </row>
    <row r="69" spans="1:19">
      <c r="A69" s="728">
        <v>69</v>
      </c>
      <c r="B69" s="382"/>
      <c r="C69" s="728"/>
      <c r="D69" s="728"/>
      <c r="G69" s="444"/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</row>
    <row r="70" spans="1:19">
      <c r="A70" s="728">
        <v>70</v>
      </c>
      <c r="B70" s="382"/>
      <c r="C70" s="728"/>
      <c r="D70" s="728" t="s">
        <v>17</v>
      </c>
      <c r="G70" s="444">
        <v>0</v>
      </c>
      <c r="H70" s="444">
        <v>0</v>
      </c>
      <c r="I70" s="444">
        <v>0</v>
      </c>
      <c r="J70" s="444">
        <v>0</v>
      </c>
      <c r="K70" s="444">
        <v>0</v>
      </c>
      <c r="L70" s="444">
        <v>0</v>
      </c>
      <c r="M70" s="444">
        <v>0</v>
      </c>
      <c r="N70" s="444">
        <v>0</v>
      </c>
      <c r="O70" s="444">
        <v>0</v>
      </c>
      <c r="P70" s="444">
        <v>0</v>
      </c>
      <c r="Q70" s="444">
        <v>0</v>
      </c>
      <c r="R70" s="444">
        <v>0</v>
      </c>
      <c r="S70" s="444">
        <v>0</v>
      </c>
    </row>
    <row r="71" spans="1:19">
      <c r="A71" s="728">
        <v>71</v>
      </c>
      <c r="B71" s="382"/>
      <c r="C71" s="728"/>
      <c r="D71" s="728"/>
      <c r="G71" s="444"/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</row>
    <row r="72" spans="1:19">
      <c r="A72" s="728">
        <v>72</v>
      </c>
      <c r="B72" s="382"/>
      <c r="C72" s="728"/>
      <c r="D72" s="728" t="s">
        <v>18</v>
      </c>
      <c r="G72" s="444">
        <v>0</v>
      </c>
      <c r="H72" s="444">
        <v>0</v>
      </c>
      <c r="I72" s="444">
        <v>0</v>
      </c>
      <c r="J72" s="444">
        <v>0</v>
      </c>
      <c r="K72" s="444">
        <v>0</v>
      </c>
      <c r="L72" s="444">
        <v>0</v>
      </c>
      <c r="M72" s="444">
        <v>0</v>
      </c>
      <c r="N72" s="444">
        <v>0</v>
      </c>
      <c r="O72" s="444">
        <v>0</v>
      </c>
      <c r="P72" s="444">
        <v>0</v>
      </c>
      <c r="Q72" s="444">
        <v>0</v>
      </c>
      <c r="R72" s="444">
        <v>0</v>
      </c>
      <c r="S72" s="444">
        <v>0</v>
      </c>
    </row>
    <row r="73" spans="1:19">
      <c r="A73" s="728">
        <v>73</v>
      </c>
      <c r="B73" s="382"/>
      <c r="C73" s="728"/>
      <c r="D73" s="728" t="s">
        <v>19</v>
      </c>
      <c r="G73" s="936">
        <v>0</v>
      </c>
      <c r="H73" s="936">
        <v>0</v>
      </c>
      <c r="I73" s="936">
        <v>0</v>
      </c>
      <c r="J73" s="936">
        <v>0</v>
      </c>
      <c r="K73" s="936">
        <v>0</v>
      </c>
      <c r="L73" s="936">
        <v>0</v>
      </c>
      <c r="M73" s="936">
        <v>0</v>
      </c>
      <c r="N73" s="936">
        <v>0</v>
      </c>
      <c r="O73" s="936">
        <v>0</v>
      </c>
      <c r="P73" s="936">
        <v>0</v>
      </c>
      <c r="Q73" s="936">
        <v>0</v>
      </c>
      <c r="R73" s="936">
        <v>0</v>
      </c>
      <c r="S73" s="936">
        <v>0</v>
      </c>
    </row>
    <row r="74" spans="1:19">
      <c r="A74" s="728">
        <v>74</v>
      </c>
      <c r="B74" s="382"/>
      <c r="C74" s="728"/>
      <c r="D74" s="728"/>
      <c r="G74" s="936"/>
      <c r="H74" s="936"/>
      <c r="I74" s="936"/>
      <c r="J74" s="936"/>
      <c r="K74" s="936"/>
      <c r="L74" s="936"/>
      <c r="M74" s="936"/>
      <c r="N74" s="936"/>
      <c r="O74" s="936"/>
      <c r="P74" s="936"/>
      <c r="Q74" s="936"/>
      <c r="R74" s="936"/>
      <c r="S74" s="936"/>
    </row>
    <row r="75" spans="1:19">
      <c r="A75" s="728">
        <v>75</v>
      </c>
      <c r="B75" s="382"/>
      <c r="C75" s="728"/>
      <c r="D75" s="728" t="s">
        <v>20</v>
      </c>
      <c r="G75" s="444">
        <v>0</v>
      </c>
      <c r="H75" s="444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0</v>
      </c>
      <c r="O75" s="444">
        <v>0</v>
      </c>
      <c r="P75" s="444">
        <v>0</v>
      </c>
      <c r="Q75" s="444">
        <v>0</v>
      </c>
      <c r="R75" s="444">
        <v>0</v>
      </c>
      <c r="S75" s="444">
        <v>0</v>
      </c>
    </row>
    <row r="76" spans="1:19">
      <c r="A76" s="728">
        <v>76</v>
      </c>
      <c r="B76" s="382"/>
      <c r="C76" s="728"/>
      <c r="D76" s="728"/>
      <c r="G76" s="444"/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</row>
    <row r="77" spans="1:19">
      <c r="A77" s="728">
        <v>77</v>
      </c>
      <c r="B77" s="382"/>
      <c r="C77" s="728" t="s">
        <v>88</v>
      </c>
      <c r="D77" s="728" t="s">
        <v>16</v>
      </c>
      <c r="G77" s="444">
        <v>0</v>
      </c>
      <c r="H77" s="444">
        <v>0</v>
      </c>
      <c r="I77" s="444">
        <v>0</v>
      </c>
      <c r="J77" s="444">
        <v>0</v>
      </c>
      <c r="K77" s="444">
        <v>0</v>
      </c>
      <c r="L77" s="444">
        <v>0</v>
      </c>
      <c r="M77" s="444">
        <v>0</v>
      </c>
      <c r="N77" s="444">
        <v>0</v>
      </c>
      <c r="O77" s="444">
        <v>0</v>
      </c>
      <c r="P77" s="444">
        <v>0</v>
      </c>
      <c r="Q77" s="444">
        <v>0</v>
      </c>
      <c r="R77" s="444">
        <v>0</v>
      </c>
      <c r="S77" s="444">
        <v>0</v>
      </c>
    </row>
    <row r="78" spans="1:19">
      <c r="A78" s="728">
        <v>78</v>
      </c>
      <c r="B78" s="382"/>
      <c r="C78" s="728"/>
      <c r="D78" s="728"/>
      <c r="G78" s="444"/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</row>
    <row r="79" spans="1:19">
      <c r="A79" s="728">
        <v>79</v>
      </c>
      <c r="B79" s="382"/>
      <c r="C79" s="728"/>
      <c r="D79" s="728" t="s">
        <v>17</v>
      </c>
      <c r="G79" s="444">
        <v>0</v>
      </c>
      <c r="H79" s="444">
        <v>0</v>
      </c>
      <c r="I79" s="444">
        <v>0</v>
      </c>
      <c r="J79" s="444">
        <v>0</v>
      </c>
      <c r="K79" s="444">
        <v>0</v>
      </c>
      <c r="L79" s="444">
        <v>0</v>
      </c>
      <c r="M79" s="444">
        <v>0</v>
      </c>
      <c r="N79" s="444">
        <v>0</v>
      </c>
      <c r="O79" s="444">
        <v>0</v>
      </c>
      <c r="P79" s="444">
        <v>0</v>
      </c>
      <c r="Q79" s="444">
        <v>0</v>
      </c>
      <c r="R79" s="444">
        <v>0</v>
      </c>
      <c r="S79" s="444">
        <v>0</v>
      </c>
    </row>
    <row r="80" spans="1:19">
      <c r="A80" s="728">
        <v>80</v>
      </c>
      <c r="B80" s="382"/>
      <c r="C80" s="728"/>
      <c r="D80" s="728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</row>
    <row r="81" spans="1:19">
      <c r="A81" s="728">
        <v>81</v>
      </c>
      <c r="B81" s="382"/>
      <c r="C81" s="728"/>
      <c r="D81" s="728" t="s">
        <v>18</v>
      </c>
      <c r="G81" s="444">
        <v>0</v>
      </c>
      <c r="H81" s="444">
        <v>0</v>
      </c>
      <c r="I81" s="444">
        <v>0</v>
      </c>
      <c r="J81" s="444">
        <v>0</v>
      </c>
      <c r="K81" s="444">
        <v>0</v>
      </c>
      <c r="L81" s="444">
        <v>0</v>
      </c>
      <c r="M81" s="444">
        <v>0</v>
      </c>
      <c r="N81" s="444">
        <v>0</v>
      </c>
      <c r="O81" s="444">
        <v>0</v>
      </c>
      <c r="P81" s="444">
        <v>0</v>
      </c>
      <c r="Q81" s="444">
        <v>0</v>
      </c>
      <c r="R81" s="444">
        <v>0</v>
      </c>
      <c r="S81" s="444">
        <v>0</v>
      </c>
    </row>
    <row r="82" spans="1:19">
      <c r="A82" s="728">
        <v>82</v>
      </c>
      <c r="B82" s="382"/>
      <c r="C82" s="728"/>
      <c r="D82" s="728" t="s">
        <v>19</v>
      </c>
      <c r="G82" s="936">
        <v>0</v>
      </c>
      <c r="H82" s="936">
        <v>0</v>
      </c>
      <c r="I82" s="936">
        <v>0</v>
      </c>
      <c r="J82" s="936">
        <v>0</v>
      </c>
      <c r="K82" s="936">
        <v>0</v>
      </c>
      <c r="L82" s="936">
        <v>0</v>
      </c>
      <c r="M82" s="936">
        <v>0</v>
      </c>
      <c r="N82" s="936">
        <v>0</v>
      </c>
      <c r="O82" s="936">
        <v>0</v>
      </c>
      <c r="P82" s="936">
        <v>0</v>
      </c>
      <c r="Q82" s="936">
        <v>0</v>
      </c>
      <c r="R82" s="936">
        <v>0</v>
      </c>
      <c r="S82" s="936">
        <v>0</v>
      </c>
    </row>
    <row r="83" spans="1:19">
      <c r="A83" s="728">
        <v>83</v>
      </c>
      <c r="B83" s="382"/>
      <c r="C83" s="728"/>
      <c r="D83" s="728"/>
      <c r="G83" s="936"/>
      <c r="H83" s="936"/>
      <c r="I83" s="936"/>
      <c r="J83" s="936"/>
      <c r="K83" s="936"/>
      <c r="L83" s="936"/>
      <c r="M83" s="936"/>
      <c r="N83" s="936"/>
      <c r="O83" s="936"/>
      <c r="P83" s="936"/>
      <c r="Q83" s="936"/>
      <c r="R83" s="936"/>
      <c r="S83" s="936"/>
    </row>
    <row r="84" spans="1:19">
      <c r="A84" s="728">
        <v>84</v>
      </c>
      <c r="B84" s="382"/>
      <c r="C84" s="728"/>
      <c r="D84" s="728" t="s">
        <v>20</v>
      </c>
      <c r="G84" s="444">
        <v>0</v>
      </c>
      <c r="H84" s="444">
        <v>0</v>
      </c>
      <c r="I84" s="444">
        <v>0</v>
      </c>
      <c r="J84" s="444">
        <v>0</v>
      </c>
      <c r="K84" s="444">
        <v>0</v>
      </c>
      <c r="L84" s="444">
        <v>0</v>
      </c>
      <c r="M84" s="444">
        <v>0</v>
      </c>
      <c r="N84" s="444">
        <v>0</v>
      </c>
      <c r="O84" s="444">
        <v>0</v>
      </c>
      <c r="P84" s="444">
        <v>0</v>
      </c>
      <c r="Q84" s="444">
        <v>0</v>
      </c>
      <c r="R84" s="444">
        <v>0</v>
      </c>
      <c r="S84" s="444">
        <v>0</v>
      </c>
    </row>
    <row r="85" spans="1:19">
      <c r="A85" s="728">
        <v>85</v>
      </c>
      <c r="B85" s="382"/>
      <c r="C85" s="728"/>
      <c r="D85" s="728"/>
      <c r="G85" s="444"/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</row>
    <row r="86" spans="1:19">
      <c r="A86" s="728">
        <v>86</v>
      </c>
      <c r="B86" s="382"/>
      <c r="C86" s="728" t="s">
        <v>680</v>
      </c>
      <c r="D86" s="728" t="s">
        <v>16</v>
      </c>
      <c r="G86" s="444">
        <v>23682</v>
      </c>
      <c r="H86" s="444">
        <v>23702</v>
      </c>
      <c r="I86" s="444">
        <v>23696</v>
      </c>
      <c r="J86" s="444">
        <v>21856</v>
      </c>
      <c r="K86" s="444">
        <v>18349</v>
      </c>
      <c r="L86" s="444">
        <v>18223</v>
      </c>
      <c r="M86" s="444">
        <v>18209</v>
      </c>
      <c r="N86" s="444">
        <v>15772</v>
      </c>
      <c r="O86" s="444">
        <v>18848</v>
      </c>
      <c r="P86" s="444">
        <v>26986</v>
      </c>
      <c r="Q86" s="444">
        <v>25961</v>
      </c>
      <c r="R86" s="444">
        <v>26301</v>
      </c>
      <c r="S86" s="444">
        <v>261585</v>
      </c>
    </row>
    <row r="87" spans="1:19">
      <c r="A87" s="728">
        <v>87</v>
      </c>
      <c r="B87" s="382"/>
      <c r="C87" s="728"/>
      <c r="D87" s="728"/>
      <c r="G87" s="444"/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</row>
    <row r="88" spans="1:19">
      <c r="A88" s="728">
        <v>88</v>
      </c>
      <c r="B88" s="382"/>
      <c r="C88" s="728"/>
      <c r="D88" s="728" t="s">
        <v>17</v>
      </c>
      <c r="G88" s="444">
        <v>23474</v>
      </c>
      <c r="H88" s="444">
        <v>23503</v>
      </c>
      <c r="I88" s="444">
        <v>23493</v>
      </c>
      <c r="J88" s="444">
        <v>20942</v>
      </c>
      <c r="K88" s="444">
        <v>16079</v>
      </c>
      <c r="L88" s="444">
        <v>15904</v>
      </c>
      <c r="M88" s="444">
        <v>15885</v>
      </c>
      <c r="N88" s="444">
        <v>12506</v>
      </c>
      <c r="O88" s="444">
        <v>16771</v>
      </c>
      <c r="P88" s="444">
        <v>28055</v>
      </c>
      <c r="Q88" s="444">
        <v>26634</v>
      </c>
      <c r="R88" s="444">
        <v>27106</v>
      </c>
      <c r="S88" s="444">
        <v>250352</v>
      </c>
    </row>
    <row r="89" spans="1:19">
      <c r="A89" s="728">
        <v>89</v>
      </c>
      <c r="B89" s="382"/>
      <c r="C89" s="728"/>
      <c r="D89" s="728"/>
      <c r="G89" s="444"/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</row>
    <row r="90" spans="1:19">
      <c r="A90" s="728">
        <v>90</v>
      </c>
      <c r="B90" s="382"/>
      <c r="C90" s="728"/>
      <c r="D90" s="728" t="s">
        <v>18</v>
      </c>
      <c r="G90" s="444">
        <v>236420</v>
      </c>
      <c r="H90" s="444">
        <v>236709</v>
      </c>
      <c r="I90" s="444">
        <v>236617</v>
      </c>
      <c r="J90" s="444">
        <v>210919</v>
      </c>
      <c r="K90" s="444">
        <v>161945</v>
      </c>
      <c r="L90" s="444">
        <v>160181</v>
      </c>
      <c r="M90" s="444">
        <v>159989</v>
      </c>
      <c r="N90" s="444">
        <v>125955</v>
      </c>
      <c r="O90" s="444">
        <v>168911</v>
      </c>
      <c r="P90" s="444">
        <v>282565</v>
      </c>
      <c r="Q90" s="444">
        <v>268250</v>
      </c>
      <c r="R90" s="444">
        <v>273005</v>
      </c>
      <c r="S90" s="444">
        <v>2521466</v>
      </c>
    </row>
    <row r="91" spans="1:19">
      <c r="A91" s="728">
        <v>91</v>
      </c>
      <c r="B91" s="382"/>
      <c r="C91" s="728"/>
      <c r="D91" s="728" t="s">
        <v>19</v>
      </c>
      <c r="G91" s="936">
        <v>283576</v>
      </c>
      <c r="H91" s="936">
        <v>283914</v>
      </c>
      <c r="I91" s="936">
        <v>283806</v>
      </c>
      <c r="J91" s="936">
        <v>253717</v>
      </c>
      <c r="K91" s="936">
        <v>196373</v>
      </c>
      <c r="L91" s="936">
        <v>194308</v>
      </c>
      <c r="M91" s="936">
        <v>194083</v>
      </c>
      <c r="N91" s="936">
        <v>154233</v>
      </c>
      <c r="O91" s="936">
        <v>204530</v>
      </c>
      <c r="P91" s="936">
        <v>337606</v>
      </c>
      <c r="Q91" s="936">
        <v>320845</v>
      </c>
      <c r="R91" s="936">
        <v>326412</v>
      </c>
      <c r="S91" s="936">
        <v>3033403</v>
      </c>
    </row>
    <row r="92" spans="1:19">
      <c r="A92" s="728">
        <v>92</v>
      </c>
      <c r="B92" s="382"/>
      <c r="C92" s="728"/>
      <c r="D92" s="728"/>
      <c r="G92" s="936"/>
      <c r="H92" s="936"/>
      <c r="I92" s="936"/>
      <c r="J92" s="936"/>
      <c r="K92" s="936"/>
      <c r="L92" s="936"/>
      <c r="M92" s="936"/>
      <c r="N92" s="936"/>
      <c r="O92" s="936"/>
      <c r="P92" s="936"/>
      <c r="Q92" s="936"/>
      <c r="R92" s="936"/>
      <c r="S92" s="936"/>
    </row>
    <row r="93" spans="1:19">
      <c r="A93" s="728">
        <v>93</v>
      </c>
      <c r="B93" s="382"/>
      <c r="C93" s="728"/>
      <c r="D93" s="728" t="s">
        <v>20</v>
      </c>
      <c r="G93" s="444">
        <v>128497</v>
      </c>
      <c r="H93" s="444">
        <v>128654</v>
      </c>
      <c r="I93" s="444">
        <v>128604</v>
      </c>
      <c r="J93" s="444">
        <v>114637</v>
      </c>
      <c r="K93" s="444">
        <v>88019</v>
      </c>
      <c r="L93" s="444">
        <v>87060</v>
      </c>
      <c r="M93" s="444">
        <v>86956</v>
      </c>
      <c r="N93" s="444">
        <v>68458</v>
      </c>
      <c r="O93" s="444">
        <v>91805</v>
      </c>
      <c r="P93" s="444">
        <v>153577</v>
      </c>
      <c r="Q93" s="444">
        <v>145797</v>
      </c>
      <c r="R93" s="444">
        <v>148381</v>
      </c>
      <c r="S93" s="444">
        <v>1370445</v>
      </c>
    </row>
    <row r="94" spans="1:19">
      <c r="A94" s="728">
        <v>94</v>
      </c>
      <c r="B94" s="382"/>
      <c r="C94" s="728"/>
      <c r="D94" s="728"/>
      <c r="G94" s="444"/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</row>
    <row r="95" spans="1:19">
      <c r="A95" s="728">
        <v>95</v>
      </c>
      <c r="B95" s="382"/>
      <c r="C95" s="728" t="s">
        <v>86</v>
      </c>
      <c r="D95" s="728" t="s">
        <v>16</v>
      </c>
      <c r="G95" s="444">
        <v>0</v>
      </c>
      <c r="H95" s="444">
        <v>0</v>
      </c>
      <c r="I95" s="444">
        <v>0</v>
      </c>
      <c r="J95" s="444">
        <v>0</v>
      </c>
      <c r="K95" s="444">
        <v>0</v>
      </c>
      <c r="L95" s="444">
        <v>0</v>
      </c>
      <c r="M95" s="444">
        <v>0</v>
      </c>
      <c r="N95" s="444">
        <v>0</v>
      </c>
      <c r="O95" s="444">
        <v>0</v>
      </c>
      <c r="P95" s="444">
        <v>0</v>
      </c>
      <c r="Q95" s="444">
        <v>0</v>
      </c>
      <c r="R95" s="444">
        <v>0</v>
      </c>
      <c r="S95" s="444">
        <v>0</v>
      </c>
    </row>
    <row r="96" spans="1:19">
      <c r="A96" s="728">
        <v>96</v>
      </c>
      <c r="B96" s="382"/>
      <c r="C96" s="728"/>
      <c r="D96" s="728"/>
      <c r="G96" s="444"/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</row>
    <row r="97" spans="1:19">
      <c r="A97" s="728">
        <v>97</v>
      </c>
      <c r="B97" s="382"/>
      <c r="C97" s="728"/>
      <c r="D97" s="728" t="s">
        <v>17</v>
      </c>
      <c r="G97" s="444">
        <v>0</v>
      </c>
      <c r="H97" s="444">
        <v>0</v>
      </c>
      <c r="I97" s="444">
        <v>0</v>
      </c>
      <c r="J97" s="444">
        <v>0</v>
      </c>
      <c r="K97" s="444">
        <v>0</v>
      </c>
      <c r="L97" s="444">
        <v>0</v>
      </c>
      <c r="M97" s="444">
        <v>0</v>
      </c>
      <c r="N97" s="444">
        <v>0</v>
      </c>
      <c r="O97" s="444">
        <v>0</v>
      </c>
      <c r="P97" s="444">
        <v>0</v>
      </c>
      <c r="Q97" s="444">
        <v>0</v>
      </c>
      <c r="R97" s="444">
        <v>0</v>
      </c>
      <c r="S97" s="444">
        <v>0</v>
      </c>
    </row>
    <row r="98" spans="1:19">
      <c r="A98" s="728">
        <v>98</v>
      </c>
      <c r="B98" s="382"/>
      <c r="C98" s="728"/>
      <c r="D98" s="728"/>
      <c r="G98" s="444"/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</row>
    <row r="99" spans="1:19">
      <c r="A99" s="728">
        <v>99</v>
      </c>
      <c r="B99" s="382"/>
      <c r="C99" s="728"/>
      <c r="D99" s="728" t="s">
        <v>18</v>
      </c>
      <c r="G99" s="444">
        <v>0</v>
      </c>
      <c r="H99" s="444">
        <v>0</v>
      </c>
      <c r="I99" s="444">
        <v>0</v>
      </c>
      <c r="J99" s="444">
        <v>0</v>
      </c>
      <c r="K99" s="444">
        <v>0</v>
      </c>
      <c r="L99" s="444">
        <v>0</v>
      </c>
      <c r="M99" s="444">
        <v>0</v>
      </c>
      <c r="N99" s="444">
        <v>0</v>
      </c>
      <c r="O99" s="444">
        <v>0</v>
      </c>
      <c r="P99" s="444">
        <v>0</v>
      </c>
      <c r="Q99" s="444">
        <v>0</v>
      </c>
      <c r="R99" s="444">
        <v>0</v>
      </c>
      <c r="S99" s="444">
        <v>0</v>
      </c>
    </row>
    <row r="100" spans="1:19">
      <c r="A100" s="728">
        <v>100</v>
      </c>
      <c r="B100" s="382"/>
      <c r="C100" s="728"/>
      <c r="D100" s="728" t="s">
        <v>19</v>
      </c>
      <c r="G100" s="936">
        <v>0</v>
      </c>
      <c r="H100" s="936">
        <v>0</v>
      </c>
      <c r="I100" s="936">
        <v>0</v>
      </c>
      <c r="J100" s="936">
        <v>0</v>
      </c>
      <c r="K100" s="936">
        <v>0</v>
      </c>
      <c r="L100" s="936">
        <v>0</v>
      </c>
      <c r="M100" s="936">
        <v>0</v>
      </c>
      <c r="N100" s="936">
        <v>0</v>
      </c>
      <c r="O100" s="936">
        <v>0</v>
      </c>
      <c r="P100" s="936">
        <v>0</v>
      </c>
      <c r="Q100" s="936">
        <v>0</v>
      </c>
      <c r="R100" s="936">
        <v>0</v>
      </c>
      <c r="S100" s="936">
        <v>0</v>
      </c>
    </row>
    <row r="101" spans="1:19">
      <c r="A101" s="728">
        <v>101</v>
      </c>
      <c r="B101" s="382"/>
      <c r="C101" s="728"/>
      <c r="D101" s="728"/>
      <c r="G101" s="936"/>
      <c r="H101" s="936"/>
      <c r="I101" s="936"/>
      <c r="J101" s="936"/>
      <c r="K101" s="936"/>
      <c r="L101" s="936"/>
      <c r="M101" s="936"/>
      <c r="N101" s="936"/>
      <c r="O101" s="936"/>
      <c r="P101" s="936"/>
      <c r="Q101" s="936"/>
      <c r="R101" s="936"/>
      <c r="S101" s="936"/>
    </row>
    <row r="102" spans="1:19">
      <c r="A102" s="728">
        <v>102</v>
      </c>
      <c r="B102" s="382"/>
      <c r="C102" s="728"/>
      <c r="D102" s="728" t="s">
        <v>20</v>
      </c>
      <c r="G102" s="444">
        <v>0</v>
      </c>
      <c r="H102" s="444">
        <v>0</v>
      </c>
      <c r="I102" s="444">
        <v>0</v>
      </c>
      <c r="J102" s="444">
        <v>0</v>
      </c>
      <c r="K102" s="444">
        <v>0</v>
      </c>
      <c r="L102" s="444">
        <v>0</v>
      </c>
      <c r="M102" s="444">
        <v>0</v>
      </c>
      <c r="N102" s="444">
        <v>0</v>
      </c>
      <c r="O102" s="444">
        <v>0</v>
      </c>
      <c r="P102" s="444">
        <v>0</v>
      </c>
      <c r="Q102" s="444">
        <v>0</v>
      </c>
      <c r="R102" s="444">
        <v>0</v>
      </c>
      <c r="S102" s="444">
        <v>0</v>
      </c>
    </row>
    <row r="103" spans="1:19">
      <c r="A103" s="728">
        <v>103</v>
      </c>
      <c r="B103" s="382"/>
      <c r="C103" s="728"/>
      <c r="D103" s="728"/>
      <c r="G103" s="444"/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</row>
    <row r="104" spans="1:19">
      <c r="A104" s="728">
        <v>104</v>
      </c>
      <c r="B104" s="382"/>
      <c r="C104" s="728" t="s">
        <v>636</v>
      </c>
      <c r="D104" s="728" t="s">
        <v>16</v>
      </c>
      <c r="G104" s="444">
        <v>13509</v>
      </c>
      <c r="H104" s="444">
        <v>13008</v>
      </c>
      <c r="I104" s="444">
        <v>16478</v>
      </c>
      <c r="J104" s="444">
        <v>15472</v>
      </c>
      <c r="K104" s="444">
        <v>13212</v>
      </c>
      <c r="L104" s="444">
        <v>10916</v>
      </c>
      <c r="M104" s="444">
        <v>12205</v>
      </c>
      <c r="N104" s="444">
        <v>13930</v>
      </c>
      <c r="O104" s="444">
        <v>12252</v>
      </c>
      <c r="P104" s="444">
        <v>13796</v>
      </c>
      <c r="Q104" s="444">
        <v>14930</v>
      </c>
      <c r="R104" s="444">
        <v>16019</v>
      </c>
      <c r="S104" s="444">
        <v>165727</v>
      </c>
    </row>
    <row r="105" spans="1:19">
      <c r="A105" s="728">
        <v>105</v>
      </c>
      <c r="B105" s="382"/>
      <c r="C105" s="728"/>
      <c r="D105" s="728"/>
      <c r="G105" s="444"/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</row>
    <row r="106" spans="1:19">
      <c r="A106" s="728">
        <v>106</v>
      </c>
      <c r="B106" s="382"/>
      <c r="C106" s="728"/>
      <c r="D106" s="728" t="s">
        <v>17</v>
      </c>
      <c r="G106" s="444">
        <v>3495</v>
      </c>
      <c r="H106" s="444">
        <v>3081</v>
      </c>
      <c r="I106" s="444">
        <v>7749</v>
      </c>
      <c r="J106" s="444">
        <v>7135</v>
      </c>
      <c r="K106" s="444">
        <v>4059</v>
      </c>
      <c r="L106" s="444">
        <v>2406</v>
      </c>
      <c r="M106" s="444">
        <v>3172</v>
      </c>
      <c r="N106" s="444">
        <v>5618</v>
      </c>
      <c r="O106" s="444">
        <v>3531</v>
      </c>
      <c r="P106" s="444">
        <v>5391</v>
      </c>
      <c r="Q106" s="444">
        <v>5480</v>
      </c>
      <c r="R106" s="444">
        <v>6786</v>
      </c>
      <c r="S106" s="444">
        <v>57903</v>
      </c>
    </row>
    <row r="107" spans="1:19">
      <c r="A107" s="728">
        <v>107</v>
      </c>
      <c r="B107" s="382"/>
      <c r="C107" s="728"/>
      <c r="D107" s="728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</row>
    <row r="108" spans="1:19">
      <c r="A108" s="728">
        <v>108</v>
      </c>
      <c r="B108" s="382"/>
      <c r="C108" s="728"/>
      <c r="D108" s="728" t="s">
        <v>18</v>
      </c>
      <c r="G108" s="444">
        <v>35192</v>
      </c>
      <c r="H108" s="444">
        <v>31039</v>
      </c>
      <c r="I108" s="444">
        <v>78061</v>
      </c>
      <c r="J108" s="444">
        <v>71855</v>
      </c>
      <c r="K108" s="444">
        <v>40884</v>
      </c>
      <c r="L108" s="444">
        <v>24231</v>
      </c>
      <c r="M108" s="444">
        <v>31947</v>
      </c>
      <c r="N108" s="444">
        <v>56580</v>
      </c>
      <c r="O108" s="444">
        <v>35560</v>
      </c>
      <c r="P108" s="444">
        <v>54299</v>
      </c>
      <c r="Q108" s="444">
        <v>55188</v>
      </c>
      <c r="R108" s="444">
        <v>68360</v>
      </c>
      <c r="S108" s="444">
        <v>583196</v>
      </c>
    </row>
    <row r="109" spans="1:19">
      <c r="A109" s="728">
        <v>109</v>
      </c>
      <c r="B109" s="382"/>
      <c r="C109" s="728"/>
      <c r="D109" s="728" t="s">
        <v>19</v>
      </c>
      <c r="G109" s="936">
        <v>52196</v>
      </c>
      <c r="H109" s="936">
        <v>47128</v>
      </c>
      <c r="I109" s="936">
        <v>102288</v>
      </c>
      <c r="J109" s="936">
        <v>94462</v>
      </c>
      <c r="K109" s="936">
        <v>58155</v>
      </c>
      <c r="L109" s="936">
        <v>37553</v>
      </c>
      <c r="M109" s="936">
        <v>47324</v>
      </c>
      <c r="N109" s="936">
        <v>76128</v>
      </c>
      <c r="O109" s="936">
        <v>51343</v>
      </c>
      <c r="P109" s="936">
        <v>73486</v>
      </c>
      <c r="Q109" s="936">
        <v>75598</v>
      </c>
      <c r="R109" s="936">
        <v>91165</v>
      </c>
      <c r="S109" s="936">
        <v>806826</v>
      </c>
    </row>
    <row r="110" spans="1:19">
      <c r="A110" s="728">
        <v>110</v>
      </c>
      <c r="B110" s="382"/>
      <c r="C110" s="728"/>
      <c r="D110" s="728"/>
      <c r="G110" s="936"/>
      <c r="H110" s="936"/>
      <c r="I110" s="936"/>
      <c r="J110" s="936"/>
      <c r="K110" s="936"/>
      <c r="L110" s="936"/>
      <c r="M110" s="936"/>
      <c r="N110" s="936"/>
      <c r="O110" s="936"/>
      <c r="P110" s="936"/>
      <c r="Q110" s="936"/>
      <c r="R110" s="936"/>
      <c r="S110" s="936"/>
    </row>
    <row r="111" spans="1:19">
      <c r="A111" s="728">
        <v>111</v>
      </c>
      <c r="B111" s="382"/>
      <c r="C111" s="728"/>
      <c r="D111" s="728" t="s">
        <v>20</v>
      </c>
      <c r="G111" s="444">
        <v>19127</v>
      </c>
      <c r="H111" s="444">
        <v>16871</v>
      </c>
      <c r="I111" s="444">
        <v>42427</v>
      </c>
      <c r="J111" s="444">
        <v>39054</v>
      </c>
      <c r="K111" s="444">
        <v>22221</v>
      </c>
      <c r="L111" s="444">
        <v>13170</v>
      </c>
      <c r="M111" s="444">
        <v>17364</v>
      </c>
      <c r="N111" s="444">
        <v>30752</v>
      </c>
      <c r="O111" s="444">
        <v>19327</v>
      </c>
      <c r="P111" s="444">
        <v>29512</v>
      </c>
      <c r="Q111" s="444">
        <v>29995</v>
      </c>
      <c r="R111" s="444">
        <v>37154</v>
      </c>
      <c r="S111" s="444">
        <v>316974</v>
      </c>
    </row>
    <row r="112" spans="1:19">
      <c r="A112" s="728">
        <v>112</v>
      </c>
      <c r="B112" s="382"/>
      <c r="C112" s="728"/>
      <c r="D112" s="728"/>
      <c r="G112" s="444"/>
      <c r="H112" s="444"/>
      <c r="I112" s="444"/>
      <c r="J112" s="444"/>
      <c r="K112" s="444"/>
      <c r="L112" s="444"/>
      <c r="M112" s="444"/>
      <c r="N112" s="444"/>
      <c r="O112" s="444"/>
      <c r="P112" s="444"/>
      <c r="Q112" s="444"/>
      <c r="R112" s="444"/>
      <c r="S112" s="444"/>
    </row>
    <row r="113" spans="1:19">
      <c r="A113" s="728">
        <v>113</v>
      </c>
      <c r="B113" s="382"/>
      <c r="C113" s="729" t="s">
        <v>37</v>
      </c>
      <c r="D113" s="728" t="s">
        <v>16</v>
      </c>
      <c r="G113" s="444">
        <v>200000</v>
      </c>
      <c r="H113" s="444">
        <v>200000</v>
      </c>
      <c r="I113" s="444">
        <v>200000</v>
      </c>
      <c r="J113" s="444">
        <v>200000</v>
      </c>
      <c r="K113" s="444">
        <v>200000</v>
      </c>
      <c r="L113" s="444">
        <v>200000</v>
      </c>
      <c r="M113" s="444">
        <v>200000</v>
      </c>
      <c r="N113" s="444">
        <v>200000</v>
      </c>
      <c r="O113" s="444">
        <v>200000</v>
      </c>
      <c r="P113" s="444">
        <v>200000</v>
      </c>
      <c r="Q113" s="444">
        <v>200000</v>
      </c>
      <c r="R113" s="444">
        <v>200000</v>
      </c>
      <c r="S113" s="444">
        <v>2400000</v>
      </c>
    </row>
    <row r="114" spans="1:19">
      <c r="A114" s="728">
        <v>114</v>
      </c>
      <c r="B114" s="382"/>
      <c r="C114" s="728"/>
      <c r="D114" s="728"/>
      <c r="G114" s="444"/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</row>
    <row r="115" spans="1:19">
      <c r="A115" s="728">
        <v>115</v>
      </c>
      <c r="B115" s="382"/>
      <c r="C115" s="728"/>
      <c r="D115" s="728" t="s">
        <v>17</v>
      </c>
      <c r="G115" s="444">
        <v>0</v>
      </c>
      <c r="H115" s="444">
        <v>0</v>
      </c>
      <c r="I115" s="444">
        <v>0</v>
      </c>
      <c r="J115" s="444">
        <v>0</v>
      </c>
      <c r="K115" s="444">
        <v>0</v>
      </c>
      <c r="L115" s="444">
        <v>0</v>
      </c>
      <c r="M115" s="444">
        <v>0</v>
      </c>
      <c r="N115" s="444">
        <v>0</v>
      </c>
      <c r="O115" s="444">
        <v>0</v>
      </c>
      <c r="P115" s="444">
        <v>0</v>
      </c>
      <c r="Q115" s="444">
        <v>0</v>
      </c>
      <c r="R115" s="444">
        <v>0</v>
      </c>
      <c r="S115" s="444">
        <v>0</v>
      </c>
    </row>
    <row r="116" spans="1:19">
      <c r="A116" s="728">
        <v>116</v>
      </c>
      <c r="B116" s="382"/>
      <c r="C116" s="728"/>
      <c r="D116" s="728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</row>
    <row r="117" spans="1:19">
      <c r="A117" s="728">
        <v>117</v>
      </c>
      <c r="B117" s="382"/>
      <c r="C117" s="728"/>
      <c r="D117" s="728" t="s">
        <v>18</v>
      </c>
      <c r="G117" s="444">
        <v>0</v>
      </c>
      <c r="H117" s="444">
        <v>0</v>
      </c>
      <c r="I117" s="444">
        <v>0</v>
      </c>
      <c r="J117" s="444">
        <v>0</v>
      </c>
      <c r="K117" s="444">
        <v>0</v>
      </c>
      <c r="L117" s="444">
        <v>0</v>
      </c>
      <c r="M117" s="444">
        <v>0</v>
      </c>
      <c r="N117" s="444">
        <v>0</v>
      </c>
      <c r="O117" s="444">
        <v>0</v>
      </c>
      <c r="P117" s="444">
        <v>0</v>
      </c>
      <c r="Q117" s="444">
        <v>0</v>
      </c>
      <c r="R117" s="444">
        <v>0</v>
      </c>
      <c r="S117" s="444">
        <v>0</v>
      </c>
    </row>
    <row r="118" spans="1:19">
      <c r="A118" s="728">
        <v>118</v>
      </c>
      <c r="B118" s="382"/>
      <c r="C118" s="728"/>
      <c r="D118" s="728" t="s">
        <v>19</v>
      </c>
      <c r="G118" s="936">
        <v>200000</v>
      </c>
      <c r="H118" s="936">
        <v>200000</v>
      </c>
      <c r="I118" s="936">
        <v>200000</v>
      </c>
      <c r="J118" s="936">
        <v>200000</v>
      </c>
      <c r="K118" s="936">
        <v>200000</v>
      </c>
      <c r="L118" s="936">
        <v>200000</v>
      </c>
      <c r="M118" s="936">
        <v>200000</v>
      </c>
      <c r="N118" s="936">
        <v>200000</v>
      </c>
      <c r="O118" s="936">
        <v>200000</v>
      </c>
      <c r="P118" s="936">
        <v>200000</v>
      </c>
      <c r="Q118" s="936">
        <v>200000</v>
      </c>
      <c r="R118" s="936">
        <v>200000</v>
      </c>
      <c r="S118" s="936">
        <v>2400000</v>
      </c>
    </row>
    <row r="119" spans="1:19">
      <c r="A119" s="728">
        <v>119</v>
      </c>
      <c r="B119" s="382"/>
      <c r="C119" s="728"/>
      <c r="D119" s="728"/>
      <c r="G119" s="936"/>
      <c r="H119" s="936"/>
      <c r="I119" s="936"/>
      <c r="J119" s="936"/>
      <c r="K119" s="936"/>
      <c r="L119" s="936"/>
      <c r="M119" s="936"/>
      <c r="N119" s="936"/>
      <c r="O119" s="936"/>
      <c r="P119" s="936"/>
      <c r="Q119" s="936"/>
      <c r="R119" s="936"/>
      <c r="S119" s="936"/>
    </row>
    <row r="120" spans="1:19">
      <c r="A120" s="728">
        <v>120</v>
      </c>
      <c r="B120" s="382"/>
      <c r="C120" s="728"/>
      <c r="D120" s="728" t="s">
        <v>20</v>
      </c>
      <c r="G120" s="444">
        <v>1825000</v>
      </c>
      <c r="H120" s="444">
        <v>1825000</v>
      </c>
      <c r="I120" s="444">
        <v>1825000</v>
      </c>
      <c r="J120" s="444">
        <v>1825000</v>
      </c>
      <c r="K120" s="444">
        <v>2737500</v>
      </c>
      <c r="L120" s="444">
        <v>2737500</v>
      </c>
      <c r="M120" s="444">
        <v>2737500</v>
      </c>
      <c r="N120" s="444">
        <v>2737500</v>
      </c>
      <c r="O120" s="444">
        <v>2737500</v>
      </c>
      <c r="P120" s="444">
        <v>1825000</v>
      </c>
      <c r="Q120" s="444">
        <v>1825000</v>
      </c>
      <c r="R120" s="444">
        <v>1825000</v>
      </c>
      <c r="S120" s="444">
        <v>26462500</v>
      </c>
    </row>
    <row r="121" spans="1:19">
      <c r="A121" s="728">
        <v>121</v>
      </c>
      <c r="B121" s="382"/>
      <c r="C121" s="728"/>
      <c r="D121" s="728"/>
      <c r="G121" s="444"/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</row>
    <row r="122" spans="1:19">
      <c r="A122" s="728">
        <v>122</v>
      </c>
      <c r="B122" s="382"/>
      <c r="C122" s="728" t="s">
        <v>92</v>
      </c>
      <c r="D122" s="728" t="s">
        <v>16</v>
      </c>
      <c r="G122" s="444">
        <v>91709</v>
      </c>
      <c r="H122" s="444">
        <v>86380</v>
      </c>
      <c r="I122" s="444">
        <v>90782</v>
      </c>
      <c r="J122" s="444">
        <v>79637</v>
      </c>
      <c r="K122" s="444">
        <v>92530</v>
      </c>
      <c r="L122" s="444">
        <v>95875</v>
      </c>
      <c r="M122" s="444">
        <v>140959</v>
      </c>
      <c r="N122" s="444">
        <v>132809</v>
      </c>
      <c r="O122" s="444">
        <v>124206</v>
      </c>
      <c r="P122" s="444">
        <v>119277</v>
      </c>
      <c r="Q122" s="444">
        <v>123913</v>
      </c>
      <c r="R122" s="444">
        <v>137214</v>
      </c>
      <c r="S122" s="444">
        <v>1315291</v>
      </c>
    </row>
    <row r="123" spans="1:19">
      <c r="A123" s="728">
        <v>123</v>
      </c>
      <c r="B123" s="382"/>
      <c r="C123" s="728"/>
      <c r="D123" s="728"/>
      <c r="G123" s="444"/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</row>
    <row r="124" spans="1:19">
      <c r="A124" s="728">
        <v>124</v>
      </c>
      <c r="B124" s="382"/>
      <c r="C124" s="728"/>
      <c r="D124" s="728" t="s">
        <v>17</v>
      </c>
      <c r="G124" s="444">
        <v>0</v>
      </c>
      <c r="H124" s="444">
        <v>0</v>
      </c>
      <c r="I124" s="444">
        <v>0</v>
      </c>
      <c r="J124" s="444">
        <v>0</v>
      </c>
      <c r="K124" s="444">
        <v>0</v>
      </c>
      <c r="L124" s="444">
        <v>0</v>
      </c>
      <c r="M124" s="444">
        <v>0</v>
      </c>
      <c r="N124" s="444">
        <v>0</v>
      </c>
      <c r="O124" s="444">
        <v>0</v>
      </c>
      <c r="P124" s="444">
        <v>0</v>
      </c>
      <c r="Q124" s="444">
        <v>0</v>
      </c>
      <c r="R124" s="444">
        <v>0</v>
      </c>
      <c r="S124" s="444">
        <v>0</v>
      </c>
    </row>
    <row r="125" spans="1:19">
      <c r="A125" s="728">
        <v>125</v>
      </c>
      <c r="B125" s="382"/>
      <c r="C125" s="728"/>
      <c r="D125" s="728"/>
      <c r="G125" s="444"/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</row>
    <row r="126" spans="1:19">
      <c r="A126" s="728">
        <v>126</v>
      </c>
      <c r="B126" s="382"/>
      <c r="C126" s="728"/>
      <c r="D126" s="728" t="s">
        <v>18</v>
      </c>
      <c r="G126" s="444">
        <v>0</v>
      </c>
      <c r="H126" s="444">
        <v>0</v>
      </c>
      <c r="I126" s="444">
        <v>0</v>
      </c>
      <c r="J126" s="444">
        <v>0</v>
      </c>
      <c r="K126" s="444">
        <v>0</v>
      </c>
      <c r="L126" s="444">
        <v>0</v>
      </c>
      <c r="M126" s="444">
        <v>0</v>
      </c>
      <c r="N126" s="444">
        <v>0</v>
      </c>
      <c r="O126" s="444">
        <v>0</v>
      </c>
      <c r="P126" s="444">
        <v>0</v>
      </c>
      <c r="Q126" s="444">
        <v>0</v>
      </c>
      <c r="R126" s="444">
        <v>0</v>
      </c>
      <c r="S126" s="444">
        <v>0</v>
      </c>
    </row>
    <row r="127" spans="1:19">
      <c r="A127" s="728">
        <v>127</v>
      </c>
      <c r="B127" s="382"/>
      <c r="C127" s="728"/>
      <c r="D127" s="728" t="s">
        <v>19</v>
      </c>
      <c r="G127" s="936">
        <v>91709</v>
      </c>
      <c r="H127" s="936">
        <v>86380</v>
      </c>
      <c r="I127" s="936">
        <v>90782</v>
      </c>
      <c r="J127" s="936">
        <v>79637</v>
      </c>
      <c r="K127" s="936">
        <v>92530</v>
      </c>
      <c r="L127" s="936">
        <v>95875</v>
      </c>
      <c r="M127" s="936">
        <v>140959</v>
      </c>
      <c r="N127" s="936">
        <v>132809</v>
      </c>
      <c r="O127" s="936">
        <v>124206</v>
      </c>
      <c r="P127" s="936">
        <v>119277</v>
      </c>
      <c r="Q127" s="936">
        <v>123913</v>
      </c>
      <c r="R127" s="936">
        <v>137214</v>
      </c>
      <c r="S127" s="936">
        <v>1315291</v>
      </c>
    </row>
    <row r="128" spans="1:19">
      <c r="A128" s="728">
        <v>128</v>
      </c>
      <c r="B128" s="382"/>
      <c r="C128" s="728"/>
      <c r="D128" s="728"/>
      <c r="G128" s="936"/>
      <c r="H128" s="936"/>
      <c r="I128" s="936"/>
      <c r="J128" s="936"/>
      <c r="K128" s="936"/>
      <c r="L128" s="936"/>
      <c r="M128" s="936"/>
      <c r="N128" s="936"/>
      <c r="O128" s="936"/>
      <c r="P128" s="936"/>
      <c r="Q128" s="936"/>
      <c r="R128" s="936"/>
      <c r="S128" s="936"/>
    </row>
    <row r="129" spans="1:19">
      <c r="A129" s="728">
        <v>129</v>
      </c>
      <c r="B129" s="382"/>
      <c r="C129" s="728"/>
      <c r="D129" s="728" t="s">
        <v>20</v>
      </c>
      <c r="G129" s="444">
        <v>512237</v>
      </c>
      <c r="H129" s="444">
        <v>471518</v>
      </c>
      <c r="I129" s="444">
        <v>509968</v>
      </c>
      <c r="J129" s="444">
        <v>432283</v>
      </c>
      <c r="K129" s="444">
        <v>522798</v>
      </c>
      <c r="L129" s="444">
        <v>578879</v>
      </c>
      <c r="M129" s="444">
        <v>1112783</v>
      </c>
      <c r="N129" s="444">
        <v>919911</v>
      </c>
      <c r="O129" s="444">
        <v>829107</v>
      </c>
      <c r="P129" s="444">
        <v>739490</v>
      </c>
      <c r="Q129" s="444">
        <v>766521</v>
      </c>
      <c r="R129" s="444">
        <v>873351</v>
      </c>
      <c r="S129" s="444">
        <v>8268846</v>
      </c>
    </row>
    <row r="130" spans="1:19">
      <c r="A130" s="728">
        <v>130</v>
      </c>
      <c r="B130" s="382"/>
      <c r="C130" s="728"/>
      <c r="D130" s="728"/>
      <c r="G130" s="444"/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</row>
    <row r="131" spans="1:19">
      <c r="A131" s="728">
        <v>131</v>
      </c>
      <c r="B131" s="382"/>
      <c r="C131" s="728" t="s">
        <v>93</v>
      </c>
      <c r="D131" s="728" t="s">
        <v>16</v>
      </c>
      <c r="G131" s="444">
        <v>0</v>
      </c>
      <c r="H131" s="444">
        <v>0</v>
      </c>
      <c r="I131" s="444">
        <v>0</v>
      </c>
      <c r="J131" s="444">
        <v>0</v>
      </c>
      <c r="K131" s="444">
        <v>0</v>
      </c>
      <c r="L131" s="444">
        <v>0</v>
      </c>
      <c r="M131" s="444">
        <v>0</v>
      </c>
      <c r="N131" s="444">
        <v>0</v>
      </c>
      <c r="O131" s="444">
        <v>0</v>
      </c>
      <c r="P131" s="444">
        <v>0</v>
      </c>
      <c r="Q131" s="444">
        <v>0</v>
      </c>
      <c r="R131" s="444">
        <v>0</v>
      </c>
      <c r="S131" s="444">
        <v>0</v>
      </c>
    </row>
    <row r="132" spans="1:19">
      <c r="A132" s="728">
        <v>132</v>
      </c>
      <c r="B132" s="382"/>
      <c r="C132" s="728"/>
      <c r="D132" s="728"/>
      <c r="G132" s="444"/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</row>
    <row r="133" spans="1:19">
      <c r="A133" s="728">
        <v>133</v>
      </c>
      <c r="B133" s="382"/>
      <c r="C133" s="728"/>
      <c r="D133" s="728" t="s">
        <v>17</v>
      </c>
      <c r="G133" s="444">
        <v>0</v>
      </c>
      <c r="H133" s="444">
        <v>0</v>
      </c>
      <c r="I133" s="444">
        <v>0</v>
      </c>
      <c r="J133" s="444">
        <v>0</v>
      </c>
      <c r="K133" s="444">
        <v>0</v>
      </c>
      <c r="L133" s="444">
        <v>0</v>
      </c>
      <c r="M133" s="444">
        <v>0</v>
      </c>
      <c r="N133" s="444">
        <v>0</v>
      </c>
      <c r="O133" s="444">
        <v>0</v>
      </c>
      <c r="P133" s="444">
        <v>0</v>
      </c>
      <c r="Q133" s="444">
        <v>0</v>
      </c>
      <c r="R133" s="444">
        <v>0</v>
      </c>
      <c r="S133" s="444">
        <v>0</v>
      </c>
    </row>
    <row r="134" spans="1:19">
      <c r="A134" s="728">
        <v>134</v>
      </c>
      <c r="B134" s="382"/>
      <c r="C134" s="728"/>
      <c r="D134" s="728"/>
      <c r="G134" s="444"/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</row>
    <row r="135" spans="1:19">
      <c r="A135" s="728">
        <v>135</v>
      </c>
      <c r="B135" s="382"/>
      <c r="C135" s="728"/>
      <c r="D135" s="728" t="s">
        <v>18</v>
      </c>
      <c r="G135" s="444">
        <v>0</v>
      </c>
      <c r="H135" s="444">
        <v>0</v>
      </c>
      <c r="I135" s="444">
        <v>0</v>
      </c>
      <c r="J135" s="444">
        <v>0</v>
      </c>
      <c r="K135" s="444">
        <v>0</v>
      </c>
      <c r="L135" s="444">
        <v>0</v>
      </c>
      <c r="M135" s="444">
        <v>0</v>
      </c>
      <c r="N135" s="444">
        <v>0</v>
      </c>
      <c r="O135" s="444">
        <v>0</v>
      </c>
      <c r="P135" s="444">
        <v>0</v>
      </c>
      <c r="Q135" s="444">
        <v>0</v>
      </c>
      <c r="R135" s="444">
        <v>0</v>
      </c>
      <c r="S135" s="444">
        <v>0</v>
      </c>
    </row>
    <row r="136" spans="1:19">
      <c r="A136" s="728">
        <v>136</v>
      </c>
      <c r="B136" s="382"/>
      <c r="C136" s="728"/>
      <c r="D136" s="728" t="s">
        <v>19</v>
      </c>
      <c r="G136" s="936">
        <v>0</v>
      </c>
      <c r="H136" s="936">
        <v>0</v>
      </c>
      <c r="I136" s="936">
        <v>0</v>
      </c>
      <c r="J136" s="936">
        <v>0</v>
      </c>
      <c r="K136" s="936">
        <v>0</v>
      </c>
      <c r="L136" s="936">
        <v>0</v>
      </c>
      <c r="M136" s="936">
        <v>0</v>
      </c>
      <c r="N136" s="936">
        <v>0</v>
      </c>
      <c r="O136" s="936">
        <v>0</v>
      </c>
      <c r="P136" s="936">
        <v>0</v>
      </c>
      <c r="Q136" s="936">
        <v>0</v>
      </c>
      <c r="R136" s="936">
        <v>0</v>
      </c>
      <c r="S136" s="936">
        <v>0</v>
      </c>
    </row>
    <row r="137" spans="1:19">
      <c r="A137" s="728">
        <v>137</v>
      </c>
      <c r="B137" s="382"/>
      <c r="C137" s="728"/>
      <c r="D137" s="728"/>
      <c r="G137" s="936"/>
      <c r="H137" s="936"/>
      <c r="I137" s="936"/>
      <c r="J137" s="936"/>
      <c r="K137" s="936"/>
      <c r="L137" s="936"/>
      <c r="M137" s="936"/>
      <c r="N137" s="936"/>
      <c r="O137" s="936"/>
      <c r="P137" s="936"/>
      <c r="Q137" s="936"/>
      <c r="R137" s="936"/>
      <c r="S137" s="936"/>
    </row>
    <row r="138" spans="1:19">
      <c r="A138" s="728">
        <v>138</v>
      </c>
      <c r="B138" s="382"/>
      <c r="C138" s="728"/>
      <c r="D138" s="728" t="s">
        <v>20</v>
      </c>
      <c r="G138" s="444">
        <v>0</v>
      </c>
      <c r="H138" s="444">
        <v>0</v>
      </c>
      <c r="I138" s="444">
        <v>0</v>
      </c>
      <c r="J138" s="444">
        <v>0</v>
      </c>
      <c r="K138" s="444">
        <v>0</v>
      </c>
      <c r="L138" s="444">
        <v>0</v>
      </c>
      <c r="M138" s="444">
        <v>0</v>
      </c>
      <c r="N138" s="444">
        <v>0</v>
      </c>
      <c r="O138" s="444">
        <v>0</v>
      </c>
      <c r="P138" s="444">
        <v>0</v>
      </c>
      <c r="Q138" s="444">
        <v>0</v>
      </c>
      <c r="R138" s="444">
        <v>0</v>
      </c>
      <c r="S138" s="444">
        <v>0</v>
      </c>
    </row>
    <row r="139" spans="1:19">
      <c r="A139" s="728">
        <v>139</v>
      </c>
      <c r="B139" s="382"/>
      <c r="C139" s="728"/>
      <c r="D139" s="728"/>
      <c r="G139" s="444"/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</row>
    <row r="140" spans="1:19">
      <c r="A140" s="728">
        <v>140</v>
      </c>
      <c r="B140" s="382"/>
      <c r="C140" s="728" t="s">
        <v>692</v>
      </c>
      <c r="D140" s="728" t="s">
        <v>16</v>
      </c>
      <c r="G140" s="444">
        <v>1992</v>
      </c>
      <c r="H140" s="444">
        <v>1759</v>
      </c>
      <c r="I140" s="444">
        <v>1858</v>
      </c>
      <c r="J140" s="444">
        <v>1394</v>
      </c>
      <c r="K140" s="444">
        <v>1231</v>
      </c>
      <c r="L140" s="444">
        <v>1186</v>
      </c>
      <c r="M140" s="444">
        <v>1185</v>
      </c>
      <c r="N140" s="444">
        <v>1174</v>
      </c>
      <c r="O140" s="444">
        <v>1190</v>
      </c>
      <c r="P140" s="444">
        <v>1320</v>
      </c>
      <c r="Q140" s="444">
        <v>1598</v>
      </c>
      <c r="R140" s="444">
        <v>2024</v>
      </c>
      <c r="S140" s="444">
        <v>17911</v>
      </c>
    </row>
    <row r="141" spans="1:19">
      <c r="A141" s="728">
        <v>141</v>
      </c>
      <c r="B141" s="382"/>
      <c r="C141" s="728"/>
      <c r="D141" s="728"/>
      <c r="G141" s="444"/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</row>
    <row r="142" spans="1:19">
      <c r="A142" s="728">
        <v>142</v>
      </c>
      <c r="B142" s="382"/>
      <c r="C142" s="728"/>
      <c r="D142" s="728" t="s">
        <v>17</v>
      </c>
      <c r="G142" s="444">
        <v>207</v>
      </c>
      <c r="H142" s="444">
        <v>160</v>
      </c>
      <c r="I142" s="444">
        <v>180</v>
      </c>
      <c r="J142" s="444">
        <v>86</v>
      </c>
      <c r="K142" s="444">
        <v>53</v>
      </c>
      <c r="L142" s="444">
        <v>44</v>
      </c>
      <c r="M142" s="444">
        <v>44</v>
      </c>
      <c r="N142" s="444">
        <v>42</v>
      </c>
      <c r="O142" s="444">
        <v>45</v>
      </c>
      <c r="P142" s="444">
        <v>71</v>
      </c>
      <c r="Q142" s="444">
        <v>127</v>
      </c>
      <c r="R142" s="444">
        <v>213</v>
      </c>
      <c r="S142" s="444">
        <v>1272</v>
      </c>
    </row>
    <row r="143" spans="1:19">
      <c r="A143" s="728">
        <v>143</v>
      </c>
      <c r="B143" s="382"/>
      <c r="C143" s="728"/>
      <c r="D143" s="728"/>
      <c r="G143" s="444"/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</row>
    <row r="144" spans="1:19">
      <c r="A144" s="728">
        <v>144</v>
      </c>
      <c r="B144" s="382"/>
      <c r="C144" s="728"/>
      <c r="D144" s="728" t="s">
        <v>18</v>
      </c>
      <c r="G144" s="444">
        <v>0</v>
      </c>
      <c r="H144" s="444">
        <v>0</v>
      </c>
      <c r="I144" s="444">
        <v>0</v>
      </c>
      <c r="J144" s="444">
        <v>0</v>
      </c>
      <c r="K144" s="444">
        <v>0</v>
      </c>
      <c r="L144" s="444">
        <v>0</v>
      </c>
      <c r="M144" s="444">
        <v>0</v>
      </c>
      <c r="N144" s="444">
        <v>0</v>
      </c>
      <c r="O144" s="444">
        <v>0</v>
      </c>
      <c r="P144" s="444">
        <v>0</v>
      </c>
      <c r="Q144" s="444">
        <v>0</v>
      </c>
      <c r="R144" s="444">
        <v>0</v>
      </c>
      <c r="S144" s="444">
        <v>0</v>
      </c>
    </row>
    <row r="145" spans="1:19">
      <c r="A145" s="728">
        <v>145</v>
      </c>
      <c r="B145" s="382"/>
      <c r="C145" s="728"/>
      <c r="D145" s="728" t="s">
        <v>19</v>
      </c>
      <c r="G145" s="936">
        <v>2199</v>
      </c>
      <c r="H145" s="936">
        <v>1919</v>
      </c>
      <c r="I145" s="936">
        <v>2038</v>
      </c>
      <c r="J145" s="936">
        <v>1480</v>
      </c>
      <c r="K145" s="936">
        <v>1284</v>
      </c>
      <c r="L145" s="936">
        <v>1230</v>
      </c>
      <c r="M145" s="936">
        <v>1229</v>
      </c>
      <c r="N145" s="936">
        <v>1216</v>
      </c>
      <c r="O145" s="936">
        <v>1235</v>
      </c>
      <c r="P145" s="936">
        <v>1391</v>
      </c>
      <c r="Q145" s="936">
        <v>1725</v>
      </c>
      <c r="R145" s="936">
        <v>2237</v>
      </c>
      <c r="S145" s="936">
        <v>19183</v>
      </c>
    </row>
    <row r="146" spans="1:19">
      <c r="A146" s="728">
        <v>146</v>
      </c>
      <c r="B146" s="382"/>
      <c r="C146" s="728"/>
      <c r="D146" s="728"/>
      <c r="G146" s="936"/>
      <c r="H146" s="936"/>
      <c r="I146" s="936"/>
      <c r="J146" s="936"/>
      <c r="K146" s="936"/>
      <c r="L146" s="936"/>
      <c r="M146" s="936"/>
      <c r="N146" s="936"/>
      <c r="O146" s="936"/>
      <c r="P146" s="936"/>
      <c r="Q146" s="936"/>
      <c r="R146" s="936"/>
      <c r="S146" s="936"/>
    </row>
    <row r="147" spans="1:19">
      <c r="A147" s="728">
        <v>147</v>
      </c>
      <c r="B147" s="382"/>
      <c r="C147" s="728"/>
      <c r="D147" s="728" t="s">
        <v>20</v>
      </c>
      <c r="G147" s="444">
        <v>3445</v>
      </c>
      <c r="H147" s="444">
        <v>2663</v>
      </c>
      <c r="I147" s="444">
        <v>2995</v>
      </c>
      <c r="J147" s="444">
        <v>1436</v>
      </c>
      <c r="K147" s="444">
        <v>890</v>
      </c>
      <c r="L147" s="444">
        <v>738</v>
      </c>
      <c r="M147" s="444">
        <v>734</v>
      </c>
      <c r="N147" s="444">
        <v>699</v>
      </c>
      <c r="O147" s="444">
        <v>753</v>
      </c>
      <c r="P147" s="444">
        <v>1188</v>
      </c>
      <c r="Q147" s="444">
        <v>2121</v>
      </c>
      <c r="R147" s="444">
        <v>3554</v>
      </c>
      <c r="S147" s="444">
        <v>21216</v>
      </c>
    </row>
    <row r="148" spans="1:19">
      <c r="A148" s="728">
        <v>148</v>
      </c>
      <c r="B148" s="382"/>
      <c r="C148" s="728"/>
      <c r="D148" s="728"/>
      <c r="G148" s="444"/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</row>
    <row r="149" spans="1:19">
      <c r="A149" s="728">
        <v>149</v>
      </c>
      <c r="B149" s="382"/>
      <c r="C149" s="728" t="s">
        <v>10</v>
      </c>
      <c r="D149" s="728" t="s">
        <v>16</v>
      </c>
      <c r="G149" s="444">
        <v>0</v>
      </c>
      <c r="H149" s="444">
        <v>0</v>
      </c>
      <c r="I149" s="444">
        <v>0</v>
      </c>
      <c r="J149" s="444">
        <v>0</v>
      </c>
      <c r="K149" s="444">
        <v>0</v>
      </c>
      <c r="L149" s="444">
        <v>0</v>
      </c>
      <c r="M149" s="444">
        <v>0</v>
      </c>
      <c r="N149" s="444">
        <v>0</v>
      </c>
      <c r="O149" s="444">
        <v>0</v>
      </c>
      <c r="P149" s="444">
        <v>0</v>
      </c>
      <c r="Q149" s="444">
        <v>0</v>
      </c>
      <c r="R149" s="444">
        <v>0</v>
      </c>
      <c r="S149" s="444">
        <v>0</v>
      </c>
    </row>
    <row r="150" spans="1:19">
      <c r="A150" s="728">
        <v>150</v>
      </c>
      <c r="B150" s="382"/>
      <c r="C150" s="728"/>
      <c r="D150" s="728"/>
      <c r="G150" s="444"/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</row>
    <row r="151" spans="1:19">
      <c r="A151" s="728">
        <v>151</v>
      </c>
      <c r="B151" s="382"/>
      <c r="C151" s="728"/>
      <c r="D151" s="728" t="s">
        <v>17</v>
      </c>
      <c r="G151" s="444">
        <v>0</v>
      </c>
      <c r="H151" s="444">
        <v>0</v>
      </c>
      <c r="I151" s="444">
        <v>0</v>
      </c>
      <c r="J151" s="444">
        <v>0</v>
      </c>
      <c r="K151" s="444">
        <v>0</v>
      </c>
      <c r="L151" s="444">
        <v>0</v>
      </c>
      <c r="M151" s="444">
        <v>0</v>
      </c>
      <c r="N151" s="444">
        <v>0</v>
      </c>
      <c r="O151" s="444">
        <v>0</v>
      </c>
      <c r="P151" s="444">
        <v>0</v>
      </c>
      <c r="Q151" s="444">
        <v>0</v>
      </c>
      <c r="R151" s="444">
        <v>0</v>
      </c>
      <c r="S151" s="444">
        <v>0</v>
      </c>
    </row>
    <row r="152" spans="1:19">
      <c r="A152" s="728">
        <v>152</v>
      </c>
      <c r="B152" s="382"/>
      <c r="C152" s="728"/>
      <c r="D152" s="728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</row>
    <row r="153" spans="1:19">
      <c r="A153" s="728">
        <v>153</v>
      </c>
      <c r="B153" s="382"/>
      <c r="C153" s="728"/>
      <c r="D153" s="728" t="s">
        <v>18</v>
      </c>
      <c r="G153" s="444">
        <v>0</v>
      </c>
      <c r="H153" s="444">
        <v>0</v>
      </c>
      <c r="I153" s="444">
        <v>0</v>
      </c>
      <c r="J153" s="444">
        <v>0</v>
      </c>
      <c r="K153" s="444">
        <v>0</v>
      </c>
      <c r="L153" s="444">
        <v>0</v>
      </c>
      <c r="M153" s="444">
        <v>0</v>
      </c>
      <c r="N153" s="444">
        <v>0</v>
      </c>
      <c r="O153" s="444">
        <v>0</v>
      </c>
      <c r="P153" s="444">
        <v>0</v>
      </c>
      <c r="Q153" s="444">
        <v>0</v>
      </c>
      <c r="R153" s="444">
        <v>0</v>
      </c>
      <c r="S153" s="444">
        <v>0</v>
      </c>
    </row>
    <row r="154" spans="1:19">
      <c r="A154" s="728">
        <v>154</v>
      </c>
      <c r="B154" s="382"/>
      <c r="C154" s="728"/>
      <c r="D154" s="728" t="s">
        <v>19</v>
      </c>
      <c r="G154" s="936">
        <v>0</v>
      </c>
      <c r="H154" s="936">
        <v>0</v>
      </c>
      <c r="I154" s="936">
        <v>0</v>
      </c>
      <c r="J154" s="936">
        <v>0</v>
      </c>
      <c r="K154" s="936">
        <v>0</v>
      </c>
      <c r="L154" s="936">
        <v>0</v>
      </c>
      <c r="M154" s="936">
        <v>0</v>
      </c>
      <c r="N154" s="936">
        <v>0</v>
      </c>
      <c r="O154" s="936">
        <v>0</v>
      </c>
      <c r="P154" s="936">
        <v>0</v>
      </c>
      <c r="Q154" s="936">
        <v>0</v>
      </c>
      <c r="R154" s="936">
        <v>0</v>
      </c>
      <c r="S154" s="936">
        <v>0</v>
      </c>
    </row>
    <row r="155" spans="1:19">
      <c r="A155" s="728">
        <v>155</v>
      </c>
      <c r="B155" s="382"/>
      <c r="C155" s="728"/>
      <c r="D155" s="728"/>
      <c r="G155" s="936"/>
      <c r="H155" s="936"/>
      <c r="I155" s="936"/>
      <c r="J155" s="936"/>
      <c r="K155" s="936"/>
      <c r="L155" s="936"/>
      <c r="M155" s="936"/>
      <c r="N155" s="936"/>
      <c r="O155" s="936"/>
      <c r="P155" s="936"/>
      <c r="Q155" s="936"/>
      <c r="R155" s="936"/>
      <c r="S155" s="936"/>
    </row>
    <row r="156" spans="1:19">
      <c r="A156" s="728">
        <v>156</v>
      </c>
      <c r="B156" s="382"/>
      <c r="C156" s="728"/>
      <c r="D156" s="728" t="s">
        <v>20</v>
      </c>
      <c r="G156" s="444">
        <v>0</v>
      </c>
      <c r="H156" s="444">
        <v>0</v>
      </c>
      <c r="I156" s="444">
        <v>0</v>
      </c>
      <c r="J156" s="444">
        <v>0</v>
      </c>
      <c r="K156" s="444">
        <v>0</v>
      </c>
      <c r="L156" s="444">
        <v>0</v>
      </c>
      <c r="M156" s="444">
        <v>0</v>
      </c>
      <c r="N156" s="444">
        <v>0</v>
      </c>
      <c r="O156" s="444">
        <v>0</v>
      </c>
      <c r="P156" s="444">
        <v>0</v>
      </c>
      <c r="Q156" s="444">
        <v>0</v>
      </c>
      <c r="R156" s="444">
        <v>0</v>
      </c>
      <c r="S156" s="444">
        <v>0</v>
      </c>
    </row>
    <row r="157" spans="1:19">
      <c r="A157" s="728">
        <v>157</v>
      </c>
      <c r="B157" s="382"/>
      <c r="C157" s="728"/>
      <c r="D157" s="728"/>
      <c r="G157" s="444"/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</row>
    <row r="158" spans="1:19">
      <c r="A158" s="728">
        <v>158</v>
      </c>
      <c r="B158" s="382"/>
      <c r="C158" s="937" t="s">
        <v>681</v>
      </c>
      <c r="D158" s="728" t="s">
        <v>16</v>
      </c>
      <c r="G158" s="444">
        <v>437329</v>
      </c>
      <c r="H158" s="444">
        <v>426025</v>
      </c>
      <c r="I158" s="444">
        <v>417859</v>
      </c>
      <c r="J158" s="444">
        <v>389373</v>
      </c>
      <c r="K158" s="444">
        <v>394167</v>
      </c>
      <c r="L158" s="444">
        <v>372293</v>
      </c>
      <c r="M158" s="444">
        <v>364298</v>
      </c>
      <c r="N158" s="444">
        <v>372446</v>
      </c>
      <c r="O158" s="444">
        <v>348237</v>
      </c>
      <c r="P158" s="444">
        <v>381188</v>
      </c>
      <c r="Q158" s="444">
        <v>402425</v>
      </c>
      <c r="R158" s="444">
        <v>442728</v>
      </c>
      <c r="S158" s="444">
        <v>4748368</v>
      </c>
    </row>
    <row r="159" spans="1:19">
      <c r="A159" s="728">
        <v>159</v>
      </c>
      <c r="B159" s="382"/>
      <c r="C159" s="728"/>
      <c r="D159" s="728"/>
      <c r="G159" s="444"/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</row>
    <row r="160" spans="1:19">
      <c r="A160" s="728">
        <v>160</v>
      </c>
      <c r="B160" s="382"/>
      <c r="C160" s="728"/>
      <c r="D160" s="728" t="s">
        <v>17</v>
      </c>
      <c r="G160" s="444">
        <v>0</v>
      </c>
      <c r="H160" s="444">
        <v>0</v>
      </c>
      <c r="I160" s="444">
        <v>0</v>
      </c>
      <c r="J160" s="444">
        <v>0</v>
      </c>
      <c r="K160" s="444">
        <v>0</v>
      </c>
      <c r="L160" s="444">
        <v>0</v>
      </c>
      <c r="M160" s="444">
        <v>0</v>
      </c>
      <c r="N160" s="444">
        <v>0</v>
      </c>
      <c r="O160" s="444">
        <v>0</v>
      </c>
      <c r="P160" s="444">
        <v>0</v>
      </c>
      <c r="Q160" s="444">
        <v>0</v>
      </c>
      <c r="R160" s="444">
        <v>0</v>
      </c>
      <c r="S160" s="444">
        <v>0</v>
      </c>
    </row>
    <row r="161" spans="1:19">
      <c r="A161" s="728">
        <v>161</v>
      </c>
      <c r="B161" s="382"/>
      <c r="C161" s="728"/>
      <c r="D161" s="728"/>
      <c r="G161" s="444"/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</row>
    <row r="162" spans="1:19">
      <c r="A162" s="728">
        <v>162</v>
      </c>
      <c r="B162" s="382"/>
      <c r="C162" s="728"/>
      <c r="D162" s="728" t="s">
        <v>18</v>
      </c>
      <c r="G162" s="444">
        <v>0</v>
      </c>
      <c r="H162" s="444">
        <v>0</v>
      </c>
      <c r="I162" s="444">
        <v>0</v>
      </c>
      <c r="J162" s="444">
        <v>0</v>
      </c>
      <c r="K162" s="444">
        <v>0</v>
      </c>
      <c r="L162" s="444">
        <v>0</v>
      </c>
      <c r="M162" s="444">
        <v>0</v>
      </c>
      <c r="N162" s="444">
        <v>0</v>
      </c>
      <c r="O162" s="444">
        <v>0</v>
      </c>
      <c r="P162" s="444">
        <v>0</v>
      </c>
      <c r="Q162" s="444">
        <v>0</v>
      </c>
      <c r="R162" s="444">
        <v>0</v>
      </c>
      <c r="S162" s="444">
        <v>0</v>
      </c>
    </row>
    <row r="163" spans="1:19">
      <c r="A163" s="728">
        <v>163</v>
      </c>
      <c r="B163" s="382"/>
      <c r="C163" s="728"/>
      <c r="D163" s="728" t="s">
        <v>19</v>
      </c>
      <c r="G163" s="936">
        <v>437329</v>
      </c>
      <c r="H163" s="936">
        <v>426025</v>
      </c>
      <c r="I163" s="936">
        <v>417859</v>
      </c>
      <c r="J163" s="936">
        <v>389373</v>
      </c>
      <c r="K163" s="936">
        <v>394167</v>
      </c>
      <c r="L163" s="936">
        <v>372293</v>
      </c>
      <c r="M163" s="936">
        <v>364298</v>
      </c>
      <c r="N163" s="936">
        <v>372446</v>
      </c>
      <c r="O163" s="936">
        <v>348237</v>
      </c>
      <c r="P163" s="936">
        <v>381188</v>
      </c>
      <c r="Q163" s="936">
        <v>402425</v>
      </c>
      <c r="R163" s="936">
        <v>442728</v>
      </c>
      <c r="S163" s="936">
        <v>4748368</v>
      </c>
    </row>
    <row r="164" spans="1:19">
      <c r="A164" s="728">
        <v>164</v>
      </c>
      <c r="B164" s="382"/>
      <c r="C164" s="728"/>
      <c r="D164" s="728"/>
      <c r="G164" s="936"/>
      <c r="H164" s="936"/>
      <c r="I164" s="936"/>
      <c r="J164" s="936"/>
      <c r="K164" s="936"/>
      <c r="L164" s="936"/>
      <c r="M164" s="936"/>
      <c r="N164" s="936"/>
      <c r="O164" s="936"/>
      <c r="P164" s="936"/>
      <c r="Q164" s="936"/>
      <c r="R164" s="936"/>
      <c r="S164" s="936"/>
    </row>
    <row r="165" spans="1:19">
      <c r="A165" s="728">
        <v>165</v>
      </c>
      <c r="B165" s="382"/>
      <c r="C165" s="728"/>
      <c r="D165" s="728" t="s">
        <v>20</v>
      </c>
      <c r="G165" s="444">
        <v>2662366</v>
      </c>
      <c r="H165" s="444">
        <v>2542516</v>
      </c>
      <c r="I165" s="444">
        <v>2488148</v>
      </c>
      <c r="J165" s="444">
        <v>2227029</v>
      </c>
      <c r="K165" s="444">
        <v>2276155</v>
      </c>
      <c r="L165" s="444">
        <v>2074205</v>
      </c>
      <c r="M165" s="444">
        <v>2008889</v>
      </c>
      <c r="N165" s="444">
        <v>2081801</v>
      </c>
      <c r="O165" s="444">
        <v>1858951</v>
      </c>
      <c r="P165" s="444">
        <v>2160025</v>
      </c>
      <c r="Q165" s="444">
        <v>2343823</v>
      </c>
      <c r="R165" s="444">
        <v>2710679</v>
      </c>
      <c r="S165" s="444">
        <v>27434587</v>
      </c>
    </row>
    <row r="166" spans="1:19">
      <c r="A166" s="728">
        <v>166</v>
      </c>
      <c r="B166" s="382"/>
      <c r="C166" s="332"/>
      <c r="D166" s="332"/>
      <c r="G166" s="444"/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</row>
    <row r="167" spans="1:19">
      <c r="A167" s="728">
        <v>167</v>
      </c>
      <c r="B167" s="382"/>
      <c r="C167" s="728" t="s">
        <v>608</v>
      </c>
      <c r="D167" s="728" t="s">
        <v>16</v>
      </c>
      <c r="G167" s="444">
        <v>3519</v>
      </c>
      <c r="H167" s="444">
        <v>3368</v>
      </c>
      <c r="I167" s="444">
        <v>3386</v>
      </c>
      <c r="J167" s="444">
        <v>3303</v>
      </c>
      <c r="K167" s="444">
        <v>3109</v>
      </c>
      <c r="L167" s="444">
        <v>3016</v>
      </c>
      <c r="M167" s="444">
        <v>3050</v>
      </c>
      <c r="N167" s="444">
        <v>3092</v>
      </c>
      <c r="O167" s="444">
        <v>3090</v>
      </c>
      <c r="P167" s="444">
        <v>3229</v>
      </c>
      <c r="Q167" s="444">
        <v>3378</v>
      </c>
      <c r="R167" s="444">
        <v>3463</v>
      </c>
      <c r="S167" s="444">
        <v>39003</v>
      </c>
    </row>
    <row r="168" spans="1:19">
      <c r="A168" s="728">
        <v>168</v>
      </c>
      <c r="B168" s="382"/>
      <c r="C168" s="728"/>
      <c r="D168" s="728"/>
      <c r="G168" s="444"/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</row>
    <row r="169" spans="1:19">
      <c r="A169" s="728">
        <v>169</v>
      </c>
      <c r="B169" s="382"/>
      <c r="C169" s="728"/>
      <c r="D169" s="728" t="s">
        <v>17</v>
      </c>
      <c r="G169" s="444">
        <v>0</v>
      </c>
      <c r="H169" s="444">
        <v>0</v>
      </c>
      <c r="I169" s="444">
        <v>0</v>
      </c>
      <c r="J169" s="444">
        <v>0</v>
      </c>
      <c r="K169" s="444">
        <v>0</v>
      </c>
      <c r="L169" s="444">
        <v>0</v>
      </c>
      <c r="M169" s="444">
        <v>0</v>
      </c>
      <c r="N169" s="444">
        <v>0</v>
      </c>
      <c r="O169" s="444">
        <v>0</v>
      </c>
      <c r="P169" s="444">
        <v>0</v>
      </c>
      <c r="Q169" s="444">
        <v>0</v>
      </c>
      <c r="R169" s="444">
        <v>0</v>
      </c>
      <c r="S169" s="444">
        <v>0</v>
      </c>
    </row>
    <row r="170" spans="1:19">
      <c r="A170" s="728">
        <v>170</v>
      </c>
      <c r="B170" s="382"/>
      <c r="C170" s="728"/>
      <c r="D170" s="728"/>
      <c r="G170" s="444"/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</row>
    <row r="171" spans="1:19">
      <c r="A171" s="728">
        <v>171</v>
      </c>
      <c r="B171" s="382"/>
      <c r="C171" s="728"/>
      <c r="D171" s="728" t="s">
        <v>18</v>
      </c>
      <c r="G171" s="444">
        <v>0</v>
      </c>
      <c r="H171" s="444">
        <v>0</v>
      </c>
      <c r="I171" s="444">
        <v>0</v>
      </c>
      <c r="J171" s="444">
        <v>0</v>
      </c>
      <c r="K171" s="444">
        <v>0</v>
      </c>
      <c r="L171" s="444">
        <v>0</v>
      </c>
      <c r="M171" s="444">
        <v>0</v>
      </c>
      <c r="N171" s="444">
        <v>0</v>
      </c>
      <c r="O171" s="444">
        <v>0</v>
      </c>
      <c r="P171" s="444">
        <v>0</v>
      </c>
      <c r="Q171" s="444">
        <v>0</v>
      </c>
      <c r="R171" s="444">
        <v>0</v>
      </c>
      <c r="S171" s="444">
        <v>0</v>
      </c>
    </row>
    <row r="172" spans="1:19">
      <c r="A172" s="728">
        <v>172</v>
      </c>
      <c r="B172" s="382"/>
      <c r="C172" s="728"/>
      <c r="D172" s="728" t="s">
        <v>19</v>
      </c>
      <c r="G172" s="936">
        <v>3519</v>
      </c>
      <c r="H172" s="936">
        <v>3368</v>
      </c>
      <c r="I172" s="936">
        <v>3386</v>
      </c>
      <c r="J172" s="936">
        <v>3303</v>
      </c>
      <c r="K172" s="936">
        <v>3109</v>
      </c>
      <c r="L172" s="936">
        <v>3016</v>
      </c>
      <c r="M172" s="936">
        <v>3050</v>
      </c>
      <c r="N172" s="936">
        <v>3092</v>
      </c>
      <c r="O172" s="936">
        <v>3090</v>
      </c>
      <c r="P172" s="936">
        <v>3229</v>
      </c>
      <c r="Q172" s="936">
        <v>3378</v>
      </c>
      <c r="R172" s="936">
        <v>3463</v>
      </c>
      <c r="S172" s="936">
        <v>39003</v>
      </c>
    </row>
    <row r="173" spans="1:19">
      <c r="A173" s="728">
        <v>173</v>
      </c>
      <c r="B173" s="382"/>
      <c r="C173" s="728"/>
      <c r="D173" s="728"/>
      <c r="G173" s="936"/>
      <c r="H173" s="936"/>
      <c r="I173" s="936"/>
      <c r="J173" s="936"/>
      <c r="K173" s="936"/>
      <c r="L173" s="936"/>
      <c r="M173" s="936"/>
      <c r="N173" s="936"/>
      <c r="O173" s="936"/>
      <c r="P173" s="936"/>
      <c r="Q173" s="936"/>
      <c r="R173" s="936"/>
      <c r="S173" s="936"/>
    </row>
    <row r="174" spans="1:19">
      <c r="A174" s="728">
        <v>174</v>
      </c>
      <c r="B174" s="382"/>
      <c r="C174" s="728"/>
      <c r="D174" s="728" t="s">
        <v>20</v>
      </c>
      <c r="G174" s="444">
        <v>5343</v>
      </c>
      <c r="H174" s="444">
        <v>4050</v>
      </c>
      <c r="I174" s="444">
        <v>4198</v>
      </c>
      <c r="J174" s="444">
        <v>3488</v>
      </c>
      <c r="K174" s="444">
        <v>1828</v>
      </c>
      <c r="L174" s="444">
        <v>1026</v>
      </c>
      <c r="M174" s="444">
        <v>1315</v>
      </c>
      <c r="N174" s="444">
        <v>1675</v>
      </c>
      <c r="O174" s="444">
        <v>1663</v>
      </c>
      <c r="P174" s="444">
        <v>2850</v>
      </c>
      <c r="Q174" s="444">
        <v>4129</v>
      </c>
      <c r="R174" s="444">
        <v>4858</v>
      </c>
      <c r="S174" s="444">
        <v>36423</v>
      </c>
    </row>
    <row r="175" spans="1:19">
      <c r="A175" s="728">
        <v>175</v>
      </c>
      <c r="B175" s="382"/>
      <c r="C175" s="728"/>
      <c r="D175" s="728"/>
      <c r="G175" s="444"/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</row>
    <row r="176" spans="1:19">
      <c r="A176" s="728">
        <v>176</v>
      </c>
      <c r="B176" s="382"/>
      <c r="C176" s="728" t="s">
        <v>127</v>
      </c>
      <c r="D176" s="728" t="s">
        <v>16</v>
      </c>
      <c r="G176" s="444">
        <v>2560</v>
      </c>
      <c r="H176" s="444">
        <v>2368</v>
      </c>
      <c r="I176" s="444">
        <v>1960</v>
      </c>
      <c r="J176" s="444">
        <v>2185</v>
      </c>
      <c r="K176" s="444">
        <v>1981</v>
      </c>
      <c r="L176" s="444">
        <v>1904</v>
      </c>
      <c r="M176" s="444">
        <v>1362</v>
      </c>
      <c r="N176" s="444">
        <v>1781</v>
      </c>
      <c r="O176" s="444">
        <v>1962</v>
      </c>
      <c r="P176" s="444">
        <v>1994</v>
      </c>
      <c r="Q176" s="444">
        <v>2277</v>
      </c>
      <c r="R176" s="444">
        <v>2468</v>
      </c>
      <c r="S176" s="444">
        <v>24802</v>
      </c>
    </row>
    <row r="177" spans="1:19">
      <c r="A177" s="728">
        <v>177</v>
      </c>
      <c r="B177" s="382"/>
      <c r="C177" s="728"/>
      <c r="D177" s="728"/>
      <c r="G177" s="444"/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</row>
    <row r="178" spans="1:19">
      <c r="A178" s="728">
        <v>178</v>
      </c>
      <c r="B178" s="382"/>
      <c r="C178" s="728"/>
      <c r="D178" s="728" t="s">
        <v>17</v>
      </c>
      <c r="G178" s="444">
        <v>0</v>
      </c>
      <c r="H178" s="444">
        <v>0</v>
      </c>
      <c r="I178" s="444">
        <v>0</v>
      </c>
      <c r="J178" s="444">
        <v>0</v>
      </c>
      <c r="K178" s="444">
        <v>0</v>
      </c>
      <c r="L178" s="444">
        <v>0</v>
      </c>
      <c r="M178" s="444">
        <v>0</v>
      </c>
      <c r="N178" s="444">
        <v>0</v>
      </c>
      <c r="O178" s="444">
        <v>0</v>
      </c>
      <c r="P178" s="444">
        <v>0</v>
      </c>
      <c r="Q178" s="444">
        <v>0</v>
      </c>
      <c r="R178" s="444">
        <v>0</v>
      </c>
      <c r="S178" s="444">
        <v>0</v>
      </c>
    </row>
    <row r="179" spans="1:19">
      <c r="A179" s="728">
        <v>179</v>
      </c>
      <c r="B179" s="382"/>
      <c r="C179" s="728"/>
      <c r="D179" s="728"/>
      <c r="G179" s="444"/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</row>
    <row r="180" spans="1:19">
      <c r="A180" s="728">
        <v>180</v>
      </c>
      <c r="B180" s="382"/>
      <c r="C180" s="728"/>
      <c r="D180" s="728" t="s">
        <v>18</v>
      </c>
      <c r="G180" s="444">
        <v>0</v>
      </c>
      <c r="H180" s="444">
        <v>0</v>
      </c>
      <c r="I180" s="444">
        <v>0</v>
      </c>
      <c r="J180" s="444">
        <v>0</v>
      </c>
      <c r="K180" s="444">
        <v>0</v>
      </c>
      <c r="L180" s="444">
        <v>0</v>
      </c>
      <c r="M180" s="444">
        <v>0</v>
      </c>
      <c r="N180" s="444">
        <v>0</v>
      </c>
      <c r="O180" s="444">
        <v>0</v>
      </c>
      <c r="P180" s="444">
        <v>0</v>
      </c>
      <c r="Q180" s="444">
        <v>0</v>
      </c>
      <c r="R180" s="444">
        <v>0</v>
      </c>
      <c r="S180" s="444">
        <v>0</v>
      </c>
    </row>
    <row r="181" spans="1:19">
      <c r="A181" s="728">
        <v>181</v>
      </c>
      <c r="B181" s="382"/>
      <c r="C181" s="728"/>
      <c r="D181" s="728" t="s">
        <v>19</v>
      </c>
      <c r="G181" s="936">
        <v>2560</v>
      </c>
      <c r="H181" s="936">
        <v>2368</v>
      </c>
      <c r="I181" s="936">
        <v>1960</v>
      </c>
      <c r="J181" s="936">
        <v>2185</v>
      </c>
      <c r="K181" s="936">
        <v>1981</v>
      </c>
      <c r="L181" s="936">
        <v>1904</v>
      </c>
      <c r="M181" s="936">
        <v>1362</v>
      </c>
      <c r="N181" s="936">
        <v>1781</v>
      </c>
      <c r="O181" s="936">
        <v>1962</v>
      </c>
      <c r="P181" s="936">
        <v>1994</v>
      </c>
      <c r="Q181" s="936">
        <v>2277</v>
      </c>
      <c r="R181" s="936">
        <v>2468</v>
      </c>
      <c r="S181" s="936">
        <v>24802</v>
      </c>
    </row>
    <row r="182" spans="1:19">
      <c r="A182" s="728">
        <v>182</v>
      </c>
      <c r="B182" s="382"/>
      <c r="C182" s="728"/>
      <c r="D182" s="728"/>
      <c r="G182" s="936"/>
      <c r="H182" s="936"/>
      <c r="I182" s="936"/>
      <c r="J182" s="936"/>
      <c r="K182" s="936"/>
      <c r="L182" s="936"/>
      <c r="M182" s="936"/>
      <c r="N182" s="936"/>
      <c r="O182" s="936"/>
      <c r="P182" s="936"/>
      <c r="Q182" s="936"/>
      <c r="R182" s="936"/>
      <c r="S182" s="936"/>
    </row>
    <row r="183" spans="1:19">
      <c r="A183" s="728">
        <v>183</v>
      </c>
      <c r="B183" s="382"/>
      <c r="C183" s="728"/>
      <c r="D183" s="728" t="s">
        <v>20</v>
      </c>
      <c r="G183" s="444">
        <v>17494</v>
      </c>
      <c r="H183" s="444">
        <v>15571</v>
      </c>
      <c r="I183" s="444">
        <v>11490</v>
      </c>
      <c r="J183" s="444">
        <v>13738</v>
      </c>
      <c r="K183" s="444">
        <v>11699</v>
      </c>
      <c r="L183" s="444">
        <v>10931</v>
      </c>
      <c r="M183" s="444">
        <v>5506</v>
      </c>
      <c r="N183" s="444">
        <v>9700</v>
      </c>
      <c r="O183" s="444">
        <v>11514</v>
      </c>
      <c r="P183" s="444">
        <v>11827</v>
      </c>
      <c r="Q183" s="444">
        <v>14664</v>
      </c>
      <c r="R183" s="444">
        <v>16570</v>
      </c>
      <c r="S183" s="444">
        <v>150704</v>
      </c>
    </row>
    <row r="184" spans="1:19">
      <c r="A184" s="728">
        <v>184</v>
      </c>
      <c r="B184" s="382"/>
      <c r="C184" s="728"/>
      <c r="D184" s="728"/>
      <c r="G184" s="444"/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</row>
    <row r="185" spans="1:19">
      <c r="A185" s="728">
        <v>185</v>
      </c>
      <c r="B185" s="382"/>
      <c r="C185" s="728" t="s">
        <v>84</v>
      </c>
      <c r="D185" s="728" t="s">
        <v>16</v>
      </c>
      <c r="G185" s="444">
        <v>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44">
        <v>0</v>
      </c>
      <c r="R185" s="444">
        <v>0</v>
      </c>
      <c r="S185" s="444">
        <v>0</v>
      </c>
    </row>
    <row r="186" spans="1:19">
      <c r="A186" s="728">
        <v>186</v>
      </c>
      <c r="B186" s="382"/>
      <c r="C186" s="728"/>
      <c r="D186" s="728"/>
      <c r="G186" s="444"/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</row>
    <row r="187" spans="1:19">
      <c r="A187" s="728">
        <v>187</v>
      </c>
      <c r="B187" s="382"/>
      <c r="C187" s="728"/>
      <c r="D187" s="728" t="s">
        <v>17</v>
      </c>
      <c r="G187" s="444">
        <v>0</v>
      </c>
      <c r="H187" s="444">
        <v>0</v>
      </c>
      <c r="I187" s="444">
        <v>0</v>
      </c>
      <c r="J187" s="444">
        <v>0</v>
      </c>
      <c r="K187" s="444">
        <v>0</v>
      </c>
      <c r="L187" s="444">
        <v>0</v>
      </c>
      <c r="M187" s="444">
        <v>0</v>
      </c>
      <c r="N187" s="444">
        <v>0</v>
      </c>
      <c r="O187" s="444">
        <v>0</v>
      </c>
      <c r="P187" s="444">
        <v>0</v>
      </c>
      <c r="Q187" s="444">
        <v>0</v>
      </c>
      <c r="R187" s="444">
        <v>0</v>
      </c>
      <c r="S187" s="444">
        <v>0</v>
      </c>
    </row>
    <row r="188" spans="1:19">
      <c r="A188" s="728">
        <v>188</v>
      </c>
      <c r="B188" s="382"/>
      <c r="C188" s="728"/>
      <c r="D188" s="728"/>
      <c r="G188" s="444"/>
      <c r="H188" s="444"/>
      <c r="I188" s="444"/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</row>
    <row r="189" spans="1:19">
      <c r="A189" s="728">
        <v>189</v>
      </c>
      <c r="B189" s="382"/>
      <c r="C189" s="728"/>
      <c r="D189" s="728" t="s">
        <v>18</v>
      </c>
      <c r="G189" s="444">
        <v>0</v>
      </c>
      <c r="H189" s="444">
        <v>0</v>
      </c>
      <c r="I189" s="444">
        <v>0</v>
      </c>
      <c r="J189" s="444">
        <v>0</v>
      </c>
      <c r="K189" s="444">
        <v>0</v>
      </c>
      <c r="L189" s="444">
        <v>0</v>
      </c>
      <c r="M189" s="444">
        <v>0</v>
      </c>
      <c r="N189" s="444">
        <v>0</v>
      </c>
      <c r="O189" s="444">
        <v>0</v>
      </c>
      <c r="P189" s="444">
        <v>0</v>
      </c>
      <c r="Q189" s="444">
        <v>0</v>
      </c>
      <c r="R189" s="444">
        <v>0</v>
      </c>
      <c r="S189" s="444">
        <v>0</v>
      </c>
    </row>
    <row r="190" spans="1:19">
      <c r="A190" s="728">
        <v>190</v>
      </c>
      <c r="B190" s="382"/>
      <c r="C190" s="728"/>
      <c r="D190" s="728" t="s">
        <v>19</v>
      </c>
      <c r="G190" s="936">
        <v>0</v>
      </c>
      <c r="H190" s="936">
        <v>0</v>
      </c>
      <c r="I190" s="936">
        <v>0</v>
      </c>
      <c r="J190" s="936">
        <v>0</v>
      </c>
      <c r="K190" s="936">
        <v>0</v>
      </c>
      <c r="L190" s="936">
        <v>0</v>
      </c>
      <c r="M190" s="936">
        <v>0</v>
      </c>
      <c r="N190" s="936">
        <v>0</v>
      </c>
      <c r="O190" s="936">
        <v>0</v>
      </c>
      <c r="P190" s="936">
        <v>0</v>
      </c>
      <c r="Q190" s="936">
        <v>0</v>
      </c>
      <c r="R190" s="936">
        <v>0</v>
      </c>
      <c r="S190" s="936">
        <v>0</v>
      </c>
    </row>
    <row r="191" spans="1:19">
      <c r="A191" s="728">
        <v>191</v>
      </c>
      <c r="B191" s="382"/>
      <c r="C191" s="728"/>
      <c r="D191" s="728"/>
      <c r="G191" s="936"/>
      <c r="H191" s="936"/>
      <c r="I191" s="936"/>
      <c r="J191" s="936"/>
      <c r="K191" s="936"/>
      <c r="L191" s="936"/>
      <c r="M191" s="936"/>
      <c r="N191" s="936"/>
      <c r="O191" s="936"/>
      <c r="P191" s="936"/>
      <c r="Q191" s="936"/>
      <c r="R191" s="936"/>
      <c r="S191" s="936"/>
    </row>
    <row r="192" spans="1:19">
      <c r="A192" s="728">
        <v>192</v>
      </c>
      <c r="B192" s="382"/>
      <c r="C192" s="728"/>
      <c r="D192" s="728" t="s">
        <v>20</v>
      </c>
      <c r="G192" s="444">
        <v>0</v>
      </c>
      <c r="H192" s="444">
        <v>0</v>
      </c>
      <c r="I192" s="444">
        <v>0</v>
      </c>
      <c r="J192" s="444">
        <v>0</v>
      </c>
      <c r="K192" s="444">
        <v>0</v>
      </c>
      <c r="L192" s="444">
        <v>0</v>
      </c>
      <c r="M192" s="444">
        <v>0</v>
      </c>
      <c r="N192" s="444">
        <v>0</v>
      </c>
      <c r="O192" s="444">
        <v>0</v>
      </c>
      <c r="P192" s="444">
        <v>0</v>
      </c>
      <c r="Q192" s="444">
        <v>0</v>
      </c>
      <c r="R192" s="444">
        <v>0</v>
      </c>
      <c r="S192" s="444">
        <v>0</v>
      </c>
    </row>
    <row r="193" spans="1:20">
      <c r="A193" s="728">
        <v>193</v>
      </c>
      <c r="B193" s="382"/>
      <c r="C193" s="728"/>
      <c r="D193" s="728"/>
      <c r="G193" s="444"/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/>
      <c r="S193" s="444"/>
    </row>
    <row r="194" spans="1:20">
      <c r="A194" s="728">
        <v>194</v>
      </c>
      <c r="B194" s="382"/>
      <c r="C194" s="728" t="s">
        <v>690</v>
      </c>
      <c r="D194" s="728" t="s">
        <v>96</v>
      </c>
      <c r="G194" s="444">
        <v>0</v>
      </c>
      <c r="H194" s="444">
        <v>0</v>
      </c>
      <c r="I194" s="444">
        <v>0</v>
      </c>
      <c r="J194" s="444">
        <v>0</v>
      </c>
      <c r="K194" s="444">
        <v>0</v>
      </c>
      <c r="L194" s="444">
        <v>0</v>
      </c>
      <c r="M194" s="444">
        <v>0</v>
      </c>
      <c r="N194" s="444">
        <v>0</v>
      </c>
      <c r="O194" s="444">
        <v>0</v>
      </c>
      <c r="P194" s="444">
        <v>0</v>
      </c>
      <c r="Q194" s="444">
        <v>0</v>
      </c>
      <c r="R194" s="444">
        <v>0</v>
      </c>
      <c r="S194" s="444">
        <v>0</v>
      </c>
    </row>
    <row r="195" spans="1:20">
      <c r="A195" s="728">
        <v>195</v>
      </c>
      <c r="B195" s="382"/>
      <c r="C195" s="728"/>
      <c r="D195" s="728"/>
      <c r="G195" s="444"/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</row>
    <row r="196" spans="1:20">
      <c r="A196" s="728">
        <v>196</v>
      </c>
      <c r="B196" s="382"/>
      <c r="C196" s="332" t="s">
        <v>543</v>
      </c>
      <c r="D196" s="728"/>
      <c r="G196" s="936"/>
      <c r="H196" s="936"/>
      <c r="I196" s="936"/>
      <c r="J196" s="936"/>
      <c r="K196" s="936"/>
      <c r="L196" s="936"/>
      <c r="M196" s="936"/>
      <c r="N196" s="936"/>
      <c r="O196" s="936"/>
      <c r="P196" s="936"/>
      <c r="Q196" s="936"/>
      <c r="R196" s="936"/>
      <c r="S196" s="936"/>
    </row>
    <row r="197" spans="1:20">
      <c r="A197" s="728">
        <v>197</v>
      </c>
      <c r="B197" s="382"/>
      <c r="C197" s="332"/>
      <c r="D197" s="728" t="s">
        <v>16</v>
      </c>
      <c r="G197" s="444">
        <v>33971825</v>
      </c>
      <c r="H197" s="444">
        <v>28358953</v>
      </c>
      <c r="I197" s="444">
        <v>24421481</v>
      </c>
      <c r="J197" s="444">
        <v>15496467</v>
      </c>
      <c r="K197" s="444">
        <v>12029489</v>
      </c>
      <c r="L197" s="444">
        <v>9707427</v>
      </c>
      <c r="M197" s="444">
        <v>8925474</v>
      </c>
      <c r="N197" s="444">
        <v>8755676</v>
      </c>
      <c r="O197" s="444">
        <v>9026193</v>
      </c>
      <c r="P197" s="444">
        <v>12413936</v>
      </c>
      <c r="Q197" s="444">
        <v>22386530</v>
      </c>
      <c r="R197" s="444">
        <v>31751600</v>
      </c>
      <c r="S197" s="444">
        <v>217245051</v>
      </c>
    </row>
    <row r="198" spans="1:20">
      <c r="A198" s="728">
        <v>198</v>
      </c>
      <c r="B198" s="382"/>
      <c r="C198" s="332"/>
      <c r="D198" s="728" t="s">
        <v>17</v>
      </c>
      <c r="G198" s="444">
        <v>20987470</v>
      </c>
      <c r="H198" s="444">
        <v>17028694</v>
      </c>
      <c r="I198" s="444">
        <v>14166593</v>
      </c>
      <c r="J198" s="444">
        <v>4308803</v>
      </c>
      <c r="K198" s="444">
        <v>2855301</v>
      </c>
      <c r="L198" s="444">
        <v>1933383</v>
      </c>
      <c r="M198" s="444">
        <v>1572794</v>
      </c>
      <c r="N198" s="444">
        <v>1503251</v>
      </c>
      <c r="O198" s="444">
        <v>1644064</v>
      </c>
      <c r="P198" s="444">
        <v>2986964</v>
      </c>
      <c r="Q198" s="444">
        <v>12454109</v>
      </c>
      <c r="R198" s="444">
        <v>19224373</v>
      </c>
      <c r="S198" s="444">
        <v>100665799</v>
      </c>
    </row>
    <row r="199" spans="1:20">
      <c r="A199" s="728">
        <v>199</v>
      </c>
      <c r="B199" s="382"/>
      <c r="C199" s="332"/>
      <c r="D199" s="728" t="s">
        <v>18</v>
      </c>
      <c r="G199" s="444">
        <v>91900158</v>
      </c>
      <c r="H199" s="444">
        <v>74610336</v>
      </c>
      <c r="I199" s="444">
        <v>62134587</v>
      </c>
      <c r="J199" s="444">
        <v>40045058</v>
      </c>
      <c r="K199" s="444">
        <v>26521831</v>
      </c>
      <c r="L199" s="444">
        <v>17940391</v>
      </c>
      <c r="M199" s="444">
        <v>14591882</v>
      </c>
      <c r="N199" s="444">
        <v>13945168</v>
      </c>
      <c r="O199" s="444">
        <v>15252610</v>
      </c>
      <c r="P199" s="444">
        <v>27753244</v>
      </c>
      <c r="Q199" s="444">
        <v>54656403</v>
      </c>
      <c r="R199" s="444">
        <v>84246987</v>
      </c>
      <c r="S199" s="444">
        <v>523598655</v>
      </c>
    </row>
    <row r="200" spans="1:20">
      <c r="A200" s="728">
        <v>200</v>
      </c>
      <c r="B200" s="382"/>
      <c r="C200" s="332"/>
      <c r="D200" s="728" t="s">
        <v>457</v>
      </c>
      <c r="G200" s="936">
        <v>146859453</v>
      </c>
      <c r="H200" s="936">
        <v>119997983</v>
      </c>
      <c r="I200" s="936">
        <v>100722661</v>
      </c>
      <c r="J200" s="936">
        <v>59850328</v>
      </c>
      <c r="K200" s="936">
        <v>41406621</v>
      </c>
      <c r="L200" s="936">
        <v>29581201</v>
      </c>
      <c r="M200" s="936">
        <v>25090150</v>
      </c>
      <c r="N200" s="936">
        <v>24204095</v>
      </c>
      <c r="O200" s="936">
        <v>25922867</v>
      </c>
      <c r="P200" s="936">
        <v>43154144</v>
      </c>
      <c r="Q200" s="936">
        <v>89497042</v>
      </c>
      <c r="R200" s="936">
        <v>135222960</v>
      </c>
      <c r="S200" s="936">
        <v>841509505</v>
      </c>
    </row>
    <row r="201" spans="1:20">
      <c r="A201" s="728">
        <v>201</v>
      </c>
      <c r="B201" s="382"/>
      <c r="C201" s="332"/>
      <c r="D201" s="728"/>
      <c r="G201" s="936"/>
      <c r="H201" s="936"/>
      <c r="I201" s="936"/>
      <c r="J201" s="936"/>
      <c r="K201" s="936"/>
      <c r="L201" s="936"/>
      <c r="M201" s="936"/>
      <c r="N201" s="936"/>
      <c r="O201" s="936"/>
      <c r="P201" s="936"/>
      <c r="Q201" s="936"/>
      <c r="R201" s="936"/>
      <c r="S201" s="936"/>
    </row>
    <row r="202" spans="1:20">
      <c r="A202" s="728">
        <v>202</v>
      </c>
      <c r="B202" s="382"/>
      <c r="C202" s="728"/>
      <c r="D202" s="728" t="s">
        <v>59</v>
      </c>
      <c r="G202" s="936">
        <v>17209437</v>
      </c>
      <c r="H202" s="936">
        <v>13989532</v>
      </c>
      <c r="I202" s="936">
        <v>11683892</v>
      </c>
      <c r="J202" s="936">
        <v>7559992</v>
      </c>
      <c r="K202" s="936">
        <v>5013451</v>
      </c>
      <c r="L202" s="936">
        <v>3409421</v>
      </c>
      <c r="M202" s="936">
        <v>2788218</v>
      </c>
      <c r="N202" s="936">
        <v>2664415</v>
      </c>
      <c r="O202" s="936">
        <v>2915940</v>
      </c>
      <c r="P202" s="936">
        <v>5290606</v>
      </c>
      <c r="Q202" s="936">
        <v>10294292</v>
      </c>
      <c r="R202" s="936">
        <v>15809844</v>
      </c>
      <c r="S202" s="936">
        <v>98629040</v>
      </c>
    </row>
    <row r="203" spans="1:20">
      <c r="A203" s="728">
        <v>203</v>
      </c>
      <c r="B203" s="382"/>
      <c r="C203" s="728"/>
      <c r="D203" s="728" t="s">
        <v>60</v>
      </c>
      <c r="G203" s="444">
        <v>3200885</v>
      </c>
      <c r="H203" s="444">
        <v>3036318</v>
      </c>
      <c r="I203" s="444">
        <v>3016799</v>
      </c>
      <c r="J203" s="444">
        <v>2677974</v>
      </c>
      <c r="K203" s="444">
        <v>2813370</v>
      </c>
      <c r="L203" s="444">
        <v>2665779</v>
      </c>
      <c r="M203" s="444">
        <v>3129227</v>
      </c>
      <c r="N203" s="444">
        <v>3013786</v>
      </c>
      <c r="O203" s="444">
        <v>2701988</v>
      </c>
      <c r="P203" s="444">
        <v>2915380</v>
      </c>
      <c r="Q203" s="444">
        <v>3131258</v>
      </c>
      <c r="R203" s="444">
        <v>3609012</v>
      </c>
      <c r="S203" s="444">
        <v>35911776</v>
      </c>
    </row>
    <row r="204" spans="1:20">
      <c r="A204" s="728">
        <v>204</v>
      </c>
      <c r="B204" s="382"/>
      <c r="C204" s="332"/>
      <c r="D204" s="728" t="s">
        <v>458</v>
      </c>
      <c r="G204" s="938">
        <v>22235322</v>
      </c>
      <c r="H204" s="938">
        <v>18850850</v>
      </c>
      <c r="I204" s="938">
        <v>16525691</v>
      </c>
      <c r="J204" s="938">
        <v>12062966</v>
      </c>
      <c r="K204" s="938">
        <v>10564321</v>
      </c>
      <c r="L204" s="938">
        <v>8812700</v>
      </c>
      <c r="M204" s="938">
        <v>8654945</v>
      </c>
      <c r="N204" s="938">
        <v>8415701</v>
      </c>
      <c r="O204" s="938">
        <v>8355428</v>
      </c>
      <c r="P204" s="938">
        <v>10030986</v>
      </c>
      <c r="Q204" s="938">
        <v>15250550</v>
      </c>
      <c r="R204" s="938">
        <v>21243856</v>
      </c>
      <c r="S204" s="938">
        <v>161003316</v>
      </c>
      <c r="T204" s="95">
        <f>S183+S174+S165+S147+S129+S120+S111+S93+S66+S48+S39+S30+S21</f>
        <v>161003316</v>
      </c>
    </row>
    <row r="205" spans="1:20">
      <c r="A205" s="728">
        <v>205</v>
      </c>
      <c r="B205" s="382"/>
      <c r="C205" s="728"/>
      <c r="D205" s="728"/>
      <c r="G205" s="444"/>
      <c r="H205" s="444"/>
      <c r="I205" s="444"/>
      <c r="J205" s="444"/>
      <c r="K205" s="444"/>
      <c r="L205" s="444"/>
      <c r="M205" s="444"/>
      <c r="N205" s="444"/>
      <c r="O205" s="444"/>
      <c r="P205" s="444"/>
      <c r="Q205" s="444"/>
      <c r="R205" s="939"/>
      <c r="S205" s="444"/>
    </row>
    <row r="206" spans="1:20">
      <c r="A206" s="728">
        <v>206</v>
      </c>
      <c r="B206" s="873" t="s">
        <v>459</v>
      </c>
      <c r="C206" s="332"/>
      <c r="D206" s="332"/>
      <c r="G206" s="444"/>
      <c r="H206" s="444"/>
      <c r="I206" s="444"/>
      <c r="J206" s="444"/>
      <c r="K206" s="444"/>
      <c r="L206" s="444"/>
      <c r="M206" s="444"/>
      <c r="N206" s="444"/>
      <c r="O206" s="444"/>
      <c r="P206" s="444"/>
      <c r="Q206" s="444"/>
      <c r="R206" s="444"/>
      <c r="S206" s="444"/>
    </row>
    <row r="207" spans="1:20">
      <c r="A207" s="728">
        <v>207</v>
      </c>
      <c r="B207" s="382"/>
      <c r="C207" s="728" t="s">
        <v>15</v>
      </c>
      <c r="D207" s="728" t="s">
        <v>16</v>
      </c>
      <c r="G207" s="444">
        <v>0</v>
      </c>
      <c r="H207" s="444">
        <v>0</v>
      </c>
      <c r="I207" s="444">
        <v>0</v>
      </c>
      <c r="J207" s="444">
        <v>0</v>
      </c>
      <c r="K207" s="444">
        <v>0</v>
      </c>
      <c r="L207" s="444">
        <v>0</v>
      </c>
      <c r="M207" s="444">
        <v>0</v>
      </c>
      <c r="N207" s="444">
        <v>0</v>
      </c>
      <c r="O207" s="444">
        <v>0</v>
      </c>
      <c r="P207" s="444">
        <v>0</v>
      </c>
      <c r="Q207" s="444">
        <v>0</v>
      </c>
      <c r="R207" s="444">
        <v>0</v>
      </c>
      <c r="S207" s="444">
        <v>0</v>
      </c>
    </row>
    <row r="208" spans="1:20">
      <c r="A208" s="728">
        <v>208</v>
      </c>
      <c r="B208" s="382"/>
      <c r="C208" s="728"/>
      <c r="D208" s="728"/>
      <c r="G208" s="444"/>
      <c r="H208" s="444"/>
      <c r="I208" s="444"/>
      <c r="J208" s="444"/>
      <c r="K208" s="444"/>
      <c r="L208" s="444"/>
      <c r="M208" s="444"/>
      <c r="N208" s="444"/>
      <c r="O208" s="444"/>
      <c r="P208" s="444"/>
      <c r="Q208" s="444"/>
      <c r="R208" s="444"/>
      <c r="S208" s="444"/>
    </row>
    <row r="209" spans="1:19">
      <c r="A209" s="728">
        <v>209</v>
      </c>
      <c r="B209" s="382"/>
      <c r="C209" s="728"/>
      <c r="D209" s="728" t="s">
        <v>17</v>
      </c>
      <c r="G209" s="444">
        <v>0</v>
      </c>
      <c r="H209" s="444">
        <v>0</v>
      </c>
      <c r="I209" s="444">
        <v>0</v>
      </c>
      <c r="J209" s="444">
        <v>0</v>
      </c>
      <c r="K209" s="444">
        <v>0</v>
      </c>
      <c r="L209" s="444">
        <v>0</v>
      </c>
      <c r="M209" s="444">
        <v>0</v>
      </c>
      <c r="N209" s="444">
        <v>0</v>
      </c>
      <c r="O209" s="444">
        <v>0</v>
      </c>
      <c r="P209" s="444">
        <v>0</v>
      </c>
      <c r="Q209" s="444">
        <v>0</v>
      </c>
      <c r="R209" s="444">
        <v>0</v>
      </c>
      <c r="S209" s="444">
        <v>0</v>
      </c>
    </row>
    <row r="210" spans="1:19">
      <c r="A210" s="728">
        <v>210</v>
      </c>
      <c r="B210" s="382"/>
      <c r="C210" s="728"/>
      <c r="D210" s="728"/>
      <c r="G210" s="444"/>
      <c r="H210" s="444"/>
      <c r="I210" s="444"/>
      <c r="J210" s="444"/>
      <c r="K210" s="444"/>
      <c r="L210" s="444"/>
      <c r="M210" s="444"/>
      <c r="N210" s="444"/>
      <c r="O210" s="444"/>
      <c r="P210" s="444"/>
      <c r="Q210" s="444"/>
      <c r="R210" s="444"/>
      <c r="S210" s="444"/>
    </row>
    <row r="211" spans="1:19">
      <c r="A211" s="728">
        <v>211</v>
      </c>
      <c r="B211" s="382"/>
      <c r="C211" s="728"/>
      <c r="D211" s="728" t="s">
        <v>18</v>
      </c>
      <c r="G211" s="444">
        <v>0</v>
      </c>
      <c r="H211" s="444">
        <v>0</v>
      </c>
      <c r="I211" s="444">
        <v>0</v>
      </c>
      <c r="J211" s="444">
        <v>0</v>
      </c>
      <c r="K211" s="444">
        <v>0</v>
      </c>
      <c r="L211" s="444">
        <v>0</v>
      </c>
      <c r="M211" s="444">
        <v>0</v>
      </c>
      <c r="N211" s="444">
        <v>0</v>
      </c>
      <c r="O211" s="444">
        <v>0</v>
      </c>
      <c r="P211" s="444">
        <v>0</v>
      </c>
      <c r="Q211" s="444">
        <v>0</v>
      </c>
      <c r="R211" s="444">
        <v>0</v>
      </c>
      <c r="S211" s="444">
        <v>0</v>
      </c>
    </row>
    <row r="212" spans="1:19">
      <c r="A212" s="728">
        <v>212</v>
      </c>
      <c r="B212" s="382"/>
      <c r="C212" s="728"/>
      <c r="D212" s="728" t="s">
        <v>19</v>
      </c>
      <c r="G212" s="936">
        <v>0</v>
      </c>
      <c r="H212" s="936">
        <v>0</v>
      </c>
      <c r="I212" s="936">
        <v>0</v>
      </c>
      <c r="J212" s="936">
        <v>0</v>
      </c>
      <c r="K212" s="936">
        <v>0</v>
      </c>
      <c r="L212" s="936">
        <v>0</v>
      </c>
      <c r="M212" s="936">
        <v>0</v>
      </c>
      <c r="N212" s="936">
        <v>0</v>
      </c>
      <c r="O212" s="936">
        <v>0</v>
      </c>
      <c r="P212" s="936">
        <v>0</v>
      </c>
      <c r="Q212" s="936">
        <v>0</v>
      </c>
      <c r="R212" s="936">
        <v>0</v>
      </c>
      <c r="S212" s="936">
        <v>0</v>
      </c>
    </row>
    <row r="213" spans="1:19">
      <c r="A213" s="728">
        <v>213</v>
      </c>
      <c r="B213" s="382"/>
      <c r="C213" s="728"/>
      <c r="D213" s="728"/>
      <c r="G213" s="936"/>
      <c r="H213" s="936"/>
      <c r="I213" s="936"/>
      <c r="J213" s="936"/>
      <c r="K213" s="936"/>
      <c r="L213" s="936"/>
      <c r="M213" s="936"/>
      <c r="N213" s="936"/>
      <c r="O213" s="936"/>
      <c r="P213" s="936"/>
      <c r="Q213" s="936"/>
      <c r="R213" s="936"/>
      <c r="S213" s="936"/>
    </row>
    <row r="214" spans="1:19">
      <c r="A214" s="728">
        <v>214</v>
      </c>
      <c r="B214" s="382"/>
      <c r="C214" s="728"/>
      <c r="D214" s="728" t="s">
        <v>20</v>
      </c>
      <c r="G214" s="444">
        <v>0</v>
      </c>
      <c r="H214" s="444">
        <v>0</v>
      </c>
      <c r="I214" s="444">
        <v>0</v>
      </c>
      <c r="J214" s="444">
        <v>0</v>
      </c>
      <c r="K214" s="444">
        <v>0</v>
      </c>
      <c r="L214" s="444">
        <v>0</v>
      </c>
      <c r="M214" s="444">
        <v>0</v>
      </c>
      <c r="N214" s="444">
        <v>0</v>
      </c>
      <c r="O214" s="444">
        <v>0</v>
      </c>
      <c r="P214" s="444">
        <v>0</v>
      </c>
      <c r="Q214" s="444">
        <v>0</v>
      </c>
      <c r="R214" s="444">
        <v>0</v>
      </c>
      <c r="S214" s="444">
        <v>0</v>
      </c>
    </row>
    <row r="215" spans="1:19">
      <c r="A215" s="728">
        <v>215</v>
      </c>
      <c r="B215" s="382"/>
      <c r="C215" s="728"/>
      <c r="D215" s="728"/>
      <c r="G215" s="444"/>
      <c r="H215" s="444"/>
      <c r="I215" s="444"/>
      <c r="J215" s="444"/>
      <c r="K215" s="444"/>
      <c r="L215" s="444"/>
      <c r="M215" s="444"/>
      <c r="N215" s="444"/>
      <c r="O215" s="444"/>
      <c r="P215" s="444"/>
      <c r="Q215" s="444"/>
      <c r="R215" s="444"/>
      <c r="S215" s="444"/>
    </row>
    <row r="216" spans="1:19">
      <c r="A216" s="728">
        <v>216</v>
      </c>
      <c r="B216" s="382"/>
      <c r="C216" s="728" t="s">
        <v>88</v>
      </c>
      <c r="D216" s="728" t="s">
        <v>16</v>
      </c>
      <c r="G216" s="444">
        <v>0</v>
      </c>
      <c r="H216" s="444">
        <v>0</v>
      </c>
      <c r="I216" s="444">
        <v>0</v>
      </c>
      <c r="J216" s="444">
        <v>0</v>
      </c>
      <c r="K216" s="444">
        <v>0</v>
      </c>
      <c r="L216" s="444">
        <v>0</v>
      </c>
      <c r="M216" s="444">
        <v>0</v>
      </c>
      <c r="N216" s="444">
        <v>0</v>
      </c>
      <c r="O216" s="444">
        <v>0</v>
      </c>
      <c r="P216" s="444">
        <v>0</v>
      </c>
      <c r="Q216" s="444">
        <v>0</v>
      </c>
      <c r="R216" s="444">
        <v>0</v>
      </c>
      <c r="S216" s="444">
        <v>0</v>
      </c>
    </row>
    <row r="217" spans="1:19">
      <c r="A217" s="728">
        <v>217</v>
      </c>
      <c r="B217" s="382"/>
      <c r="C217" s="728"/>
      <c r="D217" s="728"/>
      <c r="G217" s="444"/>
      <c r="H217" s="444"/>
      <c r="I217" s="444"/>
      <c r="J217" s="444"/>
      <c r="K217" s="444"/>
      <c r="L217" s="444"/>
      <c r="M217" s="444"/>
      <c r="N217" s="444"/>
      <c r="O217" s="444"/>
      <c r="P217" s="444"/>
      <c r="Q217" s="444"/>
      <c r="R217" s="444"/>
      <c r="S217" s="444"/>
    </row>
    <row r="218" spans="1:19">
      <c r="A218" s="728">
        <v>218</v>
      </c>
      <c r="B218" s="382"/>
      <c r="C218" s="728"/>
      <c r="D218" s="728" t="s">
        <v>17</v>
      </c>
      <c r="G218" s="444">
        <v>0</v>
      </c>
      <c r="H218" s="444">
        <v>0</v>
      </c>
      <c r="I218" s="444">
        <v>0</v>
      </c>
      <c r="J218" s="444">
        <v>0</v>
      </c>
      <c r="K218" s="444">
        <v>0</v>
      </c>
      <c r="L218" s="444">
        <v>0</v>
      </c>
      <c r="M218" s="444">
        <v>0</v>
      </c>
      <c r="N218" s="444">
        <v>0</v>
      </c>
      <c r="O218" s="444">
        <v>0</v>
      </c>
      <c r="P218" s="444">
        <v>0</v>
      </c>
      <c r="Q218" s="444">
        <v>0</v>
      </c>
      <c r="R218" s="444">
        <v>0</v>
      </c>
      <c r="S218" s="444">
        <v>0</v>
      </c>
    </row>
    <row r="219" spans="1:19">
      <c r="A219" s="728">
        <v>219</v>
      </c>
      <c r="B219" s="382"/>
      <c r="C219" s="728"/>
      <c r="D219" s="728"/>
      <c r="G219" s="444"/>
      <c r="H219" s="444"/>
      <c r="I219" s="444"/>
      <c r="J219" s="444"/>
      <c r="K219" s="444"/>
      <c r="L219" s="444"/>
      <c r="M219" s="444"/>
      <c r="N219" s="444"/>
      <c r="O219" s="444"/>
      <c r="P219" s="444"/>
      <c r="Q219" s="444"/>
      <c r="R219" s="444"/>
      <c r="S219" s="444"/>
    </row>
    <row r="220" spans="1:19">
      <c r="A220" s="728">
        <v>220</v>
      </c>
      <c r="B220" s="382"/>
      <c r="C220" s="728"/>
      <c r="D220" s="728" t="s">
        <v>18</v>
      </c>
      <c r="G220" s="444">
        <v>0</v>
      </c>
      <c r="H220" s="444">
        <v>0</v>
      </c>
      <c r="I220" s="444">
        <v>0</v>
      </c>
      <c r="J220" s="444">
        <v>0</v>
      </c>
      <c r="K220" s="444">
        <v>0</v>
      </c>
      <c r="L220" s="444">
        <v>0</v>
      </c>
      <c r="M220" s="444">
        <v>0</v>
      </c>
      <c r="N220" s="444">
        <v>0</v>
      </c>
      <c r="O220" s="444">
        <v>0</v>
      </c>
      <c r="P220" s="444">
        <v>0</v>
      </c>
      <c r="Q220" s="444">
        <v>0</v>
      </c>
      <c r="R220" s="444">
        <v>0</v>
      </c>
      <c r="S220" s="444">
        <v>0</v>
      </c>
    </row>
    <row r="221" spans="1:19">
      <c r="A221" s="728">
        <v>221</v>
      </c>
      <c r="B221" s="382"/>
      <c r="C221" s="728"/>
      <c r="D221" s="728" t="s">
        <v>19</v>
      </c>
      <c r="G221" s="936">
        <v>0</v>
      </c>
      <c r="H221" s="936">
        <v>0</v>
      </c>
      <c r="I221" s="936">
        <v>0</v>
      </c>
      <c r="J221" s="936">
        <v>0</v>
      </c>
      <c r="K221" s="936">
        <v>0</v>
      </c>
      <c r="L221" s="936">
        <v>0</v>
      </c>
      <c r="M221" s="936">
        <v>0</v>
      </c>
      <c r="N221" s="936">
        <v>0</v>
      </c>
      <c r="O221" s="936">
        <v>0</v>
      </c>
      <c r="P221" s="936">
        <v>0</v>
      </c>
      <c r="Q221" s="936">
        <v>0</v>
      </c>
      <c r="R221" s="936">
        <v>0</v>
      </c>
      <c r="S221" s="936">
        <v>0</v>
      </c>
    </row>
    <row r="222" spans="1:19">
      <c r="A222" s="728">
        <v>222</v>
      </c>
      <c r="B222" s="382"/>
      <c r="C222" s="728"/>
      <c r="D222" s="728"/>
      <c r="G222" s="936"/>
      <c r="H222" s="936"/>
      <c r="I222" s="936"/>
      <c r="J222" s="936"/>
      <c r="K222" s="936"/>
      <c r="L222" s="936"/>
      <c r="M222" s="936"/>
      <c r="N222" s="936"/>
      <c r="O222" s="936"/>
      <c r="P222" s="936"/>
      <c r="Q222" s="936"/>
      <c r="R222" s="936"/>
      <c r="S222" s="936"/>
    </row>
    <row r="223" spans="1:19">
      <c r="A223" s="728">
        <v>223</v>
      </c>
      <c r="B223" s="382"/>
      <c r="C223" s="728"/>
      <c r="D223" s="728" t="s">
        <v>20</v>
      </c>
      <c r="G223" s="444">
        <v>0</v>
      </c>
      <c r="H223" s="444">
        <v>0</v>
      </c>
      <c r="I223" s="444">
        <v>0</v>
      </c>
      <c r="J223" s="444">
        <v>0</v>
      </c>
      <c r="K223" s="444">
        <v>0</v>
      </c>
      <c r="L223" s="444">
        <v>0</v>
      </c>
      <c r="M223" s="444">
        <v>0</v>
      </c>
      <c r="N223" s="444">
        <v>0</v>
      </c>
      <c r="O223" s="444">
        <v>0</v>
      </c>
      <c r="P223" s="444">
        <v>0</v>
      </c>
      <c r="Q223" s="444">
        <v>0</v>
      </c>
      <c r="R223" s="444">
        <v>0</v>
      </c>
      <c r="S223" s="444">
        <v>0</v>
      </c>
    </row>
    <row r="224" spans="1:19">
      <c r="A224" s="728">
        <v>224</v>
      </c>
      <c r="B224" s="382"/>
      <c r="C224" s="728"/>
      <c r="D224" s="728"/>
      <c r="G224" s="444"/>
      <c r="H224" s="444"/>
      <c r="I224" s="444"/>
      <c r="J224" s="444"/>
      <c r="K224" s="444"/>
      <c r="L224" s="444"/>
      <c r="M224" s="444"/>
      <c r="N224" s="444"/>
      <c r="O224" s="444"/>
      <c r="P224" s="444"/>
      <c r="Q224" s="444"/>
      <c r="R224" s="444"/>
      <c r="S224" s="444"/>
    </row>
    <row r="225" spans="1:19">
      <c r="A225" s="728">
        <v>225</v>
      </c>
      <c r="B225" s="382"/>
      <c r="C225" s="728" t="s">
        <v>544</v>
      </c>
      <c r="D225" s="728"/>
      <c r="G225" s="936"/>
      <c r="H225" s="936"/>
      <c r="I225" s="936"/>
      <c r="J225" s="936"/>
      <c r="K225" s="936"/>
      <c r="L225" s="936"/>
      <c r="M225" s="936"/>
      <c r="N225" s="936"/>
      <c r="O225" s="936"/>
      <c r="P225" s="936"/>
      <c r="Q225" s="936"/>
      <c r="R225" s="936"/>
      <c r="S225" s="936"/>
    </row>
    <row r="226" spans="1:19">
      <c r="A226" s="728">
        <v>226</v>
      </c>
      <c r="B226" s="382"/>
      <c r="C226" s="332"/>
      <c r="D226" s="728" t="s">
        <v>16</v>
      </c>
      <c r="G226" s="444">
        <v>0</v>
      </c>
      <c r="H226" s="444">
        <v>0</v>
      </c>
      <c r="I226" s="444">
        <v>0</v>
      </c>
      <c r="J226" s="444">
        <v>0</v>
      </c>
      <c r="K226" s="444">
        <v>0</v>
      </c>
      <c r="L226" s="444">
        <v>0</v>
      </c>
      <c r="M226" s="444">
        <v>0</v>
      </c>
      <c r="N226" s="444">
        <v>0</v>
      </c>
      <c r="O226" s="444">
        <v>0</v>
      </c>
      <c r="P226" s="444">
        <v>0</v>
      </c>
      <c r="Q226" s="444">
        <v>0</v>
      </c>
      <c r="R226" s="444">
        <v>0</v>
      </c>
      <c r="S226" s="444">
        <v>0</v>
      </c>
    </row>
    <row r="227" spans="1:19">
      <c r="A227" s="728">
        <v>227</v>
      </c>
      <c r="B227" s="382"/>
      <c r="C227" s="332"/>
      <c r="D227" s="728" t="s">
        <v>17</v>
      </c>
      <c r="G227" s="444">
        <v>0</v>
      </c>
      <c r="H227" s="444">
        <v>0</v>
      </c>
      <c r="I227" s="444">
        <v>0</v>
      </c>
      <c r="J227" s="444">
        <v>0</v>
      </c>
      <c r="K227" s="444">
        <v>0</v>
      </c>
      <c r="L227" s="444">
        <v>0</v>
      </c>
      <c r="M227" s="444">
        <v>0</v>
      </c>
      <c r="N227" s="444">
        <v>0</v>
      </c>
      <c r="O227" s="444">
        <v>0</v>
      </c>
      <c r="P227" s="444">
        <v>0</v>
      </c>
      <c r="Q227" s="444">
        <v>0</v>
      </c>
      <c r="R227" s="444">
        <v>0</v>
      </c>
      <c r="S227" s="444">
        <v>0</v>
      </c>
    </row>
    <row r="228" spans="1:19">
      <c r="A228" s="728">
        <v>228</v>
      </c>
      <c r="B228" s="382"/>
      <c r="C228" s="332"/>
      <c r="D228" s="728" t="s">
        <v>18</v>
      </c>
      <c r="G228" s="444">
        <v>0</v>
      </c>
      <c r="H228" s="444">
        <v>0</v>
      </c>
      <c r="I228" s="444">
        <v>0</v>
      </c>
      <c r="J228" s="444">
        <v>0</v>
      </c>
      <c r="K228" s="444">
        <v>0</v>
      </c>
      <c r="L228" s="444">
        <v>0</v>
      </c>
      <c r="M228" s="444">
        <v>0</v>
      </c>
      <c r="N228" s="444">
        <v>0</v>
      </c>
      <c r="O228" s="444">
        <v>0</v>
      </c>
      <c r="P228" s="444">
        <v>0</v>
      </c>
      <c r="Q228" s="444">
        <v>0</v>
      </c>
      <c r="R228" s="444">
        <v>0</v>
      </c>
      <c r="S228" s="444">
        <v>0</v>
      </c>
    </row>
    <row r="229" spans="1:19">
      <c r="A229" s="728">
        <v>229</v>
      </c>
      <c r="B229" s="382"/>
      <c r="C229" s="332"/>
      <c r="D229" s="728" t="s">
        <v>461</v>
      </c>
      <c r="G229" s="936">
        <v>0</v>
      </c>
      <c r="H229" s="936">
        <v>0</v>
      </c>
      <c r="I229" s="936">
        <v>0</v>
      </c>
      <c r="J229" s="936">
        <v>0</v>
      </c>
      <c r="K229" s="936">
        <v>0</v>
      </c>
      <c r="L229" s="936">
        <v>0</v>
      </c>
      <c r="M229" s="936">
        <v>0</v>
      </c>
      <c r="N229" s="936">
        <v>0</v>
      </c>
      <c r="O229" s="936">
        <v>0</v>
      </c>
      <c r="P229" s="936">
        <v>0</v>
      </c>
      <c r="Q229" s="936">
        <v>0</v>
      </c>
      <c r="R229" s="936">
        <v>0</v>
      </c>
      <c r="S229" s="936">
        <v>0</v>
      </c>
    </row>
    <row r="230" spans="1:19">
      <c r="A230" s="728">
        <v>230</v>
      </c>
      <c r="B230" s="382"/>
      <c r="C230" s="332"/>
      <c r="D230" s="728"/>
      <c r="G230" s="936"/>
      <c r="H230" s="936"/>
      <c r="I230" s="936"/>
      <c r="J230" s="936"/>
      <c r="K230" s="936"/>
      <c r="L230" s="936"/>
      <c r="M230" s="936"/>
      <c r="N230" s="936"/>
      <c r="O230" s="936"/>
      <c r="P230" s="936"/>
      <c r="Q230" s="936"/>
      <c r="R230" s="936"/>
      <c r="S230" s="936"/>
    </row>
    <row r="231" spans="1:19">
      <c r="A231" s="728">
        <v>231</v>
      </c>
      <c r="B231" s="382"/>
      <c r="C231" s="332"/>
      <c r="D231" s="728" t="s">
        <v>59</v>
      </c>
      <c r="G231" s="936"/>
      <c r="H231" s="936"/>
      <c r="I231" s="936"/>
      <c r="J231" s="936"/>
      <c r="K231" s="936"/>
      <c r="L231" s="936"/>
      <c r="M231" s="936"/>
      <c r="N231" s="936"/>
      <c r="O231" s="936"/>
      <c r="P231" s="936"/>
      <c r="Q231" s="936"/>
      <c r="R231" s="936"/>
      <c r="S231" s="936"/>
    </row>
    <row r="232" spans="1:19">
      <c r="A232" s="728">
        <v>232</v>
      </c>
      <c r="B232" s="868"/>
      <c r="C232" s="728"/>
      <c r="D232" s="728" t="s">
        <v>60</v>
      </c>
      <c r="G232" s="444"/>
      <c r="H232" s="444"/>
      <c r="I232" s="444"/>
      <c r="J232" s="444"/>
      <c r="K232" s="444"/>
      <c r="L232" s="444"/>
      <c r="M232" s="444"/>
      <c r="N232" s="444"/>
      <c r="O232" s="444"/>
      <c r="P232" s="444"/>
      <c r="Q232" s="444"/>
      <c r="R232" s="444"/>
      <c r="S232" s="444"/>
    </row>
    <row r="233" spans="1:19">
      <c r="A233" s="728">
        <v>233</v>
      </c>
      <c r="B233" s="382"/>
      <c r="C233" s="332"/>
      <c r="D233" s="728" t="s">
        <v>462</v>
      </c>
      <c r="G233" s="444">
        <v>0</v>
      </c>
      <c r="H233" s="444">
        <v>0</v>
      </c>
      <c r="I233" s="444">
        <v>0</v>
      </c>
      <c r="J233" s="444">
        <v>0</v>
      </c>
      <c r="K233" s="444">
        <v>0</v>
      </c>
      <c r="L233" s="444">
        <v>0</v>
      </c>
      <c r="M233" s="444">
        <v>0</v>
      </c>
      <c r="N233" s="444">
        <v>0</v>
      </c>
      <c r="O233" s="444">
        <v>0</v>
      </c>
      <c r="P233" s="444">
        <v>0</v>
      </c>
      <c r="Q233" s="444">
        <v>0</v>
      </c>
      <c r="R233" s="444">
        <v>0</v>
      </c>
      <c r="S233" s="444">
        <v>0</v>
      </c>
    </row>
    <row r="234" spans="1:19">
      <c r="A234" s="728">
        <v>234</v>
      </c>
      <c r="B234" s="382"/>
      <c r="C234" s="728"/>
      <c r="D234" s="728"/>
      <c r="G234" s="444"/>
      <c r="H234" s="444"/>
      <c r="I234" s="444"/>
      <c r="J234" s="444"/>
      <c r="K234" s="444"/>
      <c r="L234" s="444"/>
      <c r="M234" s="444"/>
      <c r="N234" s="444"/>
      <c r="O234" s="444"/>
      <c r="P234" s="444"/>
      <c r="Q234" s="444"/>
      <c r="R234" s="444"/>
      <c r="S234" s="444"/>
    </row>
    <row r="235" spans="1:19">
      <c r="A235" s="728">
        <v>235</v>
      </c>
      <c r="B235" s="869" t="s">
        <v>24</v>
      </c>
      <c r="C235" s="728"/>
      <c r="D235" s="728"/>
      <c r="G235" s="444" t="s">
        <v>838</v>
      </c>
      <c r="H235" s="444" t="s">
        <v>838</v>
      </c>
      <c r="I235" s="444" t="s">
        <v>838</v>
      </c>
      <c r="J235" s="444" t="s">
        <v>838</v>
      </c>
      <c r="K235" s="444" t="s">
        <v>838</v>
      </c>
      <c r="L235" s="444" t="s">
        <v>838</v>
      </c>
      <c r="M235" s="444" t="s">
        <v>838</v>
      </c>
      <c r="N235" s="444" t="s">
        <v>838</v>
      </c>
      <c r="O235" s="444" t="s">
        <v>838</v>
      </c>
      <c r="P235" s="444" t="s">
        <v>838</v>
      </c>
      <c r="Q235" s="444" t="s">
        <v>838</v>
      </c>
      <c r="R235" s="444" t="s">
        <v>838</v>
      </c>
      <c r="S235" s="444"/>
    </row>
    <row r="236" spans="1:19">
      <c r="A236" s="728">
        <v>236</v>
      </c>
      <c r="B236" s="868"/>
      <c r="C236" s="332" t="s">
        <v>15</v>
      </c>
      <c r="D236" s="332" t="s">
        <v>16</v>
      </c>
      <c r="G236" s="444">
        <v>1268026</v>
      </c>
      <c r="H236" s="444">
        <v>1120005</v>
      </c>
      <c r="I236" s="444">
        <v>1037208</v>
      </c>
      <c r="J236" s="444">
        <v>796455</v>
      </c>
      <c r="K236" s="444">
        <v>612120</v>
      </c>
      <c r="L236" s="444">
        <v>431316</v>
      </c>
      <c r="M236" s="444">
        <v>354319</v>
      </c>
      <c r="N236" s="444">
        <v>324969</v>
      </c>
      <c r="O236" s="444">
        <v>399744</v>
      </c>
      <c r="P236" s="444">
        <v>576565</v>
      </c>
      <c r="Q236" s="444">
        <v>847368</v>
      </c>
      <c r="R236" s="444">
        <v>1235522</v>
      </c>
      <c r="S236" s="444">
        <v>9003617</v>
      </c>
    </row>
    <row r="237" spans="1:19">
      <c r="A237" s="728">
        <v>237</v>
      </c>
      <c r="B237" s="868"/>
      <c r="C237" s="728"/>
      <c r="D237" s="728"/>
      <c r="G237" s="444"/>
      <c r="H237" s="444"/>
      <c r="I237" s="444"/>
      <c r="J237" s="444"/>
      <c r="K237" s="444"/>
      <c r="L237" s="444"/>
      <c r="M237" s="444"/>
      <c r="N237" s="444"/>
      <c r="O237" s="444"/>
      <c r="P237" s="444"/>
      <c r="Q237" s="444"/>
      <c r="R237" s="444"/>
      <c r="S237" s="444"/>
    </row>
    <row r="238" spans="1:19">
      <c r="A238" s="728">
        <v>238</v>
      </c>
      <c r="B238" s="868"/>
      <c r="C238" s="728"/>
      <c r="D238" s="728"/>
      <c r="G238" s="444"/>
      <c r="H238" s="444"/>
      <c r="I238" s="444"/>
      <c r="J238" s="444"/>
      <c r="K238" s="444"/>
      <c r="L238" s="444"/>
      <c r="M238" s="444"/>
      <c r="N238" s="444"/>
      <c r="O238" s="444"/>
      <c r="P238" s="444"/>
      <c r="Q238" s="444"/>
      <c r="R238" s="444"/>
      <c r="S238" s="444"/>
    </row>
    <row r="239" spans="1:19">
      <c r="A239" s="728">
        <v>239</v>
      </c>
      <c r="B239" s="868"/>
      <c r="C239" s="728"/>
      <c r="D239" s="728"/>
      <c r="G239" s="444"/>
      <c r="H239" s="444"/>
      <c r="I239" s="444"/>
      <c r="J239" s="444"/>
      <c r="K239" s="444"/>
      <c r="L239" s="444"/>
      <c r="M239" s="444"/>
      <c r="N239" s="444"/>
      <c r="O239" s="444"/>
      <c r="P239" s="444"/>
      <c r="Q239" s="444"/>
      <c r="R239" s="444"/>
      <c r="S239" s="444"/>
    </row>
    <row r="240" spans="1:19">
      <c r="A240" s="728">
        <v>240</v>
      </c>
      <c r="B240" s="868"/>
      <c r="C240" s="332"/>
      <c r="D240" s="332" t="s">
        <v>18</v>
      </c>
      <c r="G240" s="444">
        <v>3570724</v>
      </c>
      <c r="H240" s="444">
        <v>3052828</v>
      </c>
      <c r="I240" s="444">
        <v>2762305</v>
      </c>
      <c r="J240" s="444">
        <v>1948933</v>
      </c>
      <c r="K240" s="444">
        <v>1323467</v>
      </c>
      <c r="L240" s="444">
        <v>714464</v>
      </c>
      <c r="M240" s="444">
        <v>460428</v>
      </c>
      <c r="N240" s="444">
        <v>362134</v>
      </c>
      <c r="O240" s="444">
        <v>612416</v>
      </c>
      <c r="P240" s="444">
        <v>1198794</v>
      </c>
      <c r="Q240" s="444">
        <v>2114425</v>
      </c>
      <c r="R240" s="444">
        <v>3451612</v>
      </c>
      <c r="S240" s="444">
        <v>21572530</v>
      </c>
    </row>
    <row r="241" spans="1:19">
      <c r="A241" s="728">
        <v>241</v>
      </c>
      <c r="B241" s="868"/>
      <c r="C241" s="332"/>
      <c r="D241" s="332" t="s">
        <v>19</v>
      </c>
      <c r="G241" s="936">
        <v>4838750</v>
      </c>
      <c r="H241" s="936">
        <v>4172833</v>
      </c>
      <c r="I241" s="936">
        <v>3799513</v>
      </c>
      <c r="J241" s="936">
        <v>2745388</v>
      </c>
      <c r="K241" s="936">
        <v>1935587</v>
      </c>
      <c r="L241" s="936">
        <v>1145780</v>
      </c>
      <c r="M241" s="936">
        <v>814747</v>
      </c>
      <c r="N241" s="936">
        <v>687103</v>
      </c>
      <c r="O241" s="936">
        <v>1012160</v>
      </c>
      <c r="P241" s="936">
        <v>1775359</v>
      </c>
      <c r="Q241" s="936">
        <v>2961793</v>
      </c>
      <c r="R241" s="936">
        <v>4687134</v>
      </c>
      <c r="S241" s="936">
        <v>30576147</v>
      </c>
    </row>
    <row r="242" spans="1:19">
      <c r="A242" s="728">
        <v>242</v>
      </c>
      <c r="B242" s="868"/>
      <c r="C242" s="332"/>
      <c r="D242" s="332"/>
      <c r="G242" s="936"/>
      <c r="H242" s="936"/>
      <c r="I242" s="936"/>
      <c r="J242" s="936"/>
      <c r="K242" s="936"/>
      <c r="L242" s="936"/>
      <c r="M242" s="936"/>
      <c r="N242" s="936"/>
      <c r="O242" s="936"/>
      <c r="P242" s="936"/>
      <c r="Q242" s="936"/>
      <c r="R242" s="936"/>
      <c r="S242" s="936"/>
    </row>
    <row r="243" spans="1:19">
      <c r="A243" s="728">
        <v>243</v>
      </c>
      <c r="B243" s="868"/>
      <c r="C243" s="332"/>
      <c r="D243" s="332" t="s">
        <v>20</v>
      </c>
      <c r="G243" s="444">
        <v>575423</v>
      </c>
      <c r="H243" s="444">
        <v>491964</v>
      </c>
      <c r="I243" s="444">
        <v>445146</v>
      </c>
      <c r="J243" s="444">
        <v>314071</v>
      </c>
      <c r="K243" s="444">
        <v>213277</v>
      </c>
      <c r="L243" s="444">
        <v>115136</v>
      </c>
      <c r="M243" s="444">
        <v>74198</v>
      </c>
      <c r="N243" s="444">
        <v>58358</v>
      </c>
      <c r="O243" s="444">
        <v>98691</v>
      </c>
      <c r="P243" s="444">
        <v>193186</v>
      </c>
      <c r="Q243" s="444">
        <v>340740</v>
      </c>
      <c r="R243" s="444">
        <v>556228</v>
      </c>
      <c r="S243" s="444">
        <v>3476418</v>
      </c>
    </row>
    <row r="244" spans="1:19">
      <c r="A244" s="728">
        <v>244</v>
      </c>
      <c r="B244" s="868"/>
      <c r="C244" s="728"/>
      <c r="D244" s="728"/>
      <c r="G244" s="444"/>
      <c r="H244" s="444"/>
      <c r="I244" s="444"/>
      <c r="J244" s="444"/>
      <c r="K244" s="444"/>
      <c r="L244" s="444"/>
      <c r="M244" s="444"/>
      <c r="N244" s="444"/>
      <c r="O244" s="444"/>
      <c r="P244" s="444"/>
      <c r="Q244" s="444"/>
      <c r="R244" s="444"/>
      <c r="S244" s="444"/>
    </row>
    <row r="245" spans="1:19">
      <c r="A245" s="728">
        <v>245</v>
      </c>
      <c r="B245" s="868"/>
      <c r="C245" s="332" t="s">
        <v>809</v>
      </c>
      <c r="D245" s="332" t="s">
        <v>16</v>
      </c>
      <c r="G245" s="444">
        <v>31418</v>
      </c>
      <c r="H245" s="444">
        <v>28747</v>
      </c>
      <c r="I245" s="444">
        <v>27776</v>
      </c>
      <c r="J245" s="444">
        <v>23576</v>
      </c>
      <c r="K245" s="444">
        <v>18381</v>
      </c>
      <c r="L245" s="444">
        <v>15768</v>
      </c>
      <c r="M245" s="444">
        <v>13092</v>
      </c>
      <c r="N245" s="444">
        <v>11964</v>
      </c>
      <c r="O245" s="444">
        <v>14418</v>
      </c>
      <c r="P245" s="444">
        <v>17036</v>
      </c>
      <c r="Q245" s="444">
        <v>21812</v>
      </c>
      <c r="R245" s="444">
        <v>26837</v>
      </c>
      <c r="S245" s="444">
        <v>250825</v>
      </c>
    </row>
    <row r="246" spans="1:19">
      <c r="A246" s="728">
        <v>246</v>
      </c>
      <c r="B246" s="868"/>
      <c r="C246" s="332"/>
      <c r="D246" s="332"/>
      <c r="G246" s="444"/>
      <c r="H246" s="444"/>
      <c r="I246" s="444"/>
      <c r="J246" s="444"/>
      <c r="K246" s="444"/>
      <c r="L246" s="444"/>
      <c r="M246" s="444"/>
      <c r="N246" s="444"/>
      <c r="O246" s="444"/>
      <c r="P246" s="444"/>
      <c r="Q246" s="444"/>
      <c r="R246" s="444"/>
      <c r="S246" s="444"/>
    </row>
    <row r="247" spans="1:19">
      <c r="A247" s="728">
        <v>247</v>
      </c>
      <c r="B247" s="868"/>
      <c r="C247" s="332"/>
      <c r="D247" s="332"/>
      <c r="G247" s="444"/>
      <c r="H247" s="444"/>
      <c r="I247" s="444"/>
      <c r="J247" s="444"/>
      <c r="K247" s="444"/>
      <c r="L247" s="444"/>
      <c r="M247" s="444"/>
      <c r="N247" s="444"/>
      <c r="O247" s="444"/>
      <c r="P247" s="444"/>
      <c r="Q247" s="444"/>
      <c r="R247" s="444"/>
      <c r="S247" s="444"/>
    </row>
    <row r="248" spans="1:19">
      <c r="A248" s="728">
        <v>248</v>
      </c>
      <c r="B248" s="868"/>
      <c r="C248" s="728"/>
      <c r="D248" s="728"/>
      <c r="G248" s="444"/>
      <c r="H248" s="444"/>
      <c r="I248" s="444"/>
      <c r="J248" s="444"/>
      <c r="K248" s="444"/>
      <c r="L248" s="444"/>
      <c r="M248" s="444"/>
      <c r="N248" s="444"/>
      <c r="O248" s="444"/>
      <c r="P248" s="444"/>
      <c r="Q248" s="444"/>
      <c r="R248" s="444"/>
      <c r="S248" s="444"/>
    </row>
    <row r="249" spans="1:19">
      <c r="A249" s="728">
        <v>249</v>
      </c>
      <c r="B249" s="868"/>
      <c r="C249" s="332"/>
      <c r="D249" s="332" t="s">
        <v>18</v>
      </c>
      <c r="G249" s="444">
        <v>209215</v>
      </c>
      <c r="H249" s="444">
        <v>189054</v>
      </c>
      <c r="I249" s="444">
        <v>181005</v>
      </c>
      <c r="J249" s="444">
        <v>149221</v>
      </c>
      <c r="K249" s="444">
        <v>109835</v>
      </c>
      <c r="L249" s="444">
        <v>90165</v>
      </c>
      <c r="M249" s="444">
        <v>70629</v>
      </c>
      <c r="N249" s="444">
        <v>62247</v>
      </c>
      <c r="O249" s="444">
        <v>80614</v>
      </c>
      <c r="P249" s="444">
        <v>99696</v>
      </c>
      <c r="Q249" s="444">
        <v>135916</v>
      </c>
      <c r="R249" s="444">
        <v>174142</v>
      </c>
      <c r="S249" s="444">
        <v>1551739</v>
      </c>
    </row>
    <row r="250" spans="1:19">
      <c r="A250" s="728">
        <v>250</v>
      </c>
      <c r="B250" s="868"/>
      <c r="C250" s="332"/>
      <c r="D250" s="332" t="s">
        <v>19</v>
      </c>
      <c r="G250" s="936">
        <v>240633</v>
      </c>
      <c r="H250" s="936">
        <v>217801</v>
      </c>
      <c r="I250" s="936">
        <v>208781</v>
      </c>
      <c r="J250" s="936">
        <v>172797</v>
      </c>
      <c r="K250" s="936">
        <v>128216</v>
      </c>
      <c r="L250" s="936">
        <v>105933</v>
      </c>
      <c r="M250" s="936">
        <v>83721</v>
      </c>
      <c r="N250" s="936">
        <v>74211</v>
      </c>
      <c r="O250" s="936">
        <v>95032</v>
      </c>
      <c r="P250" s="936">
        <v>116732</v>
      </c>
      <c r="Q250" s="936">
        <v>157728</v>
      </c>
      <c r="R250" s="936">
        <v>200979</v>
      </c>
      <c r="S250" s="936">
        <v>1802564</v>
      </c>
    </row>
    <row r="251" spans="1:19">
      <c r="A251" s="728">
        <v>251</v>
      </c>
      <c r="B251" s="868"/>
      <c r="C251" s="332"/>
      <c r="D251" s="332"/>
      <c r="G251" s="936"/>
      <c r="H251" s="936"/>
      <c r="I251" s="936"/>
      <c r="J251" s="936"/>
      <c r="K251" s="936"/>
      <c r="L251" s="936"/>
      <c r="M251" s="936"/>
      <c r="N251" s="936"/>
      <c r="O251" s="936"/>
      <c r="P251" s="936"/>
      <c r="Q251" s="936"/>
      <c r="R251" s="936"/>
      <c r="S251" s="936"/>
    </row>
    <row r="252" spans="1:19">
      <c r="A252" s="728">
        <v>252</v>
      </c>
      <c r="B252" s="868"/>
      <c r="C252" s="332"/>
      <c r="D252" s="332" t="s">
        <v>20</v>
      </c>
      <c r="G252" s="444">
        <v>33715</v>
      </c>
      <c r="H252" s="444">
        <v>30466</v>
      </c>
      <c r="I252" s="444">
        <v>29169</v>
      </c>
      <c r="J252" s="444">
        <v>24047</v>
      </c>
      <c r="K252" s="444">
        <v>17700</v>
      </c>
      <c r="L252" s="444">
        <v>14530</v>
      </c>
      <c r="M252" s="444">
        <v>11382</v>
      </c>
      <c r="N252" s="444">
        <v>10031</v>
      </c>
      <c r="O252" s="444">
        <v>12991</v>
      </c>
      <c r="P252" s="444">
        <v>16066</v>
      </c>
      <c r="Q252" s="444">
        <v>21903</v>
      </c>
      <c r="R252" s="444">
        <v>28063</v>
      </c>
      <c r="S252" s="444">
        <v>250063</v>
      </c>
    </row>
    <row r="253" spans="1:19">
      <c r="A253" s="728">
        <v>253</v>
      </c>
      <c r="B253" s="868"/>
      <c r="C253" s="728"/>
      <c r="D253" s="728"/>
      <c r="G253" s="444"/>
      <c r="H253" s="444"/>
      <c r="I253" s="444"/>
      <c r="J253" s="444"/>
      <c r="K253" s="444"/>
      <c r="L253" s="444"/>
      <c r="M253" s="444"/>
      <c r="N253" s="444"/>
      <c r="O253" s="444"/>
      <c r="P253" s="444"/>
      <c r="Q253" s="444"/>
      <c r="R253" s="444"/>
      <c r="S253" s="444"/>
    </row>
    <row r="254" spans="1:19">
      <c r="A254" s="728">
        <v>254</v>
      </c>
      <c r="B254" s="868"/>
      <c r="C254" s="332" t="s">
        <v>810</v>
      </c>
      <c r="D254" s="332" t="s">
        <v>16</v>
      </c>
      <c r="G254" s="444">
        <v>1198</v>
      </c>
      <c r="H254" s="444">
        <v>1198</v>
      </c>
      <c r="I254" s="444">
        <v>1198</v>
      </c>
      <c r="J254" s="444">
        <v>1198</v>
      </c>
      <c r="K254" s="444">
        <v>1198</v>
      </c>
      <c r="L254" s="444">
        <v>1198</v>
      </c>
      <c r="M254" s="444">
        <v>1198</v>
      </c>
      <c r="N254" s="444">
        <v>1198</v>
      </c>
      <c r="O254" s="444">
        <v>1198</v>
      </c>
      <c r="P254" s="444">
        <v>1198</v>
      </c>
      <c r="Q254" s="444">
        <v>1198</v>
      </c>
      <c r="R254" s="444">
        <v>1198</v>
      </c>
      <c r="S254" s="444">
        <v>14376</v>
      </c>
    </row>
    <row r="255" spans="1:19">
      <c r="A255" s="728">
        <v>255</v>
      </c>
      <c r="B255" s="868"/>
      <c r="C255" s="332"/>
      <c r="D255" s="332"/>
      <c r="G255" s="444"/>
      <c r="H255" s="444"/>
      <c r="I255" s="444"/>
      <c r="J255" s="444"/>
      <c r="K255" s="444"/>
      <c r="L255" s="444"/>
      <c r="M255" s="444"/>
      <c r="N255" s="444"/>
      <c r="O255" s="444"/>
      <c r="P255" s="444"/>
      <c r="Q255" s="444"/>
      <c r="R255" s="444"/>
      <c r="S255" s="444"/>
    </row>
    <row r="256" spans="1:19">
      <c r="A256" s="728">
        <v>256</v>
      </c>
      <c r="B256" s="868"/>
      <c r="C256" s="332"/>
      <c r="D256" s="332"/>
      <c r="G256" s="444"/>
      <c r="H256" s="444"/>
      <c r="I256" s="444"/>
      <c r="J256" s="444"/>
      <c r="K256" s="444"/>
      <c r="L256" s="444"/>
      <c r="M256" s="444"/>
      <c r="N256" s="444"/>
      <c r="O256" s="444"/>
      <c r="P256" s="444"/>
      <c r="Q256" s="444"/>
      <c r="R256" s="444"/>
      <c r="S256" s="444"/>
    </row>
    <row r="257" spans="1:19">
      <c r="A257" s="728">
        <v>257</v>
      </c>
      <c r="B257" s="868"/>
      <c r="C257" s="728"/>
      <c r="D257" s="728"/>
      <c r="G257" s="444"/>
      <c r="H257" s="444"/>
      <c r="I257" s="444"/>
      <c r="J257" s="444"/>
      <c r="K257" s="444"/>
      <c r="L257" s="444"/>
      <c r="M257" s="444"/>
      <c r="N257" s="444"/>
      <c r="O257" s="444"/>
      <c r="P257" s="444"/>
      <c r="Q257" s="444"/>
      <c r="R257" s="444"/>
      <c r="S257" s="444"/>
    </row>
    <row r="258" spans="1:19">
      <c r="A258" s="728">
        <v>258</v>
      </c>
      <c r="B258" s="868"/>
      <c r="C258" s="332"/>
      <c r="D258" s="332" t="s">
        <v>18</v>
      </c>
      <c r="G258" s="444">
        <v>2377</v>
      </c>
      <c r="H258" s="444">
        <v>2377</v>
      </c>
      <c r="I258" s="444">
        <v>2377</v>
      </c>
      <c r="J258" s="444">
        <v>2377</v>
      </c>
      <c r="K258" s="444">
        <v>2377</v>
      </c>
      <c r="L258" s="444">
        <v>2377</v>
      </c>
      <c r="M258" s="444">
        <v>2377</v>
      </c>
      <c r="N258" s="444">
        <v>2377</v>
      </c>
      <c r="O258" s="444">
        <v>2377</v>
      </c>
      <c r="P258" s="444">
        <v>2377</v>
      </c>
      <c r="Q258" s="444">
        <v>2377</v>
      </c>
      <c r="R258" s="444">
        <v>2377</v>
      </c>
      <c r="S258" s="444">
        <v>28524</v>
      </c>
    </row>
    <row r="259" spans="1:19">
      <c r="A259" s="728">
        <v>259</v>
      </c>
      <c r="B259" s="868"/>
      <c r="C259" s="332"/>
      <c r="D259" s="332" t="s">
        <v>19</v>
      </c>
      <c r="G259" s="936">
        <v>3575</v>
      </c>
      <c r="H259" s="936">
        <v>3575</v>
      </c>
      <c r="I259" s="936">
        <v>3575</v>
      </c>
      <c r="J259" s="936">
        <v>3575</v>
      </c>
      <c r="K259" s="936">
        <v>3575</v>
      </c>
      <c r="L259" s="936">
        <v>3575</v>
      </c>
      <c r="M259" s="936">
        <v>3575</v>
      </c>
      <c r="N259" s="936">
        <v>3575</v>
      </c>
      <c r="O259" s="936">
        <v>3575</v>
      </c>
      <c r="P259" s="936">
        <v>3575</v>
      </c>
      <c r="Q259" s="936">
        <v>3575</v>
      </c>
      <c r="R259" s="936">
        <v>3575</v>
      </c>
      <c r="S259" s="936">
        <v>42900</v>
      </c>
    </row>
    <row r="260" spans="1:19">
      <c r="A260" s="728">
        <v>260</v>
      </c>
      <c r="B260" s="868"/>
      <c r="C260" s="332"/>
      <c r="D260" s="332"/>
      <c r="G260" s="936"/>
      <c r="H260" s="936"/>
      <c r="I260" s="936"/>
      <c r="J260" s="936"/>
      <c r="K260" s="936"/>
      <c r="L260" s="936"/>
      <c r="M260" s="936"/>
      <c r="N260" s="936"/>
      <c r="O260" s="936"/>
      <c r="P260" s="936"/>
      <c r="Q260" s="936"/>
      <c r="R260" s="936"/>
      <c r="S260" s="936"/>
    </row>
    <row r="261" spans="1:19">
      <c r="A261" s="728">
        <v>261</v>
      </c>
      <c r="B261" s="868"/>
      <c r="C261" s="332"/>
      <c r="D261" s="332" t="s">
        <v>20</v>
      </c>
      <c r="G261" s="444">
        <v>383</v>
      </c>
      <c r="H261" s="444">
        <v>383</v>
      </c>
      <c r="I261" s="444">
        <v>383</v>
      </c>
      <c r="J261" s="444">
        <v>383</v>
      </c>
      <c r="K261" s="444">
        <v>383</v>
      </c>
      <c r="L261" s="444">
        <v>383</v>
      </c>
      <c r="M261" s="444">
        <v>383</v>
      </c>
      <c r="N261" s="444">
        <v>383</v>
      </c>
      <c r="O261" s="444">
        <v>383</v>
      </c>
      <c r="P261" s="444">
        <v>383</v>
      </c>
      <c r="Q261" s="444">
        <v>383</v>
      </c>
      <c r="R261" s="444">
        <v>383</v>
      </c>
      <c r="S261" s="444">
        <v>4596</v>
      </c>
    </row>
    <row r="262" spans="1:19">
      <c r="A262" s="728">
        <v>262</v>
      </c>
      <c r="B262" s="868"/>
      <c r="C262" s="728"/>
      <c r="D262" s="728"/>
      <c r="G262" s="444"/>
      <c r="H262" s="444"/>
      <c r="I262" s="444"/>
      <c r="J262" s="444"/>
      <c r="K262" s="444"/>
      <c r="L262" s="444"/>
      <c r="M262" s="444"/>
      <c r="N262" s="444"/>
      <c r="O262" s="444"/>
      <c r="P262" s="444"/>
      <c r="Q262" s="444"/>
      <c r="R262" s="444"/>
      <c r="S262" s="444"/>
    </row>
    <row r="263" spans="1:19">
      <c r="A263" s="728">
        <v>263</v>
      </c>
      <c r="B263" s="868"/>
      <c r="C263" s="332" t="s">
        <v>765</v>
      </c>
      <c r="D263" s="332" t="s">
        <v>16</v>
      </c>
      <c r="G263" s="444">
        <v>72145</v>
      </c>
      <c r="H263" s="444">
        <v>62205</v>
      </c>
      <c r="I263" s="444">
        <v>56313</v>
      </c>
      <c r="J263" s="444">
        <v>41917</v>
      </c>
      <c r="K263" s="444">
        <v>30391</v>
      </c>
      <c r="L263" s="444">
        <v>19104</v>
      </c>
      <c r="M263" s="444">
        <v>14497</v>
      </c>
      <c r="N263" s="444">
        <v>12671</v>
      </c>
      <c r="O263" s="444">
        <v>17752</v>
      </c>
      <c r="P263" s="444">
        <v>29134</v>
      </c>
      <c r="Q263" s="444">
        <v>47088</v>
      </c>
      <c r="R263" s="444">
        <v>73048</v>
      </c>
      <c r="S263" s="444">
        <v>476265</v>
      </c>
    </row>
    <row r="264" spans="1:19">
      <c r="A264" s="728">
        <v>264</v>
      </c>
      <c r="B264" s="868"/>
      <c r="C264" s="332"/>
      <c r="D264" s="332"/>
      <c r="G264" s="444"/>
      <c r="H264" s="444"/>
      <c r="I264" s="444"/>
      <c r="J264" s="444"/>
      <c r="K264" s="444"/>
      <c r="L264" s="444"/>
      <c r="M264" s="444"/>
      <c r="N264" s="444"/>
      <c r="O264" s="444"/>
      <c r="P264" s="444"/>
      <c r="Q264" s="444"/>
      <c r="R264" s="444"/>
      <c r="S264" s="444"/>
    </row>
    <row r="265" spans="1:19">
      <c r="A265" s="728">
        <v>265</v>
      </c>
      <c r="B265" s="868"/>
      <c r="C265" s="332"/>
      <c r="D265" s="332"/>
      <c r="G265" s="444"/>
      <c r="H265" s="444"/>
      <c r="I265" s="444"/>
      <c r="J265" s="444"/>
      <c r="K265" s="444"/>
      <c r="L265" s="444"/>
      <c r="M265" s="444"/>
      <c r="N265" s="444"/>
      <c r="O265" s="444"/>
      <c r="P265" s="444"/>
      <c r="Q265" s="444"/>
      <c r="R265" s="444"/>
      <c r="S265" s="444"/>
    </row>
    <row r="266" spans="1:19">
      <c r="A266" s="728">
        <v>266</v>
      </c>
      <c r="B266" s="868"/>
      <c r="C266" s="728"/>
      <c r="D266" s="728"/>
      <c r="G266" s="444"/>
      <c r="H266" s="444"/>
      <c r="I266" s="444"/>
      <c r="J266" s="444"/>
      <c r="K266" s="444"/>
      <c r="L266" s="444"/>
      <c r="M266" s="444"/>
      <c r="N266" s="444"/>
      <c r="O266" s="444"/>
      <c r="P266" s="444"/>
      <c r="Q266" s="444"/>
      <c r="R266" s="444"/>
      <c r="S266" s="444"/>
    </row>
    <row r="267" spans="1:19">
      <c r="A267" s="728">
        <v>267</v>
      </c>
      <c r="B267" s="868"/>
      <c r="C267" s="332"/>
      <c r="D267" s="332" t="s">
        <v>18</v>
      </c>
      <c r="G267" s="444">
        <v>164021</v>
      </c>
      <c r="H267" s="444">
        <v>139621</v>
      </c>
      <c r="I267" s="444">
        <v>125188</v>
      </c>
      <c r="J267" s="444">
        <v>89773</v>
      </c>
      <c r="K267" s="444">
        <v>61340</v>
      </c>
      <c r="L267" s="444">
        <v>33472</v>
      </c>
      <c r="M267" s="444">
        <v>21973</v>
      </c>
      <c r="N267" s="444">
        <v>17388</v>
      </c>
      <c r="O267" s="444">
        <v>29730</v>
      </c>
      <c r="P267" s="444">
        <v>57660</v>
      </c>
      <c r="Q267" s="444">
        <v>101750</v>
      </c>
      <c r="R267" s="444">
        <v>165566</v>
      </c>
      <c r="S267" s="444">
        <v>1007482</v>
      </c>
    </row>
    <row r="268" spans="1:19">
      <c r="A268" s="728">
        <v>268</v>
      </c>
      <c r="B268" s="868"/>
      <c r="C268" s="332"/>
      <c r="D268" s="332" t="s">
        <v>19</v>
      </c>
      <c r="G268" s="936">
        <v>236166</v>
      </c>
      <c r="H268" s="936">
        <v>201826</v>
      </c>
      <c r="I268" s="936">
        <v>181501</v>
      </c>
      <c r="J268" s="936">
        <v>131690</v>
      </c>
      <c r="K268" s="936">
        <v>91731</v>
      </c>
      <c r="L268" s="936">
        <v>52576</v>
      </c>
      <c r="M268" s="936">
        <v>36470</v>
      </c>
      <c r="N268" s="936">
        <v>30059</v>
      </c>
      <c r="O268" s="936">
        <v>47482</v>
      </c>
      <c r="P268" s="936">
        <v>86794</v>
      </c>
      <c r="Q268" s="936">
        <v>148838</v>
      </c>
      <c r="R268" s="936">
        <v>238614</v>
      </c>
      <c r="S268" s="936">
        <v>1483747</v>
      </c>
    </row>
    <row r="269" spans="1:19">
      <c r="A269" s="728">
        <v>269</v>
      </c>
      <c r="B269" s="868"/>
      <c r="C269" s="332"/>
      <c r="D269" s="332"/>
      <c r="G269" s="936"/>
      <c r="H269" s="936"/>
      <c r="I269" s="936"/>
      <c r="J269" s="936"/>
      <c r="K269" s="936"/>
      <c r="L269" s="936"/>
      <c r="M269" s="936"/>
      <c r="N269" s="936"/>
      <c r="O269" s="936"/>
      <c r="P269" s="936"/>
      <c r="Q269" s="936"/>
      <c r="R269" s="936"/>
      <c r="S269" s="936"/>
    </row>
    <row r="270" spans="1:19">
      <c r="A270" s="728">
        <v>270</v>
      </c>
      <c r="B270" s="868"/>
      <c r="C270" s="332"/>
      <c r="D270" s="332" t="s">
        <v>20</v>
      </c>
      <c r="G270" s="444">
        <v>26432</v>
      </c>
      <c r="H270" s="444">
        <v>22500</v>
      </c>
      <c r="I270" s="444">
        <v>20174</v>
      </c>
      <c r="J270" s="444">
        <v>14467</v>
      </c>
      <c r="K270" s="444">
        <v>9885</v>
      </c>
      <c r="L270" s="444">
        <v>5394</v>
      </c>
      <c r="M270" s="444">
        <v>3541</v>
      </c>
      <c r="N270" s="444">
        <v>2802</v>
      </c>
      <c r="O270" s="444">
        <v>4791</v>
      </c>
      <c r="P270" s="444">
        <v>9292</v>
      </c>
      <c r="Q270" s="444">
        <v>16397</v>
      </c>
      <c r="R270" s="444">
        <v>26681</v>
      </c>
      <c r="S270" s="444">
        <v>162356</v>
      </c>
    </row>
    <row r="271" spans="1:19">
      <c r="A271" s="728">
        <v>271</v>
      </c>
      <c r="B271" s="868"/>
      <c r="C271" s="728"/>
      <c r="D271" s="728"/>
      <c r="G271" s="444"/>
      <c r="H271" s="444"/>
      <c r="I271" s="444"/>
      <c r="J271" s="444"/>
      <c r="K271" s="444"/>
      <c r="L271" s="444"/>
      <c r="M271" s="444"/>
      <c r="N271" s="444"/>
      <c r="O271" s="444"/>
      <c r="P271" s="444"/>
      <c r="Q271" s="444"/>
      <c r="R271" s="444"/>
      <c r="S271" s="444"/>
    </row>
    <row r="272" spans="1:19">
      <c r="A272" s="728">
        <v>272</v>
      </c>
      <c r="B272" s="868"/>
      <c r="C272" s="332" t="s">
        <v>88</v>
      </c>
      <c r="D272" s="728" t="s">
        <v>16</v>
      </c>
      <c r="G272" s="444">
        <v>0</v>
      </c>
      <c r="H272" s="444">
        <v>0</v>
      </c>
      <c r="I272" s="444">
        <v>0</v>
      </c>
      <c r="J272" s="444">
        <v>0</v>
      </c>
      <c r="K272" s="444">
        <v>0</v>
      </c>
      <c r="L272" s="444">
        <v>0</v>
      </c>
      <c r="M272" s="444">
        <v>0</v>
      </c>
      <c r="N272" s="444">
        <v>0</v>
      </c>
      <c r="O272" s="444">
        <v>0</v>
      </c>
      <c r="P272" s="444">
        <v>0</v>
      </c>
      <c r="Q272" s="444">
        <v>0</v>
      </c>
      <c r="R272" s="444">
        <v>0</v>
      </c>
      <c r="S272" s="444">
        <v>0</v>
      </c>
    </row>
    <row r="273" spans="1:19">
      <c r="A273" s="728">
        <v>273</v>
      </c>
      <c r="B273" s="868"/>
      <c r="C273" s="728"/>
      <c r="D273" s="728"/>
      <c r="G273" s="444"/>
      <c r="H273" s="444"/>
      <c r="I273" s="444"/>
      <c r="J273" s="444"/>
      <c r="K273" s="444"/>
      <c r="L273" s="444"/>
      <c r="M273" s="444"/>
      <c r="N273" s="444"/>
      <c r="O273" s="444"/>
      <c r="P273" s="444"/>
      <c r="Q273" s="444"/>
      <c r="R273" s="444"/>
      <c r="S273" s="444"/>
    </row>
    <row r="274" spans="1:19">
      <c r="A274" s="728">
        <v>274</v>
      </c>
      <c r="B274" s="868"/>
      <c r="C274" s="728"/>
      <c r="D274" s="728" t="s">
        <v>17</v>
      </c>
      <c r="G274" s="444">
        <v>0</v>
      </c>
      <c r="H274" s="444">
        <v>0</v>
      </c>
      <c r="I274" s="444">
        <v>0</v>
      </c>
      <c r="J274" s="444">
        <v>0</v>
      </c>
      <c r="K274" s="444">
        <v>0</v>
      </c>
      <c r="L274" s="444">
        <v>0</v>
      </c>
      <c r="M274" s="444">
        <v>0</v>
      </c>
      <c r="N274" s="444">
        <v>0</v>
      </c>
      <c r="O274" s="444">
        <v>0</v>
      </c>
      <c r="P274" s="444">
        <v>0</v>
      </c>
      <c r="Q274" s="444">
        <v>0</v>
      </c>
      <c r="R274" s="444">
        <v>0</v>
      </c>
      <c r="S274" s="444">
        <v>0</v>
      </c>
    </row>
    <row r="275" spans="1:19">
      <c r="A275" s="728">
        <v>275</v>
      </c>
      <c r="B275" s="868"/>
      <c r="C275" s="728"/>
      <c r="D275" s="728"/>
      <c r="G275" s="444"/>
      <c r="H275" s="444"/>
      <c r="I275" s="444"/>
      <c r="J275" s="444"/>
      <c r="K275" s="444"/>
      <c r="L275" s="444"/>
      <c r="M275" s="444"/>
      <c r="N275" s="444"/>
      <c r="O275" s="444"/>
      <c r="P275" s="444"/>
      <c r="Q275" s="444"/>
      <c r="R275" s="444"/>
      <c r="S275" s="444"/>
    </row>
    <row r="276" spans="1:19">
      <c r="A276" s="728">
        <v>276</v>
      </c>
      <c r="B276" s="868"/>
      <c r="C276" s="332"/>
      <c r="D276" s="728" t="s">
        <v>18</v>
      </c>
      <c r="G276" s="444">
        <v>0</v>
      </c>
      <c r="H276" s="444">
        <v>0</v>
      </c>
      <c r="I276" s="444">
        <v>0</v>
      </c>
      <c r="J276" s="444">
        <v>0</v>
      </c>
      <c r="K276" s="444">
        <v>0</v>
      </c>
      <c r="L276" s="444">
        <v>0</v>
      </c>
      <c r="M276" s="444">
        <v>0</v>
      </c>
      <c r="N276" s="444">
        <v>0</v>
      </c>
      <c r="O276" s="444">
        <v>0</v>
      </c>
      <c r="P276" s="444">
        <v>0</v>
      </c>
      <c r="Q276" s="444">
        <v>0</v>
      </c>
      <c r="R276" s="444">
        <v>0</v>
      </c>
      <c r="S276" s="444">
        <v>0</v>
      </c>
    </row>
    <row r="277" spans="1:19">
      <c r="A277" s="728">
        <v>277</v>
      </c>
      <c r="B277" s="868"/>
      <c r="C277" s="332"/>
      <c r="D277" s="728" t="s">
        <v>19</v>
      </c>
      <c r="G277" s="936">
        <v>0</v>
      </c>
      <c r="H277" s="936">
        <v>0</v>
      </c>
      <c r="I277" s="936">
        <v>0</v>
      </c>
      <c r="J277" s="936">
        <v>0</v>
      </c>
      <c r="K277" s="936">
        <v>0</v>
      </c>
      <c r="L277" s="936">
        <v>0</v>
      </c>
      <c r="M277" s="936">
        <v>0</v>
      </c>
      <c r="N277" s="936">
        <v>0</v>
      </c>
      <c r="O277" s="936">
        <v>0</v>
      </c>
      <c r="P277" s="936">
        <v>0</v>
      </c>
      <c r="Q277" s="936">
        <v>0</v>
      </c>
      <c r="R277" s="936">
        <v>0</v>
      </c>
      <c r="S277" s="936">
        <v>0</v>
      </c>
    </row>
    <row r="278" spans="1:19">
      <c r="A278" s="728">
        <v>278</v>
      </c>
      <c r="B278" s="868"/>
      <c r="C278" s="332"/>
      <c r="D278" s="728"/>
      <c r="G278" s="936"/>
      <c r="H278" s="936"/>
      <c r="I278" s="936"/>
      <c r="J278" s="936"/>
      <c r="K278" s="936"/>
      <c r="L278" s="936"/>
      <c r="M278" s="936"/>
      <c r="N278" s="936"/>
      <c r="O278" s="936"/>
      <c r="P278" s="936"/>
      <c r="Q278" s="936"/>
      <c r="R278" s="936"/>
      <c r="S278" s="936"/>
    </row>
    <row r="279" spans="1:19">
      <c r="A279" s="728">
        <v>279</v>
      </c>
      <c r="B279" s="868"/>
      <c r="C279" s="332"/>
      <c r="D279" s="728" t="s">
        <v>20</v>
      </c>
      <c r="G279" s="444">
        <v>0</v>
      </c>
      <c r="H279" s="444">
        <v>0</v>
      </c>
      <c r="I279" s="444">
        <v>0</v>
      </c>
      <c r="J279" s="444">
        <v>0</v>
      </c>
      <c r="K279" s="444">
        <v>0</v>
      </c>
      <c r="L279" s="444">
        <v>0</v>
      </c>
      <c r="M279" s="444">
        <v>0</v>
      </c>
      <c r="N279" s="444">
        <v>0</v>
      </c>
      <c r="O279" s="444">
        <v>0</v>
      </c>
      <c r="P279" s="444">
        <v>0</v>
      </c>
      <c r="Q279" s="444">
        <v>0</v>
      </c>
      <c r="R279" s="444">
        <v>0</v>
      </c>
      <c r="S279" s="444">
        <v>0</v>
      </c>
    </row>
    <row r="280" spans="1:19">
      <c r="A280" s="728">
        <v>280</v>
      </c>
      <c r="B280" s="868"/>
      <c r="C280" s="728"/>
      <c r="D280" s="728"/>
      <c r="G280" s="444"/>
      <c r="H280" s="444"/>
      <c r="I280" s="444"/>
      <c r="J280" s="444"/>
      <c r="K280" s="444"/>
      <c r="L280" s="444"/>
      <c r="M280" s="444"/>
      <c r="N280" s="444"/>
      <c r="O280" s="444"/>
      <c r="P280" s="444"/>
      <c r="Q280" s="444"/>
      <c r="R280" s="444"/>
      <c r="S280" s="444"/>
    </row>
    <row r="281" spans="1:19">
      <c r="A281" s="728">
        <v>281</v>
      </c>
      <c r="B281" s="868"/>
      <c r="C281" s="332" t="s">
        <v>89</v>
      </c>
      <c r="D281" s="728" t="s">
        <v>16</v>
      </c>
      <c r="G281" s="444">
        <v>3512</v>
      </c>
      <c r="H281" s="444">
        <v>3154</v>
      </c>
      <c r="I281" s="444">
        <v>3250</v>
      </c>
      <c r="J281" s="444">
        <v>2860</v>
      </c>
      <c r="K281" s="444">
        <v>2788</v>
      </c>
      <c r="L281" s="444">
        <v>2030</v>
      </c>
      <c r="M281" s="444">
        <v>2039</v>
      </c>
      <c r="N281" s="444">
        <v>1884</v>
      </c>
      <c r="O281" s="444">
        <v>2008</v>
      </c>
      <c r="P281" s="444">
        <v>3042</v>
      </c>
      <c r="Q281" s="444">
        <v>3430</v>
      </c>
      <c r="R281" s="444">
        <v>3578</v>
      </c>
      <c r="S281" s="444">
        <v>33575</v>
      </c>
    </row>
    <row r="282" spans="1:19">
      <c r="A282" s="728">
        <v>282</v>
      </c>
      <c r="B282" s="868"/>
      <c r="C282" s="728"/>
      <c r="D282" s="728"/>
      <c r="G282" s="444"/>
      <c r="H282" s="444"/>
      <c r="I282" s="444"/>
      <c r="J282" s="444"/>
      <c r="K282" s="444"/>
      <c r="L282" s="444"/>
      <c r="M282" s="444"/>
      <c r="N282" s="444"/>
      <c r="O282" s="444"/>
      <c r="P282" s="444"/>
      <c r="Q282" s="444"/>
      <c r="R282" s="444"/>
      <c r="S282" s="444"/>
    </row>
    <row r="283" spans="1:19">
      <c r="A283" s="728">
        <v>283</v>
      </c>
      <c r="B283" s="868"/>
      <c r="C283" s="728"/>
      <c r="D283" s="728" t="s">
        <v>17</v>
      </c>
      <c r="G283" s="444">
        <v>3498</v>
      </c>
      <c r="H283" s="444">
        <v>3071</v>
      </c>
      <c r="I283" s="444">
        <v>3186</v>
      </c>
      <c r="J283" s="444">
        <v>2719</v>
      </c>
      <c r="K283" s="444">
        <v>2632</v>
      </c>
      <c r="L283" s="444">
        <v>1725</v>
      </c>
      <c r="M283" s="444">
        <v>1738</v>
      </c>
      <c r="N283" s="444">
        <v>1553</v>
      </c>
      <c r="O283" s="444">
        <v>1700</v>
      </c>
      <c r="P283" s="444">
        <v>2935</v>
      </c>
      <c r="Q283" s="444">
        <v>3401</v>
      </c>
      <c r="R283" s="444">
        <v>3576</v>
      </c>
      <c r="S283" s="444">
        <v>31734</v>
      </c>
    </row>
    <row r="284" spans="1:19">
      <c r="A284" s="728">
        <v>284</v>
      </c>
      <c r="B284" s="868"/>
      <c r="C284" s="728"/>
      <c r="D284" s="728"/>
      <c r="G284" s="444"/>
      <c r="H284" s="444"/>
      <c r="I284" s="444"/>
      <c r="J284" s="444"/>
      <c r="K284" s="444"/>
      <c r="L284" s="444"/>
      <c r="M284" s="444"/>
      <c r="N284" s="444"/>
      <c r="O284" s="444"/>
      <c r="P284" s="444"/>
      <c r="Q284" s="444"/>
      <c r="R284" s="444"/>
      <c r="S284" s="444"/>
    </row>
    <row r="285" spans="1:19">
      <c r="A285" s="728">
        <v>285</v>
      </c>
      <c r="B285" s="868"/>
      <c r="C285" s="332"/>
      <c r="D285" s="728" t="s">
        <v>18</v>
      </c>
      <c r="G285" s="444">
        <v>119755</v>
      </c>
      <c r="H285" s="444">
        <v>105123</v>
      </c>
      <c r="I285" s="444">
        <v>109046</v>
      </c>
      <c r="J285" s="444">
        <v>93057</v>
      </c>
      <c r="K285" s="444">
        <v>90107</v>
      </c>
      <c r="L285" s="444">
        <v>59084</v>
      </c>
      <c r="M285" s="444">
        <v>59473</v>
      </c>
      <c r="N285" s="444">
        <v>53128</v>
      </c>
      <c r="O285" s="444">
        <v>58210</v>
      </c>
      <c r="P285" s="444">
        <v>100469</v>
      </c>
      <c r="Q285" s="444">
        <v>116415</v>
      </c>
      <c r="R285" s="444">
        <v>122406</v>
      </c>
      <c r="S285" s="444">
        <v>1086273</v>
      </c>
    </row>
    <row r="286" spans="1:19">
      <c r="A286" s="728">
        <v>286</v>
      </c>
      <c r="B286" s="868"/>
      <c r="C286" s="332"/>
      <c r="D286" s="728" t="s">
        <v>19</v>
      </c>
      <c r="G286" s="936">
        <v>126765</v>
      </c>
      <c r="H286" s="936">
        <v>111348</v>
      </c>
      <c r="I286" s="936">
        <v>115482</v>
      </c>
      <c r="J286" s="936">
        <v>98636</v>
      </c>
      <c r="K286" s="936">
        <v>95527</v>
      </c>
      <c r="L286" s="936">
        <v>62839</v>
      </c>
      <c r="M286" s="936">
        <v>63250</v>
      </c>
      <c r="N286" s="936">
        <v>56565</v>
      </c>
      <c r="O286" s="936">
        <v>61918</v>
      </c>
      <c r="P286" s="936">
        <v>106446</v>
      </c>
      <c r="Q286" s="936">
        <v>123246</v>
      </c>
      <c r="R286" s="936">
        <v>129560</v>
      </c>
      <c r="S286" s="936">
        <v>1151582</v>
      </c>
    </row>
    <row r="287" spans="1:19">
      <c r="A287" s="728">
        <v>287</v>
      </c>
      <c r="B287" s="868"/>
      <c r="C287" s="332"/>
      <c r="D287" s="728"/>
      <c r="G287" s="936"/>
      <c r="H287" s="936"/>
      <c r="I287" s="936"/>
      <c r="J287" s="936"/>
      <c r="K287" s="936"/>
      <c r="L287" s="936"/>
      <c r="M287" s="936"/>
      <c r="N287" s="936"/>
      <c r="O287" s="936"/>
      <c r="P287" s="936"/>
      <c r="Q287" s="936"/>
      <c r="R287" s="936"/>
      <c r="S287" s="936"/>
    </row>
    <row r="288" spans="1:19">
      <c r="A288" s="728">
        <v>288</v>
      </c>
      <c r="B288" s="868"/>
      <c r="C288" s="332"/>
      <c r="D288" s="728" t="s">
        <v>20</v>
      </c>
      <c r="G288" s="444">
        <v>19324</v>
      </c>
      <c r="H288" s="444">
        <v>16963</v>
      </c>
      <c r="I288" s="444">
        <v>17596</v>
      </c>
      <c r="J288" s="444">
        <v>15016</v>
      </c>
      <c r="K288" s="444">
        <v>14540</v>
      </c>
      <c r="L288" s="444">
        <v>9534</v>
      </c>
      <c r="M288" s="444">
        <v>9597</v>
      </c>
      <c r="N288" s="444">
        <v>8573</v>
      </c>
      <c r="O288" s="444">
        <v>9393</v>
      </c>
      <c r="P288" s="444">
        <v>16212</v>
      </c>
      <c r="Q288" s="444">
        <v>18785</v>
      </c>
      <c r="R288" s="444">
        <v>19752</v>
      </c>
      <c r="S288" s="444">
        <v>175285</v>
      </c>
    </row>
    <row r="289" spans="1:19">
      <c r="A289" s="728">
        <v>289</v>
      </c>
      <c r="B289" s="868"/>
      <c r="C289" s="728"/>
      <c r="D289" s="728"/>
      <c r="G289" s="444"/>
      <c r="H289" s="444"/>
      <c r="I289" s="444"/>
      <c r="J289" s="444"/>
      <c r="K289" s="444"/>
      <c r="L289" s="444"/>
      <c r="M289" s="444"/>
      <c r="N289" s="444"/>
      <c r="O289" s="444"/>
      <c r="P289" s="444"/>
      <c r="Q289" s="444"/>
      <c r="R289" s="444"/>
      <c r="S289" s="444"/>
    </row>
    <row r="290" spans="1:19">
      <c r="A290" s="728">
        <v>290</v>
      </c>
      <c r="B290" s="868"/>
      <c r="C290" s="728" t="s">
        <v>25</v>
      </c>
      <c r="D290" s="728" t="s">
        <v>16</v>
      </c>
      <c r="G290" s="444">
        <v>0</v>
      </c>
      <c r="H290" s="444">
        <v>0</v>
      </c>
      <c r="I290" s="444">
        <v>0</v>
      </c>
      <c r="J290" s="444">
        <v>0</v>
      </c>
      <c r="K290" s="444">
        <v>0</v>
      </c>
      <c r="L290" s="444">
        <v>0</v>
      </c>
      <c r="M290" s="444">
        <v>0</v>
      </c>
      <c r="N290" s="444">
        <v>0</v>
      </c>
      <c r="O290" s="444">
        <v>0</v>
      </c>
      <c r="P290" s="444">
        <v>0</v>
      </c>
      <c r="Q290" s="444">
        <v>0</v>
      </c>
      <c r="R290" s="444">
        <v>0</v>
      </c>
      <c r="S290" s="444">
        <v>0</v>
      </c>
    </row>
    <row r="291" spans="1:19">
      <c r="A291" s="728">
        <v>291</v>
      </c>
      <c r="B291" s="868"/>
      <c r="C291" s="728" t="s">
        <v>693</v>
      </c>
      <c r="D291" s="728" t="s">
        <v>463</v>
      </c>
      <c r="G291" s="444"/>
      <c r="H291" s="444"/>
      <c r="I291" s="444"/>
      <c r="J291" s="444"/>
      <c r="K291" s="444"/>
      <c r="L291" s="444"/>
      <c r="M291" s="444"/>
      <c r="N291" s="444"/>
      <c r="O291" s="444"/>
      <c r="P291" s="444"/>
      <c r="Q291" s="444"/>
      <c r="R291" s="444"/>
      <c r="S291" s="444"/>
    </row>
    <row r="292" spans="1:19">
      <c r="A292" s="728">
        <v>292</v>
      </c>
      <c r="B292" s="868"/>
      <c r="C292" s="728"/>
      <c r="D292" s="728"/>
      <c r="G292" s="444"/>
      <c r="H292" s="444"/>
      <c r="I292" s="444"/>
      <c r="J292" s="444"/>
      <c r="K292" s="444"/>
      <c r="L292" s="444"/>
      <c r="M292" s="444"/>
      <c r="N292" s="444"/>
      <c r="O292" s="444"/>
      <c r="P292" s="444"/>
      <c r="Q292" s="444"/>
      <c r="R292" s="444"/>
      <c r="S292" s="444"/>
    </row>
    <row r="293" spans="1:19">
      <c r="A293" s="728">
        <v>293</v>
      </c>
      <c r="B293" s="868"/>
      <c r="C293" s="728"/>
      <c r="D293" s="728"/>
      <c r="G293" s="444"/>
      <c r="H293" s="444"/>
      <c r="I293" s="444"/>
      <c r="J293" s="444"/>
      <c r="K293" s="444"/>
      <c r="L293" s="444"/>
      <c r="M293" s="444"/>
      <c r="N293" s="444"/>
      <c r="O293" s="444"/>
      <c r="P293" s="444"/>
      <c r="Q293" s="444"/>
      <c r="R293" s="444"/>
      <c r="S293" s="444"/>
    </row>
    <row r="294" spans="1:19">
      <c r="A294" s="728">
        <v>294</v>
      </c>
      <c r="B294" s="868"/>
      <c r="C294" s="332"/>
      <c r="D294" s="332" t="s">
        <v>18</v>
      </c>
      <c r="G294" s="444">
        <v>0</v>
      </c>
      <c r="H294" s="444">
        <v>0</v>
      </c>
      <c r="I294" s="444">
        <v>0</v>
      </c>
      <c r="J294" s="444">
        <v>0</v>
      </c>
      <c r="K294" s="444">
        <v>0</v>
      </c>
      <c r="L294" s="444">
        <v>0</v>
      </c>
      <c r="M294" s="444">
        <v>0</v>
      </c>
      <c r="N294" s="444">
        <v>0</v>
      </c>
      <c r="O294" s="444">
        <v>0</v>
      </c>
      <c r="P294" s="444">
        <v>0</v>
      </c>
      <c r="Q294" s="444">
        <v>0</v>
      </c>
      <c r="R294" s="444">
        <v>0</v>
      </c>
      <c r="S294" s="444">
        <v>0</v>
      </c>
    </row>
    <row r="295" spans="1:19">
      <c r="A295" s="728">
        <v>295</v>
      </c>
      <c r="B295" s="868"/>
      <c r="C295" s="332"/>
      <c r="D295" s="332" t="s">
        <v>19</v>
      </c>
      <c r="G295" s="936">
        <v>0</v>
      </c>
      <c r="H295" s="936">
        <v>0</v>
      </c>
      <c r="I295" s="936">
        <v>0</v>
      </c>
      <c r="J295" s="936">
        <v>0</v>
      </c>
      <c r="K295" s="936">
        <v>0</v>
      </c>
      <c r="L295" s="936">
        <v>0</v>
      </c>
      <c r="M295" s="936">
        <v>0</v>
      </c>
      <c r="N295" s="936">
        <v>0</v>
      </c>
      <c r="O295" s="936">
        <v>0</v>
      </c>
      <c r="P295" s="936">
        <v>0</v>
      </c>
      <c r="Q295" s="936">
        <v>0</v>
      </c>
      <c r="R295" s="936">
        <v>0</v>
      </c>
      <c r="S295" s="936">
        <v>0</v>
      </c>
    </row>
    <row r="296" spans="1:19">
      <c r="A296" s="728">
        <v>296</v>
      </c>
      <c r="B296" s="868"/>
      <c r="C296" s="332"/>
      <c r="D296" s="332"/>
      <c r="G296" s="936"/>
      <c r="H296" s="936"/>
      <c r="I296" s="936"/>
      <c r="J296" s="936"/>
      <c r="K296" s="936"/>
      <c r="L296" s="936"/>
      <c r="M296" s="936"/>
      <c r="N296" s="936"/>
      <c r="O296" s="936"/>
      <c r="P296" s="936"/>
      <c r="Q296" s="936"/>
      <c r="R296" s="936"/>
      <c r="S296" s="936"/>
    </row>
    <row r="297" spans="1:19">
      <c r="A297" s="728">
        <v>297</v>
      </c>
      <c r="B297" s="868"/>
      <c r="C297" s="332"/>
      <c r="D297" s="332" t="s">
        <v>20</v>
      </c>
      <c r="G297" s="444">
        <v>0</v>
      </c>
      <c r="H297" s="444">
        <v>0</v>
      </c>
      <c r="I297" s="444">
        <v>0</v>
      </c>
      <c r="J297" s="444">
        <v>0</v>
      </c>
      <c r="K297" s="444">
        <v>0</v>
      </c>
      <c r="L297" s="444">
        <v>0</v>
      </c>
      <c r="M297" s="444">
        <v>0</v>
      </c>
      <c r="N297" s="444">
        <v>0</v>
      </c>
      <c r="O297" s="444">
        <v>0</v>
      </c>
      <c r="P297" s="444">
        <v>0</v>
      </c>
      <c r="Q297" s="444">
        <v>0</v>
      </c>
      <c r="R297" s="444">
        <v>0</v>
      </c>
      <c r="S297" s="444">
        <v>0</v>
      </c>
    </row>
    <row r="298" spans="1:19">
      <c r="A298" s="728">
        <v>298</v>
      </c>
      <c r="B298" s="868"/>
      <c r="C298" s="728"/>
      <c r="D298" s="728"/>
      <c r="G298" s="444"/>
      <c r="H298" s="444"/>
      <c r="I298" s="444"/>
      <c r="J298" s="444"/>
      <c r="K298" s="444"/>
      <c r="L298" s="444"/>
      <c r="M298" s="444"/>
      <c r="N298" s="444"/>
      <c r="O298" s="444"/>
      <c r="P298" s="444"/>
      <c r="Q298" s="444"/>
      <c r="R298" s="444"/>
      <c r="S298" s="444"/>
    </row>
    <row r="299" spans="1:19">
      <c r="A299" s="728">
        <v>299</v>
      </c>
      <c r="B299" s="868"/>
      <c r="C299" s="332" t="s">
        <v>26</v>
      </c>
      <c r="D299" s="332" t="s">
        <v>16</v>
      </c>
      <c r="G299" s="444">
        <v>1840</v>
      </c>
      <c r="H299" s="444">
        <v>1810</v>
      </c>
      <c r="I299" s="444">
        <v>1644</v>
      </c>
      <c r="J299" s="444">
        <v>1424</v>
      </c>
      <c r="K299" s="444">
        <v>1347</v>
      </c>
      <c r="L299" s="444">
        <v>1222</v>
      </c>
      <c r="M299" s="444">
        <v>1206</v>
      </c>
      <c r="N299" s="444">
        <v>1251</v>
      </c>
      <c r="O299" s="444">
        <v>1278</v>
      </c>
      <c r="P299" s="444">
        <v>1504</v>
      </c>
      <c r="Q299" s="444">
        <v>1689</v>
      </c>
      <c r="R299" s="444">
        <v>1871</v>
      </c>
      <c r="S299" s="444">
        <v>18086</v>
      </c>
    </row>
    <row r="300" spans="1:19">
      <c r="A300" s="728">
        <v>300</v>
      </c>
      <c r="B300" s="868"/>
      <c r="C300" s="728"/>
      <c r="D300" s="332"/>
      <c r="G300" s="444"/>
      <c r="H300" s="444"/>
      <c r="I300" s="444"/>
      <c r="J300" s="444"/>
      <c r="K300" s="444"/>
      <c r="L300" s="444"/>
      <c r="M300" s="444"/>
      <c r="N300" s="444"/>
      <c r="O300" s="444"/>
      <c r="P300" s="444"/>
      <c r="Q300" s="444"/>
      <c r="R300" s="444"/>
      <c r="S300" s="444"/>
    </row>
    <row r="301" spans="1:19">
      <c r="A301" s="728">
        <v>301</v>
      </c>
      <c r="B301" s="868"/>
      <c r="C301" s="728"/>
      <c r="D301" s="332"/>
      <c r="G301" s="444"/>
      <c r="H301" s="444"/>
      <c r="I301" s="444"/>
      <c r="J301" s="444"/>
      <c r="K301" s="444"/>
      <c r="L301" s="444"/>
      <c r="M301" s="444"/>
      <c r="N301" s="444"/>
      <c r="O301" s="444"/>
      <c r="P301" s="444"/>
      <c r="Q301" s="444"/>
      <c r="R301" s="444"/>
      <c r="S301" s="444"/>
    </row>
    <row r="302" spans="1:19">
      <c r="A302" s="728">
        <v>302</v>
      </c>
      <c r="B302" s="868"/>
      <c r="C302" s="728"/>
      <c r="D302" s="332"/>
      <c r="G302" s="444"/>
      <c r="H302" s="444"/>
      <c r="I302" s="444"/>
      <c r="J302" s="444"/>
      <c r="K302" s="444"/>
      <c r="L302" s="444"/>
      <c r="M302" s="444"/>
      <c r="N302" s="444"/>
      <c r="O302" s="444"/>
      <c r="P302" s="444"/>
      <c r="Q302" s="444"/>
      <c r="R302" s="444"/>
      <c r="S302" s="444"/>
    </row>
    <row r="303" spans="1:19">
      <c r="A303" s="728">
        <v>303</v>
      </c>
      <c r="B303" s="868"/>
      <c r="C303" s="332"/>
      <c r="D303" s="332" t="s">
        <v>18</v>
      </c>
      <c r="G303" s="444">
        <v>0</v>
      </c>
      <c r="H303" s="444">
        <v>0</v>
      </c>
      <c r="I303" s="444">
        <v>0</v>
      </c>
      <c r="J303" s="444">
        <v>0</v>
      </c>
      <c r="K303" s="444">
        <v>0</v>
      </c>
      <c r="L303" s="444">
        <v>0</v>
      </c>
      <c r="M303" s="444">
        <v>0</v>
      </c>
      <c r="N303" s="444">
        <v>0</v>
      </c>
      <c r="O303" s="444">
        <v>0</v>
      </c>
      <c r="P303" s="444">
        <v>0</v>
      </c>
      <c r="Q303" s="444">
        <v>0</v>
      </c>
      <c r="R303" s="444">
        <v>0</v>
      </c>
      <c r="S303" s="444">
        <v>0</v>
      </c>
    </row>
    <row r="304" spans="1:19">
      <c r="A304" s="728">
        <v>304</v>
      </c>
      <c r="B304" s="868"/>
      <c r="C304" s="332"/>
      <c r="D304" s="332" t="s">
        <v>19</v>
      </c>
      <c r="G304" s="936">
        <v>1840</v>
      </c>
      <c r="H304" s="936">
        <v>1810</v>
      </c>
      <c r="I304" s="936">
        <v>1644</v>
      </c>
      <c r="J304" s="936">
        <v>1424</v>
      </c>
      <c r="K304" s="936">
        <v>1347</v>
      </c>
      <c r="L304" s="936">
        <v>1222</v>
      </c>
      <c r="M304" s="936">
        <v>1206</v>
      </c>
      <c r="N304" s="936">
        <v>1251</v>
      </c>
      <c r="O304" s="936">
        <v>1278</v>
      </c>
      <c r="P304" s="936">
        <v>1504</v>
      </c>
      <c r="Q304" s="936">
        <v>1689</v>
      </c>
      <c r="R304" s="936">
        <v>1871</v>
      </c>
      <c r="S304" s="936">
        <v>18086</v>
      </c>
    </row>
    <row r="305" spans="1:19">
      <c r="A305" s="728">
        <v>305</v>
      </c>
      <c r="B305" s="868"/>
      <c r="C305" s="332"/>
      <c r="D305" s="332"/>
      <c r="G305" s="936"/>
      <c r="H305" s="936"/>
      <c r="I305" s="936"/>
      <c r="J305" s="936"/>
      <c r="K305" s="936"/>
      <c r="L305" s="936"/>
      <c r="M305" s="936"/>
      <c r="N305" s="936"/>
      <c r="O305" s="936"/>
      <c r="P305" s="936"/>
      <c r="Q305" s="936"/>
      <c r="R305" s="936"/>
      <c r="S305" s="936"/>
    </row>
    <row r="306" spans="1:19">
      <c r="A306" s="728">
        <v>306</v>
      </c>
      <c r="B306" s="868"/>
      <c r="C306" s="332"/>
      <c r="D306" s="332" t="s">
        <v>20</v>
      </c>
      <c r="G306" s="444">
        <v>7561</v>
      </c>
      <c r="H306" s="444">
        <v>7300</v>
      </c>
      <c r="I306" s="444">
        <v>5834</v>
      </c>
      <c r="J306" s="444">
        <v>3890</v>
      </c>
      <c r="K306" s="444">
        <v>3207</v>
      </c>
      <c r="L306" s="444">
        <v>2104</v>
      </c>
      <c r="M306" s="444">
        <v>1965</v>
      </c>
      <c r="N306" s="444">
        <v>2357</v>
      </c>
      <c r="O306" s="444">
        <v>2600</v>
      </c>
      <c r="P306" s="444">
        <v>4591</v>
      </c>
      <c r="Q306" s="444">
        <v>6226</v>
      </c>
      <c r="R306" s="444">
        <v>7836</v>
      </c>
      <c r="S306" s="444">
        <v>55471</v>
      </c>
    </row>
    <row r="307" spans="1:19">
      <c r="A307" s="728">
        <v>307</v>
      </c>
      <c r="B307" s="868"/>
      <c r="C307" s="728"/>
      <c r="D307" s="728"/>
      <c r="G307" s="444"/>
      <c r="H307" s="444"/>
      <c r="I307" s="444"/>
      <c r="J307" s="444"/>
      <c r="K307" s="444"/>
      <c r="L307" s="444"/>
      <c r="M307" s="444"/>
      <c r="N307" s="444"/>
      <c r="O307" s="444"/>
      <c r="P307" s="444"/>
      <c r="Q307" s="444"/>
      <c r="R307" s="444"/>
      <c r="S307" s="444"/>
    </row>
    <row r="308" spans="1:19">
      <c r="A308" s="728">
        <v>308</v>
      </c>
      <c r="B308" s="868"/>
      <c r="C308" s="728" t="s">
        <v>25</v>
      </c>
      <c r="D308" s="332" t="s">
        <v>16</v>
      </c>
      <c r="G308" s="444">
        <v>5692</v>
      </c>
      <c r="H308" s="444">
        <v>4602</v>
      </c>
      <c r="I308" s="444">
        <v>4331</v>
      </c>
      <c r="J308" s="444">
        <v>3410</v>
      </c>
      <c r="K308" s="444">
        <v>4143</v>
      </c>
      <c r="L308" s="444">
        <v>3514</v>
      </c>
      <c r="M308" s="444">
        <v>2905</v>
      </c>
      <c r="N308" s="444">
        <v>3000</v>
      </c>
      <c r="O308" s="444">
        <v>3152</v>
      </c>
      <c r="P308" s="444">
        <v>3701</v>
      </c>
      <c r="Q308" s="444">
        <v>7203</v>
      </c>
      <c r="R308" s="444">
        <v>5601</v>
      </c>
      <c r="S308" s="444">
        <v>51254</v>
      </c>
    </row>
    <row r="309" spans="1:19">
      <c r="A309" s="728">
        <v>309</v>
      </c>
      <c r="B309" s="868"/>
      <c r="C309" s="728" t="s">
        <v>694</v>
      </c>
      <c r="D309" s="332"/>
      <c r="G309" s="444"/>
      <c r="H309" s="444"/>
      <c r="I309" s="444"/>
      <c r="J309" s="444"/>
      <c r="K309" s="444"/>
      <c r="L309" s="444"/>
      <c r="M309" s="444"/>
      <c r="N309" s="444"/>
      <c r="O309" s="444"/>
      <c r="P309" s="444"/>
      <c r="Q309" s="444"/>
      <c r="R309" s="444"/>
      <c r="S309" s="444"/>
    </row>
    <row r="310" spans="1:19">
      <c r="A310" s="728">
        <v>310</v>
      </c>
      <c r="B310" s="868"/>
      <c r="C310" s="728"/>
      <c r="D310" s="332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44"/>
      <c r="R310" s="444"/>
      <c r="S310" s="444"/>
    </row>
    <row r="311" spans="1:19">
      <c r="A311" s="728">
        <v>311</v>
      </c>
      <c r="B311" s="868"/>
      <c r="C311" s="728"/>
      <c r="D311" s="332"/>
      <c r="G311" s="444"/>
      <c r="H311" s="444"/>
      <c r="I311" s="444"/>
      <c r="J311" s="444"/>
      <c r="K311" s="444"/>
      <c r="L311" s="444"/>
      <c r="M311" s="444"/>
      <c r="N311" s="444"/>
      <c r="O311" s="444"/>
      <c r="P311" s="444"/>
      <c r="Q311" s="444"/>
      <c r="R311" s="444"/>
      <c r="S311" s="444"/>
    </row>
    <row r="312" spans="1:19">
      <c r="A312" s="728">
        <v>312</v>
      </c>
      <c r="B312" s="868"/>
      <c r="C312" s="332"/>
      <c r="D312" s="332" t="s">
        <v>18</v>
      </c>
      <c r="G312" s="444">
        <v>0</v>
      </c>
      <c r="H312" s="444">
        <v>0</v>
      </c>
      <c r="I312" s="444">
        <v>0</v>
      </c>
      <c r="J312" s="444">
        <v>0</v>
      </c>
      <c r="K312" s="444">
        <v>0</v>
      </c>
      <c r="L312" s="444">
        <v>0</v>
      </c>
      <c r="M312" s="444">
        <v>0</v>
      </c>
      <c r="N312" s="444">
        <v>0</v>
      </c>
      <c r="O312" s="444">
        <v>0</v>
      </c>
      <c r="P312" s="444">
        <v>0</v>
      </c>
      <c r="Q312" s="444">
        <v>0</v>
      </c>
      <c r="R312" s="444">
        <v>0</v>
      </c>
      <c r="S312" s="444">
        <v>0</v>
      </c>
    </row>
    <row r="313" spans="1:19">
      <c r="A313" s="728">
        <v>313</v>
      </c>
      <c r="B313" s="868"/>
      <c r="C313" s="332"/>
      <c r="D313" s="332" t="s">
        <v>19</v>
      </c>
      <c r="G313" s="936">
        <v>5692</v>
      </c>
      <c r="H313" s="936">
        <v>4602</v>
      </c>
      <c r="I313" s="936">
        <v>4331</v>
      </c>
      <c r="J313" s="936">
        <v>3410</v>
      </c>
      <c r="K313" s="936">
        <v>4143</v>
      </c>
      <c r="L313" s="936">
        <v>3514</v>
      </c>
      <c r="M313" s="936">
        <v>2905</v>
      </c>
      <c r="N313" s="936">
        <v>3000</v>
      </c>
      <c r="O313" s="936">
        <v>3152</v>
      </c>
      <c r="P313" s="936">
        <v>3701</v>
      </c>
      <c r="Q313" s="936">
        <v>7203</v>
      </c>
      <c r="R313" s="936">
        <v>5601</v>
      </c>
      <c r="S313" s="936">
        <v>51254</v>
      </c>
    </row>
    <row r="314" spans="1:19">
      <c r="A314" s="728">
        <v>314</v>
      </c>
      <c r="B314" s="868"/>
      <c r="C314" s="332"/>
      <c r="D314" s="332"/>
      <c r="G314" s="936"/>
      <c r="H314" s="936"/>
      <c r="I314" s="936"/>
      <c r="J314" s="936"/>
      <c r="K314" s="936"/>
      <c r="L314" s="936"/>
      <c r="M314" s="936"/>
      <c r="N314" s="936"/>
      <c r="O314" s="936"/>
      <c r="P314" s="936"/>
      <c r="Q314" s="936"/>
      <c r="R314" s="936"/>
      <c r="S314" s="936"/>
    </row>
    <row r="315" spans="1:19">
      <c r="A315" s="728">
        <v>315</v>
      </c>
      <c r="B315" s="868"/>
      <c r="C315" s="332"/>
      <c r="D315" s="332" t="s">
        <v>20</v>
      </c>
      <c r="G315" s="444">
        <v>37458</v>
      </c>
      <c r="H315" s="444">
        <v>25266</v>
      </c>
      <c r="I315" s="444">
        <v>23183</v>
      </c>
      <c r="J315" s="444">
        <v>17545</v>
      </c>
      <c r="K315" s="444">
        <v>31149</v>
      </c>
      <c r="L315" s="444">
        <v>23632</v>
      </c>
      <c r="M315" s="444">
        <v>15173</v>
      </c>
      <c r="N315" s="444">
        <v>17385</v>
      </c>
      <c r="O315" s="444">
        <v>15736</v>
      </c>
      <c r="P315" s="444">
        <v>18807</v>
      </c>
      <c r="Q315" s="444">
        <v>90371</v>
      </c>
      <c r="R315" s="444">
        <v>41454</v>
      </c>
      <c r="S315" s="444">
        <v>357159</v>
      </c>
    </row>
    <row r="316" spans="1:19">
      <c r="A316" s="728">
        <v>316</v>
      </c>
      <c r="B316" s="868"/>
      <c r="C316" s="728"/>
      <c r="D316" s="728"/>
      <c r="G316" s="444"/>
      <c r="H316" s="444"/>
      <c r="I316" s="444"/>
      <c r="J316" s="444"/>
      <c r="K316" s="444"/>
      <c r="L316" s="444"/>
      <c r="M316" s="444"/>
      <c r="N316" s="444"/>
      <c r="O316" s="444"/>
      <c r="P316" s="444"/>
      <c r="Q316" s="444"/>
      <c r="R316" s="444"/>
      <c r="S316" s="444"/>
    </row>
    <row r="317" spans="1:19">
      <c r="A317" s="728">
        <v>317</v>
      </c>
      <c r="B317" s="868"/>
      <c r="C317" s="728" t="s">
        <v>545</v>
      </c>
      <c r="D317" s="728"/>
      <c r="G317" s="936"/>
      <c r="H317" s="936"/>
      <c r="I317" s="936"/>
      <c r="J317" s="936"/>
      <c r="K317" s="936"/>
      <c r="L317" s="936"/>
      <c r="M317" s="936"/>
      <c r="N317" s="936"/>
      <c r="O317" s="936"/>
      <c r="P317" s="936"/>
      <c r="Q317" s="936"/>
      <c r="R317" s="936"/>
      <c r="S317" s="936"/>
    </row>
    <row r="318" spans="1:19">
      <c r="A318" s="728">
        <v>318</v>
      </c>
      <c r="B318" s="868"/>
      <c r="C318" s="332"/>
      <c r="D318" s="332" t="s">
        <v>16</v>
      </c>
      <c r="G318" s="444">
        <v>1372787</v>
      </c>
      <c r="H318" s="444">
        <v>1212155</v>
      </c>
      <c r="I318" s="444">
        <v>1122495</v>
      </c>
      <c r="J318" s="444">
        <v>863146</v>
      </c>
      <c r="K318" s="444">
        <v>662090</v>
      </c>
      <c r="L318" s="444">
        <v>467386</v>
      </c>
      <c r="M318" s="444">
        <v>383106</v>
      </c>
      <c r="N318" s="444">
        <v>350802</v>
      </c>
      <c r="O318" s="444">
        <v>433112</v>
      </c>
      <c r="P318" s="444">
        <v>623933</v>
      </c>
      <c r="Q318" s="444">
        <v>917466</v>
      </c>
      <c r="R318" s="444">
        <v>1336605</v>
      </c>
      <c r="S318" s="444">
        <v>9778658</v>
      </c>
    </row>
    <row r="319" spans="1:19">
      <c r="A319" s="728">
        <v>319</v>
      </c>
      <c r="B319" s="868"/>
      <c r="C319" s="332"/>
      <c r="D319" s="332" t="s">
        <v>17</v>
      </c>
      <c r="G319" s="444">
        <v>3498</v>
      </c>
      <c r="H319" s="444">
        <v>3071</v>
      </c>
      <c r="I319" s="444">
        <v>3186</v>
      </c>
      <c r="J319" s="444">
        <v>2719</v>
      </c>
      <c r="K319" s="444">
        <v>2632</v>
      </c>
      <c r="L319" s="444">
        <v>1725</v>
      </c>
      <c r="M319" s="444">
        <v>1738</v>
      </c>
      <c r="N319" s="444">
        <v>1553</v>
      </c>
      <c r="O319" s="444">
        <v>1700</v>
      </c>
      <c r="P319" s="444">
        <v>2935</v>
      </c>
      <c r="Q319" s="444">
        <v>3401</v>
      </c>
      <c r="R319" s="444">
        <v>3576</v>
      </c>
      <c r="S319" s="444">
        <v>31734</v>
      </c>
    </row>
    <row r="320" spans="1:19">
      <c r="A320" s="728">
        <v>320</v>
      </c>
      <c r="B320" s="868"/>
      <c r="C320" s="332"/>
      <c r="D320" s="728" t="s">
        <v>548</v>
      </c>
      <c r="G320" s="444">
        <v>11044</v>
      </c>
      <c r="H320" s="444">
        <v>9566</v>
      </c>
      <c r="I320" s="444">
        <v>9225</v>
      </c>
      <c r="J320" s="444">
        <v>7694</v>
      </c>
      <c r="K320" s="444">
        <v>8278</v>
      </c>
      <c r="L320" s="444">
        <v>6766</v>
      </c>
      <c r="M320" s="444">
        <v>6150</v>
      </c>
      <c r="N320" s="444">
        <v>6135</v>
      </c>
      <c r="O320" s="444">
        <v>6438</v>
      </c>
      <c r="P320" s="444">
        <v>8247</v>
      </c>
      <c r="Q320" s="444">
        <v>12322</v>
      </c>
      <c r="R320" s="444">
        <v>11050</v>
      </c>
      <c r="S320" s="444">
        <v>69340</v>
      </c>
    </row>
    <row r="321" spans="1:19">
      <c r="A321" s="728">
        <v>321</v>
      </c>
      <c r="B321" s="868"/>
      <c r="C321" s="332"/>
      <c r="D321" s="332" t="s">
        <v>18</v>
      </c>
      <c r="G321" s="940">
        <v>4066092</v>
      </c>
      <c r="H321" s="940">
        <v>3489003</v>
      </c>
      <c r="I321" s="940">
        <v>3179921</v>
      </c>
      <c r="J321" s="940">
        <v>2283361</v>
      </c>
      <c r="K321" s="940">
        <v>1587126</v>
      </c>
      <c r="L321" s="940">
        <v>899562</v>
      </c>
      <c r="M321" s="940">
        <v>614880</v>
      </c>
      <c r="N321" s="940">
        <v>497274</v>
      </c>
      <c r="O321" s="940">
        <v>783347</v>
      </c>
      <c r="P321" s="940">
        <v>1458996</v>
      </c>
      <c r="Q321" s="940">
        <v>2470883</v>
      </c>
      <c r="R321" s="940">
        <v>3916103</v>
      </c>
      <c r="S321" s="940">
        <v>25246548</v>
      </c>
    </row>
    <row r="322" spans="1:19">
      <c r="A322" s="728">
        <v>322</v>
      </c>
      <c r="B322" s="868"/>
      <c r="C322" s="332"/>
      <c r="D322" s="332" t="s">
        <v>27</v>
      </c>
      <c r="G322" s="444">
        <v>5453421</v>
      </c>
      <c r="H322" s="444">
        <v>4713795</v>
      </c>
      <c r="I322" s="444">
        <v>4314827</v>
      </c>
      <c r="J322" s="444">
        <v>3156920</v>
      </c>
      <c r="K322" s="444">
        <v>2260126</v>
      </c>
      <c r="L322" s="444">
        <v>1375439</v>
      </c>
      <c r="M322" s="444">
        <v>1005874</v>
      </c>
      <c r="N322" s="444">
        <v>855764</v>
      </c>
      <c r="O322" s="444">
        <v>1224597</v>
      </c>
      <c r="P322" s="444">
        <v>2094111</v>
      </c>
      <c r="Q322" s="444">
        <v>3404072</v>
      </c>
      <c r="R322" s="444">
        <v>5267334</v>
      </c>
      <c r="S322" s="444">
        <v>35126280</v>
      </c>
    </row>
    <row r="323" spans="1:19">
      <c r="A323" s="728">
        <v>323</v>
      </c>
      <c r="B323" s="868"/>
      <c r="C323" s="332"/>
      <c r="D323" s="332"/>
      <c r="G323" s="444"/>
      <c r="H323" s="444"/>
      <c r="I323" s="444"/>
      <c r="J323" s="444"/>
      <c r="K323" s="444"/>
      <c r="L323" s="444"/>
      <c r="M323" s="444"/>
      <c r="N323" s="444"/>
      <c r="O323" s="444"/>
      <c r="P323" s="444"/>
      <c r="Q323" s="444"/>
      <c r="R323" s="444"/>
      <c r="S323" s="444"/>
    </row>
    <row r="324" spans="1:19">
      <c r="A324" s="728">
        <v>324</v>
      </c>
      <c r="B324" s="868"/>
      <c r="C324" s="332"/>
      <c r="D324" s="728" t="s">
        <v>59</v>
      </c>
      <c r="G324" s="444">
        <v>655277</v>
      </c>
      <c r="H324" s="444">
        <v>562276</v>
      </c>
      <c r="I324" s="444">
        <v>512468</v>
      </c>
      <c r="J324" s="444">
        <v>367984</v>
      </c>
      <c r="K324" s="444">
        <v>255785</v>
      </c>
      <c r="L324" s="444">
        <v>144977</v>
      </c>
      <c r="M324" s="444">
        <v>99101</v>
      </c>
      <c r="N324" s="444">
        <v>80147</v>
      </c>
      <c r="O324" s="444">
        <v>126249</v>
      </c>
      <c r="P324" s="444">
        <v>235139</v>
      </c>
      <c r="Q324" s="444">
        <v>398208</v>
      </c>
      <c r="R324" s="444">
        <v>631107</v>
      </c>
      <c r="S324" s="444">
        <v>4068718</v>
      </c>
    </row>
    <row r="325" spans="1:19">
      <c r="A325" s="728">
        <v>325</v>
      </c>
      <c r="B325" s="868"/>
      <c r="C325" s="332"/>
      <c r="D325" s="332" t="s">
        <v>60</v>
      </c>
      <c r="G325" s="940">
        <v>45019</v>
      </c>
      <c r="H325" s="940">
        <v>32566</v>
      </c>
      <c r="I325" s="940">
        <v>29017</v>
      </c>
      <c r="J325" s="940">
        <v>21435</v>
      </c>
      <c r="K325" s="940">
        <v>34356</v>
      </c>
      <c r="L325" s="940">
        <v>25736</v>
      </c>
      <c r="M325" s="940">
        <v>17138</v>
      </c>
      <c r="N325" s="940">
        <v>19742</v>
      </c>
      <c r="O325" s="940">
        <v>18336</v>
      </c>
      <c r="P325" s="940">
        <v>23398</v>
      </c>
      <c r="Q325" s="940">
        <v>96597</v>
      </c>
      <c r="R325" s="940">
        <v>49290</v>
      </c>
      <c r="S325" s="940">
        <v>412630</v>
      </c>
    </row>
    <row r="326" spans="1:19">
      <c r="A326" s="728">
        <v>326</v>
      </c>
      <c r="B326" s="868"/>
      <c r="C326" s="332"/>
      <c r="D326" s="332" t="s">
        <v>28</v>
      </c>
      <c r="G326" s="444">
        <v>700296</v>
      </c>
      <c r="H326" s="444">
        <v>594842</v>
      </c>
      <c r="I326" s="444">
        <v>541485</v>
      </c>
      <c r="J326" s="444">
        <v>389419</v>
      </c>
      <c r="K326" s="444">
        <v>290141</v>
      </c>
      <c r="L326" s="444">
        <v>170713</v>
      </c>
      <c r="M326" s="444">
        <v>116239</v>
      </c>
      <c r="N326" s="444">
        <v>99889</v>
      </c>
      <c r="O326" s="444">
        <v>144585</v>
      </c>
      <c r="P326" s="444">
        <v>258537</v>
      </c>
      <c r="Q326" s="444">
        <v>494805</v>
      </c>
      <c r="R326" s="444">
        <v>680397</v>
      </c>
      <c r="S326" s="444">
        <v>4481348</v>
      </c>
    </row>
    <row r="327" spans="1:19">
      <c r="A327" s="728">
        <v>327</v>
      </c>
      <c r="B327" s="868"/>
      <c r="C327" s="728"/>
      <c r="D327" s="728"/>
      <c r="G327" s="444"/>
      <c r="H327" s="444"/>
      <c r="I327" s="444"/>
      <c r="J327" s="444"/>
      <c r="K327" s="444"/>
      <c r="L327" s="444"/>
      <c r="M327" s="444"/>
      <c r="N327" s="444"/>
      <c r="O327" s="444"/>
      <c r="P327" s="444"/>
      <c r="Q327" s="444"/>
      <c r="R327" s="444"/>
      <c r="S327" s="444"/>
    </row>
    <row r="328" spans="1:19">
      <c r="A328" s="728">
        <v>328</v>
      </c>
      <c r="B328" s="873" t="s">
        <v>29</v>
      </c>
      <c r="C328" s="332"/>
      <c r="D328" s="332"/>
      <c r="G328" s="444" t="s">
        <v>838</v>
      </c>
      <c r="H328" s="444" t="s">
        <v>838</v>
      </c>
      <c r="I328" s="444" t="s">
        <v>838</v>
      </c>
      <c r="J328" s="444" t="s">
        <v>838</v>
      </c>
      <c r="K328" s="444" t="s">
        <v>838</v>
      </c>
      <c r="L328" s="444" t="s">
        <v>838</v>
      </c>
      <c r="M328" s="444" t="s">
        <v>838</v>
      </c>
      <c r="N328" s="444" t="s">
        <v>838</v>
      </c>
      <c r="O328" s="444" t="s">
        <v>838</v>
      </c>
      <c r="P328" s="444" t="s">
        <v>838</v>
      </c>
      <c r="Q328" s="444" t="s">
        <v>838</v>
      </c>
      <c r="R328" s="444" t="s">
        <v>838</v>
      </c>
      <c r="S328" s="444"/>
    </row>
    <row r="329" spans="1:19">
      <c r="A329" s="728">
        <v>329</v>
      </c>
      <c r="B329" s="382"/>
      <c r="C329" s="728" t="s">
        <v>89</v>
      </c>
      <c r="D329" s="728" t="s">
        <v>16</v>
      </c>
      <c r="G329" s="444">
        <v>0</v>
      </c>
      <c r="H329" s="444">
        <v>0</v>
      </c>
      <c r="I329" s="444">
        <v>0</v>
      </c>
      <c r="J329" s="444">
        <v>0</v>
      </c>
      <c r="K329" s="444">
        <v>0</v>
      </c>
      <c r="L329" s="444">
        <v>0</v>
      </c>
      <c r="M329" s="444">
        <v>0</v>
      </c>
      <c r="N329" s="444">
        <v>0</v>
      </c>
      <c r="O329" s="444">
        <v>0</v>
      </c>
      <c r="P329" s="444">
        <v>0</v>
      </c>
      <c r="Q329" s="444">
        <v>0</v>
      </c>
      <c r="R329" s="444">
        <v>0</v>
      </c>
      <c r="S329" s="444">
        <v>0</v>
      </c>
    </row>
    <row r="330" spans="1:19">
      <c r="A330" s="728">
        <v>330</v>
      </c>
      <c r="B330" s="382"/>
      <c r="C330" s="728"/>
      <c r="D330" s="728"/>
      <c r="G330" s="444"/>
      <c r="H330" s="444"/>
      <c r="I330" s="444"/>
      <c r="J330" s="444"/>
      <c r="K330" s="444"/>
      <c r="L330" s="444"/>
      <c r="M330" s="444"/>
      <c r="N330" s="444"/>
      <c r="O330" s="444"/>
      <c r="P330" s="444"/>
      <c r="Q330" s="444"/>
      <c r="R330" s="444"/>
      <c r="S330" s="444"/>
    </row>
    <row r="331" spans="1:19">
      <c r="A331" s="728">
        <v>331</v>
      </c>
      <c r="B331" s="382"/>
      <c r="C331" s="728"/>
      <c r="D331" s="728"/>
      <c r="G331" s="444"/>
      <c r="H331" s="444"/>
      <c r="I331" s="444"/>
      <c r="J331" s="444"/>
      <c r="K331" s="444"/>
      <c r="L331" s="444"/>
      <c r="M331" s="444"/>
      <c r="N331" s="444"/>
      <c r="O331" s="444"/>
      <c r="P331" s="444"/>
      <c r="Q331" s="444"/>
      <c r="R331" s="444"/>
      <c r="S331" s="444"/>
    </row>
    <row r="332" spans="1:19">
      <c r="A332" s="728">
        <v>332</v>
      </c>
      <c r="B332" s="382"/>
      <c r="C332" s="728"/>
      <c r="D332" s="728"/>
      <c r="G332" s="444"/>
      <c r="H332" s="444"/>
      <c r="I332" s="444"/>
      <c r="J332" s="444"/>
      <c r="K332" s="444"/>
      <c r="L332" s="444"/>
      <c r="M332" s="444"/>
      <c r="N332" s="444"/>
      <c r="O332" s="444"/>
      <c r="P332" s="444"/>
      <c r="Q332" s="444"/>
      <c r="R332" s="444"/>
      <c r="S332" s="444"/>
    </row>
    <row r="333" spans="1:19">
      <c r="A333" s="728">
        <v>333</v>
      </c>
      <c r="B333" s="382"/>
      <c r="C333" s="728"/>
      <c r="D333" s="728" t="s">
        <v>18</v>
      </c>
      <c r="G333" s="444">
        <v>0</v>
      </c>
      <c r="H333" s="444">
        <v>0</v>
      </c>
      <c r="I333" s="444">
        <v>0</v>
      </c>
      <c r="J333" s="444">
        <v>0</v>
      </c>
      <c r="K333" s="444">
        <v>0</v>
      </c>
      <c r="L333" s="444">
        <v>0</v>
      </c>
      <c r="M333" s="444">
        <v>0</v>
      </c>
      <c r="N333" s="444">
        <v>0</v>
      </c>
      <c r="O333" s="444">
        <v>0</v>
      </c>
      <c r="P333" s="444">
        <v>0</v>
      </c>
      <c r="Q333" s="444">
        <v>0</v>
      </c>
      <c r="R333" s="444">
        <v>0</v>
      </c>
      <c r="S333" s="444">
        <v>0</v>
      </c>
    </row>
    <row r="334" spans="1:19">
      <c r="A334" s="728">
        <v>334</v>
      </c>
      <c r="B334" s="382"/>
      <c r="C334" s="728"/>
      <c r="D334" s="728" t="s">
        <v>19</v>
      </c>
      <c r="G334" s="936">
        <v>0</v>
      </c>
      <c r="H334" s="936">
        <v>0</v>
      </c>
      <c r="I334" s="936">
        <v>0</v>
      </c>
      <c r="J334" s="936">
        <v>0</v>
      </c>
      <c r="K334" s="936">
        <v>0</v>
      </c>
      <c r="L334" s="936">
        <v>0</v>
      </c>
      <c r="M334" s="936">
        <v>0</v>
      </c>
      <c r="N334" s="936">
        <v>0</v>
      </c>
      <c r="O334" s="936">
        <v>0</v>
      </c>
      <c r="P334" s="936">
        <v>0</v>
      </c>
      <c r="Q334" s="936">
        <v>0</v>
      </c>
      <c r="R334" s="936">
        <v>0</v>
      </c>
      <c r="S334" s="936">
        <v>0</v>
      </c>
    </row>
    <row r="335" spans="1:19">
      <c r="A335" s="728">
        <v>335</v>
      </c>
      <c r="B335" s="382"/>
      <c r="C335" s="728"/>
      <c r="D335" s="728"/>
      <c r="G335" s="936"/>
      <c r="H335" s="936"/>
      <c r="I335" s="936"/>
      <c r="J335" s="936"/>
      <c r="K335" s="936"/>
      <c r="L335" s="936"/>
      <c r="M335" s="936"/>
      <c r="N335" s="936"/>
      <c r="O335" s="936"/>
      <c r="P335" s="936"/>
      <c r="Q335" s="936"/>
      <c r="R335" s="936"/>
      <c r="S335" s="936"/>
    </row>
    <row r="336" spans="1:19">
      <c r="A336" s="728">
        <v>336</v>
      </c>
      <c r="B336" s="382"/>
      <c r="C336" s="728"/>
      <c r="D336" s="728" t="s">
        <v>20</v>
      </c>
      <c r="G336" s="444">
        <v>0</v>
      </c>
      <c r="H336" s="444">
        <v>0</v>
      </c>
      <c r="I336" s="444">
        <v>0</v>
      </c>
      <c r="J336" s="444">
        <v>0</v>
      </c>
      <c r="K336" s="444">
        <v>0</v>
      </c>
      <c r="L336" s="444">
        <v>0</v>
      </c>
      <c r="M336" s="444">
        <v>0</v>
      </c>
      <c r="N336" s="444">
        <v>0</v>
      </c>
      <c r="O336" s="444">
        <v>0</v>
      </c>
      <c r="P336" s="444">
        <v>0</v>
      </c>
      <c r="Q336" s="444">
        <v>0</v>
      </c>
      <c r="R336" s="444">
        <v>0</v>
      </c>
      <c r="S336" s="444">
        <v>0</v>
      </c>
    </row>
    <row r="337" spans="1:19">
      <c r="A337" s="728">
        <v>337</v>
      </c>
      <c r="B337" s="382"/>
      <c r="C337" s="332"/>
      <c r="D337" s="332"/>
      <c r="G337" s="444"/>
      <c r="H337" s="444"/>
      <c r="I337" s="444"/>
      <c r="J337" s="444"/>
      <c r="K337" s="444"/>
      <c r="L337" s="444"/>
      <c r="M337" s="444"/>
      <c r="N337" s="444"/>
      <c r="O337" s="444"/>
      <c r="P337" s="444"/>
      <c r="Q337" s="444"/>
      <c r="R337" s="444"/>
      <c r="S337" s="444"/>
    </row>
    <row r="338" spans="1:19">
      <c r="A338" s="728">
        <v>338</v>
      </c>
      <c r="B338" s="382"/>
      <c r="C338" s="728" t="s">
        <v>25</v>
      </c>
      <c r="D338" s="728" t="s">
        <v>16</v>
      </c>
      <c r="G338" s="444">
        <v>0</v>
      </c>
      <c r="H338" s="444">
        <v>0</v>
      </c>
      <c r="I338" s="444">
        <v>0</v>
      </c>
      <c r="J338" s="444">
        <v>0</v>
      </c>
      <c r="K338" s="444">
        <v>0</v>
      </c>
      <c r="L338" s="444">
        <v>0</v>
      </c>
      <c r="M338" s="444">
        <v>0</v>
      </c>
      <c r="N338" s="444">
        <v>0</v>
      </c>
      <c r="O338" s="444">
        <v>0</v>
      </c>
      <c r="P338" s="444">
        <v>0</v>
      </c>
      <c r="Q338" s="444">
        <v>0</v>
      </c>
      <c r="R338" s="444">
        <v>0</v>
      </c>
      <c r="S338" s="444">
        <v>0</v>
      </c>
    </row>
    <row r="339" spans="1:19">
      <c r="A339" s="728">
        <v>339</v>
      </c>
      <c r="B339" s="382"/>
      <c r="C339" s="728"/>
      <c r="D339" s="728"/>
      <c r="G339" s="444"/>
      <c r="H339" s="444"/>
      <c r="I339" s="444"/>
      <c r="J339" s="444"/>
      <c r="K339" s="444"/>
      <c r="L339" s="444"/>
      <c r="M339" s="444"/>
      <c r="N339" s="444"/>
      <c r="O339" s="444"/>
      <c r="P339" s="444"/>
      <c r="Q339" s="444"/>
      <c r="R339" s="444"/>
      <c r="S339" s="444"/>
    </row>
    <row r="340" spans="1:19">
      <c r="A340" s="728">
        <v>340</v>
      </c>
      <c r="B340" s="382"/>
      <c r="C340" s="728"/>
      <c r="D340" s="728"/>
      <c r="G340" s="444"/>
      <c r="H340" s="444"/>
      <c r="I340" s="444"/>
      <c r="J340" s="444"/>
      <c r="K340" s="444"/>
      <c r="L340" s="444"/>
      <c r="M340" s="444"/>
      <c r="N340" s="444"/>
      <c r="O340" s="444"/>
      <c r="P340" s="444"/>
      <c r="Q340" s="444"/>
      <c r="R340" s="444"/>
      <c r="S340" s="444"/>
    </row>
    <row r="341" spans="1:19">
      <c r="A341" s="728">
        <v>341</v>
      </c>
      <c r="B341" s="382"/>
      <c r="C341" s="728"/>
      <c r="D341" s="728"/>
      <c r="G341" s="444"/>
      <c r="H341" s="444"/>
      <c r="I341" s="444"/>
      <c r="J341" s="444"/>
      <c r="K341" s="444"/>
      <c r="L341" s="444"/>
      <c r="M341" s="444"/>
      <c r="N341" s="444"/>
      <c r="O341" s="444"/>
      <c r="P341" s="444"/>
      <c r="Q341" s="444"/>
      <c r="R341" s="444"/>
      <c r="S341" s="444"/>
    </row>
    <row r="342" spans="1:19">
      <c r="A342" s="728">
        <v>342</v>
      </c>
      <c r="B342" s="382"/>
      <c r="C342" s="728"/>
      <c r="D342" s="728" t="s">
        <v>18</v>
      </c>
      <c r="G342" s="444">
        <v>0</v>
      </c>
      <c r="H342" s="444">
        <v>0</v>
      </c>
      <c r="I342" s="444">
        <v>0</v>
      </c>
      <c r="J342" s="444">
        <v>0</v>
      </c>
      <c r="K342" s="444">
        <v>0</v>
      </c>
      <c r="L342" s="444">
        <v>0</v>
      </c>
      <c r="M342" s="444">
        <v>0</v>
      </c>
      <c r="N342" s="444">
        <v>0</v>
      </c>
      <c r="O342" s="444">
        <v>0</v>
      </c>
      <c r="P342" s="444">
        <v>0</v>
      </c>
      <c r="Q342" s="444">
        <v>0</v>
      </c>
      <c r="R342" s="444">
        <v>0</v>
      </c>
      <c r="S342" s="444">
        <v>0</v>
      </c>
    </row>
    <row r="343" spans="1:19">
      <c r="A343" s="728">
        <v>343</v>
      </c>
      <c r="B343" s="382"/>
      <c r="C343" s="728"/>
      <c r="D343" s="728" t="s">
        <v>19</v>
      </c>
      <c r="G343" s="936">
        <v>0</v>
      </c>
      <c r="H343" s="936">
        <v>0</v>
      </c>
      <c r="I343" s="936">
        <v>0</v>
      </c>
      <c r="J343" s="936">
        <v>0</v>
      </c>
      <c r="K343" s="936">
        <v>0</v>
      </c>
      <c r="L343" s="936">
        <v>0</v>
      </c>
      <c r="M343" s="936">
        <v>0</v>
      </c>
      <c r="N343" s="936">
        <v>0</v>
      </c>
      <c r="O343" s="936">
        <v>0</v>
      </c>
      <c r="P343" s="936">
        <v>0</v>
      </c>
      <c r="Q343" s="936">
        <v>0</v>
      </c>
      <c r="R343" s="936">
        <v>0</v>
      </c>
      <c r="S343" s="936">
        <v>0</v>
      </c>
    </row>
    <row r="344" spans="1:19">
      <c r="A344" s="728">
        <v>344</v>
      </c>
      <c r="B344" s="382"/>
      <c r="C344" s="728"/>
      <c r="D344" s="728"/>
      <c r="G344" s="936"/>
      <c r="H344" s="936"/>
      <c r="I344" s="936"/>
      <c r="J344" s="936"/>
      <c r="K344" s="936"/>
      <c r="L344" s="936"/>
      <c r="M344" s="936"/>
      <c r="N344" s="936"/>
      <c r="O344" s="936"/>
      <c r="P344" s="936"/>
      <c r="Q344" s="936"/>
      <c r="R344" s="936"/>
      <c r="S344" s="936"/>
    </row>
    <row r="345" spans="1:19">
      <c r="A345" s="728">
        <v>345</v>
      </c>
      <c r="B345" s="382"/>
      <c r="C345" s="728"/>
      <c r="D345" s="728" t="s">
        <v>20</v>
      </c>
      <c r="G345" s="444">
        <v>0</v>
      </c>
      <c r="H345" s="444">
        <v>0</v>
      </c>
      <c r="I345" s="444">
        <v>0</v>
      </c>
      <c r="J345" s="444">
        <v>0</v>
      </c>
      <c r="K345" s="444">
        <v>0</v>
      </c>
      <c r="L345" s="444">
        <v>0</v>
      </c>
      <c r="M345" s="444">
        <v>0</v>
      </c>
      <c r="N345" s="444">
        <v>0</v>
      </c>
      <c r="O345" s="444">
        <v>0</v>
      </c>
      <c r="P345" s="444">
        <v>0</v>
      </c>
      <c r="Q345" s="444">
        <v>0</v>
      </c>
      <c r="R345" s="444">
        <v>0</v>
      </c>
      <c r="S345" s="444">
        <v>0</v>
      </c>
    </row>
    <row r="346" spans="1:19">
      <c r="A346" s="728">
        <v>346</v>
      </c>
      <c r="B346" s="382"/>
      <c r="C346" s="332"/>
      <c r="D346" s="332"/>
      <c r="G346" s="444"/>
      <c r="H346" s="444"/>
      <c r="I346" s="444"/>
      <c r="J346" s="444"/>
      <c r="K346" s="444"/>
      <c r="L346" s="444"/>
      <c r="M346" s="444"/>
      <c r="N346" s="444"/>
      <c r="O346" s="444"/>
      <c r="P346" s="444"/>
      <c r="Q346" s="444"/>
      <c r="R346" s="444"/>
      <c r="S346" s="444"/>
    </row>
    <row r="347" spans="1:19">
      <c r="A347" s="728">
        <v>347</v>
      </c>
      <c r="B347" s="382"/>
      <c r="C347" s="332" t="s">
        <v>547</v>
      </c>
      <c r="D347" s="728"/>
      <c r="G347" s="936"/>
      <c r="H347" s="936"/>
      <c r="I347" s="936"/>
      <c r="J347" s="936"/>
      <c r="K347" s="936"/>
      <c r="L347" s="936"/>
      <c r="M347" s="936"/>
      <c r="N347" s="936"/>
      <c r="O347" s="936"/>
      <c r="P347" s="936"/>
      <c r="Q347" s="936"/>
      <c r="R347" s="936"/>
      <c r="S347" s="936"/>
    </row>
    <row r="348" spans="1:19">
      <c r="A348" s="728">
        <v>348</v>
      </c>
      <c r="B348" s="382"/>
      <c r="C348" s="332"/>
      <c r="D348" s="728" t="s">
        <v>16</v>
      </c>
      <c r="G348" s="444">
        <v>0</v>
      </c>
      <c r="H348" s="444">
        <v>0</v>
      </c>
      <c r="I348" s="444">
        <v>0</v>
      </c>
      <c r="J348" s="444">
        <v>0</v>
      </c>
      <c r="K348" s="444">
        <v>0</v>
      </c>
      <c r="L348" s="444">
        <v>0</v>
      </c>
      <c r="M348" s="444">
        <v>0</v>
      </c>
      <c r="N348" s="444">
        <v>0</v>
      </c>
      <c r="O348" s="444">
        <v>0</v>
      </c>
      <c r="P348" s="444">
        <v>0</v>
      </c>
      <c r="Q348" s="444">
        <v>0</v>
      </c>
      <c r="R348" s="444">
        <v>0</v>
      </c>
      <c r="S348" s="444">
        <v>0</v>
      </c>
    </row>
    <row r="349" spans="1:19">
      <c r="A349" s="728">
        <v>349</v>
      </c>
      <c r="B349" s="382"/>
      <c r="C349" s="332"/>
      <c r="D349" s="728" t="s">
        <v>18</v>
      </c>
      <c r="G349" s="444">
        <v>0</v>
      </c>
      <c r="H349" s="444">
        <v>0</v>
      </c>
      <c r="I349" s="444">
        <v>0</v>
      </c>
      <c r="J349" s="444">
        <v>0</v>
      </c>
      <c r="K349" s="444">
        <v>0</v>
      </c>
      <c r="L349" s="444">
        <v>0</v>
      </c>
      <c r="M349" s="444">
        <v>0</v>
      </c>
      <c r="N349" s="444">
        <v>0</v>
      </c>
      <c r="O349" s="444">
        <v>0</v>
      </c>
      <c r="P349" s="444">
        <v>0</v>
      </c>
      <c r="Q349" s="444">
        <v>0</v>
      </c>
      <c r="R349" s="444">
        <v>0</v>
      </c>
      <c r="S349" s="444">
        <v>0</v>
      </c>
    </row>
    <row r="350" spans="1:19">
      <c r="A350" s="728">
        <v>350</v>
      </c>
      <c r="B350" s="382"/>
      <c r="C350" s="332"/>
      <c r="D350" s="332" t="s">
        <v>30</v>
      </c>
      <c r="G350" s="936">
        <v>0</v>
      </c>
      <c r="H350" s="936">
        <v>0</v>
      </c>
      <c r="I350" s="936">
        <v>0</v>
      </c>
      <c r="J350" s="936">
        <v>0</v>
      </c>
      <c r="K350" s="936">
        <v>0</v>
      </c>
      <c r="L350" s="936">
        <v>0</v>
      </c>
      <c r="M350" s="936">
        <v>0</v>
      </c>
      <c r="N350" s="936">
        <v>0</v>
      </c>
      <c r="O350" s="936">
        <v>0</v>
      </c>
      <c r="P350" s="936">
        <v>0</v>
      </c>
      <c r="Q350" s="936">
        <v>0</v>
      </c>
      <c r="R350" s="936">
        <v>0</v>
      </c>
      <c r="S350" s="936">
        <v>0</v>
      </c>
    </row>
    <row r="351" spans="1:19">
      <c r="A351" s="728">
        <v>351</v>
      </c>
      <c r="B351" s="382"/>
      <c r="C351" s="332"/>
      <c r="D351" s="332"/>
      <c r="G351" s="936"/>
      <c r="H351" s="936"/>
      <c r="I351" s="936"/>
      <c r="J351" s="936"/>
      <c r="K351" s="936"/>
      <c r="L351" s="936"/>
      <c r="M351" s="936"/>
      <c r="N351" s="936"/>
      <c r="O351" s="936"/>
      <c r="P351" s="936"/>
      <c r="Q351" s="936"/>
      <c r="R351" s="936"/>
      <c r="S351" s="936"/>
    </row>
    <row r="352" spans="1:19">
      <c r="A352" s="728">
        <v>352</v>
      </c>
      <c r="B352" s="382"/>
      <c r="C352" s="728"/>
      <c r="D352" s="332" t="s">
        <v>59</v>
      </c>
      <c r="G352" s="936">
        <v>0</v>
      </c>
      <c r="H352" s="936">
        <v>0</v>
      </c>
      <c r="I352" s="936">
        <v>0</v>
      </c>
      <c r="J352" s="936">
        <v>0</v>
      </c>
      <c r="K352" s="936">
        <v>0</v>
      </c>
      <c r="L352" s="936">
        <v>0</v>
      </c>
      <c r="M352" s="936">
        <v>0</v>
      </c>
      <c r="N352" s="936">
        <v>0</v>
      </c>
      <c r="O352" s="936">
        <v>0</v>
      </c>
      <c r="P352" s="936">
        <v>0</v>
      </c>
      <c r="Q352" s="936">
        <v>0</v>
      </c>
      <c r="R352" s="936">
        <v>0</v>
      </c>
      <c r="S352" s="936">
        <v>0</v>
      </c>
    </row>
    <row r="353" spans="1:19">
      <c r="A353" s="728">
        <v>353</v>
      </c>
      <c r="B353" s="868"/>
      <c r="C353" s="728"/>
      <c r="D353" s="728" t="s">
        <v>60</v>
      </c>
      <c r="G353" s="444">
        <v>0</v>
      </c>
      <c r="H353" s="444">
        <v>0</v>
      </c>
      <c r="I353" s="444">
        <v>0</v>
      </c>
      <c r="J353" s="444">
        <v>0</v>
      </c>
      <c r="K353" s="444">
        <v>0</v>
      </c>
      <c r="L353" s="444">
        <v>0</v>
      </c>
      <c r="M353" s="444">
        <v>0</v>
      </c>
      <c r="N353" s="444">
        <v>0</v>
      </c>
      <c r="O353" s="444">
        <v>0</v>
      </c>
      <c r="P353" s="444">
        <v>0</v>
      </c>
      <c r="Q353" s="444">
        <v>0</v>
      </c>
      <c r="R353" s="444">
        <v>0</v>
      </c>
      <c r="S353" s="444">
        <v>0</v>
      </c>
    </row>
    <row r="354" spans="1:19">
      <c r="A354" s="728">
        <v>354</v>
      </c>
      <c r="B354" s="382"/>
      <c r="C354" s="728"/>
      <c r="D354" s="332" t="s">
        <v>31</v>
      </c>
      <c r="G354" s="444">
        <v>0</v>
      </c>
      <c r="H354" s="444">
        <v>0</v>
      </c>
      <c r="I354" s="444">
        <v>0</v>
      </c>
      <c r="J354" s="444">
        <v>0</v>
      </c>
      <c r="K354" s="444">
        <v>0</v>
      </c>
      <c r="L354" s="444">
        <v>0</v>
      </c>
      <c r="M354" s="444">
        <v>0</v>
      </c>
      <c r="N354" s="444">
        <v>0</v>
      </c>
      <c r="O354" s="444">
        <v>0</v>
      </c>
      <c r="P354" s="444">
        <v>0</v>
      </c>
      <c r="Q354" s="444">
        <v>0</v>
      </c>
      <c r="R354" s="444">
        <v>0</v>
      </c>
      <c r="S354" s="444">
        <v>0</v>
      </c>
    </row>
    <row r="355" spans="1:19" ht="13.5" thickBot="1">
      <c r="A355" s="728">
        <v>355</v>
      </c>
      <c r="B355" s="382"/>
      <c r="C355" s="332"/>
      <c r="D355" s="332"/>
      <c r="G355" s="444"/>
      <c r="H355" s="444"/>
      <c r="I355" s="444"/>
      <c r="J355" s="444"/>
      <c r="K355" s="444"/>
      <c r="L355" s="444"/>
      <c r="M355" s="444"/>
      <c r="N355" s="444"/>
      <c r="O355" s="444"/>
      <c r="P355" s="444"/>
      <c r="Q355" s="444"/>
      <c r="R355" s="444"/>
      <c r="S355" s="444"/>
    </row>
    <row r="356" spans="1:19" ht="13.5" thickTop="1">
      <c r="A356" s="728">
        <v>356</v>
      </c>
      <c r="B356" s="873" t="s">
        <v>32</v>
      </c>
      <c r="C356" s="332"/>
      <c r="D356" s="332"/>
      <c r="G356" s="941"/>
      <c r="H356" s="941"/>
      <c r="I356" s="941"/>
      <c r="J356" s="941"/>
      <c r="K356" s="941"/>
      <c r="L356" s="941"/>
      <c r="M356" s="941"/>
      <c r="N356" s="941"/>
      <c r="O356" s="941"/>
      <c r="P356" s="941"/>
      <c r="Q356" s="941"/>
      <c r="R356" s="941"/>
      <c r="S356" s="941"/>
    </row>
    <row r="357" spans="1:19">
      <c r="A357" s="728">
        <v>357</v>
      </c>
      <c r="B357" s="382"/>
      <c r="C357" s="332" t="s">
        <v>659</v>
      </c>
      <c r="D357" s="728"/>
      <c r="G357" s="444"/>
      <c r="H357" s="444"/>
      <c r="I357" s="444"/>
      <c r="J357" s="444"/>
      <c r="K357" s="444"/>
      <c r="L357" s="444"/>
      <c r="M357" s="444"/>
      <c r="N357" s="444"/>
      <c r="O357" s="444"/>
      <c r="P357" s="444"/>
      <c r="Q357" s="444"/>
      <c r="R357" s="444"/>
      <c r="S357" s="444"/>
    </row>
    <row r="358" spans="1:19">
      <c r="A358" s="728">
        <v>358</v>
      </c>
      <c r="B358" s="382"/>
      <c r="C358" s="332"/>
      <c r="D358" s="728" t="s">
        <v>16</v>
      </c>
      <c r="G358" s="444">
        <v>35344612</v>
      </c>
      <c r="H358" s="444">
        <v>29571108</v>
      </c>
      <c r="I358" s="444">
        <v>25543976</v>
      </c>
      <c r="J358" s="444">
        <v>16359613</v>
      </c>
      <c r="K358" s="444">
        <v>12691579</v>
      </c>
      <c r="L358" s="444">
        <v>10174813</v>
      </c>
      <c r="M358" s="444">
        <v>9308580</v>
      </c>
      <c r="N358" s="444">
        <v>9106478</v>
      </c>
      <c r="O358" s="444">
        <v>9459305</v>
      </c>
      <c r="P358" s="444">
        <v>13037869</v>
      </c>
      <c r="Q358" s="444">
        <v>23303996</v>
      </c>
      <c r="R358" s="444">
        <v>33088205</v>
      </c>
      <c r="S358" s="444">
        <v>227023709</v>
      </c>
    </row>
    <row r="359" spans="1:19">
      <c r="A359" s="728">
        <v>359</v>
      </c>
      <c r="B359" s="382"/>
      <c r="C359" s="332"/>
      <c r="D359" s="728" t="s">
        <v>17</v>
      </c>
      <c r="G359" s="444">
        <v>20990968</v>
      </c>
      <c r="H359" s="444">
        <v>17031765</v>
      </c>
      <c r="I359" s="444">
        <v>14169779</v>
      </c>
      <c r="J359" s="444">
        <v>4311522</v>
      </c>
      <c r="K359" s="444">
        <v>2857933</v>
      </c>
      <c r="L359" s="444">
        <v>1935108</v>
      </c>
      <c r="M359" s="444">
        <v>1574532</v>
      </c>
      <c r="N359" s="444">
        <v>1504804</v>
      </c>
      <c r="O359" s="444">
        <v>1645764</v>
      </c>
      <c r="P359" s="444">
        <v>2989899</v>
      </c>
      <c r="Q359" s="444">
        <v>12457510</v>
      </c>
      <c r="R359" s="444">
        <v>19227949</v>
      </c>
      <c r="S359" s="444">
        <v>100697533</v>
      </c>
    </row>
    <row r="360" spans="1:19">
      <c r="A360" s="728">
        <v>360</v>
      </c>
      <c r="B360" s="382"/>
      <c r="C360" s="332"/>
      <c r="D360" s="728" t="s">
        <v>548</v>
      </c>
      <c r="G360" s="444">
        <v>11044</v>
      </c>
      <c r="H360" s="444">
        <v>9566</v>
      </c>
      <c r="I360" s="444">
        <v>9225</v>
      </c>
      <c r="J360" s="444">
        <v>7694</v>
      </c>
      <c r="K360" s="444">
        <v>8278</v>
      </c>
      <c r="L360" s="444">
        <v>6766</v>
      </c>
      <c r="M360" s="444">
        <v>6150</v>
      </c>
      <c r="N360" s="444">
        <v>6135</v>
      </c>
      <c r="O360" s="444">
        <v>6438</v>
      </c>
      <c r="P360" s="444">
        <v>8247</v>
      </c>
      <c r="Q360" s="444">
        <v>12322</v>
      </c>
      <c r="R360" s="444">
        <v>11050</v>
      </c>
      <c r="S360" s="444">
        <v>69340</v>
      </c>
    </row>
    <row r="361" spans="1:19">
      <c r="A361" s="728">
        <v>361</v>
      </c>
      <c r="B361" s="382"/>
      <c r="C361" s="332"/>
      <c r="D361" s="728" t="s">
        <v>18</v>
      </c>
      <c r="G361" s="444">
        <v>95966250</v>
      </c>
      <c r="H361" s="444">
        <v>78099339</v>
      </c>
      <c r="I361" s="444">
        <v>65314508</v>
      </c>
      <c r="J361" s="444">
        <v>42328419</v>
      </c>
      <c r="K361" s="444">
        <v>28108957</v>
      </c>
      <c r="L361" s="444">
        <v>18839953</v>
      </c>
      <c r="M361" s="444">
        <v>15206762</v>
      </c>
      <c r="N361" s="444">
        <v>14442442</v>
      </c>
      <c r="O361" s="444">
        <v>16035957</v>
      </c>
      <c r="P361" s="444">
        <v>29212240</v>
      </c>
      <c r="Q361" s="444">
        <v>57127286</v>
      </c>
      <c r="R361" s="444">
        <v>88163090</v>
      </c>
      <c r="S361" s="444">
        <v>548845203</v>
      </c>
    </row>
    <row r="362" spans="1:19">
      <c r="A362" s="728">
        <v>362</v>
      </c>
      <c r="B362" s="382"/>
      <c r="C362" s="332"/>
      <c r="D362" s="728"/>
      <c r="G362" s="444"/>
      <c r="H362" s="444"/>
      <c r="I362" s="444"/>
      <c r="J362" s="444"/>
      <c r="K362" s="444"/>
      <c r="L362" s="444"/>
      <c r="M362" s="444"/>
      <c r="N362" s="444"/>
      <c r="O362" s="444"/>
      <c r="P362" s="444"/>
      <c r="Q362" s="444"/>
      <c r="R362" s="444"/>
      <c r="S362" s="444"/>
    </row>
    <row r="363" spans="1:19">
      <c r="A363" s="728">
        <v>363</v>
      </c>
      <c r="B363" s="382"/>
      <c r="C363" s="332"/>
      <c r="D363" s="332" t="s">
        <v>659</v>
      </c>
      <c r="G363" s="936">
        <v>152312874</v>
      </c>
      <c r="H363" s="936">
        <v>124711778</v>
      </c>
      <c r="I363" s="936">
        <v>105037488</v>
      </c>
      <c r="J363" s="936">
        <v>63007248</v>
      </c>
      <c r="K363" s="936">
        <v>43666747</v>
      </c>
      <c r="L363" s="936">
        <v>30956640</v>
      </c>
      <c r="M363" s="936">
        <v>26096024</v>
      </c>
      <c r="N363" s="936">
        <v>25059859</v>
      </c>
      <c r="O363" s="936">
        <v>27147464</v>
      </c>
      <c r="P363" s="936">
        <v>45248255</v>
      </c>
      <c r="Q363" s="936">
        <v>92901114</v>
      </c>
      <c r="R363" s="936">
        <v>140490294</v>
      </c>
      <c r="S363" s="936">
        <v>876635785</v>
      </c>
    </row>
    <row r="364" spans="1:19">
      <c r="A364" s="728">
        <v>364</v>
      </c>
      <c r="B364" s="382"/>
      <c r="C364" s="332"/>
      <c r="D364" s="332"/>
      <c r="G364" s="936"/>
      <c r="H364" s="936"/>
      <c r="I364" s="936"/>
      <c r="J364" s="936"/>
      <c r="K364" s="936"/>
      <c r="L364" s="936"/>
      <c r="M364" s="936"/>
      <c r="N364" s="936"/>
      <c r="O364" s="936"/>
      <c r="P364" s="936"/>
      <c r="Q364" s="936"/>
      <c r="R364" s="936"/>
      <c r="S364" s="936"/>
    </row>
    <row r="365" spans="1:19">
      <c r="A365" s="728">
        <v>365</v>
      </c>
      <c r="B365" s="382"/>
      <c r="C365" s="728"/>
      <c r="D365" s="332" t="s">
        <v>59</v>
      </c>
      <c r="G365" s="936">
        <v>17864714</v>
      </c>
      <c r="H365" s="936">
        <v>14551808</v>
      </c>
      <c r="I365" s="936">
        <v>12196360</v>
      </c>
      <c r="J365" s="936">
        <v>7927976</v>
      </c>
      <c r="K365" s="936">
        <v>5269236</v>
      </c>
      <c r="L365" s="936">
        <v>3554398</v>
      </c>
      <c r="M365" s="936">
        <v>2887319</v>
      </c>
      <c r="N365" s="936">
        <v>2744562</v>
      </c>
      <c r="O365" s="936">
        <v>3042189</v>
      </c>
      <c r="P365" s="936">
        <v>5525745</v>
      </c>
      <c r="Q365" s="936">
        <v>10692500</v>
      </c>
      <c r="R365" s="936">
        <v>16440951</v>
      </c>
      <c r="S365" s="936">
        <v>102697758</v>
      </c>
    </row>
    <row r="366" spans="1:19">
      <c r="A366" s="728">
        <v>366</v>
      </c>
      <c r="B366" s="868"/>
      <c r="C366" s="728"/>
      <c r="D366" s="728" t="s">
        <v>60</v>
      </c>
      <c r="G366" s="444">
        <v>5070904</v>
      </c>
      <c r="H366" s="444">
        <v>4893884</v>
      </c>
      <c r="I366" s="444">
        <v>4870816</v>
      </c>
      <c r="J366" s="444">
        <v>4524409</v>
      </c>
      <c r="K366" s="444">
        <v>5585226</v>
      </c>
      <c r="L366" s="444">
        <v>5429015</v>
      </c>
      <c r="M366" s="444">
        <v>5883865</v>
      </c>
      <c r="N366" s="444">
        <v>5771028</v>
      </c>
      <c r="O366" s="444">
        <v>5457824</v>
      </c>
      <c r="P366" s="444">
        <v>4763778</v>
      </c>
      <c r="Q366" s="444">
        <v>5052855</v>
      </c>
      <c r="R366" s="444">
        <v>5483302</v>
      </c>
      <c r="S366" s="444">
        <v>62786906</v>
      </c>
    </row>
    <row r="367" spans="1:19">
      <c r="A367" s="728">
        <v>367</v>
      </c>
      <c r="B367" s="382"/>
      <c r="D367" s="332" t="s">
        <v>33</v>
      </c>
      <c r="G367" s="938">
        <v>22935618</v>
      </c>
      <c r="H367" s="938">
        <v>19445692</v>
      </c>
      <c r="I367" s="938">
        <v>17067176</v>
      </c>
      <c r="J367" s="938">
        <v>12452385</v>
      </c>
      <c r="K367" s="938">
        <v>10854462</v>
      </c>
      <c r="L367" s="938">
        <v>8983413</v>
      </c>
      <c r="M367" s="938">
        <v>8771184</v>
      </c>
      <c r="N367" s="938">
        <v>8515590</v>
      </c>
      <c r="O367" s="938">
        <v>8500013</v>
      </c>
      <c r="P367" s="938">
        <v>10289523</v>
      </c>
      <c r="Q367" s="938">
        <v>15745355</v>
      </c>
      <c r="R367" s="938">
        <v>21924253</v>
      </c>
      <c r="S367" s="938">
        <v>165484664</v>
      </c>
    </row>
    <row r="368" spans="1:19">
      <c r="A368" s="728">
        <v>368</v>
      </c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</row>
    <row r="369" spans="1:19">
      <c r="A369" s="728">
        <v>369</v>
      </c>
      <c r="C369" s="728" t="s">
        <v>15</v>
      </c>
      <c r="D369" s="15" t="s">
        <v>531</v>
      </c>
      <c r="G369" s="444">
        <v>0</v>
      </c>
      <c r="H369" s="444">
        <v>0</v>
      </c>
      <c r="I369" s="444">
        <v>0</v>
      </c>
      <c r="J369" s="444">
        <v>0</v>
      </c>
      <c r="K369" s="444">
        <v>0</v>
      </c>
      <c r="L369" s="444">
        <v>0</v>
      </c>
      <c r="M369" s="444">
        <v>0</v>
      </c>
      <c r="N369" s="444">
        <v>0</v>
      </c>
      <c r="O369" s="444">
        <v>0</v>
      </c>
      <c r="P369" s="444">
        <v>0</v>
      </c>
      <c r="Q369" s="444">
        <v>0</v>
      </c>
      <c r="R369" s="444">
        <v>0</v>
      </c>
      <c r="S369" s="102">
        <v>0</v>
      </c>
    </row>
    <row r="370" spans="1:19">
      <c r="A370" s="728">
        <v>370</v>
      </c>
      <c r="C370" s="728" t="s">
        <v>808</v>
      </c>
      <c r="D370" s="15" t="s">
        <v>531</v>
      </c>
      <c r="G370" s="444">
        <v>7127</v>
      </c>
      <c r="H370" s="444">
        <v>7118</v>
      </c>
      <c r="I370" s="444">
        <v>7122</v>
      </c>
      <c r="J370" s="444">
        <v>7095</v>
      </c>
      <c r="K370" s="444">
        <v>7097</v>
      </c>
      <c r="L370" s="444">
        <v>7085</v>
      </c>
      <c r="M370" s="444">
        <v>7067</v>
      </c>
      <c r="N370" s="444">
        <v>7044</v>
      </c>
      <c r="O370" s="444">
        <v>7048</v>
      </c>
      <c r="P370" s="444">
        <v>7083</v>
      </c>
      <c r="Q370" s="444">
        <v>7127</v>
      </c>
      <c r="R370" s="444">
        <v>7162</v>
      </c>
      <c r="S370" s="102">
        <v>7162</v>
      </c>
    </row>
    <row r="371" spans="1:19">
      <c r="A371" s="728">
        <v>371</v>
      </c>
      <c r="C371" s="728" t="s">
        <v>809</v>
      </c>
      <c r="D371" s="15" t="s">
        <v>531</v>
      </c>
      <c r="G371" s="444">
        <v>684</v>
      </c>
      <c r="H371" s="444">
        <v>684</v>
      </c>
      <c r="I371" s="444">
        <v>684</v>
      </c>
      <c r="J371" s="444">
        <v>684</v>
      </c>
      <c r="K371" s="444">
        <v>684</v>
      </c>
      <c r="L371" s="444">
        <v>684</v>
      </c>
      <c r="M371" s="444">
        <v>684</v>
      </c>
      <c r="N371" s="444">
        <v>684</v>
      </c>
      <c r="O371" s="444">
        <v>684</v>
      </c>
      <c r="P371" s="444">
        <v>684</v>
      </c>
      <c r="Q371" s="444">
        <v>684</v>
      </c>
      <c r="R371" s="444">
        <v>684</v>
      </c>
      <c r="S371" s="102">
        <v>684</v>
      </c>
    </row>
    <row r="372" spans="1:19">
      <c r="A372" s="728">
        <v>372</v>
      </c>
      <c r="C372" s="728" t="s">
        <v>811</v>
      </c>
      <c r="D372" s="15" t="s">
        <v>531</v>
      </c>
      <c r="G372" s="444">
        <v>0</v>
      </c>
      <c r="H372" s="444">
        <v>0</v>
      </c>
      <c r="I372" s="444">
        <v>0</v>
      </c>
      <c r="J372" s="444">
        <v>0</v>
      </c>
      <c r="K372" s="444">
        <v>0</v>
      </c>
      <c r="L372" s="444">
        <v>0</v>
      </c>
      <c r="M372" s="444">
        <v>0</v>
      </c>
      <c r="N372" s="444">
        <v>0</v>
      </c>
      <c r="O372" s="444">
        <v>0</v>
      </c>
      <c r="P372" s="444">
        <v>0</v>
      </c>
      <c r="Q372" s="444">
        <v>0</v>
      </c>
      <c r="R372" s="444">
        <v>0</v>
      </c>
      <c r="S372" s="102">
        <v>0</v>
      </c>
    </row>
    <row r="373" spans="1:19">
      <c r="A373" s="728">
        <v>373</v>
      </c>
      <c r="C373" s="728" t="s">
        <v>810</v>
      </c>
      <c r="D373" s="15" t="s">
        <v>531</v>
      </c>
      <c r="G373" s="444">
        <v>1</v>
      </c>
      <c r="H373" s="444">
        <v>1</v>
      </c>
      <c r="I373" s="444">
        <v>1</v>
      </c>
      <c r="J373" s="444">
        <v>1</v>
      </c>
      <c r="K373" s="444">
        <v>1</v>
      </c>
      <c r="L373" s="444">
        <v>1</v>
      </c>
      <c r="M373" s="444">
        <v>1</v>
      </c>
      <c r="N373" s="444">
        <v>1</v>
      </c>
      <c r="O373" s="444">
        <v>1</v>
      </c>
      <c r="P373" s="444">
        <v>1</v>
      </c>
      <c r="Q373" s="444">
        <v>1</v>
      </c>
      <c r="R373" s="444">
        <v>1</v>
      </c>
      <c r="S373" s="102">
        <v>1</v>
      </c>
    </row>
    <row r="374" spans="1:19">
      <c r="A374" s="728">
        <v>374</v>
      </c>
      <c r="C374" s="728" t="s">
        <v>4</v>
      </c>
      <c r="D374" s="15" t="s">
        <v>531</v>
      </c>
      <c r="G374" s="444">
        <v>0</v>
      </c>
      <c r="H374" s="444">
        <v>0</v>
      </c>
      <c r="I374" s="444">
        <v>0</v>
      </c>
      <c r="J374" s="444">
        <v>0</v>
      </c>
      <c r="K374" s="444">
        <v>0</v>
      </c>
      <c r="L374" s="444">
        <v>0</v>
      </c>
      <c r="M374" s="444">
        <v>0</v>
      </c>
      <c r="N374" s="444">
        <v>0</v>
      </c>
      <c r="O374" s="444">
        <v>0</v>
      </c>
      <c r="P374" s="444">
        <v>0</v>
      </c>
      <c r="Q374" s="444">
        <v>0</v>
      </c>
      <c r="R374" s="444">
        <v>0</v>
      </c>
      <c r="S374" s="102">
        <v>0</v>
      </c>
    </row>
    <row r="375" spans="1:19">
      <c r="A375" s="728">
        <v>375</v>
      </c>
      <c r="C375" s="728" t="s">
        <v>88</v>
      </c>
      <c r="D375" s="15" t="s">
        <v>531</v>
      </c>
      <c r="G375" s="444">
        <v>0</v>
      </c>
      <c r="H375" s="444">
        <v>0</v>
      </c>
      <c r="I375" s="444">
        <v>0</v>
      </c>
      <c r="J375" s="444">
        <v>0</v>
      </c>
      <c r="K375" s="444">
        <v>0</v>
      </c>
      <c r="L375" s="444">
        <v>0</v>
      </c>
      <c r="M375" s="444">
        <v>0</v>
      </c>
      <c r="N375" s="444">
        <v>0</v>
      </c>
      <c r="O375" s="444">
        <v>0</v>
      </c>
      <c r="P375" s="444">
        <v>0</v>
      </c>
      <c r="Q375" s="444">
        <v>0</v>
      </c>
      <c r="R375" s="444">
        <v>0</v>
      </c>
      <c r="S375" s="102">
        <v>0</v>
      </c>
    </row>
    <row r="376" spans="1:19">
      <c r="A376" s="728">
        <v>376</v>
      </c>
      <c r="C376" s="728" t="s">
        <v>89</v>
      </c>
      <c r="D376" s="15" t="s">
        <v>531</v>
      </c>
      <c r="G376" s="444">
        <v>0</v>
      </c>
      <c r="H376" s="444">
        <v>0</v>
      </c>
      <c r="I376" s="444">
        <v>0</v>
      </c>
      <c r="J376" s="444">
        <v>0</v>
      </c>
      <c r="K376" s="444">
        <v>0</v>
      </c>
      <c r="L376" s="444">
        <v>0</v>
      </c>
      <c r="M376" s="444">
        <v>0</v>
      </c>
      <c r="N376" s="444">
        <v>0</v>
      </c>
      <c r="O376" s="444">
        <v>0</v>
      </c>
      <c r="P376" s="444">
        <v>0</v>
      </c>
      <c r="Q376" s="444">
        <v>0</v>
      </c>
      <c r="R376" s="444">
        <v>0</v>
      </c>
      <c r="S376" s="102">
        <v>0</v>
      </c>
    </row>
    <row r="377" spans="1:19">
      <c r="A377" s="728">
        <v>377</v>
      </c>
      <c r="C377" s="728" t="s">
        <v>86</v>
      </c>
      <c r="D377" s="15" t="s">
        <v>531</v>
      </c>
      <c r="G377" s="444">
        <v>0</v>
      </c>
      <c r="H377" s="444">
        <v>0</v>
      </c>
      <c r="I377" s="444">
        <v>0</v>
      </c>
      <c r="J377" s="444">
        <v>0</v>
      </c>
      <c r="K377" s="444">
        <v>0</v>
      </c>
      <c r="L377" s="444">
        <v>0</v>
      </c>
      <c r="M377" s="444">
        <v>0</v>
      </c>
      <c r="N377" s="444">
        <v>0</v>
      </c>
      <c r="O377" s="444">
        <v>0</v>
      </c>
      <c r="P377" s="444">
        <v>0</v>
      </c>
      <c r="Q377" s="444">
        <v>0</v>
      </c>
      <c r="R377" s="444">
        <v>0</v>
      </c>
      <c r="S377" s="102">
        <v>0</v>
      </c>
    </row>
    <row r="378" spans="1:19">
      <c r="A378" s="728">
        <v>378</v>
      </c>
      <c r="C378" s="728" t="s">
        <v>87</v>
      </c>
      <c r="D378" s="15" t="s">
        <v>531</v>
      </c>
      <c r="G378" s="444">
        <v>5</v>
      </c>
      <c r="H378" s="444">
        <v>5</v>
      </c>
      <c r="I378" s="444">
        <v>5</v>
      </c>
      <c r="J378" s="444">
        <v>5</v>
      </c>
      <c r="K378" s="444">
        <v>5</v>
      </c>
      <c r="L378" s="444">
        <v>5</v>
      </c>
      <c r="M378" s="444">
        <v>5</v>
      </c>
      <c r="N378" s="444">
        <v>5</v>
      </c>
      <c r="O378" s="444">
        <v>5</v>
      </c>
      <c r="P378" s="444">
        <v>5</v>
      </c>
      <c r="Q378" s="444">
        <v>5</v>
      </c>
      <c r="R378" s="444">
        <v>5</v>
      </c>
      <c r="S378" s="102">
        <v>5</v>
      </c>
    </row>
    <row r="379" spans="1:19">
      <c r="A379" s="728">
        <v>379</v>
      </c>
      <c r="C379" s="728" t="s">
        <v>92</v>
      </c>
      <c r="D379" s="15" t="s">
        <v>531</v>
      </c>
      <c r="G379" s="444">
        <v>13</v>
      </c>
      <c r="H379" s="444">
        <v>13</v>
      </c>
      <c r="I379" s="444">
        <v>13</v>
      </c>
      <c r="J379" s="444">
        <v>13</v>
      </c>
      <c r="K379" s="444">
        <v>13</v>
      </c>
      <c r="L379" s="444">
        <v>13</v>
      </c>
      <c r="M379" s="444">
        <v>13</v>
      </c>
      <c r="N379" s="444">
        <v>13</v>
      </c>
      <c r="O379" s="444">
        <v>13</v>
      </c>
      <c r="P379" s="444">
        <v>13</v>
      </c>
      <c r="Q379" s="444">
        <v>13</v>
      </c>
      <c r="R379" s="444">
        <v>13</v>
      </c>
      <c r="S379" s="102">
        <v>13</v>
      </c>
    </row>
    <row r="380" spans="1:19">
      <c r="A380" s="728">
        <v>380</v>
      </c>
      <c r="C380" s="728" t="s">
        <v>93</v>
      </c>
      <c r="D380" s="15" t="s">
        <v>531</v>
      </c>
      <c r="G380" s="444">
        <v>0</v>
      </c>
      <c r="H380" s="444">
        <v>0</v>
      </c>
      <c r="I380" s="444">
        <v>0</v>
      </c>
      <c r="J380" s="444">
        <v>0</v>
      </c>
      <c r="K380" s="444">
        <v>0</v>
      </c>
      <c r="L380" s="444">
        <v>0</v>
      </c>
      <c r="M380" s="444">
        <v>0</v>
      </c>
      <c r="N380" s="444">
        <v>0</v>
      </c>
      <c r="O380" s="444">
        <v>0</v>
      </c>
      <c r="P380" s="444">
        <v>0</v>
      </c>
      <c r="Q380" s="444">
        <v>0</v>
      </c>
      <c r="R380" s="444">
        <v>0</v>
      </c>
      <c r="S380" s="102">
        <v>0</v>
      </c>
    </row>
    <row r="381" spans="1:19">
      <c r="A381" s="728">
        <v>381</v>
      </c>
      <c r="C381" s="728" t="s">
        <v>692</v>
      </c>
      <c r="D381" s="15" t="s">
        <v>531</v>
      </c>
      <c r="G381" s="444">
        <v>1</v>
      </c>
      <c r="H381" s="444">
        <v>1</v>
      </c>
      <c r="I381" s="444">
        <v>1</v>
      </c>
      <c r="J381" s="444">
        <v>1</v>
      </c>
      <c r="K381" s="444">
        <v>1</v>
      </c>
      <c r="L381" s="444">
        <v>1</v>
      </c>
      <c r="M381" s="444">
        <v>1</v>
      </c>
      <c r="N381" s="444">
        <v>1</v>
      </c>
      <c r="O381" s="444">
        <v>1</v>
      </c>
      <c r="P381" s="444">
        <v>1</v>
      </c>
      <c r="Q381" s="444">
        <v>1</v>
      </c>
      <c r="R381" s="444">
        <v>1</v>
      </c>
      <c r="S381" s="102">
        <v>1</v>
      </c>
    </row>
    <row r="382" spans="1:19">
      <c r="A382" s="728">
        <v>382</v>
      </c>
      <c r="C382" s="728" t="s">
        <v>10</v>
      </c>
      <c r="D382" s="15" t="s">
        <v>531</v>
      </c>
      <c r="G382" s="444">
        <v>0</v>
      </c>
      <c r="H382" s="444">
        <v>0</v>
      </c>
      <c r="I382" s="444">
        <v>0</v>
      </c>
      <c r="J382" s="444">
        <v>0</v>
      </c>
      <c r="K382" s="444">
        <v>0</v>
      </c>
      <c r="L382" s="444">
        <v>0</v>
      </c>
      <c r="M382" s="444">
        <v>0</v>
      </c>
      <c r="N382" s="444">
        <v>0</v>
      </c>
      <c r="O382" s="444">
        <v>0</v>
      </c>
      <c r="P382" s="444">
        <v>0</v>
      </c>
      <c r="Q382" s="444">
        <v>0</v>
      </c>
      <c r="R382" s="444">
        <v>0</v>
      </c>
      <c r="S382" s="102">
        <v>0</v>
      </c>
    </row>
    <row r="383" spans="1:19">
      <c r="A383" s="728">
        <v>383</v>
      </c>
      <c r="C383" s="729" t="s">
        <v>90</v>
      </c>
      <c r="D383" s="15" t="s">
        <v>531</v>
      </c>
      <c r="G383" s="444">
        <v>111</v>
      </c>
      <c r="H383" s="444">
        <v>111</v>
      </c>
      <c r="I383" s="444">
        <v>111</v>
      </c>
      <c r="J383" s="444">
        <v>111</v>
      </c>
      <c r="K383" s="444">
        <v>111</v>
      </c>
      <c r="L383" s="444">
        <v>111</v>
      </c>
      <c r="M383" s="444">
        <v>111</v>
      </c>
      <c r="N383" s="444">
        <v>111</v>
      </c>
      <c r="O383" s="444">
        <v>111</v>
      </c>
      <c r="P383" s="444">
        <v>111</v>
      </c>
      <c r="Q383" s="444">
        <v>111</v>
      </c>
      <c r="R383" s="444">
        <v>111</v>
      </c>
      <c r="S383" s="102">
        <v>111</v>
      </c>
    </row>
    <row r="384" spans="1:19">
      <c r="A384" s="728">
        <v>384</v>
      </c>
      <c r="C384" s="728" t="s">
        <v>91</v>
      </c>
      <c r="D384" s="15" t="s">
        <v>531</v>
      </c>
      <c r="G384" s="444">
        <v>1</v>
      </c>
      <c r="H384" s="444">
        <v>1</v>
      </c>
      <c r="I384" s="444">
        <v>1</v>
      </c>
      <c r="J384" s="444">
        <v>1</v>
      </c>
      <c r="K384" s="444">
        <v>1</v>
      </c>
      <c r="L384" s="444">
        <v>1</v>
      </c>
      <c r="M384" s="444">
        <v>1</v>
      </c>
      <c r="N384" s="444">
        <v>1</v>
      </c>
      <c r="O384" s="444">
        <v>1</v>
      </c>
      <c r="P384" s="444">
        <v>1</v>
      </c>
      <c r="Q384" s="444">
        <v>1</v>
      </c>
      <c r="R384" s="444">
        <v>1</v>
      </c>
      <c r="S384" s="102">
        <v>1</v>
      </c>
    </row>
    <row r="385" spans="1:19">
      <c r="A385" s="728">
        <v>385</v>
      </c>
      <c r="C385" s="728" t="s">
        <v>127</v>
      </c>
      <c r="D385" s="15" t="s">
        <v>531</v>
      </c>
      <c r="G385" s="444">
        <v>1</v>
      </c>
      <c r="H385" s="444">
        <v>1</v>
      </c>
      <c r="I385" s="444">
        <v>1</v>
      </c>
      <c r="J385" s="444">
        <v>1</v>
      </c>
      <c r="K385" s="444">
        <v>1</v>
      </c>
      <c r="L385" s="444">
        <v>1</v>
      </c>
      <c r="M385" s="444">
        <v>1</v>
      </c>
      <c r="N385" s="444">
        <v>1</v>
      </c>
      <c r="O385" s="444">
        <v>1</v>
      </c>
      <c r="P385" s="444">
        <v>1</v>
      </c>
      <c r="Q385" s="444">
        <v>1</v>
      </c>
      <c r="R385" s="444">
        <v>1</v>
      </c>
      <c r="S385" s="102">
        <v>1</v>
      </c>
    </row>
    <row r="386" spans="1:19">
      <c r="A386" s="728">
        <v>386</v>
      </c>
      <c r="C386" s="728" t="s">
        <v>84</v>
      </c>
      <c r="D386" s="15" t="s">
        <v>531</v>
      </c>
      <c r="G386" s="444">
        <v>0</v>
      </c>
      <c r="H386" s="444">
        <v>0</v>
      </c>
      <c r="I386" s="444">
        <v>0</v>
      </c>
      <c r="J386" s="444">
        <v>0</v>
      </c>
      <c r="K386" s="444">
        <v>0</v>
      </c>
      <c r="L386" s="444">
        <v>0</v>
      </c>
      <c r="M386" s="444">
        <v>0</v>
      </c>
      <c r="N386" s="444">
        <v>0</v>
      </c>
      <c r="O386" s="444">
        <v>0</v>
      </c>
      <c r="P386" s="444">
        <v>0</v>
      </c>
      <c r="Q386" s="444">
        <v>0</v>
      </c>
      <c r="R386" s="444">
        <v>0</v>
      </c>
      <c r="S386" s="102">
        <v>0</v>
      </c>
    </row>
    <row r="387" spans="1:19">
      <c r="A387" s="728">
        <v>387</v>
      </c>
      <c r="C387" s="728" t="s">
        <v>85</v>
      </c>
      <c r="D387" s="15" t="s">
        <v>531</v>
      </c>
      <c r="G387" s="444">
        <v>0</v>
      </c>
      <c r="H387" s="444">
        <v>0</v>
      </c>
      <c r="I387" s="444">
        <v>0</v>
      </c>
      <c r="J387" s="444">
        <v>0</v>
      </c>
      <c r="K387" s="444">
        <v>0</v>
      </c>
      <c r="L387" s="444">
        <v>0</v>
      </c>
      <c r="M387" s="444">
        <v>0</v>
      </c>
      <c r="N387" s="444">
        <v>0</v>
      </c>
      <c r="O387" s="444">
        <v>0</v>
      </c>
      <c r="P387" s="444">
        <v>0</v>
      </c>
      <c r="Q387" s="444">
        <v>0</v>
      </c>
      <c r="R387" s="444">
        <v>0</v>
      </c>
      <c r="S387" s="102">
        <v>0</v>
      </c>
    </row>
    <row r="388" spans="1:19">
      <c r="A388" s="728">
        <v>388</v>
      </c>
      <c r="C388" s="728" t="s">
        <v>14</v>
      </c>
      <c r="D388" s="15" t="s">
        <v>531</v>
      </c>
      <c r="G388" s="444">
        <v>853164</v>
      </c>
      <c r="H388" s="444">
        <v>854724</v>
      </c>
      <c r="I388" s="444">
        <v>857107</v>
      </c>
      <c r="J388" s="444">
        <v>857829</v>
      </c>
      <c r="K388" s="444">
        <v>858229</v>
      </c>
      <c r="L388" s="444">
        <v>857956</v>
      </c>
      <c r="M388" s="444">
        <v>857058</v>
      </c>
      <c r="N388" s="444">
        <v>857203</v>
      </c>
      <c r="O388" s="444">
        <v>857111</v>
      </c>
      <c r="P388" s="444">
        <v>859991</v>
      </c>
      <c r="Q388" s="444">
        <v>864515</v>
      </c>
      <c r="R388" s="444">
        <v>867145</v>
      </c>
      <c r="S388" s="102" t="s">
        <v>885</v>
      </c>
    </row>
    <row r="389" spans="1:19">
      <c r="A389" s="728">
        <v>389</v>
      </c>
      <c r="C389" s="728" t="s">
        <v>15</v>
      </c>
      <c r="D389" s="15" t="s">
        <v>531</v>
      </c>
      <c r="G389" s="444">
        <v>24146</v>
      </c>
      <c r="H389" s="444">
        <v>24185</v>
      </c>
      <c r="I389" s="444">
        <v>24306</v>
      </c>
      <c r="J389" s="444">
        <v>23961</v>
      </c>
      <c r="K389" s="444">
        <v>23984</v>
      </c>
      <c r="L389" s="444">
        <v>23991</v>
      </c>
      <c r="M389" s="444">
        <v>23846</v>
      </c>
      <c r="N389" s="444">
        <v>23841</v>
      </c>
      <c r="O389" s="444">
        <v>23861</v>
      </c>
      <c r="P389" s="444">
        <v>24136</v>
      </c>
      <c r="Q389" s="444">
        <v>24211</v>
      </c>
      <c r="R389" s="444">
        <v>24290</v>
      </c>
      <c r="S389" s="102">
        <v>24290</v>
      </c>
    </row>
    <row r="390" spans="1:19">
      <c r="A390" s="728">
        <v>390</v>
      </c>
      <c r="C390" s="332" t="s">
        <v>809</v>
      </c>
      <c r="D390" s="15" t="s">
        <v>531</v>
      </c>
      <c r="G390" s="444">
        <v>46</v>
      </c>
      <c r="H390" s="444">
        <v>46</v>
      </c>
      <c r="I390" s="444">
        <v>46</v>
      </c>
      <c r="J390" s="444">
        <v>46</v>
      </c>
      <c r="K390" s="444">
        <v>46</v>
      </c>
      <c r="L390" s="444">
        <v>46</v>
      </c>
      <c r="M390" s="444">
        <v>46</v>
      </c>
      <c r="N390" s="444">
        <v>46</v>
      </c>
      <c r="O390" s="444">
        <v>46</v>
      </c>
      <c r="P390" s="444">
        <v>46</v>
      </c>
      <c r="Q390" s="444">
        <v>46</v>
      </c>
      <c r="R390" s="444">
        <v>46</v>
      </c>
      <c r="S390" s="102">
        <v>46</v>
      </c>
    </row>
    <row r="391" spans="1:19">
      <c r="A391" s="728">
        <v>391</v>
      </c>
      <c r="C391" s="332" t="s">
        <v>810</v>
      </c>
      <c r="D391" s="15" t="s">
        <v>531</v>
      </c>
      <c r="G391" s="444">
        <v>1</v>
      </c>
      <c r="H391" s="444">
        <v>1</v>
      </c>
      <c r="I391" s="444">
        <v>1</v>
      </c>
      <c r="J391" s="444">
        <v>1</v>
      </c>
      <c r="K391" s="444">
        <v>1</v>
      </c>
      <c r="L391" s="444">
        <v>1</v>
      </c>
      <c r="M391" s="444">
        <v>1</v>
      </c>
      <c r="N391" s="444">
        <v>1</v>
      </c>
      <c r="O391" s="444">
        <v>1</v>
      </c>
      <c r="P391" s="444">
        <v>1</v>
      </c>
      <c r="Q391" s="444">
        <v>1</v>
      </c>
      <c r="R391" s="444">
        <v>1</v>
      </c>
      <c r="S391" s="102">
        <v>1</v>
      </c>
    </row>
    <row r="392" spans="1:19">
      <c r="A392" s="728">
        <v>392</v>
      </c>
      <c r="C392" s="332" t="s">
        <v>765</v>
      </c>
      <c r="D392" s="15" t="s">
        <v>531</v>
      </c>
      <c r="G392" s="444">
        <v>1088</v>
      </c>
      <c r="H392" s="444">
        <v>1085</v>
      </c>
      <c r="I392" s="444">
        <v>1081</v>
      </c>
      <c r="J392" s="444">
        <v>1083</v>
      </c>
      <c r="K392" s="444">
        <v>1091</v>
      </c>
      <c r="L392" s="444">
        <v>1101</v>
      </c>
      <c r="M392" s="444">
        <v>1115</v>
      </c>
      <c r="N392" s="444">
        <v>1123</v>
      </c>
      <c r="O392" s="444">
        <v>1135</v>
      </c>
      <c r="P392" s="444">
        <v>1139</v>
      </c>
      <c r="Q392" s="444">
        <v>1143</v>
      </c>
      <c r="R392" s="444">
        <v>1143</v>
      </c>
      <c r="S392" s="102">
        <v>1143</v>
      </c>
    </row>
    <row r="393" spans="1:19">
      <c r="A393" s="728">
        <v>393</v>
      </c>
      <c r="C393" s="332" t="s">
        <v>88</v>
      </c>
      <c r="D393" s="15" t="s">
        <v>531</v>
      </c>
      <c r="G393" s="444">
        <v>0</v>
      </c>
      <c r="H393" s="444">
        <v>0</v>
      </c>
      <c r="I393" s="444">
        <v>0</v>
      </c>
      <c r="J393" s="444">
        <v>0</v>
      </c>
      <c r="K393" s="444">
        <v>0</v>
      </c>
      <c r="L393" s="444">
        <v>0</v>
      </c>
      <c r="M393" s="444">
        <v>0</v>
      </c>
      <c r="N393" s="444">
        <v>0</v>
      </c>
      <c r="O393" s="444">
        <v>0</v>
      </c>
      <c r="P393" s="444">
        <v>0</v>
      </c>
      <c r="Q393" s="444">
        <v>0</v>
      </c>
      <c r="R393" s="444">
        <v>0</v>
      </c>
      <c r="S393" s="102">
        <v>0</v>
      </c>
    </row>
    <row r="394" spans="1:19">
      <c r="A394" s="728">
        <v>394</v>
      </c>
      <c r="C394" s="332" t="s">
        <v>89</v>
      </c>
      <c r="D394" s="15" t="s">
        <v>531</v>
      </c>
      <c r="G394" s="444">
        <v>5</v>
      </c>
      <c r="H394" s="444">
        <v>5</v>
      </c>
      <c r="I394" s="444">
        <v>5</v>
      </c>
      <c r="J394" s="444">
        <v>5</v>
      </c>
      <c r="K394" s="444">
        <v>5</v>
      </c>
      <c r="L394" s="444">
        <v>5</v>
      </c>
      <c r="M394" s="444">
        <v>5</v>
      </c>
      <c r="N394" s="444">
        <v>5</v>
      </c>
      <c r="O394" s="444">
        <v>5</v>
      </c>
      <c r="P394" s="444">
        <v>5</v>
      </c>
      <c r="Q394" s="444">
        <v>5</v>
      </c>
      <c r="R394" s="444">
        <v>5</v>
      </c>
      <c r="S394" s="102">
        <v>5</v>
      </c>
    </row>
    <row r="395" spans="1:19">
      <c r="A395" s="728">
        <v>395</v>
      </c>
      <c r="C395" s="728" t="s">
        <v>25</v>
      </c>
      <c r="D395" s="15" t="s">
        <v>531</v>
      </c>
      <c r="G395" s="444">
        <v>3</v>
      </c>
      <c r="H395" s="444">
        <v>3</v>
      </c>
      <c r="I395" s="444">
        <v>3</v>
      </c>
      <c r="J395" s="444">
        <v>3</v>
      </c>
      <c r="K395" s="444">
        <v>3</v>
      </c>
      <c r="L395" s="444">
        <v>3</v>
      </c>
      <c r="M395" s="444">
        <v>3</v>
      </c>
      <c r="N395" s="444">
        <v>3</v>
      </c>
      <c r="O395" s="444">
        <v>3</v>
      </c>
      <c r="P395" s="444">
        <v>3</v>
      </c>
      <c r="Q395" s="444">
        <v>3</v>
      </c>
      <c r="R395" s="444">
        <v>3</v>
      </c>
      <c r="S395" s="102">
        <v>3</v>
      </c>
    </row>
    <row r="396" spans="1:19">
      <c r="A396" s="728">
        <v>396</v>
      </c>
      <c r="C396" s="332" t="s">
        <v>26</v>
      </c>
      <c r="D396" s="15" t="s">
        <v>531</v>
      </c>
      <c r="G396" s="444">
        <v>1</v>
      </c>
      <c r="H396" s="444">
        <v>1</v>
      </c>
      <c r="I396" s="444">
        <v>1</v>
      </c>
      <c r="J396" s="444">
        <v>1</v>
      </c>
      <c r="K396" s="444">
        <v>1</v>
      </c>
      <c r="L396" s="444">
        <v>1</v>
      </c>
      <c r="M396" s="444">
        <v>1</v>
      </c>
      <c r="N396" s="444">
        <v>1</v>
      </c>
      <c r="O396" s="444">
        <v>1</v>
      </c>
      <c r="P396" s="444">
        <v>1</v>
      </c>
      <c r="Q396" s="444">
        <v>1</v>
      </c>
      <c r="R396" s="444">
        <v>1</v>
      </c>
      <c r="S396" s="102">
        <v>1</v>
      </c>
    </row>
    <row r="397" spans="1:19">
      <c r="A397" s="728">
        <v>397</v>
      </c>
      <c r="C397" s="728" t="s">
        <v>545</v>
      </c>
      <c r="D397" s="15" t="s">
        <v>531</v>
      </c>
      <c r="G397" s="444">
        <v>25290</v>
      </c>
      <c r="H397" s="444">
        <v>25326</v>
      </c>
      <c r="I397" s="444">
        <v>25443</v>
      </c>
      <c r="J397" s="444">
        <v>25100</v>
      </c>
      <c r="K397" s="444">
        <v>25131</v>
      </c>
      <c r="L397" s="444">
        <v>25148</v>
      </c>
      <c r="M397" s="444">
        <v>25017</v>
      </c>
      <c r="N397" s="444">
        <v>25020</v>
      </c>
      <c r="O397" s="444">
        <v>25052</v>
      </c>
      <c r="P397" s="444">
        <v>25331</v>
      </c>
      <c r="Q397" s="444">
        <v>25410</v>
      </c>
      <c r="R397" s="444">
        <v>25489</v>
      </c>
      <c r="S397" s="102">
        <v>25489</v>
      </c>
    </row>
    <row r="398" spans="1:19">
      <c r="A398" s="728">
        <v>398</v>
      </c>
      <c r="C398" s="728" t="s">
        <v>89</v>
      </c>
      <c r="D398" s="15" t="s">
        <v>531</v>
      </c>
      <c r="G398" s="444">
        <v>0</v>
      </c>
      <c r="H398" s="444">
        <v>0</v>
      </c>
      <c r="I398" s="444">
        <v>0</v>
      </c>
      <c r="J398" s="444">
        <v>0</v>
      </c>
      <c r="K398" s="444">
        <v>0</v>
      </c>
      <c r="L398" s="444">
        <v>0</v>
      </c>
      <c r="M398" s="444">
        <v>0</v>
      </c>
      <c r="N398" s="444">
        <v>0</v>
      </c>
      <c r="O398" s="444">
        <v>0</v>
      </c>
      <c r="P398" s="444">
        <v>0</v>
      </c>
      <c r="Q398" s="444">
        <v>0</v>
      </c>
      <c r="R398" s="444">
        <v>0</v>
      </c>
      <c r="S398" s="102"/>
    </row>
    <row r="399" spans="1:19">
      <c r="A399" s="728">
        <v>399</v>
      </c>
      <c r="C399" s="728" t="s">
        <v>25</v>
      </c>
      <c r="D399" s="15" t="s">
        <v>531</v>
      </c>
      <c r="G399" s="444">
        <v>0</v>
      </c>
      <c r="H399" s="444">
        <v>0</v>
      </c>
      <c r="I399" s="444">
        <v>0</v>
      </c>
      <c r="J399" s="444">
        <v>0</v>
      </c>
      <c r="K399" s="444">
        <v>0</v>
      </c>
      <c r="L399" s="444">
        <v>0</v>
      </c>
      <c r="M399" s="444">
        <v>0</v>
      </c>
      <c r="N399" s="444">
        <v>0</v>
      </c>
      <c r="O399" s="444">
        <v>0</v>
      </c>
      <c r="P399" s="444">
        <v>0</v>
      </c>
      <c r="Q399" s="444">
        <v>0</v>
      </c>
      <c r="R399" s="444">
        <v>0</v>
      </c>
      <c r="S399" s="102"/>
    </row>
    <row r="400" spans="1:19">
      <c r="A400" s="728">
        <v>400</v>
      </c>
      <c r="C400" s="332" t="s">
        <v>547</v>
      </c>
      <c r="D400" s="15" t="s">
        <v>531</v>
      </c>
      <c r="G400" s="444">
        <v>0</v>
      </c>
      <c r="H400" s="444">
        <v>0</v>
      </c>
      <c r="I400" s="444">
        <v>0</v>
      </c>
      <c r="J400" s="444">
        <v>0</v>
      </c>
      <c r="K400" s="444">
        <v>0</v>
      </c>
      <c r="L400" s="444">
        <v>0</v>
      </c>
      <c r="M400" s="444">
        <v>0</v>
      </c>
      <c r="N400" s="444">
        <v>0</v>
      </c>
      <c r="O400" s="444">
        <v>0</v>
      </c>
      <c r="P400" s="444">
        <v>0</v>
      </c>
      <c r="Q400" s="444">
        <v>0</v>
      </c>
      <c r="R400" s="444">
        <v>0</v>
      </c>
      <c r="S400" s="102"/>
    </row>
    <row r="401" spans="1:19">
      <c r="A401" s="728">
        <v>401</v>
      </c>
      <c r="C401" s="33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</row>
    <row r="402" spans="1:19">
      <c r="A402" s="728">
        <v>402</v>
      </c>
      <c r="C402" s="33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</row>
    <row r="403" spans="1:19">
      <c r="A403" s="728">
        <v>403</v>
      </c>
      <c r="C403" s="33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</row>
    <row r="404" spans="1:19">
      <c r="A404" s="728">
        <v>404</v>
      </c>
      <c r="C404" s="33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</row>
    <row r="405" spans="1:19">
      <c r="A405" s="728">
        <v>405</v>
      </c>
      <c r="C405" s="728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</row>
    <row r="406" spans="1:19">
      <c r="A406" s="728">
        <v>406</v>
      </c>
      <c r="C406" s="728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</row>
    <row r="407" spans="1:19">
      <c r="A407" s="728">
        <v>407</v>
      </c>
      <c r="C407" s="728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</row>
    <row r="408" spans="1:19">
      <c r="A408" s="728">
        <v>408</v>
      </c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</row>
    <row r="409" spans="1:19">
      <c r="A409" s="728">
        <v>409</v>
      </c>
      <c r="B409" s="193" t="s">
        <v>209</v>
      </c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</row>
    <row r="410" spans="1:19">
      <c r="A410" s="728">
        <v>410</v>
      </c>
      <c r="B410" s="193">
        <v>39538</v>
      </c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</row>
    <row r="411" spans="1:19">
      <c r="A411" s="728">
        <v>411</v>
      </c>
      <c r="B411" s="193">
        <v>0.6720949074074074</v>
      </c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</row>
    <row r="412" spans="1:19">
      <c r="A412" s="728">
        <v>412</v>
      </c>
      <c r="B412" s="195">
        <v>0</v>
      </c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</row>
    <row r="413" spans="1:19">
      <c r="A413" s="728">
        <v>413</v>
      </c>
      <c r="B413" s="195" t="s">
        <v>79</v>
      </c>
      <c r="D413" s="197">
        <v>0</v>
      </c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</row>
    <row r="414" spans="1:19">
      <c r="A414" s="728">
        <v>414</v>
      </c>
      <c r="B414" s="246" t="s">
        <v>80</v>
      </c>
      <c r="D414" s="198">
        <v>0</v>
      </c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</row>
    <row r="415" spans="1:19">
      <c r="A415" s="728">
        <v>415</v>
      </c>
      <c r="B415" s="247" t="s">
        <v>81</v>
      </c>
    </row>
    <row r="416" spans="1:19">
      <c r="A416" s="728">
        <v>416</v>
      </c>
      <c r="B416" s="15"/>
    </row>
    <row r="417" spans="1:1">
      <c r="A417" s="728">
        <v>417</v>
      </c>
    </row>
    <row r="418" spans="1:1">
      <c r="A418" s="728">
        <v>418</v>
      </c>
    </row>
    <row r="419" spans="1:1">
      <c r="A419" s="728">
        <v>419</v>
      </c>
    </row>
    <row r="420" spans="1:1">
      <c r="A420" s="728">
        <v>420</v>
      </c>
    </row>
    <row r="421" spans="1:1">
      <c r="A421" s="728">
        <v>421</v>
      </c>
    </row>
    <row r="422" spans="1:1">
      <c r="A422" s="728">
        <v>422</v>
      </c>
    </row>
    <row r="423" spans="1:1">
      <c r="A423" s="728">
        <v>423</v>
      </c>
    </row>
    <row r="424" spans="1:1">
      <c r="A424" s="728">
        <v>424</v>
      </c>
    </row>
    <row r="425" spans="1:1">
      <c r="A425" s="728">
        <v>425</v>
      </c>
    </row>
    <row r="426" spans="1:1">
      <c r="A426" s="728">
        <v>426</v>
      </c>
    </row>
    <row r="427" spans="1:1">
      <c r="A427" s="728">
        <v>427</v>
      </c>
    </row>
    <row r="428" spans="1:1">
      <c r="A428" s="728">
        <v>428</v>
      </c>
    </row>
    <row r="429" spans="1:1">
      <c r="A429" s="728">
        <v>429</v>
      </c>
    </row>
    <row r="430" spans="1:1">
      <c r="A430" s="728">
        <v>430</v>
      </c>
    </row>
    <row r="431" spans="1:1">
      <c r="A431" s="728">
        <v>431</v>
      </c>
    </row>
    <row r="432" spans="1:1">
      <c r="A432" s="728">
        <v>432</v>
      </c>
    </row>
    <row r="433" spans="1:1">
      <c r="A433" s="728">
        <v>433</v>
      </c>
    </row>
    <row r="434" spans="1:1">
      <c r="A434" s="728">
        <v>434</v>
      </c>
    </row>
    <row r="435" spans="1:1">
      <c r="A435" s="728">
        <v>435</v>
      </c>
    </row>
    <row r="436" spans="1:1">
      <c r="A436" s="728">
        <v>436</v>
      </c>
    </row>
    <row r="437" spans="1:1">
      <c r="A437" s="728">
        <v>437</v>
      </c>
    </row>
    <row r="438" spans="1:1">
      <c r="A438" s="728">
        <v>438</v>
      </c>
    </row>
    <row r="439" spans="1:1">
      <c r="A439" s="728">
        <v>439</v>
      </c>
    </row>
    <row r="440" spans="1:1">
      <c r="A440" s="728">
        <v>440</v>
      </c>
    </row>
    <row r="441" spans="1:1">
      <c r="A441" s="728">
        <v>441</v>
      </c>
    </row>
    <row r="442" spans="1:1">
      <c r="A442" s="728">
        <v>442</v>
      </c>
    </row>
    <row r="443" spans="1:1">
      <c r="A443" s="728">
        <v>443</v>
      </c>
    </row>
    <row r="444" spans="1:1">
      <c r="A444" s="728">
        <v>444</v>
      </c>
    </row>
    <row r="445" spans="1:1">
      <c r="A445" s="728">
        <v>445</v>
      </c>
    </row>
    <row r="446" spans="1:1">
      <c r="A446" s="728">
        <v>446</v>
      </c>
    </row>
    <row r="447" spans="1:1">
      <c r="A447" s="728">
        <v>447</v>
      </c>
    </row>
    <row r="448" spans="1:1">
      <c r="A448" s="728">
        <v>448</v>
      </c>
    </row>
    <row r="449" spans="1:1">
      <c r="A449" s="728">
        <v>449</v>
      </c>
    </row>
    <row r="450" spans="1:1">
      <c r="A450" s="728">
        <v>450</v>
      </c>
    </row>
    <row r="451" spans="1:1">
      <c r="A451" s="728">
        <v>451</v>
      </c>
    </row>
    <row r="452" spans="1:1">
      <c r="A452" s="728">
        <v>452</v>
      </c>
    </row>
    <row r="453" spans="1:1">
      <c r="A453" s="728">
        <v>453</v>
      </c>
    </row>
    <row r="454" spans="1:1">
      <c r="A454" s="728">
        <v>454</v>
      </c>
    </row>
    <row r="455" spans="1:1">
      <c r="A455" s="728">
        <v>455</v>
      </c>
    </row>
    <row r="456" spans="1:1">
      <c r="A456" s="728">
        <v>456</v>
      </c>
    </row>
    <row r="457" spans="1:1">
      <c r="A457" s="728">
        <v>457</v>
      </c>
    </row>
    <row r="458" spans="1:1">
      <c r="A458" s="728">
        <v>458</v>
      </c>
    </row>
    <row r="459" spans="1:1">
      <c r="A459" s="728">
        <v>459</v>
      </c>
    </row>
    <row r="460" spans="1:1">
      <c r="A460" s="728">
        <v>460</v>
      </c>
    </row>
    <row r="461" spans="1:1">
      <c r="A461" s="728">
        <v>461</v>
      </c>
    </row>
    <row r="462" spans="1:1">
      <c r="A462" s="728">
        <v>462</v>
      </c>
    </row>
    <row r="463" spans="1:1">
      <c r="A463" s="728">
        <v>463</v>
      </c>
    </row>
    <row r="464" spans="1:1">
      <c r="A464" s="728">
        <v>464</v>
      </c>
    </row>
    <row r="465" spans="1:1">
      <c r="A465" s="728">
        <v>465</v>
      </c>
    </row>
    <row r="466" spans="1:1">
      <c r="A466" s="728">
        <v>466</v>
      </c>
    </row>
    <row r="467" spans="1:1">
      <c r="A467" s="728">
        <v>467</v>
      </c>
    </row>
    <row r="468" spans="1:1">
      <c r="A468" s="728">
        <v>468</v>
      </c>
    </row>
    <row r="469" spans="1:1">
      <c r="A469" s="728">
        <v>469</v>
      </c>
    </row>
    <row r="470" spans="1:1">
      <c r="A470" s="728">
        <v>470</v>
      </c>
    </row>
    <row r="471" spans="1:1">
      <c r="A471" s="728">
        <v>471</v>
      </c>
    </row>
    <row r="472" spans="1:1">
      <c r="A472" s="728">
        <v>472</v>
      </c>
    </row>
    <row r="473" spans="1:1">
      <c r="A473" s="728">
        <v>473</v>
      </c>
    </row>
    <row r="474" spans="1:1">
      <c r="A474" s="728">
        <v>474</v>
      </c>
    </row>
    <row r="475" spans="1:1">
      <c r="A475" s="728">
        <v>475</v>
      </c>
    </row>
    <row r="476" spans="1:1">
      <c r="A476" s="728">
        <v>476</v>
      </c>
    </row>
    <row r="477" spans="1:1">
      <c r="A477" s="728">
        <v>477</v>
      </c>
    </row>
    <row r="478" spans="1:1">
      <c r="A478" s="728">
        <v>478</v>
      </c>
    </row>
    <row r="479" spans="1:1">
      <c r="A479" s="728">
        <v>479</v>
      </c>
    </row>
    <row r="480" spans="1:1">
      <c r="A480" s="728">
        <v>480</v>
      </c>
    </row>
    <row r="481" spans="1:1">
      <c r="A481" s="728">
        <v>481</v>
      </c>
    </row>
    <row r="482" spans="1:1">
      <c r="A482" s="728">
        <v>482</v>
      </c>
    </row>
    <row r="483" spans="1:1">
      <c r="A483" s="728">
        <v>483</v>
      </c>
    </row>
    <row r="484" spans="1:1">
      <c r="A484" s="728">
        <v>484</v>
      </c>
    </row>
    <row r="485" spans="1:1">
      <c r="A485" s="728">
        <v>485</v>
      </c>
    </row>
    <row r="486" spans="1:1">
      <c r="A486" s="728">
        <v>486</v>
      </c>
    </row>
    <row r="487" spans="1:1">
      <c r="A487" s="728">
        <v>487</v>
      </c>
    </row>
    <row r="488" spans="1:1">
      <c r="A488" s="728">
        <v>488</v>
      </c>
    </row>
    <row r="489" spans="1:1">
      <c r="A489" s="728">
        <v>489</v>
      </c>
    </row>
    <row r="490" spans="1:1">
      <c r="A490" s="728">
        <v>490</v>
      </c>
    </row>
    <row r="491" spans="1:1">
      <c r="A491" s="728">
        <v>491</v>
      </c>
    </row>
    <row r="492" spans="1:1">
      <c r="A492" s="728">
        <v>492</v>
      </c>
    </row>
    <row r="493" spans="1:1">
      <c r="A493" s="728">
        <v>493</v>
      </c>
    </row>
    <row r="494" spans="1:1">
      <c r="A494" s="728">
        <v>494</v>
      </c>
    </row>
    <row r="495" spans="1:1">
      <c r="A495" s="728">
        <v>495</v>
      </c>
    </row>
    <row r="496" spans="1:1">
      <c r="A496" s="728">
        <v>496</v>
      </c>
    </row>
    <row r="497" spans="1:1">
      <c r="A497" s="728">
        <v>497</v>
      </c>
    </row>
    <row r="498" spans="1:1">
      <c r="A498" s="728">
        <v>498</v>
      </c>
    </row>
    <row r="499" spans="1:1">
      <c r="A499" s="728">
        <v>499</v>
      </c>
    </row>
    <row r="500" spans="1:1">
      <c r="A500" s="728">
        <v>500</v>
      </c>
    </row>
    <row r="501" spans="1:1">
      <c r="A501" s="728">
        <v>501</v>
      </c>
    </row>
    <row r="502" spans="1:1">
      <c r="A502" s="728">
        <v>502</v>
      </c>
    </row>
    <row r="503" spans="1:1">
      <c r="A503" s="728">
        <v>503</v>
      </c>
    </row>
    <row r="504" spans="1:1">
      <c r="A504" s="728">
        <v>504</v>
      </c>
    </row>
    <row r="505" spans="1:1">
      <c r="A505" s="728">
        <v>505</v>
      </c>
    </row>
    <row r="506" spans="1:1">
      <c r="A506" s="728">
        <v>506</v>
      </c>
    </row>
    <row r="507" spans="1:1">
      <c r="A507" s="728">
        <v>507</v>
      </c>
    </row>
    <row r="508" spans="1:1">
      <c r="A508" s="728">
        <v>508</v>
      </c>
    </row>
    <row r="509" spans="1:1">
      <c r="A509" s="728">
        <v>509</v>
      </c>
    </row>
    <row r="510" spans="1:1">
      <c r="A510" s="728">
        <v>510</v>
      </c>
    </row>
    <row r="511" spans="1:1">
      <c r="A511" s="728">
        <v>511</v>
      </c>
    </row>
    <row r="512" spans="1:1">
      <c r="A512" s="728">
        <v>512</v>
      </c>
    </row>
    <row r="513" spans="1:1">
      <c r="A513" s="728">
        <v>513</v>
      </c>
    </row>
    <row r="514" spans="1:1">
      <c r="A514" s="728">
        <v>514</v>
      </c>
    </row>
    <row r="515" spans="1:1">
      <c r="A515" s="728">
        <v>515</v>
      </c>
    </row>
    <row r="516" spans="1:1">
      <c r="A516" s="728">
        <v>516</v>
      </c>
    </row>
    <row r="517" spans="1:1">
      <c r="A517" s="728">
        <v>517</v>
      </c>
    </row>
    <row r="518" spans="1:1">
      <c r="A518" s="728">
        <v>518</v>
      </c>
    </row>
    <row r="519" spans="1:1">
      <c r="A519" s="728">
        <v>519</v>
      </c>
    </row>
    <row r="520" spans="1:1">
      <c r="A520" s="728">
        <v>520</v>
      </c>
    </row>
    <row r="521" spans="1:1">
      <c r="A521" s="728">
        <v>521</v>
      </c>
    </row>
    <row r="522" spans="1:1">
      <c r="A522" s="728">
        <v>522</v>
      </c>
    </row>
    <row r="523" spans="1:1">
      <c r="A523" s="728">
        <v>523</v>
      </c>
    </row>
    <row r="524" spans="1:1">
      <c r="A524" s="728">
        <v>524</v>
      </c>
    </row>
    <row r="525" spans="1:1">
      <c r="A525" s="728">
        <v>525</v>
      </c>
    </row>
    <row r="526" spans="1:1">
      <c r="A526" s="728">
        <v>526</v>
      </c>
    </row>
    <row r="527" spans="1:1">
      <c r="A527" s="728">
        <v>527</v>
      </c>
    </row>
    <row r="528" spans="1:1">
      <c r="A528" s="728">
        <v>528</v>
      </c>
    </row>
    <row r="529" spans="1:1">
      <c r="A529" s="728">
        <v>529</v>
      </c>
    </row>
    <row r="530" spans="1:1">
      <c r="A530" s="728">
        <v>530</v>
      </c>
    </row>
    <row r="531" spans="1:1">
      <c r="A531" s="728">
        <v>531</v>
      </c>
    </row>
    <row r="532" spans="1:1">
      <c r="A532" s="728">
        <v>532</v>
      </c>
    </row>
    <row r="533" spans="1:1">
      <c r="A533" s="728">
        <v>533</v>
      </c>
    </row>
    <row r="534" spans="1:1">
      <c r="A534" s="728">
        <v>534</v>
      </c>
    </row>
    <row r="535" spans="1:1">
      <c r="A535" s="728">
        <v>535</v>
      </c>
    </row>
    <row r="536" spans="1:1">
      <c r="A536" s="728">
        <v>536</v>
      </c>
    </row>
    <row r="537" spans="1:1">
      <c r="A537" s="728">
        <v>537</v>
      </c>
    </row>
    <row r="538" spans="1:1">
      <c r="A538" s="728">
        <v>538</v>
      </c>
    </row>
    <row r="539" spans="1:1">
      <c r="A539" s="728">
        <v>539</v>
      </c>
    </row>
    <row r="540" spans="1:1">
      <c r="A540" s="728">
        <v>540</v>
      </c>
    </row>
    <row r="541" spans="1:1">
      <c r="A541" s="728">
        <v>541</v>
      </c>
    </row>
    <row r="542" spans="1:1">
      <c r="A542" s="728">
        <v>542</v>
      </c>
    </row>
    <row r="543" spans="1:1">
      <c r="A543" s="728">
        <v>543</v>
      </c>
    </row>
    <row r="544" spans="1:1">
      <c r="A544" s="728">
        <v>544</v>
      </c>
    </row>
    <row r="545" spans="1:1">
      <c r="A545" s="728">
        <v>545</v>
      </c>
    </row>
    <row r="546" spans="1:1">
      <c r="A546" s="728">
        <v>546</v>
      </c>
    </row>
    <row r="547" spans="1:1">
      <c r="A547" s="728">
        <v>547</v>
      </c>
    </row>
    <row r="548" spans="1:1">
      <c r="A548" s="728">
        <v>548</v>
      </c>
    </row>
    <row r="549" spans="1:1">
      <c r="A549" s="728">
        <v>549</v>
      </c>
    </row>
    <row r="550" spans="1:1">
      <c r="A550" s="728">
        <v>550</v>
      </c>
    </row>
    <row r="551" spans="1:1">
      <c r="A551" s="728">
        <v>551</v>
      </c>
    </row>
    <row r="552" spans="1:1">
      <c r="A552" s="728">
        <v>552</v>
      </c>
    </row>
    <row r="553" spans="1:1">
      <c r="A553" s="728">
        <v>553</v>
      </c>
    </row>
    <row r="554" spans="1:1">
      <c r="A554" s="728">
        <v>554</v>
      </c>
    </row>
    <row r="555" spans="1:1">
      <c r="A555" s="728">
        <v>555</v>
      </c>
    </row>
    <row r="556" spans="1:1">
      <c r="A556" s="728">
        <v>556</v>
      </c>
    </row>
    <row r="557" spans="1:1">
      <c r="A557" s="728">
        <v>557</v>
      </c>
    </row>
    <row r="558" spans="1:1">
      <c r="A558" s="728">
        <v>558</v>
      </c>
    </row>
    <row r="559" spans="1:1">
      <c r="A559" s="728">
        <v>559</v>
      </c>
    </row>
    <row r="560" spans="1:1">
      <c r="A560" s="728">
        <v>560</v>
      </c>
    </row>
    <row r="561" spans="1:1">
      <c r="A561" s="728">
        <v>561</v>
      </c>
    </row>
    <row r="562" spans="1:1">
      <c r="A562" s="728">
        <v>562</v>
      </c>
    </row>
    <row r="563" spans="1:1">
      <c r="A563" s="728">
        <v>563</v>
      </c>
    </row>
    <row r="564" spans="1:1">
      <c r="A564" s="728">
        <v>564</v>
      </c>
    </row>
    <row r="565" spans="1:1">
      <c r="A565" s="728">
        <v>565</v>
      </c>
    </row>
    <row r="566" spans="1:1">
      <c r="A566" s="728">
        <v>566</v>
      </c>
    </row>
    <row r="567" spans="1:1">
      <c r="A567" s="728">
        <v>567</v>
      </c>
    </row>
    <row r="568" spans="1:1">
      <c r="A568" s="728">
        <v>568</v>
      </c>
    </row>
    <row r="569" spans="1:1">
      <c r="A569" s="728">
        <v>569</v>
      </c>
    </row>
    <row r="570" spans="1:1">
      <c r="A570" s="728">
        <v>570</v>
      </c>
    </row>
    <row r="571" spans="1:1">
      <c r="A571" s="728">
        <v>571</v>
      </c>
    </row>
    <row r="572" spans="1:1">
      <c r="A572" s="728">
        <v>572</v>
      </c>
    </row>
    <row r="573" spans="1:1">
      <c r="A573" s="728">
        <v>573</v>
      </c>
    </row>
    <row r="574" spans="1:1">
      <c r="A574" s="728">
        <v>574</v>
      </c>
    </row>
    <row r="575" spans="1:1">
      <c r="A575" s="728">
        <v>575</v>
      </c>
    </row>
    <row r="576" spans="1:1">
      <c r="A576" s="728">
        <v>576</v>
      </c>
    </row>
    <row r="577" spans="1:1">
      <c r="A577" s="728">
        <v>577</v>
      </c>
    </row>
    <row r="578" spans="1:1">
      <c r="A578" s="728">
        <v>578</v>
      </c>
    </row>
    <row r="579" spans="1:1">
      <c r="A579" s="728">
        <v>579</v>
      </c>
    </row>
    <row r="580" spans="1:1">
      <c r="A580" s="728">
        <v>580</v>
      </c>
    </row>
    <row r="581" spans="1:1">
      <c r="A581" s="728">
        <v>581</v>
      </c>
    </row>
    <row r="582" spans="1:1">
      <c r="A582" s="728">
        <v>582</v>
      </c>
    </row>
    <row r="583" spans="1:1">
      <c r="A583" s="728">
        <v>583</v>
      </c>
    </row>
    <row r="584" spans="1:1">
      <c r="A584" s="728">
        <v>584</v>
      </c>
    </row>
    <row r="585" spans="1:1">
      <c r="A585" s="728">
        <v>585</v>
      </c>
    </row>
    <row r="586" spans="1:1">
      <c r="A586" s="728">
        <v>586</v>
      </c>
    </row>
    <row r="587" spans="1:1">
      <c r="A587" s="728">
        <v>587</v>
      </c>
    </row>
    <row r="588" spans="1:1">
      <c r="A588" s="728">
        <v>588</v>
      </c>
    </row>
    <row r="589" spans="1:1">
      <c r="A589" s="728">
        <v>589</v>
      </c>
    </row>
    <row r="590" spans="1:1">
      <c r="A590" s="728">
        <v>590</v>
      </c>
    </row>
    <row r="591" spans="1:1">
      <c r="A591" s="728">
        <v>591</v>
      </c>
    </row>
    <row r="592" spans="1:1">
      <c r="A592" s="728">
        <v>592</v>
      </c>
    </row>
    <row r="593" spans="1:1">
      <c r="A593" s="728">
        <v>593</v>
      </c>
    </row>
    <row r="594" spans="1:1">
      <c r="A594" s="728">
        <v>594</v>
      </c>
    </row>
    <row r="595" spans="1:1">
      <c r="A595" s="728">
        <v>595</v>
      </c>
    </row>
    <row r="596" spans="1:1">
      <c r="A596" s="728">
        <v>596</v>
      </c>
    </row>
    <row r="597" spans="1:1">
      <c r="A597" s="728">
        <v>597</v>
      </c>
    </row>
    <row r="598" spans="1:1">
      <c r="A598" s="728">
        <v>598</v>
      </c>
    </row>
    <row r="599" spans="1:1">
      <c r="A599" s="728">
        <v>599</v>
      </c>
    </row>
    <row r="600" spans="1:1">
      <c r="A600" s="728">
        <v>600</v>
      </c>
    </row>
    <row r="601" spans="1:1">
      <c r="A601" s="728">
        <v>601</v>
      </c>
    </row>
    <row r="602" spans="1:1">
      <c r="A602" s="728">
        <v>602</v>
      </c>
    </row>
    <row r="603" spans="1:1">
      <c r="A603" s="728">
        <v>603</v>
      </c>
    </row>
    <row r="604" spans="1:1">
      <c r="A604" s="728">
        <v>604</v>
      </c>
    </row>
    <row r="605" spans="1:1">
      <c r="A605" s="728">
        <v>605</v>
      </c>
    </row>
    <row r="606" spans="1:1">
      <c r="A606" s="728">
        <v>606</v>
      </c>
    </row>
    <row r="607" spans="1:1">
      <c r="A607" s="728">
        <v>607</v>
      </c>
    </row>
    <row r="608" spans="1:1">
      <c r="A608" s="728">
        <v>608</v>
      </c>
    </row>
    <row r="609" spans="1:1">
      <c r="A609" s="728">
        <v>609</v>
      </c>
    </row>
    <row r="610" spans="1:1">
      <c r="A610" s="728">
        <v>610</v>
      </c>
    </row>
    <row r="611" spans="1:1">
      <c r="A611" s="728">
        <v>611</v>
      </c>
    </row>
    <row r="612" spans="1:1">
      <c r="A612" s="728">
        <v>612</v>
      </c>
    </row>
    <row r="613" spans="1:1">
      <c r="A613" s="728">
        <v>613</v>
      </c>
    </row>
    <row r="614" spans="1:1">
      <c r="A614" s="728">
        <v>614</v>
      </c>
    </row>
    <row r="615" spans="1:1">
      <c r="A615" s="728">
        <v>615</v>
      </c>
    </row>
    <row r="616" spans="1:1">
      <c r="A616" s="728">
        <v>616</v>
      </c>
    </row>
    <row r="617" spans="1:1">
      <c r="A617" s="728">
        <v>617</v>
      </c>
    </row>
    <row r="618" spans="1:1">
      <c r="A618" s="728">
        <v>618</v>
      </c>
    </row>
    <row r="619" spans="1:1">
      <c r="A619" s="728">
        <v>619</v>
      </c>
    </row>
    <row r="620" spans="1:1">
      <c r="A620" s="728">
        <v>620</v>
      </c>
    </row>
    <row r="621" spans="1:1">
      <c r="A621" s="728">
        <v>621</v>
      </c>
    </row>
    <row r="622" spans="1:1">
      <c r="A622" s="728">
        <v>622</v>
      </c>
    </row>
    <row r="623" spans="1:1">
      <c r="A623" s="728">
        <v>623</v>
      </c>
    </row>
    <row r="624" spans="1:1">
      <c r="A624" s="728">
        <v>624</v>
      </c>
    </row>
    <row r="625" spans="1:1">
      <c r="A625" s="728">
        <v>625</v>
      </c>
    </row>
    <row r="626" spans="1:1">
      <c r="A626" s="728">
        <v>626</v>
      </c>
    </row>
    <row r="627" spans="1:1">
      <c r="A627" s="728">
        <v>627</v>
      </c>
    </row>
    <row r="628" spans="1:1">
      <c r="A628" s="728">
        <v>628</v>
      </c>
    </row>
    <row r="629" spans="1:1">
      <c r="A629" s="728">
        <v>629</v>
      </c>
    </row>
    <row r="630" spans="1:1">
      <c r="A630" s="728">
        <v>630</v>
      </c>
    </row>
    <row r="631" spans="1:1">
      <c r="A631" s="728">
        <v>631</v>
      </c>
    </row>
    <row r="632" spans="1:1">
      <c r="A632" s="728">
        <v>632</v>
      </c>
    </row>
    <row r="633" spans="1:1">
      <c r="A633" s="728">
        <v>633</v>
      </c>
    </row>
    <row r="634" spans="1:1">
      <c r="A634" s="728">
        <v>634</v>
      </c>
    </row>
    <row r="635" spans="1:1">
      <c r="A635" s="728">
        <v>635</v>
      </c>
    </row>
    <row r="636" spans="1:1">
      <c r="A636" s="728">
        <v>636</v>
      </c>
    </row>
    <row r="637" spans="1:1">
      <c r="A637" s="728">
        <v>637</v>
      </c>
    </row>
    <row r="638" spans="1:1">
      <c r="A638" s="728">
        <v>638</v>
      </c>
    </row>
    <row r="639" spans="1:1">
      <c r="A639" s="728">
        <v>639</v>
      </c>
    </row>
    <row r="640" spans="1:1">
      <c r="A640" s="728">
        <v>640</v>
      </c>
    </row>
    <row r="641" spans="1:1">
      <c r="A641" s="728">
        <v>641</v>
      </c>
    </row>
    <row r="642" spans="1:1">
      <c r="A642" s="728">
        <v>642</v>
      </c>
    </row>
    <row r="643" spans="1:1">
      <c r="A643" s="728">
        <v>643</v>
      </c>
    </row>
    <row r="644" spans="1:1">
      <c r="A644" s="728">
        <v>644</v>
      </c>
    </row>
    <row r="645" spans="1:1">
      <c r="A645" s="728">
        <v>645</v>
      </c>
    </row>
    <row r="646" spans="1:1">
      <c r="A646" s="728">
        <v>646</v>
      </c>
    </row>
    <row r="647" spans="1:1">
      <c r="A647" s="728">
        <v>647</v>
      </c>
    </row>
    <row r="648" spans="1:1">
      <c r="A648" s="728">
        <v>648</v>
      </c>
    </row>
    <row r="649" spans="1:1">
      <c r="A649" s="728">
        <v>649</v>
      </c>
    </row>
    <row r="650" spans="1:1">
      <c r="A650" s="728">
        <v>650</v>
      </c>
    </row>
  </sheetData>
  <phoneticPr fontId="16" type="noConversion"/>
  <dataValidations count="1">
    <dataValidation type="list" showInputMessage="1" showErrorMessage="1" sqref="V7:AH7 AJ7:AV7 H7:T7">
      <formula1>"Revenue Dec 09 GS ONLY,Revenue Dec 09 GSR_GSC ONLY,Revenue Dec 09 SILOS ONLY,Revenue Dec 09 VOLUMETRIC RATES,Revenue Dec 10 VOLUMETRIC RATES,Revenue Dec 09 @ ALLOWED RATES,Revenue Dec 10 @ ALLOWED RATES"</formula1>
    </dataValidation>
  </dataValidations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63809" r:id="rId3" name="Button 1">
              <controlPr defaultSize="0" print="0" autoFill="0" autoPict="0" macro="[0]!Macro5">
                <anchor moveWithCells="1" sizeWithCells="1">
                  <from>
                    <xdr:col>1</xdr:col>
                    <xdr:colOff>180975</xdr:colOff>
                    <xdr:row>4</xdr:row>
                    <xdr:rowOff>104775</xdr:rowOff>
                  </from>
                  <to>
                    <xdr:col>3</xdr:col>
                    <xdr:colOff>123825</xdr:colOff>
                    <xdr:row>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450"/>
  <sheetViews>
    <sheetView zoomScale="80" zoomScaleNormal="80" workbookViewId="0">
      <pane xSplit="5" ySplit="9" topLeftCell="G10" activePane="bottomRight" state="frozen"/>
      <selection pane="topRight" activeCell="F1" sqref="F1"/>
      <selection pane="bottomLeft" activeCell="A10" sqref="A10"/>
      <selection pane="bottomRight" activeCell="K30" sqref="K30"/>
    </sheetView>
  </sheetViews>
  <sheetFormatPr defaultRowHeight="12.75"/>
  <cols>
    <col min="1" max="1" width="7.5703125" style="15" bestFit="1" customWidth="1"/>
    <col min="2" max="2" width="12.140625" style="15" customWidth="1"/>
    <col min="3" max="3" width="5.7109375" style="15" customWidth="1"/>
    <col min="4" max="4" width="5.28515625" style="15" customWidth="1"/>
    <col min="5" max="5" width="25.7109375" style="15" customWidth="1"/>
    <col min="6" max="6" width="18.5703125" style="15" hidden="1" customWidth="1"/>
    <col min="7" max="7" width="18.5703125" style="15" customWidth="1"/>
    <col min="8" max="9" width="16.5703125" style="15" hidden="1" customWidth="1"/>
    <col min="10" max="10" width="3.28515625" style="15" customWidth="1"/>
    <col min="11" max="11" width="18" style="15" customWidth="1"/>
    <col min="12" max="12" width="17.42578125" style="15" customWidth="1"/>
    <col min="13" max="13" width="7.85546875" style="15" customWidth="1"/>
    <col min="14" max="14" width="9.140625" style="15"/>
    <col min="15" max="16" width="18.5703125" style="15" customWidth="1"/>
    <col min="17" max="17" width="16.5703125" style="15" customWidth="1"/>
    <col min="18" max="18" width="2.5703125" style="15" customWidth="1"/>
    <col min="19" max="19" width="18" style="15" customWidth="1"/>
    <col min="20" max="20" width="17.42578125" style="15" customWidth="1"/>
    <col min="21" max="24" width="9.140625" style="15"/>
    <col min="25" max="25" width="3.28515625" style="15" customWidth="1"/>
    <col min="26" max="26" width="15.42578125" style="15" customWidth="1"/>
    <col min="27" max="27" width="15.42578125" style="15" bestFit="1" customWidth="1"/>
    <col min="28" max="28" width="15.42578125" style="15" customWidth="1"/>
    <col min="29" max="29" width="13" style="15" customWidth="1"/>
    <col min="30" max="35" width="9.140625" style="15"/>
    <col min="36" max="36" width="5.7109375" style="15" customWidth="1"/>
    <col min="37" max="37" width="32.42578125" style="15" bestFit="1" customWidth="1"/>
    <col min="38" max="38" width="11.7109375" style="15" bestFit="1" customWidth="1"/>
    <col min="39" max="39" width="12.85546875" style="15" bestFit="1" customWidth="1"/>
    <col min="40" max="40" width="10.28515625" style="15" bestFit="1" customWidth="1"/>
    <col min="41" max="16384" width="9.140625" style="15"/>
  </cols>
  <sheetData>
    <row r="1" spans="1:24">
      <c r="B1" s="19" t="s">
        <v>875</v>
      </c>
      <c r="C1" s="34"/>
      <c r="D1" s="14"/>
      <c r="E1" s="14"/>
      <c r="F1" s="140"/>
      <c r="G1" s="140"/>
      <c r="H1" s="140"/>
      <c r="I1" s="140"/>
      <c r="K1" s="140"/>
      <c r="L1" s="140"/>
      <c r="M1" s="4"/>
    </row>
    <row r="2" spans="1:24">
      <c r="B2" s="1141" t="str">
        <f>'Control Panel'!$B$1</f>
        <v>Dominion Energy</v>
      </c>
      <c r="C2" s="34"/>
      <c r="D2" s="14"/>
      <c r="E2" s="14"/>
      <c r="F2" s="141"/>
      <c r="G2" s="141"/>
      <c r="H2" s="141"/>
      <c r="I2" s="141"/>
      <c r="K2" s="141"/>
      <c r="L2" s="141"/>
      <c r="M2" s="4"/>
    </row>
    <row r="3" spans="1:24">
      <c r="B3" s="1141" t="str">
        <f>'Control Panel'!$B$2</f>
        <v>Utah - DEC 2019 Adjusted Avg  Results</v>
      </c>
      <c r="C3" s="745"/>
      <c r="D3" s="113"/>
      <c r="E3" s="14"/>
      <c r="F3" s="142"/>
      <c r="G3" s="142"/>
      <c r="H3" s="142"/>
      <c r="I3" s="142"/>
      <c r="K3" s="142"/>
      <c r="L3" s="142"/>
      <c r="M3" s="4"/>
    </row>
    <row r="4" spans="1:24">
      <c r="B4" s="1141" t="str">
        <f>'Control Panel'!$B$3</f>
        <v>12 Months Ended : Dec-2019</v>
      </c>
      <c r="C4" s="745"/>
      <c r="D4" s="114"/>
      <c r="E4" s="114"/>
      <c r="F4" s="140"/>
      <c r="G4" s="140"/>
      <c r="H4" s="140"/>
      <c r="I4" s="140"/>
      <c r="K4" s="140"/>
      <c r="L4" s="140"/>
      <c r="M4" s="4"/>
    </row>
    <row r="5" spans="1:24">
      <c r="A5" s="8"/>
      <c r="B5" s="114"/>
      <c r="C5" s="114"/>
      <c r="D5" s="114"/>
      <c r="E5" s="114"/>
      <c r="F5" s="143" t="s">
        <v>1063</v>
      </c>
      <c r="G5" s="143" t="s">
        <v>1063</v>
      </c>
      <c r="H5" s="143" t="s">
        <v>1117</v>
      </c>
      <c r="I5" s="143" t="s">
        <v>1117</v>
      </c>
      <c r="K5" s="143" t="s">
        <v>1117</v>
      </c>
      <c r="L5" s="143"/>
      <c r="M5" s="4"/>
    </row>
    <row r="6" spans="1:24" s="648" customFormat="1" ht="45" customHeight="1">
      <c r="A6" s="746"/>
      <c r="B6" s="747"/>
      <c r="C6" s="747"/>
      <c r="D6" s="747"/>
      <c r="E6" s="15"/>
      <c r="F6" s="139" t="s">
        <v>1232</v>
      </c>
      <c r="G6" s="139" t="str">
        <f>"Expense "&amp;'Control Panel'!H8</f>
        <v>Expense 2017</v>
      </c>
      <c r="H6" s="139" t="str">
        <f>"Expense "&amp;'Control Panel'!J8</f>
        <v>Expense 2018</v>
      </c>
      <c r="I6" s="139" t="str">
        <f>"Expense "&amp;'Control Panel'!L8</f>
        <v>Expense 2019</v>
      </c>
      <c r="J6" s="139"/>
      <c r="K6" s="139" t="str">
        <f>+'Control Panel'!B28</f>
        <v>Expense 2019</v>
      </c>
      <c r="L6" s="139" t="s">
        <v>42</v>
      </c>
      <c r="M6" s="748">
        <v>1</v>
      </c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>
      <c r="A7" s="23"/>
      <c r="B7" s="85"/>
      <c r="C7" s="34"/>
      <c r="D7" s="34"/>
      <c r="E7" s="578"/>
      <c r="F7" s="144"/>
      <c r="G7" s="144"/>
      <c r="H7" s="144"/>
      <c r="I7" s="144"/>
      <c r="K7" s="144"/>
      <c r="L7" s="143"/>
      <c r="M7" s="225">
        <f>+M6+1</f>
        <v>2</v>
      </c>
    </row>
    <row r="8" spans="1:24">
      <c r="A8" s="23"/>
      <c r="B8" s="36"/>
      <c r="C8" s="14"/>
      <c r="D8" s="14"/>
      <c r="E8" s="14"/>
      <c r="F8" s="144"/>
      <c r="G8" s="144"/>
      <c r="H8" s="144"/>
      <c r="I8" s="144"/>
      <c r="K8" s="144"/>
      <c r="L8" s="223"/>
      <c r="M8" s="225">
        <f t="shared" ref="M8:M71" si="0">+M7+1</f>
        <v>3</v>
      </c>
    </row>
    <row r="9" spans="1:24" ht="13.5" thickBot="1">
      <c r="A9" s="566" t="s">
        <v>294</v>
      </c>
      <c r="B9" s="47" t="s">
        <v>841</v>
      </c>
      <c r="C9" s="48"/>
      <c r="D9" s="1552" t="s">
        <v>842</v>
      </c>
      <c r="E9" s="1552"/>
      <c r="F9" s="146"/>
      <c r="G9" s="146"/>
      <c r="H9" s="146"/>
      <c r="I9" s="146"/>
      <c r="K9" s="146" t="s">
        <v>42</v>
      </c>
      <c r="L9" s="146"/>
      <c r="M9" s="225">
        <f t="shared" si="0"/>
        <v>4</v>
      </c>
    </row>
    <row r="10" spans="1:24">
      <c r="A10" s="250">
        <v>510</v>
      </c>
      <c r="B10" s="1550" t="s">
        <v>342</v>
      </c>
      <c r="C10" s="1550"/>
      <c r="D10" s="1550"/>
      <c r="E10" s="1550"/>
      <c r="F10" s="147"/>
      <c r="G10" s="147"/>
      <c r="H10" s="147"/>
      <c r="I10" s="147"/>
      <c r="K10" s="147"/>
      <c r="L10" s="147"/>
      <c r="M10" s="225">
        <f t="shared" si="0"/>
        <v>5</v>
      </c>
    </row>
    <row r="11" spans="1:24">
      <c r="A11" s="250">
        <f t="shared" ref="A11:A75" si="1">+A10+1</f>
        <v>511</v>
      </c>
      <c r="B11" s="36" t="s">
        <v>343</v>
      </c>
      <c r="C11" s="102"/>
      <c r="D11" s="102"/>
      <c r="E11" s="102"/>
      <c r="F11" s="147"/>
      <c r="G11" s="147"/>
      <c r="H11" s="147"/>
      <c r="I11" s="147"/>
      <c r="K11" s="147"/>
      <c r="L11" s="147"/>
      <c r="M11" s="225">
        <f t="shared" si="0"/>
        <v>6</v>
      </c>
    </row>
    <row r="12" spans="1:24">
      <c r="A12" s="250">
        <f t="shared" si="1"/>
        <v>512</v>
      </c>
      <c r="B12" s="227"/>
      <c r="C12" s="102"/>
      <c r="D12" s="102"/>
      <c r="E12" s="102"/>
      <c r="F12" s="147"/>
      <c r="G12" s="147"/>
      <c r="H12" s="147"/>
      <c r="I12" s="147"/>
      <c r="K12" s="147"/>
      <c r="L12" s="147"/>
      <c r="M12" s="225">
        <f t="shared" si="0"/>
        <v>7</v>
      </c>
    </row>
    <row r="13" spans="1:24">
      <c r="A13" s="250">
        <f t="shared" si="1"/>
        <v>513</v>
      </c>
      <c r="B13" s="136"/>
      <c r="C13" s="102" t="s">
        <v>168</v>
      </c>
      <c r="D13" s="102"/>
      <c r="E13" s="102"/>
      <c r="F13" s="147"/>
      <c r="G13" s="147"/>
      <c r="H13" s="147"/>
      <c r="I13" s="147"/>
      <c r="K13" s="147"/>
      <c r="L13" s="147"/>
      <c r="M13" s="225">
        <f t="shared" si="0"/>
        <v>8</v>
      </c>
    </row>
    <row r="14" spans="1:24">
      <c r="A14" s="250">
        <f t="shared" si="1"/>
        <v>514</v>
      </c>
      <c r="B14" s="136"/>
      <c r="C14" s="102"/>
      <c r="D14" s="102"/>
      <c r="E14" s="102"/>
      <c r="F14" s="147"/>
      <c r="G14" s="147"/>
      <c r="H14" s="147"/>
      <c r="I14" s="147"/>
      <c r="K14" s="147"/>
      <c r="L14" s="147"/>
      <c r="M14" s="225">
        <f t="shared" si="0"/>
        <v>9</v>
      </c>
    </row>
    <row r="15" spans="1:24">
      <c r="A15" s="250">
        <f t="shared" si="1"/>
        <v>515</v>
      </c>
      <c r="B15" s="136">
        <v>758</v>
      </c>
      <c r="C15" s="102" t="s">
        <v>344</v>
      </c>
      <c r="D15" s="102"/>
      <c r="E15" s="102"/>
      <c r="F15" s="147"/>
      <c r="G15" s="147"/>
      <c r="H15" s="147"/>
      <c r="I15" s="147"/>
      <c r="K15" s="147"/>
      <c r="L15" s="147"/>
      <c r="M15" s="225">
        <f t="shared" si="0"/>
        <v>10</v>
      </c>
    </row>
    <row r="16" spans="1:24">
      <c r="A16" s="250">
        <f t="shared" si="1"/>
        <v>516</v>
      </c>
      <c r="B16" s="136"/>
      <c r="C16" s="102"/>
      <c r="D16" s="102" t="s">
        <v>14</v>
      </c>
      <c r="E16" s="102"/>
      <c r="F16" s="147">
        <v>31919529.831176501</v>
      </c>
      <c r="G16" s="147">
        <v>20573059.9417121</v>
      </c>
      <c r="H16" s="147">
        <v>31919529.831176501</v>
      </c>
      <c r="I16" s="147">
        <v>31919529.831176501</v>
      </c>
      <c r="K16" s="147">
        <f t="shared" ref="K16:K47" si="2">HLOOKUP($K$6,EXPENSESCENARIO,M16,FALSE)</f>
        <v>31919529.831176501</v>
      </c>
      <c r="L16" s="147">
        <f>+K16-G16</f>
        <v>11346469.889464401</v>
      </c>
      <c r="M16" s="225">
        <f t="shared" si="0"/>
        <v>11</v>
      </c>
    </row>
    <row r="17" spans="1:13">
      <c r="A17" s="250">
        <f t="shared" si="1"/>
        <v>517</v>
      </c>
      <c r="B17" s="136"/>
      <c r="C17" s="102"/>
      <c r="D17" s="102" t="s">
        <v>24</v>
      </c>
      <c r="E17" s="102"/>
      <c r="F17" s="147">
        <v>1195245.038823501</v>
      </c>
      <c r="G17" s="147">
        <v>751115.9782879008</v>
      </c>
      <c r="H17" s="147">
        <v>1195245.038823501</v>
      </c>
      <c r="I17" s="147">
        <v>1195245.038823501</v>
      </c>
      <c r="K17" s="147">
        <f t="shared" si="2"/>
        <v>1195245.038823501</v>
      </c>
      <c r="L17" s="147">
        <f>+K17-G17</f>
        <v>444129.06053560018</v>
      </c>
      <c r="M17" s="225">
        <f t="shared" si="0"/>
        <v>12</v>
      </c>
    </row>
    <row r="18" spans="1:13" ht="13.5" thickBot="1">
      <c r="A18" s="250">
        <f t="shared" si="1"/>
        <v>518</v>
      </c>
      <c r="B18" s="136"/>
      <c r="C18" s="102"/>
      <c r="D18" s="102" t="s">
        <v>170</v>
      </c>
      <c r="E18" s="102"/>
      <c r="F18" s="148">
        <v>33114774.870000001</v>
      </c>
      <c r="G18" s="148">
        <v>21324175.920000002</v>
      </c>
      <c r="H18" s="148">
        <v>33114774.870000001</v>
      </c>
      <c r="I18" s="148">
        <v>33114774.870000001</v>
      </c>
      <c r="K18" s="148">
        <f t="shared" si="2"/>
        <v>33114774.870000001</v>
      </c>
      <c r="L18" s="148">
        <f>+K18-G18</f>
        <v>11790598.949999999</v>
      </c>
      <c r="M18" s="225">
        <f t="shared" si="0"/>
        <v>13</v>
      </c>
    </row>
    <row r="19" spans="1:13" ht="13.5" thickTop="1">
      <c r="A19" s="250">
        <f t="shared" si="1"/>
        <v>519</v>
      </c>
      <c r="B19" s="136"/>
      <c r="C19" s="102"/>
      <c r="D19" s="102"/>
      <c r="E19" s="102"/>
      <c r="F19" s="147"/>
      <c r="G19" s="147"/>
      <c r="H19" s="147"/>
      <c r="I19" s="147"/>
      <c r="K19" s="147">
        <f t="shared" si="2"/>
        <v>0</v>
      </c>
      <c r="L19" s="147"/>
      <c r="M19" s="225">
        <f t="shared" si="0"/>
        <v>14</v>
      </c>
    </row>
    <row r="20" spans="1:13">
      <c r="A20" s="250">
        <f t="shared" si="1"/>
        <v>520</v>
      </c>
      <c r="B20" s="136" t="s">
        <v>702</v>
      </c>
      <c r="C20" s="102" t="s">
        <v>345</v>
      </c>
      <c r="D20" s="102"/>
      <c r="E20" s="102"/>
      <c r="F20" s="147"/>
      <c r="G20" s="147"/>
      <c r="H20" s="147"/>
      <c r="I20" s="147"/>
      <c r="K20" s="147">
        <f t="shared" si="2"/>
        <v>0</v>
      </c>
      <c r="L20" s="147"/>
      <c r="M20" s="225">
        <f t="shared" si="0"/>
        <v>15</v>
      </c>
    </row>
    <row r="21" spans="1:13">
      <c r="A21" s="250">
        <f t="shared" si="1"/>
        <v>521</v>
      </c>
      <c r="B21" s="136"/>
      <c r="C21" s="102"/>
      <c r="D21" s="102" t="s">
        <v>14</v>
      </c>
      <c r="E21" s="102"/>
      <c r="F21" s="147">
        <v>173028.05000000002</v>
      </c>
      <c r="G21" s="147">
        <v>311269.64999999997</v>
      </c>
      <c r="H21" s="147">
        <v>173028.05000000002</v>
      </c>
      <c r="I21" s="147">
        <v>173028.05000000002</v>
      </c>
      <c r="K21" s="147">
        <f t="shared" si="2"/>
        <v>173028.05000000002</v>
      </c>
      <c r="L21" s="147">
        <f>+K21-G21</f>
        <v>-138241.59999999995</v>
      </c>
      <c r="M21" s="225">
        <f t="shared" si="0"/>
        <v>16</v>
      </c>
    </row>
    <row r="22" spans="1:13">
      <c r="A22" s="250">
        <f t="shared" si="1"/>
        <v>522</v>
      </c>
      <c r="B22" s="136"/>
      <c r="C22" s="102"/>
      <c r="D22" s="102" t="s">
        <v>24</v>
      </c>
      <c r="E22" s="102"/>
      <c r="F22" s="147">
        <v>0</v>
      </c>
      <c r="G22" s="147">
        <v>0</v>
      </c>
      <c r="H22" s="147">
        <v>0</v>
      </c>
      <c r="I22" s="147">
        <v>0</v>
      </c>
      <c r="K22" s="147">
        <f t="shared" si="2"/>
        <v>0</v>
      </c>
      <c r="L22" s="147">
        <f>+K22-G22</f>
        <v>0</v>
      </c>
      <c r="M22" s="225">
        <f t="shared" si="0"/>
        <v>17</v>
      </c>
    </row>
    <row r="23" spans="1:13" ht="13.5" thickBot="1">
      <c r="A23" s="250">
        <f t="shared" si="1"/>
        <v>523</v>
      </c>
      <c r="B23" s="136"/>
      <c r="C23" s="102"/>
      <c r="D23" s="102" t="s">
        <v>170</v>
      </c>
      <c r="E23" s="102"/>
      <c r="F23" s="148">
        <v>173028.05000000002</v>
      </c>
      <c r="G23" s="148">
        <v>311269.64999999997</v>
      </c>
      <c r="H23" s="148">
        <v>173028.05000000002</v>
      </c>
      <c r="I23" s="148">
        <v>173028.05000000002</v>
      </c>
      <c r="K23" s="148">
        <f t="shared" si="2"/>
        <v>173028.05000000002</v>
      </c>
      <c r="L23" s="148">
        <f>+K23-G23</f>
        <v>-138241.59999999995</v>
      </c>
      <c r="M23" s="225">
        <f t="shared" si="0"/>
        <v>18</v>
      </c>
    </row>
    <row r="24" spans="1:13" ht="13.5" thickTop="1">
      <c r="A24" s="250">
        <f t="shared" si="1"/>
        <v>524</v>
      </c>
      <c r="B24" s="136"/>
      <c r="C24" s="102"/>
      <c r="D24" s="102"/>
      <c r="E24" s="102"/>
      <c r="F24" s="147"/>
      <c r="G24" s="147"/>
      <c r="H24" s="147"/>
      <c r="I24" s="147"/>
      <c r="K24" s="147"/>
      <c r="L24" s="147"/>
      <c r="M24" s="225">
        <f t="shared" si="0"/>
        <v>19</v>
      </c>
    </row>
    <row r="25" spans="1:13">
      <c r="A25" s="250">
        <f t="shared" si="1"/>
        <v>525</v>
      </c>
      <c r="B25" s="136">
        <v>759</v>
      </c>
      <c r="C25" s="102" t="s">
        <v>727</v>
      </c>
      <c r="D25" s="102"/>
      <c r="E25" s="102"/>
      <c r="F25" s="147"/>
      <c r="G25" s="147"/>
      <c r="H25" s="147"/>
      <c r="I25" s="147"/>
      <c r="K25" s="147">
        <f t="shared" si="2"/>
        <v>0</v>
      </c>
      <c r="L25" s="147"/>
      <c r="M25" s="225">
        <f t="shared" si="0"/>
        <v>20</v>
      </c>
    </row>
    <row r="26" spans="1:13">
      <c r="A26" s="250">
        <f t="shared" si="1"/>
        <v>526</v>
      </c>
      <c r="B26" s="136"/>
      <c r="C26" s="102"/>
      <c r="D26" s="102" t="s">
        <v>14</v>
      </c>
      <c r="E26" s="102"/>
      <c r="F26" s="147">
        <v>22108685.809999999</v>
      </c>
      <c r="G26" s="147">
        <v>24917407.16</v>
      </c>
      <c r="H26" s="147">
        <v>22108685.809999999</v>
      </c>
      <c r="I26" s="147">
        <v>22108685.809999999</v>
      </c>
      <c r="K26" s="147">
        <f t="shared" si="2"/>
        <v>22108685.809999999</v>
      </c>
      <c r="L26" s="147">
        <f>+K26-G26</f>
        <v>-2808721.3500000015</v>
      </c>
      <c r="M26" s="225">
        <f t="shared" si="0"/>
        <v>21</v>
      </c>
    </row>
    <row r="27" spans="1:13">
      <c r="A27" s="250">
        <f t="shared" si="1"/>
        <v>527</v>
      </c>
      <c r="B27" s="136"/>
      <c r="C27" s="102"/>
      <c r="D27" s="102" t="s">
        <v>24</v>
      </c>
      <c r="E27" s="102"/>
      <c r="F27" s="147">
        <v>0</v>
      </c>
      <c r="G27" s="147">
        <v>0</v>
      </c>
      <c r="H27" s="147">
        <v>0</v>
      </c>
      <c r="I27" s="147">
        <v>0</v>
      </c>
      <c r="K27" s="147">
        <f t="shared" si="2"/>
        <v>0</v>
      </c>
      <c r="L27" s="147">
        <f>+K27-G27</f>
        <v>0</v>
      </c>
      <c r="M27" s="225">
        <f t="shared" si="0"/>
        <v>22</v>
      </c>
    </row>
    <row r="28" spans="1:13" ht="13.5" thickBot="1">
      <c r="A28" s="250">
        <f t="shared" si="1"/>
        <v>528</v>
      </c>
      <c r="B28" s="136"/>
      <c r="C28" s="102"/>
      <c r="D28" s="102" t="s">
        <v>170</v>
      </c>
      <c r="E28" s="102"/>
      <c r="F28" s="148">
        <v>22108685.809999999</v>
      </c>
      <c r="G28" s="148">
        <v>24917407.16</v>
      </c>
      <c r="H28" s="148">
        <v>22108685.809999999</v>
      </c>
      <c r="I28" s="148">
        <v>22108685.809999999</v>
      </c>
      <c r="K28" s="148">
        <f t="shared" si="2"/>
        <v>22108685.809999999</v>
      </c>
      <c r="L28" s="148">
        <f>+K28-G28</f>
        <v>-2808721.3500000015</v>
      </c>
      <c r="M28" s="225">
        <f t="shared" si="0"/>
        <v>23</v>
      </c>
    </row>
    <row r="29" spans="1:13" ht="13.5" thickTop="1">
      <c r="A29" s="250">
        <f t="shared" si="1"/>
        <v>529</v>
      </c>
      <c r="B29" s="136"/>
      <c r="C29" s="102"/>
      <c r="D29" s="102"/>
      <c r="E29" s="102"/>
      <c r="F29" s="147"/>
      <c r="G29" s="147"/>
      <c r="H29" s="147"/>
      <c r="I29" s="147"/>
      <c r="K29" s="147">
        <f t="shared" si="2"/>
        <v>0</v>
      </c>
      <c r="L29" s="147"/>
      <c r="M29" s="225">
        <f t="shared" si="0"/>
        <v>24</v>
      </c>
    </row>
    <row r="30" spans="1:13">
      <c r="A30" s="250">
        <f t="shared" si="1"/>
        <v>530</v>
      </c>
      <c r="B30" s="136">
        <v>759</v>
      </c>
      <c r="C30" s="102" t="s">
        <v>348</v>
      </c>
      <c r="D30" s="102"/>
      <c r="E30" s="102"/>
      <c r="F30" s="147"/>
      <c r="G30" s="147"/>
      <c r="H30" s="147"/>
      <c r="I30" s="147"/>
      <c r="K30" s="147">
        <f t="shared" si="2"/>
        <v>0</v>
      </c>
      <c r="L30" s="147"/>
      <c r="M30" s="225">
        <f t="shared" si="0"/>
        <v>25</v>
      </c>
    </row>
    <row r="31" spans="1:13">
      <c r="A31" s="250">
        <f t="shared" si="1"/>
        <v>531</v>
      </c>
      <c r="B31" s="136"/>
      <c r="C31" s="102"/>
      <c r="D31" s="102" t="s">
        <v>14</v>
      </c>
      <c r="E31" s="102"/>
      <c r="F31" s="147">
        <v>0</v>
      </c>
      <c r="G31" s="147">
        <v>0</v>
      </c>
      <c r="H31" s="147">
        <v>0</v>
      </c>
      <c r="I31" s="147">
        <v>0</v>
      </c>
      <c r="K31" s="147">
        <f t="shared" si="2"/>
        <v>0</v>
      </c>
      <c r="L31" s="147">
        <f>+K31-G31</f>
        <v>0</v>
      </c>
      <c r="M31" s="225">
        <f t="shared" si="0"/>
        <v>26</v>
      </c>
    </row>
    <row r="32" spans="1:13">
      <c r="A32" s="250">
        <f t="shared" si="1"/>
        <v>532</v>
      </c>
      <c r="B32" s="136"/>
      <c r="C32" s="102"/>
      <c r="D32" s="102"/>
      <c r="E32" s="102" t="s">
        <v>293</v>
      </c>
      <c r="F32" s="147"/>
      <c r="G32" s="147"/>
      <c r="H32" s="147"/>
      <c r="I32" s="147"/>
      <c r="K32" s="147">
        <f t="shared" si="2"/>
        <v>0</v>
      </c>
      <c r="L32" s="147">
        <f>+K32-G32</f>
        <v>0</v>
      </c>
      <c r="M32" s="225">
        <f t="shared" si="0"/>
        <v>27</v>
      </c>
    </row>
    <row r="33" spans="1:13">
      <c r="A33" s="250">
        <f t="shared" si="1"/>
        <v>533</v>
      </c>
      <c r="B33" s="136"/>
      <c r="C33" s="102"/>
      <c r="D33" s="102"/>
      <c r="E33" s="102" t="s">
        <v>156</v>
      </c>
      <c r="F33" s="147"/>
      <c r="G33" s="147"/>
      <c r="H33" s="147"/>
      <c r="I33" s="147"/>
      <c r="K33" s="147">
        <f t="shared" si="2"/>
        <v>0</v>
      </c>
      <c r="L33" s="147">
        <f>+K33-G33</f>
        <v>0</v>
      </c>
      <c r="M33" s="225">
        <f t="shared" si="0"/>
        <v>28</v>
      </c>
    </row>
    <row r="34" spans="1:13">
      <c r="A34" s="250">
        <f t="shared" si="1"/>
        <v>534</v>
      </c>
      <c r="B34" s="136"/>
      <c r="C34" s="102"/>
      <c r="D34" s="102" t="s">
        <v>24</v>
      </c>
      <c r="E34" s="102"/>
      <c r="F34" s="147">
        <v>0</v>
      </c>
      <c r="G34" s="147">
        <v>0</v>
      </c>
      <c r="H34" s="147">
        <v>0</v>
      </c>
      <c r="I34" s="147">
        <v>0</v>
      </c>
      <c r="K34" s="147">
        <f t="shared" si="2"/>
        <v>0</v>
      </c>
      <c r="L34" s="147">
        <f>+K34-G34</f>
        <v>0</v>
      </c>
      <c r="M34" s="225">
        <f t="shared" si="0"/>
        <v>29</v>
      </c>
    </row>
    <row r="35" spans="1:13" ht="13.5" thickBot="1">
      <c r="A35" s="250">
        <f t="shared" si="1"/>
        <v>535</v>
      </c>
      <c r="B35" s="136"/>
      <c r="C35" s="102"/>
      <c r="D35" s="102" t="s">
        <v>170</v>
      </c>
      <c r="E35" s="102"/>
      <c r="F35" s="148">
        <v>0</v>
      </c>
      <c r="G35" s="148">
        <v>0</v>
      </c>
      <c r="H35" s="148">
        <v>0</v>
      </c>
      <c r="I35" s="148">
        <v>0</v>
      </c>
      <c r="K35" s="148">
        <f t="shared" si="2"/>
        <v>0</v>
      </c>
      <c r="L35" s="148">
        <f>+K35-G35</f>
        <v>0</v>
      </c>
      <c r="M35" s="225">
        <f t="shared" si="0"/>
        <v>30</v>
      </c>
    </row>
    <row r="36" spans="1:13" ht="13.5" thickTop="1">
      <c r="A36" s="250">
        <f t="shared" si="1"/>
        <v>536</v>
      </c>
      <c r="B36" s="136"/>
      <c r="C36" s="102"/>
      <c r="D36" s="102"/>
      <c r="E36" s="102"/>
      <c r="F36" s="147"/>
      <c r="G36" s="147"/>
      <c r="H36" s="147"/>
      <c r="I36" s="147"/>
      <c r="K36" s="147">
        <f t="shared" si="2"/>
        <v>0</v>
      </c>
      <c r="L36" s="147"/>
      <c r="M36" s="225">
        <f t="shared" si="0"/>
        <v>31</v>
      </c>
    </row>
    <row r="37" spans="1:13">
      <c r="A37" s="250">
        <f t="shared" si="1"/>
        <v>537</v>
      </c>
      <c r="B37" s="136">
        <v>800</v>
      </c>
      <c r="C37" s="102" t="s">
        <v>349</v>
      </c>
      <c r="D37" s="102"/>
      <c r="E37" s="102"/>
      <c r="F37" s="147"/>
      <c r="G37" s="147"/>
      <c r="H37" s="147"/>
      <c r="I37" s="147"/>
      <c r="K37" s="147">
        <f t="shared" si="2"/>
        <v>0</v>
      </c>
      <c r="L37" s="147"/>
      <c r="M37" s="225">
        <f t="shared" si="0"/>
        <v>32</v>
      </c>
    </row>
    <row r="38" spans="1:13">
      <c r="A38" s="250">
        <f t="shared" si="1"/>
        <v>538</v>
      </c>
      <c r="B38" s="136"/>
      <c r="C38" s="102"/>
      <c r="D38" s="102" t="s">
        <v>14</v>
      </c>
      <c r="E38" s="102"/>
      <c r="F38" s="147">
        <v>100502.4977997</v>
      </c>
      <c r="G38" s="147">
        <v>501.32868340000005</v>
      </c>
      <c r="H38" s="147">
        <v>100502.4977997</v>
      </c>
      <c r="I38" s="147">
        <v>100502.4977997</v>
      </c>
      <c r="K38" s="147">
        <f t="shared" si="2"/>
        <v>100502.4977997</v>
      </c>
      <c r="L38" s="147">
        <f>+K38-G38</f>
        <v>100001.16911629999</v>
      </c>
      <c r="M38" s="225">
        <f t="shared" si="0"/>
        <v>33</v>
      </c>
    </row>
    <row r="39" spans="1:13">
      <c r="A39" s="250">
        <f t="shared" si="1"/>
        <v>539</v>
      </c>
      <c r="B39" s="136"/>
      <c r="C39" s="102"/>
      <c r="D39" s="102" t="s">
        <v>24</v>
      </c>
      <c r="E39" s="102"/>
      <c r="F39" s="147">
        <v>3912.6622003000034</v>
      </c>
      <c r="G39" s="147">
        <v>16.661316600000021</v>
      </c>
      <c r="H39" s="147">
        <v>3912.6622003000034</v>
      </c>
      <c r="I39" s="147">
        <v>3912.6622003000034</v>
      </c>
      <c r="K39" s="147">
        <f t="shared" si="2"/>
        <v>3912.6622003000034</v>
      </c>
      <c r="L39" s="147">
        <f>+K39-G39</f>
        <v>3896.0008837000032</v>
      </c>
      <c r="M39" s="225">
        <f t="shared" si="0"/>
        <v>34</v>
      </c>
    </row>
    <row r="40" spans="1:13" ht="13.5" thickBot="1">
      <c r="A40" s="250">
        <f t="shared" si="1"/>
        <v>540</v>
      </c>
      <c r="B40" s="136"/>
      <c r="C40" s="102"/>
      <c r="D40" s="102" t="s">
        <v>170</v>
      </c>
      <c r="E40" s="102"/>
      <c r="F40" s="148">
        <v>104415.16</v>
      </c>
      <c r="G40" s="148">
        <v>517.99</v>
      </c>
      <c r="H40" s="148">
        <v>104415.16</v>
      </c>
      <c r="I40" s="148">
        <v>104415.16</v>
      </c>
      <c r="K40" s="148">
        <f t="shared" si="2"/>
        <v>104415.16</v>
      </c>
      <c r="L40" s="148">
        <f>+K40-G40</f>
        <v>103897.17</v>
      </c>
      <c r="M40" s="225">
        <f t="shared" si="0"/>
        <v>35</v>
      </c>
    </row>
    <row r="41" spans="1:13" ht="13.5" thickTop="1">
      <c r="A41" s="250">
        <f t="shared" si="1"/>
        <v>541</v>
      </c>
      <c r="B41" s="136"/>
      <c r="C41" s="102"/>
      <c r="D41" s="102"/>
      <c r="E41" s="102"/>
      <c r="F41" s="147"/>
      <c r="G41" s="147"/>
      <c r="H41" s="147"/>
      <c r="I41" s="147"/>
      <c r="K41" s="147">
        <f t="shared" si="2"/>
        <v>0</v>
      </c>
      <c r="L41" s="147"/>
      <c r="M41" s="225">
        <f t="shared" si="0"/>
        <v>36</v>
      </c>
    </row>
    <row r="42" spans="1:13">
      <c r="A42" s="250">
        <f t="shared" si="1"/>
        <v>542</v>
      </c>
      <c r="B42" s="136">
        <v>801</v>
      </c>
      <c r="C42" s="102" t="s">
        <v>350</v>
      </c>
      <c r="D42" s="102"/>
      <c r="E42" s="102"/>
      <c r="F42" s="147"/>
      <c r="G42" s="147"/>
      <c r="H42" s="147"/>
      <c r="I42" s="147"/>
      <c r="K42" s="147">
        <f t="shared" si="2"/>
        <v>0</v>
      </c>
      <c r="L42" s="147"/>
      <c r="M42" s="225">
        <f t="shared" si="0"/>
        <v>37</v>
      </c>
    </row>
    <row r="43" spans="1:13">
      <c r="A43" s="250">
        <f t="shared" si="1"/>
        <v>543</v>
      </c>
      <c r="B43" s="136"/>
      <c r="C43" s="102"/>
      <c r="D43" s="102" t="s">
        <v>14</v>
      </c>
      <c r="E43" s="102"/>
      <c r="F43" s="147">
        <v>0</v>
      </c>
      <c r="G43" s="147">
        <v>0</v>
      </c>
      <c r="H43" s="147">
        <v>0</v>
      </c>
      <c r="I43" s="147">
        <v>0</v>
      </c>
      <c r="K43" s="147">
        <f t="shared" si="2"/>
        <v>0</v>
      </c>
      <c r="L43" s="147">
        <f>+K43-G43</f>
        <v>0</v>
      </c>
      <c r="M43" s="225">
        <f t="shared" si="0"/>
        <v>38</v>
      </c>
    </row>
    <row r="44" spans="1:13">
      <c r="A44" s="250">
        <f t="shared" si="1"/>
        <v>544</v>
      </c>
      <c r="B44" s="136"/>
      <c r="C44" s="102"/>
      <c r="D44" s="102" t="s">
        <v>24</v>
      </c>
      <c r="E44" s="102"/>
      <c r="F44" s="147">
        <v>0</v>
      </c>
      <c r="G44" s="147">
        <v>0</v>
      </c>
      <c r="H44" s="147">
        <v>0</v>
      </c>
      <c r="I44" s="147">
        <v>0</v>
      </c>
      <c r="K44" s="147">
        <f t="shared" si="2"/>
        <v>0</v>
      </c>
      <c r="L44" s="147">
        <f>+K44-G44</f>
        <v>0</v>
      </c>
      <c r="M44" s="225">
        <f t="shared" si="0"/>
        <v>39</v>
      </c>
    </row>
    <row r="45" spans="1:13" ht="13.5" thickBot="1">
      <c r="A45" s="250">
        <f t="shared" si="1"/>
        <v>545</v>
      </c>
      <c r="B45" s="136"/>
      <c r="C45" s="102"/>
      <c r="D45" s="102" t="s">
        <v>170</v>
      </c>
      <c r="E45" s="102"/>
      <c r="F45" s="148">
        <v>0</v>
      </c>
      <c r="G45" s="148">
        <v>0</v>
      </c>
      <c r="H45" s="148">
        <v>0</v>
      </c>
      <c r="I45" s="148">
        <v>0</v>
      </c>
      <c r="K45" s="148">
        <f t="shared" si="2"/>
        <v>0</v>
      </c>
      <c r="L45" s="148">
        <f>+K45-G45</f>
        <v>0</v>
      </c>
      <c r="M45" s="225">
        <f t="shared" si="0"/>
        <v>40</v>
      </c>
    </row>
    <row r="46" spans="1:13" ht="13.5" thickTop="1">
      <c r="A46" s="250">
        <f t="shared" si="1"/>
        <v>546</v>
      </c>
      <c r="B46" s="136"/>
      <c r="C46" s="102"/>
      <c r="D46" s="102"/>
      <c r="E46" s="102"/>
      <c r="F46" s="147"/>
      <c r="G46" s="147"/>
      <c r="H46" s="147"/>
      <c r="I46" s="147"/>
      <c r="K46" s="147">
        <f t="shared" si="2"/>
        <v>0</v>
      </c>
      <c r="L46" s="147"/>
      <c r="M46" s="225">
        <f t="shared" si="0"/>
        <v>41</v>
      </c>
    </row>
    <row r="47" spans="1:13">
      <c r="A47" s="250">
        <f t="shared" si="1"/>
        <v>547</v>
      </c>
      <c r="B47" s="136">
        <v>802</v>
      </c>
      <c r="C47" s="102" t="s">
        <v>726</v>
      </c>
      <c r="D47" s="102"/>
      <c r="E47" s="102"/>
      <c r="F47" s="147"/>
      <c r="G47" s="147"/>
      <c r="H47" s="147"/>
      <c r="I47" s="147"/>
      <c r="K47" s="147">
        <f t="shared" si="2"/>
        <v>0</v>
      </c>
      <c r="L47" s="147"/>
      <c r="M47" s="225">
        <f t="shared" si="0"/>
        <v>42</v>
      </c>
    </row>
    <row r="48" spans="1:13">
      <c r="A48" s="250">
        <f t="shared" si="1"/>
        <v>548</v>
      </c>
      <c r="B48" s="136"/>
      <c r="C48" s="102"/>
      <c r="D48" s="102" t="s">
        <v>14</v>
      </c>
      <c r="E48" s="102"/>
      <c r="F48" s="147">
        <v>0</v>
      </c>
      <c r="G48" s="147">
        <v>0</v>
      </c>
      <c r="H48" s="147">
        <v>0</v>
      </c>
      <c r="I48" s="147">
        <v>0</v>
      </c>
      <c r="K48" s="147">
        <f t="shared" ref="K48:K79" si="3">HLOOKUP($K$6,EXPENSESCENARIO,M48,FALSE)</f>
        <v>0</v>
      </c>
      <c r="L48" s="147">
        <f>+K48-G48</f>
        <v>0</v>
      </c>
      <c r="M48" s="225">
        <f t="shared" si="0"/>
        <v>43</v>
      </c>
    </row>
    <row r="49" spans="1:13">
      <c r="A49" s="250">
        <f t="shared" si="1"/>
        <v>549</v>
      </c>
      <c r="B49" s="136"/>
      <c r="C49" s="102"/>
      <c r="D49" s="102" t="s">
        <v>24</v>
      </c>
      <c r="E49" s="102"/>
      <c r="F49" s="147">
        <v>0</v>
      </c>
      <c r="G49" s="147">
        <v>0</v>
      </c>
      <c r="H49" s="147">
        <v>0</v>
      </c>
      <c r="I49" s="147">
        <v>0</v>
      </c>
      <c r="K49" s="147">
        <f t="shared" si="3"/>
        <v>0</v>
      </c>
      <c r="L49" s="147">
        <f>+K49-G49</f>
        <v>0</v>
      </c>
      <c r="M49" s="225">
        <f t="shared" si="0"/>
        <v>44</v>
      </c>
    </row>
    <row r="50" spans="1:13" ht="13.5" thickBot="1">
      <c r="A50" s="250">
        <f t="shared" si="1"/>
        <v>550</v>
      </c>
      <c r="B50" s="136"/>
      <c r="C50" s="102"/>
      <c r="D50" s="102" t="s">
        <v>170</v>
      </c>
      <c r="E50" s="102"/>
      <c r="F50" s="148">
        <v>0</v>
      </c>
      <c r="G50" s="148">
        <v>0</v>
      </c>
      <c r="H50" s="148">
        <v>0</v>
      </c>
      <c r="I50" s="148">
        <v>0</v>
      </c>
      <c r="K50" s="148">
        <f t="shared" si="3"/>
        <v>0</v>
      </c>
      <c r="L50" s="148">
        <f>+K50-G50</f>
        <v>0</v>
      </c>
      <c r="M50" s="225">
        <f t="shared" si="0"/>
        <v>45</v>
      </c>
    </row>
    <row r="51" spans="1:13" ht="13.5" thickTop="1">
      <c r="A51" s="250">
        <f t="shared" si="1"/>
        <v>551</v>
      </c>
      <c r="B51" s="136"/>
      <c r="C51" s="102"/>
      <c r="D51" s="102"/>
      <c r="E51" s="102"/>
      <c r="F51" s="147"/>
      <c r="G51" s="147"/>
      <c r="H51" s="147"/>
      <c r="I51" s="147"/>
      <c r="K51" s="147">
        <f t="shared" si="3"/>
        <v>0</v>
      </c>
      <c r="L51" s="147"/>
      <c r="M51" s="225">
        <f t="shared" si="0"/>
        <v>46</v>
      </c>
    </row>
    <row r="52" spans="1:13">
      <c r="A52" s="250">
        <f t="shared" si="1"/>
        <v>552</v>
      </c>
      <c r="B52" s="136">
        <v>803</v>
      </c>
      <c r="C52" s="102" t="s">
        <v>710</v>
      </c>
      <c r="D52" s="102"/>
      <c r="E52" s="102"/>
      <c r="F52" s="147"/>
      <c r="G52" s="147"/>
      <c r="H52" s="147"/>
      <c r="I52" s="147"/>
      <c r="K52" s="147">
        <f t="shared" si="3"/>
        <v>0</v>
      </c>
      <c r="L52" s="147"/>
      <c r="M52" s="225">
        <f t="shared" si="0"/>
        <v>47</v>
      </c>
    </row>
    <row r="53" spans="1:13">
      <c r="A53" s="250">
        <f t="shared" si="1"/>
        <v>553</v>
      </c>
      <c r="B53" s="136"/>
      <c r="C53" s="102"/>
      <c r="D53" s="102" t="s">
        <v>14</v>
      </c>
      <c r="E53" s="102"/>
      <c r="F53" s="147">
        <v>73599063.278176695</v>
      </c>
      <c r="G53" s="147">
        <v>119925534.29720469</v>
      </c>
      <c r="H53" s="147">
        <v>73599063.278176695</v>
      </c>
      <c r="I53" s="147">
        <v>73599063.278176695</v>
      </c>
      <c r="K53" s="147">
        <f t="shared" si="3"/>
        <v>73599063.278176695</v>
      </c>
      <c r="L53" s="147">
        <f>+K53-G53</f>
        <v>-46326471.019027993</v>
      </c>
      <c r="M53" s="225">
        <f t="shared" si="0"/>
        <v>48</v>
      </c>
    </row>
    <row r="54" spans="1:13">
      <c r="A54" s="250">
        <f t="shared" si="1"/>
        <v>554</v>
      </c>
      <c r="B54" s="136"/>
      <c r="C54" s="102"/>
      <c r="D54" s="102" t="s">
        <v>24</v>
      </c>
      <c r="E54" s="102"/>
      <c r="F54" s="147">
        <v>2681682.7518232996</v>
      </c>
      <c r="G54" s="147">
        <v>4247459.4927952997</v>
      </c>
      <c r="H54" s="147">
        <v>2681682.7518232996</v>
      </c>
      <c r="I54" s="147">
        <v>2681682.7518232996</v>
      </c>
      <c r="K54" s="147">
        <f t="shared" si="3"/>
        <v>2681682.7518232996</v>
      </c>
      <c r="L54" s="147">
        <f>+K54-G54</f>
        <v>-1565776.7409720002</v>
      </c>
      <c r="M54" s="225">
        <f t="shared" si="0"/>
        <v>49</v>
      </c>
    </row>
    <row r="55" spans="1:13" ht="13.5" thickBot="1">
      <c r="A55" s="250">
        <f t="shared" si="1"/>
        <v>555</v>
      </c>
      <c r="B55" s="136"/>
      <c r="C55" s="102"/>
      <c r="D55" s="102" t="s">
        <v>170</v>
      </c>
      <c r="E55" s="102"/>
      <c r="F55" s="148">
        <v>76280746.030000001</v>
      </c>
      <c r="G55" s="148">
        <v>124172993.78999999</v>
      </c>
      <c r="H55" s="148">
        <v>76280746.030000001</v>
      </c>
      <c r="I55" s="148">
        <v>76280746.030000001</v>
      </c>
      <c r="K55" s="148">
        <f t="shared" si="3"/>
        <v>76280746.030000001</v>
      </c>
      <c r="L55" s="148">
        <f>+K55-G55</f>
        <v>-47892247.75999999</v>
      </c>
      <c r="M55" s="225">
        <f t="shared" si="0"/>
        <v>50</v>
      </c>
    </row>
    <row r="56" spans="1:13" ht="13.5" thickTop="1">
      <c r="A56" s="250">
        <f t="shared" si="1"/>
        <v>556</v>
      </c>
      <c r="B56" s="136"/>
      <c r="C56" s="102"/>
      <c r="D56" s="102"/>
      <c r="E56" s="102"/>
      <c r="F56" s="147"/>
      <c r="G56" s="147"/>
      <c r="H56" s="147"/>
      <c r="I56" s="147"/>
      <c r="K56" s="147">
        <f t="shared" si="3"/>
        <v>0</v>
      </c>
      <c r="L56" s="147"/>
      <c r="M56" s="225">
        <f t="shared" si="0"/>
        <v>51</v>
      </c>
    </row>
    <row r="57" spans="1:13">
      <c r="A57" s="250">
        <f t="shared" si="1"/>
        <v>557</v>
      </c>
      <c r="B57" s="136">
        <v>804</v>
      </c>
      <c r="C57" s="102" t="s">
        <v>712</v>
      </c>
      <c r="D57" s="102"/>
      <c r="E57" s="102"/>
      <c r="F57" s="147"/>
      <c r="G57" s="147"/>
      <c r="H57" s="147"/>
      <c r="I57" s="147"/>
      <c r="K57" s="147">
        <f t="shared" si="3"/>
        <v>0</v>
      </c>
      <c r="L57" s="147"/>
      <c r="M57" s="225">
        <f t="shared" si="0"/>
        <v>52</v>
      </c>
    </row>
    <row r="58" spans="1:13">
      <c r="A58" s="250">
        <f t="shared" si="1"/>
        <v>558</v>
      </c>
      <c r="B58" s="136"/>
      <c r="C58" s="102"/>
      <c r="D58" s="102" t="s">
        <v>14</v>
      </c>
      <c r="E58" s="102"/>
      <c r="F58" s="147">
        <v>0</v>
      </c>
      <c r="G58" s="147">
        <v>0</v>
      </c>
      <c r="H58" s="147">
        <v>0</v>
      </c>
      <c r="I58" s="147">
        <v>0</v>
      </c>
      <c r="K58" s="147">
        <f t="shared" si="3"/>
        <v>0</v>
      </c>
      <c r="L58" s="147">
        <f>+K58-G58</f>
        <v>0</v>
      </c>
      <c r="M58" s="225">
        <f t="shared" si="0"/>
        <v>53</v>
      </c>
    </row>
    <row r="59" spans="1:13">
      <c r="A59" s="250">
        <f t="shared" si="1"/>
        <v>559</v>
      </c>
      <c r="B59" s="136"/>
      <c r="C59" s="102"/>
      <c r="D59" s="102" t="s">
        <v>24</v>
      </c>
      <c r="E59" s="102"/>
      <c r="F59" s="147">
        <v>0</v>
      </c>
      <c r="G59" s="147">
        <v>0</v>
      </c>
      <c r="H59" s="147">
        <v>0</v>
      </c>
      <c r="I59" s="147">
        <v>0</v>
      </c>
      <c r="K59" s="147">
        <f t="shared" si="3"/>
        <v>0</v>
      </c>
      <c r="L59" s="147">
        <f>+K59-G59</f>
        <v>0</v>
      </c>
      <c r="M59" s="225">
        <f t="shared" si="0"/>
        <v>54</v>
      </c>
    </row>
    <row r="60" spans="1:13" ht="13.5" thickBot="1">
      <c r="A60" s="250">
        <f t="shared" si="1"/>
        <v>560</v>
      </c>
      <c r="B60" s="136"/>
      <c r="C60" s="102"/>
      <c r="D60" s="102" t="s">
        <v>170</v>
      </c>
      <c r="E60" s="102"/>
      <c r="F60" s="148">
        <v>0</v>
      </c>
      <c r="G60" s="148">
        <v>0</v>
      </c>
      <c r="H60" s="148">
        <v>0</v>
      </c>
      <c r="I60" s="148">
        <v>0</v>
      </c>
      <c r="K60" s="148">
        <f t="shared" si="3"/>
        <v>0</v>
      </c>
      <c r="L60" s="148">
        <f>+K60-G60</f>
        <v>0</v>
      </c>
      <c r="M60" s="225">
        <f t="shared" si="0"/>
        <v>55</v>
      </c>
    </row>
    <row r="61" spans="1:13" ht="13.5" thickTop="1">
      <c r="A61" s="250">
        <f t="shared" si="1"/>
        <v>561</v>
      </c>
      <c r="B61" s="136"/>
      <c r="C61" s="102"/>
      <c r="D61" s="102"/>
      <c r="E61" s="102"/>
      <c r="F61" s="147"/>
      <c r="G61" s="147"/>
      <c r="H61" s="147"/>
      <c r="I61" s="147"/>
      <c r="K61" s="147">
        <f t="shared" si="3"/>
        <v>0</v>
      </c>
      <c r="L61" s="147"/>
      <c r="M61" s="225">
        <f t="shared" si="0"/>
        <v>56</v>
      </c>
    </row>
    <row r="62" spans="1:13">
      <c r="A62" s="250">
        <f t="shared" si="1"/>
        <v>562</v>
      </c>
      <c r="B62" s="136" t="s">
        <v>703</v>
      </c>
      <c r="C62" s="102" t="s">
        <v>718</v>
      </c>
      <c r="D62" s="102"/>
      <c r="E62" s="102"/>
      <c r="F62" s="147"/>
      <c r="G62" s="147"/>
      <c r="H62" s="147"/>
      <c r="I62" s="147"/>
      <c r="K62" s="147">
        <f t="shared" si="3"/>
        <v>0</v>
      </c>
      <c r="L62" s="147"/>
      <c r="M62" s="225">
        <f t="shared" si="0"/>
        <v>57</v>
      </c>
    </row>
    <row r="63" spans="1:13">
      <c r="A63" s="250">
        <f t="shared" si="1"/>
        <v>563</v>
      </c>
      <c r="B63" s="136"/>
      <c r="C63" s="102"/>
      <c r="D63" s="102" t="s">
        <v>14</v>
      </c>
      <c r="E63" s="102"/>
      <c r="F63" s="147">
        <v>5904044.8671351001</v>
      </c>
      <c r="G63" s="147">
        <v>1280667.5965049998</v>
      </c>
      <c r="H63" s="147">
        <v>5904044.8671351001</v>
      </c>
      <c r="I63" s="147">
        <v>5904044.8671351001</v>
      </c>
      <c r="K63" s="147">
        <f t="shared" si="3"/>
        <v>5904044.8671351001</v>
      </c>
      <c r="L63" s="147">
        <f>+K63-G63</f>
        <v>4623377.2706301007</v>
      </c>
      <c r="M63" s="225">
        <f t="shared" si="0"/>
        <v>58</v>
      </c>
    </row>
    <row r="64" spans="1:13">
      <c r="A64" s="250">
        <f t="shared" si="1"/>
        <v>564</v>
      </c>
      <c r="B64" s="136"/>
      <c r="C64" s="102"/>
      <c r="D64" s="102" t="s">
        <v>24</v>
      </c>
      <c r="E64" s="102"/>
      <c r="F64" s="147">
        <v>230650.63286490022</v>
      </c>
      <c r="G64" s="147">
        <v>47189.803495000058</v>
      </c>
      <c r="H64" s="147">
        <v>230650.63286490022</v>
      </c>
      <c r="I64" s="147">
        <v>230650.63286490022</v>
      </c>
      <c r="K64" s="147">
        <f t="shared" si="3"/>
        <v>230650.63286490022</v>
      </c>
      <c r="L64" s="147">
        <f>+K64-G64</f>
        <v>183460.82936990017</v>
      </c>
      <c r="M64" s="225">
        <f t="shared" si="0"/>
        <v>59</v>
      </c>
    </row>
    <row r="65" spans="1:13" ht="13.5" thickBot="1">
      <c r="A65" s="250">
        <f t="shared" si="1"/>
        <v>565</v>
      </c>
      <c r="B65" s="136"/>
      <c r="C65" s="102"/>
      <c r="D65" s="102" t="s">
        <v>170</v>
      </c>
      <c r="E65" s="102"/>
      <c r="F65" s="148">
        <v>6134695.5</v>
      </c>
      <c r="G65" s="148">
        <v>1327857.3999999999</v>
      </c>
      <c r="H65" s="148">
        <v>6134695.5</v>
      </c>
      <c r="I65" s="148">
        <v>6134695.5</v>
      </c>
      <c r="K65" s="148">
        <f t="shared" si="3"/>
        <v>6134695.5</v>
      </c>
      <c r="L65" s="148">
        <f>+K65-G65</f>
        <v>4806838.0999999996</v>
      </c>
      <c r="M65" s="225">
        <f t="shared" si="0"/>
        <v>60</v>
      </c>
    </row>
    <row r="66" spans="1:13" ht="13.5" thickTop="1">
      <c r="A66" s="250">
        <f t="shared" si="1"/>
        <v>566</v>
      </c>
      <c r="B66" s="136"/>
      <c r="C66" s="102"/>
      <c r="D66" s="102"/>
      <c r="E66" s="102"/>
      <c r="F66" s="147"/>
      <c r="G66" s="147"/>
      <c r="H66" s="147"/>
      <c r="I66" s="147"/>
      <c r="K66" s="147">
        <f t="shared" si="3"/>
        <v>0</v>
      </c>
      <c r="L66" s="147"/>
      <c r="M66" s="225">
        <f t="shared" si="0"/>
        <v>61</v>
      </c>
    </row>
    <row r="67" spans="1:13">
      <c r="A67" s="250">
        <f t="shared" si="1"/>
        <v>567</v>
      </c>
      <c r="B67" s="136">
        <v>805</v>
      </c>
      <c r="C67" s="102" t="s">
        <v>721</v>
      </c>
      <c r="D67" s="102"/>
      <c r="E67" s="102"/>
      <c r="F67" s="147"/>
      <c r="G67" s="147"/>
      <c r="H67" s="147"/>
      <c r="I67" s="147"/>
      <c r="K67" s="147">
        <f t="shared" si="3"/>
        <v>0</v>
      </c>
      <c r="L67" s="147"/>
      <c r="M67" s="225">
        <f t="shared" si="0"/>
        <v>62</v>
      </c>
    </row>
    <row r="68" spans="1:13">
      <c r="A68" s="250">
        <f t="shared" si="1"/>
        <v>568</v>
      </c>
      <c r="B68" s="136"/>
      <c r="C68" s="102"/>
      <c r="D68" s="102" t="s">
        <v>14</v>
      </c>
      <c r="E68" s="102"/>
      <c r="F68" s="147">
        <v>0</v>
      </c>
      <c r="G68" s="147">
        <v>0</v>
      </c>
      <c r="H68" s="147">
        <v>0</v>
      </c>
      <c r="I68" s="147">
        <v>0</v>
      </c>
      <c r="K68" s="147">
        <f t="shared" si="3"/>
        <v>0</v>
      </c>
      <c r="L68" s="147">
        <f>+K68-G68</f>
        <v>0</v>
      </c>
      <c r="M68" s="225">
        <f t="shared" si="0"/>
        <v>63</v>
      </c>
    </row>
    <row r="69" spans="1:13">
      <c r="A69" s="250">
        <f t="shared" si="1"/>
        <v>569</v>
      </c>
      <c r="B69" s="136"/>
      <c r="C69" s="102"/>
      <c r="D69" s="102" t="s">
        <v>24</v>
      </c>
      <c r="E69" s="102"/>
      <c r="F69" s="147">
        <v>0</v>
      </c>
      <c r="G69" s="147">
        <v>0</v>
      </c>
      <c r="H69" s="147">
        <v>0</v>
      </c>
      <c r="I69" s="147">
        <v>0</v>
      </c>
      <c r="K69" s="147">
        <f t="shared" si="3"/>
        <v>0</v>
      </c>
      <c r="L69" s="147">
        <f>+K69-G69</f>
        <v>0</v>
      </c>
      <c r="M69" s="225">
        <f t="shared" si="0"/>
        <v>64</v>
      </c>
    </row>
    <row r="70" spans="1:13" ht="13.5" thickBot="1">
      <c r="A70" s="250">
        <f t="shared" si="1"/>
        <v>570</v>
      </c>
      <c r="B70" s="136"/>
      <c r="C70" s="102"/>
      <c r="D70" s="102" t="s">
        <v>170</v>
      </c>
      <c r="E70" s="102"/>
      <c r="F70" s="148">
        <v>0</v>
      </c>
      <c r="G70" s="148">
        <v>0</v>
      </c>
      <c r="H70" s="148">
        <v>0</v>
      </c>
      <c r="I70" s="148">
        <v>0</v>
      </c>
      <c r="K70" s="148">
        <f t="shared" si="3"/>
        <v>0</v>
      </c>
      <c r="L70" s="148">
        <f>+K70-G70</f>
        <v>0</v>
      </c>
      <c r="M70" s="225">
        <f t="shared" si="0"/>
        <v>65</v>
      </c>
    </row>
    <row r="71" spans="1:13" ht="13.5" thickTop="1">
      <c r="A71" s="250">
        <f t="shared" si="1"/>
        <v>571</v>
      </c>
      <c r="B71" s="136"/>
      <c r="C71" s="102"/>
      <c r="D71" s="102"/>
      <c r="E71" s="102"/>
      <c r="F71" s="147"/>
      <c r="G71" s="147"/>
      <c r="H71" s="147"/>
      <c r="I71" s="147"/>
      <c r="K71" s="147">
        <f t="shared" si="3"/>
        <v>0</v>
      </c>
      <c r="L71" s="147"/>
      <c r="M71" s="225">
        <f t="shared" si="0"/>
        <v>66</v>
      </c>
    </row>
    <row r="72" spans="1:13">
      <c r="A72" s="250">
        <f t="shared" si="1"/>
        <v>572</v>
      </c>
      <c r="B72" s="136" t="s">
        <v>704</v>
      </c>
      <c r="C72" s="102" t="s">
        <v>724</v>
      </c>
      <c r="D72" s="102"/>
      <c r="E72" s="102"/>
      <c r="F72" s="147"/>
      <c r="G72" s="147"/>
      <c r="H72" s="147"/>
      <c r="I72" s="147"/>
      <c r="K72" s="147">
        <f t="shared" si="3"/>
        <v>0</v>
      </c>
      <c r="L72" s="147"/>
      <c r="M72" s="225">
        <f t="shared" ref="M72:M135" si="4">+M71+1</f>
        <v>67</v>
      </c>
    </row>
    <row r="73" spans="1:13">
      <c r="A73" s="250">
        <f t="shared" si="1"/>
        <v>573</v>
      </c>
      <c r="B73" s="136"/>
      <c r="C73" s="102"/>
      <c r="D73" s="102" t="s">
        <v>14</v>
      </c>
      <c r="E73" s="102"/>
      <c r="F73" s="147">
        <v>19829165.245180003</v>
      </c>
      <c r="G73" s="147">
        <v>-6988002.4825362936</v>
      </c>
      <c r="H73" s="147">
        <v>19829165.245180003</v>
      </c>
      <c r="I73" s="147">
        <v>19829165.245180003</v>
      </c>
      <c r="K73" s="147">
        <f t="shared" si="3"/>
        <v>19829165.245180003</v>
      </c>
      <c r="L73" s="147">
        <f>+K73-G73</f>
        <v>26817167.727716297</v>
      </c>
      <c r="M73" s="225">
        <f t="shared" si="4"/>
        <v>68</v>
      </c>
    </row>
    <row r="74" spans="1:13">
      <c r="A74" s="250">
        <f t="shared" si="1"/>
        <v>574</v>
      </c>
      <c r="B74" s="136"/>
      <c r="C74" s="102"/>
      <c r="D74" s="102" t="s">
        <v>24</v>
      </c>
      <c r="E74" s="102"/>
      <c r="F74" s="147">
        <v>710049.75482000038</v>
      </c>
      <c r="G74" s="147">
        <v>-333710.48746370198</v>
      </c>
      <c r="H74" s="147">
        <v>710049.75482000038</v>
      </c>
      <c r="I74" s="147">
        <v>710049.75482000038</v>
      </c>
      <c r="K74" s="147">
        <f t="shared" si="3"/>
        <v>710049.75482000038</v>
      </c>
      <c r="L74" s="147">
        <f>+K74-G74</f>
        <v>1043760.2422837024</v>
      </c>
      <c r="M74" s="225">
        <f t="shared" si="4"/>
        <v>69</v>
      </c>
    </row>
    <row r="75" spans="1:13" ht="13.5" thickBot="1">
      <c r="A75" s="250">
        <f t="shared" si="1"/>
        <v>575</v>
      </c>
      <c r="B75" s="136"/>
      <c r="C75" s="102"/>
      <c r="D75" s="102" t="s">
        <v>170</v>
      </c>
      <c r="E75" s="102"/>
      <c r="F75" s="148">
        <v>20539215.000000004</v>
      </c>
      <c r="G75" s="148">
        <v>-7321712.9699999951</v>
      </c>
      <c r="H75" s="148">
        <v>20539215.000000004</v>
      </c>
      <c r="I75" s="148">
        <v>20539215.000000004</v>
      </c>
      <c r="K75" s="148">
        <f t="shared" si="3"/>
        <v>20539215.000000004</v>
      </c>
      <c r="L75" s="148">
        <f>+K75-G75</f>
        <v>27860927.969999999</v>
      </c>
      <c r="M75" s="225">
        <f t="shared" si="4"/>
        <v>70</v>
      </c>
    </row>
    <row r="76" spans="1:13" ht="13.5" thickTop="1">
      <c r="A76" s="250">
        <f t="shared" ref="A76:A139" si="5">+A75+1</f>
        <v>576</v>
      </c>
      <c r="B76" s="136"/>
      <c r="C76" s="102"/>
      <c r="D76" s="102"/>
      <c r="E76" s="102"/>
      <c r="F76" s="147"/>
      <c r="G76" s="147"/>
      <c r="H76" s="147"/>
      <c r="I76" s="147"/>
      <c r="K76" s="147">
        <f t="shared" si="3"/>
        <v>0</v>
      </c>
      <c r="L76" s="147"/>
      <c r="M76" s="225">
        <f t="shared" si="4"/>
        <v>71</v>
      </c>
    </row>
    <row r="77" spans="1:13">
      <c r="A77" s="250">
        <f t="shared" si="5"/>
        <v>577</v>
      </c>
      <c r="B77" s="136">
        <v>806</v>
      </c>
      <c r="C77" s="102" t="s">
        <v>359</v>
      </c>
      <c r="D77" s="102"/>
      <c r="E77" s="102"/>
      <c r="F77" s="147"/>
      <c r="G77" s="147"/>
      <c r="H77" s="147"/>
      <c r="I77" s="147"/>
      <c r="K77" s="147">
        <f t="shared" si="3"/>
        <v>0</v>
      </c>
      <c r="L77" s="147"/>
      <c r="M77" s="225">
        <f t="shared" si="4"/>
        <v>72</v>
      </c>
    </row>
    <row r="78" spans="1:13">
      <c r="A78" s="250">
        <f t="shared" si="5"/>
        <v>578</v>
      </c>
      <c r="B78" s="136"/>
      <c r="C78" s="102"/>
      <c r="D78" s="102" t="s">
        <v>14</v>
      </c>
      <c r="E78" s="102"/>
      <c r="F78" s="147">
        <v>0</v>
      </c>
      <c r="G78" s="147">
        <v>0</v>
      </c>
      <c r="H78" s="147">
        <v>0</v>
      </c>
      <c r="I78" s="147">
        <v>0</v>
      </c>
      <c r="K78" s="147">
        <f t="shared" si="3"/>
        <v>0</v>
      </c>
      <c r="L78" s="147">
        <f>+K78-G78</f>
        <v>0</v>
      </c>
      <c r="M78" s="225">
        <f t="shared" si="4"/>
        <v>73</v>
      </c>
    </row>
    <row r="79" spans="1:13">
      <c r="A79" s="250">
        <f t="shared" si="5"/>
        <v>579</v>
      </c>
      <c r="B79" s="136"/>
      <c r="C79" s="102"/>
      <c r="D79" s="102" t="s">
        <v>24</v>
      </c>
      <c r="E79" s="102"/>
      <c r="F79" s="147">
        <v>0</v>
      </c>
      <c r="G79" s="147">
        <v>0</v>
      </c>
      <c r="H79" s="147">
        <v>0</v>
      </c>
      <c r="I79" s="147">
        <v>0</v>
      </c>
      <c r="K79" s="147">
        <f t="shared" si="3"/>
        <v>0</v>
      </c>
      <c r="L79" s="147">
        <f>+K79-G79</f>
        <v>0</v>
      </c>
      <c r="M79" s="225">
        <f t="shared" si="4"/>
        <v>74</v>
      </c>
    </row>
    <row r="80" spans="1:13" ht="13.5" thickBot="1">
      <c r="A80" s="250">
        <f t="shared" si="5"/>
        <v>580</v>
      </c>
      <c r="B80" s="136"/>
      <c r="C80" s="102"/>
      <c r="D80" s="102" t="s">
        <v>170</v>
      </c>
      <c r="E80" s="102"/>
      <c r="F80" s="148">
        <v>0</v>
      </c>
      <c r="G80" s="148">
        <v>0</v>
      </c>
      <c r="H80" s="148">
        <v>0</v>
      </c>
      <c r="I80" s="148">
        <v>0</v>
      </c>
      <c r="K80" s="148">
        <f t="shared" ref="K80:K111" si="6">HLOOKUP($K$6,EXPENSESCENARIO,M80,FALSE)</f>
        <v>0</v>
      </c>
      <c r="L80" s="148">
        <f>+K80-G80</f>
        <v>0</v>
      </c>
      <c r="M80" s="225">
        <f t="shared" si="4"/>
        <v>75</v>
      </c>
    </row>
    <row r="81" spans="1:13" ht="13.5" thickTop="1">
      <c r="A81" s="250">
        <f t="shared" si="5"/>
        <v>581</v>
      </c>
      <c r="B81" s="136"/>
      <c r="C81" s="102"/>
      <c r="D81" s="102"/>
      <c r="E81" s="102"/>
      <c r="F81" s="147"/>
      <c r="G81" s="147"/>
      <c r="H81" s="147"/>
      <c r="I81" s="147"/>
      <c r="K81" s="147">
        <f t="shared" si="6"/>
        <v>0</v>
      </c>
      <c r="L81" s="147"/>
      <c r="M81" s="225">
        <f t="shared" si="4"/>
        <v>76</v>
      </c>
    </row>
    <row r="82" spans="1:13">
      <c r="A82" s="250">
        <f t="shared" si="5"/>
        <v>582</v>
      </c>
      <c r="B82" s="136" t="s">
        <v>705</v>
      </c>
      <c r="C82" s="102" t="s">
        <v>725</v>
      </c>
      <c r="D82" s="102"/>
      <c r="E82" s="102"/>
      <c r="F82" s="147"/>
      <c r="G82" s="147"/>
      <c r="H82" s="147"/>
      <c r="I82" s="147"/>
      <c r="K82" s="147">
        <f t="shared" si="6"/>
        <v>0</v>
      </c>
      <c r="L82" s="147"/>
      <c r="M82" s="225">
        <f t="shared" si="4"/>
        <v>77</v>
      </c>
    </row>
    <row r="83" spans="1:13">
      <c r="A83" s="250">
        <f t="shared" si="5"/>
        <v>583</v>
      </c>
      <c r="B83" s="136"/>
      <c r="C83" s="102"/>
      <c r="D83" s="102" t="s">
        <v>14</v>
      </c>
      <c r="E83" s="102"/>
      <c r="F83" s="147">
        <v>75901271.654489309</v>
      </c>
      <c r="G83" s="147">
        <v>70911454.520070195</v>
      </c>
      <c r="H83" s="147">
        <v>75901271.654489309</v>
      </c>
      <c r="I83" s="147">
        <v>75901271.654489309</v>
      </c>
      <c r="K83" s="147">
        <f t="shared" si="6"/>
        <v>75901271.654489309</v>
      </c>
      <c r="L83" s="147">
        <f>+K83-G83</f>
        <v>4989817.1344191134</v>
      </c>
      <c r="M83" s="225">
        <f t="shared" si="4"/>
        <v>78</v>
      </c>
    </row>
    <row r="84" spans="1:13">
      <c r="A84" s="250">
        <f t="shared" si="5"/>
        <v>584</v>
      </c>
      <c r="B84" s="136"/>
      <c r="C84" s="102"/>
      <c r="D84" s="102" t="s">
        <v>24</v>
      </c>
      <c r="E84" s="102"/>
      <c r="F84" s="147">
        <v>2931720.6155107003</v>
      </c>
      <c r="G84" s="147">
        <v>2569744.0599297993</v>
      </c>
      <c r="H84" s="147">
        <v>2931720.6155107003</v>
      </c>
      <c r="I84" s="147">
        <v>2931720.6155107003</v>
      </c>
      <c r="K84" s="147">
        <f t="shared" si="6"/>
        <v>2931720.6155107003</v>
      </c>
      <c r="L84" s="147">
        <f>+K84-G84</f>
        <v>361976.55558090098</v>
      </c>
      <c r="M84" s="225">
        <f t="shared" si="4"/>
        <v>79</v>
      </c>
    </row>
    <row r="85" spans="1:13" ht="13.5" thickBot="1">
      <c r="A85" s="250">
        <f t="shared" si="5"/>
        <v>585</v>
      </c>
      <c r="B85" s="136"/>
      <c r="C85" s="102"/>
      <c r="D85" s="102" t="s">
        <v>170</v>
      </c>
      <c r="E85" s="102"/>
      <c r="F85" s="148">
        <v>78832992.270000011</v>
      </c>
      <c r="G85" s="148">
        <v>73481198.579999998</v>
      </c>
      <c r="H85" s="148">
        <v>78832992.270000011</v>
      </c>
      <c r="I85" s="148">
        <v>78832992.270000011</v>
      </c>
      <c r="K85" s="148">
        <f t="shared" si="6"/>
        <v>78832992.270000011</v>
      </c>
      <c r="L85" s="148">
        <f>+K85-G85</f>
        <v>5351793.6900000125</v>
      </c>
      <c r="M85" s="225">
        <f t="shared" si="4"/>
        <v>80</v>
      </c>
    </row>
    <row r="86" spans="1:13" ht="13.5" thickTop="1">
      <c r="A86" s="250">
        <f t="shared" si="5"/>
        <v>586</v>
      </c>
      <c r="B86" s="136"/>
      <c r="C86" s="102"/>
      <c r="D86" s="102"/>
      <c r="E86" s="102"/>
      <c r="F86" s="147"/>
      <c r="G86" s="147"/>
      <c r="H86" s="147"/>
      <c r="I86" s="147"/>
      <c r="K86" s="147">
        <f t="shared" si="6"/>
        <v>0</v>
      </c>
      <c r="L86" s="147"/>
      <c r="M86" s="225">
        <f t="shared" si="4"/>
        <v>81</v>
      </c>
    </row>
    <row r="87" spans="1:13">
      <c r="A87" s="250">
        <f t="shared" si="5"/>
        <v>587</v>
      </c>
      <c r="B87" s="136" t="s">
        <v>706</v>
      </c>
      <c r="C87" s="102" t="s">
        <v>361</v>
      </c>
      <c r="D87" s="102"/>
      <c r="E87" s="102"/>
      <c r="F87" s="147"/>
      <c r="G87" s="147"/>
      <c r="H87" s="147"/>
      <c r="I87" s="147"/>
      <c r="K87" s="147">
        <f t="shared" si="6"/>
        <v>0</v>
      </c>
      <c r="L87" s="147"/>
      <c r="M87" s="225">
        <f t="shared" si="4"/>
        <v>82</v>
      </c>
    </row>
    <row r="88" spans="1:13">
      <c r="A88" s="250">
        <f t="shared" si="5"/>
        <v>588</v>
      </c>
      <c r="B88" s="136"/>
      <c r="C88" s="102"/>
      <c r="D88" s="102" t="s">
        <v>14</v>
      </c>
      <c r="E88" s="102"/>
      <c r="F88" s="147">
        <v>-79686558.6913068</v>
      </c>
      <c r="G88" s="147">
        <v>-74590296.669899002</v>
      </c>
      <c r="H88" s="147">
        <v>-79686558.6913068</v>
      </c>
      <c r="I88" s="147">
        <v>-79686558.6913068</v>
      </c>
      <c r="K88" s="147">
        <f t="shared" si="6"/>
        <v>-79686558.6913068</v>
      </c>
      <c r="L88" s="147">
        <f>+K88-G88</f>
        <v>-5096262.0214077979</v>
      </c>
      <c r="M88" s="225">
        <f t="shared" si="4"/>
        <v>83</v>
      </c>
    </row>
    <row r="89" spans="1:13">
      <c r="A89" s="250">
        <f t="shared" si="5"/>
        <v>589</v>
      </c>
      <c r="B89" s="136"/>
      <c r="C89" s="102"/>
      <c r="D89" s="102" t="s">
        <v>24</v>
      </c>
      <c r="E89" s="102"/>
      <c r="F89" s="147">
        <v>-2685924.6086932011</v>
      </c>
      <c r="G89" s="147">
        <v>-2447988.1101010013</v>
      </c>
      <c r="H89" s="147">
        <v>-2685924.6086932011</v>
      </c>
      <c r="I89" s="147">
        <v>-2685924.6086932011</v>
      </c>
      <c r="K89" s="147">
        <f t="shared" si="6"/>
        <v>-2685924.6086932011</v>
      </c>
      <c r="L89" s="147">
        <f>+K89-G89</f>
        <v>-237936.49859219976</v>
      </c>
      <c r="M89" s="225">
        <f t="shared" si="4"/>
        <v>84</v>
      </c>
    </row>
    <row r="90" spans="1:13" ht="13.5" thickBot="1">
      <c r="A90" s="250">
        <f t="shared" si="5"/>
        <v>590</v>
      </c>
      <c r="B90" s="136"/>
      <c r="C90" s="102"/>
      <c r="D90" s="102" t="s">
        <v>170</v>
      </c>
      <c r="E90" s="102"/>
      <c r="F90" s="148">
        <v>-82372483.299999997</v>
      </c>
      <c r="G90" s="148">
        <v>-77038284.780000001</v>
      </c>
      <c r="H90" s="148">
        <v>-82372483.299999997</v>
      </c>
      <c r="I90" s="148">
        <v>-82372483.299999997</v>
      </c>
      <c r="K90" s="148">
        <f t="shared" si="6"/>
        <v>-82372483.299999997</v>
      </c>
      <c r="L90" s="148">
        <f>+K90-G90</f>
        <v>-5334198.5199999958</v>
      </c>
      <c r="M90" s="225">
        <f t="shared" si="4"/>
        <v>85</v>
      </c>
    </row>
    <row r="91" spans="1:13" ht="13.5" thickTop="1">
      <c r="A91" s="250">
        <f t="shared" si="5"/>
        <v>591</v>
      </c>
      <c r="B91" s="136"/>
      <c r="C91" s="102"/>
      <c r="D91" s="102"/>
      <c r="E91" s="102"/>
      <c r="F91" s="147"/>
      <c r="G91" s="147"/>
      <c r="H91" s="147"/>
      <c r="I91" s="147"/>
      <c r="K91" s="147">
        <f t="shared" si="6"/>
        <v>0</v>
      </c>
      <c r="L91" s="147"/>
      <c r="M91" s="225">
        <f t="shared" si="4"/>
        <v>86</v>
      </c>
    </row>
    <row r="92" spans="1:13">
      <c r="A92" s="250">
        <f t="shared" si="5"/>
        <v>592</v>
      </c>
      <c r="B92" s="136" t="s">
        <v>707</v>
      </c>
      <c r="C92" s="102" t="s">
        <v>359</v>
      </c>
      <c r="D92" s="102"/>
      <c r="E92" s="102"/>
      <c r="F92" s="147"/>
      <c r="G92" s="147"/>
      <c r="H92" s="147"/>
      <c r="I92" s="147"/>
      <c r="K92" s="147">
        <f t="shared" si="6"/>
        <v>0</v>
      </c>
      <c r="L92" s="147"/>
      <c r="M92" s="225">
        <f t="shared" si="4"/>
        <v>87</v>
      </c>
    </row>
    <row r="93" spans="1:13">
      <c r="A93" s="250">
        <f t="shared" si="5"/>
        <v>593</v>
      </c>
      <c r="B93" s="136"/>
      <c r="C93" s="102"/>
      <c r="D93" s="102" t="s">
        <v>14</v>
      </c>
      <c r="E93" s="102"/>
      <c r="F93" s="147">
        <v>3751600.2794400002</v>
      </c>
      <c r="G93" s="147">
        <v>3829995.61668</v>
      </c>
      <c r="H93" s="147">
        <v>3751600.2794400002</v>
      </c>
      <c r="I93" s="147">
        <v>3751600.2794400002</v>
      </c>
      <c r="K93" s="147">
        <f t="shared" si="6"/>
        <v>3751600.2794400002</v>
      </c>
      <c r="L93" s="147">
        <f>+K93-G93</f>
        <v>-78395.33723999979</v>
      </c>
      <c r="M93" s="225">
        <f t="shared" si="4"/>
        <v>88</v>
      </c>
    </row>
    <row r="94" spans="1:13">
      <c r="A94" s="250">
        <f t="shared" si="5"/>
        <v>594</v>
      </c>
      <c r="B94" s="136"/>
      <c r="C94" s="102"/>
      <c r="D94" s="102" t="s">
        <v>24</v>
      </c>
      <c r="E94" s="102"/>
      <c r="F94" s="147">
        <v>138573.72055999999</v>
      </c>
      <c r="G94" s="147">
        <v>138806.38331999991</v>
      </c>
      <c r="H94" s="147">
        <v>138573.72055999999</v>
      </c>
      <c r="I94" s="147">
        <v>138573.72055999999</v>
      </c>
      <c r="K94" s="147">
        <f t="shared" si="6"/>
        <v>138573.72055999999</v>
      </c>
      <c r="L94" s="147">
        <f>+K94-G94</f>
        <v>-232.66275999991922</v>
      </c>
      <c r="M94" s="225">
        <f t="shared" si="4"/>
        <v>89</v>
      </c>
    </row>
    <row r="95" spans="1:13" ht="13.5" thickBot="1">
      <c r="A95" s="250">
        <f t="shared" si="5"/>
        <v>595</v>
      </c>
      <c r="B95" s="136"/>
      <c r="C95" s="102"/>
      <c r="D95" s="102" t="s">
        <v>170</v>
      </c>
      <c r="E95" s="102"/>
      <c r="F95" s="148">
        <v>3890174</v>
      </c>
      <c r="G95" s="148">
        <v>3968802</v>
      </c>
      <c r="H95" s="148">
        <v>3890174</v>
      </c>
      <c r="I95" s="148">
        <v>3890174</v>
      </c>
      <c r="K95" s="148">
        <f t="shared" si="6"/>
        <v>3890174</v>
      </c>
      <c r="L95" s="148">
        <f>+K95-G95</f>
        <v>-78628</v>
      </c>
      <c r="M95" s="225">
        <f t="shared" si="4"/>
        <v>90</v>
      </c>
    </row>
    <row r="96" spans="1:13" ht="13.5" thickTop="1">
      <c r="A96" s="250">
        <f t="shared" si="5"/>
        <v>596</v>
      </c>
      <c r="B96" s="136"/>
      <c r="C96" s="102"/>
      <c r="D96" s="102"/>
      <c r="E96" s="102"/>
      <c r="F96" s="147"/>
      <c r="G96" s="147"/>
      <c r="H96" s="147"/>
      <c r="I96" s="147"/>
      <c r="K96" s="147">
        <f t="shared" si="6"/>
        <v>0</v>
      </c>
      <c r="L96" s="147"/>
      <c r="M96" s="225">
        <f t="shared" si="4"/>
        <v>91</v>
      </c>
    </row>
    <row r="97" spans="1:13">
      <c r="A97" s="250">
        <f t="shared" si="5"/>
        <v>597</v>
      </c>
      <c r="B97" s="136">
        <v>813</v>
      </c>
      <c r="C97" s="102" t="s">
        <v>362</v>
      </c>
      <c r="D97" s="102"/>
      <c r="E97" s="102"/>
      <c r="F97" s="147"/>
      <c r="G97" s="147"/>
      <c r="H97" s="147"/>
      <c r="I97" s="147"/>
      <c r="K97" s="147">
        <f t="shared" si="6"/>
        <v>0</v>
      </c>
      <c r="L97" s="147"/>
      <c r="M97" s="225">
        <f t="shared" si="4"/>
        <v>92</v>
      </c>
    </row>
    <row r="98" spans="1:13">
      <c r="A98" s="250">
        <f t="shared" si="5"/>
        <v>598</v>
      </c>
      <c r="B98" s="136"/>
      <c r="C98" s="102"/>
      <c r="D98" s="102" t="s">
        <v>14</v>
      </c>
      <c r="E98" s="102"/>
      <c r="F98" s="147">
        <v>323590302.39243859</v>
      </c>
      <c r="G98" s="147">
        <v>310247092.58867115</v>
      </c>
      <c r="H98" s="147">
        <v>323590302.39243859</v>
      </c>
      <c r="I98" s="147">
        <v>323590302.39243859</v>
      </c>
      <c r="K98" s="147">
        <f t="shared" si="6"/>
        <v>323590302.39243859</v>
      </c>
      <c r="L98" s="147">
        <f>+K98-G98</f>
        <v>13343209.803767443</v>
      </c>
      <c r="M98" s="225">
        <f t="shared" si="4"/>
        <v>93</v>
      </c>
    </row>
    <row r="99" spans="1:13">
      <c r="A99" s="250">
        <f t="shared" si="5"/>
        <v>599</v>
      </c>
      <c r="B99" s="136"/>
      <c r="C99" s="102"/>
      <c r="D99" s="102" t="s">
        <v>24</v>
      </c>
      <c r="E99" s="102"/>
      <c r="F99" s="147">
        <v>11982881.537561398</v>
      </c>
      <c r="G99" s="147">
        <v>11198142.051328894</v>
      </c>
      <c r="H99" s="147">
        <v>11982881.537561398</v>
      </c>
      <c r="I99" s="147">
        <v>11982881.537561398</v>
      </c>
      <c r="K99" s="147">
        <f t="shared" si="6"/>
        <v>11982881.537561398</v>
      </c>
      <c r="L99" s="147">
        <f>+K99-G99</f>
        <v>784739.48623250425</v>
      </c>
      <c r="M99" s="225">
        <f t="shared" si="4"/>
        <v>94</v>
      </c>
    </row>
    <row r="100" spans="1:13" ht="13.5" thickBot="1">
      <c r="A100" s="250">
        <f t="shared" si="5"/>
        <v>600</v>
      </c>
      <c r="B100" s="136"/>
      <c r="C100" s="102"/>
      <c r="D100" s="102" t="s">
        <v>170</v>
      </c>
      <c r="E100" s="102"/>
      <c r="F100" s="148">
        <v>335573183.93000001</v>
      </c>
      <c r="G100" s="148">
        <v>321445234.64000005</v>
      </c>
      <c r="H100" s="148">
        <v>335573183.93000001</v>
      </c>
      <c r="I100" s="148">
        <v>335573183.93000001</v>
      </c>
      <c r="K100" s="148">
        <f t="shared" si="6"/>
        <v>335573183.93000001</v>
      </c>
      <c r="L100" s="148">
        <f>+K100-G100</f>
        <v>14127949.289999962</v>
      </c>
      <c r="M100" s="225">
        <f t="shared" si="4"/>
        <v>95</v>
      </c>
    </row>
    <row r="101" spans="1:13" ht="13.5" thickTop="1">
      <c r="A101" s="250">
        <f t="shared" si="5"/>
        <v>601</v>
      </c>
      <c r="B101" s="136"/>
      <c r="C101" s="102"/>
      <c r="D101" s="102"/>
      <c r="E101" s="102"/>
      <c r="F101" s="147"/>
      <c r="G101" s="147"/>
      <c r="H101" s="147"/>
      <c r="I101" s="147"/>
      <c r="K101" s="147">
        <f t="shared" si="6"/>
        <v>0</v>
      </c>
      <c r="L101" s="147"/>
      <c r="M101" s="225">
        <f t="shared" si="4"/>
        <v>96</v>
      </c>
    </row>
    <row r="102" spans="1:13">
      <c r="A102" s="250">
        <f t="shared" si="5"/>
        <v>602</v>
      </c>
      <c r="B102" s="136">
        <v>813</v>
      </c>
      <c r="C102" s="102" t="s">
        <v>363</v>
      </c>
      <c r="D102" s="102"/>
      <c r="E102" s="102"/>
      <c r="F102" s="147"/>
      <c r="G102" s="147"/>
      <c r="H102" s="147"/>
      <c r="I102" s="147"/>
      <c r="K102" s="147">
        <f t="shared" si="6"/>
        <v>0</v>
      </c>
      <c r="L102" s="147"/>
      <c r="M102" s="225">
        <f t="shared" si="4"/>
        <v>97</v>
      </c>
    </row>
    <row r="103" spans="1:13">
      <c r="A103" s="250">
        <f t="shared" si="5"/>
        <v>603</v>
      </c>
      <c r="B103" s="136"/>
      <c r="C103" s="102"/>
      <c r="D103" s="102" t="s">
        <v>14</v>
      </c>
      <c r="E103" s="102"/>
      <c r="F103" s="147">
        <v>0</v>
      </c>
      <c r="G103" s="147">
        <v>0</v>
      </c>
      <c r="H103" s="147">
        <v>0</v>
      </c>
      <c r="I103" s="147">
        <v>0</v>
      </c>
      <c r="K103" s="147">
        <f t="shared" si="6"/>
        <v>0</v>
      </c>
      <c r="L103" s="147">
        <f>+K103-G103</f>
        <v>0</v>
      </c>
      <c r="M103" s="225">
        <f t="shared" si="4"/>
        <v>98</v>
      </c>
    </row>
    <row r="104" spans="1:13">
      <c r="A104" s="250">
        <f t="shared" si="5"/>
        <v>604</v>
      </c>
      <c r="B104" s="136"/>
      <c r="C104" s="102"/>
      <c r="D104" s="102" t="s">
        <v>24</v>
      </c>
      <c r="E104" s="102"/>
      <c r="F104" s="147">
        <v>0</v>
      </c>
      <c r="G104" s="147">
        <v>0</v>
      </c>
      <c r="H104" s="147">
        <v>0</v>
      </c>
      <c r="I104" s="147">
        <v>0</v>
      </c>
      <c r="K104" s="147">
        <f t="shared" si="6"/>
        <v>0</v>
      </c>
      <c r="L104" s="147">
        <f>+K104-G104</f>
        <v>0</v>
      </c>
      <c r="M104" s="225">
        <f t="shared" si="4"/>
        <v>99</v>
      </c>
    </row>
    <row r="105" spans="1:13" ht="13.5" thickBot="1">
      <c r="A105" s="250">
        <f t="shared" si="5"/>
        <v>605</v>
      </c>
      <c r="B105" s="136"/>
      <c r="C105" s="102"/>
      <c r="D105" s="102" t="s">
        <v>170</v>
      </c>
      <c r="E105" s="102"/>
      <c r="F105" s="148">
        <v>0</v>
      </c>
      <c r="G105" s="148">
        <v>0</v>
      </c>
      <c r="H105" s="148">
        <v>0</v>
      </c>
      <c r="I105" s="148">
        <v>0</v>
      </c>
      <c r="K105" s="148">
        <f t="shared" si="6"/>
        <v>0</v>
      </c>
      <c r="L105" s="148">
        <f>+K105-G105</f>
        <v>0</v>
      </c>
      <c r="M105" s="225">
        <f t="shared" si="4"/>
        <v>100</v>
      </c>
    </row>
    <row r="106" spans="1:13" ht="13.5" thickTop="1">
      <c r="A106" s="250">
        <f t="shared" si="5"/>
        <v>606</v>
      </c>
      <c r="B106" s="136"/>
      <c r="C106" s="102"/>
      <c r="D106" s="102"/>
      <c r="E106" s="102"/>
      <c r="F106" s="147"/>
      <c r="G106" s="147"/>
      <c r="H106" s="147"/>
      <c r="I106" s="147"/>
      <c r="K106" s="147">
        <f t="shared" si="6"/>
        <v>0</v>
      </c>
      <c r="L106" s="147"/>
      <c r="M106" s="225">
        <f t="shared" si="4"/>
        <v>101</v>
      </c>
    </row>
    <row r="107" spans="1:13">
      <c r="A107" s="250">
        <f t="shared" si="5"/>
        <v>607</v>
      </c>
      <c r="B107" s="136" t="s">
        <v>708</v>
      </c>
      <c r="C107" s="102" t="s">
        <v>364</v>
      </c>
      <c r="D107" s="102"/>
      <c r="E107" s="102"/>
      <c r="F107" s="147"/>
      <c r="G107" s="147"/>
      <c r="H107" s="147"/>
      <c r="I107" s="147"/>
      <c r="K107" s="147">
        <f t="shared" si="6"/>
        <v>0</v>
      </c>
      <c r="L107" s="147"/>
      <c r="M107" s="225">
        <f t="shared" si="4"/>
        <v>102</v>
      </c>
    </row>
    <row r="108" spans="1:13">
      <c r="A108" s="250">
        <f t="shared" si="5"/>
        <v>608</v>
      </c>
      <c r="B108" s="136"/>
      <c r="C108" s="102"/>
      <c r="D108" s="102" t="s">
        <v>14</v>
      </c>
      <c r="E108" s="102"/>
      <c r="F108" s="147">
        <v>0</v>
      </c>
      <c r="G108" s="147">
        <v>0</v>
      </c>
      <c r="H108" s="147">
        <v>0</v>
      </c>
      <c r="I108" s="147">
        <v>0</v>
      </c>
      <c r="K108" s="147">
        <f t="shared" si="6"/>
        <v>0</v>
      </c>
      <c r="L108" s="147">
        <f>+K108-G108</f>
        <v>0</v>
      </c>
      <c r="M108" s="225">
        <f t="shared" si="4"/>
        <v>103</v>
      </c>
    </row>
    <row r="109" spans="1:13">
      <c r="A109" s="250">
        <f t="shared" si="5"/>
        <v>609</v>
      </c>
      <c r="B109" s="136"/>
      <c r="C109" s="102"/>
      <c r="D109" s="102" t="s">
        <v>24</v>
      </c>
      <c r="E109" s="102"/>
      <c r="F109" s="147">
        <v>0</v>
      </c>
      <c r="G109" s="147">
        <v>0</v>
      </c>
      <c r="H109" s="147">
        <v>0</v>
      </c>
      <c r="I109" s="147">
        <v>0</v>
      </c>
      <c r="K109" s="147">
        <f t="shared" si="6"/>
        <v>0</v>
      </c>
      <c r="L109" s="147">
        <f>+K109-G109</f>
        <v>0</v>
      </c>
      <c r="M109" s="225">
        <f t="shared" si="4"/>
        <v>104</v>
      </c>
    </row>
    <row r="110" spans="1:13" ht="13.5" thickBot="1">
      <c r="A110" s="250">
        <f t="shared" si="5"/>
        <v>610</v>
      </c>
      <c r="B110" s="136"/>
      <c r="C110" s="102"/>
      <c r="D110" s="102" t="s">
        <v>170</v>
      </c>
      <c r="E110" s="102"/>
      <c r="F110" s="148">
        <v>0</v>
      </c>
      <c r="G110" s="148">
        <v>0</v>
      </c>
      <c r="H110" s="148">
        <v>0</v>
      </c>
      <c r="I110" s="148">
        <v>0</v>
      </c>
      <c r="K110" s="148">
        <f t="shared" si="6"/>
        <v>0</v>
      </c>
      <c r="L110" s="148">
        <f>+K110-G110</f>
        <v>0</v>
      </c>
      <c r="M110" s="225">
        <f t="shared" si="4"/>
        <v>105</v>
      </c>
    </row>
    <row r="111" spans="1:13" ht="13.5" thickTop="1">
      <c r="A111" s="250">
        <f t="shared" si="5"/>
        <v>611</v>
      </c>
      <c r="B111" s="136"/>
      <c r="C111" s="102"/>
      <c r="D111" s="102"/>
      <c r="E111" s="102"/>
      <c r="F111" s="147"/>
      <c r="G111" s="147"/>
      <c r="H111" s="147"/>
      <c r="I111" s="147"/>
      <c r="K111" s="147">
        <f t="shared" si="6"/>
        <v>0</v>
      </c>
      <c r="L111" s="147"/>
      <c r="M111" s="225">
        <f t="shared" si="4"/>
        <v>106</v>
      </c>
    </row>
    <row r="112" spans="1:13">
      <c r="A112" s="250">
        <f t="shared" si="5"/>
        <v>612</v>
      </c>
      <c r="B112" s="136">
        <v>858</v>
      </c>
      <c r="C112" s="102" t="s">
        <v>365</v>
      </c>
      <c r="D112" s="102"/>
      <c r="E112" s="102"/>
      <c r="F112" s="147"/>
      <c r="G112" s="147"/>
      <c r="H112" s="147"/>
      <c r="I112" s="147"/>
      <c r="K112" s="147">
        <f t="shared" ref="K112:K133" si="7">HLOOKUP($K$6,EXPENSESCENARIO,M112,FALSE)</f>
        <v>0</v>
      </c>
      <c r="L112" s="147"/>
      <c r="M112" s="225">
        <f t="shared" si="4"/>
        <v>107</v>
      </c>
    </row>
    <row r="113" spans="1:13">
      <c r="A113" s="250">
        <f t="shared" si="5"/>
        <v>613</v>
      </c>
      <c r="B113" s="136"/>
      <c r="C113" s="102"/>
      <c r="D113" s="102" t="s">
        <v>14</v>
      </c>
      <c r="E113" s="102"/>
      <c r="F113" s="147">
        <v>61432036.253284499</v>
      </c>
      <c r="G113" s="147">
        <v>66406271.801191397</v>
      </c>
      <c r="H113" s="147">
        <v>61432036.253284499</v>
      </c>
      <c r="I113" s="147">
        <v>61432036.253284499</v>
      </c>
      <c r="K113" s="147">
        <f t="shared" si="7"/>
        <v>61432036.253284499</v>
      </c>
      <c r="L113" s="147">
        <f>+K113-G113</f>
        <v>-4974235.547906898</v>
      </c>
      <c r="M113" s="225">
        <f t="shared" si="4"/>
        <v>108</v>
      </c>
    </row>
    <row r="114" spans="1:13">
      <c r="A114" s="250">
        <f t="shared" si="5"/>
        <v>614</v>
      </c>
      <c r="B114" s="136"/>
      <c r="C114" s="102"/>
      <c r="D114" s="102" t="s">
        <v>24</v>
      </c>
      <c r="E114" s="102"/>
      <c r="F114" s="147">
        <v>2275247.4167154999</v>
      </c>
      <c r="G114" s="147">
        <v>2404857.5888085989</v>
      </c>
      <c r="H114" s="147">
        <v>2275247.4167154999</v>
      </c>
      <c r="I114" s="147">
        <v>2275247.4167154999</v>
      </c>
      <c r="K114" s="147">
        <f t="shared" si="7"/>
        <v>2275247.4167154999</v>
      </c>
      <c r="L114" s="147">
        <f>+K114-G114</f>
        <v>-129610.17209309898</v>
      </c>
      <c r="M114" s="225">
        <f t="shared" si="4"/>
        <v>109</v>
      </c>
    </row>
    <row r="115" spans="1:13" ht="13.5" thickBot="1">
      <c r="A115" s="250">
        <f t="shared" si="5"/>
        <v>615</v>
      </c>
      <c r="B115" s="136"/>
      <c r="C115" s="102"/>
      <c r="D115" s="102" t="s">
        <v>170</v>
      </c>
      <c r="E115" s="102"/>
      <c r="F115" s="148">
        <v>63707283.670000002</v>
      </c>
      <c r="G115" s="148">
        <v>68811129.390000001</v>
      </c>
      <c r="H115" s="148">
        <v>63707283.670000002</v>
      </c>
      <c r="I115" s="148">
        <v>63707283.670000002</v>
      </c>
      <c r="K115" s="148">
        <f t="shared" si="7"/>
        <v>63707283.670000002</v>
      </c>
      <c r="L115" s="148">
        <f>+K115-G115</f>
        <v>-5103845.7199999988</v>
      </c>
      <c r="M115" s="225">
        <f t="shared" si="4"/>
        <v>110</v>
      </c>
    </row>
    <row r="116" spans="1:13" ht="13.5" thickTop="1">
      <c r="A116" s="250">
        <f t="shared" si="5"/>
        <v>616</v>
      </c>
      <c r="B116" s="136"/>
      <c r="C116" s="102"/>
      <c r="D116" s="102"/>
      <c r="E116" s="102"/>
      <c r="F116" s="147"/>
      <c r="G116" s="147"/>
      <c r="H116" s="147"/>
      <c r="I116" s="147"/>
      <c r="K116" s="147"/>
      <c r="L116" s="147"/>
      <c r="M116" s="225">
        <f t="shared" si="4"/>
        <v>111</v>
      </c>
    </row>
    <row r="117" spans="1:13">
      <c r="A117" s="250">
        <f t="shared" si="5"/>
        <v>617</v>
      </c>
      <c r="B117" s="136">
        <v>858</v>
      </c>
      <c r="C117" s="102" t="s">
        <v>709</v>
      </c>
      <c r="D117" s="102"/>
      <c r="E117" s="102"/>
      <c r="F117" s="147"/>
      <c r="G117" s="147"/>
      <c r="H117" s="147"/>
      <c r="I117" s="147"/>
      <c r="K117" s="147">
        <f t="shared" si="7"/>
        <v>0</v>
      </c>
      <c r="L117" s="147"/>
      <c r="M117" s="225">
        <f t="shared" si="4"/>
        <v>112</v>
      </c>
    </row>
    <row r="118" spans="1:13">
      <c r="A118" s="250">
        <f t="shared" si="5"/>
        <v>618</v>
      </c>
      <c r="B118" s="227"/>
      <c r="C118" s="102"/>
      <c r="D118" s="102" t="s">
        <v>14</v>
      </c>
      <c r="E118" s="102"/>
      <c r="F118" s="147">
        <v>0</v>
      </c>
      <c r="G118" s="147">
        <v>0</v>
      </c>
      <c r="H118" s="147">
        <v>0</v>
      </c>
      <c r="I118" s="147">
        <v>0</v>
      </c>
      <c r="K118" s="147">
        <f t="shared" si="7"/>
        <v>0</v>
      </c>
      <c r="L118" s="147">
        <f>+K118-G118</f>
        <v>0</v>
      </c>
      <c r="M118" s="225">
        <f t="shared" si="4"/>
        <v>113</v>
      </c>
    </row>
    <row r="119" spans="1:13">
      <c r="A119" s="250">
        <f t="shared" si="5"/>
        <v>619</v>
      </c>
      <c r="B119" s="227"/>
      <c r="C119" s="102"/>
      <c r="D119" s="102" t="s">
        <v>24</v>
      </c>
      <c r="E119" s="102"/>
      <c r="F119" s="147">
        <v>0</v>
      </c>
      <c r="G119" s="147">
        <v>0</v>
      </c>
      <c r="H119" s="147">
        <v>0</v>
      </c>
      <c r="I119" s="147">
        <v>0</v>
      </c>
      <c r="K119" s="147">
        <f t="shared" si="7"/>
        <v>0</v>
      </c>
      <c r="L119" s="147">
        <f>+K119-G119</f>
        <v>0</v>
      </c>
      <c r="M119" s="225">
        <f t="shared" si="4"/>
        <v>114</v>
      </c>
    </row>
    <row r="120" spans="1:13" ht="13.5" thickBot="1">
      <c r="A120" s="250">
        <f t="shared" si="5"/>
        <v>620</v>
      </c>
      <c r="B120" s="227"/>
      <c r="C120" s="102"/>
      <c r="D120" s="102" t="s">
        <v>170</v>
      </c>
      <c r="E120" s="102"/>
      <c r="F120" s="148">
        <v>0</v>
      </c>
      <c r="G120" s="148">
        <v>0</v>
      </c>
      <c r="H120" s="148">
        <v>0</v>
      </c>
      <c r="I120" s="148">
        <v>0</v>
      </c>
      <c r="K120" s="148">
        <f t="shared" si="7"/>
        <v>0</v>
      </c>
      <c r="L120" s="148">
        <f>+K120-G120</f>
        <v>0</v>
      </c>
      <c r="M120" s="225">
        <f t="shared" si="4"/>
        <v>115</v>
      </c>
    </row>
    <row r="121" spans="1:13" ht="14.25" thickTop="1" thickBot="1">
      <c r="A121" s="250">
        <f t="shared" si="5"/>
        <v>621</v>
      </c>
      <c r="B121" s="227"/>
      <c r="C121" s="102"/>
      <c r="D121" s="102"/>
      <c r="E121" s="102"/>
      <c r="F121" s="149"/>
      <c r="G121" s="149"/>
      <c r="H121" s="149"/>
      <c r="I121" s="149"/>
      <c r="K121" s="149">
        <f t="shared" si="7"/>
        <v>0</v>
      </c>
      <c r="L121" s="149">
        <f>+K121-G121</f>
        <v>0</v>
      </c>
      <c r="M121" s="225">
        <f t="shared" si="4"/>
        <v>116</v>
      </c>
    </row>
    <row r="122" spans="1:13" ht="13.5" thickTop="1">
      <c r="A122" s="250">
        <f t="shared" si="5"/>
        <v>622</v>
      </c>
      <c r="B122" s="36" t="s">
        <v>561</v>
      </c>
      <c r="C122" s="102"/>
      <c r="D122" s="102"/>
      <c r="E122" s="102"/>
      <c r="F122" s="147"/>
      <c r="G122" s="147"/>
      <c r="H122" s="147"/>
      <c r="I122" s="147"/>
      <c r="K122" s="147">
        <f t="shared" si="7"/>
        <v>0</v>
      </c>
      <c r="L122" s="147"/>
      <c r="M122" s="225">
        <f t="shared" si="4"/>
        <v>117</v>
      </c>
    </row>
    <row r="123" spans="1:13">
      <c r="A123" s="250">
        <f t="shared" si="5"/>
        <v>623</v>
      </c>
      <c r="B123" s="227"/>
      <c r="C123" s="102" t="s">
        <v>696</v>
      </c>
      <c r="D123" s="102"/>
      <c r="E123" s="102"/>
      <c r="F123" s="147">
        <v>0</v>
      </c>
      <c r="G123" s="147">
        <v>0</v>
      </c>
      <c r="H123" s="147">
        <v>0</v>
      </c>
      <c r="I123" s="147">
        <v>0</v>
      </c>
      <c r="K123" s="147">
        <f t="shared" si="7"/>
        <v>0</v>
      </c>
      <c r="L123" s="147">
        <f t="shared" ref="L123:L128" si="8">+K123-G123</f>
        <v>0</v>
      </c>
      <c r="M123" s="225">
        <f t="shared" si="4"/>
        <v>118</v>
      </c>
    </row>
    <row r="124" spans="1:13">
      <c r="A124" s="250">
        <f t="shared" si="5"/>
        <v>624</v>
      </c>
      <c r="B124" s="227"/>
      <c r="C124" s="102" t="s">
        <v>697</v>
      </c>
      <c r="D124" s="102"/>
      <c r="E124" s="102"/>
      <c r="F124" s="147">
        <v>538622671.46781361</v>
      </c>
      <c r="G124" s="147">
        <v>536824955.34828264</v>
      </c>
      <c r="H124" s="147">
        <v>538622671.46781361</v>
      </c>
      <c r="I124" s="147">
        <v>538622671.46781361</v>
      </c>
      <c r="K124" s="147">
        <f t="shared" si="7"/>
        <v>538622671.46781361</v>
      </c>
      <c r="L124" s="147">
        <f t="shared" si="8"/>
        <v>1797716.1195309758</v>
      </c>
      <c r="M124" s="225">
        <f t="shared" si="4"/>
        <v>119</v>
      </c>
    </row>
    <row r="125" spans="1:13">
      <c r="A125" s="250">
        <f t="shared" si="5"/>
        <v>625</v>
      </c>
      <c r="B125" s="227"/>
      <c r="C125" s="102" t="s">
        <v>700</v>
      </c>
      <c r="D125" s="102"/>
      <c r="E125" s="102"/>
      <c r="F125" s="147">
        <v>0</v>
      </c>
      <c r="G125" s="147">
        <v>0</v>
      </c>
      <c r="H125" s="147">
        <v>0</v>
      </c>
      <c r="I125" s="147">
        <v>0</v>
      </c>
      <c r="K125" s="147">
        <f t="shared" si="7"/>
        <v>0</v>
      </c>
      <c r="L125" s="147">
        <f t="shared" si="8"/>
        <v>0</v>
      </c>
      <c r="M125" s="225">
        <f t="shared" si="4"/>
        <v>120</v>
      </c>
    </row>
    <row r="126" spans="1:13">
      <c r="A126" s="250">
        <f t="shared" si="5"/>
        <v>626</v>
      </c>
      <c r="B126" s="227"/>
      <c r="C126" s="102" t="s">
        <v>701</v>
      </c>
      <c r="D126" s="102"/>
      <c r="E126" s="102"/>
      <c r="F126" s="147">
        <v>19464039.522186399</v>
      </c>
      <c r="G126" s="147">
        <v>18575633.42171739</v>
      </c>
      <c r="H126" s="147">
        <v>19464039.522186399</v>
      </c>
      <c r="I126" s="147">
        <v>19464039.522186399</v>
      </c>
      <c r="K126" s="147">
        <f t="shared" si="7"/>
        <v>19464039.522186399</v>
      </c>
      <c r="L126" s="147">
        <f t="shared" si="8"/>
        <v>888406.10046900809</v>
      </c>
      <c r="M126" s="225">
        <f t="shared" si="4"/>
        <v>121</v>
      </c>
    </row>
    <row r="127" spans="1:13">
      <c r="A127" s="250">
        <f t="shared" si="5"/>
        <v>627</v>
      </c>
      <c r="B127" s="227"/>
      <c r="C127" s="102" t="s">
        <v>698</v>
      </c>
      <c r="D127" s="102"/>
      <c r="E127" s="102"/>
      <c r="F127" s="147">
        <v>841357.95538878441</v>
      </c>
      <c r="G127" s="147">
        <v>-360521.46434062719</v>
      </c>
      <c r="H127" s="147">
        <v>841357.95538878441</v>
      </c>
      <c r="I127" s="147">
        <v>841357.95538878441</v>
      </c>
      <c r="K127" s="147">
        <f t="shared" si="7"/>
        <v>841357.95538878441</v>
      </c>
      <c r="L127" s="147">
        <f t="shared" si="8"/>
        <v>1201879.4197294116</v>
      </c>
      <c r="M127" s="225">
        <f t="shared" si="4"/>
        <v>122</v>
      </c>
    </row>
    <row r="128" spans="1:13">
      <c r="A128" s="250">
        <f t="shared" si="5"/>
        <v>628</v>
      </c>
      <c r="B128" s="227"/>
      <c r="C128" s="102" t="s">
        <v>699</v>
      </c>
      <c r="D128" s="102"/>
      <c r="E128" s="102"/>
      <c r="F128" s="147">
        <v>78759.945229202509</v>
      </c>
      <c r="G128" s="147">
        <v>909617.26029350981</v>
      </c>
      <c r="H128" s="147">
        <v>78759.945229202509</v>
      </c>
      <c r="I128" s="147">
        <v>78759.945229202509</v>
      </c>
      <c r="K128" s="147">
        <f t="shared" si="7"/>
        <v>78759.945229202509</v>
      </c>
      <c r="L128" s="147">
        <f t="shared" si="8"/>
        <v>-830857.3150643073</v>
      </c>
      <c r="M128" s="225">
        <f t="shared" si="4"/>
        <v>123</v>
      </c>
    </row>
    <row r="129" spans="1:13" ht="13.5" thickBot="1">
      <c r="A129" s="250">
        <f t="shared" si="5"/>
        <v>629</v>
      </c>
      <c r="B129" s="227"/>
      <c r="C129" s="102"/>
      <c r="D129" s="102"/>
      <c r="E129" s="102"/>
      <c r="F129" s="149"/>
      <c r="G129" s="149"/>
      <c r="H129" s="149"/>
      <c r="I129" s="149"/>
      <c r="K129" s="149">
        <f t="shared" si="7"/>
        <v>0</v>
      </c>
      <c r="L129" s="149"/>
      <c r="M129" s="225">
        <f t="shared" si="4"/>
        <v>124</v>
      </c>
    </row>
    <row r="130" spans="1:13" ht="13.5" thickTop="1">
      <c r="A130" s="250">
        <f t="shared" si="5"/>
        <v>630</v>
      </c>
      <c r="B130" s="227"/>
      <c r="C130" s="102"/>
      <c r="D130" s="102"/>
      <c r="E130" s="102"/>
      <c r="F130" s="147"/>
      <c r="G130" s="147"/>
      <c r="H130" s="147"/>
      <c r="I130" s="147"/>
      <c r="K130" s="147">
        <f t="shared" si="7"/>
        <v>0</v>
      </c>
      <c r="L130" s="147"/>
      <c r="M130" s="225">
        <f t="shared" si="4"/>
        <v>125</v>
      </c>
    </row>
    <row r="131" spans="1:13">
      <c r="A131" s="250">
        <f t="shared" si="5"/>
        <v>631</v>
      </c>
      <c r="B131" s="227"/>
      <c r="C131" s="49" t="s">
        <v>561</v>
      </c>
      <c r="D131" s="102"/>
      <c r="E131" s="102"/>
      <c r="F131" s="147">
        <v>559006828.89061797</v>
      </c>
      <c r="G131" s="147">
        <v>555949684.56595278</v>
      </c>
      <c r="H131" s="147">
        <v>559006828.89061797</v>
      </c>
      <c r="I131" s="147">
        <v>559006828.89061797</v>
      </c>
      <c r="K131" s="147">
        <f t="shared" si="7"/>
        <v>559006828.89061797</v>
      </c>
      <c r="L131" s="147">
        <f>+K131-G131</f>
        <v>3057144.3246651888</v>
      </c>
      <c r="M131" s="225">
        <f t="shared" si="4"/>
        <v>126</v>
      </c>
    </row>
    <row r="132" spans="1:13">
      <c r="A132" s="250">
        <f t="shared" si="5"/>
        <v>632</v>
      </c>
      <c r="B132" s="227"/>
      <c r="C132" s="102"/>
      <c r="D132" s="102"/>
      <c r="E132" s="102"/>
      <c r="F132" s="147">
        <v>558086710.99000001</v>
      </c>
      <c r="G132" s="147"/>
      <c r="H132" s="147"/>
      <c r="I132" s="147"/>
      <c r="K132" s="147">
        <f t="shared" si="7"/>
        <v>0</v>
      </c>
      <c r="L132" s="147"/>
      <c r="M132" s="225">
        <f t="shared" si="4"/>
        <v>127</v>
      </c>
    </row>
    <row r="133" spans="1:13">
      <c r="A133" s="250">
        <f t="shared" si="5"/>
        <v>633</v>
      </c>
      <c r="B133" s="227"/>
      <c r="C133" s="102"/>
      <c r="D133" s="102"/>
      <c r="E133" s="102"/>
      <c r="F133" s="147"/>
      <c r="G133" s="147"/>
      <c r="H133" s="147"/>
      <c r="I133" s="147"/>
      <c r="K133" s="147">
        <f t="shared" si="7"/>
        <v>0</v>
      </c>
      <c r="L133" s="147"/>
      <c r="M133" s="225">
        <f t="shared" si="4"/>
        <v>128</v>
      </c>
    </row>
    <row r="134" spans="1:13">
      <c r="A134" s="250">
        <f t="shared" si="5"/>
        <v>634</v>
      </c>
      <c r="B134" s="36" t="s">
        <v>367</v>
      </c>
      <c r="C134" s="102"/>
      <c r="D134" s="102"/>
      <c r="E134" s="102"/>
      <c r="F134" s="147"/>
      <c r="G134" s="147"/>
      <c r="H134" s="147"/>
      <c r="I134" s="147"/>
      <c r="K134" s="147"/>
      <c r="L134" s="147"/>
      <c r="M134" s="225">
        <f t="shared" si="4"/>
        <v>129</v>
      </c>
    </row>
    <row r="135" spans="1:13">
      <c r="A135" s="250">
        <f t="shared" si="5"/>
        <v>635</v>
      </c>
      <c r="B135" s="227"/>
      <c r="C135" s="102"/>
      <c r="D135" s="102"/>
      <c r="E135" s="102"/>
      <c r="F135" s="147"/>
      <c r="G135" s="147"/>
      <c r="H135" s="147"/>
      <c r="I135" s="147"/>
      <c r="K135" s="147"/>
      <c r="L135" s="147"/>
      <c r="M135" s="225">
        <f t="shared" si="4"/>
        <v>130</v>
      </c>
    </row>
    <row r="136" spans="1:13">
      <c r="A136" s="250">
        <f t="shared" si="5"/>
        <v>636</v>
      </c>
      <c r="B136" s="36" t="s">
        <v>368</v>
      </c>
      <c r="C136" s="102"/>
      <c r="D136" s="102"/>
      <c r="E136" s="102"/>
      <c r="F136" s="147"/>
      <c r="G136" s="147"/>
      <c r="H136" s="147"/>
      <c r="I136" s="147"/>
      <c r="K136" s="147"/>
      <c r="L136" s="147"/>
      <c r="M136" s="225">
        <f t="shared" ref="M136:M199" si="9">+M135+1</f>
        <v>131</v>
      </c>
    </row>
    <row r="137" spans="1:13">
      <c r="A137" s="250">
        <f t="shared" si="5"/>
        <v>637</v>
      </c>
      <c r="B137" s="227"/>
      <c r="C137" s="102"/>
      <c r="D137" s="102"/>
      <c r="E137" s="102"/>
      <c r="F137" s="147"/>
      <c r="G137" s="147"/>
      <c r="H137" s="147"/>
      <c r="I137" s="147"/>
      <c r="K137" s="147"/>
      <c r="L137" s="147"/>
      <c r="M137" s="225">
        <f t="shared" si="9"/>
        <v>132</v>
      </c>
    </row>
    <row r="138" spans="1:13">
      <c r="A138" s="250">
        <f t="shared" si="5"/>
        <v>638</v>
      </c>
      <c r="B138" s="136">
        <v>810</v>
      </c>
      <c r="C138" s="102" t="s">
        <v>369</v>
      </c>
      <c r="D138" s="102"/>
      <c r="E138" s="102"/>
      <c r="F138" s="147">
        <v>-19819.150000000001</v>
      </c>
      <c r="G138" s="147">
        <v>-14233</v>
      </c>
      <c r="H138" s="147">
        <f>'PROJECTED EXPENSES'!AS10</f>
        <v>-14546.125999999998</v>
      </c>
      <c r="I138" s="147">
        <f>'PROJECTED EXPENSES'!AT10</f>
        <v>-14822.502393999999</v>
      </c>
      <c r="K138" s="147">
        <f>HLOOKUP($K$6,EXPENSESCENARIO,M138,FALSE)</f>
        <v>-14822.502393999999</v>
      </c>
      <c r="L138" s="147">
        <f>+K138-G138</f>
        <v>-589.50239399999919</v>
      </c>
      <c r="M138" s="225">
        <f t="shared" si="9"/>
        <v>133</v>
      </c>
    </row>
    <row r="139" spans="1:13">
      <c r="A139" s="250">
        <f t="shared" si="5"/>
        <v>639</v>
      </c>
      <c r="B139" s="136">
        <v>812</v>
      </c>
      <c r="C139" s="102" t="s">
        <v>372</v>
      </c>
      <c r="D139" s="102"/>
      <c r="E139" s="102"/>
      <c r="F139" s="147">
        <v>-477639.82</v>
      </c>
      <c r="G139" s="147">
        <v>-893091.92999999993</v>
      </c>
      <c r="H139" s="147">
        <f>'PROJECTED EXPENSES'!AS11</f>
        <v>-912739.95246000006</v>
      </c>
      <c r="I139" s="147">
        <f>'PROJECTED EXPENSES'!AT11</f>
        <v>-930082.01155674004</v>
      </c>
      <c r="K139" s="147">
        <f t="shared" ref="K139:K168" si="10">HLOOKUP($K$6,EXPENSESCENARIO,M139,FALSE)</f>
        <v>-930082.01155674004</v>
      </c>
      <c r="L139" s="147">
        <f>+K139-G139</f>
        <v>-36990.0815567401</v>
      </c>
      <c r="M139" s="225">
        <f t="shared" si="9"/>
        <v>134</v>
      </c>
    </row>
    <row r="140" spans="1:13">
      <c r="A140" s="250">
        <f t="shared" ref="A140:A203" si="11">+A139+1</f>
        <v>640</v>
      </c>
      <c r="B140" s="227"/>
      <c r="C140" s="102"/>
      <c r="D140" s="102"/>
      <c r="E140" s="102"/>
      <c r="F140" s="147"/>
      <c r="G140" s="147"/>
      <c r="H140" s="147"/>
      <c r="I140" s="147"/>
      <c r="K140" s="147">
        <f t="shared" si="10"/>
        <v>0</v>
      </c>
      <c r="L140" s="147"/>
      <c r="M140" s="225">
        <f t="shared" si="9"/>
        <v>135</v>
      </c>
    </row>
    <row r="141" spans="1:13">
      <c r="A141" s="250">
        <f t="shared" si="11"/>
        <v>641</v>
      </c>
      <c r="B141" s="227"/>
      <c r="C141" s="49" t="s">
        <v>373</v>
      </c>
      <c r="D141" s="102"/>
      <c r="E141" s="102"/>
      <c r="F141" s="147">
        <f>SUM(F138:F139)</f>
        <v>-497458.97000000003</v>
      </c>
      <c r="G141" s="147">
        <v>-907324.92999999993</v>
      </c>
      <c r="H141" s="147">
        <f>SUM(H138:H139)</f>
        <v>-927286.07846000011</v>
      </c>
      <c r="I141" s="147">
        <f>SUM(I138:I139)</f>
        <v>-944904.51395073999</v>
      </c>
      <c r="K141" s="147">
        <f t="shared" si="10"/>
        <v>-944904.51395073999</v>
      </c>
      <c r="L141" s="147">
        <f>+K141-G141</f>
        <v>-37579.583950740052</v>
      </c>
      <c r="M141" s="225">
        <f t="shared" si="9"/>
        <v>136</v>
      </c>
    </row>
    <row r="142" spans="1:13">
      <c r="A142" s="250">
        <f t="shared" si="11"/>
        <v>642</v>
      </c>
      <c r="B142" s="227"/>
      <c r="C142" s="102"/>
      <c r="D142" s="102"/>
      <c r="E142" s="102"/>
      <c r="F142" s="147"/>
      <c r="G142" s="147"/>
      <c r="H142" s="147"/>
      <c r="I142" s="147"/>
      <c r="K142" s="147"/>
      <c r="L142" s="147"/>
      <c r="M142" s="225">
        <f t="shared" si="9"/>
        <v>137</v>
      </c>
    </row>
    <row r="143" spans="1:13">
      <c r="A143" s="250">
        <f t="shared" si="11"/>
        <v>643</v>
      </c>
      <c r="B143" s="36" t="s">
        <v>374</v>
      </c>
      <c r="C143" s="102"/>
      <c r="D143" s="102"/>
      <c r="E143" s="102"/>
      <c r="F143" s="147"/>
      <c r="G143" s="147"/>
      <c r="H143" s="147"/>
      <c r="I143" s="147"/>
      <c r="K143" s="147"/>
      <c r="L143" s="147"/>
      <c r="M143" s="225">
        <f t="shared" si="9"/>
        <v>138</v>
      </c>
    </row>
    <row r="144" spans="1:13">
      <c r="A144" s="250">
        <f t="shared" si="11"/>
        <v>644</v>
      </c>
      <c r="B144" s="227"/>
      <c r="C144" s="102" t="s">
        <v>838</v>
      </c>
      <c r="D144" s="102"/>
      <c r="E144" s="102"/>
      <c r="F144" s="147"/>
      <c r="G144" s="147"/>
      <c r="H144" s="147"/>
      <c r="I144" s="147"/>
      <c r="K144" s="147"/>
      <c r="L144" s="147"/>
      <c r="M144" s="225">
        <f t="shared" si="9"/>
        <v>139</v>
      </c>
    </row>
    <row r="145" spans="1:13">
      <c r="A145" s="250">
        <f t="shared" si="11"/>
        <v>645</v>
      </c>
      <c r="B145" s="136">
        <v>870</v>
      </c>
      <c r="C145" s="102" t="s">
        <v>375</v>
      </c>
      <c r="D145" s="102"/>
      <c r="E145" s="102"/>
      <c r="F145" s="147"/>
      <c r="G145" s="147"/>
      <c r="H145" s="147"/>
      <c r="I145" s="147"/>
      <c r="K145" s="147"/>
      <c r="L145" s="147"/>
      <c r="M145" s="225">
        <f t="shared" si="9"/>
        <v>140</v>
      </c>
    </row>
    <row r="146" spans="1:13">
      <c r="A146" s="250">
        <f t="shared" si="11"/>
        <v>646</v>
      </c>
      <c r="B146" s="136"/>
      <c r="C146" s="102"/>
      <c r="D146" s="102" t="s">
        <v>14</v>
      </c>
      <c r="E146" s="102"/>
      <c r="F146" s="147">
        <v>11064381.629999999</v>
      </c>
      <c r="G146" s="147">
        <v>11130355.119999999</v>
      </c>
      <c r="H146" s="147">
        <f>'PROJECTED EXPENSES'!AS18</f>
        <v>10763306.378183909</v>
      </c>
      <c r="I146" s="147">
        <f>'PROJECTED EXPENSES'!AT18</f>
        <v>10882113.457885435</v>
      </c>
      <c r="K146" s="147">
        <f t="shared" si="10"/>
        <v>10882113.457885435</v>
      </c>
      <c r="L146" s="147">
        <f>+K146-G146</f>
        <v>-248241.66211456433</v>
      </c>
      <c r="M146" s="225">
        <f t="shared" si="9"/>
        <v>141</v>
      </c>
    </row>
    <row r="147" spans="1:13">
      <c r="A147" s="250">
        <f t="shared" si="11"/>
        <v>647</v>
      </c>
      <c r="B147" s="136"/>
      <c r="C147" s="102"/>
      <c r="D147" s="102" t="s">
        <v>24</v>
      </c>
      <c r="E147" s="102"/>
      <c r="F147" s="147">
        <v>525996.07000000007</v>
      </c>
      <c r="G147" s="147">
        <v>643277.56000000017</v>
      </c>
      <c r="H147" s="147">
        <f>'PROJECTED EXPENSES'!AS19</f>
        <v>634345.02541269572</v>
      </c>
      <c r="I147" s="147">
        <f>'PROJECTED EXPENSES'!AT19</f>
        <v>643661.15928913758</v>
      </c>
      <c r="K147" s="147">
        <f t="shared" si="10"/>
        <v>643661.15928913758</v>
      </c>
      <c r="L147" s="147">
        <f>+K147-G147</f>
        <v>383.59928913740441</v>
      </c>
      <c r="M147" s="225">
        <f t="shared" si="9"/>
        <v>142</v>
      </c>
    </row>
    <row r="148" spans="1:13" ht="13.5" thickBot="1">
      <c r="A148" s="250">
        <f t="shared" si="11"/>
        <v>648</v>
      </c>
      <c r="B148" s="136"/>
      <c r="C148" s="102"/>
      <c r="D148" s="102" t="s">
        <v>170</v>
      </c>
      <c r="E148" s="102"/>
      <c r="F148" s="148">
        <f>SUM(F146:F147)</f>
        <v>11590377.699999999</v>
      </c>
      <c r="G148" s="148">
        <v>11773632.68</v>
      </c>
      <c r="H148" s="148">
        <f>SUM(H146:H147)</f>
        <v>11397651.403596604</v>
      </c>
      <c r="I148" s="148">
        <f>SUM(I146:I147)</f>
        <v>11525774.617174573</v>
      </c>
      <c r="K148" s="148">
        <f t="shared" si="10"/>
        <v>11525774.617174573</v>
      </c>
      <c r="L148" s="148">
        <f>+K148-G148</f>
        <v>-247858.06282542646</v>
      </c>
      <c r="M148" s="225">
        <f t="shared" si="9"/>
        <v>143</v>
      </c>
    </row>
    <row r="149" spans="1:13" ht="13.5" thickTop="1">
      <c r="A149" s="250">
        <f t="shared" si="11"/>
        <v>649</v>
      </c>
      <c r="B149" s="136"/>
      <c r="C149" s="102"/>
      <c r="D149" s="102"/>
      <c r="E149" s="102"/>
      <c r="F149" s="147"/>
      <c r="G149" s="147"/>
      <c r="H149" s="147"/>
      <c r="I149" s="147"/>
      <c r="K149" s="147"/>
      <c r="L149" s="147"/>
      <c r="M149" s="225">
        <f t="shared" si="9"/>
        <v>144</v>
      </c>
    </row>
    <row r="150" spans="1:13">
      <c r="A150" s="250">
        <f t="shared" si="11"/>
        <v>650</v>
      </c>
      <c r="B150" s="136">
        <v>871</v>
      </c>
      <c r="C150" s="102" t="s">
        <v>376</v>
      </c>
      <c r="D150" s="102"/>
      <c r="E150" s="102"/>
      <c r="F150" s="147"/>
      <c r="G150" s="147"/>
      <c r="H150" s="147"/>
      <c r="I150" s="147"/>
      <c r="K150" s="147"/>
      <c r="L150" s="147"/>
      <c r="M150" s="225">
        <f t="shared" si="9"/>
        <v>145</v>
      </c>
    </row>
    <row r="151" spans="1:13">
      <c r="A151" s="250">
        <f t="shared" si="11"/>
        <v>651</v>
      </c>
      <c r="B151" s="136"/>
      <c r="C151" s="102"/>
      <c r="D151" s="102" t="s">
        <v>14</v>
      </c>
      <c r="E151" s="102"/>
      <c r="F151" s="147">
        <v>2066879.88</v>
      </c>
      <c r="G151" s="147">
        <v>1879996.2199999997</v>
      </c>
      <c r="H151" s="147">
        <f>'PROJECTED EXPENSES'!AS23</f>
        <v>1795476.3390436354</v>
      </c>
      <c r="I151" s="147">
        <f>'PROJECTED EXPENSES'!AT23</f>
        <v>1811321.2080893363</v>
      </c>
      <c r="K151" s="147">
        <f t="shared" si="10"/>
        <v>1811321.2080893363</v>
      </c>
      <c r="L151" s="147">
        <f>+K151-G151</f>
        <v>-68675.011910663452</v>
      </c>
      <c r="M151" s="225">
        <f t="shared" si="9"/>
        <v>146</v>
      </c>
    </row>
    <row r="152" spans="1:13">
      <c r="A152" s="250">
        <f t="shared" si="11"/>
        <v>652</v>
      </c>
      <c r="B152" s="136"/>
      <c r="C152" s="102"/>
      <c r="D152" s="102" t="s">
        <v>24</v>
      </c>
      <c r="E152" s="102"/>
      <c r="F152" s="147">
        <v>40083.149999999994</v>
      </c>
      <c r="G152" s="147">
        <v>30806.410000000003</v>
      </c>
      <c r="H152" s="147">
        <f>'PROJECTED EXPENSES'!AS24</f>
        <v>31145.280509999997</v>
      </c>
      <c r="I152" s="147">
        <f>'PROJECTED EXPENSES'!AT24</f>
        <v>31768.1861202</v>
      </c>
      <c r="K152" s="147">
        <f t="shared" si="10"/>
        <v>31768.1861202</v>
      </c>
      <c r="L152" s="147">
        <f>+K152-G152</f>
        <v>961.77612019999651</v>
      </c>
      <c r="M152" s="225">
        <f t="shared" si="9"/>
        <v>147</v>
      </c>
    </row>
    <row r="153" spans="1:13" ht="13.5" thickBot="1">
      <c r="A153" s="250">
        <f t="shared" si="11"/>
        <v>653</v>
      </c>
      <c r="B153" s="136"/>
      <c r="C153" s="102"/>
      <c r="D153" s="102" t="s">
        <v>170</v>
      </c>
      <c r="E153" s="102"/>
      <c r="F153" s="148">
        <f>SUM(F151:F152)</f>
        <v>2106963.0299999998</v>
      </c>
      <c r="G153" s="148">
        <v>1910802.6299999997</v>
      </c>
      <c r="H153" s="148">
        <f>SUM(H151:H152)</f>
        <v>1826621.6195536354</v>
      </c>
      <c r="I153" s="148">
        <f>SUM(I151:I152)</f>
        <v>1843089.3942095363</v>
      </c>
      <c r="K153" s="148">
        <f t="shared" si="10"/>
        <v>1843089.3942095363</v>
      </c>
      <c r="L153" s="148">
        <f>+K153-G153</f>
        <v>-67713.235790463397</v>
      </c>
      <c r="M153" s="225">
        <f t="shared" si="9"/>
        <v>148</v>
      </c>
    </row>
    <row r="154" spans="1:13" ht="13.5" thickTop="1">
      <c r="A154" s="250">
        <f t="shared" si="11"/>
        <v>654</v>
      </c>
      <c r="B154" s="136"/>
      <c r="C154" s="102"/>
      <c r="D154" s="102"/>
      <c r="E154" s="102"/>
      <c r="F154" s="147"/>
      <c r="G154" s="147"/>
      <c r="H154" s="147"/>
      <c r="I154" s="147"/>
      <c r="K154" s="147"/>
      <c r="L154" s="147"/>
      <c r="M154" s="225">
        <f t="shared" si="9"/>
        <v>149</v>
      </c>
    </row>
    <row r="155" spans="1:13">
      <c r="A155" s="250">
        <f t="shared" si="11"/>
        <v>655</v>
      </c>
      <c r="B155" s="136">
        <v>872</v>
      </c>
      <c r="C155" s="102" t="s">
        <v>378</v>
      </c>
      <c r="D155" s="102"/>
      <c r="E155" s="102"/>
      <c r="F155" s="147"/>
      <c r="G155" s="147"/>
      <c r="H155" s="147"/>
      <c r="I155" s="147"/>
      <c r="K155" s="147"/>
      <c r="L155" s="147"/>
      <c r="M155" s="225">
        <f t="shared" si="9"/>
        <v>150</v>
      </c>
    </row>
    <row r="156" spans="1:13">
      <c r="A156" s="250">
        <f t="shared" si="11"/>
        <v>656</v>
      </c>
      <c r="B156" s="136"/>
      <c r="C156" s="102"/>
      <c r="D156" s="102" t="s">
        <v>14</v>
      </c>
      <c r="E156" s="102"/>
      <c r="F156" s="147">
        <v>0</v>
      </c>
      <c r="G156" s="147">
        <v>0</v>
      </c>
      <c r="H156" s="147">
        <f>'PROJECTED EXPENSES'!AS28</f>
        <v>0</v>
      </c>
      <c r="I156" s="147">
        <f>'PROJECTED EXPENSES'!AT28</f>
        <v>0</v>
      </c>
      <c r="K156" s="147">
        <f t="shared" si="10"/>
        <v>0</v>
      </c>
      <c r="L156" s="147">
        <f>+K156-G156</f>
        <v>0</v>
      </c>
      <c r="M156" s="225">
        <f t="shared" si="9"/>
        <v>151</v>
      </c>
    </row>
    <row r="157" spans="1:13">
      <c r="A157" s="250">
        <f t="shared" si="11"/>
        <v>657</v>
      </c>
      <c r="B157" s="136"/>
      <c r="C157" s="102"/>
      <c r="D157" s="102" t="s">
        <v>24</v>
      </c>
      <c r="E157" s="102"/>
      <c r="F157" s="147">
        <v>0</v>
      </c>
      <c r="G157" s="147">
        <v>0</v>
      </c>
      <c r="H157" s="147">
        <f>'PROJECTED EXPENSES'!AS29</f>
        <v>0</v>
      </c>
      <c r="I157" s="147">
        <f>'PROJECTED EXPENSES'!AT29</f>
        <v>0</v>
      </c>
      <c r="K157" s="147">
        <f t="shared" si="10"/>
        <v>0</v>
      </c>
      <c r="L157" s="147">
        <f>+K157-G157</f>
        <v>0</v>
      </c>
      <c r="M157" s="225">
        <f t="shared" si="9"/>
        <v>152</v>
      </c>
    </row>
    <row r="158" spans="1:13" ht="13.5" thickBot="1">
      <c r="A158" s="250">
        <f t="shared" si="11"/>
        <v>658</v>
      </c>
      <c r="B158" s="136"/>
      <c r="C158" s="102"/>
      <c r="D158" s="102" t="s">
        <v>170</v>
      </c>
      <c r="E158" s="102"/>
      <c r="F158" s="148">
        <f>SUM(F156:F157)</f>
        <v>0</v>
      </c>
      <c r="G158" s="148">
        <v>0</v>
      </c>
      <c r="H158" s="148">
        <f>SUM(H156:H157)</f>
        <v>0</v>
      </c>
      <c r="I158" s="148">
        <f>SUM(I156:I157)</f>
        <v>0</v>
      </c>
      <c r="K158" s="148">
        <f t="shared" si="10"/>
        <v>0</v>
      </c>
      <c r="L158" s="148">
        <f>+K158-G158</f>
        <v>0</v>
      </c>
      <c r="M158" s="225">
        <f t="shared" si="9"/>
        <v>153</v>
      </c>
    </row>
    <row r="159" spans="1:13" ht="13.5" thickTop="1">
      <c r="A159" s="250">
        <f t="shared" si="11"/>
        <v>659</v>
      </c>
      <c r="B159" s="136"/>
      <c r="C159" s="102"/>
      <c r="D159" s="102"/>
      <c r="E159" s="102"/>
      <c r="F159" s="147"/>
      <c r="G159" s="147"/>
      <c r="H159" s="147"/>
      <c r="I159" s="147"/>
      <c r="K159" s="147"/>
      <c r="L159" s="147"/>
      <c r="M159" s="225">
        <f t="shared" si="9"/>
        <v>154</v>
      </c>
    </row>
    <row r="160" spans="1:13">
      <c r="A160" s="250">
        <f t="shared" si="11"/>
        <v>660</v>
      </c>
      <c r="B160" s="136">
        <v>873</v>
      </c>
      <c r="C160" s="102" t="s">
        <v>379</v>
      </c>
      <c r="D160" s="102"/>
      <c r="E160" s="102"/>
      <c r="F160" s="147"/>
      <c r="G160" s="147"/>
      <c r="H160" s="147"/>
      <c r="I160" s="147"/>
      <c r="K160" s="147"/>
      <c r="L160" s="147"/>
      <c r="M160" s="225">
        <f t="shared" si="9"/>
        <v>155</v>
      </c>
    </row>
    <row r="161" spans="1:13">
      <c r="A161" s="250">
        <f t="shared" si="11"/>
        <v>661</v>
      </c>
      <c r="B161" s="136"/>
      <c r="C161" s="102"/>
      <c r="D161" s="102" t="s">
        <v>14</v>
      </c>
      <c r="E161" s="102"/>
      <c r="F161" s="147">
        <v>20047.900000000001</v>
      </c>
      <c r="G161" s="147">
        <v>14233</v>
      </c>
      <c r="H161" s="147">
        <f>'PROJECTED EXPENSES'!AS33</f>
        <v>14546.125999999998</v>
      </c>
      <c r="I161" s="147">
        <f>'PROJECTED EXPENSES'!AT33</f>
        <v>14822.502393999999</v>
      </c>
      <c r="K161" s="147">
        <f t="shared" si="10"/>
        <v>14822.502393999999</v>
      </c>
      <c r="L161" s="147">
        <f>+K161-G161</f>
        <v>589.50239399999919</v>
      </c>
      <c r="M161" s="225">
        <f t="shared" si="9"/>
        <v>156</v>
      </c>
    </row>
    <row r="162" spans="1:13">
      <c r="A162" s="250">
        <f t="shared" si="11"/>
        <v>662</v>
      </c>
      <c r="B162" s="136"/>
      <c r="C162" s="102"/>
      <c r="D162" s="102" t="s">
        <v>24</v>
      </c>
      <c r="E162" s="102"/>
      <c r="F162" s="147">
        <v>0</v>
      </c>
      <c r="G162" s="147">
        <v>0</v>
      </c>
      <c r="H162" s="147">
        <f>'PROJECTED EXPENSES'!AS34</f>
        <v>0</v>
      </c>
      <c r="I162" s="147">
        <f>'PROJECTED EXPENSES'!AT34</f>
        <v>0</v>
      </c>
      <c r="K162" s="147">
        <f t="shared" si="10"/>
        <v>0</v>
      </c>
      <c r="L162" s="147">
        <f>+K162-G162</f>
        <v>0</v>
      </c>
      <c r="M162" s="225">
        <f t="shared" si="9"/>
        <v>157</v>
      </c>
    </row>
    <row r="163" spans="1:13" ht="13.5" thickBot="1">
      <c r="A163" s="250">
        <f t="shared" si="11"/>
        <v>663</v>
      </c>
      <c r="B163" s="136"/>
      <c r="C163" s="102"/>
      <c r="D163" s="102" t="s">
        <v>170</v>
      </c>
      <c r="E163" s="102"/>
      <c r="F163" s="148">
        <f>SUM(F161:F162)</f>
        <v>20047.900000000001</v>
      </c>
      <c r="G163" s="148">
        <v>14233</v>
      </c>
      <c r="H163" s="148">
        <f>SUM(H161:H162)</f>
        <v>14546.125999999998</v>
      </c>
      <c r="I163" s="148">
        <f>SUM(I161:I162)</f>
        <v>14822.502393999999</v>
      </c>
      <c r="K163" s="148">
        <f t="shared" si="10"/>
        <v>14822.502393999999</v>
      </c>
      <c r="L163" s="148">
        <f>+K163-G163</f>
        <v>589.50239399999919</v>
      </c>
      <c r="M163" s="225">
        <f t="shared" si="9"/>
        <v>158</v>
      </c>
    </row>
    <row r="164" spans="1:13" ht="13.5" thickTop="1">
      <c r="A164" s="250">
        <f t="shared" si="11"/>
        <v>664</v>
      </c>
      <c r="B164" s="136"/>
      <c r="C164" s="102"/>
      <c r="D164" s="102"/>
      <c r="E164" s="102"/>
      <c r="F164" s="147"/>
      <c r="G164" s="147"/>
      <c r="H164" s="147"/>
      <c r="I164" s="147"/>
      <c r="K164" s="147"/>
      <c r="L164" s="147"/>
      <c r="M164" s="225">
        <f t="shared" si="9"/>
        <v>159</v>
      </c>
    </row>
    <row r="165" spans="1:13">
      <c r="A165" s="250">
        <f t="shared" si="11"/>
        <v>665</v>
      </c>
      <c r="B165" s="136">
        <v>874</v>
      </c>
      <c r="C165" s="102" t="s">
        <v>380</v>
      </c>
      <c r="D165" s="102"/>
      <c r="E165" s="102"/>
      <c r="F165" s="147"/>
      <c r="G165" s="147"/>
      <c r="H165" s="147"/>
      <c r="I165" s="147"/>
      <c r="K165" s="147"/>
      <c r="L165" s="147"/>
      <c r="M165" s="225">
        <f t="shared" si="9"/>
        <v>160</v>
      </c>
    </row>
    <row r="166" spans="1:13">
      <c r="A166" s="250">
        <f t="shared" si="11"/>
        <v>666</v>
      </c>
      <c r="B166" s="136"/>
      <c r="C166" s="102"/>
      <c r="D166" s="102" t="s">
        <v>14</v>
      </c>
      <c r="E166" s="102"/>
      <c r="F166" s="147">
        <v>9887454.8899999987</v>
      </c>
      <c r="G166" s="147">
        <v>12278206.640000001</v>
      </c>
      <c r="H166" s="147">
        <f>'PROJECTED EXPENSES'!AS38</f>
        <v>12268229.193040384</v>
      </c>
      <c r="I166" s="147">
        <f>'PROJECTED EXPENSES'!AT38</f>
        <v>12412199.011696186</v>
      </c>
      <c r="K166" s="147">
        <f t="shared" si="10"/>
        <v>12412199.011696186</v>
      </c>
      <c r="L166" s="147">
        <f>+K166-G166</f>
        <v>133992.37169618532</v>
      </c>
      <c r="M166" s="225">
        <f t="shared" si="9"/>
        <v>161</v>
      </c>
    </row>
    <row r="167" spans="1:13">
      <c r="A167" s="250">
        <f t="shared" si="11"/>
        <v>667</v>
      </c>
      <c r="B167" s="136"/>
      <c r="C167" s="102"/>
      <c r="D167" s="102" t="s">
        <v>24</v>
      </c>
      <c r="E167" s="102"/>
      <c r="F167" s="147">
        <v>661276.11</v>
      </c>
      <c r="G167" s="147">
        <v>451742.14</v>
      </c>
      <c r="H167" s="147">
        <f>'PROJECTED EXPENSES'!AS39</f>
        <v>454921.87360060675</v>
      </c>
      <c r="I167" s="147">
        <f>'PROJECTED EXPENSES'!AT39</f>
        <v>460591.97549831169</v>
      </c>
      <c r="K167" s="147">
        <f t="shared" si="10"/>
        <v>460591.97549831169</v>
      </c>
      <c r="L167" s="147">
        <f>+K167-G167</f>
        <v>8849.8354983116733</v>
      </c>
      <c r="M167" s="225">
        <f t="shared" si="9"/>
        <v>162</v>
      </c>
    </row>
    <row r="168" spans="1:13" ht="13.5" thickBot="1">
      <c r="A168" s="250">
        <f t="shared" si="11"/>
        <v>668</v>
      </c>
      <c r="B168" s="136"/>
      <c r="C168" s="102"/>
      <c r="D168" s="102" t="s">
        <v>170</v>
      </c>
      <c r="E168" s="102"/>
      <c r="F168" s="148">
        <f>SUM(F166:F167)</f>
        <v>10548730.999999998</v>
      </c>
      <c r="G168" s="148">
        <v>12729948.780000001</v>
      </c>
      <c r="H168" s="148">
        <f>SUM(H166:H167)</f>
        <v>12723151.06664099</v>
      </c>
      <c r="I168" s="148">
        <f>SUM(I166:I167)</f>
        <v>12872790.987194497</v>
      </c>
      <c r="K168" s="148">
        <f t="shared" si="10"/>
        <v>12872790.987194497</v>
      </c>
      <c r="L168" s="148">
        <f>+K168-G168</f>
        <v>142842.20719449595</v>
      </c>
      <c r="M168" s="225">
        <f t="shared" si="9"/>
        <v>163</v>
      </c>
    </row>
    <row r="169" spans="1:13" ht="13.5" thickTop="1">
      <c r="A169" s="250">
        <f t="shared" si="11"/>
        <v>669</v>
      </c>
      <c r="B169" s="136"/>
      <c r="C169" s="102"/>
      <c r="D169" s="102"/>
      <c r="E169" s="102"/>
      <c r="F169" s="147"/>
      <c r="G169" s="147"/>
      <c r="H169" s="147"/>
      <c r="I169" s="147"/>
      <c r="K169" s="147"/>
      <c r="L169" s="147"/>
      <c r="M169" s="225">
        <f t="shared" si="9"/>
        <v>164</v>
      </c>
    </row>
    <row r="170" spans="1:13">
      <c r="A170" s="250">
        <f t="shared" si="11"/>
        <v>670</v>
      </c>
      <c r="B170" s="136">
        <v>875</v>
      </c>
      <c r="C170" s="102" t="s">
        <v>381</v>
      </c>
      <c r="D170" s="102"/>
      <c r="E170" s="102"/>
      <c r="F170" s="147"/>
      <c r="G170" s="147"/>
      <c r="H170" s="147"/>
      <c r="I170" s="147"/>
      <c r="K170" s="147"/>
      <c r="L170" s="147"/>
      <c r="M170" s="225">
        <f t="shared" si="9"/>
        <v>165</v>
      </c>
    </row>
    <row r="171" spans="1:13">
      <c r="A171" s="250">
        <f t="shared" si="11"/>
        <v>671</v>
      </c>
      <c r="B171" s="136"/>
      <c r="C171" s="102"/>
      <c r="D171" s="102" t="s">
        <v>14</v>
      </c>
      <c r="E171" s="102"/>
      <c r="F171" s="147">
        <v>2244736.9500000002</v>
      </c>
      <c r="G171" s="147">
        <v>2204987.8800000004</v>
      </c>
      <c r="H171" s="147">
        <f>'PROJECTED EXPENSES'!AS43</f>
        <v>2150605.302669853</v>
      </c>
      <c r="I171" s="147">
        <f>'PROJECTED EXPENSES'!AT43</f>
        <v>2174341.6905536624</v>
      </c>
      <c r="K171" s="147">
        <f t="shared" ref="K171:K201" si="12">HLOOKUP($K$6,EXPENSESCENARIO,M171,FALSE)</f>
        <v>2174341.6905536624</v>
      </c>
      <c r="L171" s="147">
        <f>+K171-G171</f>
        <v>-30646.189446337987</v>
      </c>
      <c r="M171" s="225">
        <f t="shared" si="9"/>
        <v>166</v>
      </c>
    </row>
    <row r="172" spans="1:13">
      <c r="A172" s="250">
        <f t="shared" si="11"/>
        <v>672</v>
      </c>
      <c r="B172" s="136"/>
      <c r="C172" s="102"/>
      <c r="D172" s="102" t="s">
        <v>24</v>
      </c>
      <c r="E172" s="102"/>
      <c r="F172" s="147">
        <v>154203.65000000002</v>
      </c>
      <c r="G172" s="147">
        <v>139069.87000000002</v>
      </c>
      <c r="H172" s="147">
        <f>'PROJECTED EXPENSES'!AS44</f>
        <v>137680.73160801173</v>
      </c>
      <c r="I172" s="147">
        <f>'PROJECTED EXPENSES'!AT44</f>
        <v>139488.09390783409</v>
      </c>
      <c r="K172" s="147">
        <f t="shared" si="12"/>
        <v>139488.09390783409</v>
      </c>
      <c r="L172" s="147">
        <f>+K172-G172</f>
        <v>418.22390783406445</v>
      </c>
      <c r="M172" s="225">
        <f t="shared" si="9"/>
        <v>167</v>
      </c>
    </row>
    <row r="173" spans="1:13" ht="13.5" thickBot="1">
      <c r="A173" s="250">
        <f t="shared" si="11"/>
        <v>673</v>
      </c>
      <c r="B173" s="136"/>
      <c r="C173" s="102"/>
      <c r="D173" s="102" t="s">
        <v>170</v>
      </c>
      <c r="E173" s="102"/>
      <c r="F173" s="148">
        <f>SUM(F171:F172)</f>
        <v>2398940.6</v>
      </c>
      <c r="G173" s="148">
        <v>2344057.7500000005</v>
      </c>
      <c r="H173" s="148">
        <f>SUM(H171:H172)</f>
        <v>2288286.0342778647</v>
      </c>
      <c r="I173" s="148">
        <f>SUM(I171:I172)</f>
        <v>2313829.7844614964</v>
      </c>
      <c r="K173" s="148">
        <f t="shared" si="12"/>
        <v>2313829.7844614964</v>
      </c>
      <c r="L173" s="148">
        <f>+K173-G173</f>
        <v>-30227.965538504068</v>
      </c>
      <c r="M173" s="225">
        <f t="shared" si="9"/>
        <v>168</v>
      </c>
    </row>
    <row r="174" spans="1:13" ht="13.5" thickTop="1">
      <c r="A174" s="250">
        <f t="shared" si="11"/>
        <v>674</v>
      </c>
      <c r="B174" s="136"/>
      <c r="C174" s="102"/>
      <c r="D174" s="102"/>
      <c r="E174" s="102"/>
      <c r="F174" s="147"/>
      <c r="G174" s="147"/>
      <c r="H174" s="147"/>
      <c r="I174" s="147"/>
      <c r="K174" s="147"/>
      <c r="L174" s="147"/>
      <c r="M174" s="225">
        <f t="shared" si="9"/>
        <v>169</v>
      </c>
    </row>
    <row r="175" spans="1:13">
      <c r="A175" s="250">
        <f t="shared" si="11"/>
        <v>675</v>
      </c>
      <c r="B175" s="136">
        <v>878</v>
      </c>
      <c r="C175" s="102" t="s">
        <v>382</v>
      </c>
      <c r="D175" s="102"/>
      <c r="E175" s="102"/>
      <c r="F175" s="147"/>
      <c r="G175" s="147"/>
      <c r="H175" s="147"/>
      <c r="I175" s="147"/>
      <c r="K175" s="147"/>
      <c r="L175" s="147"/>
      <c r="M175" s="225">
        <f t="shared" si="9"/>
        <v>170</v>
      </c>
    </row>
    <row r="176" spans="1:13">
      <c r="A176" s="250">
        <f t="shared" si="11"/>
        <v>676</v>
      </c>
      <c r="B176" s="136"/>
      <c r="C176" s="102"/>
      <c r="D176" s="102" t="s">
        <v>14</v>
      </c>
      <c r="E176" s="102"/>
      <c r="F176" s="147">
        <v>3406844.1399999997</v>
      </c>
      <c r="G176" s="147">
        <v>2725264.3499999996</v>
      </c>
      <c r="H176" s="147">
        <f>'PROJECTED EXPENSES'!AS48</f>
        <v>2627254.6233927328</v>
      </c>
      <c r="I176" s="147">
        <f>'PROJECTED EXPENSES'!AT48</f>
        <v>2651744.8535863846</v>
      </c>
      <c r="K176" s="147">
        <f t="shared" si="12"/>
        <v>2651744.8535863846</v>
      </c>
      <c r="L176" s="147">
        <f>+K176-G176</f>
        <v>-73519.496413615067</v>
      </c>
      <c r="M176" s="225">
        <f t="shared" si="9"/>
        <v>171</v>
      </c>
    </row>
    <row r="177" spans="1:13">
      <c r="A177" s="250">
        <f t="shared" si="11"/>
        <v>677</v>
      </c>
      <c r="B177" s="136"/>
      <c r="C177" s="102"/>
      <c r="D177" s="102" t="s">
        <v>24</v>
      </c>
      <c r="E177" s="102"/>
      <c r="F177" s="147">
        <v>154532.11000000002</v>
      </c>
      <c r="G177" s="147">
        <v>214421.77</v>
      </c>
      <c r="H177" s="147">
        <f>'PROJECTED EXPENSES'!AS49</f>
        <v>206362.05071566039</v>
      </c>
      <c r="I177" s="147">
        <f>'PROJECTED EXPENSES'!AT49</f>
        <v>208236.92021356238</v>
      </c>
      <c r="K177" s="147">
        <f t="shared" si="12"/>
        <v>208236.92021356238</v>
      </c>
      <c r="L177" s="147">
        <f>+K177-G177</f>
        <v>-6184.8497864376113</v>
      </c>
      <c r="M177" s="225">
        <f t="shared" si="9"/>
        <v>172</v>
      </c>
    </row>
    <row r="178" spans="1:13" ht="13.5" thickBot="1">
      <c r="A178" s="250">
        <f t="shared" si="11"/>
        <v>678</v>
      </c>
      <c r="B178" s="136"/>
      <c r="C178" s="102"/>
      <c r="D178" s="102" t="s">
        <v>170</v>
      </c>
      <c r="E178" s="102"/>
      <c r="F178" s="148">
        <f>SUM(F176:F177)</f>
        <v>3561376.2499999995</v>
      </c>
      <c r="G178" s="148">
        <v>2939686.1199999996</v>
      </c>
      <c r="H178" s="148">
        <f>SUM(H176:H177)</f>
        <v>2833616.674108393</v>
      </c>
      <c r="I178" s="148">
        <f>SUM(I176:I177)</f>
        <v>2859981.773799947</v>
      </c>
      <c r="K178" s="148">
        <f t="shared" si="12"/>
        <v>2859981.773799947</v>
      </c>
      <c r="L178" s="148">
        <f>+K178-G178</f>
        <v>-79704.346200052649</v>
      </c>
      <c r="M178" s="225">
        <f t="shared" si="9"/>
        <v>173</v>
      </c>
    </row>
    <row r="179" spans="1:13" ht="13.5" thickTop="1">
      <c r="A179" s="250">
        <f t="shared" si="11"/>
        <v>679</v>
      </c>
      <c r="B179" s="136"/>
      <c r="C179" s="102"/>
      <c r="D179" s="102"/>
      <c r="E179" s="102"/>
      <c r="F179" s="147"/>
      <c r="G179" s="147"/>
      <c r="H179" s="147"/>
      <c r="I179" s="147"/>
      <c r="K179" s="147"/>
      <c r="L179" s="147"/>
      <c r="M179" s="225">
        <f t="shared" si="9"/>
        <v>174</v>
      </c>
    </row>
    <row r="180" spans="1:13">
      <c r="A180" s="250">
        <f t="shared" si="11"/>
        <v>680</v>
      </c>
      <c r="B180" s="136">
        <v>879</v>
      </c>
      <c r="C180" s="102" t="s">
        <v>383</v>
      </c>
      <c r="D180" s="102"/>
      <c r="E180" s="102"/>
      <c r="F180" s="147"/>
      <c r="G180" s="147"/>
      <c r="H180" s="147"/>
      <c r="I180" s="147"/>
      <c r="K180" s="147"/>
      <c r="L180" s="147"/>
      <c r="M180" s="225">
        <f t="shared" si="9"/>
        <v>175</v>
      </c>
    </row>
    <row r="181" spans="1:13">
      <c r="A181" s="250">
        <f t="shared" si="11"/>
        <v>681</v>
      </c>
      <c r="B181" s="136"/>
      <c r="C181" s="102"/>
      <c r="D181" s="102" t="s">
        <v>14</v>
      </c>
      <c r="E181" s="102"/>
      <c r="F181" s="147">
        <v>3327209.62</v>
      </c>
      <c r="G181" s="147">
        <v>2960079.4000000004</v>
      </c>
      <c r="H181" s="147">
        <f>'PROJECTED EXPENSES'!AS53</f>
        <v>2847521.4722335134</v>
      </c>
      <c r="I181" s="147">
        <f>'PROJECTED EXPENSES'!AT53</f>
        <v>2873414.4409324788</v>
      </c>
      <c r="K181" s="147">
        <f t="shared" si="12"/>
        <v>2873414.4409324788</v>
      </c>
      <c r="L181" s="147">
        <f>+K181-G181</f>
        <v>-86664.959067521617</v>
      </c>
      <c r="M181" s="225">
        <f t="shared" si="9"/>
        <v>176</v>
      </c>
    </row>
    <row r="182" spans="1:13">
      <c r="A182" s="250">
        <f t="shared" si="11"/>
        <v>682</v>
      </c>
      <c r="B182" s="136"/>
      <c r="C182" s="102"/>
      <c r="D182" s="102" t="s">
        <v>24</v>
      </c>
      <c r="E182" s="102"/>
      <c r="F182" s="147">
        <v>225985.44</v>
      </c>
      <c r="G182" s="147">
        <v>118847.07999999999</v>
      </c>
      <c r="H182" s="147">
        <f>'PROJECTED EXPENSES'!AS54</f>
        <v>114872.57183087981</v>
      </c>
      <c r="I182" s="147">
        <f>'PROJECTED EXPENSES'!AT54</f>
        <v>115995.38199042022</v>
      </c>
      <c r="K182" s="147">
        <f t="shared" si="12"/>
        <v>115995.38199042022</v>
      </c>
      <c r="L182" s="147">
        <f>+K182-G182</f>
        <v>-2851.6980095797626</v>
      </c>
      <c r="M182" s="225">
        <f t="shared" si="9"/>
        <v>177</v>
      </c>
    </row>
    <row r="183" spans="1:13" ht="13.5" thickBot="1">
      <c r="A183" s="250">
        <f t="shared" si="11"/>
        <v>683</v>
      </c>
      <c r="B183" s="136"/>
      <c r="C183" s="102"/>
      <c r="D183" s="102" t="s">
        <v>170</v>
      </c>
      <c r="E183" s="102"/>
      <c r="F183" s="148">
        <f>SUM(F181:F182)</f>
        <v>3553195.06</v>
      </c>
      <c r="G183" s="148">
        <v>3078926.4800000004</v>
      </c>
      <c r="H183" s="148">
        <f>SUM(H181:H182)</f>
        <v>2962394.0440643933</v>
      </c>
      <c r="I183" s="148">
        <f>SUM(I181:I182)</f>
        <v>2989409.8229228989</v>
      </c>
      <c r="K183" s="148">
        <f t="shared" si="12"/>
        <v>2989409.8229228989</v>
      </c>
      <c r="L183" s="148">
        <f>+K183-G183</f>
        <v>-89516.657077101525</v>
      </c>
      <c r="M183" s="225">
        <f t="shared" si="9"/>
        <v>178</v>
      </c>
    </row>
    <row r="184" spans="1:13" ht="13.5" thickTop="1">
      <c r="A184" s="250">
        <f t="shared" si="11"/>
        <v>684</v>
      </c>
      <c r="B184" s="136"/>
      <c r="C184" s="102"/>
      <c r="D184" s="102"/>
      <c r="E184" s="102"/>
      <c r="F184" s="147"/>
      <c r="G184" s="147"/>
      <c r="H184" s="147"/>
      <c r="I184" s="147"/>
      <c r="K184" s="147"/>
      <c r="L184" s="147"/>
      <c r="M184" s="225">
        <f t="shared" si="9"/>
        <v>179</v>
      </c>
    </row>
    <row r="185" spans="1:13">
      <c r="A185" s="250">
        <f t="shared" si="11"/>
        <v>685</v>
      </c>
      <c r="B185" s="136">
        <v>880</v>
      </c>
      <c r="C185" s="102" t="s">
        <v>384</v>
      </c>
      <c r="D185" s="102"/>
      <c r="E185" s="102"/>
      <c r="F185" s="147"/>
      <c r="G185" s="147"/>
      <c r="H185" s="147"/>
      <c r="I185" s="147"/>
      <c r="K185" s="147"/>
      <c r="L185" s="147"/>
      <c r="M185" s="225">
        <f t="shared" si="9"/>
        <v>180</v>
      </c>
    </row>
    <row r="186" spans="1:13">
      <c r="A186" s="250">
        <f t="shared" si="11"/>
        <v>686</v>
      </c>
      <c r="B186" s="136"/>
      <c r="C186" s="102"/>
      <c r="D186" s="102" t="s">
        <v>14</v>
      </c>
      <c r="E186" s="102"/>
      <c r="F186" s="147">
        <v>9929278.2199999988</v>
      </c>
      <c r="G186" s="147">
        <v>7913746.8099999987</v>
      </c>
      <c r="H186" s="147">
        <f>'PROJECTED EXPENSES'!AS58</f>
        <v>7663663.4317499027</v>
      </c>
      <c r="I186" s="147">
        <f>'PROJECTED EXPENSES'!AT58</f>
        <v>7742081.394520076</v>
      </c>
      <c r="K186" s="147">
        <f t="shared" si="12"/>
        <v>7742081.394520076</v>
      </c>
      <c r="L186" s="147">
        <f>+K186-G186</f>
        <v>-171665.41547992267</v>
      </c>
      <c r="M186" s="225">
        <f t="shared" si="9"/>
        <v>181</v>
      </c>
    </row>
    <row r="187" spans="1:13">
      <c r="A187" s="250">
        <f t="shared" si="11"/>
        <v>687</v>
      </c>
      <c r="B187" s="136"/>
      <c r="C187" s="102"/>
      <c r="D187" s="102" t="s">
        <v>24</v>
      </c>
      <c r="E187" s="102"/>
      <c r="F187" s="147">
        <v>939691.3600000001</v>
      </c>
      <c r="G187" s="147">
        <v>652900.72000000009</v>
      </c>
      <c r="H187" s="147">
        <f>'PROJECTED EXPENSES'!AS59</f>
        <v>632213.78107050562</v>
      </c>
      <c r="I187" s="147">
        <f>'PROJECTED EXPENSES'!AT59</f>
        <v>638874.32885772933</v>
      </c>
      <c r="K187" s="147">
        <f t="shared" si="12"/>
        <v>638874.32885772933</v>
      </c>
      <c r="L187" s="147">
        <f>+K187-G187</f>
        <v>-14026.391142270761</v>
      </c>
      <c r="M187" s="225">
        <f t="shared" si="9"/>
        <v>182</v>
      </c>
    </row>
    <row r="188" spans="1:13" ht="13.5" thickBot="1">
      <c r="A188" s="250">
        <f t="shared" si="11"/>
        <v>688</v>
      </c>
      <c r="B188" s="136"/>
      <c r="C188" s="102"/>
      <c r="D188" s="102" t="s">
        <v>170</v>
      </c>
      <c r="E188" s="102"/>
      <c r="F188" s="148">
        <f>SUM(F186:F187)</f>
        <v>10868969.579999998</v>
      </c>
      <c r="G188" s="148">
        <v>8566647.5299999993</v>
      </c>
      <c r="H188" s="148">
        <f>SUM(H186:H187)</f>
        <v>8295877.2128204079</v>
      </c>
      <c r="I188" s="148">
        <f>SUM(I186:I187)</f>
        <v>8380955.7233778052</v>
      </c>
      <c r="K188" s="148">
        <f t="shared" si="12"/>
        <v>8380955.7233778052</v>
      </c>
      <c r="L188" s="148">
        <f>+K188-G188</f>
        <v>-185691.80662219413</v>
      </c>
      <c r="M188" s="225">
        <f t="shared" si="9"/>
        <v>183</v>
      </c>
    </row>
    <row r="189" spans="1:13" ht="13.5" thickTop="1">
      <c r="A189" s="250">
        <f t="shared" si="11"/>
        <v>689</v>
      </c>
      <c r="B189" s="136"/>
      <c r="C189" s="102"/>
      <c r="D189" s="102"/>
      <c r="E189" s="102"/>
      <c r="F189" s="147"/>
      <c r="G189" s="147"/>
      <c r="H189" s="147"/>
      <c r="I189" s="147"/>
      <c r="K189" s="147"/>
      <c r="L189" s="147"/>
      <c r="M189" s="225">
        <f t="shared" si="9"/>
        <v>184</v>
      </c>
    </row>
    <row r="190" spans="1:13">
      <c r="A190" s="250">
        <f t="shared" si="11"/>
        <v>690</v>
      </c>
      <c r="B190" s="136">
        <v>881</v>
      </c>
      <c r="C190" s="102" t="s">
        <v>385</v>
      </c>
      <c r="D190" s="102"/>
      <c r="E190" s="102"/>
      <c r="F190" s="147"/>
      <c r="G190" s="147"/>
      <c r="H190" s="147"/>
      <c r="I190" s="147"/>
      <c r="K190" s="147"/>
      <c r="L190" s="147"/>
      <c r="M190" s="225">
        <f t="shared" si="9"/>
        <v>185</v>
      </c>
    </row>
    <row r="191" spans="1:13">
      <c r="A191" s="250">
        <f t="shared" si="11"/>
        <v>691</v>
      </c>
      <c r="B191" s="136"/>
      <c r="C191" s="102"/>
      <c r="D191" s="102" t="s">
        <v>14</v>
      </c>
      <c r="E191" s="102"/>
      <c r="F191" s="147">
        <v>109554.00000000001</v>
      </c>
      <c r="G191" s="147">
        <v>42721.05</v>
      </c>
      <c r="H191" s="147">
        <f>'PROJECTED EXPENSES'!AS63</f>
        <v>43575.471000000005</v>
      </c>
      <c r="I191" s="147">
        <f>'PROJECTED EXPENSES'!AT63</f>
        <v>44229.103064999996</v>
      </c>
      <c r="K191" s="147">
        <f t="shared" si="12"/>
        <v>44229.103064999996</v>
      </c>
      <c r="L191" s="147">
        <f>+K191-G191</f>
        <v>1508.0530649999928</v>
      </c>
      <c r="M191" s="225">
        <f t="shared" si="9"/>
        <v>186</v>
      </c>
    </row>
    <row r="192" spans="1:13">
      <c r="A192" s="250">
        <f t="shared" si="11"/>
        <v>692</v>
      </c>
      <c r="B192" s="136"/>
      <c r="C192" s="102"/>
      <c r="D192" s="102" t="s">
        <v>24</v>
      </c>
      <c r="E192" s="102"/>
      <c r="F192" s="147">
        <v>3842.0799999999995</v>
      </c>
      <c r="G192" s="147">
        <v>1403.7900000000002</v>
      </c>
      <c r="H192" s="147">
        <f>'PROJECTED EXPENSES'!AS64</f>
        <v>1431.8658</v>
      </c>
      <c r="I192" s="147">
        <f>'PROJECTED EXPENSES'!AT64</f>
        <v>1453.343787</v>
      </c>
      <c r="K192" s="147">
        <f t="shared" si="12"/>
        <v>1453.343787</v>
      </c>
      <c r="L192" s="147">
        <f>+K192-G192</f>
        <v>49.553786999999829</v>
      </c>
      <c r="M192" s="225">
        <f t="shared" si="9"/>
        <v>187</v>
      </c>
    </row>
    <row r="193" spans="1:13" ht="13.5" thickBot="1">
      <c r="A193" s="250">
        <f t="shared" si="11"/>
        <v>693</v>
      </c>
      <c r="B193" s="136"/>
      <c r="C193" s="102"/>
      <c r="D193" s="102" t="s">
        <v>170</v>
      </c>
      <c r="E193" s="102"/>
      <c r="F193" s="148">
        <f>SUM(F191:F192)</f>
        <v>113396.08000000002</v>
      </c>
      <c r="G193" s="148">
        <v>44124.840000000004</v>
      </c>
      <c r="H193" s="148">
        <f>SUM(H191:H192)</f>
        <v>45007.336800000005</v>
      </c>
      <c r="I193" s="148">
        <f>SUM(I191:I192)</f>
        <v>45682.446851999994</v>
      </c>
      <c r="K193" s="148">
        <f t="shared" si="12"/>
        <v>45682.446851999994</v>
      </c>
      <c r="L193" s="148">
        <f>+K193-G193</f>
        <v>1557.6068519999899</v>
      </c>
      <c r="M193" s="225">
        <f t="shared" si="9"/>
        <v>188</v>
      </c>
    </row>
    <row r="194" spans="1:13" ht="13.5" thickTop="1">
      <c r="A194" s="250">
        <f t="shared" si="11"/>
        <v>694</v>
      </c>
      <c r="B194" s="136"/>
      <c r="C194" s="102"/>
      <c r="D194" s="102"/>
      <c r="E194" s="102"/>
      <c r="F194" s="147"/>
      <c r="G194" s="147"/>
      <c r="H194" s="147"/>
      <c r="I194" s="147"/>
      <c r="K194" s="147"/>
      <c r="L194" s="147"/>
      <c r="M194" s="225">
        <f t="shared" si="9"/>
        <v>189</v>
      </c>
    </row>
    <row r="195" spans="1:13">
      <c r="A195" s="250">
        <f t="shared" si="11"/>
        <v>695</v>
      </c>
      <c r="B195" s="136">
        <v>885</v>
      </c>
      <c r="C195" s="102" t="s">
        <v>386</v>
      </c>
      <c r="D195" s="102"/>
      <c r="E195" s="102"/>
      <c r="F195" s="147"/>
      <c r="G195" s="147"/>
      <c r="H195" s="147"/>
      <c r="I195" s="147"/>
      <c r="K195" s="147"/>
      <c r="L195" s="147"/>
      <c r="M195" s="225">
        <f t="shared" si="9"/>
        <v>190</v>
      </c>
    </row>
    <row r="196" spans="1:13">
      <c r="A196" s="250">
        <f t="shared" si="11"/>
        <v>696</v>
      </c>
      <c r="B196" s="136"/>
      <c r="C196" s="102"/>
      <c r="D196" s="102" t="s">
        <v>14</v>
      </c>
      <c r="E196" s="102"/>
      <c r="F196" s="147">
        <v>654472.61999999988</v>
      </c>
      <c r="G196" s="147">
        <v>542083.92999999993</v>
      </c>
      <c r="H196" s="147">
        <f>'PROJECTED EXPENSES'!AS68</f>
        <v>553467.69252999988</v>
      </c>
      <c r="I196" s="147">
        <f>'PROJECTED EXPENSES'!AT68</f>
        <v>565090.51407312986</v>
      </c>
      <c r="K196" s="147">
        <f t="shared" si="12"/>
        <v>565090.51407312986</v>
      </c>
      <c r="L196" s="147">
        <f>+K196-G196</f>
        <v>23006.584073129925</v>
      </c>
      <c r="M196" s="225">
        <f t="shared" si="9"/>
        <v>191</v>
      </c>
    </row>
    <row r="197" spans="1:13">
      <c r="A197" s="250">
        <f t="shared" si="11"/>
        <v>697</v>
      </c>
      <c r="B197" s="136"/>
      <c r="C197" s="102"/>
      <c r="D197" s="102" t="s">
        <v>24</v>
      </c>
      <c r="E197" s="102"/>
      <c r="F197" s="147">
        <v>21465.399999999998</v>
      </c>
      <c r="G197" s="147">
        <v>16345.48</v>
      </c>
      <c r="H197" s="147">
        <f>'PROJECTED EXPENSES'!AS69</f>
        <v>16688.735079999999</v>
      </c>
      <c r="I197" s="147">
        <f>'PROJECTED EXPENSES'!AT69</f>
        <v>17039.198516679997</v>
      </c>
      <c r="K197" s="147">
        <f t="shared" si="12"/>
        <v>17039.198516679997</v>
      </c>
      <c r="L197" s="147">
        <f>+K197-G197</f>
        <v>693.71851667999726</v>
      </c>
      <c r="M197" s="225">
        <f t="shared" si="9"/>
        <v>192</v>
      </c>
    </row>
    <row r="198" spans="1:13" ht="13.5" thickBot="1">
      <c r="A198" s="250">
        <f t="shared" si="11"/>
        <v>698</v>
      </c>
      <c r="B198" s="136"/>
      <c r="C198" s="102"/>
      <c r="D198" s="102" t="s">
        <v>170</v>
      </c>
      <c r="E198" s="102"/>
      <c r="F198" s="148">
        <f>SUM(F196:F197)</f>
        <v>675938.0199999999</v>
      </c>
      <c r="G198" s="148">
        <v>558429.40999999992</v>
      </c>
      <c r="H198" s="148">
        <f>SUM(H196:H197)</f>
        <v>570156.4276099999</v>
      </c>
      <c r="I198" s="148">
        <f>SUM(I196:I197)</f>
        <v>582129.7125898099</v>
      </c>
      <c r="K198" s="148">
        <f t="shared" si="12"/>
        <v>582129.7125898099</v>
      </c>
      <c r="L198" s="148">
        <f>+K198-G198</f>
        <v>23700.302589809988</v>
      </c>
      <c r="M198" s="225">
        <f t="shared" si="9"/>
        <v>193</v>
      </c>
    </row>
    <row r="199" spans="1:13" ht="13.5" thickTop="1">
      <c r="A199" s="250">
        <f t="shared" si="11"/>
        <v>699</v>
      </c>
      <c r="B199" s="136"/>
      <c r="C199" s="102"/>
      <c r="D199" s="102"/>
      <c r="E199" s="102"/>
      <c r="F199" s="147"/>
      <c r="G199" s="147"/>
      <c r="H199" s="147"/>
      <c r="I199" s="147"/>
      <c r="K199" s="147"/>
      <c r="L199" s="147"/>
      <c r="M199" s="225">
        <f t="shared" si="9"/>
        <v>194</v>
      </c>
    </row>
    <row r="200" spans="1:13">
      <c r="A200" s="250">
        <f t="shared" si="11"/>
        <v>700</v>
      </c>
      <c r="B200" s="136">
        <v>886</v>
      </c>
      <c r="C200" s="102" t="s">
        <v>387</v>
      </c>
      <c r="D200" s="102"/>
      <c r="E200" s="102"/>
      <c r="F200" s="147"/>
      <c r="G200" s="147"/>
      <c r="H200" s="147"/>
      <c r="I200" s="147"/>
      <c r="K200" s="147"/>
      <c r="L200" s="147"/>
      <c r="M200" s="225">
        <f t="shared" ref="M200:M263" si="13">+M199+1</f>
        <v>195</v>
      </c>
    </row>
    <row r="201" spans="1:13">
      <c r="A201" s="250">
        <f t="shared" si="11"/>
        <v>701</v>
      </c>
      <c r="B201" s="136"/>
      <c r="C201" s="102"/>
      <c r="D201" s="165" t="s">
        <v>14</v>
      </c>
      <c r="E201" s="102"/>
      <c r="F201" s="147">
        <v>82841.72</v>
      </c>
      <c r="G201" s="147">
        <v>88322.179999999978</v>
      </c>
      <c r="H201" s="147">
        <f>'PROJECTED EXPENSES'!AS73</f>
        <v>92892.883749999994</v>
      </c>
      <c r="I201" s="147">
        <f>'PROJECTED EXPENSES'!AT73</f>
        <v>95308.098727499993</v>
      </c>
      <c r="K201" s="147">
        <f t="shared" si="12"/>
        <v>95308.098727499993</v>
      </c>
      <c r="L201" s="147">
        <f>+K201-G201</f>
        <v>6985.9187275000149</v>
      </c>
      <c r="M201" s="225">
        <f t="shared" si="13"/>
        <v>196</v>
      </c>
    </row>
    <row r="202" spans="1:13">
      <c r="A202" s="250">
        <f t="shared" si="11"/>
        <v>702</v>
      </c>
      <c r="B202" s="136"/>
      <c r="C202" s="102"/>
      <c r="D202" s="102" t="s">
        <v>24</v>
      </c>
      <c r="E202" s="102"/>
      <c r="F202" s="147">
        <v>2592.83</v>
      </c>
      <c r="G202" s="147">
        <v>2954.09</v>
      </c>
      <c r="H202" s="147">
        <f>'PROJECTED EXPENSES'!AS74</f>
        <v>2855.9234799999995</v>
      </c>
      <c r="I202" s="147">
        <f>'PROJECTED EXPENSES'!AT74</f>
        <v>2930.1774904799995</v>
      </c>
      <c r="K202" s="147">
        <f t="shared" ref="K202:K233" si="14">HLOOKUP($K$6,EXPENSESCENARIO,M202,FALSE)</f>
        <v>2930.1774904799995</v>
      </c>
      <c r="L202" s="147">
        <f>+K202-G202</f>
        <v>-23.91250952000064</v>
      </c>
      <c r="M202" s="225">
        <f t="shared" si="13"/>
        <v>197</v>
      </c>
    </row>
    <row r="203" spans="1:13" ht="13.5" thickBot="1">
      <c r="A203" s="250">
        <f t="shared" si="11"/>
        <v>703</v>
      </c>
      <c r="B203" s="136"/>
      <c r="C203" s="102"/>
      <c r="D203" s="102" t="s">
        <v>170</v>
      </c>
      <c r="E203" s="102"/>
      <c r="F203" s="148">
        <f>SUM(F201:F202)</f>
        <v>85434.55</v>
      </c>
      <c r="G203" s="148">
        <v>91276.269999999975</v>
      </c>
      <c r="H203" s="148">
        <f>SUM(H201:H202)</f>
        <v>95748.807229999991</v>
      </c>
      <c r="I203" s="148">
        <f>SUM(I201:I202)</f>
        <v>98238.27621797999</v>
      </c>
      <c r="K203" s="148">
        <f t="shared" si="14"/>
        <v>98238.27621797999</v>
      </c>
      <c r="L203" s="148">
        <f>+K203-G203</f>
        <v>6962.0062179800152</v>
      </c>
      <c r="M203" s="225">
        <f t="shared" si="13"/>
        <v>198</v>
      </c>
    </row>
    <row r="204" spans="1:13" ht="13.5" thickTop="1">
      <c r="A204" s="250">
        <f t="shared" ref="A204:A267" si="15">+A203+1</f>
        <v>704</v>
      </c>
      <c r="B204" s="136"/>
      <c r="C204" s="102"/>
      <c r="D204" s="102"/>
      <c r="E204" s="102"/>
      <c r="F204" s="147"/>
      <c r="G204" s="147"/>
      <c r="H204" s="147"/>
      <c r="I204" s="147"/>
      <c r="K204" s="147"/>
      <c r="L204" s="147"/>
      <c r="M204" s="225">
        <f t="shared" si="13"/>
        <v>199</v>
      </c>
    </row>
    <row r="205" spans="1:13">
      <c r="A205" s="250">
        <f t="shared" si="15"/>
        <v>705</v>
      </c>
      <c r="B205" s="136">
        <v>887</v>
      </c>
      <c r="C205" s="102" t="s">
        <v>388</v>
      </c>
      <c r="D205" s="102"/>
      <c r="E205" s="102"/>
      <c r="F205" s="147"/>
      <c r="G205" s="147"/>
      <c r="H205" s="147"/>
      <c r="I205" s="147"/>
      <c r="K205" s="147"/>
      <c r="L205" s="147"/>
      <c r="M205" s="225">
        <f t="shared" si="13"/>
        <v>200</v>
      </c>
    </row>
    <row r="206" spans="1:13">
      <c r="A206" s="250">
        <f t="shared" si="15"/>
        <v>706</v>
      </c>
      <c r="B206" s="136"/>
      <c r="C206" s="102"/>
      <c r="D206" s="102" t="s">
        <v>14</v>
      </c>
      <c r="E206" s="102"/>
      <c r="F206" s="147">
        <v>9065966.4000000022</v>
      </c>
      <c r="G206" s="147">
        <v>8401730.8399999999</v>
      </c>
      <c r="H206" s="147">
        <f>'PROJECTED EXPENSES'!AS78</f>
        <v>8598409.6499094963</v>
      </c>
      <c r="I206" s="147">
        <f>'PROJECTED EXPENSES'!AT78</f>
        <v>8754577.5075111464</v>
      </c>
      <c r="K206" s="147">
        <f t="shared" si="14"/>
        <v>8754577.5075111464</v>
      </c>
      <c r="L206" s="147">
        <f>+K206-G206</f>
        <v>352846.66751114652</v>
      </c>
      <c r="M206" s="225">
        <f t="shared" si="13"/>
        <v>201</v>
      </c>
    </row>
    <row r="207" spans="1:13">
      <c r="A207" s="250">
        <f t="shared" si="15"/>
        <v>707</v>
      </c>
      <c r="B207" s="136"/>
      <c r="C207" s="102"/>
      <c r="D207" s="102" t="s">
        <v>24</v>
      </c>
      <c r="E207" s="102"/>
      <c r="F207" s="147">
        <v>141136.25</v>
      </c>
      <c r="G207" s="147">
        <v>133672.81999999998</v>
      </c>
      <c r="H207" s="147">
        <f>'PROJECTED EXPENSES'!AS79</f>
        <v>129463.64379189936</v>
      </c>
      <c r="I207" s="147">
        <f>'PROJECTED EXPENSES'!AT79</f>
        <v>130786.08746613095</v>
      </c>
      <c r="K207" s="147">
        <f t="shared" si="14"/>
        <v>130786.08746613095</v>
      </c>
      <c r="L207" s="147">
        <f>+K207-G207</f>
        <v>-2886.732533869028</v>
      </c>
      <c r="M207" s="225">
        <f t="shared" si="13"/>
        <v>202</v>
      </c>
    </row>
    <row r="208" spans="1:13" ht="13.5" thickBot="1">
      <c r="A208" s="250">
        <f t="shared" si="15"/>
        <v>708</v>
      </c>
      <c r="B208" s="136"/>
      <c r="C208" s="102"/>
      <c r="D208" s="102" t="s">
        <v>170</v>
      </c>
      <c r="E208" s="102"/>
      <c r="F208" s="148">
        <f>SUM(F206:F207)</f>
        <v>9207102.6500000022</v>
      </c>
      <c r="G208" s="148">
        <v>8535403.6600000001</v>
      </c>
      <c r="H208" s="148">
        <f>SUM(H206:H207)</f>
        <v>8727873.2937013954</v>
      </c>
      <c r="I208" s="148">
        <f>SUM(I206:I207)</f>
        <v>8885363.5949772764</v>
      </c>
      <c r="K208" s="148">
        <f t="shared" si="14"/>
        <v>8885363.5949772764</v>
      </c>
      <c r="L208" s="148">
        <f>+K208-G208</f>
        <v>349959.93497727625</v>
      </c>
      <c r="M208" s="225">
        <f t="shared" si="13"/>
        <v>203</v>
      </c>
    </row>
    <row r="209" spans="1:13" ht="13.5" thickTop="1">
      <c r="A209" s="250">
        <f t="shared" si="15"/>
        <v>709</v>
      </c>
      <c r="B209" s="136"/>
      <c r="C209" s="102"/>
      <c r="D209" s="102"/>
      <c r="E209" s="102"/>
      <c r="F209" s="147"/>
      <c r="G209" s="147"/>
      <c r="H209" s="147"/>
      <c r="I209" s="147"/>
      <c r="K209" s="147"/>
      <c r="L209" s="147"/>
      <c r="M209" s="225">
        <f t="shared" si="13"/>
        <v>204</v>
      </c>
    </row>
    <row r="210" spans="1:13">
      <c r="A210" s="250">
        <f t="shared" si="15"/>
        <v>710</v>
      </c>
      <c r="B210" s="136">
        <v>888</v>
      </c>
      <c r="C210" s="102" t="s">
        <v>389</v>
      </c>
      <c r="D210" s="102"/>
      <c r="E210" s="102"/>
      <c r="F210" s="147"/>
      <c r="G210" s="147"/>
      <c r="H210" s="147"/>
      <c r="I210" s="147"/>
      <c r="K210" s="147"/>
      <c r="L210" s="147"/>
      <c r="M210" s="225">
        <f t="shared" si="13"/>
        <v>205</v>
      </c>
    </row>
    <row r="211" spans="1:13">
      <c r="A211" s="250">
        <f t="shared" si="15"/>
        <v>711</v>
      </c>
      <c r="B211" s="136"/>
      <c r="C211" s="102"/>
      <c r="D211" s="102" t="s">
        <v>14</v>
      </c>
      <c r="E211" s="102"/>
      <c r="F211" s="147">
        <v>1825724.71</v>
      </c>
      <c r="G211" s="147">
        <v>973056.72</v>
      </c>
      <c r="H211" s="147">
        <f>'PROJECTED EXPENSES'!AS83</f>
        <v>1003018.0208961659</v>
      </c>
      <c r="I211" s="147">
        <f>'PROJECTED EXPENSES'!AT83</f>
        <v>1027072.0008646178</v>
      </c>
      <c r="K211" s="147">
        <f t="shared" si="14"/>
        <v>1027072.0008646178</v>
      </c>
      <c r="L211" s="147">
        <f>+K211-G211</f>
        <v>54015.280864617787</v>
      </c>
      <c r="M211" s="225">
        <f t="shared" si="13"/>
        <v>206</v>
      </c>
    </row>
    <row r="212" spans="1:13">
      <c r="A212" s="250">
        <f t="shared" si="15"/>
        <v>712</v>
      </c>
      <c r="B212" s="136"/>
      <c r="C212" s="102"/>
      <c r="D212" s="102" t="s">
        <v>24</v>
      </c>
      <c r="E212" s="102"/>
      <c r="F212" s="147">
        <v>161918.90000000002</v>
      </c>
      <c r="G212" s="147">
        <v>102474.85</v>
      </c>
      <c r="H212" s="147">
        <f>'PROJECTED EXPENSES'!AS84</f>
        <v>101460.26721999999</v>
      </c>
      <c r="I212" s="147">
        <f>'PROJECTED EXPENSES'!AT84</f>
        <v>103895.31363327999</v>
      </c>
      <c r="K212" s="147">
        <f t="shared" si="14"/>
        <v>103895.31363327999</v>
      </c>
      <c r="L212" s="147">
        <f>+K212-G212</f>
        <v>1420.4636332799855</v>
      </c>
      <c r="M212" s="225">
        <f t="shared" si="13"/>
        <v>207</v>
      </c>
    </row>
    <row r="213" spans="1:13" ht="13.5" thickBot="1">
      <c r="A213" s="250">
        <f t="shared" si="15"/>
        <v>713</v>
      </c>
      <c r="B213" s="136"/>
      <c r="C213" s="102"/>
      <c r="D213" s="102" t="s">
        <v>170</v>
      </c>
      <c r="E213" s="102"/>
      <c r="F213" s="148">
        <f>SUM(F211:F212)</f>
        <v>1987643.6099999999</v>
      </c>
      <c r="G213" s="148">
        <v>1075531.57</v>
      </c>
      <c r="H213" s="148">
        <f>SUM(H211:H212)</f>
        <v>1104478.2881161659</v>
      </c>
      <c r="I213" s="148">
        <f>SUM(I211:I212)</f>
        <v>1130967.3144978979</v>
      </c>
      <c r="K213" s="148">
        <f t="shared" si="14"/>
        <v>1130967.3144978979</v>
      </c>
      <c r="L213" s="148">
        <f>+K213-G213</f>
        <v>55435.744497897802</v>
      </c>
      <c r="M213" s="225">
        <f t="shared" si="13"/>
        <v>208</v>
      </c>
    </row>
    <row r="214" spans="1:13" ht="13.5" thickTop="1">
      <c r="A214" s="250">
        <f t="shared" si="15"/>
        <v>714</v>
      </c>
      <c r="B214" s="136"/>
      <c r="C214" s="102"/>
      <c r="D214" s="102"/>
      <c r="E214" s="102"/>
      <c r="F214" s="147"/>
      <c r="G214" s="147"/>
      <c r="H214" s="147"/>
      <c r="I214" s="147"/>
      <c r="K214" s="147"/>
      <c r="L214" s="147"/>
      <c r="M214" s="225">
        <f t="shared" si="13"/>
        <v>209</v>
      </c>
    </row>
    <row r="215" spans="1:13">
      <c r="A215" s="250">
        <f t="shared" si="15"/>
        <v>715</v>
      </c>
      <c r="B215" s="136">
        <v>889</v>
      </c>
      <c r="C215" s="102" t="s">
        <v>391</v>
      </c>
      <c r="D215" s="102"/>
      <c r="E215" s="102"/>
      <c r="F215" s="147"/>
      <c r="G215" s="147"/>
      <c r="H215" s="147"/>
      <c r="I215" s="147"/>
      <c r="K215" s="147"/>
      <c r="L215" s="147"/>
      <c r="M215" s="225">
        <f t="shared" si="13"/>
        <v>210</v>
      </c>
    </row>
    <row r="216" spans="1:13">
      <c r="A216" s="250">
        <f t="shared" si="15"/>
        <v>716</v>
      </c>
      <c r="B216" s="136"/>
      <c r="C216" s="102"/>
      <c r="D216" s="102" t="s">
        <v>14</v>
      </c>
      <c r="E216" s="102"/>
      <c r="F216" s="147">
        <v>121404.68000000001</v>
      </c>
      <c r="G216" s="147">
        <v>89094.399999999994</v>
      </c>
      <c r="H216" s="147">
        <f>'PROJECTED EXPENSES'!AS88</f>
        <v>91129.756495199079</v>
      </c>
      <c r="I216" s="147">
        <f>'PROJECTED EXPENSES'!AT88</f>
        <v>93053.087404769161</v>
      </c>
      <c r="K216" s="147">
        <f t="shared" si="14"/>
        <v>93053.087404769161</v>
      </c>
      <c r="L216" s="147">
        <f>+K216-G216</f>
        <v>3958.6874047691672</v>
      </c>
      <c r="M216" s="225">
        <f t="shared" si="13"/>
        <v>211</v>
      </c>
    </row>
    <row r="217" spans="1:13">
      <c r="A217" s="250">
        <f t="shared" si="15"/>
        <v>717</v>
      </c>
      <c r="B217" s="136"/>
      <c r="C217" s="102"/>
      <c r="D217" s="102" t="s">
        <v>24</v>
      </c>
      <c r="E217" s="102"/>
      <c r="F217" s="147">
        <v>94626.63</v>
      </c>
      <c r="G217" s="147">
        <v>81722.52</v>
      </c>
      <c r="H217" s="147">
        <f>'PROJECTED EXPENSES'!AS89</f>
        <v>78008.68433577528</v>
      </c>
      <c r="I217" s="147">
        <f>'PROJECTED EXPENSES'!AT89</f>
        <v>78675.015435782319</v>
      </c>
      <c r="K217" s="147">
        <f t="shared" si="14"/>
        <v>78675.015435782319</v>
      </c>
      <c r="L217" s="147">
        <f>+K217-G217</f>
        <v>-3047.5045642176847</v>
      </c>
      <c r="M217" s="225">
        <f t="shared" si="13"/>
        <v>212</v>
      </c>
    </row>
    <row r="218" spans="1:13" ht="13.5" thickBot="1">
      <c r="A218" s="250">
        <f t="shared" si="15"/>
        <v>718</v>
      </c>
      <c r="B218" s="136"/>
      <c r="C218" s="102"/>
      <c r="D218" s="102" t="s">
        <v>170</v>
      </c>
      <c r="E218" s="102"/>
      <c r="F218" s="148">
        <f>SUM(F216:F217)</f>
        <v>216031.31</v>
      </c>
      <c r="G218" s="148">
        <v>170816.91999999998</v>
      </c>
      <c r="H218" s="148">
        <f>SUM(H216:H217)</f>
        <v>169138.44083097437</v>
      </c>
      <c r="I218" s="148">
        <f>SUM(I216:I217)</f>
        <v>171728.10284055147</v>
      </c>
      <c r="K218" s="148">
        <f t="shared" si="14"/>
        <v>171728.10284055147</v>
      </c>
      <c r="L218" s="148">
        <f>+K218-G218</f>
        <v>911.18284055148251</v>
      </c>
      <c r="M218" s="225">
        <f t="shared" si="13"/>
        <v>213</v>
      </c>
    </row>
    <row r="219" spans="1:13" ht="13.5" thickTop="1">
      <c r="A219" s="250">
        <f t="shared" si="15"/>
        <v>719</v>
      </c>
      <c r="B219" s="136"/>
      <c r="C219" s="102"/>
      <c r="D219" s="102"/>
      <c r="E219" s="102"/>
      <c r="F219" s="147"/>
      <c r="G219" s="147"/>
      <c r="H219" s="147"/>
      <c r="I219" s="147"/>
      <c r="K219" s="147"/>
      <c r="L219" s="147"/>
      <c r="M219" s="225">
        <f t="shared" si="13"/>
        <v>214</v>
      </c>
    </row>
    <row r="220" spans="1:13">
      <c r="A220" s="250">
        <f t="shared" si="15"/>
        <v>720</v>
      </c>
      <c r="B220" s="136">
        <v>892</v>
      </c>
      <c r="C220" s="102" t="s">
        <v>392</v>
      </c>
      <c r="D220" s="102"/>
      <c r="E220" s="102"/>
      <c r="F220" s="147"/>
      <c r="G220" s="147"/>
      <c r="H220" s="147"/>
      <c r="I220" s="147"/>
      <c r="K220" s="147"/>
      <c r="L220" s="147"/>
      <c r="M220" s="225">
        <f t="shared" si="13"/>
        <v>215</v>
      </c>
    </row>
    <row r="221" spans="1:13">
      <c r="A221" s="250">
        <f t="shared" si="15"/>
        <v>721</v>
      </c>
      <c r="B221" s="136"/>
      <c r="C221" s="102"/>
      <c r="D221" s="102" t="s">
        <v>14</v>
      </c>
      <c r="E221" s="102"/>
      <c r="F221" s="147">
        <v>821862.46</v>
      </c>
      <c r="G221" s="147">
        <v>472098.05</v>
      </c>
      <c r="H221" s="147">
        <f>'PROJECTED EXPENSES'!AS93</f>
        <v>430994.70293144754</v>
      </c>
      <c r="I221" s="147">
        <f>'PROJECTED EXPENSES'!AT93</f>
        <v>431400.6747230218</v>
      </c>
      <c r="K221" s="147">
        <f t="shared" si="14"/>
        <v>431400.6747230218</v>
      </c>
      <c r="L221" s="147">
        <f>+K221-G221</f>
        <v>-40697.375276978186</v>
      </c>
      <c r="M221" s="225">
        <f t="shared" si="13"/>
        <v>216</v>
      </c>
    </row>
    <row r="222" spans="1:13">
      <c r="A222" s="250">
        <f t="shared" si="15"/>
        <v>722</v>
      </c>
      <c r="B222" s="136"/>
      <c r="C222" s="102"/>
      <c r="D222" s="102" t="s">
        <v>24</v>
      </c>
      <c r="E222" s="102"/>
      <c r="F222" s="147">
        <v>81131.23</v>
      </c>
      <c r="G222" s="147">
        <v>72587.44</v>
      </c>
      <c r="H222" s="147">
        <f>'PROJECTED EXPENSES'!AS94</f>
        <v>69636.56113319943</v>
      </c>
      <c r="I222" s="147">
        <f>'PROJECTED EXPENSES'!AT94</f>
        <v>70259.091187905869</v>
      </c>
      <c r="K222" s="147">
        <f t="shared" si="14"/>
        <v>70259.091187905869</v>
      </c>
      <c r="L222" s="147">
        <f>+K222-G222</f>
        <v>-2328.3488120941329</v>
      </c>
      <c r="M222" s="225">
        <f t="shared" si="13"/>
        <v>217</v>
      </c>
    </row>
    <row r="223" spans="1:13" ht="13.5" thickBot="1">
      <c r="A223" s="250">
        <f t="shared" si="15"/>
        <v>723</v>
      </c>
      <c r="B223" s="136"/>
      <c r="C223" s="102"/>
      <c r="D223" s="102" t="s">
        <v>170</v>
      </c>
      <c r="E223" s="102"/>
      <c r="F223" s="148">
        <f>SUM(F221:F222)</f>
        <v>902993.69</v>
      </c>
      <c r="G223" s="148">
        <v>544685.49</v>
      </c>
      <c r="H223" s="148">
        <f>SUM(H221:H222)</f>
        <v>500631.26406464697</v>
      </c>
      <c r="I223" s="148">
        <f>SUM(I221:I222)</f>
        <v>501659.76591092767</v>
      </c>
      <c r="K223" s="148">
        <f t="shared" si="14"/>
        <v>501659.76591092767</v>
      </c>
      <c r="L223" s="148">
        <f>+K223-G223</f>
        <v>-43025.724089072319</v>
      </c>
      <c r="M223" s="225">
        <f t="shared" si="13"/>
        <v>218</v>
      </c>
    </row>
    <row r="224" spans="1:13" ht="13.5" thickTop="1">
      <c r="A224" s="250">
        <f t="shared" si="15"/>
        <v>724</v>
      </c>
      <c r="B224" s="136"/>
      <c r="C224" s="102"/>
      <c r="D224" s="102"/>
      <c r="E224" s="102"/>
      <c r="F224" s="147"/>
      <c r="G224" s="147"/>
      <c r="H224" s="147"/>
      <c r="I224" s="147"/>
      <c r="K224" s="147"/>
      <c r="L224" s="147"/>
      <c r="M224" s="225">
        <f t="shared" si="13"/>
        <v>219</v>
      </c>
    </row>
    <row r="225" spans="1:13">
      <c r="A225" s="250">
        <f t="shared" si="15"/>
        <v>725</v>
      </c>
      <c r="B225" s="136">
        <v>893</v>
      </c>
      <c r="C225" s="102" t="s">
        <v>395</v>
      </c>
      <c r="D225" s="102"/>
      <c r="E225" s="102"/>
      <c r="F225" s="147"/>
      <c r="G225" s="147"/>
      <c r="H225" s="147"/>
      <c r="I225" s="147"/>
      <c r="K225" s="147"/>
      <c r="L225" s="147"/>
      <c r="M225" s="225">
        <f t="shared" si="13"/>
        <v>220</v>
      </c>
    </row>
    <row r="226" spans="1:13">
      <c r="A226" s="250">
        <f t="shared" si="15"/>
        <v>726</v>
      </c>
      <c r="B226" s="136"/>
      <c r="C226" s="102"/>
      <c r="D226" s="102" t="s">
        <v>14</v>
      </c>
      <c r="E226" s="102"/>
      <c r="F226" s="147">
        <v>765962.81</v>
      </c>
      <c r="G226" s="147">
        <v>569715.0199999999</v>
      </c>
      <c r="H226" s="147">
        <f>'PROJECTED EXPENSES'!AS98</f>
        <v>549848.71868878801</v>
      </c>
      <c r="I226" s="147">
        <f>'PROJECTED EXPENSES'!AT98</f>
        <v>553593.30397568131</v>
      </c>
      <c r="K226" s="147">
        <f t="shared" si="14"/>
        <v>553593.30397568131</v>
      </c>
      <c r="L226" s="147">
        <f>+K226-G226</f>
        <v>-16121.716024318594</v>
      </c>
      <c r="M226" s="225">
        <f t="shared" si="13"/>
        <v>221</v>
      </c>
    </row>
    <row r="227" spans="1:13">
      <c r="A227" s="250">
        <f t="shared" si="15"/>
        <v>727</v>
      </c>
      <c r="B227" s="136"/>
      <c r="C227" s="102"/>
      <c r="D227" s="102" t="s">
        <v>24</v>
      </c>
      <c r="E227" s="102"/>
      <c r="F227" s="147">
        <v>3860.2699999999995</v>
      </c>
      <c r="G227" s="147">
        <v>1965.9800000000005</v>
      </c>
      <c r="H227" s="147">
        <f>'PROJECTED EXPENSES'!AS99</f>
        <v>2048.5511600000004</v>
      </c>
      <c r="I227" s="147">
        <f>'PROJECTED EXPENSES'!AT99</f>
        <v>2066.9881204399999</v>
      </c>
      <c r="K227" s="147">
        <f t="shared" si="14"/>
        <v>2066.9881204399999</v>
      </c>
      <c r="L227" s="147">
        <f>+K227-G227</f>
        <v>101.0081204399994</v>
      </c>
      <c r="M227" s="225">
        <f t="shared" si="13"/>
        <v>222</v>
      </c>
    </row>
    <row r="228" spans="1:13" ht="13.5" thickBot="1">
      <c r="A228" s="250">
        <f t="shared" si="15"/>
        <v>728</v>
      </c>
      <c r="B228" s="136"/>
      <c r="C228" s="102"/>
      <c r="D228" s="102" t="s">
        <v>170</v>
      </c>
      <c r="E228" s="102"/>
      <c r="F228" s="148">
        <f>SUM(F226:F227)</f>
        <v>769823.08000000007</v>
      </c>
      <c r="G228" s="148">
        <v>571680.99999999988</v>
      </c>
      <c r="H228" s="148">
        <f>SUM(H226:H227)</f>
        <v>551897.26984878804</v>
      </c>
      <c r="I228" s="148">
        <f>SUM(I226:I227)</f>
        <v>555660.29209612135</v>
      </c>
      <c r="K228" s="148">
        <f t="shared" si="14"/>
        <v>555660.29209612135</v>
      </c>
      <c r="L228" s="148">
        <f>+K228-G228</f>
        <v>-16020.70790387853</v>
      </c>
      <c r="M228" s="225">
        <f t="shared" si="13"/>
        <v>223</v>
      </c>
    </row>
    <row r="229" spans="1:13" ht="13.5" thickTop="1">
      <c r="A229" s="250">
        <f t="shared" si="15"/>
        <v>729</v>
      </c>
      <c r="B229" s="136"/>
      <c r="C229" s="102"/>
      <c r="D229" s="102"/>
      <c r="E229" s="102"/>
      <c r="F229" s="147"/>
      <c r="G229" s="147"/>
      <c r="H229" s="147"/>
      <c r="I229" s="147"/>
      <c r="K229" s="147"/>
      <c r="L229" s="147"/>
      <c r="M229" s="225">
        <f t="shared" si="13"/>
        <v>224</v>
      </c>
    </row>
    <row r="230" spans="1:13">
      <c r="A230" s="250">
        <f t="shared" si="15"/>
        <v>730</v>
      </c>
      <c r="B230" s="136">
        <v>8941</v>
      </c>
      <c r="C230" s="102" t="s">
        <v>397</v>
      </c>
      <c r="D230" s="102"/>
      <c r="E230" s="102"/>
      <c r="F230" s="147"/>
      <c r="G230" s="147"/>
      <c r="H230" s="147"/>
      <c r="I230" s="147"/>
      <c r="K230" s="147"/>
      <c r="L230" s="147"/>
      <c r="M230" s="225">
        <f t="shared" si="13"/>
        <v>225</v>
      </c>
    </row>
    <row r="231" spans="1:13">
      <c r="A231" s="250">
        <f t="shared" si="15"/>
        <v>731</v>
      </c>
      <c r="B231" s="136"/>
      <c r="C231" s="102"/>
      <c r="D231" s="102" t="s">
        <v>14</v>
      </c>
      <c r="E231" s="102"/>
      <c r="F231" s="147">
        <v>0</v>
      </c>
      <c r="G231" s="147">
        <v>0</v>
      </c>
      <c r="H231" s="147">
        <f>'PROJECTED EXPENSES'!AS103</f>
        <v>0</v>
      </c>
      <c r="I231" s="147">
        <f>'PROJECTED EXPENSES'!AT103</f>
        <v>0</v>
      </c>
      <c r="K231" s="147">
        <f t="shared" si="14"/>
        <v>0</v>
      </c>
      <c r="L231" s="147">
        <f>+K231-G231</f>
        <v>0</v>
      </c>
      <c r="M231" s="225">
        <f t="shared" si="13"/>
        <v>226</v>
      </c>
    </row>
    <row r="232" spans="1:13">
      <c r="A232" s="250">
        <f t="shared" si="15"/>
        <v>732</v>
      </c>
      <c r="B232" s="136"/>
      <c r="C232" s="102"/>
      <c r="D232" s="102" t="s">
        <v>24</v>
      </c>
      <c r="E232" s="102"/>
      <c r="F232" s="147">
        <v>0</v>
      </c>
      <c r="G232" s="147">
        <v>0</v>
      </c>
      <c r="H232" s="147">
        <f>'PROJECTED EXPENSES'!AS104</f>
        <v>0</v>
      </c>
      <c r="I232" s="147">
        <f>'PROJECTED EXPENSES'!AT104</f>
        <v>0</v>
      </c>
      <c r="K232" s="147">
        <f t="shared" si="14"/>
        <v>0</v>
      </c>
      <c r="L232" s="147">
        <f>+K232-G232</f>
        <v>0</v>
      </c>
      <c r="M232" s="225">
        <f t="shared" si="13"/>
        <v>227</v>
      </c>
    </row>
    <row r="233" spans="1:13" ht="13.5" thickBot="1">
      <c r="A233" s="250">
        <f t="shared" si="15"/>
        <v>733</v>
      </c>
      <c r="B233" s="136"/>
      <c r="C233" s="102"/>
      <c r="D233" s="102" t="s">
        <v>170</v>
      </c>
      <c r="E233" s="102"/>
      <c r="F233" s="148">
        <f>SUM(F231:F232)</f>
        <v>0</v>
      </c>
      <c r="G233" s="148">
        <v>0</v>
      </c>
      <c r="H233" s="148">
        <f>SUM(H231:H232)</f>
        <v>0</v>
      </c>
      <c r="I233" s="148">
        <f>SUM(I231:I232)</f>
        <v>0</v>
      </c>
      <c r="K233" s="148">
        <f t="shared" si="14"/>
        <v>0</v>
      </c>
      <c r="L233" s="148">
        <f>+K233-G233</f>
        <v>0</v>
      </c>
      <c r="M233" s="225">
        <f t="shared" si="13"/>
        <v>228</v>
      </c>
    </row>
    <row r="234" spans="1:13" ht="13.5" thickTop="1">
      <c r="A234" s="250">
        <f t="shared" si="15"/>
        <v>734</v>
      </c>
      <c r="B234" s="136"/>
      <c r="C234" s="102"/>
      <c r="D234" s="102"/>
      <c r="E234" s="102"/>
      <c r="F234" s="147"/>
      <c r="G234" s="147"/>
      <c r="H234" s="147"/>
      <c r="I234" s="147"/>
      <c r="K234" s="147"/>
      <c r="L234" s="147"/>
      <c r="M234" s="225">
        <f t="shared" si="13"/>
        <v>229</v>
      </c>
    </row>
    <row r="235" spans="1:13">
      <c r="A235" s="250">
        <f t="shared" si="15"/>
        <v>735</v>
      </c>
      <c r="B235" s="136">
        <v>8942</v>
      </c>
      <c r="C235" s="102" t="s">
        <v>399</v>
      </c>
      <c r="D235" s="102"/>
      <c r="E235" s="102"/>
      <c r="F235" s="147"/>
      <c r="G235" s="147"/>
      <c r="H235" s="147"/>
      <c r="I235" s="147"/>
      <c r="K235" s="147"/>
      <c r="L235" s="147"/>
      <c r="M235" s="225">
        <f t="shared" si="13"/>
        <v>230</v>
      </c>
    </row>
    <row r="236" spans="1:13">
      <c r="A236" s="250">
        <f t="shared" si="15"/>
        <v>736</v>
      </c>
      <c r="B236" s="227"/>
      <c r="C236" s="102"/>
      <c r="D236" s="102" t="s">
        <v>14</v>
      </c>
      <c r="E236" s="102"/>
      <c r="F236" s="147">
        <v>0</v>
      </c>
      <c r="G236" s="147">
        <v>0</v>
      </c>
      <c r="H236" s="147">
        <f>'PROJECTED EXPENSES'!AS108</f>
        <v>0</v>
      </c>
      <c r="I236" s="147">
        <f>'PROJECTED EXPENSES'!AT108</f>
        <v>0</v>
      </c>
      <c r="K236" s="147">
        <f t="shared" ref="K236:K265" si="16">HLOOKUP($K$6,EXPENSESCENARIO,M236,FALSE)</f>
        <v>0</v>
      </c>
      <c r="L236" s="147">
        <f>+K236-G236</f>
        <v>0</v>
      </c>
      <c r="M236" s="225">
        <f t="shared" si="13"/>
        <v>231</v>
      </c>
    </row>
    <row r="237" spans="1:13">
      <c r="A237" s="250">
        <f t="shared" si="15"/>
        <v>737</v>
      </c>
      <c r="B237" s="227"/>
      <c r="C237" s="102"/>
      <c r="D237" s="102" t="s">
        <v>24</v>
      </c>
      <c r="E237" s="102"/>
      <c r="F237" s="147">
        <v>0</v>
      </c>
      <c r="G237" s="147">
        <v>0</v>
      </c>
      <c r="H237" s="147">
        <f>'PROJECTED EXPENSES'!AS109</f>
        <v>0</v>
      </c>
      <c r="I237" s="147">
        <f>'PROJECTED EXPENSES'!AT109</f>
        <v>0</v>
      </c>
      <c r="K237" s="147">
        <f t="shared" si="16"/>
        <v>0</v>
      </c>
      <c r="L237" s="147">
        <f>+K237-G237</f>
        <v>0</v>
      </c>
      <c r="M237" s="225">
        <f t="shared" si="13"/>
        <v>232</v>
      </c>
    </row>
    <row r="238" spans="1:13" ht="13.5" thickBot="1">
      <c r="A238" s="250">
        <f t="shared" si="15"/>
        <v>738</v>
      </c>
      <c r="B238" s="227"/>
      <c r="C238" s="102"/>
      <c r="D238" s="102" t="s">
        <v>170</v>
      </c>
      <c r="E238" s="102"/>
      <c r="F238" s="148">
        <f>SUM(F236:F237)</f>
        <v>0</v>
      </c>
      <c r="G238" s="148">
        <v>0</v>
      </c>
      <c r="H238" s="148">
        <f>SUM(H236:H237)</f>
        <v>0</v>
      </c>
      <c r="I238" s="148">
        <f>SUM(I236:I237)</f>
        <v>0</v>
      </c>
      <c r="K238" s="148">
        <f t="shared" si="16"/>
        <v>0</v>
      </c>
      <c r="L238" s="148">
        <f>+K238-G238</f>
        <v>0</v>
      </c>
      <c r="M238" s="225">
        <f t="shared" si="13"/>
        <v>233</v>
      </c>
    </row>
    <row r="239" spans="1:13" ht="13.5" thickTop="1">
      <c r="A239" s="250">
        <f t="shared" si="15"/>
        <v>739</v>
      </c>
      <c r="B239" s="227"/>
      <c r="C239" s="102"/>
      <c r="D239" s="102"/>
      <c r="E239" s="102"/>
      <c r="F239" s="147"/>
      <c r="G239" s="147"/>
      <c r="H239" s="147"/>
      <c r="I239" s="147"/>
      <c r="K239" s="147"/>
      <c r="L239" s="147"/>
      <c r="M239" s="225">
        <f t="shared" si="13"/>
        <v>234</v>
      </c>
    </row>
    <row r="240" spans="1:13">
      <c r="A240" s="250">
        <f t="shared" si="15"/>
        <v>740</v>
      </c>
      <c r="B240" s="36" t="s">
        <v>564</v>
      </c>
      <c r="C240" s="102"/>
      <c r="D240" s="102"/>
      <c r="E240" s="102"/>
      <c r="F240" s="147"/>
      <c r="G240" s="147"/>
      <c r="H240" s="147"/>
      <c r="I240" s="147"/>
      <c r="K240" s="147"/>
      <c r="L240" s="147"/>
      <c r="M240" s="225">
        <f t="shared" si="13"/>
        <v>235</v>
      </c>
    </row>
    <row r="241" spans="1:13">
      <c r="A241" s="250">
        <f t="shared" si="15"/>
        <v>741</v>
      </c>
      <c r="B241" s="227"/>
      <c r="C241" s="102" t="s">
        <v>562</v>
      </c>
      <c r="D241" s="102"/>
      <c r="E241" s="102"/>
      <c r="F241" s="147">
        <f t="shared" ref="F241" si="17">F146+F151+F156+F161+F166+F171+F176+F181+F186+F191+F196+F201+F206+F211+F216+F221+F226+F231+F236</f>
        <v>55394622.630000003</v>
      </c>
      <c r="G241" s="147">
        <v>52285691.609999999</v>
      </c>
      <c r="H241" s="147">
        <f t="shared" ref="H241:I242" si="18">H146+H151+H156+H161+H166+H171+H176+H181+H186+H191+H196+H201+H206+H211+H216+H221+H226+H231+H236</f>
        <v>51493939.762515023</v>
      </c>
      <c r="I241" s="147">
        <f t="shared" si="18"/>
        <v>52126362.85000243</v>
      </c>
      <c r="K241" s="147">
        <f t="shared" si="16"/>
        <v>52126362.85000243</v>
      </c>
      <c r="L241" s="147">
        <f>+K241-G241</f>
        <v>-159328.75999756902</v>
      </c>
      <c r="M241" s="225">
        <f t="shared" si="13"/>
        <v>236</v>
      </c>
    </row>
    <row r="242" spans="1:13">
      <c r="A242" s="250">
        <f t="shared" si="15"/>
        <v>742</v>
      </c>
      <c r="B242" s="227"/>
      <c r="C242" s="102" t="s">
        <v>563</v>
      </c>
      <c r="D242" s="102"/>
      <c r="E242" s="102"/>
      <c r="F242" s="147">
        <f t="shared" ref="F242" si="19">F147+F152+F157+F162+F167+F172+F177+F182+F187+F192+F197+F202+F207+F212+F217+F222+F227+F232+F237</f>
        <v>3212341.48</v>
      </c>
      <c r="G242" s="147">
        <v>2664192.5200000005</v>
      </c>
      <c r="H242" s="147">
        <f t="shared" si="18"/>
        <v>2613135.5467492337</v>
      </c>
      <c r="I242" s="147">
        <f t="shared" si="18"/>
        <v>2645721.2615148937</v>
      </c>
      <c r="K242" s="147">
        <f t="shared" si="16"/>
        <v>2645721.2615148937</v>
      </c>
      <c r="L242" s="147">
        <f>+K242-G242</f>
        <v>-18471.258485106751</v>
      </c>
      <c r="M242" s="225">
        <f t="shared" si="13"/>
        <v>237</v>
      </c>
    </row>
    <row r="243" spans="1:13" ht="13.5" thickBot="1">
      <c r="A243" s="250">
        <f t="shared" si="15"/>
        <v>743</v>
      </c>
      <c r="B243" s="227"/>
      <c r="C243" s="102"/>
      <c r="D243" s="102"/>
      <c r="E243" s="102"/>
      <c r="F243" s="1239"/>
      <c r="G243" s="1239"/>
      <c r="H243" s="1239"/>
      <c r="I243" s="1239"/>
      <c r="K243" s="150">
        <f t="shared" si="16"/>
        <v>0</v>
      </c>
      <c r="L243" s="150"/>
      <c r="M243" s="225">
        <f t="shared" si="13"/>
        <v>238</v>
      </c>
    </row>
    <row r="244" spans="1:13">
      <c r="A244" s="250">
        <f t="shared" si="15"/>
        <v>744</v>
      </c>
      <c r="B244" s="227"/>
      <c r="C244" s="49" t="s">
        <v>564</v>
      </c>
      <c r="D244" s="102"/>
      <c r="E244" s="102"/>
      <c r="F244" s="147">
        <f>SUM(F241:F242)</f>
        <v>58606964.109999999</v>
      </c>
      <c r="G244" s="147">
        <v>54949884.130000003</v>
      </c>
      <c r="H244" s="147">
        <f>SUM(H241:H242)</f>
        <v>54107075.309264258</v>
      </c>
      <c r="I244" s="147">
        <f>SUM(I241:I242)</f>
        <v>54772084.111517325</v>
      </c>
      <c r="K244" s="147">
        <f t="shared" si="16"/>
        <v>54772084.111517325</v>
      </c>
      <c r="L244" s="147">
        <f>+K244-G244</f>
        <v>-177800.01848267764</v>
      </c>
      <c r="M244" s="225">
        <f t="shared" si="13"/>
        <v>239</v>
      </c>
    </row>
    <row r="245" spans="1:13">
      <c r="A245" s="250">
        <f t="shared" si="15"/>
        <v>745</v>
      </c>
      <c r="B245" s="227"/>
      <c r="C245" s="102"/>
      <c r="D245" s="102"/>
      <c r="E245" s="102"/>
      <c r="F245" s="147"/>
      <c r="G245" s="147"/>
      <c r="H245" s="147"/>
      <c r="I245" s="147"/>
      <c r="K245" s="147"/>
      <c r="L245" s="147"/>
      <c r="M245" s="225">
        <f t="shared" si="13"/>
        <v>240</v>
      </c>
    </row>
    <row r="246" spans="1:13">
      <c r="A246" s="250">
        <f t="shared" si="15"/>
        <v>746</v>
      </c>
      <c r="B246" s="36" t="s">
        <v>400</v>
      </c>
      <c r="C246" s="102"/>
      <c r="D246" s="102"/>
      <c r="E246" s="102"/>
      <c r="F246" s="147"/>
      <c r="G246" s="147"/>
      <c r="H246" s="147"/>
      <c r="I246" s="147"/>
      <c r="K246" s="147"/>
      <c r="L246" s="147"/>
      <c r="M246" s="225">
        <f t="shared" si="13"/>
        <v>241</v>
      </c>
    </row>
    <row r="247" spans="1:13">
      <c r="A247" s="250">
        <f t="shared" si="15"/>
        <v>747</v>
      </c>
      <c r="B247" s="227"/>
      <c r="C247" s="102"/>
      <c r="D247" s="102"/>
      <c r="E247" s="102"/>
      <c r="F247" s="147"/>
      <c r="G247" s="147"/>
      <c r="H247" s="147"/>
      <c r="I247" s="147"/>
      <c r="K247" s="147"/>
      <c r="L247" s="147"/>
      <c r="M247" s="225">
        <f t="shared" si="13"/>
        <v>242</v>
      </c>
    </row>
    <row r="248" spans="1:13">
      <c r="A248" s="250">
        <f t="shared" si="15"/>
        <v>748</v>
      </c>
      <c r="B248" s="136">
        <v>901</v>
      </c>
      <c r="C248" s="102" t="s">
        <v>402</v>
      </c>
      <c r="D248" s="102"/>
      <c r="E248" s="102"/>
      <c r="F248" s="147"/>
      <c r="G248" s="147"/>
      <c r="H248" s="147"/>
      <c r="I248" s="147"/>
      <c r="K248" s="147"/>
      <c r="L248" s="147"/>
      <c r="M248" s="225">
        <f t="shared" si="13"/>
        <v>243</v>
      </c>
    </row>
    <row r="249" spans="1:13">
      <c r="A249" s="250">
        <f t="shared" si="15"/>
        <v>749</v>
      </c>
      <c r="B249" s="136"/>
      <c r="C249" s="102"/>
      <c r="D249" s="102" t="s">
        <v>14</v>
      </c>
      <c r="E249" s="102"/>
      <c r="F249" s="147">
        <v>1266611.0999999999</v>
      </c>
      <c r="G249" s="147">
        <v>1123201.22</v>
      </c>
      <c r="H249" s="147">
        <f>'PROJECTED EXPENSES'!AS121</f>
        <v>1101001.6813555975</v>
      </c>
      <c r="I249" s="147">
        <f>'PROJECTED EXPENSES'!AT121</f>
        <v>1115855.711119947</v>
      </c>
      <c r="K249" s="147">
        <f t="shared" si="16"/>
        <v>1115855.711119947</v>
      </c>
      <c r="L249" s="147">
        <f>+K249-G249</f>
        <v>-7345.5088800529484</v>
      </c>
      <c r="M249" s="225">
        <f t="shared" si="13"/>
        <v>244</v>
      </c>
    </row>
    <row r="250" spans="1:13">
      <c r="A250" s="250">
        <f t="shared" si="15"/>
        <v>750</v>
      </c>
      <c r="B250" s="136"/>
      <c r="C250" s="102"/>
      <c r="D250" s="102" t="s">
        <v>24</v>
      </c>
      <c r="E250" s="102"/>
      <c r="F250" s="147">
        <v>30268.11</v>
      </c>
      <c r="G250" s="147">
        <v>23973.87</v>
      </c>
      <c r="H250" s="147">
        <f>'PROJECTED EXPENSES'!AS122</f>
        <v>24501.295140000002</v>
      </c>
      <c r="I250" s="147">
        <f>'PROJECTED EXPENSES'!AT122</f>
        <v>25015.822337940001</v>
      </c>
      <c r="K250" s="147">
        <f t="shared" si="16"/>
        <v>25015.822337940001</v>
      </c>
      <c r="L250" s="147">
        <f>+K250-G250</f>
        <v>1041.9523379400016</v>
      </c>
      <c r="M250" s="225">
        <f t="shared" si="13"/>
        <v>245</v>
      </c>
    </row>
    <row r="251" spans="1:13" ht="13.5" thickBot="1">
      <c r="A251" s="250">
        <f t="shared" si="15"/>
        <v>751</v>
      </c>
      <c r="B251" s="136"/>
      <c r="C251" s="102"/>
      <c r="D251" s="102" t="s">
        <v>170</v>
      </c>
      <c r="E251" s="102"/>
      <c r="F251" s="148">
        <f>SUM(F249:F250)</f>
        <v>1296879.21</v>
      </c>
      <c r="G251" s="148">
        <v>1147175.0900000001</v>
      </c>
      <c r="H251" s="148">
        <f>SUM(H249:H250)</f>
        <v>1125502.9764955975</v>
      </c>
      <c r="I251" s="148">
        <f>SUM(I249:I250)</f>
        <v>1140871.5334578871</v>
      </c>
      <c r="K251" s="148">
        <f t="shared" si="16"/>
        <v>1140871.5334578871</v>
      </c>
      <c r="L251" s="148">
        <f>+K251-G251</f>
        <v>-6303.5565421129577</v>
      </c>
      <c r="M251" s="225">
        <f t="shared" si="13"/>
        <v>246</v>
      </c>
    </row>
    <row r="252" spans="1:13" ht="13.5" thickTop="1">
      <c r="A252" s="250">
        <f t="shared" si="15"/>
        <v>752</v>
      </c>
      <c r="B252" s="136"/>
      <c r="C252" s="102"/>
      <c r="D252" s="102"/>
      <c r="E252" s="102"/>
      <c r="F252" s="147"/>
      <c r="G252" s="147"/>
      <c r="H252" s="147"/>
      <c r="I252" s="147"/>
      <c r="K252" s="147">
        <f t="shared" si="16"/>
        <v>0</v>
      </c>
      <c r="L252" s="147"/>
      <c r="M252" s="225">
        <f t="shared" si="13"/>
        <v>247</v>
      </c>
    </row>
    <row r="253" spans="1:13">
      <c r="A253" s="250">
        <f t="shared" si="15"/>
        <v>753</v>
      </c>
      <c r="B253" s="136">
        <v>902</v>
      </c>
      <c r="C253" s="102" t="s">
        <v>403</v>
      </c>
      <c r="D253" s="102"/>
      <c r="E253" s="102"/>
      <c r="F253" s="147"/>
      <c r="G253" s="147"/>
      <c r="H253" s="147"/>
      <c r="I253" s="147"/>
      <c r="K253" s="147">
        <f t="shared" si="16"/>
        <v>0</v>
      </c>
      <c r="L253" s="147"/>
      <c r="M253" s="225">
        <f t="shared" si="13"/>
        <v>248</v>
      </c>
    </row>
    <row r="254" spans="1:13">
      <c r="A254" s="250">
        <f t="shared" si="15"/>
        <v>754</v>
      </c>
      <c r="B254" s="136"/>
      <c r="C254" s="102"/>
      <c r="D254" s="102" t="s">
        <v>14</v>
      </c>
      <c r="E254" s="102"/>
      <c r="F254" s="147">
        <v>3355949.2800000003</v>
      </c>
      <c r="G254" s="147">
        <v>1931571.41</v>
      </c>
      <c r="H254" s="147">
        <f>'PROJECTED EXPENSES'!AS126</f>
        <v>1842483.3657669909</v>
      </c>
      <c r="I254" s="147">
        <f>'PROJECTED EXPENSES'!AT126</f>
        <v>1855893.2272082572</v>
      </c>
      <c r="K254" s="147">
        <f t="shared" si="16"/>
        <v>1855893.2272082572</v>
      </c>
      <c r="L254" s="147">
        <f>+K254-G254</f>
        <v>-75678.182791742729</v>
      </c>
      <c r="M254" s="225">
        <f t="shared" si="13"/>
        <v>249</v>
      </c>
    </row>
    <row r="255" spans="1:13">
      <c r="A255" s="250">
        <f t="shared" si="15"/>
        <v>755</v>
      </c>
      <c r="B255" s="136"/>
      <c r="C255" s="102"/>
      <c r="D255" s="102" t="s">
        <v>24</v>
      </c>
      <c r="E255" s="102"/>
      <c r="F255" s="147">
        <v>120044.65000000001</v>
      </c>
      <c r="G255" s="147">
        <v>66802.97</v>
      </c>
      <c r="H255" s="147">
        <f>'PROJECTED EXPENSES'!AS127</f>
        <v>67489.506654207784</v>
      </c>
      <c r="I255" s="147">
        <f>'PROJECTED EXPENSES'!AT127</f>
        <v>68344.292514316301</v>
      </c>
      <c r="K255" s="147">
        <f t="shared" si="16"/>
        <v>68344.292514316301</v>
      </c>
      <c r="L255" s="147">
        <f>+K255-G255</f>
        <v>1541.3225143162999</v>
      </c>
      <c r="M255" s="225">
        <f t="shared" si="13"/>
        <v>250</v>
      </c>
    </row>
    <row r="256" spans="1:13" ht="13.5" thickBot="1">
      <c r="A256" s="250">
        <f t="shared" si="15"/>
        <v>756</v>
      </c>
      <c r="B256" s="136"/>
      <c r="C256" s="102"/>
      <c r="D256" s="102" t="s">
        <v>170</v>
      </c>
      <c r="E256" s="102"/>
      <c r="F256" s="148">
        <f>SUM(F254:F255)</f>
        <v>3475993.93</v>
      </c>
      <c r="G256" s="148">
        <v>1998374.38</v>
      </c>
      <c r="H256" s="148">
        <f>SUM(H254:H255)</f>
        <v>1909972.8724211988</v>
      </c>
      <c r="I256" s="148">
        <f>SUM(I254:I255)</f>
        <v>1924237.5197225735</v>
      </c>
      <c r="K256" s="148">
        <f t="shared" si="16"/>
        <v>1924237.5197225735</v>
      </c>
      <c r="L256" s="148">
        <f>+K256-G256</f>
        <v>-74136.860277426429</v>
      </c>
      <c r="M256" s="225">
        <f t="shared" si="13"/>
        <v>251</v>
      </c>
    </row>
    <row r="257" spans="1:13" ht="13.5" thickTop="1">
      <c r="A257" s="250">
        <f t="shared" si="15"/>
        <v>757</v>
      </c>
      <c r="B257" s="136"/>
      <c r="C257" s="102"/>
      <c r="D257" s="102"/>
      <c r="E257" s="102"/>
      <c r="F257" s="147"/>
      <c r="G257" s="147"/>
      <c r="H257" s="147"/>
      <c r="I257" s="147"/>
      <c r="K257" s="147"/>
      <c r="L257" s="147"/>
      <c r="M257" s="225">
        <f t="shared" si="13"/>
        <v>252</v>
      </c>
    </row>
    <row r="258" spans="1:13">
      <c r="A258" s="250">
        <f t="shared" si="15"/>
        <v>758</v>
      </c>
      <c r="B258" s="136">
        <v>9031</v>
      </c>
      <c r="C258" s="102" t="s">
        <v>404</v>
      </c>
      <c r="D258" s="102"/>
      <c r="E258" s="102"/>
      <c r="F258" s="147"/>
      <c r="G258" s="147"/>
      <c r="H258" s="147"/>
      <c r="I258" s="147"/>
      <c r="K258" s="147"/>
      <c r="L258" s="147"/>
      <c r="M258" s="225">
        <f t="shared" si="13"/>
        <v>253</v>
      </c>
    </row>
    <row r="259" spans="1:13">
      <c r="A259" s="250">
        <f t="shared" si="15"/>
        <v>759</v>
      </c>
      <c r="B259" s="136"/>
      <c r="C259" s="102"/>
      <c r="D259" s="102" t="s">
        <v>14</v>
      </c>
      <c r="E259" s="102"/>
      <c r="F259" s="147">
        <v>16368005.440000001</v>
      </c>
      <c r="G259" s="147">
        <v>13163140.24</v>
      </c>
      <c r="H259" s="147">
        <f>'PROJECTED EXPENSES'!AS131</f>
        <v>12788763.013568198</v>
      </c>
      <c r="I259" s="147">
        <f>'PROJECTED EXPENSES'!AT131</f>
        <v>12938721.919860665</v>
      </c>
      <c r="K259" s="147">
        <f t="shared" si="16"/>
        <v>12938721.919860665</v>
      </c>
      <c r="L259" s="147">
        <f>+K259-G259</f>
        <v>-224418.32013933547</v>
      </c>
      <c r="M259" s="225">
        <f t="shared" si="13"/>
        <v>254</v>
      </c>
    </row>
    <row r="260" spans="1:13">
      <c r="A260" s="250">
        <f t="shared" si="15"/>
        <v>760</v>
      </c>
      <c r="B260" s="136"/>
      <c r="C260" s="102"/>
      <c r="D260" s="102" t="s">
        <v>24</v>
      </c>
      <c r="E260" s="102"/>
      <c r="F260" s="147">
        <v>673873.29</v>
      </c>
      <c r="G260" s="147">
        <v>550191.44000000006</v>
      </c>
      <c r="H260" s="147">
        <f>'PROJECTED EXPENSES'!AS132</f>
        <v>550950.30854297534</v>
      </c>
      <c r="I260" s="147">
        <f>'PROJECTED EXPENSES'!AT132</f>
        <v>560386.41912948946</v>
      </c>
      <c r="K260" s="147">
        <f t="shared" si="16"/>
        <v>560386.41912948946</v>
      </c>
      <c r="L260" s="147">
        <f>+K260-G260</f>
        <v>10194.979129489395</v>
      </c>
      <c r="M260" s="225">
        <f t="shared" si="13"/>
        <v>255</v>
      </c>
    </row>
    <row r="261" spans="1:13" ht="13.5" thickBot="1">
      <c r="A261" s="250">
        <f t="shared" si="15"/>
        <v>761</v>
      </c>
      <c r="B261" s="136"/>
      <c r="C261" s="102"/>
      <c r="D261" s="102" t="s">
        <v>170</v>
      </c>
      <c r="E261" s="102"/>
      <c r="F261" s="148">
        <f>SUM(F259:F260)</f>
        <v>17041878.73</v>
      </c>
      <c r="G261" s="148">
        <v>13713331.68</v>
      </c>
      <c r="H261" s="148">
        <f>SUM(H259:H260)</f>
        <v>13339713.322111174</v>
      </c>
      <c r="I261" s="148">
        <f>SUM(I259:I260)</f>
        <v>13499108.338990154</v>
      </c>
      <c r="K261" s="148">
        <f t="shared" si="16"/>
        <v>13499108.338990154</v>
      </c>
      <c r="L261" s="148">
        <f>+K261-G261</f>
        <v>-214223.34100984596</v>
      </c>
      <c r="M261" s="225">
        <f t="shared" si="13"/>
        <v>256</v>
      </c>
    </row>
    <row r="262" spans="1:13" ht="13.5" thickTop="1">
      <c r="A262" s="250">
        <f t="shared" si="15"/>
        <v>762</v>
      </c>
      <c r="B262" s="136"/>
      <c r="C262" s="102"/>
      <c r="D262" s="102"/>
      <c r="E262" s="102"/>
      <c r="F262" s="147"/>
      <c r="G262" s="147"/>
      <c r="H262" s="147"/>
      <c r="I262" s="147"/>
      <c r="K262" s="147"/>
      <c r="L262" s="147"/>
      <c r="M262" s="225">
        <f t="shared" si="13"/>
        <v>257</v>
      </c>
    </row>
    <row r="263" spans="1:13">
      <c r="A263" s="250">
        <f t="shared" si="15"/>
        <v>763</v>
      </c>
      <c r="B263" s="136">
        <v>9032</v>
      </c>
      <c r="C263" s="102" t="s">
        <v>405</v>
      </c>
      <c r="D263" s="102"/>
      <c r="E263" s="102"/>
      <c r="F263" s="147"/>
      <c r="G263" s="147"/>
      <c r="H263" s="147"/>
      <c r="I263" s="147"/>
      <c r="K263" s="147"/>
      <c r="L263" s="147"/>
      <c r="M263" s="225">
        <f t="shared" si="13"/>
        <v>258</v>
      </c>
    </row>
    <row r="264" spans="1:13">
      <c r="A264" s="250">
        <f t="shared" si="15"/>
        <v>764</v>
      </c>
      <c r="B264" s="136"/>
      <c r="C264" s="102"/>
      <c r="D264" s="102" t="s">
        <v>14</v>
      </c>
      <c r="E264" s="102"/>
      <c r="F264" s="147">
        <v>892371.79999999993</v>
      </c>
      <c r="G264" s="147">
        <v>139298.02000000002</v>
      </c>
      <c r="H264" s="147">
        <f>'PROJECTED EXPENSES'!AS136</f>
        <v>110388.71956775202</v>
      </c>
      <c r="I264" s="147">
        <f>'PROJECTED EXPENSES'!AT136</f>
        <v>107158.37495981358</v>
      </c>
      <c r="K264" s="147">
        <f t="shared" si="16"/>
        <v>107158.37495981358</v>
      </c>
      <c r="L264" s="147">
        <f>+K264-G264</f>
        <v>-32139.645040186442</v>
      </c>
      <c r="M264" s="225">
        <f t="shared" ref="M264:M338" si="20">+M263+1</f>
        <v>259</v>
      </c>
    </row>
    <row r="265" spans="1:13">
      <c r="A265" s="250">
        <f t="shared" si="15"/>
        <v>765</v>
      </c>
      <c r="B265" s="136"/>
      <c r="C265" s="102"/>
      <c r="D265" s="102" t="s">
        <v>24</v>
      </c>
      <c r="E265" s="102"/>
      <c r="F265" s="147">
        <v>53966.930000000008</v>
      </c>
      <c r="G265" s="147">
        <v>34517.85</v>
      </c>
      <c r="H265" s="147">
        <f>'PROJECTED EXPENSES'!AS137</f>
        <v>33766.68226156028</v>
      </c>
      <c r="I265" s="147">
        <f>'PROJECTED EXPENSES'!AT137</f>
        <v>34204.442670879354</v>
      </c>
      <c r="K265" s="147">
        <f t="shared" si="16"/>
        <v>34204.442670879354</v>
      </c>
      <c r="L265" s="147">
        <f>+K265-G265</f>
        <v>-313.40732912064414</v>
      </c>
      <c r="M265" s="225">
        <f t="shared" si="20"/>
        <v>260</v>
      </c>
    </row>
    <row r="266" spans="1:13" ht="13.5" thickBot="1">
      <c r="A266" s="250">
        <f t="shared" si="15"/>
        <v>766</v>
      </c>
      <c r="B266" s="136"/>
      <c r="C266" s="102"/>
      <c r="D266" s="102" t="s">
        <v>170</v>
      </c>
      <c r="E266" s="102"/>
      <c r="F266" s="148">
        <f>SUM(F264:F265)</f>
        <v>946338.73</v>
      </c>
      <c r="G266" s="148">
        <v>173815.87000000002</v>
      </c>
      <c r="H266" s="148">
        <f>SUM(H264:H265)</f>
        <v>144155.40182931229</v>
      </c>
      <c r="I266" s="148">
        <f>SUM(I264:I265)</f>
        <v>141362.81763069294</v>
      </c>
      <c r="K266" s="148">
        <f t="shared" ref="K266:K276" si="21">HLOOKUP($K$6,EXPENSESCENARIO,M266,FALSE)</f>
        <v>141362.81763069294</v>
      </c>
      <c r="L266" s="148">
        <f>+K266-G266</f>
        <v>-32453.052369307086</v>
      </c>
      <c r="M266" s="225">
        <f t="shared" si="20"/>
        <v>261</v>
      </c>
    </row>
    <row r="267" spans="1:13" ht="13.5" thickTop="1">
      <c r="A267" s="250">
        <f t="shared" si="15"/>
        <v>767</v>
      </c>
      <c r="B267" s="136"/>
      <c r="C267" s="102"/>
      <c r="D267" s="102"/>
      <c r="E267" s="102"/>
      <c r="F267" s="147"/>
      <c r="G267" s="147"/>
      <c r="H267" s="147"/>
      <c r="I267" s="147"/>
      <c r="K267" s="147"/>
      <c r="L267" s="147"/>
      <c r="M267" s="225">
        <f t="shared" si="20"/>
        <v>262</v>
      </c>
    </row>
    <row r="268" spans="1:13">
      <c r="A268" s="250">
        <f t="shared" ref="A268:A342" si="22">+A267+1</f>
        <v>768</v>
      </c>
      <c r="B268" s="136">
        <v>9033</v>
      </c>
      <c r="C268" s="102" t="s">
        <v>406</v>
      </c>
      <c r="D268" s="102"/>
      <c r="E268" s="102"/>
      <c r="F268" s="147"/>
      <c r="G268" s="147"/>
      <c r="H268" s="147"/>
      <c r="I268" s="147"/>
      <c r="K268" s="147"/>
      <c r="L268" s="147"/>
      <c r="M268" s="225">
        <f t="shared" si="20"/>
        <v>263</v>
      </c>
    </row>
    <row r="269" spans="1:13">
      <c r="A269" s="250">
        <f t="shared" si="22"/>
        <v>769</v>
      </c>
      <c r="B269" s="136"/>
      <c r="C269" s="102"/>
      <c r="D269" s="102" t="s">
        <v>14</v>
      </c>
      <c r="E269" s="102"/>
      <c r="F269" s="147">
        <v>325659.45</v>
      </c>
      <c r="G269" s="147">
        <v>273728.07</v>
      </c>
      <c r="H269" s="147">
        <f>'PROJECTED EXPENSES'!AS141</f>
        <v>278655.17525999999</v>
      </c>
      <c r="I269" s="147">
        <f>'PROJECTED EXPENSES'!AT141</f>
        <v>284228.27876520006</v>
      </c>
      <c r="K269" s="147">
        <f t="shared" si="21"/>
        <v>284228.27876520006</v>
      </c>
      <c r="L269" s="147">
        <f>+K269-G269</f>
        <v>10500.208765200048</v>
      </c>
      <c r="M269" s="225">
        <f t="shared" si="20"/>
        <v>264</v>
      </c>
    </row>
    <row r="270" spans="1:13">
      <c r="A270" s="250">
        <f t="shared" si="22"/>
        <v>770</v>
      </c>
      <c r="B270" s="136"/>
      <c r="C270" s="102"/>
      <c r="D270" s="102" t="s">
        <v>24</v>
      </c>
      <c r="E270" s="102"/>
      <c r="F270" s="147">
        <v>3793.5400000000009</v>
      </c>
      <c r="G270" s="147">
        <v>5135.1100000000006</v>
      </c>
      <c r="H270" s="147">
        <f>'PROJECTED EXPENSES'!AS142</f>
        <v>5227.5419800000009</v>
      </c>
      <c r="I270" s="147">
        <f>'PROJECTED EXPENSES'!AT142</f>
        <v>5332.0928195999995</v>
      </c>
      <c r="K270" s="147">
        <f t="shared" si="21"/>
        <v>5332.0928195999995</v>
      </c>
      <c r="L270" s="147">
        <f>+K270-G270</f>
        <v>196.98281959999895</v>
      </c>
      <c r="M270" s="225">
        <f t="shared" si="20"/>
        <v>265</v>
      </c>
    </row>
    <row r="271" spans="1:13" ht="13.5" thickBot="1">
      <c r="A271" s="250">
        <f t="shared" si="22"/>
        <v>771</v>
      </c>
      <c r="B271" s="136"/>
      <c r="C271" s="102"/>
      <c r="D271" s="102" t="s">
        <v>170</v>
      </c>
      <c r="E271" s="102"/>
      <c r="F271" s="148">
        <f>SUM(F269:F270)</f>
        <v>329452.99</v>
      </c>
      <c r="G271" s="148">
        <v>278863.18</v>
      </c>
      <c r="H271" s="148">
        <f>SUM(H269:H270)</f>
        <v>283882.71723999997</v>
      </c>
      <c r="I271" s="148">
        <f>SUM(I269:I270)</f>
        <v>289560.37158480007</v>
      </c>
      <c r="K271" s="148">
        <f t="shared" si="21"/>
        <v>289560.37158480007</v>
      </c>
      <c r="L271" s="148">
        <f>+K271-G271</f>
        <v>10697.191584800079</v>
      </c>
      <c r="M271" s="225">
        <f t="shared" si="20"/>
        <v>266</v>
      </c>
    </row>
    <row r="272" spans="1:13" ht="13.5" thickTop="1">
      <c r="A272" s="250">
        <f t="shared" si="22"/>
        <v>772</v>
      </c>
      <c r="B272" s="136"/>
      <c r="C272" s="102"/>
      <c r="D272" s="102"/>
      <c r="E272" s="102"/>
      <c r="F272" s="147"/>
      <c r="G272" s="147"/>
      <c r="H272" s="147"/>
      <c r="I272" s="147"/>
      <c r="K272" s="147">
        <f t="shared" si="21"/>
        <v>0</v>
      </c>
      <c r="L272" s="147"/>
      <c r="M272" s="225">
        <f t="shared" si="20"/>
        <v>267</v>
      </c>
    </row>
    <row r="273" spans="1:13">
      <c r="A273" s="250">
        <f t="shared" si="22"/>
        <v>773</v>
      </c>
      <c r="B273" s="136" t="s">
        <v>0</v>
      </c>
      <c r="C273" s="102" t="s">
        <v>21</v>
      </c>
      <c r="D273" s="102"/>
      <c r="E273" s="102"/>
      <c r="F273" s="147"/>
      <c r="G273" s="147"/>
      <c r="H273" s="147"/>
      <c r="I273" s="147"/>
      <c r="K273" s="147">
        <f t="shared" si="21"/>
        <v>0</v>
      </c>
      <c r="L273" s="147"/>
      <c r="M273" s="225">
        <f t="shared" si="20"/>
        <v>268</v>
      </c>
    </row>
    <row r="274" spans="1:13">
      <c r="A274" s="250">
        <f t="shared" si="22"/>
        <v>774</v>
      </c>
      <c r="B274" s="136"/>
      <c r="C274" s="102"/>
      <c r="D274" s="102" t="s">
        <v>14</v>
      </c>
      <c r="E274" s="102"/>
      <c r="F274" s="147">
        <v>718292.3</v>
      </c>
      <c r="G274" s="147">
        <v>656083.52999999991</v>
      </c>
      <c r="H274" s="147">
        <f>'PROJECTED EXPENSES'!AS146</f>
        <v>656083.52999999991</v>
      </c>
      <c r="I274" s="147">
        <f>'PROJECTED EXPENSES'!AT146</f>
        <v>656083.52999999991</v>
      </c>
      <c r="K274" s="147">
        <f t="shared" si="21"/>
        <v>656083.52999999991</v>
      </c>
      <c r="L274" s="147">
        <f>+K274-G274</f>
        <v>0</v>
      </c>
      <c r="M274" s="225">
        <f t="shared" si="20"/>
        <v>269</v>
      </c>
    </row>
    <row r="275" spans="1:13">
      <c r="A275" s="250">
        <f t="shared" si="22"/>
        <v>775</v>
      </c>
      <c r="B275" s="136"/>
      <c r="C275" s="102"/>
      <c r="D275" s="102" t="s">
        <v>24</v>
      </c>
      <c r="E275" s="102"/>
      <c r="F275" s="147">
        <v>76905.17</v>
      </c>
      <c r="G275" s="147">
        <v>63801.19999999999</v>
      </c>
      <c r="H275" s="147">
        <f>'PROJECTED EXPENSES'!AS147</f>
        <v>63801.19999999999</v>
      </c>
      <c r="I275" s="147">
        <f>'PROJECTED EXPENSES'!AT147</f>
        <v>63801.19999999999</v>
      </c>
      <c r="K275" s="147">
        <f t="shared" si="21"/>
        <v>63801.19999999999</v>
      </c>
      <c r="L275" s="147">
        <f>+K275-G275</f>
        <v>0</v>
      </c>
      <c r="M275" s="225">
        <f t="shared" si="20"/>
        <v>270</v>
      </c>
    </row>
    <row r="276" spans="1:13" ht="13.5" thickBot="1">
      <c r="A276" s="250">
        <f t="shared" si="22"/>
        <v>776</v>
      </c>
      <c r="B276" s="136"/>
      <c r="C276" s="102"/>
      <c r="D276" s="102" t="s">
        <v>170</v>
      </c>
      <c r="E276" s="102"/>
      <c r="F276" s="148">
        <f>SUM(F274:F275)</f>
        <v>795197.47000000009</v>
      </c>
      <c r="G276" s="148">
        <v>719884.72999999986</v>
      </c>
      <c r="H276" s="148">
        <f>SUM(H274:H275)</f>
        <v>719884.72999999986</v>
      </c>
      <c r="I276" s="148">
        <f>SUM(I274:I275)</f>
        <v>719884.72999999986</v>
      </c>
      <c r="K276" s="148">
        <f t="shared" si="21"/>
        <v>719884.72999999986</v>
      </c>
      <c r="L276" s="148">
        <f>+K276-G276</f>
        <v>0</v>
      </c>
      <c r="M276" s="225">
        <f t="shared" si="20"/>
        <v>271</v>
      </c>
    </row>
    <row r="277" spans="1:13" ht="13.5" thickTop="1">
      <c r="A277" s="250">
        <f t="shared" si="22"/>
        <v>777</v>
      </c>
      <c r="B277" s="136"/>
      <c r="C277" s="102"/>
      <c r="D277" s="102"/>
      <c r="E277" s="102"/>
      <c r="F277" s="147"/>
      <c r="G277" s="147"/>
      <c r="H277" s="147"/>
      <c r="I277" s="147"/>
      <c r="K277" s="147"/>
      <c r="L277" s="147"/>
      <c r="M277" s="225">
        <f t="shared" si="20"/>
        <v>272</v>
      </c>
    </row>
    <row r="278" spans="1:13">
      <c r="A278" s="250">
        <f t="shared" si="22"/>
        <v>778</v>
      </c>
      <c r="B278" s="136" t="s">
        <v>1</v>
      </c>
      <c r="C278" s="102" t="s">
        <v>22</v>
      </c>
      <c r="D278" s="102"/>
      <c r="E278" s="102"/>
      <c r="F278" s="147"/>
      <c r="G278" s="147"/>
      <c r="H278" s="147"/>
      <c r="I278" s="147"/>
      <c r="K278" s="147"/>
      <c r="L278" s="147"/>
      <c r="M278" s="225">
        <f t="shared" si="20"/>
        <v>273</v>
      </c>
    </row>
    <row r="279" spans="1:13">
      <c r="A279" s="250">
        <f t="shared" si="22"/>
        <v>779</v>
      </c>
      <c r="B279" s="136"/>
      <c r="C279" s="102"/>
      <c r="D279" s="102" t="s">
        <v>14</v>
      </c>
      <c r="E279" s="102"/>
      <c r="F279" s="147">
        <v>218886.19</v>
      </c>
      <c r="G279" s="147">
        <v>212317.07000000004</v>
      </c>
      <c r="H279" s="147">
        <f>'PROJECTED EXPENSES'!AS151</f>
        <v>212317.07000000004</v>
      </c>
      <c r="I279" s="147">
        <f>'PROJECTED EXPENSES'!AT151</f>
        <v>212317.07000000004</v>
      </c>
      <c r="K279" s="147">
        <f>HLOOKUP($K$6,EXPENSESCENARIO,M279,FALSE)</f>
        <v>212317.07000000004</v>
      </c>
      <c r="L279" s="147">
        <f>+K279-G279</f>
        <v>0</v>
      </c>
      <c r="M279" s="225">
        <f t="shared" si="20"/>
        <v>274</v>
      </c>
    </row>
    <row r="280" spans="1:13">
      <c r="A280" s="250">
        <f t="shared" si="22"/>
        <v>780</v>
      </c>
      <c r="B280" s="136"/>
      <c r="C280" s="102"/>
      <c r="D280" s="102" t="s">
        <v>24</v>
      </c>
      <c r="E280" s="102"/>
      <c r="F280" s="147">
        <v>0</v>
      </c>
      <c r="G280" s="147">
        <v>0</v>
      </c>
      <c r="H280" s="147">
        <f>'PROJECTED EXPENSES'!AS152</f>
        <v>0</v>
      </c>
      <c r="I280" s="147">
        <f>'PROJECTED EXPENSES'!AT152</f>
        <v>0</v>
      </c>
      <c r="K280" s="147">
        <f>HLOOKUP($K$6,EXPENSESCENARIO,M280,FALSE)</f>
        <v>0</v>
      </c>
      <c r="L280" s="147">
        <f>+K280-G280</f>
        <v>0</v>
      </c>
      <c r="M280" s="225">
        <f t="shared" si="20"/>
        <v>275</v>
      </c>
    </row>
    <row r="281" spans="1:13" ht="13.5" thickBot="1">
      <c r="A281" s="250">
        <f t="shared" si="22"/>
        <v>781</v>
      </c>
      <c r="B281" s="136"/>
      <c r="C281" s="102"/>
      <c r="D281" s="102" t="s">
        <v>170</v>
      </c>
      <c r="E281" s="102"/>
      <c r="F281" s="148">
        <f>SUM(F279:F280)</f>
        <v>218886.19</v>
      </c>
      <c r="G281" s="148">
        <v>212317.07000000004</v>
      </c>
      <c r="H281" s="148">
        <f>SUM(H279:H280)</f>
        <v>212317.07000000004</v>
      </c>
      <c r="I281" s="148">
        <f>SUM(I279:I280)</f>
        <v>212317.07000000004</v>
      </c>
      <c r="K281" s="148">
        <f>HLOOKUP($K$6,EXPENSESCENARIO,M281,FALSE)</f>
        <v>212317.07000000004</v>
      </c>
      <c r="L281" s="148">
        <f>+K281-G281</f>
        <v>0</v>
      </c>
      <c r="M281" s="225">
        <f t="shared" si="20"/>
        <v>276</v>
      </c>
    </row>
    <row r="282" spans="1:13" ht="13.5" thickTop="1">
      <c r="A282" s="250">
        <f t="shared" si="22"/>
        <v>782</v>
      </c>
      <c r="B282" s="136"/>
      <c r="C282" s="102"/>
      <c r="D282" s="102"/>
      <c r="E282" s="102"/>
      <c r="F282" s="147"/>
      <c r="G282" s="147"/>
      <c r="H282" s="147"/>
      <c r="I282" s="147"/>
      <c r="K282" s="147"/>
      <c r="L282" s="147"/>
      <c r="M282" s="225">
        <f t="shared" si="20"/>
        <v>277</v>
      </c>
    </row>
    <row r="283" spans="1:13">
      <c r="A283" s="250">
        <f t="shared" si="22"/>
        <v>783</v>
      </c>
      <c r="B283" s="136" t="s">
        <v>2</v>
      </c>
      <c r="C283" s="102" t="s">
        <v>23</v>
      </c>
      <c r="D283" s="102"/>
      <c r="E283" s="102"/>
      <c r="F283" s="147"/>
      <c r="G283" s="147"/>
      <c r="H283" s="147"/>
      <c r="I283" s="147"/>
      <c r="K283" s="147"/>
      <c r="L283" s="147">
        <f>+K283-G283</f>
        <v>0</v>
      </c>
      <c r="M283" s="225">
        <f t="shared" si="20"/>
        <v>278</v>
      </c>
    </row>
    <row r="284" spans="1:13">
      <c r="A284" s="250">
        <f t="shared" si="22"/>
        <v>784</v>
      </c>
      <c r="B284" s="136"/>
      <c r="C284" s="102"/>
      <c r="D284" s="102" t="s">
        <v>14</v>
      </c>
      <c r="E284" s="102"/>
      <c r="F284" s="147">
        <v>1079680.0200000003</v>
      </c>
      <c r="G284" s="147">
        <v>841817.97</v>
      </c>
      <c r="H284" s="147">
        <f>'PROJECTED EXPENSES'!AS156</f>
        <v>841817.97</v>
      </c>
      <c r="I284" s="147">
        <f>'PROJECTED EXPENSES'!AT156</f>
        <v>841817.97</v>
      </c>
      <c r="K284" s="147">
        <f>HLOOKUP($K$6,EXPENSESCENARIO,M284,FALSE)</f>
        <v>841817.97</v>
      </c>
      <c r="L284" s="147">
        <f>+K284-G284</f>
        <v>0</v>
      </c>
      <c r="M284" s="225">
        <f t="shared" si="20"/>
        <v>279</v>
      </c>
    </row>
    <row r="285" spans="1:13">
      <c r="A285" s="250">
        <f t="shared" si="22"/>
        <v>785</v>
      </c>
      <c r="B285" s="136"/>
      <c r="C285" s="102"/>
      <c r="D285" s="102" t="s">
        <v>24</v>
      </c>
      <c r="E285" s="102"/>
      <c r="F285" s="147">
        <v>0</v>
      </c>
      <c r="G285" s="147">
        <v>0</v>
      </c>
      <c r="H285" s="147">
        <f>'PROJECTED EXPENSES'!AS157</f>
        <v>0</v>
      </c>
      <c r="I285" s="147">
        <f>'PROJECTED EXPENSES'!AT157</f>
        <v>0</v>
      </c>
      <c r="K285" s="147">
        <f>HLOOKUP($K$6,EXPENSESCENARIO,M285,FALSE)</f>
        <v>0</v>
      </c>
      <c r="L285" s="147">
        <f>+K285-G285</f>
        <v>0</v>
      </c>
      <c r="M285" s="225">
        <f t="shared" si="20"/>
        <v>280</v>
      </c>
    </row>
    <row r="286" spans="1:13" ht="13.5" thickBot="1">
      <c r="A286" s="250">
        <f t="shared" si="22"/>
        <v>786</v>
      </c>
      <c r="B286" s="136"/>
      <c r="C286" s="102"/>
      <c r="D286" s="102" t="s">
        <v>170</v>
      </c>
      <c r="E286" s="102"/>
      <c r="F286" s="148">
        <f>SUM(F284:F285)</f>
        <v>1079680.0200000003</v>
      </c>
      <c r="G286" s="148">
        <v>841817.97</v>
      </c>
      <c r="H286" s="148">
        <f>SUM(H284:H285)</f>
        <v>841817.97</v>
      </c>
      <c r="I286" s="148">
        <f>SUM(I284:I285)</f>
        <v>841817.97</v>
      </c>
      <c r="K286" s="148">
        <f>HLOOKUP($K$6,EXPENSESCENARIO,M286,FALSE)</f>
        <v>841817.97</v>
      </c>
      <c r="L286" s="148">
        <f>+K286-G286</f>
        <v>0</v>
      </c>
      <c r="M286" s="225">
        <f t="shared" si="20"/>
        <v>281</v>
      </c>
    </row>
    <row r="287" spans="1:13" ht="13.5" thickTop="1">
      <c r="A287" s="250">
        <f t="shared" si="22"/>
        <v>787</v>
      </c>
      <c r="B287" s="136"/>
      <c r="C287" s="102"/>
      <c r="D287" s="102"/>
      <c r="E287" s="102"/>
      <c r="F287" s="147"/>
      <c r="G287" s="147"/>
      <c r="H287" s="147"/>
      <c r="I287" s="147"/>
      <c r="K287" s="147"/>
      <c r="L287" s="147"/>
      <c r="M287" s="225">
        <f t="shared" si="20"/>
        <v>282</v>
      </c>
    </row>
    <row r="288" spans="1:13">
      <c r="A288" s="250">
        <f t="shared" si="22"/>
        <v>788</v>
      </c>
      <c r="B288" s="136"/>
      <c r="C288" s="102"/>
      <c r="D288" s="102"/>
      <c r="E288" s="102"/>
      <c r="F288" s="147"/>
      <c r="G288" s="147"/>
      <c r="H288" s="147"/>
      <c r="I288" s="147"/>
      <c r="K288" s="147"/>
      <c r="L288" s="147"/>
      <c r="M288" s="225">
        <f t="shared" si="20"/>
        <v>283</v>
      </c>
    </row>
    <row r="289" spans="1:13">
      <c r="A289" s="250">
        <f t="shared" si="22"/>
        <v>789</v>
      </c>
      <c r="B289" s="136">
        <v>905</v>
      </c>
      <c r="C289" s="102" t="s">
        <v>408</v>
      </c>
      <c r="D289" s="102"/>
      <c r="E289" s="102"/>
      <c r="F289" s="147"/>
      <c r="G289" s="147"/>
      <c r="H289" s="147"/>
      <c r="I289" s="147"/>
      <c r="K289" s="147"/>
      <c r="L289" s="147"/>
      <c r="M289" s="225">
        <f t="shared" si="20"/>
        <v>284</v>
      </c>
    </row>
    <row r="290" spans="1:13">
      <c r="A290" s="250">
        <f t="shared" si="22"/>
        <v>790</v>
      </c>
      <c r="B290" s="227"/>
      <c r="C290" s="102"/>
      <c r="D290" s="102" t="s">
        <v>14</v>
      </c>
      <c r="E290" s="102"/>
      <c r="F290" s="147">
        <v>0</v>
      </c>
      <c r="G290" s="147">
        <v>0</v>
      </c>
      <c r="H290" s="147">
        <f>'PROJECTED EXPENSES'!AS162</f>
        <v>0</v>
      </c>
      <c r="I290" s="147">
        <f>'PROJECTED EXPENSES'!AT162</f>
        <v>0</v>
      </c>
      <c r="K290" s="147">
        <f t="shared" ref="K290:K319" si="23">HLOOKUP($K$6,EXPENSESCENARIO,M290,FALSE)</f>
        <v>0</v>
      </c>
      <c r="L290" s="147">
        <f>+K290-G290</f>
        <v>0</v>
      </c>
      <c r="M290" s="225">
        <f t="shared" si="20"/>
        <v>285</v>
      </c>
    </row>
    <row r="291" spans="1:13">
      <c r="A291" s="250">
        <f t="shared" si="22"/>
        <v>791</v>
      </c>
      <c r="B291" s="227"/>
      <c r="C291" s="102"/>
      <c r="D291" s="102" t="s">
        <v>24</v>
      </c>
      <c r="E291" s="102"/>
      <c r="F291" s="147">
        <v>0</v>
      </c>
      <c r="G291" s="147">
        <v>0</v>
      </c>
      <c r="H291" s="147">
        <f>'PROJECTED EXPENSES'!AS163</f>
        <v>0</v>
      </c>
      <c r="I291" s="147">
        <f>'PROJECTED EXPENSES'!AT163</f>
        <v>0</v>
      </c>
      <c r="K291" s="147">
        <f t="shared" si="23"/>
        <v>0</v>
      </c>
      <c r="L291" s="147">
        <f>+K291-G291</f>
        <v>0</v>
      </c>
      <c r="M291" s="225">
        <f t="shared" si="20"/>
        <v>286</v>
      </c>
    </row>
    <row r="292" spans="1:13" ht="13.5" thickBot="1">
      <c r="A292" s="250">
        <f t="shared" si="22"/>
        <v>792</v>
      </c>
      <c r="B292" s="227"/>
      <c r="C292" s="102"/>
      <c r="D292" s="102" t="s">
        <v>170</v>
      </c>
      <c r="E292" s="102"/>
      <c r="F292" s="148">
        <f>SUM(F290:F291)</f>
        <v>0</v>
      </c>
      <c r="G292" s="148">
        <v>0</v>
      </c>
      <c r="H292" s="148">
        <f>SUM(H290:H291)</f>
        <v>0</v>
      </c>
      <c r="I292" s="148">
        <f>SUM(I290:I291)</f>
        <v>0</v>
      </c>
      <c r="K292" s="148">
        <f t="shared" si="23"/>
        <v>0</v>
      </c>
      <c r="L292" s="148">
        <f>+K292-G292</f>
        <v>0</v>
      </c>
      <c r="M292" s="225">
        <f t="shared" si="20"/>
        <v>287</v>
      </c>
    </row>
    <row r="293" spans="1:13" ht="13.5" thickTop="1">
      <c r="A293" s="250">
        <f t="shared" si="22"/>
        <v>793</v>
      </c>
      <c r="B293" s="227"/>
      <c r="C293" s="102"/>
      <c r="D293" s="102"/>
      <c r="E293" s="102"/>
      <c r="F293" s="151"/>
      <c r="G293" s="151"/>
      <c r="H293" s="151"/>
      <c r="I293" s="151"/>
      <c r="K293" s="151"/>
      <c r="L293" s="151"/>
      <c r="M293" s="225">
        <f t="shared" si="20"/>
        <v>288</v>
      </c>
    </row>
    <row r="294" spans="1:13">
      <c r="A294" s="250">
        <f t="shared" si="22"/>
        <v>794</v>
      </c>
      <c r="B294" s="36" t="s">
        <v>646</v>
      </c>
      <c r="C294" s="102"/>
      <c r="D294" s="102"/>
      <c r="E294" s="102"/>
      <c r="F294" s="147"/>
      <c r="G294" s="147"/>
      <c r="H294" s="147"/>
      <c r="I294" s="147"/>
      <c r="K294" s="147"/>
      <c r="L294" s="147"/>
      <c r="M294" s="225">
        <f t="shared" si="20"/>
        <v>289</v>
      </c>
    </row>
    <row r="295" spans="1:13">
      <c r="A295" s="250">
        <f t="shared" si="22"/>
        <v>795</v>
      </c>
      <c r="B295" s="227"/>
      <c r="C295" s="102" t="s">
        <v>647</v>
      </c>
      <c r="D295" s="102"/>
      <c r="E295" s="102"/>
      <c r="F295" s="147">
        <f t="shared" ref="F295" si="24">F249+F254+F259+F264+F269+F274+F279+F284+F290</f>
        <v>24225455.580000002</v>
      </c>
      <c r="G295" s="147">
        <v>18341157.530000001</v>
      </c>
      <c r="H295" s="147">
        <f t="shared" ref="H295:I296" si="25">H249+H254+H259+H264+H269+H274+H279+H284+H290</f>
        <v>17831510.525518537</v>
      </c>
      <c r="I295" s="147">
        <f t="shared" si="25"/>
        <v>18012076.081913881</v>
      </c>
      <c r="K295" s="147">
        <f t="shared" si="23"/>
        <v>18012076.081913881</v>
      </c>
      <c r="L295" s="147">
        <f>+K295-G295</f>
        <v>-329081.44808612019</v>
      </c>
      <c r="M295" s="225">
        <f t="shared" si="20"/>
        <v>290</v>
      </c>
    </row>
    <row r="296" spans="1:13">
      <c r="A296" s="250">
        <f t="shared" si="22"/>
        <v>796</v>
      </c>
      <c r="B296" s="227"/>
      <c r="C296" s="102" t="s">
        <v>649</v>
      </c>
      <c r="D296" s="102"/>
      <c r="E296" s="102"/>
      <c r="F296" s="147">
        <f t="shared" ref="F296" si="26">F250+F255+F260+F265+F270+F275+F280+F285+F291</f>
        <v>958851.69000000018</v>
      </c>
      <c r="G296" s="147">
        <v>744422.44</v>
      </c>
      <c r="H296" s="147">
        <f t="shared" si="25"/>
        <v>745736.53457874327</v>
      </c>
      <c r="I296" s="147">
        <f t="shared" si="25"/>
        <v>757084.26947222499</v>
      </c>
      <c r="K296" s="147">
        <f t="shared" si="23"/>
        <v>757084.26947222499</v>
      </c>
      <c r="L296" s="147">
        <f>+K296-G296</f>
        <v>12661.829472225043</v>
      </c>
      <c r="M296" s="225">
        <f t="shared" si="20"/>
        <v>291</v>
      </c>
    </row>
    <row r="297" spans="1:13">
      <c r="A297" s="250">
        <f t="shared" si="22"/>
        <v>797</v>
      </c>
      <c r="B297" s="227"/>
      <c r="C297" s="102"/>
      <c r="D297" s="102"/>
      <c r="E297" s="102"/>
      <c r="F297" s="1240"/>
      <c r="G297" s="1240"/>
      <c r="H297" s="1240"/>
      <c r="I297" s="1240"/>
      <c r="K297" s="152"/>
      <c r="L297" s="152"/>
      <c r="M297" s="225">
        <f t="shared" si="20"/>
        <v>292</v>
      </c>
    </row>
    <row r="298" spans="1:13">
      <c r="A298" s="250">
        <f t="shared" si="22"/>
        <v>798</v>
      </c>
      <c r="B298" s="227"/>
      <c r="C298" s="49" t="s">
        <v>646</v>
      </c>
      <c r="D298" s="102"/>
      <c r="E298" s="102"/>
      <c r="F298" s="147">
        <f>SUM(F295:F296)</f>
        <v>25184307.270000003</v>
      </c>
      <c r="G298" s="147">
        <v>19085579.970000003</v>
      </c>
      <c r="H298" s="147">
        <f>SUM(H295:H296)</f>
        <v>18577247.060097281</v>
      </c>
      <c r="I298" s="147">
        <f>SUM(I295:I296)</f>
        <v>18769160.351386108</v>
      </c>
      <c r="K298" s="147">
        <f t="shared" si="23"/>
        <v>18769160.351386108</v>
      </c>
      <c r="L298" s="147">
        <f>+K298-G298</f>
        <v>-316419.61861389503</v>
      </c>
      <c r="M298" s="225">
        <f t="shared" si="20"/>
        <v>293</v>
      </c>
    </row>
    <row r="299" spans="1:13">
      <c r="A299" s="250">
        <f t="shared" si="22"/>
        <v>799</v>
      </c>
      <c r="B299" s="227"/>
      <c r="C299" s="102"/>
      <c r="D299" s="102"/>
      <c r="E299" s="102"/>
      <c r="F299" s="147"/>
      <c r="G299" s="147"/>
      <c r="H299" s="147"/>
      <c r="I299" s="147"/>
      <c r="K299" s="147"/>
      <c r="L299" s="147"/>
      <c r="M299" s="225">
        <f t="shared" si="20"/>
        <v>294</v>
      </c>
    </row>
    <row r="300" spans="1:13">
      <c r="A300" s="250">
        <f t="shared" si="22"/>
        <v>800</v>
      </c>
      <c r="B300" s="36" t="s">
        <v>409</v>
      </c>
      <c r="C300" s="102"/>
      <c r="D300" s="102"/>
      <c r="E300" s="102"/>
      <c r="F300" s="147"/>
      <c r="G300" s="147"/>
      <c r="H300" s="147"/>
      <c r="I300" s="147"/>
      <c r="K300" s="147"/>
      <c r="L300" s="147"/>
      <c r="M300" s="225">
        <f t="shared" si="20"/>
        <v>295</v>
      </c>
    </row>
    <row r="301" spans="1:13">
      <c r="A301" s="250">
        <f t="shared" si="22"/>
        <v>801</v>
      </c>
      <c r="B301" s="227"/>
      <c r="C301" s="102"/>
      <c r="D301" s="102"/>
      <c r="E301" s="102"/>
      <c r="F301" s="147"/>
      <c r="G301" s="147"/>
      <c r="H301" s="147"/>
      <c r="I301" s="147"/>
      <c r="K301" s="147"/>
      <c r="L301" s="147"/>
      <c r="M301" s="225">
        <f t="shared" si="20"/>
        <v>296</v>
      </c>
    </row>
    <row r="302" spans="1:13">
      <c r="A302" s="250">
        <f t="shared" si="22"/>
        <v>802</v>
      </c>
      <c r="B302" s="136">
        <v>907</v>
      </c>
      <c r="C302" s="102" t="s">
        <v>402</v>
      </c>
      <c r="D302" s="102"/>
      <c r="E302" s="102"/>
      <c r="F302" s="147"/>
      <c r="G302" s="147"/>
      <c r="H302" s="147"/>
      <c r="I302" s="147"/>
      <c r="K302" s="147"/>
      <c r="L302" s="147"/>
      <c r="M302" s="225">
        <f t="shared" si="20"/>
        <v>297</v>
      </c>
    </row>
    <row r="303" spans="1:13">
      <c r="A303" s="250">
        <f t="shared" si="22"/>
        <v>803</v>
      </c>
      <c r="B303" s="136"/>
      <c r="C303" s="102"/>
      <c r="D303" s="102" t="s">
        <v>14</v>
      </c>
      <c r="E303" s="102"/>
      <c r="F303" s="147">
        <v>443076.45</v>
      </c>
      <c r="G303" s="147">
        <v>370305.81000000006</v>
      </c>
      <c r="H303" s="147">
        <f>'PROJECTED EXPENSES'!AS174</f>
        <v>360485.56667796092</v>
      </c>
      <c r="I303" s="147">
        <f>'PROJECTED EXPENSES'!AT174</f>
        <v>364889.42038206785</v>
      </c>
      <c r="K303" s="147">
        <f t="shared" si="23"/>
        <v>364889.42038206785</v>
      </c>
      <c r="L303" s="147">
        <f>+K303-G303</f>
        <v>-5416.3896179322037</v>
      </c>
      <c r="M303" s="225">
        <f t="shared" si="20"/>
        <v>298</v>
      </c>
    </row>
    <row r="304" spans="1:13">
      <c r="A304" s="250">
        <f t="shared" si="22"/>
        <v>804</v>
      </c>
      <c r="B304" s="136"/>
      <c r="C304" s="102"/>
      <c r="D304" s="102" t="s">
        <v>24</v>
      </c>
      <c r="E304" s="102"/>
      <c r="F304" s="147">
        <v>12534.099999999999</v>
      </c>
      <c r="G304" s="147">
        <v>9679.8300000000017</v>
      </c>
      <c r="H304" s="147">
        <f>'PROJECTED EXPENSES'!AS175</f>
        <v>9892.7862600000008</v>
      </c>
      <c r="I304" s="147">
        <f>'PROJECTED EXPENSES'!AT175</f>
        <v>10100.534771459999</v>
      </c>
      <c r="K304" s="147">
        <f t="shared" si="23"/>
        <v>10100.534771459999</v>
      </c>
      <c r="L304" s="147">
        <f>+K304-G304</f>
        <v>420.70477145999757</v>
      </c>
      <c r="M304" s="225">
        <f t="shared" si="20"/>
        <v>299</v>
      </c>
    </row>
    <row r="305" spans="1:13" ht="13.5" thickBot="1">
      <c r="A305" s="250">
        <f t="shared" si="22"/>
        <v>805</v>
      </c>
      <c r="B305" s="136"/>
      <c r="C305" s="102"/>
      <c r="D305" s="102" t="s">
        <v>170</v>
      </c>
      <c r="E305" s="102"/>
      <c r="F305" s="148">
        <f>SUM(F303:F304)</f>
        <v>455610.55</v>
      </c>
      <c r="G305" s="148">
        <v>379985.64000000007</v>
      </c>
      <c r="H305" s="148">
        <f>SUM(H303:H304)</f>
        <v>370378.35293796094</v>
      </c>
      <c r="I305" s="148">
        <f>SUM(I303:I304)</f>
        <v>374989.95515352784</v>
      </c>
      <c r="K305" s="148">
        <f t="shared" si="23"/>
        <v>374989.95515352784</v>
      </c>
      <c r="L305" s="148">
        <f>+K305-G305</f>
        <v>-4995.6848464722279</v>
      </c>
      <c r="M305" s="225">
        <f t="shared" si="20"/>
        <v>300</v>
      </c>
    </row>
    <row r="306" spans="1:13" ht="13.5" thickTop="1">
      <c r="A306" s="250">
        <f t="shared" si="22"/>
        <v>806</v>
      </c>
      <c r="B306" s="136"/>
      <c r="C306" s="102"/>
      <c r="D306" s="102"/>
      <c r="E306" s="102"/>
      <c r="F306" s="147"/>
      <c r="G306" s="147"/>
      <c r="H306" s="147"/>
      <c r="I306" s="147"/>
      <c r="K306" s="147"/>
      <c r="L306" s="147"/>
      <c r="M306" s="225">
        <f t="shared" si="20"/>
        <v>301</v>
      </c>
    </row>
    <row r="307" spans="1:13">
      <c r="A307" s="250">
        <f t="shared" si="22"/>
        <v>807</v>
      </c>
      <c r="B307" s="136">
        <v>908</v>
      </c>
      <c r="C307" s="102" t="s">
        <v>410</v>
      </c>
      <c r="D307" s="102"/>
      <c r="E307" s="102"/>
      <c r="F307" s="147"/>
      <c r="G307" s="147"/>
      <c r="H307" s="147"/>
      <c r="I307" s="147"/>
      <c r="K307" s="147"/>
      <c r="L307" s="147"/>
      <c r="M307" s="225">
        <f t="shared" si="20"/>
        <v>302</v>
      </c>
    </row>
    <row r="308" spans="1:13">
      <c r="A308" s="250">
        <f t="shared" si="22"/>
        <v>808</v>
      </c>
      <c r="B308" s="136"/>
      <c r="C308" s="102"/>
      <c r="D308" s="102" t="s">
        <v>14</v>
      </c>
      <c r="E308" s="102"/>
      <c r="F308" s="147">
        <v>27262194.359999999</v>
      </c>
      <c r="G308" s="147">
        <v>23269929.850000001</v>
      </c>
      <c r="H308" s="147">
        <f>'PROJECTED EXPENSES'!AS179</f>
        <v>23440709.14431338</v>
      </c>
      <c r="I308" s="147">
        <f>'PROJECTED EXPENSES'!AT179</f>
        <v>23729477.382769302</v>
      </c>
      <c r="K308" s="147">
        <f t="shared" si="23"/>
        <v>23729477.382769302</v>
      </c>
      <c r="L308" s="147">
        <f>+K308-G308</f>
        <v>459547.53276930004</v>
      </c>
      <c r="M308" s="225">
        <f t="shared" si="20"/>
        <v>303</v>
      </c>
    </row>
    <row r="309" spans="1:13">
      <c r="A309" s="250">
        <f t="shared" si="22"/>
        <v>809</v>
      </c>
      <c r="B309" s="136"/>
      <c r="C309" s="102"/>
      <c r="D309" s="102" t="s">
        <v>24</v>
      </c>
      <c r="E309" s="102"/>
      <c r="F309" s="147">
        <v>244566.41999999995</v>
      </c>
      <c r="G309" s="147">
        <v>237202.52999999997</v>
      </c>
      <c r="H309" s="147">
        <f>'PROJECTED EXPENSES'!AS180</f>
        <v>240760.56794999994</v>
      </c>
      <c r="I309" s="147">
        <f>'PROJECTED EXPENSES'!AT180</f>
        <v>243890.45533334996</v>
      </c>
      <c r="K309" s="147">
        <f t="shared" si="23"/>
        <v>243890.45533334996</v>
      </c>
      <c r="L309" s="147">
        <f>+K309-G309</f>
        <v>6687.9253333499946</v>
      </c>
      <c r="M309" s="225">
        <f t="shared" si="20"/>
        <v>304</v>
      </c>
    </row>
    <row r="310" spans="1:13" ht="13.5" thickBot="1">
      <c r="A310" s="250">
        <f t="shared" si="22"/>
        <v>810</v>
      </c>
      <c r="B310" s="136"/>
      <c r="C310" s="102"/>
      <c r="D310" s="102" t="s">
        <v>170</v>
      </c>
      <c r="E310" s="102"/>
      <c r="F310" s="148">
        <f>SUM(F308:F309)</f>
        <v>27506760.780000001</v>
      </c>
      <c r="G310" s="148">
        <v>23507132.380000003</v>
      </c>
      <c r="H310" s="148">
        <f>SUM(H308:H309)</f>
        <v>23681469.712263379</v>
      </c>
      <c r="I310" s="148">
        <f>SUM(I308:I309)</f>
        <v>23973367.83810265</v>
      </c>
      <c r="K310" s="148">
        <f t="shared" si="23"/>
        <v>23973367.83810265</v>
      </c>
      <c r="L310" s="148">
        <f>+K310-G310</f>
        <v>466235.45810264722</v>
      </c>
      <c r="M310" s="225">
        <f t="shared" si="20"/>
        <v>305</v>
      </c>
    </row>
    <row r="311" spans="1:13" ht="13.5" thickTop="1">
      <c r="A311" s="250">
        <f t="shared" si="22"/>
        <v>811</v>
      </c>
      <c r="B311" s="136"/>
      <c r="C311" s="102"/>
      <c r="D311" s="102"/>
      <c r="E311" s="102"/>
      <c r="F311" s="147"/>
      <c r="G311" s="147"/>
      <c r="H311" s="147"/>
      <c r="I311" s="147"/>
      <c r="K311" s="147"/>
      <c r="L311" s="147"/>
      <c r="M311" s="225">
        <f t="shared" si="20"/>
        <v>306</v>
      </c>
    </row>
    <row r="312" spans="1:13">
      <c r="A312" s="250">
        <f t="shared" si="22"/>
        <v>812</v>
      </c>
      <c r="B312" s="136">
        <v>909</v>
      </c>
      <c r="C312" s="102" t="s">
        <v>423</v>
      </c>
      <c r="D312" s="102"/>
      <c r="E312" s="102"/>
      <c r="F312" s="147"/>
      <c r="G312" s="147"/>
      <c r="H312" s="147"/>
      <c r="I312" s="147"/>
      <c r="K312" s="147"/>
      <c r="L312" s="147"/>
      <c r="M312" s="225">
        <f t="shared" si="20"/>
        <v>307</v>
      </c>
    </row>
    <row r="313" spans="1:13">
      <c r="A313" s="250">
        <f t="shared" si="22"/>
        <v>813</v>
      </c>
      <c r="B313" s="136"/>
      <c r="C313" s="102"/>
      <c r="D313" s="102" t="s">
        <v>14</v>
      </c>
      <c r="E313" s="102"/>
      <c r="F313" s="147">
        <v>662005.68000000005</v>
      </c>
      <c r="G313" s="147">
        <v>745487.52</v>
      </c>
      <c r="H313" s="147">
        <f>'PROJECTED EXPENSES'!AS184</f>
        <v>752196.90768000006</v>
      </c>
      <c r="I313" s="147">
        <f>'PROJECTED EXPENSES'!AT184</f>
        <v>761223.27057216014</v>
      </c>
      <c r="K313" s="147">
        <f t="shared" si="23"/>
        <v>761223.27057216014</v>
      </c>
      <c r="L313" s="147">
        <f>+K313-G313</f>
        <v>15735.750572160119</v>
      </c>
      <c r="M313" s="225">
        <f t="shared" si="20"/>
        <v>308</v>
      </c>
    </row>
    <row r="314" spans="1:13">
      <c r="A314" s="250">
        <f t="shared" si="22"/>
        <v>814</v>
      </c>
      <c r="B314" s="136"/>
      <c r="C314" s="102"/>
      <c r="D314" s="102" t="s">
        <v>24</v>
      </c>
      <c r="E314" s="102"/>
      <c r="F314" s="147">
        <v>17553.2</v>
      </c>
      <c r="G314" s="147">
        <v>20519.680000000004</v>
      </c>
      <c r="H314" s="147">
        <f>'PROJECTED EXPENSES'!AS185</f>
        <v>20704.357120000001</v>
      </c>
      <c r="I314" s="147">
        <f>'PROJECTED EXPENSES'!AT185</f>
        <v>20952.809405439995</v>
      </c>
      <c r="K314" s="147">
        <f t="shared" si="23"/>
        <v>20952.809405439995</v>
      </c>
      <c r="L314" s="147">
        <f>+K314-G314</f>
        <v>433.12940543999139</v>
      </c>
      <c r="M314" s="225">
        <f t="shared" si="20"/>
        <v>309</v>
      </c>
    </row>
    <row r="315" spans="1:13" ht="13.5" thickBot="1">
      <c r="A315" s="250">
        <f t="shared" si="22"/>
        <v>815</v>
      </c>
      <c r="B315" s="136"/>
      <c r="C315" s="102"/>
      <c r="D315" s="102" t="s">
        <v>170</v>
      </c>
      <c r="E315" s="102"/>
      <c r="F315" s="148">
        <f>SUM(F313:F314)</f>
        <v>679558.88</v>
      </c>
      <c r="G315" s="148">
        <v>766007.20000000007</v>
      </c>
      <c r="H315" s="148">
        <f>SUM(H313:H314)</f>
        <v>772901.2648</v>
      </c>
      <c r="I315" s="148">
        <f>SUM(I313:I314)</f>
        <v>782176.07997760014</v>
      </c>
      <c r="K315" s="148">
        <f t="shared" si="23"/>
        <v>782176.07997760014</v>
      </c>
      <c r="L315" s="148">
        <f>+K315-G315</f>
        <v>16168.879977600067</v>
      </c>
      <c r="M315" s="225">
        <f t="shared" si="20"/>
        <v>310</v>
      </c>
    </row>
    <row r="316" spans="1:13" ht="13.5" thickTop="1">
      <c r="A316" s="250">
        <f t="shared" si="22"/>
        <v>816</v>
      </c>
      <c r="B316" s="136"/>
      <c r="C316" s="102"/>
      <c r="D316" s="102"/>
      <c r="E316" s="102"/>
      <c r="F316" s="147"/>
      <c r="G316" s="147"/>
      <c r="H316" s="147"/>
      <c r="I316" s="147"/>
      <c r="K316" s="147"/>
      <c r="L316" s="147"/>
      <c r="M316" s="225">
        <f t="shared" si="20"/>
        <v>311</v>
      </c>
    </row>
    <row r="317" spans="1:13">
      <c r="A317" s="250">
        <f t="shared" si="22"/>
        <v>817</v>
      </c>
      <c r="B317" s="136">
        <v>910</v>
      </c>
      <c r="C317" s="102" t="s">
        <v>424</v>
      </c>
      <c r="D317" s="102"/>
      <c r="E317" s="102"/>
      <c r="F317" s="147"/>
      <c r="G317" s="147"/>
      <c r="H317" s="147"/>
      <c r="I317" s="147"/>
      <c r="K317" s="147"/>
      <c r="L317" s="147"/>
      <c r="M317" s="225">
        <f t="shared" si="20"/>
        <v>312</v>
      </c>
    </row>
    <row r="318" spans="1:13">
      <c r="A318" s="250">
        <f t="shared" si="22"/>
        <v>818</v>
      </c>
      <c r="B318" s="227"/>
      <c r="C318" s="102"/>
      <c r="D318" s="102" t="s">
        <v>14</v>
      </c>
      <c r="E318" s="102"/>
      <c r="F318" s="147">
        <v>0</v>
      </c>
      <c r="G318" s="147">
        <v>0</v>
      </c>
      <c r="H318" s="147">
        <f>'PROJECTED EXPENSES'!AS189</f>
        <v>0</v>
      </c>
      <c r="I318" s="147">
        <f>'PROJECTED EXPENSES'!AT189</f>
        <v>0</v>
      </c>
      <c r="K318" s="147">
        <f t="shared" si="23"/>
        <v>0</v>
      </c>
      <c r="L318" s="147">
        <f>+K318-G318</f>
        <v>0</v>
      </c>
      <c r="M318" s="225">
        <f t="shared" si="20"/>
        <v>313</v>
      </c>
    </row>
    <row r="319" spans="1:13">
      <c r="A319" s="250">
        <f t="shared" si="22"/>
        <v>819</v>
      </c>
      <c r="B319" s="227"/>
      <c r="C319" s="102"/>
      <c r="D319" s="102" t="s">
        <v>24</v>
      </c>
      <c r="E319" s="102"/>
      <c r="F319" s="147">
        <v>0</v>
      </c>
      <c r="G319" s="147">
        <v>0</v>
      </c>
      <c r="H319" s="147">
        <f>'PROJECTED EXPENSES'!AS190</f>
        <v>0</v>
      </c>
      <c r="I319" s="147">
        <f>'PROJECTED EXPENSES'!AT190</f>
        <v>0</v>
      </c>
      <c r="K319" s="153">
        <f t="shared" si="23"/>
        <v>0</v>
      </c>
      <c r="L319" s="147">
        <f>+K319-G319</f>
        <v>0</v>
      </c>
      <c r="M319" s="225">
        <f t="shared" si="20"/>
        <v>314</v>
      </c>
    </row>
    <row r="320" spans="1:13" ht="13.5" thickBot="1">
      <c r="A320" s="250">
        <f t="shared" si="22"/>
        <v>820</v>
      </c>
      <c r="B320" s="227"/>
      <c r="C320" s="102"/>
      <c r="D320" s="102" t="s">
        <v>170</v>
      </c>
      <c r="E320" s="102"/>
      <c r="F320" s="148">
        <f>SUM(F318:F319)</f>
        <v>0</v>
      </c>
      <c r="G320" s="148">
        <v>0</v>
      </c>
      <c r="H320" s="148">
        <f>SUM(H318:H319)</f>
        <v>0</v>
      </c>
      <c r="I320" s="148">
        <f>SUM(I318:I319)</f>
        <v>0</v>
      </c>
      <c r="K320" s="148">
        <f t="shared" ref="K320:K351" si="27">HLOOKUP($K$6,EXPENSESCENARIO,M320,FALSE)</f>
        <v>0</v>
      </c>
      <c r="L320" s="148">
        <f>+K320-G320</f>
        <v>0</v>
      </c>
      <c r="M320" s="225">
        <f t="shared" si="20"/>
        <v>315</v>
      </c>
    </row>
    <row r="321" spans="1:13" ht="13.5" thickTop="1">
      <c r="A321" s="250">
        <f t="shared" si="22"/>
        <v>821</v>
      </c>
      <c r="B321" s="227"/>
      <c r="C321" s="102"/>
      <c r="D321" s="102"/>
      <c r="E321" s="102"/>
      <c r="F321" s="151"/>
      <c r="G321" s="151"/>
      <c r="H321" s="151"/>
      <c r="I321" s="151"/>
      <c r="K321" s="151"/>
      <c r="L321" s="151"/>
      <c r="M321" s="225">
        <f t="shared" si="20"/>
        <v>316</v>
      </c>
    </row>
    <row r="322" spans="1:13">
      <c r="A322" s="250">
        <f t="shared" si="22"/>
        <v>822</v>
      </c>
      <c r="B322" s="36" t="s">
        <v>650</v>
      </c>
      <c r="C322" s="102"/>
      <c r="D322" s="102"/>
      <c r="E322" s="102"/>
      <c r="F322" s="147"/>
      <c r="G322" s="147"/>
      <c r="H322" s="147"/>
      <c r="I322" s="147"/>
      <c r="K322" s="147"/>
      <c r="L322" s="147"/>
      <c r="M322" s="225">
        <f t="shared" si="20"/>
        <v>317</v>
      </c>
    </row>
    <row r="323" spans="1:13">
      <c r="A323" s="250">
        <f t="shared" si="22"/>
        <v>823</v>
      </c>
      <c r="B323" s="227"/>
      <c r="C323" s="208" t="s">
        <v>651</v>
      </c>
      <c r="D323" s="102"/>
      <c r="E323" s="102"/>
      <c r="F323" s="147">
        <f t="shared" ref="F323" si="28">F303+F308+F313+F318</f>
        <v>28367276.489999998</v>
      </c>
      <c r="G323" s="147">
        <v>24385723.18</v>
      </c>
      <c r="H323" s="147">
        <f t="shared" ref="H323:I324" si="29">H303+H308+H313+H318</f>
        <v>24553391.618671343</v>
      </c>
      <c r="I323" s="147">
        <f t="shared" si="29"/>
        <v>24855590.073723529</v>
      </c>
      <c r="K323" s="147">
        <f t="shared" si="27"/>
        <v>24855590.073723529</v>
      </c>
      <c r="L323" s="147">
        <f>+K323-G323</f>
        <v>469866.89372352883</v>
      </c>
      <c r="M323" s="225">
        <f t="shared" si="20"/>
        <v>318</v>
      </c>
    </row>
    <row r="324" spans="1:13">
      <c r="A324" s="250">
        <f t="shared" si="22"/>
        <v>824</v>
      </c>
      <c r="B324" s="227"/>
      <c r="C324" s="208" t="s">
        <v>652</v>
      </c>
      <c r="D324" s="102"/>
      <c r="E324" s="102"/>
      <c r="F324" s="147">
        <f t="shared" ref="F324" si="30">F304+F309+F314+F319</f>
        <v>274653.71999999997</v>
      </c>
      <c r="G324" s="147">
        <v>267402.03999999998</v>
      </c>
      <c r="H324" s="147">
        <f t="shared" si="29"/>
        <v>271357.71132999996</v>
      </c>
      <c r="I324" s="147">
        <f t="shared" si="29"/>
        <v>274943.79951024993</v>
      </c>
      <c r="K324" s="147">
        <f t="shared" si="27"/>
        <v>274943.79951024993</v>
      </c>
      <c r="L324" s="147">
        <f>+K324-G324</f>
        <v>7541.7595102499472</v>
      </c>
      <c r="M324" s="225">
        <f t="shared" si="20"/>
        <v>319</v>
      </c>
    </row>
    <row r="325" spans="1:13" ht="13.5" thickBot="1">
      <c r="A325" s="250">
        <f t="shared" si="22"/>
        <v>825</v>
      </c>
      <c r="B325" s="227"/>
      <c r="C325" s="102"/>
      <c r="D325" s="102"/>
      <c r="E325" s="102"/>
      <c r="F325" s="1239"/>
      <c r="G325" s="1239"/>
      <c r="H325" s="1239"/>
      <c r="I325" s="1239"/>
      <c r="K325" s="150"/>
      <c r="L325" s="150">
        <f>+K325-G325</f>
        <v>0</v>
      </c>
      <c r="M325" s="225">
        <f t="shared" si="20"/>
        <v>320</v>
      </c>
    </row>
    <row r="326" spans="1:13">
      <c r="A326" s="250">
        <f t="shared" si="22"/>
        <v>826</v>
      </c>
      <c r="B326" s="227"/>
      <c r="C326" s="49" t="s">
        <v>650</v>
      </c>
      <c r="D326" s="102"/>
      <c r="E326" s="102"/>
      <c r="F326" s="147">
        <f>SUM(F323:F325)</f>
        <v>28641930.209999997</v>
      </c>
      <c r="G326" s="147">
        <v>24653125.219999999</v>
      </c>
      <c r="H326" s="147">
        <f>SUM(H323:H325)</f>
        <v>24824749.330001343</v>
      </c>
      <c r="I326" s="147">
        <f>SUM(I323:I325)</f>
        <v>25130533.87323378</v>
      </c>
      <c r="K326" s="147">
        <f t="shared" si="27"/>
        <v>25130533.87323378</v>
      </c>
      <c r="L326" s="147">
        <f>+K326-G326</f>
        <v>477408.65323378146</v>
      </c>
      <c r="M326" s="225">
        <f t="shared" si="20"/>
        <v>321</v>
      </c>
    </row>
    <row r="327" spans="1:13">
      <c r="A327" s="250">
        <f t="shared" si="22"/>
        <v>827</v>
      </c>
      <c r="B327" s="227"/>
      <c r="C327" s="102"/>
      <c r="D327" s="102"/>
      <c r="E327" s="102"/>
      <c r="F327" s="147"/>
      <c r="G327" s="147"/>
      <c r="H327" s="147"/>
      <c r="I327" s="147"/>
      <c r="K327" s="147"/>
      <c r="L327" s="147"/>
      <c r="M327" s="225">
        <f t="shared" si="20"/>
        <v>322</v>
      </c>
    </row>
    <row r="328" spans="1:13">
      <c r="A328" s="250">
        <f t="shared" si="22"/>
        <v>828</v>
      </c>
      <c r="B328" s="36" t="s">
        <v>425</v>
      </c>
      <c r="C328" s="102"/>
      <c r="D328" s="102"/>
      <c r="E328" s="102"/>
      <c r="F328" s="147"/>
      <c r="G328" s="147"/>
      <c r="H328" s="147"/>
      <c r="I328" s="147"/>
      <c r="K328" s="147"/>
      <c r="L328" s="147"/>
      <c r="M328" s="225">
        <f t="shared" si="20"/>
        <v>323</v>
      </c>
    </row>
    <row r="329" spans="1:13">
      <c r="A329" s="250">
        <f t="shared" si="22"/>
        <v>829</v>
      </c>
      <c r="B329" s="227"/>
      <c r="C329" s="102"/>
      <c r="D329" s="102"/>
      <c r="E329" s="102"/>
      <c r="F329" s="147"/>
      <c r="G329" s="147"/>
      <c r="H329" s="147"/>
      <c r="I329" s="147"/>
      <c r="K329" s="147"/>
      <c r="L329" s="147"/>
      <c r="M329" s="225">
        <f t="shared" si="20"/>
        <v>324</v>
      </c>
    </row>
    <row r="330" spans="1:13">
      <c r="A330" s="250">
        <f t="shared" si="22"/>
        <v>830</v>
      </c>
      <c r="B330" s="136">
        <v>920</v>
      </c>
      <c r="C330" s="102" t="s">
        <v>426</v>
      </c>
      <c r="D330" s="102"/>
      <c r="E330" s="102"/>
      <c r="F330" s="147"/>
      <c r="G330" s="147"/>
      <c r="H330" s="147"/>
      <c r="I330" s="147"/>
      <c r="K330" s="147"/>
      <c r="L330" s="147"/>
      <c r="M330" s="225">
        <f t="shared" si="20"/>
        <v>325</v>
      </c>
    </row>
    <row r="331" spans="1:13">
      <c r="A331" s="250">
        <f t="shared" si="22"/>
        <v>831</v>
      </c>
      <c r="B331" s="227"/>
      <c r="C331" s="102" t="s">
        <v>14</v>
      </c>
      <c r="D331" s="102"/>
      <c r="E331" s="102"/>
      <c r="F331" s="147">
        <v>5822805.0699999994</v>
      </c>
      <c r="G331" s="147">
        <v>4406724.58</v>
      </c>
      <c r="H331" s="147">
        <f>'PROJECTED EXPENSES'!AS202</f>
        <v>4152372.9339852436</v>
      </c>
      <c r="I331" s="147">
        <f>'PROJECTED EXPENSES'!AT202</f>
        <v>4177662.7726683491</v>
      </c>
      <c r="K331" s="147">
        <f t="shared" si="27"/>
        <v>4177662.7726683491</v>
      </c>
      <c r="L331" s="147">
        <f>+K331-G331</f>
        <v>-229061.80733165098</v>
      </c>
      <c r="M331" s="225">
        <f t="shared" si="20"/>
        <v>326</v>
      </c>
    </row>
    <row r="332" spans="1:13">
      <c r="A332" s="250">
        <f t="shared" si="22"/>
        <v>832</v>
      </c>
      <c r="B332" s="227"/>
      <c r="C332" s="102" t="s">
        <v>24</v>
      </c>
      <c r="D332" s="102"/>
      <c r="E332" s="102"/>
      <c r="F332" s="147">
        <v>430886.24</v>
      </c>
      <c r="G332" s="147">
        <v>116002.97</v>
      </c>
      <c r="H332" s="147">
        <f>'PROJECTED EXPENSES'!AS203</f>
        <v>109307.39694421795</v>
      </c>
      <c r="I332" s="147">
        <f>'PROJECTED EXPENSES'!AT203</f>
        <v>109973.12867870751</v>
      </c>
      <c r="K332" s="147">
        <f t="shared" si="27"/>
        <v>109973.12867870751</v>
      </c>
      <c r="L332" s="147">
        <f>+K332-G332</f>
        <v>-6029.8413212924934</v>
      </c>
      <c r="M332" s="225">
        <f t="shared" si="20"/>
        <v>327</v>
      </c>
    </row>
    <row r="333" spans="1:13" ht="13.5" thickBot="1">
      <c r="A333" s="250">
        <f t="shared" si="22"/>
        <v>833</v>
      </c>
      <c r="B333" s="136"/>
      <c r="C333" s="102" t="s">
        <v>170</v>
      </c>
      <c r="D333" s="102"/>
      <c r="E333" s="102"/>
      <c r="F333" s="148">
        <f>SUM(F331:F332)</f>
        <v>6253691.3099999996</v>
      </c>
      <c r="G333" s="148">
        <v>4522727.55</v>
      </c>
      <c r="H333" s="148">
        <f>SUM(H331:H332)</f>
        <v>4261680.3309294619</v>
      </c>
      <c r="I333" s="148">
        <f>SUM(I331:I332)</f>
        <v>4287635.901347057</v>
      </c>
      <c r="K333" s="148">
        <f t="shared" si="27"/>
        <v>4287635.901347057</v>
      </c>
      <c r="L333" s="148">
        <f>+K333-G333</f>
        <v>-235091.64865294285</v>
      </c>
      <c r="M333" s="225">
        <f t="shared" si="20"/>
        <v>328</v>
      </c>
    </row>
    <row r="334" spans="1:13" ht="13.5" thickTop="1">
      <c r="A334" s="250">
        <f t="shared" si="22"/>
        <v>834</v>
      </c>
      <c r="B334" s="136">
        <v>921</v>
      </c>
      <c r="C334" s="102" t="s">
        <v>427</v>
      </c>
      <c r="D334" s="102"/>
      <c r="E334" s="102"/>
      <c r="F334" s="147"/>
      <c r="G334" s="147"/>
      <c r="H334" s="147"/>
      <c r="I334" s="147"/>
      <c r="K334" s="147"/>
      <c r="L334" s="147"/>
      <c r="M334" s="225">
        <f t="shared" si="20"/>
        <v>329</v>
      </c>
    </row>
    <row r="335" spans="1:13">
      <c r="A335" s="250">
        <f t="shared" si="22"/>
        <v>835</v>
      </c>
      <c r="B335" s="136"/>
      <c r="C335" s="102" t="s">
        <v>14</v>
      </c>
      <c r="D335" s="102"/>
      <c r="E335" s="102"/>
      <c r="F335" s="147">
        <v>39122256.109999999</v>
      </c>
      <c r="G335" s="147">
        <v>32693295.829999998</v>
      </c>
      <c r="H335" s="147">
        <f>'PROJECTED EXPENSES'!AS206</f>
        <v>31695288.80654199</v>
      </c>
      <c r="I335" s="147">
        <f>'PROJECTED EXPENSES'!AT206</f>
        <v>31986419.547477793</v>
      </c>
      <c r="K335" s="147">
        <f t="shared" si="27"/>
        <v>31986419.547477793</v>
      </c>
      <c r="L335" s="147">
        <f t="shared" ref="L335:L341" si="31">+K335-G335</f>
        <v>-706876.28252220526</v>
      </c>
      <c r="M335" s="225">
        <f t="shared" si="20"/>
        <v>330</v>
      </c>
    </row>
    <row r="336" spans="1:13">
      <c r="A336" s="250">
        <f t="shared" si="22"/>
        <v>836</v>
      </c>
      <c r="B336" s="136"/>
      <c r="C336" s="102" t="s">
        <v>24</v>
      </c>
      <c r="D336" s="102"/>
      <c r="E336" s="102"/>
      <c r="F336" s="147">
        <v>1518305.2900000003</v>
      </c>
      <c r="G336" s="147">
        <v>1489434.61</v>
      </c>
      <c r="H336" s="147">
        <f>'PROJECTED EXPENSES'!AS207</f>
        <v>1511233.8755499998</v>
      </c>
      <c r="I336" s="147">
        <f>'PROJECTED EXPENSES'!AT207</f>
        <v>1532391.1498077</v>
      </c>
      <c r="K336" s="147">
        <f t="shared" si="27"/>
        <v>1532391.1498077</v>
      </c>
      <c r="L336" s="147">
        <f t="shared" si="31"/>
        <v>42956.539807699854</v>
      </c>
      <c r="M336" s="225">
        <f t="shared" si="20"/>
        <v>331</v>
      </c>
    </row>
    <row r="337" spans="1:13" ht="13.5" thickBot="1">
      <c r="A337" s="250">
        <f t="shared" si="22"/>
        <v>837</v>
      </c>
      <c r="B337" s="136"/>
      <c r="C337" s="102" t="s">
        <v>170</v>
      </c>
      <c r="D337" s="102"/>
      <c r="E337" s="102"/>
      <c r="F337" s="148">
        <f>SUM(F335:F336)</f>
        <v>40640561.399999999</v>
      </c>
      <c r="G337" s="148">
        <v>34182730.439999998</v>
      </c>
      <c r="H337" s="148">
        <f>SUM(H335:H336)</f>
        <v>33206522.682091989</v>
      </c>
      <c r="I337" s="148">
        <f>SUM(I335:I336)</f>
        <v>33518810.697285492</v>
      </c>
      <c r="K337" s="148">
        <f t="shared" si="27"/>
        <v>33518810.697285492</v>
      </c>
      <c r="L337" s="148">
        <f t="shared" si="31"/>
        <v>-663919.74271450564</v>
      </c>
      <c r="M337" s="225">
        <f t="shared" si="20"/>
        <v>332</v>
      </c>
    </row>
    <row r="338" spans="1:13" ht="13.5" thickTop="1">
      <c r="A338" s="250">
        <f t="shared" si="22"/>
        <v>838</v>
      </c>
      <c r="B338" s="136">
        <v>922</v>
      </c>
      <c r="C338" s="102" t="s">
        <v>428</v>
      </c>
      <c r="D338" s="102"/>
      <c r="E338" s="102"/>
      <c r="F338" s="147"/>
      <c r="G338" s="147"/>
      <c r="H338" s="147"/>
      <c r="I338" s="147"/>
      <c r="K338" s="147"/>
      <c r="L338" s="147">
        <f t="shared" si="31"/>
        <v>0</v>
      </c>
      <c r="M338" s="225">
        <f t="shared" si="20"/>
        <v>333</v>
      </c>
    </row>
    <row r="339" spans="1:13">
      <c r="A339" s="250">
        <f t="shared" si="22"/>
        <v>839</v>
      </c>
      <c r="B339" s="136"/>
      <c r="C339" s="102" t="s">
        <v>14</v>
      </c>
      <c r="D339" s="102"/>
      <c r="E339" s="102"/>
      <c r="F339" s="147">
        <v>-3192922.1599999997</v>
      </c>
      <c r="G339" s="147">
        <v>-3802906.8900000006</v>
      </c>
      <c r="H339" s="147">
        <f>'PROJECTED EXPENSES'!AS210</f>
        <v>-3802906.8900000006</v>
      </c>
      <c r="I339" s="147">
        <f>'PROJECTED EXPENSES'!AT210</f>
        <v>-3802906.8900000006</v>
      </c>
      <c r="K339" s="147">
        <f t="shared" si="27"/>
        <v>-3802906.8900000006</v>
      </c>
      <c r="L339" s="147">
        <f t="shared" si="31"/>
        <v>0</v>
      </c>
      <c r="M339" s="225">
        <f t="shared" ref="M339:M402" si="32">+M338+1</f>
        <v>334</v>
      </c>
    </row>
    <row r="340" spans="1:13">
      <c r="A340" s="250">
        <f t="shared" si="22"/>
        <v>840</v>
      </c>
      <c r="B340" s="136"/>
      <c r="C340" s="102" t="s">
        <v>24</v>
      </c>
      <c r="D340" s="102"/>
      <c r="E340" s="102"/>
      <c r="F340" s="147">
        <v>-111884.98000000001</v>
      </c>
      <c r="G340" s="147">
        <v>-125232.56</v>
      </c>
      <c r="H340" s="147">
        <f>'PROJECTED EXPENSES'!AS211</f>
        <v>-125232.56</v>
      </c>
      <c r="I340" s="147">
        <f>'PROJECTED EXPENSES'!AT211</f>
        <v>-125232.56</v>
      </c>
      <c r="K340" s="147">
        <f t="shared" si="27"/>
        <v>-125232.56</v>
      </c>
      <c r="L340" s="147">
        <f t="shared" si="31"/>
        <v>0</v>
      </c>
      <c r="M340" s="225">
        <f t="shared" si="32"/>
        <v>335</v>
      </c>
    </row>
    <row r="341" spans="1:13" ht="13.5" thickBot="1">
      <c r="A341" s="250">
        <f t="shared" si="22"/>
        <v>841</v>
      </c>
      <c r="B341" s="136"/>
      <c r="C341" s="102" t="s">
        <v>170</v>
      </c>
      <c r="D341" s="102"/>
      <c r="E341" s="102"/>
      <c r="F341" s="148">
        <f>SUM(F339:F340)</f>
        <v>-3304807.1399999997</v>
      </c>
      <c r="G341" s="148">
        <v>-3928139.4500000007</v>
      </c>
      <c r="H341" s="148">
        <f>SUM(H339:H340)</f>
        <v>-3928139.4500000007</v>
      </c>
      <c r="I341" s="148">
        <f>SUM(I339:I340)</f>
        <v>-3928139.4500000007</v>
      </c>
      <c r="K341" s="148">
        <f t="shared" si="27"/>
        <v>-3928139.4500000007</v>
      </c>
      <c r="L341" s="148">
        <f t="shared" si="31"/>
        <v>0</v>
      </c>
      <c r="M341" s="225">
        <f t="shared" si="32"/>
        <v>336</v>
      </c>
    </row>
    <row r="342" spans="1:13" ht="13.5" thickTop="1">
      <c r="A342" s="250">
        <f t="shared" si="22"/>
        <v>842</v>
      </c>
      <c r="B342" s="136">
        <v>923</v>
      </c>
      <c r="C342" s="102" t="s">
        <v>429</v>
      </c>
      <c r="D342" s="102"/>
      <c r="E342" s="102"/>
      <c r="F342" s="147"/>
      <c r="G342" s="147"/>
      <c r="H342" s="147"/>
      <c r="I342" s="147"/>
      <c r="K342" s="147"/>
      <c r="L342" s="147"/>
      <c r="M342" s="225">
        <f t="shared" si="32"/>
        <v>337</v>
      </c>
    </row>
    <row r="343" spans="1:13">
      <c r="A343" s="250">
        <f t="shared" ref="A343:A431" si="33">+A342+1</f>
        <v>843</v>
      </c>
      <c r="B343" s="136"/>
      <c r="C343" s="102" t="s">
        <v>14</v>
      </c>
      <c r="D343" s="102"/>
      <c r="E343" s="102"/>
      <c r="F343" s="147">
        <v>1939596.06</v>
      </c>
      <c r="G343" s="147">
        <v>1318004.83</v>
      </c>
      <c r="H343" s="147">
        <f>'PROJECTED EXPENSES'!AS214</f>
        <v>1332502.88313</v>
      </c>
      <c r="I343" s="147">
        <f>'PROJECTED EXPENSES'!AT214</f>
        <v>1363150.4494419899</v>
      </c>
      <c r="K343" s="147">
        <f t="shared" si="27"/>
        <v>1363150.4494419899</v>
      </c>
      <c r="L343" s="147">
        <f>+K343-G343</f>
        <v>45145.619441989809</v>
      </c>
      <c r="M343" s="225">
        <f t="shared" si="32"/>
        <v>338</v>
      </c>
    </row>
    <row r="344" spans="1:13">
      <c r="A344" s="250">
        <f t="shared" si="33"/>
        <v>844</v>
      </c>
      <c r="B344" s="136"/>
      <c r="C344" s="102" t="s">
        <v>24</v>
      </c>
      <c r="D344" s="102"/>
      <c r="E344" s="102"/>
      <c r="F344" s="147">
        <v>122940.42000000001</v>
      </c>
      <c r="G344" s="147">
        <v>81652.27</v>
      </c>
      <c r="H344" s="147">
        <f>'PROJECTED EXPENSES'!AS215</f>
        <v>82550.444969999997</v>
      </c>
      <c r="I344" s="147">
        <f>'PROJECTED EXPENSES'!AT215</f>
        <v>84449.105204309992</v>
      </c>
      <c r="K344" s="147">
        <f t="shared" si="27"/>
        <v>84449.105204309992</v>
      </c>
      <c r="L344" s="147">
        <f>+K344-G344</f>
        <v>2796.8352043099876</v>
      </c>
      <c r="M344" s="225">
        <f t="shared" si="32"/>
        <v>339</v>
      </c>
    </row>
    <row r="345" spans="1:13" ht="13.5" thickBot="1">
      <c r="A345" s="250">
        <f t="shared" si="33"/>
        <v>845</v>
      </c>
      <c r="B345" s="136"/>
      <c r="C345" s="102" t="s">
        <v>170</v>
      </c>
      <c r="D345" s="102"/>
      <c r="E345" s="102"/>
      <c r="F345" s="148">
        <f>SUM(F343:F344)</f>
        <v>2062536.48</v>
      </c>
      <c r="G345" s="148">
        <v>1399657.1</v>
      </c>
      <c r="H345" s="148">
        <f>SUM(H343:H344)</f>
        <v>1415053.3281</v>
      </c>
      <c r="I345" s="148">
        <f>SUM(I343:I344)</f>
        <v>1447599.5546462999</v>
      </c>
      <c r="K345" s="148">
        <f t="shared" si="27"/>
        <v>1447599.5546462999</v>
      </c>
      <c r="L345" s="148">
        <f>+K345-G345</f>
        <v>47942.454646299826</v>
      </c>
      <c r="M345" s="225">
        <f t="shared" si="32"/>
        <v>340</v>
      </c>
    </row>
    <row r="346" spans="1:13" ht="13.5" thickTop="1">
      <c r="A346" s="250">
        <f t="shared" si="33"/>
        <v>846</v>
      </c>
      <c r="B346" s="136">
        <v>924</v>
      </c>
      <c r="C346" s="102" t="s">
        <v>430</v>
      </c>
      <c r="D346" s="102"/>
      <c r="E346" s="102"/>
      <c r="F346" s="147"/>
      <c r="G346" s="147"/>
      <c r="H346" s="147"/>
      <c r="I346" s="147"/>
      <c r="K346" s="147"/>
      <c r="L346" s="147"/>
      <c r="M346" s="225">
        <f t="shared" si="32"/>
        <v>341</v>
      </c>
    </row>
    <row r="347" spans="1:13">
      <c r="A347" s="250">
        <f t="shared" si="33"/>
        <v>847</v>
      </c>
      <c r="B347" s="136"/>
      <c r="C347" s="102" t="s">
        <v>14</v>
      </c>
      <c r="D347" s="102"/>
      <c r="E347" s="102"/>
      <c r="F347" s="147">
        <v>396368.99</v>
      </c>
      <c r="G347" s="147">
        <v>304598</v>
      </c>
      <c r="H347" s="147">
        <f>'PROJECTED EXPENSES'!AS218</f>
        <v>311299.15600000008</v>
      </c>
      <c r="I347" s="147">
        <f>'PROJECTED EXPENSES'!AT218</f>
        <v>318459.03658799996</v>
      </c>
      <c r="K347" s="147">
        <f t="shared" si="27"/>
        <v>318459.03658799996</v>
      </c>
      <c r="L347" s="147">
        <f>+K347-G347</f>
        <v>13861.036587999959</v>
      </c>
      <c r="M347" s="225">
        <f t="shared" si="32"/>
        <v>342</v>
      </c>
    </row>
    <row r="348" spans="1:13">
      <c r="A348" s="250">
        <f t="shared" si="33"/>
        <v>848</v>
      </c>
      <c r="B348" s="136"/>
      <c r="C348" s="102" t="s">
        <v>24</v>
      </c>
      <c r="D348" s="102"/>
      <c r="E348" s="102"/>
      <c r="F348" s="147">
        <v>13921.29</v>
      </c>
      <c r="G348" s="147">
        <v>10049.430000000004</v>
      </c>
      <c r="H348" s="147">
        <f>'PROJECTED EXPENSES'!AS219</f>
        <v>10270.517460000001</v>
      </c>
      <c r="I348" s="147">
        <f>'PROJECTED EXPENSES'!AT219</f>
        <v>10506.739361579999</v>
      </c>
      <c r="K348" s="147">
        <f t="shared" si="27"/>
        <v>10506.739361579999</v>
      </c>
      <c r="L348" s="147">
        <f>+K348-G348</f>
        <v>457.30936157999531</v>
      </c>
      <c r="M348" s="225">
        <f t="shared" si="32"/>
        <v>343</v>
      </c>
    </row>
    <row r="349" spans="1:13" ht="13.5" thickBot="1">
      <c r="A349" s="250">
        <f t="shared" si="33"/>
        <v>849</v>
      </c>
      <c r="B349" s="136"/>
      <c r="C349" s="102" t="s">
        <v>170</v>
      </c>
      <c r="D349" s="102"/>
      <c r="E349" s="102"/>
      <c r="F349" s="148">
        <f>SUM(F347:F348)</f>
        <v>410290.27999999997</v>
      </c>
      <c r="G349" s="148">
        <v>314647.43</v>
      </c>
      <c r="H349" s="148">
        <f>SUM(H347:H348)</f>
        <v>321569.67346000008</v>
      </c>
      <c r="I349" s="148">
        <f>SUM(I347:I348)</f>
        <v>328965.77594957995</v>
      </c>
      <c r="K349" s="148">
        <f t="shared" si="27"/>
        <v>328965.77594957995</v>
      </c>
      <c r="L349" s="148">
        <f>+K349-G349</f>
        <v>14318.345949579962</v>
      </c>
      <c r="M349" s="225">
        <f t="shared" si="32"/>
        <v>344</v>
      </c>
    </row>
    <row r="350" spans="1:13" ht="13.5" thickTop="1">
      <c r="A350" s="250">
        <f t="shared" si="33"/>
        <v>850</v>
      </c>
      <c r="B350" s="136">
        <v>925</v>
      </c>
      <c r="C350" s="102" t="s">
        <v>431</v>
      </c>
      <c r="D350" s="102"/>
      <c r="E350" s="102"/>
      <c r="F350" s="147"/>
      <c r="G350" s="147"/>
      <c r="H350" s="147"/>
      <c r="I350" s="147"/>
      <c r="K350" s="147"/>
      <c r="L350" s="147"/>
      <c r="M350" s="225">
        <f t="shared" si="32"/>
        <v>345</v>
      </c>
    </row>
    <row r="351" spans="1:13">
      <c r="A351" s="250">
        <f t="shared" si="33"/>
        <v>851</v>
      </c>
      <c r="B351" s="136"/>
      <c r="C351" s="102" t="s">
        <v>14</v>
      </c>
      <c r="D351" s="102"/>
      <c r="E351" s="102"/>
      <c r="F351" s="147">
        <v>63273.86</v>
      </c>
      <c r="G351" s="147">
        <v>11516.189999999999</v>
      </c>
      <c r="H351" s="147">
        <f>'PROJECTED EXPENSES'!AS222</f>
        <v>10838.474363744597</v>
      </c>
      <c r="I351" s="147">
        <f>'PROJECTED EXPENSES'!AT222</f>
        <v>10904.485599389323</v>
      </c>
      <c r="K351" s="147">
        <f t="shared" si="27"/>
        <v>10904.485599389323</v>
      </c>
      <c r="L351" s="147">
        <f>+K351-G351</f>
        <v>-611.70440061067529</v>
      </c>
      <c r="M351" s="225">
        <f t="shared" si="32"/>
        <v>346</v>
      </c>
    </row>
    <row r="352" spans="1:13">
      <c r="A352" s="250">
        <f t="shared" si="33"/>
        <v>852</v>
      </c>
      <c r="B352" s="136"/>
      <c r="C352" s="102" t="s">
        <v>24</v>
      </c>
      <c r="D352" s="102"/>
      <c r="E352" s="102"/>
      <c r="F352" s="147">
        <v>10033.099999999999</v>
      </c>
      <c r="G352" s="147">
        <v>224.67000000000002</v>
      </c>
      <c r="H352" s="147">
        <f>'PROJECTED EXPENSES'!AS223</f>
        <v>224.71517775154456</v>
      </c>
      <c r="I352" s="147">
        <f>'PROJECTED EXPENSES'!AT223</f>
        <v>226.08379533125893</v>
      </c>
      <c r="K352" s="147">
        <f t="shared" ref="K352:K383" si="34">HLOOKUP($K$6,EXPENSESCENARIO,M352,FALSE)</f>
        <v>226.08379533125893</v>
      </c>
      <c r="L352" s="147">
        <f>+K352-G352</f>
        <v>1.4137953312589104</v>
      </c>
      <c r="M352" s="225">
        <f t="shared" si="32"/>
        <v>347</v>
      </c>
    </row>
    <row r="353" spans="1:13" ht="13.5" thickBot="1">
      <c r="A353" s="250">
        <f t="shared" si="33"/>
        <v>853</v>
      </c>
      <c r="B353" s="136"/>
      <c r="C353" s="102" t="s">
        <v>170</v>
      </c>
      <c r="D353" s="102"/>
      <c r="E353" s="102"/>
      <c r="F353" s="148">
        <f>SUM(F351:F352)</f>
        <v>73306.959999999992</v>
      </c>
      <c r="G353" s="148">
        <v>11740.859999999999</v>
      </c>
      <c r="H353" s="148">
        <f>SUM(H351:H352)</f>
        <v>11063.189541496142</v>
      </c>
      <c r="I353" s="148">
        <f>SUM(I351:I352)</f>
        <v>11130.569394720582</v>
      </c>
      <c r="K353" s="148">
        <f t="shared" si="34"/>
        <v>11130.569394720582</v>
      </c>
      <c r="L353" s="148">
        <f>+K353-G353</f>
        <v>-610.29060527941692</v>
      </c>
      <c r="M353" s="225">
        <f t="shared" si="32"/>
        <v>348</v>
      </c>
    </row>
    <row r="354" spans="1:13" ht="13.5" thickTop="1">
      <c r="A354" s="250">
        <f t="shared" si="33"/>
        <v>854</v>
      </c>
      <c r="B354" s="136">
        <v>926</v>
      </c>
      <c r="C354" s="102" t="s">
        <v>432</v>
      </c>
      <c r="D354" s="102"/>
      <c r="E354" s="102"/>
      <c r="F354" s="147"/>
      <c r="G354" s="147"/>
      <c r="H354" s="147"/>
      <c r="I354" s="147"/>
      <c r="K354" s="147"/>
      <c r="L354" s="147"/>
      <c r="M354" s="225">
        <f t="shared" si="32"/>
        <v>349</v>
      </c>
    </row>
    <row r="355" spans="1:13">
      <c r="A355" s="250">
        <f t="shared" si="33"/>
        <v>855</v>
      </c>
      <c r="B355" s="136"/>
      <c r="C355" s="102" t="s">
        <v>14</v>
      </c>
      <c r="D355" s="102"/>
      <c r="E355" s="102"/>
      <c r="F355" s="147">
        <v>1321930.6399999999</v>
      </c>
      <c r="G355" s="147">
        <v>162902.46000000002</v>
      </c>
      <c r="H355" s="147">
        <f>'PROJECTED EXPENSES'!AS226</f>
        <v>153376.95683421099</v>
      </c>
      <c r="I355" s="147">
        <f>'PROJECTED EXPENSES'!AT226</f>
        <v>154311.09222082238</v>
      </c>
      <c r="K355" s="147">
        <f t="shared" si="34"/>
        <v>154311.09222082238</v>
      </c>
      <c r="L355" s="147">
        <f>+K355-G355</f>
        <v>-8591.3677791776427</v>
      </c>
      <c r="M355" s="225">
        <f t="shared" si="32"/>
        <v>350</v>
      </c>
    </row>
    <row r="356" spans="1:13">
      <c r="A356" s="250">
        <f t="shared" si="33"/>
        <v>856</v>
      </c>
      <c r="B356" s="136"/>
      <c r="C356" s="102" t="s">
        <v>24</v>
      </c>
      <c r="D356" s="102"/>
      <c r="E356" s="102"/>
      <c r="F356" s="147">
        <v>209569.38000000003</v>
      </c>
      <c r="G356" s="147">
        <v>4488.2200000000021</v>
      </c>
      <c r="H356" s="147">
        <f>'PROJECTED EXPENSES'!AS227</f>
        <v>4352.103926238181</v>
      </c>
      <c r="I356" s="147">
        <f>'PROJECTED EXPENSES'!AT227</f>
        <v>4378.6102174544285</v>
      </c>
      <c r="K356" s="147">
        <f t="shared" si="34"/>
        <v>4378.6102174544285</v>
      </c>
      <c r="L356" s="147">
        <f>+K356-G356</f>
        <v>-109.60978254557358</v>
      </c>
      <c r="M356" s="225">
        <f t="shared" si="32"/>
        <v>351</v>
      </c>
    </row>
    <row r="357" spans="1:13" ht="13.5" thickBot="1">
      <c r="A357" s="250">
        <f t="shared" si="33"/>
        <v>857</v>
      </c>
      <c r="B357" s="136"/>
      <c r="C357" s="102" t="s">
        <v>170</v>
      </c>
      <c r="D357" s="102"/>
      <c r="E357" s="102"/>
      <c r="F357" s="148">
        <f>SUM(F355:F356)</f>
        <v>1531500.02</v>
      </c>
      <c r="G357" s="148">
        <v>167390.68000000002</v>
      </c>
      <c r="H357" s="148">
        <f>SUM(H355:H356)</f>
        <v>157729.06076044915</v>
      </c>
      <c r="I357" s="148">
        <f>SUM(I355:I356)</f>
        <v>158689.70243827681</v>
      </c>
      <c r="K357" s="148">
        <f t="shared" si="34"/>
        <v>158689.70243827681</v>
      </c>
      <c r="L357" s="148">
        <f>+K357-G357</f>
        <v>-8700.9775617232081</v>
      </c>
      <c r="M357" s="225">
        <f t="shared" si="32"/>
        <v>352</v>
      </c>
    </row>
    <row r="358" spans="1:13" ht="13.5" thickTop="1">
      <c r="A358" s="250">
        <f t="shared" si="33"/>
        <v>858</v>
      </c>
      <c r="B358" s="136" t="s">
        <v>826</v>
      </c>
      <c r="C358" s="102" t="s">
        <v>827</v>
      </c>
      <c r="D358" s="102"/>
      <c r="E358" s="102"/>
      <c r="F358" s="147"/>
      <c r="G358" s="147"/>
      <c r="H358" s="147"/>
      <c r="I358" s="147"/>
      <c r="K358" s="147"/>
      <c r="L358" s="147"/>
      <c r="M358" s="225">
        <f t="shared" si="32"/>
        <v>353</v>
      </c>
    </row>
    <row r="359" spans="1:13">
      <c r="A359" s="250">
        <f t="shared" si="33"/>
        <v>859</v>
      </c>
      <c r="B359" s="136"/>
      <c r="C359" s="102" t="s">
        <v>14</v>
      </c>
      <c r="D359" s="102"/>
      <c r="E359" s="102"/>
      <c r="F359" s="147">
        <v>0</v>
      </c>
      <c r="G359" s="147">
        <v>0</v>
      </c>
      <c r="H359" s="147">
        <f>'PROJECTED EXPENSES'!AS230</f>
        <v>0</v>
      </c>
      <c r="I359" s="147">
        <f>'PROJECTED EXPENSES'!AT230</f>
        <v>0</v>
      </c>
      <c r="K359" s="147">
        <f t="shared" si="34"/>
        <v>0</v>
      </c>
      <c r="L359" s="147">
        <f t="shared" ref="L359:L383" si="35">+K359-G359</f>
        <v>0</v>
      </c>
      <c r="M359" s="225">
        <f t="shared" si="32"/>
        <v>354</v>
      </c>
    </row>
    <row r="360" spans="1:13">
      <c r="A360" s="250">
        <f t="shared" si="33"/>
        <v>860</v>
      </c>
      <c r="B360" s="136"/>
      <c r="C360" s="102" t="s">
        <v>24</v>
      </c>
      <c r="D360" s="102"/>
      <c r="E360" s="102"/>
      <c r="F360" s="147">
        <v>0</v>
      </c>
      <c r="G360" s="147">
        <v>0</v>
      </c>
      <c r="H360" s="147">
        <f>'PROJECTED EXPENSES'!AS231</f>
        <v>0</v>
      </c>
      <c r="I360" s="147">
        <f>'PROJECTED EXPENSES'!AT231</f>
        <v>0</v>
      </c>
      <c r="K360" s="147">
        <f t="shared" si="34"/>
        <v>0</v>
      </c>
      <c r="L360" s="147">
        <f t="shared" si="35"/>
        <v>0</v>
      </c>
      <c r="M360" s="225">
        <f t="shared" si="32"/>
        <v>355</v>
      </c>
    </row>
    <row r="361" spans="1:13" ht="13.5" thickBot="1">
      <c r="A361" s="250">
        <f t="shared" si="33"/>
        <v>861</v>
      </c>
      <c r="B361" s="136"/>
      <c r="C361" s="102" t="s">
        <v>170</v>
      </c>
      <c r="D361" s="102"/>
      <c r="E361" s="102"/>
      <c r="F361" s="148">
        <f>SUM(F359:F360)</f>
        <v>0</v>
      </c>
      <c r="G361" s="148">
        <v>0</v>
      </c>
      <c r="H361" s="148">
        <f>SUM(H359:H360)</f>
        <v>0</v>
      </c>
      <c r="I361" s="148">
        <f>SUM(I359:I360)</f>
        <v>0</v>
      </c>
      <c r="K361" s="148">
        <f t="shared" si="34"/>
        <v>0</v>
      </c>
      <c r="L361" s="148">
        <f t="shared" si="35"/>
        <v>0</v>
      </c>
      <c r="M361" s="225">
        <f t="shared" si="32"/>
        <v>356</v>
      </c>
    </row>
    <row r="362" spans="1:13" ht="13.5" thickTop="1">
      <c r="A362" s="250">
        <f t="shared" si="33"/>
        <v>862</v>
      </c>
      <c r="B362" s="136">
        <v>9301</v>
      </c>
      <c r="C362" s="102" t="s">
        <v>433</v>
      </c>
      <c r="D362" s="102"/>
      <c r="E362" s="102"/>
      <c r="F362" s="147"/>
      <c r="G362" s="147"/>
      <c r="H362" s="147"/>
      <c r="I362" s="147"/>
      <c r="K362" s="147"/>
      <c r="L362" s="147">
        <f t="shared" si="35"/>
        <v>0</v>
      </c>
      <c r="M362" s="225">
        <f t="shared" si="32"/>
        <v>357</v>
      </c>
    </row>
    <row r="363" spans="1:13">
      <c r="A363" s="250">
        <f t="shared" si="33"/>
        <v>863</v>
      </c>
      <c r="B363" s="136"/>
      <c r="C363" s="102" t="s">
        <v>14</v>
      </c>
      <c r="D363" s="102"/>
      <c r="E363" s="102"/>
      <c r="F363" s="147">
        <v>0</v>
      </c>
      <c r="G363" s="147">
        <v>0</v>
      </c>
      <c r="H363" s="147">
        <f>'PROJECTED EXPENSES'!AS234</f>
        <v>0</v>
      </c>
      <c r="I363" s="147">
        <f>'PROJECTED EXPENSES'!AT234</f>
        <v>0</v>
      </c>
      <c r="K363" s="147">
        <f t="shared" si="34"/>
        <v>0</v>
      </c>
      <c r="L363" s="147">
        <f t="shared" si="35"/>
        <v>0</v>
      </c>
      <c r="M363" s="225">
        <f t="shared" si="32"/>
        <v>358</v>
      </c>
    </row>
    <row r="364" spans="1:13">
      <c r="A364" s="250">
        <f t="shared" si="33"/>
        <v>864</v>
      </c>
      <c r="B364" s="136"/>
      <c r="C364" s="102" t="s">
        <v>24</v>
      </c>
      <c r="D364" s="102"/>
      <c r="E364" s="102"/>
      <c r="F364" s="147">
        <v>0</v>
      </c>
      <c r="G364" s="147">
        <v>0</v>
      </c>
      <c r="H364" s="147">
        <f>'PROJECTED EXPENSES'!AS235</f>
        <v>0</v>
      </c>
      <c r="I364" s="147">
        <f>'PROJECTED EXPENSES'!AT235</f>
        <v>0</v>
      </c>
      <c r="K364" s="147">
        <f t="shared" si="34"/>
        <v>0</v>
      </c>
      <c r="L364" s="147">
        <f t="shared" si="35"/>
        <v>0</v>
      </c>
      <c r="M364" s="225">
        <f t="shared" si="32"/>
        <v>359</v>
      </c>
    </row>
    <row r="365" spans="1:13" ht="13.5" thickBot="1">
      <c r="A365" s="250">
        <f t="shared" si="33"/>
        <v>865</v>
      </c>
      <c r="B365" s="136"/>
      <c r="C365" s="102" t="s">
        <v>170</v>
      </c>
      <c r="D365" s="102"/>
      <c r="E365" s="102"/>
      <c r="F365" s="148">
        <f>SUM(F363:F364)</f>
        <v>0</v>
      </c>
      <c r="G365" s="148">
        <v>0</v>
      </c>
      <c r="H365" s="148">
        <f>SUM(H363:H364)</f>
        <v>0</v>
      </c>
      <c r="I365" s="148">
        <f>SUM(I363:I364)</f>
        <v>0</v>
      </c>
      <c r="K365" s="148">
        <f t="shared" si="34"/>
        <v>0</v>
      </c>
      <c r="L365" s="148">
        <f t="shared" si="35"/>
        <v>0</v>
      </c>
      <c r="M365" s="225">
        <f t="shared" si="32"/>
        <v>360</v>
      </c>
    </row>
    <row r="366" spans="1:13" ht="13.5" thickTop="1">
      <c r="A366" s="250">
        <f t="shared" si="33"/>
        <v>866</v>
      </c>
      <c r="B366" s="136">
        <v>9302</v>
      </c>
      <c r="C366" s="102" t="s">
        <v>435</v>
      </c>
      <c r="D366" s="102"/>
      <c r="E366" s="102"/>
      <c r="F366" s="147"/>
      <c r="G366" s="147"/>
      <c r="H366" s="147"/>
      <c r="I366" s="147"/>
      <c r="K366" s="147"/>
      <c r="L366" s="147">
        <f t="shared" si="35"/>
        <v>0</v>
      </c>
      <c r="M366" s="225">
        <f t="shared" si="32"/>
        <v>361</v>
      </c>
    </row>
    <row r="367" spans="1:13">
      <c r="A367" s="250">
        <f t="shared" si="33"/>
        <v>867</v>
      </c>
      <c r="B367" s="136"/>
      <c r="C367" s="102" t="s">
        <v>14</v>
      </c>
      <c r="D367" s="102"/>
      <c r="E367" s="102"/>
      <c r="F367" s="147">
        <v>1819755.9000000004</v>
      </c>
      <c r="G367" s="147">
        <v>2062151.78</v>
      </c>
      <c r="H367" s="147">
        <f>'PROJECTED EXPENSES'!AS238</f>
        <v>2076143.6170171464</v>
      </c>
      <c r="I367" s="147">
        <f>'PROJECTED EXPENSES'!AT238</f>
        <v>2101616.759117024</v>
      </c>
      <c r="K367" s="147">
        <f t="shared" si="34"/>
        <v>2101616.759117024</v>
      </c>
      <c r="L367" s="147">
        <f t="shared" si="35"/>
        <v>39464.979117023991</v>
      </c>
      <c r="M367" s="225">
        <f t="shared" si="32"/>
        <v>362</v>
      </c>
    </row>
    <row r="368" spans="1:13">
      <c r="A368" s="250">
        <f t="shared" si="33"/>
        <v>868</v>
      </c>
      <c r="B368" s="136"/>
      <c r="C368" s="102" t="s">
        <v>24</v>
      </c>
      <c r="D368" s="102"/>
      <c r="E368" s="102"/>
      <c r="F368" s="147">
        <v>39920.820000000007</v>
      </c>
      <c r="G368" s="147">
        <v>42540.13</v>
      </c>
      <c r="H368" s="147">
        <f>'PROJECTED EXPENSES'!AS239</f>
        <v>43178.231950000001</v>
      </c>
      <c r="I368" s="147">
        <f>'PROJECTED EXPENSES'!AT239</f>
        <v>43739.548965349983</v>
      </c>
      <c r="K368" s="147">
        <f t="shared" si="34"/>
        <v>43739.548965349983</v>
      </c>
      <c r="L368" s="147">
        <f t="shared" si="35"/>
        <v>1199.4189653499852</v>
      </c>
      <c r="M368" s="225">
        <f t="shared" si="32"/>
        <v>363</v>
      </c>
    </row>
    <row r="369" spans="1:13" ht="13.5" thickBot="1">
      <c r="A369" s="250">
        <f t="shared" si="33"/>
        <v>869</v>
      </c>
      <c r="B369" s="136"/>
      <c r="C369" s="102" t="s">
        <v>170</v>
      </c>
      <c r="D369" s="102"/>
      <c r="E369" s="102"/>
      <c r="F369" s="148">
        <f>SUM(F367:F368)</f>
        <v>1859676.7200000004</v>
      </c>
      <c r="G369" s="148">
        <v>2104691.91</v>
      </c>
      <c r="H369" s="148">
        <f>SUM(H367:H368)</f>
        <v>2119321.8489671466</v>
      </c>
      <c r="I369" s="148">
        <f>SUM(I367:I368)</f>
        <v>2145356.3080823738</v>
      </c>
      <c r="K369" s="148">
        <f t="shared" si="34"/>
        <v>2145356.3080823738</v>
      </c>
      <c r="L369" s="148">
        <f t="shared" si="35"/>
        <v>40664.398082373664</v>
      </c>
      <c r="M369" s="225">
        <f t="shared" si="32"/>
        <v>364</v>
      </c>
    </row>
    <row r="370" spans="1:13" ht="13.5" thickTop="1">
      <c r="A370" s="250">
        <f t="shared" si="33"/>
        <v>870</v>
      </c>
      <c r="B370" s="136">
        <v>931</v>
      </c>
      <c r="C370" s="102" t="s">
        <v>385</v>
      </c>
      <c r="D370" s="102"/>
      <c r="E370" s="102"/>
      <c r="F370" s="147"/>
      <c r="G370" s="147"/>
      <c r="H370" s="147"/>
      <c r="I370" s="147"/>
      <c r="K370" s="147"/>
      <c r="L370" s="147">
        <f t="shared" si="35"/>
        <v>0</v>
      </c>
      <c r="M370" s="225">
        <f t="shared" si="32"/>
        <v>365</v>
      </c>
    </row>
    <row r="371" spans="1:13">
      <c r="A371" s="250">
        <f t="shared" si="33"/>
        <v>871</v>
      </c>
      <c r="B371" s="136"/>
      <c r="C371" s="102" t="s">
        <v>14</v>
      </c>
      <c r="D371" s="102"/>
      <c r="E371" s="102"/>
      <c r="F371" s="147">
        <v>989498.81000000017</v>
      </c>
      <c r="G371" s="147">
        <v>849584.07999999984</v>
      </c>
      <c r="H371" s="147">
        <f>'PROJECTED EXPENSES'!AS242</f>
        <v>858079.92079999996</v>
      </c>
      <c r="I371" s="147">
        <f>'PROJECTED EXPENSES'!AT242</f>
        <v>871809.19953280012</v>
      </c>
      <c r="K371" s="147">
        <f t="shared" si="34"/>
        <v>871809.19953280012</v>
      </c>
      <c r="L371" s="147">
        <f t="shared" si="35"/>
        <v>22225.11953280028</v>
      </c>
      <c r="M371" s="225">
        <f t="shared" si="32"/>
        <v>366</v>
      </c>
    </row>
    <row r="372" spans="1:13">
      <c r="A372" s="250">
        <f t="shared" si="33"/>
        <v>872</v>
      </c>
      <c r="B372" s="136"/>
      <c r="C372" s="102" t="s">
        <v>24</v>
      </c>
      <c r="D372" s="102"/>
      <c r="E372" s="102"/>
      <c r="F372" s="147">
        <v>34455.54</v>
      </c>
      <c r="G372" s="147">
        <v>27802.480000000003</v>
      </c>
      <c r="H372" s="147">
        <f>'PROJECTED EXPENSES'!AS243</f>
        <v>28080.504800000002</v>
      </c>
      <c r="I372" s="147">
        <f>'PROJECTED EXPENSES'!AT243</f>
        <v>28529.792876800002</v>
      </c>
      <c r="K372" s="147">
        <f t="shared" si="34"/>
        <v>28529.792876800002</v>
      </c>
      <c r="L372" s="147">
        <f t="shared" si="35"/>
        <v>727.31287679999878</v>
      </c>
      <c r="M372" s="225">
        <f t="shared" si="32"/>
        <v>367</v>
      </c>
    </row>
    <row r="373" spans="1:13" ht="13.5" thickBot="1">
      <c r="A373" s="250">
        <f t="shared" si="33"/>
        <v>873</v>
      </c>
      <c r="B373" s="136"/>
      <c r="C373" s="102" t="s">
        <v>170</v>
      </c>
      <c r="D373" s="102"/>
      <c r="E373" s="102"/>
      <c r="F373" s="148">
        <f>SUM(F371:F372)</f>
        <v>1023954.3500000002</v>
      </c>
      <c r="G373" s="148">
        <v>877386.55999999982</v>
      </c>
      <c r="H373" s="148">
        <f>SUM(H371:H372)</f>
        <v>886160.42559999996</v>
      </c>
      <c r="I373" s="148">
        <f>SUM(I371:I372)</f>
        <v>900338.99240960018</v>
      </c>
      <c r="K373" s="148">
        <f t="shared" si="34"/>
        <v>900338.99240960018</v>
      </c>
      <c r="L373" s="148">
        <f t="shared" si="35"/>
        <v>22952.432409600355</v>
      </c>
      <c r="M373" s="225">
        <f t="shared" si="32"/>
        <v>368</v>
      </c>
    </row>
    <row r="374" spans="1:13" ht="13.5" thickTop="1">
      <c r="A374" s="250">
        <f t="shared" si="33"/>
        <v>874</v>
      </c>
      <c r="B374" s="136" t="s">
        <v>828</v>
      </c>
      <c r="C374" s="102" t="s">
        <v>436</v>
      </c>
      <c r="D374" s="102"/>
      <c r="E374" s="102"/>
      <c r="F374" s="147"/>
      <c r="G374" s="147"/>
      <c r="H374" s="147"/>
      <c r="I374" s="147"/>
      <c r="K374" s="147"/>
      <c r="L374" s="147">
        <f t="shared" si="35"/>
        <v>0</v>
      </c>
      <c r="M374" s="225">
        <f t="shared" si="32"/>
        <v>369</v>
      </c>
    </row>
    <row r="375" spans="1:13">
      <c r="A375" s="250">
        <f t="shared" si="33"/>
        <v>875</v>
      </c>
      <c r="B375" s="136"/>
      <c r="C375" s="102" t="s">
        <v>14</v>
      </c>
      <c r="D375" s="102"/>
      <c r="E375" s="102"/>
      <c r="F375" s="147">
        <v>0</v>
      </c>
      <c r="G375" s="147">
        <v>0</v>
      </c>
      <c r="H375" s="147">
        <f>'PROJECTED EXPENSES'!AS246</f>
        <v>0</v>
      </c>
      <c r="I375" s="147">
        <f>'PROJECTED EXPENSES'!AT246</f>
        <v>0</v>
      </c>
      <c r="K375" s="147">
        <f t="shared" si="34"/>
        <v>0</v>
      </c>
      <c r="L375" s="147">
        <f t="shared" si="35"/>
        <v>0</v>
      </c>
      <c r="M375" s="225">
        <f t="shared" si="32"/>
        <v>370</v>
      </c>
    </row>
    <row r="376" spans="1:13">
      <c r="A376" s="250">
        <f t="shared" si="33"/>
        <v>876</v>
      </c>
      <c r="B376" s="136"/>
      <c r="C376" s="102" t="s">
        <v>24</v>
      </c>
      <c r="D376" s="102"/>
      <c r="E376" s="102"/>
      <c r="F376" s="147">
        <v>0</v>
      </c>
      <c r="G376" s="147">
        <v>0</v>
      </c>
      <c r="H376" s="147">
        <f>'PROJECTED EXPENSES'!AS247</f>
        <v>0</v>
      </c>
      <c r="I376" s="147">
        <f>'PROJECTED EXPENSES'!AT247</f>
        <v>0</v>
      </c>
      <c r="K376" s="147">
        <f t="shared" si="34"/>
        <v>0</v>
      </c>
      <c r="L376" s="147">
        <f t="shared" si="35"/>
        <v>0</v>
      </c>
      <c r="M376" s="225">
        <f t="shared" si="32"/>
        <v>371</v>
      </c>
    </row>
    <row r="377" spans="1:13" ht="13.5" thickBot="1">
      <c r="A377" s="250">
        <f t="shared" si="33"/>
        <v>877</v>
      </c>
      <c r="B377" s="136"/>
      <c r="C377" s="102" t="s">
        <v>170</v>
      </c>
      <c r="D377" s="102"/>
      <c r="E377" s="102"/>
      <c r="F377" s="148">
        <f>SUM(F375:F376)</f>
        <v>0</v>
      </c>
      <c r="G377" s="148">
        <v>0</v>
      </c>
      <c r="H377" s="148">
        <f>SUM(H375:H376)</f>
        <v>0</v>
      </c>
      <c r="I377" s="148">
        <f>SUM(I375:I376)</f>
        <v>0</v>
      </c>
      <c r="K377" s="148">
        <f t="shared" si="34"/>
        <v>0</v>
      </c>
      <c r="L377" s="148">
        <f t="shared" si="35"/>
        <v>0</v>
      </c>
      <c r="M377" s="225">
        <f t="shared" si="32"/>
        <v>372</v>
      </c>
    </row>
    <row r="378" spans="1:13" ht="13.5" thickTop="1">
      <c r="A378" s="250">
        <f t="shared" si="33"/>
        <v>878</v>
      </c>
      <c r="B378" s="227"/>
      <c r="C378" s="102"/>
      <c r="D378" s="102"/>
      <c r="E378" s="102"/>
      <c r="F378" s="147"/>
      <c r="G378" s="147"/>
      <c r="H378" s="147"/>
      <c r="I378" s="147"/>
      <c r="K378" s="147"/>
      <c r="L378" s="147">
        <f t="shared" si="35"/>
        <v>0</v>
      </c>
      <c r="M378" s="225">
        <f t="shared" si="32"/>
        <v>373</v>
      </c>
    </row>
    <row r="379" spans="1:13">
      <c r="A379" s="250">
        <f t="shared" si="33"/>
        <v>879</v>
      </c>
      <c r="B379" s="49" t="s">
        <v>437</v>
      </c>
      <c r="D379" s="102"/>
      <c r="E379" s="102"/>
      <c r="F379" s="147"/>
      <c r="G379" s="147"/>
      <c r="H379" s="147"/>
      <c r="I379" s="147"/>
      <c r="K379" s="147"/>
      <c r="L379" s="147">
        <f t="shared" si="35"/>
        <v>0</v>
      </c>
      <c r="M379" s="225">
        <f t="shared" si="32"/>
        <v>374</v>
      </c>
    </row>
    <row r="380" spans="1:13">
      <c r="A380" s="250">
        <f t="shared" si="33"/>
        <v>880</v>
      </c>
      <c r="B380" s="227"/>
      <c r="C380" s="208" t="s">
        <v>651</v>
      </c>
      <c r="D380" s="102"/>
      <c r="E380" s="102"/>
      <c r="F380" s="147">
        <f t="shared" ref="F380" si="36">F375+F371+F367+F363+F359+F355+F351+F347+F343+F339+F335+F331</f>
        <v>48282563.280000001</v>
      </c>
      <c r="G380" s="147">
        <v>38005870.859999999</v>
      </c>
      <c r="H380" s="147">
        <f t="shared" ref="H380:I381" si="37">H375+H371+H367+H363+H359+H355+H351+H347+H343+H339+H335+H331</f>
        <v>36786995.858672336</v>
      </c>
      <c r="I380" s="147">
        <f t="shared" si="37"/>
        <v>37181426.452646166</v>
      </c>
      <c r="K380" s="147">
        <f t="shared" si="34"/>
        <v>37181426.452646166</v>
      </c>
      <c r="L380" s="147">
        <f t="shared" si="35"/>
        <v>-824444.40735383332</v>
      </c>
      <c r="M380" s="225">
        <f t="shared" si="32"/>
        <v>375</v>
      </c>
    </row>
    <row r="381" spans="1:13">
      <c r="A381" s="250">
        <f t="shared" si="33"/>
        <v>881</v>
      </c>
      <c r="B381" s="227"/>
      <c r="C381" s="208" t="s">
        <v>652</v>
      </c>
      <c r="D381" s="102"/>
      <c r="E381" s="102"/>
      <c r="F381" s="147">
        <f t="shared" ref="F381" si="38">F376+F372+F368+F364+F360+F356+F352+F348+F344+F340+F336+F332</f>
        <v>2268147.1000000006</v>
      </c>
      <c r="G381" s="147">
        <v>1646962.22</v>
      </c>
      <c r="H381" s="147">
        <f t="shared" si="37"/>
        <v>1663965.2307782073</v>
      </c>
      <c r="I381" s="147">
        <f t="shared" si="37"/>
        <v>1688961.598907233</v>
      </c>
      <c r="K381" s="147">
        <f t="shared" si="34"/>
        <v>1688961.598907233</v>
      </c>
      <c r="L381" s="147">
        <f t="shared" si="35"/>
        <v>41999.378907233011</v>
      </c>
      <c r="M381" s="225">
        <f t="shared" si="32"/>
        <v>376</v>
      </c>
    </row>
    <row r="382" spans="1:13" ht="13.5" thickBot="1">
      <c r="A382" s="250">
        <f t="shared" si="33"/>
        <v>882</v>
      </c>
      <c r="B382" s="227"/>
      <c r="C382" s="49" t="s">
        <v>437</v>
      </c>
      <c r="D382" s="102"/>
      <c r="E382" s="102"/>
      <c r="F382" s="154">
        <f>SUM(F380:F381)</f>
        <v>50550710.380000003</v>
      </c>
      <c r="G382" s="154">
        <v>39652833.079999998</v>
      </c>
      <c r="H382" s="154">
        <f>SUM(H380:H381)</f>
        <v>38450961.089450546</v>
      </c>
      <c r="I382" s="154">
        <f>SUM(I380:I381)</f>
        <v>38870388.051553398</v>
      </c>
      <c r="K382" s="154">
        <f t="shared" si="34"/>
        <v>38870388.051553398</v>
      </c>
      <c r="L382" s="154">
        <f t="shared" si="35"/>
        <v>-782445.02844659984</v>
      </c>
      <c r="M382" s="225">
        <f t="shared" si="32"/>
        <v>377</v>
      </c>
    </row>
    <row r="383" spans="1:13">
      <c r="A383" s="250">
        <f t="shared" si="33"/>
        <v>883</v>
      </c>
      <c r="B383" s="227"/>
      <c r="C383" s="49" t="s">
        <v>283</v>
      </c>
      <c r="D383" s="102"/>
      <c r="E383" s="102"/>
      <c r="F383" s="147">
        <f>+F382+F326+F298+F244+F141</f>
        <v>162486453.00000003</v>
      </c>
      <c r="G383" s="147">
        <v>137434097.47</v>
      </c>
      <c r="H383" s="147">
        <f>+H382+H326+H298+H244+H141</f>
        <v>135032746.7103534</v>
      </c>
      <c r="I383" s="147">
        <f>+I382+I326+I298+I244+I141</f>
        <v>136597261.87373987</v>
      </c>
      <c r="K383" s="147">
        <f t="shared" si="34"/>
        <v>136597261.87373987</v>
      </c>
      <c r="L383" s="147">
        <f t="shared" si="35"/>
        <v>-836835.59626013041</v>
      </c>
      <c r="M383" s="225">
        <f t="shared" si="32"/>
        <v>378</v>
      </c>
    </row>
    <row r="384" spans="1:13" ht="13.5" thickBot="1">
      <c r="B384" s="661"/>
      <c r="C384" s="661"/>
      <c r="D384" s="661"/>
      <c r="E384" s="661"/>
      <c r="F384" s="1241"/>
      <c r="G384" s="1241"/>
      <c r="H384" s="1241"/>
      <c r="I384" s="1241"/>
      <c r="K384" s="164"/>
      <c r="L384" s="177"/>
      <c r="M384" s="225">
        <f t="shared" si="32"/>
        <v>379</v>
      </c>
    </row>
    <row r="385" spans="1:13">
      <c r="B385" s="19" t="s">
        <v>505</v>
      </c>
      <c r="F385" s="145"/>
      <c r="G385" s="145"/>
      <c r="H385" s="145"/>
      <c r="I385" s="145"/>
      <c r="K385" s="145"/>
      <c r="L385" s="145"/>
      <c r="M385" s="225">
        <f t="shared" si="32"/>
        <v>380</v>
      </c>
    </row>
    <row r="386" spans="1:13">
      <c r="A386" s="250"/>
      <c r="B386" s="227"/>
      <c r="C386" s="49"/>
      <c r="D386" s="102"/>
      <c r="E386" s="102"/>
      <c r="F386" s="147"/>
      <c r="G386" s="147"/>
      <c r="H386" s="147"/>
      <c r="I386" s="147"/>
      <c r="K386" s="147"/>
      <c r="L386" s="147"/>
      <c r="M386" s="225">
        <f t="shared" si="32"/>
        <v>381</v>
      </c>
    </row>
    <row r="387" spans="1:13">
      <c r="A387" s="250">
        <f>+A383+1</f>
        <v>884</v>
      </c>
      <c r="B387" s="136">
        <v>403</v>
      </c>
      <c r="C387" s="102" t="s">
        <v>442</v>
      </c>
      <c r="D387" s="102"/>
      <c r="E387" s="102"/>
      <c r="F387" s="145"/>
      <c r="G387" s="145"/>
      <c r="H387" s="145"/>
      <c r="I387" s="145"/>
      <c r="K387" s="145"/>
      <c r="L387" s="145"/>
      <c r="M387" s="225">
        <f t="shared" si="32"/>
        <v>382</v>
      </c>
    </row>
    <row r="388" spans="1:13">
      <c r="A388" s="250">
        <f t="shared" si="33"/>
        <v>885</v>
      </c>
      <c r="B388" s="136"/>
      <c r="C388" s="102"/>
      <c r="D388" s="102" t="s">
        <v>443</v>
      </c>
      <c r="E388" s="102"/>
      <c r="F388" s="147">
        <v>600259.56999999995</v>
      </c>
      <c r="G388" s="147">
        <v>649452.47999999986</v>
      </c>
      <c r="H388" s="147">
        <f>-'108_111 Projection'!H43</f>
        <v>666560.04</v>
      </c>
      <c r="I388" s="147">
        <f>-'108_111 Projection'!I43</f>
        <v>666560.04</v>
      </c>
      <c r="K388" s="147">
        <f t="shared" ref="K388:K415" si="39">HLOOKUP($K$6,EXPENSESCENARIO,M388,FALSE)</f>
        <v>666560.04</v>
      </c>
      <c r="L388" s="147">
        <f>+K388-G388</f>
        <v>17107.560000000172</v>
      </c>
      <c r="M388" s="225">
        <f t="shared" si="32"/>
        <v>383</v>
      </c>
    </row>
    <row r="389" spans="1:13">
      <c r="A389" s="250">
        <f t="shared" si="33"/>
        <v>886</v>
      </c>
      <c r="B389" s="136"/>
      <c r="C389" s="102"/>
      <c r="D389" s="102" t="s">
        <v>592</v>
      </c>
      <c r="E389" s="102"/>
      <c r="F389" s="147">
        <v>1644444.67</v>
      </c>
      <c r="G389" s="147">
        <v>1756908.57</v>
      </c>
      <c r="H389" s="147">
        <f ca="1">-'108_111 Projection'!H44</f>
        <v>2160085.4933222015</v>
      </c>
      <c r="I389" s="147">
        <f ca="1">-'108_111 Projection'!I44</f>
        <v>2323996.8940421459</v>
      </c>
      <c r="K389" s="147">
        <f t="shared" ca="1" si="39"/>
        <v>2323996.8940421459</v>
      </c>
      <c r="L389" s="147">
        <f ca="1">+K389-G389</f>
        <v>567088.32404214586</v>
      </c>
      <c r="M389" s="225">
        <f t="shared" si="32"/>
        <v>384</v>
      </c>
    </row>
    <row r="390" spans="1:13">
      <c r="A390" s="250">
        <f t="shared" si="33"/>
        <v>887</v>
      </c>
      <c r="B390" s="136"/>
      <c r="C390" s="102"/>
      <c r="D390" s="102" t="s">
        <v>593</v>
      </c>
      <c r="E390" s="102"/>
      <c r="F390" s="147">
        <v>47088494.43</v>
      </c>
      <c r="G390" s="147">
        <v>55992912.410000004</v>
      </c>
      <c r="H390" s="147">
        <f ca="1">-'108_111 Projection'!H45</f>
        <v>60265049.272847876</v>
      </c>
      <c r="I390" s="147">
        <f ca="1">-'108_111 Projection'!I45</f>
        <v>64963442.84325482</v>
      </c>
      <c r="K390" s="147">
        <f t="shared" ca="1" si="39"/>
        <v>64963442.84325482</v>
      </c>
      <c r="L390" s="147">
        <f ca="1">+K390-G390</f>
        <v>8970530.4332548156</v>
      </c>
      <c r="M390" s="225">
        <f t="shared" si="32"/>
        <v>385</v>
      </c>
    </row>
    <row r="391" spans="1:13">
      <c r="A391" s="250">
        <f t="shared" si="33"/>
        <v>888</v>
      </c>
      <c r="B391" s="136"/>
      <c r="C391" s="102"/>
      <c r="D391" s="102" t="s">
        <v>595</v>
      </c>
      <c r="E391" s="102"/>
      <c r="F391" s="147">
        <v>5757970.2399999974</v>
      </c>
      <c r="G391" s="147">
        <v>8318552.7500000047</v>
      </c>
      <c r="H391" s="147">
        <f ca="1">-'108_111 Projection'!H46</f>
        <v>6373832.6841969481</v>
      </c>
      <c r="I391" s="147">
        <f ca="1">-'108_111 Projection'!I46</f>
        <v>6380205.4273342993</v>
      </c>
      <c r="K391" s="147">
        <f t="shared" ca="1" si="39"/>
        <v>6380205.4273342993</v>
      </c>
      <c r="L391" s="147">
        <f ca="1">+K391-G391</f>
        <v>-1938347.3226657053</v>
      </c>
      <c r="M391" s="225">
        <f t="shared" si="32"/>
        <v>386</v>
      </c>
    </row>
    <row r="392" spans="1:13">
      <c r="A392" s="250">
        <f t="shared" si="33"/>
        <v>889</v>
      </c>
      <c r="B392" s="136"/>
      <c r="C392" s="102"/>
      <c r="D392" s="102" t="s">
        <v>596</v>
      </c>
      <c r="E392" s="102"/>
      <c r="F392" s="1240">
        <f>SUM(F388:F391)</f>
        <v>55091168.909999996</v>
      </c>
      <c r="G392" s="1240">
        <v>66717826.210000008</v>
      </c>
      <c r="H392" s="1240">
        <f ca="1">SUM(H388:H391)</f>
        <v>69465527.490367025</v>
      </c>
      <c r="I392" s="1240">
        <f ca="1">SUM(I388:I391)</f>
        <v>74334205.204631254</v>
      </c>
      <c r="K392" s="152">
        <f t="shared" ca="1" si="39"/>
        <v>74334205.204631254</v>
      </c>
      <c r="L392" s="152">
        <f ca="1">+K392-G392</f>
        <v>7616378.9946312457</v>
      </c>
      <c r="M392" s="225">
        <f t="shared" si="32"/>
        <v>387</v>
      </c>
    </row>
    <row r="393" spans="1:13">
      <c r="A393" s="250">
        <f t="shared" si="33"/>
        <v>890</v>
      </c>
      <c r="B393" s="136"/>
      <c r="C393" s="102"/>
      <c r="D393" s="102"/>
      <c r="E393" s="102"/>
      <c r="F393" s="147"/>
      <c r="G393" s="147"/>
      <c r="H393" s="147"/>
      <c r="I393" s="147"/>
      <c r="K393" s="147"/>
      <c r="L393" s="147"/>
      <c r="M393" s="225">
        <f t="shared" si="32"/>
        <v>388</v>
      </c>
    </row>
    <row r="394" spans="1:13">
      <c r="A394" s="250">
        <f t="shared" si="33"/>
        <v>891</v>
      </c>
      <c r="B394" s="136">
        <v>404</v>
      </c>
      <c r="C394" s="102" t="s">
        <v>597</v>
      </c>
      <c r="D394" s="102"/>
      <c r="E394" s="102"/>
      <c r="F394" s="147"/>
      <c r="G394" s="147"/>
      <c r="H394" s="147"/>
      <c r="I394" s="147"/>
      <c r="K394" s="147"/>
      <c r="L394" s="147"/>
      <c r="M394" s="225">
        <f t="shared" si="32"/>
        <v>389</v>
      </c>
    </row>
    <row r="395" spans="1:13">
      <c r="A395" s="250">
        <f t="shared" si="33"/>
        <v>892</v>
      </c>
      <c r="B395" s="136"/>
      <c r="C395" s="102"/>
      <c r="D395" s="102" t="s">
        <v>443</v>
      </c>
      <c r="E395" s="102"/>
      <c r="F395" s="147">
        <v>16733.38</v>
      </c>
      <c r="G395" s="147">
        <v>17107.560000000001</v>
      </c>
      <c r="H395" s="147">
        <v>0</v>
      </c>
      <c r="I395" s="147">
        <v>0</v>
      </c>
      <c r="K395" s="147">
        <f t="shared" si="39"/>
        <v>0</v>
      </c>
      <c r="L395" s="147">
        <f t="shared" ref="L395:L401" si="40">+K395-G395</f>
        <v>-17107.560000000001</v>
      </c>
      <c r="M395" s="225">
        <f t="shared" si="32"/>
        <v>390</v>
      </c>
    </row>
    <row r="396" spans="1:13">
      <c r="A396" s="250">
        <f t="shared" si="33"/>
        <v>893</v>
      </c>
      <c r="B396" s="136"/>
      <c r="C396" s="102"/>
      <c r="D396" s="102" t="s">
        <v>592</v>
      </c>
      <c r="E396" s="102"/>
      <c r="F396" s="147">
        <v>0</v>
      </c>
      <c r="G396" s="147">
        <v>0</v>
      </c>
      <c r="H396" s="147">
        <v>0</v>
      </c>
      <c r="I396" s="147">
        <v>0</v>
      </c>
      <c r="K396" s="147">
        <f t="shared" si="39"/>
        <v>0</v>
      </c>
      <c r="L396" s="147">
        <f t="shared" si="40"/>
        <v>0</v>
      </c>
      <c r="M396" s="225">
        <f t="shared" si="32"/>
        <v>391</v>
      </c>
    </row>
    <row r="397" spans="1:13">
      <c r="A397" s="250">
        <f t="shared" si="33"/>
        <v>894</v>
      </c>
      <c r="B397" s="136"/>
      <c r="C397" s="102"/>
      <c r="D397" s="102" t="s">
        <v>593</v>
      </c>
      <c r="E397" s="102"/>
      <c r="F397" s="147">
        <v>0</v>
      </c>
      <c r="G397" s="147">
        <v>0</v>
      </c>
      <c r="H397" s="147">
        <v>0</v>
      </c>
      <c r="I397" s="147">
        <v>0</v>
      </c>
      <c r="K397" s="147">
        <f t="shared" si="39"/>
        <v>0</v>
      </c>
      <c r="L397" s="147">
        <f t="shared" si="40"/>
        <v>0</v>
      </c>
      <c r="M397" s="225">
        <f t="shared" si="32"/>
        <v>392</v>
      </c>
    </row>
    <row r="398" spans="1:13">
      <c r="A398" s="250">
        <f t="shared" si="33"/>
        <v>895</v>
      </c>
      <c r="B398" s="136"/>
      <c r="C398" s="102"/>
      <c r="D398" s="102" t="s">
        <v>595</v>
      </c>
      <c r="E398" s="102"/>
      <c r="F398" s="147">
        <v>0</v>
      </c>
      <c r="G398" s="147">
        <v>0</v>
      </c>
      <c r="H398" s="147">
        <v>0</v>
      </c>
      <c r="I398" s="147">
        <v>0</v>
      </c>
      <c r="K398" s="147">
        <f t="shared" si="39"/>
        <v>0</v>
      </c>
      <c r="L398" s="147">
        <f t="shared" si="40"/>
        <v>0</v>
      </c>
      <c r="M398" s="225">
        <f t="shared" si="32"/>
        <v>393</v>
      </c>
    </row>
    <row r="399" spans="1:13">
      <c r="A399" s="250">
        <f t="shared" si="33"/>
        <v>896</v>
      </c>
      <c r="B399" s="136"/>
      <c r="C399" s="102"/>
      <c r="D399" s="102" t="s">
        <v>598</v>
      </c>
      <c r="E399" s="102"/>
      <c r="F399" s="1240">
        <f>SUM(F395:F398)</f>
        <v>16733.38</v>
      </c>
      <c r="G399" s="1240">
        <v>17107.560000000001</v>
      </c>
      <c r="H399" s="1240">
        <f>SUM(H395:H398)</f>
        <v>0</v>
      </c>
      <c r="I399" s="1240">
        <f>SUM(I395:I398)</f>
        <v>0</v>
      </c>
      <c r="K399" s="152">
        <f t="shared" si="39"/>
        <v>0</v>
      </c>
      <c r="L399" s="152">
        <f t="shared" si="40"/>
        <v>-17107.560000000001</v>
      </c>
      <c r="M399" s="225">
        <f t="shared" si="32"/>
        <v>394</v>
      </c>
    </row>
    <row r="400" spans="1:13" ht="13.5" thickBot="1">
      <c r="A400" s="250">
        <f t="shared" si="33"/>
        <v>897</v>
      </c>
      <c r="B400" s="136"/>
      <c r="C400" s="102"/>
      <c r="D400" s="102"/>
      <c r="E400" s="102"/>
      <c r="F400" s="1239"/>
      <c r="G400" s="1239"/>
      <c r="H400" s="1239"/>
      <c r="I400" s="1239"/>
      <c r="K400" s="150">
        <f t="shared" si="39"/>
        <v>0</v>
      </c>
      <c r="L400" s="150">
        <f t="shared" si="40"/>
        <v>0</v>
      </c>
      <c r="M400" s="225">
        <f t="shared" si="32"/>
        <v>395</v>
      </c>
    </row>
    <row r="401" spans="1:13">
      <c r="A401" s="250">
        <f t="shared" si="33"/>
        <v>898</v>
      </c>
      <c r="B401" s="136"/>
      <c r="C401" s="49" t="s">
        <v>656</v>
      </c>
      <c r="D401" s="102"/>
      <c r="E401" s="102"/>
      <c r="F401" s="147">
        <f>F399+F392</f>
        <v>55107902.289999999</v>
      </c>
      <c r="G401" s="147">
        <v>66734933.770000011</v>
      </c>
      <c r="H401" s="147">
        <f ca="1">H399+H392</f>
        <v>69465527.490367025</v>
      </c>
      <c r="I401" s="147">
        <f ca="1">I399+I392</f>
        <v>74334205.204631254</v>
      </c>
      <c r="K401" s="147">
        <f t="shared" ca="1" si="39"/>
        <v>74334205.204631254</v>
      </c>
      <c r="L401" s="147">
        <f t="shared" ca="1" si="40"/>
        <v>7599271.4346312433</v>
      </c>
      <c r="M401" s="225">
        <f t="shared" si="32"/>
        <v>396</v>
      </c>
    </row>
    <row r="402" spans="1:13">
      <c r="A402" s="250">
        <f t="shared" si="33"/>
        <v>899</v>
      </c>
      <c r="B402" s="136"/>
      <c r="C402" s="102"/>
      <c r="D402" s="102"/>
      <c r="E402" s="102"/>
      <c r="F402" s="147"/>
      <c r="G402" s="147"/>
      <c r="H402" s="147"/>
      <c r="I402" s="147"/>
      <c r="K402" s="147"/>
      <c r="L402" s="147"/>
      <c r="M402" s="225">
        <f t="shared" si="32"/>
        <v>397</v>
      </c>
    </row>
    <row r="403" spans="1:13">
      <c r="A403" s="250">
        <f t="shared" si="33"/>
        <v>900</v>
      </c>
      <c r="B403" s="72" t="s">
        <v>657</v>
      </c>
      <c r="C403" s="102"/>
      <c r="D403" s="102"/>
      <c r="E403" s="102"/>
      <c r="F403" s="147"/>
      <c r="G403" s="147"/>
      <c r="H403" s="147"/>
      <c r="I403" s="147"/>
      <c r="K403" s="147"/>
      <c r="L403" s="147"/>
      <c r="M403" s="225">
        <f t="shared" ref="M403:M450" si="41">+M402+1</f>
        <v>398</v>
      </c>
    </row>
    <row r="404" spans="1:13">
      <c r="A404" s="250">
        <f t="shared" si="33"/>
        <v>901</v>
      </c>
      <c r="B404" s="136">
        <v>408</v>
      </c>
      <c r="C404" s="102" t="s">
        <v>599</v>
      </c>
      <c r="D404" s="102"/>
      <c r="E404" s="102"/>
      <c r="F404" s="147"/>
      <c r="G404" s="147"/>
      <c r="H404" s="147"/>
      <c r="I404" s="147"/>
      <c r="K404" s="147"/>
      <c r="L404" s="147"/>
      <c r="M404" s="225">
        <f t="shared" si="41"/>
        <v>399</v>
      </c>
    </row>
    <row r="405" spans="1:13">
      <c r="A405" s="250">
        <f t="shared" si="33"/>
        <v>902</v>
      </c>
      <c r="B405" s="227"/>
      <c r="C405" s="102"/>
      <c r="D405" s="102" t="s">
        <v>443</v>
      </c>
      <c r="E405" s="102"/>
      <c r="F405" s="147">
        <v>0</v>
      </c>
      <c r="G405" s="147">
        <v>0</v>
      </c>
      <c r="H405" s="147">
        <f>(G405/$G$409)*$H$409</f>
        <v>0</v>
      </c>
      <c r="I405" s="147">
        <f t="shared" ref="I405:I407" si="42">(H405/$H$409)*$I$409</f>
        <v>0</v>
      </c>
      <c r="K405" s="147">
        <f t="shared" si="39"/>
        <v>0</v>
      </c>
      <c r="L405" s="147">
        <f>+K405-G405</f>
        <v>0</v>
      </c>
      <c r="M405" s="225">
        <f t="shared" si="41"/>
        <v>400</v>
      </c>
    </row>
    <row r="406" spans="1:13">
      <c r="A406" s="250">
        <f t="shared" si="33"/>
        <v>903</v>
      </c>
      <c r="B406" s="227"/>
      <c r="C406" s="102"/>
      <c r="D406" s="102" t="s">
        <v>592</v>
      </c>
      <c r="E406" s="102"/>
      <c r="F406" s="147">
        <v>797147.52</v>
      </c>
      <c r="G406" s="147">
        <v>843251.16999999993</v>
      </c>
      <c r="H406" s="147">
        <f>(G406/$G$409)*$H$409</f>
        <v>861700.74141975143</v>
      </c>
      <c r="I406" s="147">
        <f>(H406/$H$409)*$I$409</f>
        <v>932005.70623833628</v>
      </c>
      <c r="K406" s="147">
        <f t="shared" si="39"/>
        <v>932005.70623833628</v>
      </c>
      <c r="L406" s="147">
        <f>+K406-G406</f>
        <v>88754.536238336354</v>
      </c>
      <c r="M406" s="225">
        <f t="shared" si="41"/>
        <v>401</v>
      </c>
    </row>
    <row r="407" spans="1:13">
      <c r="A407" s="250">
        <f t="shared" si="33"/>
        <v>904</v>
      </c>
      <c r="B407" s="227"/>
      <c r="C407" s="102"/>
      <c r="D407" s="102" t="s">
        <v>593</v>
      </c>
      <c r="E407" s="102"/>
      <c r="F407" s="147">
        <v>16892228.719999999</v>
      </c>
      <c r="G407" s="147">
        <v>19756919.129999999</v>
      </c>
      <c r="H407" s="147">
        <f>(G407/$G$409)*$H$409</f>
        <v>20189182.616243593</v>
      </c>
      <c r="I407" s="147">
        <f t="shared" si="42"/>
        <v>21836389.941622432</v>
      </c>
      <c r="K407" s="147">
        <f t="shared" si="39"/>
        <v>21836389.941622432</v>
      </c>
      <c r="L407" s="147">
        <f>+K407-G407</f>
        <v>2079470.8116224334</v>
      </c>
      <c r="M407" s="225">
        <f t="shared" si="41"/>
        <v>402</v>
      </c>
    </row>
    <row r="408" spans="1:13">
      <c r="A408" s="250">
        <f t="shared" si="33"/>
        <v>905</v>
      </c>
      <c r="B408" s="227"/>
      <c r="C408" s="102"/>
      <c r="D408" s="102" t="s">
        <v>595</v>
      </c>
      <c r="E408" s="102"/>
      <c r="F408" s="1242">
        <v>1622292.5699999998</v>
      </c>
      <c r="G408" s="1242">
        <v>1657671.9599999997</v>
      </c>
      <c r="H408" s="147">
        <f>(G408/$G$409)*$H$409</f>
        <v>1693940.3202520695</v>
      </c>
      <c r="I408" s="147">
        <f>(H408/$H$409)*$I$409</f>
        <v>1832146.5546158531</v>
      </c>
      <c r="K408" s="153">
        <f t="shared" si="39"/>
        <v>1832146.5546158531</v>
      </c>
      <c r="L408" s="153">
        <f>+K408-G408</f>
        <v>174474.59461585339</v>
      </c>
      <c r="M408" s="225">
        <f t="shared" si="41"/>
        <v>403</v>
      </c>
    </row>
    <row r="409" spans="1:13">
      <c r="A409" s="250">
        <f t="shared" si="33"/>
        <v>906</v>
      </c>
      <c r="B409" s="227"/>
      <c r="C409" s="102"/>
      <c r="D409" s="102" t="s">
        <v>600</v>
      </c>
      <c r="E409" s="102"/>
      <c r="F409" s="147">
        <v>19311668.809999999</v>
      </c>
      <c r="G409" s="147">
        <v>22257842.260000002</v>
      </c>
      <c r="H409" s="1240">
        <f>'Other Taxes'!P21</f>
        <v>22744823.677915417</v>
      </c>
      <c r="I409" s="1240">
        <f>'Other Taxes'!R21</f>
        <v>24600542.202476624</v>
      </c>
      <c r="K409" s="147">
        <f t="shared" si="39"/>
        <v>24600542.202476624</v>
      </c>
      <c r="L409" s="147">
        <f>+K409-G409</f>
        <v>2342699.9424766228</v>
      </c>
      <c r="M409" s="225">
        <f t="shared" si="41"/>
        <v>404</v>
      </c>
    </row>
    <row r="410" spans="1:13">
      <c r="A410" s="250">
        <f t="shared" si="33"/>
        <v>907</v>
      </c>
      <c r="B410" s="227"/>
      <c r="C410" s="102"/>
      <c r="D410" s="102"/>
      <c r="E410" s="102"/>
      <c r="F410" s="147"/>
      <c r="G410" s="147"/>
      <c r="H410" s="147"/>
      <c r="I410" s="147"/>
      <c r="K410" s="147"/>
      <c r="L410" s="147"/>
      <c r="M410" s="225">
        <f t="shared" si="41"/>
        <v>405</v>
      </c>
    </row>
    <row r="411" spans="1:13">
      <c r="A411" s="250">
        <f t="shared" si="33"/>
        <v>908</v>
      </c>
      <c r="B411" s="136">
        <v>4090</v>
      </c>
      <c r="C411" s="102" t="s">
        <v>602</v>
      </c>
      <c r="D411" s="102"/>
      <c r="E411" s="102"/>
      <c r="F411" s="147">
        <v>33462251.09999999</v>
      </c>
      <c r="G411" s="147">
        <v>41536613.329999991</v>
      </c>
      <c r="H411" s="147">
        <f>G411</f>
        <v>41536613.329999991</v>
      </c>
      <c r="I411" s="147">
        <f>H411</f>
        <v>41536613.329999991</v>
      </c>
      <c r="K411" s="147">
        <f t="shared" si="39"/>
        <v>41536613.329999991</v>
      </c>
      <c r="L411" s="147">
        <f>+K411-G411</f>
        <v>0</v>
      </c>
      <c r="M411" s="225">
        <f t="shared" si="41"/>
        <v>406</v>
      </c>
    </row>
    <row r="412" spans="1:13">
      <c r="A412" s="250">
        <f t="shared" si="33"/>
        <v>909</v>
      </c>
      <c r="B412" s="136"/>
      <c r="C412" s="102"/>
      <c r="D412" s="102"/>
      <c r="E412" s="102"/>
      <c r="F412" s="147"/>
      <c r="G412" s="147"/>
      <c r="H412" s="147"/>
      <c r="I412" s="147"/>
      <c r="K412" s="147"/>
      <c r="L412" s="147"/>
      <c r="M412" s="225">
        <f t="shared" si="41"/>
        <v>407</v>
      </c>
    </row>
    <row r="413" spans="1:13">
      <c r="A413" s="250">
        <f t="shared" si="33"/>
        <v>910</v>
      </c>
      <c r="B413" s="136">
        <v>4091</v>
      </c>
      <c r="C413" s="102" t="s">
        <v>603</v>
      </c>
      <c r="D413" s="102"/>
      <c r="E413" s="102"/>
      <c r="F413" s="147">
        <v>-2272888</v>
      </c>
      <c r="G413" s="147">
        <v>651828.49000000069</v>
      </c>
      <c r="H413" s="147">
        <f>G413</f>
        <v>651828.49000000069</v>
      </c>
      <c r="I413" s="147">
        <f>H413</f>
        <v>651828.49000000069</v>
      </c>
      <c r="K413" s="147">
        <f t="shared" si="39"/>
        <v>651828.49000000069</v>
      </c>
      <c r="L413" s="147">
        <f>+K413-G413</f>
        <v>0</v>
      </c>
      <c r="M413" s="225">
        <f t="shared" si="41"/>
        <v>408</v>
      </c>
    </row>
    <row r="414" spans="1:13">
      <c r="A414" s="250">
        <f t="shared" si="33"/>
        <v>911</v>
      </c>
      <c r="B414" s="136"/>
      <c r="C414" s="102"/>
      <c r="D414" s="102"/>
      <c r="E414" s="102"/>
      <c r="F414" s="147"/>
      <c r="G414" s="147"/>
      <c r="H414" s="147"/>
      <c r="I414" s="147"/>
      <c r="K414" s="147"/>
      <c r="L414" s="147"/>
      <c r="M414" s="225">
        <f t="shared" si="41"/>
        <v>409</v>
      </c>
    </row>
    <row r="415" spans="1:13">
      <c r="A415" s="250">
        <f t="shared" si="33"/>
        <v>912</v>
      </c>
      <c r="B415" s="136">
        <v>4101</v>
      </c>
      <c r="C415" s="102" t="s">
        <v>604</v>
      </c>
      <c r="D415" s="102"/>
      <c r="E415" s="102"/>
      <c r="F415" s="147">
        <v>4179071.78</v>
      </c>
      <c r="G415" s="147">
        <v>5456116.0800000001</v>
      </c>
      <c r="H415" s="147">
        <f>G415</f>
        <v>5456116.0800000001</v>
      </c>
      <c r="I415" s="147">
        <f>H415</f>
        <v>5456116.0800000001</v>
      </c>
      <c r="K415" s="147">
        <f t="shared" si="39"/>
        <v>5456116.0800000001</v>
      </c>
      <c r="L415" s="147">
        <f>+K415-G415</f>
        <v>0</v>
      </c>
      <c r="M415" s="225">
        <f t="shared" si="41"/>
        <v>410</v>
      </c>
    </row>
    <row r="416" spans="1:13">
      <c r="A416" s="250">
        <f t="shared" si="33"/>
        <v>913</v>
      </c>
      <c r="B416" s="136"/>
      <c r="C416" s="102"/>
      <c r="D416" s="102"/>
      <c r="E416" s="102"/>
      <c r="F416" s="147"/>
      <c r="G416" s="147"/>
      <c r="H416" s="147"/>
      <c r="I416" s="147"/>
      <c r="K416" s="147"/>
      <c r="L416" s="147"/>
      <c r="M416" s="225">
        <f t="shared" si="41"/>
        <v>411</v>
      </c>
    </row>
    <row r="417" spans="1:13">
      <c r="A417" s="250">
        <f t="shared" si="33"/>
        <v>914</v>
      </c>
      <c r="B417" s="136">
        <v>4111</v>
      </c>
      <c r="C417" s="102" t="s">
        <v>605</v>
      </c>
      <c r="D417" s="102"/>
      <c r="E417" s="102"/>
      <c r="F417" s="147">
        <v>0</v>
      </c>
      <c r="G417" s="147">
        <v>0</v>
      </c>
      <c r="H417" s="147">
        <v>0</v>
      </c>
      <c r="I417" s="147">
        <v>0</v>
      </c>
      <c r="K417" s="147">
        <f t="shared" ref="K417:K430" si="43">HLOOKUP($K$6,EXPENSESCENARIO,M417,FALSE)</f>
        <v>0</v>
      </c>
      <c r="L417" s="147">
        <f>+K417-G417</f>
        <v>0</v>
      </c>
      <c r="M417" s="225">
        <f t="shared" si="41"/>
        <v>412</v>
      </c>
    </row>
    <row r="418" spans="1:13">
      <c r="A418" s="250">
        <f t="shared" si="33"/>
        <v>915</v>
      </c>
      <c r="B418" s="136"/>
      <c r="C418" s="102"/>
      <c r="D418" s="102"/>
      <c r="E418" s="102"/>
      <c r="F418" s="147"/>
      <c r="G418" s="147"/>
      <c r="H418" s="147"/>
      <c r="I418" s="147"/>
      <c r="K418" s="147"/>
      <c r="L418" s="147"/>
      <c r="M418" s="225">
        <f t="shared" si="41"/>
        <v>413</v>
      </c>
    </row>
    <row r="419" spans="1:13">
      <c r="A419" s="250">
        <f t="shared" si="33"/>
        <v>916</v>
      </c>
      <c r="B419" s="136">
        <v>4114</v>
      </c>
      <c r="C419" s="102" t="s">
        <v>606</v>
      </c>
      <c r="D419" s="102"/>
      <c r="E419" s="102"/>
      <c r="F419" s="147">
        <v>0</v>
      </c>
      <c r="G419" s="147">
        <v>0</v>
      </c>
      <c r="H419" s="147">
        <v>0</v>
      </c>
      <c r="I419" s="147">
        <v>0</v>
      </c>
      <c r="K419" s="147">
        <f t="shared" si="43"/>
        <v>0</v>
      </c>
      <c r="L419" s="147">
        <f>+K419-G419</f>
        <v>0</v>
      </c>
      <c r="M419" s="225">
        <f t="shared" si="41"/>
        <v>414</v>
      </c>
    </row>
    <row r="420" spans="1:13">
      <c r="A420" s="250">
        <f t="shared" si="33"/>
        <v>917</v>
      </c>
      <c r="B420" s="136"/>
      <c r="C420" s="102"/>
      <c r="D420" s="102"/>
      <c r="E420" s="102"/>
      <c r="F420" s="147"/>
      <c r="G420" s="147"/>
      <c r="H420" s="147"/>
      <c r="I420" s="147"/>
      <c r="K420" s="147"/>
      <c r="L420" s="147"/>
      <c r="M420" s="225">
        <f t="shared" si="41"/>
        <v>415</v>
      </c>
    </row>
    <row r="421" spans="1:13">
      <c r="A421" s="250">
        <f t="shared" si="33"/>
        <v>918</v>
      </c>
      <c r="B421" s="227"/>
      <c r="C421" s="102" t="s">
        <v>295</v>
      </c>
      <c r="D421" s="102"/>
      <c r="E421" s="102"/>
      <c r="F421" s="147">
        <v>0</v>
      </c>
      <c r="G421" s="147">
        <v>0</v>
      </c>
      <c r="H421" s="147">
        <f>G421</f>
        <v>0</v>
      </c>
      <c r="I421" s="147">
        <f>H421</f>
        <v>0</v>
      </c>
      <c r="K421" s="147">
        <f t="shared" si="43"/>
        <v>0</v>
      </c>
      <c r="L421" s="147">
        <f>+K421-G421</f>
        <v>0</v>
      </c>
      <c r="M421" s="225">
        <f t="shared" si="41"/>
        <v>416</v>
      </c>
    </row>
    <row r="422" spans="1:13">
      <c r="A422" s="250">
        <f t="shared" si="33"/>
        <v>919</v>
      </c>
      <c r="B422" s="227"/>
      <c r="C422" s="102"/>
      <c r="D422" s="102"/>
      <c r="E422" s="102"/>
      <c r="F422" s="147"/>
      <c r="G422" s="147"/>
      <c r="H422" s="147"/>
      <c r="I422" s="147"/>
      <c r="K422" s="147"/>
      <c r="L422" s="147"/>
      <c r="M422" s="225">
        <f t="shared" si="41"/>
        <v>417</v>
      </c>
    </row>
    <row r="423" spans="1:13">
      <c r="A423" s="250">
        <f t="shared" si="33"/>
        <v>920</v>
      </c>
      <c r="B423" s="227"/>
      <c r="C423" s="102" t="s">
        <v>296</v>
      </c>
      <c r="D423" s="102"/>
      <c r="E423" s="102"/>
      <c r="F423" s="147">
        <v>0</v>
      </c>
      <c r="G423" s="147">
        <v>0</v>
      </c>
      <c r="H423" s="147">
        <f>G423</f>
        <v>0</v>
      </c>
      <c r="I423" s="147">
        <f>H423</f>
        <v>0</v>
      </c>
      <c r="K423" s="155">
        <f t="shared" si="43"/>
        <v>0</v>
      </c>
      <c r="L423" s="147">
        <f>+K423-G423</f>
        <v>0</v>
      </c>
      <c r="M423" s="225">
        <f t="shared" si="41"/>
        <v>418</v>
      </c>
    </row>
    <row r="424" spans="1:13" ht="13.5" thickBot="1">
      <c r="A424" s="250">
        <f t="shared" si="33"/>
        <v>921</v>
      </c>
      <c r="B424" s="227"/>
      <c r="C424" s="102"/>
      <c r="D424" s="102"/>
      <c r="E424" s="102"/>
      <c r="F424" s="1239"/>
      <c r="G424" s="1239"/>
      <c r="H424" s="1239"/>
      <c r="I424" s="1239"/>
      <c r="K424" s="150"/>
      <c r="L424" s="150"/>
      <c r="M424" s="225">
        <f t="shared" si="41"/>
        <v>419</v>
      </c>
    </row>
    <row r="425" spans="1:13">
      <c r="A425" s="250">
        <f t="shared" si="33"/>
        <v>922</v>
      </c>
      <c r="B425" s="227"/>
      <c r="C425" s="49" t="s">
        <v>658</v>
      </c>
      <c r="D425" s="102"/>
      <c r="E425" s="102"/>
      <c r="F425" s="147">
        <f>F409+F411+F413+F415+F417+F419+F421+F423</f>
        <v>54680103.68999999</v>
      </c>
      <c r="G425" s="147">
        <v>69902400.159999996</v>
      </c>
      <c r="H425" s="147">
        <f>H409+H411+H413+H415+H417+H419+H421+H423</f>
        <v>70389381.577915415</v>
      </c>
      <c r="I425" s="147">
        <f>I409+I411+I413+I415+I417+I419+I421+I423</f>
        <v>72245100.102476627</v>
      </c>
      <c r="K425" s="147">
        <f t="shared" si="43"/>
        <v>72245100.102476627</v>
      </c>
      <c r="L425" s="147">
        <f>+K425-G425</f>
        <v>2342699.9424766302</v>
      </c>
      <c r="M425" s="225">
        <f t="shared" si="41"/>
        <v>420</v>
      </c>
    </row>
    <row r="426" spans="1:13" ht="13.5" thickBot="1">
      <c r="A426" s="250">
        <f t="shared" si="33"/>
        <v>923</v>
      </c>
      <c r="B426" s="227"/>
      <c r="C426" s="102"/>
      <c r="D426" s="102"/>
      <c r="E426" s="102"/>
      <c r="F426" s="149"/>
      <c r="G426" s="149"/>
      <c r="H426" s="149"/>
      <c r="I426" s="149"/>
      <c r="K426" s="149"/>
      <c r="L426" s="149"/>
      <c r="M426" s="225">
        <f t="shared" si="41"/>
        <v>421</v>
      </c>
    </row>
    <row r="427" spans="1:13" ht="13.5" thickTop="1">
      <c r="A427" s="250">
        <f t="shared" si="33"/>
        <v>924</v>
      </c>
      <c r="B427" s="227"/>
      <c r="C427" s="102"/>
      <c r="D427" s="102"/>
      <c r="E427" s="102"/>
      <c r="F427" s="147"/>
      <c r="G427" s="147"/>
      <c r="H427" s="147"/>
      <c r="I427" s="147"/>
      <c r="K427" s="147"/>
      <c r="L427" s="147"/>
      <c r="M427" s="225">
        <f t="shared" si="41"/>
        <v>422</v>
      </c>
    </row>
    <row r="428" spans="1:13">
      <c r="A428" s="250">
        <f t="shared" si="33"/>
        <v>925</v>
      </c>
      <c r="B428" s="36"/>
      <c r="C428" s="49" t="s">
        <v>655</v>
      </c>
      <c r="D428" s="102"/>
      <c r="E428" s="102"/>
      <c r="F428" s="147">
        <f>F401+F425</f>
        <v>109788005.97999999</v>
      </c>
      <c r="G428" s="147">
        <v>136637333.93000001</v>
      </c>
      <c r="H428" s="147">
        <f ca="1">H401+H425</f>
        <v>139854909.06828243</v>
      </c>
      <c r="I428" s="147">
        <f ca="1">I401+I425</f>
        <v>146579305.30710787</v>
      </c>
      <c r="K428" s="147">
        <f t="shared" ca="1" si="43"/>
        <v>146579305.30710787</v>
      </c>
      <c r="L428" s="147">
        <f ca="1">+K428-G428</f>
        <v>9941971.3771078587</v>
      </c>
      <c r="M428" s="225">
        <f t="shared" si="41"/>
        <v>423</v>
      </c>
    </row>
    <row r="429" spans="1:13" ht="13.5" thickBot="1">
      <c r="A429" s="250">
        <f t="shared" si="33"/>
        <v>926</v>
      </c>
      <c r="B429" s="227"/>
      <c r="C429" s="102"/>
      <c r="D429" s="102"/>
      <c r="E429" s="102"/>
      <c r="F429" s="149"/>
      <c r="G429" s="149"/>
      <c r="H429" s="149"/>
      <c r="I429" s="149"/>
      <c r="K429" s="149"/>
      <c r="L429" s="149"/>
      <c r="M429" s="225">
        <f t="shared" si="41"/>
        <v>424</v>
      </c>
    </row>
    <row r="430" spans="1:13" ht="13.5" thickTop="1">
      <c r="A430" s="569">
        <f t="shared" si="33"/>
        <v>927</v>
      </c>
      <c r="B430" s="36"/>
      <c r="C430" s="14" t="s">
        <v>764</v>
      </c>
      <c r="D430" s="14"/>
      <c r="E430" s="14"/>
      <c r="F430" s="156">
        <f>+F409+F401:F401</f>
        <v>74419571.099999994</v>
      </c>
      <c r="G430" s="156">
        <v>88992776.030000016</v>
      </c>
      <c r="H430" s="156">
        <f ca="1">+H409+H401:H401</f>
        <v>92210351.168282449</v>
      </c>
      <c r="I430" s="156">
        <f ca="1">+I409+I401:I401</f>
        <v>98934747.407107875</v>
      </c>
      <c r="K430" s="156">
        <f t="shared" ca="1" si="43"/>
        <v>98934747.407107875</v>
      </c>
      <c r="L430" s="156">
        <f ca="1">+K430-G430</f>
        <v>9941971.3771078587</v>
      </c>
      <c r="M430" s="225">
        <f t="shared" si="41"/>
        <v>425</v>
      </c>
    </row>
    <row r="431" spans="1:13">
      <c r="A431" s="250">
        <f t="shared" si="33"/>
        <v>928</v>
      </c>
      <c r="B431" s="36" t="s">
        <v>654</v>
      </c>
      <c r="C431" s="102"/>
      <c r="D431" s="102"/>
      <c r="E431" s="102"/>
      <c r="F431" s="147">
        <f>F131+F383+F428</f>
        <v>831281287.87061799</v>
      </c>
      <c r="G431" s="147">
        <v>830021115.96595287</v>
      </c>
      <c r="H431" s="147">
        <f ca="1">H131+H383+H428</f>
        <v>833894484.66925383</v>
      </c>
      <c r="I431" s="147">
        <f ca="1">I131+I383+I428</f>
        <v>842183396.07146573</v>
      </c>
      <c r="J431" s="147"/>
      <c r="K431" s="147">
        <f ca="1">K131+K383+K428</f>
        <v>842183396.07146573</v>
      </c>
      <c r="L431" s="147">
        <f ca="1">+K431-G431</f>
        <v>12162280.105512857</v>
      </c>
      <c r="M431" s="225">
        <f t="shared" si="41"/>
        <v>426</v>
      </c>
    </row>
    <row r="432" spans="1:13">
      <c r="M432" s="225">
        <f t="shared" si="41"/>
        <v>427</v>
      </c>
    </row>
    <row r="433" spans="13:13">
      <c r="M433" s="225">
        <f t="shared" si="41"/>
        <v>428</v>
      </c>
    </row>
    <row r="434" spans="13:13">
      <c r="M434" s="225">
        <f t="shared" si="41"/>
        <v>429</v>
      </c>
    </row>
    <row r="435" spans="13:13">
      <c r="M435" s="225">
        <f t="shared" si="41"/>
        <v>430</v>
      </c>
    </row>
    <row r="436" spans="13:13">
      <c r="M436" s="225">
        <f t="shared" si="41"/>
        <v>431</v>
      </c>
    </row>
    <row r="437" spans="13:13">
      <c r="M437" s="225">
        <f t="shared" si="41"/>
        <v>432</v>
      </c>
    </row>
    <row r="438" spans="13:13">
      <c r="M438" s="225">
        <f t="shared" si="41"/>
        <v>433</v>
      </c>
    </row>
    <row r="439" spans="13:13">
      <c r="M439" s="225">
        <f t="shared" si="41"/>
        <v>434</v>
      </c>
    </row>
    <row r="440" spans="13:13">
      <c r="M440" s="225">
        <f t="shared" si="41"/>
        <v>435</v>
      </c>
    </row>
    <row r="441" spans="13:13">
      <c r="M441" s="225">
        <f t="shared" si="41"/>
        <v>436</v>
      </c>
    </row>
    <row r="442" spans="13:13">
      <c r="M442" s="225">
        <f t="shared" si="41"/>
        <v>437</v>
      </c>
    </row>
    <row r="443" spans="13:13">
      <c r="M443" s="225">
        <f t="shared" si="41"/>
        <v>438</v>
      </c>
    </row>
    <row r="444" spans="13:13">
      <c r="M444" s="225">
        <f t="shared" si="41"/>
        <v>439</v>
      </c>
    </row>
    <row r="445" spans="13:13">
      <c r="M445" s="225">
        <f t="shared" si="41"/>
        <v>440</v>
      </c>
    </row>
    <row r="446" spans="13:13">
      <c r="M446" s="225">
        <f t="shared" si="41"/>
        <v>441</v>
      </c>
    </row>
    <row r="447" spans="13:13">
      <c r="M447" s="225">
        <f t="shared" si="41"/>
        <v>442</v>
      </c>
    </row>
    <row r="448" spans="13:13">
      <c r="M448" s="225">
        <f t="shared" si="41"/>
        <v>443</v>
      </c>
    </row>
    <row r="449" spans="13:13">
      <c r="M449" s="225">
        <f t="shared" si="41"/>
        <v>444</v>
      </c>
    </row>
    <row r="450" spans="13:13">
      <c r="M450" s="225">
        <f t="shared" si="41"/>
        <v>445</v>
      </c>
    </row>
  </sheetData>
  <dataConsolidate/>
  <mergeCells count="2">
    <mergeCell ref="D9:E9"/>
    <mergeCell ref="B10:E10"/>
  </mergeCells>
  <phoneticPr fontId="16" type="noConversion"/>
  <dataValidations count="1">
    <dataValidation showInputMessage="1" showErrorMessage="1" sqref="F6:I6"/>
  </dataValidations>
  <pageMargins left="1.5" right="0.25" top="0.34" bottom="0.28000000000000003" header="0.17" footer="0.16"/>
  <pageSetup scale="54" fitToHeight="3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X770"/>
  <sheetViews>
    <sheetView topLeftCell="B1" workbookViewId="0">
      <pane xSplit="5" ySplit="3" topLeftCell="AO736" activePane="bottomRight" state="frozen"/>
      <selection activeCell="B1" sqref="B1"/>
      <selection pane="topRight" activeCell="G1" sqref="G1"/>
      <selection pane="bottomLeft" activeCell="B4" sqref="B4"/>
      <selection pane="bottomRight" activeCell="AP773" sqref="AP773"/>
    </sheetView>
  </sheetViews>
  <sheetFormatPr defaultColWidth="9.85546875" defaultRowHeight="12.75"/>
  <cols>
    <col min="1" max="1" width="10.7109375" style="15" hidden="1" customWidth="1"/>
    <col min="2" max="4" width="9.85546875" style="15" customWidth="1"/>
    <col min="5" max="5" width="10" style="15" bestFit="1" customWidth="1"/>
    <col min="6" max="6" width="16.7109375" style="15" customWidth="1"/>
    <col min="7" max="43" width="12" style="15" customWidth="1"/>
    <col min="44" max="44" width="12.85546875" style="15" customWidth="1"/>
    <col min="45" max="45" width="18.140625" style="15" customWidth="1"/>
    <col min="46" max="46" width="14" style="15" customWidth="1"/>
    <col min="47" max="47" width="15.42578125" style="15" bestFit="1" customWidth="1"/>
    <col min="48" max="48" width="14.42578125" style="15" bestFit="1" customWidth="1"/>
    <col min="49" max="49" width="10.7109375" style="15" bestFit="1" customWidth="1"/>
    <col min="50" max="50" width="11.7109375" style="15" bestFit="1" customWidth="1"/>
    <col min="51" max="16384" width="9.85546875" style="15"/>
  </cols>
  <sheetData>
    <row r="1" spans="1:48">
      <c r="G1" s="1311" t="s">
        <v>854</v>
      </c>
      <c r="H1" s="1311" t="s">
        <v>854</v>
      </c>
      <c r="I1" s="1311" t="s">
        <v>854</v>
      </c>
      <c r="J1" s="1311" t="s">
        <v>854</v>
      </c>
      <c r="K1" s="1311" t="s">
        <v>854</v>
      </c>
      <c r="L1" s="1311" t="s">
        <v>854</v>
      </c>
      <c r="M1" s="1311" t="s">
        <v>854</v>
      </c>
      <c r="N1" s="1311" t="s">
        <v>854</v>
      </c>
      <c r="O1" s="1311" t="s">
        <v>854</v>
      </c>
      <c r="P1" s="1311" t="s">
        <v>854</v>
      </c>
      <c r="Q1" s="1311" t="s">
        <v>854</v>
      </c>
      <c r="R1" s="1311" t="s">
        <v>854</v>
      </c>
      <c r="S1" s="577"/>
      <c r="T1" s="577"/>
      <c r="U1" s="577"/>
      <c r="V1" s="577"/>
      <c r="W1" s="1311"/>
      <c r="X1" s="1311"/>
      <c r="Y1" s="1311"/>
      <c r="AR1" s="15" t="s">
        <v>996</v>
      </c>
      <c r="AS1" s="15" t="s">
        <v>996</v>
      </c>
      <c r="AT1" s="15" t="s">
        <v>996</v>
      </c>
      <c r="AU1" s="15">
        <v>2018</v>
      </c>
      <c r="AV1" s="15">
        <v>2019</v>
      </c>
    </row>
    <row r="2" spans="1:48" s="577" customFormat="1" ht="21" customHeight="1">
      <c r="B2" s="1234"/>
      <c r="C2" s="1235"/>
      <c r="D2" s="1235"/>
      <c r="E2" s="1235"/>
      <c r="F2" s="1236"/>
      <c r="G2" s="391">
        <f>'Rate Base'!T9</f>
        <v>42756</v>
      </c>
      <c r="H2" s="391">
        <f>'Rate Base'!U9</f>
        <v>42786</v>
      </c>
      <c r="I2" s="391">
        <f>'Rate Base'!V9</f>
        <v>42815</v>
      </c>
      <c r="J2" s="391">
        <f>'Rate Base'!W9</f>
        <v>42845</v>
      </c>
      <c r="K2" s="391">
        <f>'Rate Base'!X9</f>
        <v>42875</v>
      </c>
      <c r="L2" s="391">
        <f>'Rate Base'!Y9</f>
        <v>42905</v>
      </c>
      <c r="M2" s="391">
        <f>'Rate Base'!Z9</f>
        <v>42935</v>
      </c>
      <c r="N2" s="391">
        <f>'Rate Base'!AA9</f>
        <v>42965</v>
      </c>
      <c r="O2" s="391">
        <f>'Rate Base'!AB9</f>
        <v>42995</v>
      </c>
      <c r="P2" s="391">
        <f>'Rate Base'!AC9</f>
        <v>43025</v>
      </c>
      <c r="Q2" s="391">
        <f>'Rate Base'!AD9</f>
        <v>43055</v>
      </c>
      <c r="R2" s="391">
        <f>'Rate Base'!AE9</f>
        <v>43085</v>
      </c>
      <c r="S2" s="391"/>
      <c r="T2" s="391">
        <f>G2+365</f>
        <v>43121</v>
      </c>
      <c r="U2" s="391">
        <f t="shared" ref="U2:AE2" si="0">H2+365</f>
        <v>43151</v>
      </c>
      <c r="V2" s="391">
        <f t="shared" si="0"/>
        <v>43180</v>
      </c>
      <c r="W2" s="391">
        <f t="shared" si="0"/>
        <v>43210</v>
      </c>
      <c r="X2" s="391">
        <f t="shared" si="0"/>
        <v>43240</v>
      </c>
      <c r="Y2" s="391">
        <f t="shared" si="0"/>
        <v>43270</v>
      </c>
      <c r="Z2" s="391">
        <f t="shared" si="0"/>
        <v>43300</v>
      </c>
      <c r="AA2" s="391">
        <f t="shared" si="0"/>
        <v>43330</v>
      </c>
      <c r="AB2" s="391">
        <f t="shared" si="0"/>
        <v>43360</v>
      </c>
      <c r="AC2" s="391">
        <f t="shared" si="0"/>
        <v>43390</v>
      </c>
      <c r="AD2" s="391">
        <f t="shared" si="0"/>
        <v>43420</v>
      </c>
      <c r="AE2" s="391">
        <f t="shared" si="0"/>
        <v>43450</v>
      </c>
      <c r="AF2" s="391">
        <f>T2+365</f>
        <v>43486</v>
      </c>
      <c r="AG2" s="391">
        <f t="shared" ref="AG2:AQ2" si="1">U2+365</f>
        <v>43516</v>
      </c>
      <c r="AH2" s="391">
        <f t="shared" si="1"/>
        <v>43545</v>
      </c>
      <c r="AI2" s="391">
        <f t="shared" si="1"/>
        <v>43575</v>
      </c>
      <c r="AJ2" s="391">
        <f t="shared" si="1"/>
        <v>43605</v>
      </c>
      <c r="AK2" s="391">
        <f t="shared" si="1"/>
        <v>43635</v>
      </c>
      <c r="AL2" s="391">
        <f t="shared" si="1"/>
        <v>43665</v>
      </c>
      <c r="AM2" s="391">
        <f t="shared" si="1"/>
        <v>43695</v>
      </c>
      <c r="AN2" s="391">
        <f t="shared" si="1"/>
        <v>43725</v>
      </c>
      <c r="AO2" s="391">
        <f t="shared" si="1"/>
        <v>43755</v>
      </c>
      <c r="AP2" s="391">
        <f t="shared" si="1"/>
        <v>43785</v>
      </c>
      <c r="AQ2" s="391">
        <f t="shared" si="1"/>
        <v>43815</v>
      </c>
      <c r="AR2" s="391">
        <f>R2</f>
        <v>43085</v>
      </c>
      <c r="AS2" s="391">
        <f>AE2</f>
        <v>43450</v>
      </c>
      <c r="AT2" s="391">
        <f>AQ2</f>
        <v>43815</v>
      </c>
      <c r="AU2" s="391" t="s">
        <v>997</v>
      </c>
      <c r="AV2" s="391" t="s">
        <v>997</v>
      </c>
    </row>
    <row r="3" spans="1:48" ht="33.75" customHeight="1" thickBot="1">
      <c r="B3" s="118"/>
      <c r="C3" s="385" t="s">
        <v>841</v>
      </c>
      <c r="D3" s="48"/>
      <c r="E3" s="1552" t="s">
        <v>842</v>
      </c>
      <c r="F3" s="1552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535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 t="s">
        <v>998</v>
      </c>
      <c r="AS3" s="384" t="s">
        <v>998</v>
      </c>
      <c r="AT3" s="384" t="s">
        <v>998</v>
      </c>
      <c r="AU3" s="384"/>
      <c r="AV3" s="384"/>
    </row>
    <row r="4" spans="1:48">
      <c r="B4" s="118"/>
      <c r="C4" s="208"/>
      <c r="D4" s="102"/>
      <c r="E4" s="102"/>
      <c r="F4" s="102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</row>
    <row r="5" spans="1:48">
      <c r="B5" s="250"/>
      <c r="C5" s="1557" t="s">
        <v>342</v>
      </c>
      <c r="D5" s="1557"/>
      <c r="E5" s="1557"/>
      <c r="F5" s="616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1:48">
      <c r="B6" s="250">
        <v>615</v>
      </c>
      <c r="C6" s="49" t="s">
        <v>367</v>
      </c>
      <c r="D6" s="102"/>
      <c r="E6" s="102"/>
      <c r="F6" s="102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</row>
    <row r="7" spans="1:48">
      <c r="B7" s="250">
        <v>616</v>
      </c>
      <c r="C7" s="208"/>
      <c r="D7" s="102"/>
      <c r="E7" s="102"/>
      <c r="F7" s="102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</row>
    <row r="8" spans="1:48">
      <c r="B8" s="250">
        <v>617</v>
      </c>
      <c r="C8" s="49" t="s">
        <v>368</v>
      </c>
      <c r="D8" s="102"/>
      <c r="E8" s="102"/>
      <c r="F8" s="102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</row>
    <row r="9" spans="1:48">
      <c r="B9" s="250">
        <v>618</v>
      </c>
      <c r="C9" s="208"/>
      <c r="D9" s="102"/>
      <c r="E9" s="102"/>
      <c r="F9" s="102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</row>
    <row r="10" spans="1:48">
      <c r="A10" s="15" t="s">
        <v>999</v>
      </c>
      <c r="B10" s="250">
        <v>619</v>
      </c>
      <c r="C10" s="212">
        <v>810</v>
      </c>
      <c r="D10" s="102" t="s">
        <v>369</v>
      </c>
      <c r="E10" s="102"/>
      <c r="F10" s="102"/>
      <c r="G10" s="186">
        <f t="shared" ref="G10:AE11" si="2">G264+G518</f>
        <v>-3059</v>
      </c>
      <c r="H10" s="186">
        <f t="shared" si="2"/>
        <v>-620</v>
      </c>
      <c r="I10" s="186">
        <f t="shared" si="2"/>
        <v>-1026</v>
      </c>
      <c r="J10" s="186">
        <f t="shared" si="2"/>
        <v>-666</v>
      </c>
      <c r="K10" s="186">
        <f t="shared" si="2"/>
        <v>-2201</v>
      </c>
      <c r="L10" s="186">
        <f t="shared" si="2"/>
        <v>-517</v>
      </c>
      <c r="M10" s="186">
        <f t="shared" si="2"/>
        <v>-2920</v>
      </c>
      <c r="N10" s="186">
        <f t="shared" si="2"/>
        <v>-344</v>
      </c>
      <c r="O10" s="186">
        <f t="shared" si="2"/>
        <v>-441</v>
      </c>
      <c r="P10" s="186">
        <f t="shared" si="2"/>
        <v>-708</v>
      </c>
      <c r="Q10" s="186">
        <f t="shared" si="2"/>
        <v>-1073</v>
      </c>
      <c r="R10" s="186">
        <f t="shared" si="2"/>
        <v>-658</v>
      </c>
      <c r="S10" s="186"/>
      <c r="T10" s="186">
        <f t="shared" ref="T10:Y10" si="3">T264+T518</f>
        <v>-3126.2980000000002</v>
      </c>
      <c r="U10" s="186">
        <f t="shared" si="3"/>
        <v>-633.64</v>
      </c>
      <c r="V10" s="186">
        <f t="shared" si="3"/>
        <v>-1048.5720000000001</v>
      </c>
      <c r="W10" s="186">
        <f t="shared" si="3"/>
        <v>-680.65200000000004</v>
      </c>
      <c r="X10" s="186">
        <f t="shared" si="3"/>
        <v>-2249.422</v>
      </c>
      <c r="Y10" s="186">
        <f t="shared" si="3"/>
        <v>-528.37400000000002</v>
      </c>
      <c r="Z10" s="186">
        <f t="shared" si="2"/>
        <v>-2984.2400000000002</v>
      </c>
      <c r="AA10" s="186">
        <f t="shared" si="2"/>
        <v>-351.56799999999998</v>
      </c>
      <c r="AB10" s="186">
        <f t="shared" si="2"/>
        <v>-450.702</v>
      </c>
      <c r="AC10" s="186">
        <f t="shared" si="2"/>
        <v>-723.57600000000002</v>
      </c>
      <c r="AD10" s="186">
        <f t="shared" si="2"/>
        <v>-1096.606</v>
      </c>
      <c r="AE10" s="186">
        <f>AE264+AE518</f>
        <v>-672.476</v>
      </c>
      <c r="AF10" s="186">
        <f t="shared" ref="AF10:AP10" si="4">AF264+AF518</f>
        <v>-3185.697662</v>
      </c>
      <c r="AG10" s="186">
        <f t="shared" si="4"/>
        <v>-645.67915999999991</v>
      </c>
      <c r="AH10" s="186">
        <f t="shared" si="4"/>
        <v>-1068.494868</v>
      </c>
      <c r="AI10" s="186">
        <f t="shared" si="4"/>
        <v>-693.58438799999999</v>
      </c>
      <c r="AJ10" s="186">
        <f t="shared" si="4"/>
        <v>-2292.1610179999998</v>
      </c>
      <c r="AK10" s="186">
        <f t="shared" si="4"/>
        <v>-538.41310599999997</v>
      </c>
      <c r="AL10" s="186">
        <f t="shared" si="4"/>
        <v>-3040.94056</v>
      </c>
      <c r="AM10" s="186">
        <f t="shared" si="4"/>
        <v>-358.24779199999995</v>
      </c>
      <c r="AN10" s="186">
        <f t="shared" si="4"/>
        <v>-459.26533799999993</v>
      </c>
      <c r="AO10" s="186">
        <f t="shared" si="4"/>
        <v>-737.32394399999998</v>
      </c>
      <c r="AP10" s="186">
        <f t="shared" si="4"/>
        <v>-1117.4415139999999</v>
      </c>
      <c r="AQ10" s="186">
        <f>AQ264+AQ518</f>
        <v>-685.25304399999993</v>
      </c>
      <c r="AR10" s="186">
        <f>SUM(G10:R10)</f>
        <v>-14233</v>
      </c>
      <c r="AS10" s="186">
        <f>SUM(T10:AE10)</f>
        <v>-14546.125999999998</v>
      </c>
      <c r="AT10" s="186">
        <f>SUM(AF10:AQ10)</f>
        <v>-14822.502393999999</v>
      </c>
      <c r="AU10" s="171"/>
      <c r="AV10" s="171"/>
    </row>
    <row r="11" spans="1:48">
      <c r="A11" s="15" t="s">
        <v>1000</v>
      </c>
      <c r="B11" s="250">
        <v>620</v>
      </c>
      <c r="C11" s="212">
        <v>812</v>
      </c>
      <c r="D11" s="102" t="s">
        <v>372</v>
      </c>
      <c r="E11" s="102"/>
      <c r="F11" s="102"/>
      <c r="G11" s="204">
        <f t="shared" si="2"/>
        <v>-119129.06999999999</v>
      </c>
      <c r="H11" s="204">
        <f t="shared" si="2"/>
        <v>-85342.02</v>
      </c>
      <c r="I11" s="204">
        <f t="shared" si="2"/>
        <v>-91810.39</v>
      </c>
      <c r="J11" s="204">
        <f t="shared" si="2"/>
        <v>-76634.570000000007</v>
      </c>
      <c r="K11" s="204">
        <f t="shared" si="2"/>
        <v>-65162.960000000006</v>
      </c>
      <c r="L11" s="204">
        <f t="shared" si="2"/>
        <v>-63495.320000000007</v>
      </c>
      <c r="M11" s="204">
        <f t="shared" si="2"/>
        <v>-55982.46</v>
      </c>
      <c r="N11" s="204">
        <f t="shared" si="2"/>
        <v>-57654.82</v>
      </c>
      <c r="O11" s="204">
        <f t="shared" si="2"/>
        <v>-56779.490000000005</v>
      </c>
      <c r="P11" s="204">
        <f t="shared" si="2"/>
        <v>-58980.97</v>
      </c>
      <c r="Q11" s="204">
        <f t="shared" si="2"/>
        <v>-69808.03</v>
      </c>
      <c r="R11" s="204">
        <f t="shared" si="2"/>
        <v>-92311.830000000016</v>
      </c>
      <c r="S11" s="617"/>
      <c r="T11" s="204">
        <f t="shared" ref="T11:Y11" si="5">T265+T519</f>
        <v>-121749.90953999999</v>
      </c>
      <c r="U11" s="204">
        <f t="shared" si="5"/>
        <v>-87219.544440000012</v>
      </c>
      <c r="V11" s="204">
        <f t="shared" si="5"/>
        <v>-93830.218580000001</v>
      </c>
      <c r="W11" s="204">
        <f t="shared" si="5"/>
        <v>-78320.530540000007</v>
      </c>
      <c r="X11" s="204">
        <f t="shared" si="5"/>
        <v>-66596.54512000001</v>
      </c>
      <c r="Y11" s="204">
        <f t="shared" si="5"/>
        <v>-64892.21704000001</v>
      </c>
      <c r="Z11" s="204">
        <f t="shared" si="2"/>
        <v>-57214.074119999997</v>
      </c>
      <c r="AA11" s="204">
        <f t="shared" si="2"/>
        <v>-58923.226040000001</v>
      </c>
      <c r="AB11" s="204">
        <f t="shared" si="2"/>
        <v>-58028.638780000008</v>
      </c>
      <c r="AC11" s="204">
        <f t="shared" si="2"/>
        <v>-60278.551340000005</v>
      </c>
      <c r="AD11" s="204">
        <f t="shared" si="2"/>
        <v>-71343.806660000002</v>
      </c>
      <c r="AE11" s="204">
        <f t="shared" si="2"/>
        <v>-94342.690260000018</v>
      </c>
      <c r="AF11" s="204">
        <f t="shared" ref="AF11:AQ11" si="6">AF265+AF519</f>
        <v>-124063.15782125999</v>
      </c>
      <c r="AG11" s="204">
        <f t="shared" si="6"/>
        <v>-88876.71578436</v>
      </c>
      <c r="AH11" s="204">
        <f t="shared" si="6"/>
        <v>-95612.992733019986</v>
      </c>
      <c r="AI11" s="204">
        <f t="shared" si="6"/>
        <v>-79808.620620260001</v>
      </c>
      <c r="AJ11" s="204">
        <f t="shared" si="6"/>
        <v>-67861.879477280003</v>
      </c>
      <c r="AK11" s="204">
        <f t="shared" si="6"/>
        <v>-66125.169163760002</v>
      </c>
      <c r="AL11" s="204">
        <f t="shared" si="6"/>
        <v>-58301.141528279994</v>
      </c>
      <c r="AM11" s="204">
        <f t="shared" si="6"/>
        <v>-60042.767334759999</v>
      </c>
      <c r="AN11" s="204">
        <f t="shared" si="6"/>
        <v>-59131.182916820006</v>
      </c>
      <c r="AO11" s="204">
        <f t="shared" si="6"/>
        <v>-61423.843815460001</v>
      </c>
      <c r="AP11" s="204">
        <f t="shared" si="6"/>
        <v>-72699.338986539995</v>
      </c>
      <c r="AQ11" s="204">
        <f t="shared" si="6"/>
        <v>-96135.201374940007</v>
      </c>
      <c r="AR11" s="204">
        <f>SUM(G11:R11)</f>
        <v>-893091.92999999993</v>
      </c>
      <c r="AS11" s="204">
        <f>SUM(T11:AE11)</f>
        <v>-912739.95246000006</v>
      </c>
      <c r="AT11" s="204">
        <f>SUM(AF11:AQ11)</f>
        <v>-930082.01155674004</v>
      </c>
      <c r="AU11" s="618"/>
      <c r="AV11" s="618"/>
    </row>
    <row r="12" spans="1:48">
      <c r="B12" s="250">
        <v>621</v>
      </c>
      <c r="C12" s="208"/>
      <c r="D12" s="102"/>
      <c r="E12" s="102"/>
      <c r="F12" s="102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71"/>
      <c r="AV12" s="171"/>
    </row>
    <row r="13" spans="1:48">
      <c r="A13" s="619"/>
      <c r="B13" s="250">
        <v>622</v>
      </c>
      <c r="C13" s="102"/>
      <c r="D13" s="49" t="s">
        <v>373</v>
      </c>
      <c r="E13" s="102"/>
      <c r="F13" s="102"/>
      <c r="G13" s="116">
        <f t="shared" ref="G13:AE13" si="7">SUM(G10:G12)</f>
        <v>-122188.06999999999</v>
      </c>
      <c r="H13" s="116">
        <f t="shared" si="7"/>
        <v>-85962.02</v>
      </c>
      <c r="I13" s="116">
        <f t="shared" si="7"/>
        <v>-92836.39</v>
      </c>
      <c r="J13" s="116">
        <f t="shared" si="7"/>
        <v>-77300.570000000007</v>
      </c>
      <c r="K13" s="116">
        <f t="shared" si="7"/>
        <v>-67363.960000000006</v>
      </c>
      <c r="L13" s="116">
        <f t="shared" si="7"/>
        <v>-64012.320000000007</v>
      </c>
      <c r="M13" s="116">
        <f t="shared" si="7"/>
        <v>-58902.46</v>
      </c>
      <c r="N13" s="116">
        <f t="shared" si="7"/>
        <v>-57998.82</v>
      </c>
      <c r="O13" s="116">
        <f t="shared" si="7"/>
        <v>-57220.490000000005</v>
      </c>
      <c r="P13" s="116">
        <f t="shared" si="7"/>
        <v>-59688.97</v>
      </c>
      <c r="Q13" s="116">
        <f t="shared" si="7"/>
        <v>-70881.03</v>
      </c>
      <c r="R13" s="116">
        <f t="shared" si="7"/>
        <v>-92969.830000000016</v>
      </c>
      <c r="S13" s="116"/>
      <c r="T13" s="116">
        <f t="shared" ref="T13:Y13" si="8">SUM(T10:T12)</f>
        <v>-124876.20753999999</v>
      </c>
      <c r="U13" s="116">
        <f t="shared" si="8"/>
        <v>-87853.184440000012</v>
      </c>
      <c r="V13" s="116">
        <f t="shared" si="8"/>
        <v>-94878.790580000001</v>
      </c>
      <c r="W13" s="116">
        <f t="shared" si="8"/>
        <v>-79001.182540000009</v>
      </c>
      <c r="X13" s="116">
        <f t="shared" si="8"/>
        <v>-68845.967120000016</v>
      </c>
      <c r="Y13" s="116">
        <f t="shared" si="8"/>
        <v>-65420.591040000014</v>
      </c>
      <c r="Z13" s="116">
        <f t="shared" si="7"/>
        <v>-60198.314119999995</v>
      </c>
      <c r="AA13" s="116">
        <f t="shared" si="7"/>
        <v>-59274.794040000001</v>
      </c>
      <c r="AB13" s="116">
        <f t="shared" si="7"/>
        <v>-58479.340780000006</v>
      </c>
      <c r="AC13" s="116">
        <f t="shared" si="7"/>
        <v>-61002.127340000006</v>
      </c>
      <c r="AD13" s="116">
        <f t="shared" si="7"/>
        <v>-72440.412660000002</v>
      </c>
      <c r="AE13" s="116">
        <f t="shared" si="7"/>
        <v>-95015.166260000013</v>
      </c>
      <c r="AF13" s="116">
        <f t="shared" ref="AF13:AQ13" si="9">SUM(AF10:AF12)</f>
        <v>-127248.85548325999</v>
      </c>
      <c r="AG13" s="116">
        <f t="shared" si="9"/>
        <v>-89522.394944359999</v>
      </c>
      <c r="AH13" s="116">
        <f t="shared" si="9"/>
        <v>-96681.487601019981</v>
      </c>
      <c r="AI13" s="116">
        <f t="shared" si="9"/>
        <v>-80502.205008260004</v>
      </c>
      <c r="AJ13" s="116">
        <f t="shared" si="9"/>
        <v>-70154.040495280002</v>
      </c>
      <c r="AK13" s="116">
        <f t="shared" si="9"/>
        <v>-66663.582269759994</v>
      </c>
      <c r="AL13" s="116">
        <f t="shared" si="9"/>
        <v>-61342.082088279996</v>
      </c>
      <c r="AM13" s="116">
        <f t="shared" si="9"/>
        <v>-60401.015126760001</v>
      </c>
      <c r="AN13" s="116">
        <f t="shared" si="9"/>
        <v>-59590.448254820003</v>
      </c>
      <c r="AO13" s="116">
        <f t="shared" si="9"/>
        <v>-62161.167759460004</v>
      </c>
      <c r="AP13" s="116">
        <f t="shared" si="9"/>
        <v>-73816.780500540001</v>
      </c>
      <c r="AQ13" s="116">
        <f t="shared" si="9"/>
        <v>-96820.454418940004</v>
      </c>
      <c r="AR13" s="116">
        <f>SUM(G13:R13)</f>
        <v>-907324.92999999993</v>
      </c>
      <c r="AS13" s="116">
        <f>SUM(T13:AE13)</f>
        <v>-927286.07845999999</v>
      </c>
      <c r="AT13" s="116">
        <f>SUM(AF13:AQ13)</f>
        <v>-944904.5139507401</v>
      </c>
      <c r="AU13" s="171"/>
      <c r="AV13" s="171"/>
    </row>
    <row r="14" spans="1:48">
      <c r="B14" s="250">
        <v>623</v>
      </c>
      <c r="C14" s="208"/>
      <c r="D14" s="102"/>
      <c r="E14" s="102"/>
      <c r="F14" s="102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71"/>
      <c r="AV14" s="171"/>
    </row>
    <row r="15" spans="1:48">
      <c r="B15" s="250">
        <v>624</v>
      </c>
      <c r="C15" s="49" t="s">
        <v>374</v>
      </c>
      <c r="D15" s="102"/>
      <c r="E15" s="102"/>
      <c r="F15" s="102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71"/>
      <c r="AV15" s="171"/>
    </row>
    <row r="16" spans="1:48">
      <c r="B16" s="250">
        <v>625</v>
      </c>
      <c r="C16" s="208"/>
      <c r="D16" s="102" t="s">
        <v>838</v>
      </c>
      <c r="E16" s="102"/>
      <c r="F16" s="102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71"/>
      <c r="AV16" s="171"/>
    </row>
    <row r="17" spans="1:48">
      <c r="B17" s="250">
        <v>626</v>
      </c>
      <c r="C17" s="212">
        <v>870</v>
      </c>
      <c r="D17" s="102" t="s">
        <v>375</v>
      </c>
      <c r="E17" s="102"/>
      <c r="F17" s="102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71"/>
      <c r="AV17" s="171"/>
    </row>
    <row r="18" spans="1:48">
      <c r="B18" s="250">
        <v>627</v>
      </c>
      <c r="C18" s="212"/>
      <c r="D18" s="102"/>
      <c r="E18" s="102" t="s">
        <v>14</v>
      </c>
      <c r="F18" s="102"/>
      <c r="G18" s="186">
        <f t="shared" ref="G18:AE19" si="10">G272+G526</f>
        <v>2750487.5</v>
      </c>
      <c r="H18" s="186">
        <f t="shared" si="10"/>
        <v>413356.81</v>
      </c>
      <c r="I18" s="186">
        <f t="shared" si="10"/>
        <v>961605.2699999999</v>
      </c>
      <c r="J18" s="186">
        <f t="shared" si="10"/>
        <v>658383.09000000008</v>
      </c>
      <c r="K18" s="186">
        <f t="shared" si="10"/>
        <v>633813.13</v>
      </c>
      <c r="L18" s="186">
        <f t="shared" si="10"/>
        <v>957297.87</v>
      </c>
      <c r="M18" s="186">
        <f t="shared" si="10"/>
        <v>818280.21</v>
      </c>
      <c r="N18" s="186">
        <f t="shared" si="10"/>
        <v>935578.86</v>
      </c>
      <c r="O18" s="186">
        <f t="shared" si="10"/>
        <v>741599.35000000009</v>
      </c>
      <c r="P18" s="186">
        <f t="shared" si="10"/>
        <v>594986.93999999994</v>
      </c>
      <c r="Q18" s="186">
        <f t="shared" si="10"/>
        <v>451680.10000000003</v>
      </c>
      <c r="R18" s="186">
        <f t="shared" si="10"/>
        <v>1213285.99</v>
      </c>
      <c r="S18" s="186"/>
      <c r="T18" s="186">
        <f t="shared" ref="T18:Y18" si="11">T272+T526</f>
        <v>2644294.4414239149</v>
      </c>
      <c r="U18" s="186">
        <f t="shared" si="11"/>
        <v>375113.58052624727</v>
      </c>
      <c r="V18" s="186">
        <f t="shared" si="11"/>
        <v>937336.87309894105</v>
      </c>
      <c r="W18" s="186">
        <f t="shared" si="11"/>
        <v>624406.02458007727</v>
      </c>
      <c r="X18" s="186">
        <f t="shared" si="11"/>
        <v>605332.57550960616</v>
      </c>
      <c r="Y18" s="186">
        <f t="shared" si="11"/>
        <v>935554.02835117909</v>
      </c>
      <c r="Z18" s="186">
        <f t="shared" si="10"/>
        <v>796795.36130791786</v>
      </c>
      <c r="AA18" s="186">
        <f t="shared" si="10"/>
        <v>914742.92147253221</v>
      </c>
      <c r="AB18" s="186">
        <f t="shared" si="10"/>
        <v>715348.87811493082</v>
      </c>
      <c r="AC18" s="186">
        <f t="shared" si="10"/>
        <v>590843.62694069021</v>
      </c>
      <c r="AD18" s="186">
        <f t="shared" si="10"/>
        <v>425989.0952456324</v>
      </c>
      <c r="AE18" s="186">
        <f t="shared" si="10"/>
        <v>1197548.9716122367</v>
      </c>
      <c r="AF18" s="186">
        <f t="shared" ref="AF18:AQ18" si="12">AF272+AF526</f>
        <v>2670563.8686874928</v>
      </c>
      <c r="AG18" s="186">
        <f t="shared" si="12"/>
        <v>374616.48574424325</v>
      </c>
      <c r="AH18" s="186">
        <f t="shared" si="12"/>
        <v>949085.79204342538</v>
      </c>
      <c r="AI18" s="186">
        <f t="shared" si="12"/>
        <v>628987.12671749573</v>
      </c>
      <c r="AJ18" s="186">
        <f t="shared" si="12"/>
        <v>610586.18295088829</v>
      </c>
      <c r="AK18" s="186">
        <f t="shared" si="12"/>
        <v>947732.2086865895</v>
      </c>
      <c r="AL18" s="186">
        <f t="shared" si="12"/>
        <v>806626.85244399216</v>
      </c>
      <c r="AM18" s="186">
        <f t="shared" si="12"/>
        <v>926727.50215320836</v>
      </c>
      <c r="AN18" s="186">
        <f t="shared" si="12"/>
        <v>722906.8620108508</v>
      </c>
      <c r="AO18" s="186">
        <f t="shared" si="12"/>
        <v>600281.95117970696</v>
      </c>
      <c r="AP18" s="186">
        <f t="shared" si="12"/>
        <v>428656.95191598986</v>
      </c>
      <c r="AQ18" s="186">
        <f t="shared" si="12"/>
        <v>1215341.6733515498</v>
      </c>
      <c r="AR18" s="186">
        <f>SUM(G18:R18)</f>
        <v>11130355.119999999</v>
      </c>
      <c r="AS18" s="186">
        <f>SUM(T18:AE18)</f>
        <v>10763306.378183909</v>
      </c>
      <c r="AT18" s="186">
        <f>SUM(AF18:AQ18)</f>
        <v>10882113.457885435</v>
      </c>
      <c r="AU18" s="171"/>
      <c r="AV18" s="171"/>
    </row>
    <row r="19" spans="1:48">
      <c r="B19" s="250">
        <v>628</v>
      </c>
      <c r="C19" s="212"/>
      <c r="D19" s="102"/>
      <c r="E19" s="102" t="s">
        <v>24</v>
      </c>
      <c r="F19" s="102"/>
      <c r="G19" s="186">
        <f t="shared" si="10"/>
        <v>104798.89</v>
      </c>
      <c r="H19" s="186">
        <f t="shared" si="10"/>
        <v>31269.780000000002</v>
      </c>
      <c r="I19" s="186">
        <f t="shared" si="10"/>
        <v>57621.86</v>
      </c>
      <c r="J19" s="186">
        <f t="shared" si="10"/>
        <v>49464.83</v>
      </c>
      <c r="K19" s="186">
        <f t="shared" si="10"/>
        <v>42184.75</v>
      </c>
      <c r="L19" s="186">
        <f t="shared" si="10"/>
        <v>53793.18</v>
      </c>
      <c r="M19" s="186">
        <f t="shared" si="10"/>
        <v>40972.770000000004</v>
      </c>
      <c r="N19" s="186">
        <f t="shared" si="10"/>
        <v>53331.78</v>
      </c>
      <c r="O19" s="186">
        <f t="shared" si="10"/>
        <v>47202.42</v>
      </c>
      <c r="P19" s="186">
        <f t="shared" si="10"/>
        <v>37317.14</v>
      </c>
      <c r="Q19" s="186">
        <f t="shared" si="10"/>
        <v>39439.11</v>
      </c>
      <c r="R19" s="186">
        <f t="shared" si="10"/>
        <v>85881.05</v>
      </c>
      <c r="S19" s="186"/>
      <c r="T19" s="186">
        <f t="shared" ref="T19:Y19" si="13">T273+T527</f>
        <v>105610.34439886738</v>
      </c>
      <c r="U19" s="186">
        <f t="shared" si="13"/>
        <v>30253.449799700255</v>
      </c>
      <c r="V19" s="186">
        <f t="shared" si="13"/>
        <v>56754.041067356731</v>
      </c>
      <c r="W19" s="186">
        <f t="shared" si="13"/>
        <v>48519.274093337859</v>
      </c>
      <c r="X19" s="186">
        <f t="shared" si="13"/>
        <v>41161.951119239719</v>
      </c>
      <c r="Y19" s="186">
        <f t="shared" si="13"/>
        <v>53314.481289776231</v>
      </c>
      <c r="Z19" s="186">
        <f t="shared" si="10"/>
        <v>40482.497771815062</v>
      </c>
      <c r="AA19" s="186">
        <f t="shared" si="10"/>
        <v>52647.782310246672</v>
      </c>
      <c r="AB19" s="186">
        <f t="shared" si="10"/>
        <v>46438.022672718493</v>
      </c>
      <c r="AC19" s="186">
        <f t="shared" si="10"/>
        <v>36673.669710168499</v>
      </c>
      <c r="AD19" s="186">
        <f t="shared" si="10"/>
        <v>38198.391070297403</v>
      </c>
      <c r="AE19" s="186">
        <f t="shared" si="10"/>
        <v>84291.12010917133</v>
      </c>
      <c r="AF19" s="186">
        <f t="shared" ref="AF19:AQ19" si="14">AF273+AF527</f>
        <v>107580.20918656622</v>
      </c>
      <c r="AG19" s="186">
        <f t="shared" si="14"/>
        <v>30590.192609424354</v>
      </c>
      <c r="AH19" s="186">
        <f t="shared" si="14"/>
        <v>57575.036901774911</v>
      </c>
      <c r="AI19" s="186">
        <f t="shared" si="14"/>
        <v>49184.037597997667</v>
      </c>
      <c r="AJ19" s="186">
        <f t="shared" si="14"/>
        <v>41685.710086478473</v>
      </c>
      <c r="AK19" s="186">
        <f t="shared" si="14"/>
        <v>54147.042082105414</v>
      </c>
      <c r="AL19" s="186">
        <f t="shared" si="14"/>
        <v>41091.570632231611</v>
      </c>
      <c r="AM19" s="186">
        <f t="shared" si="14"/>
        <v>53431.431968918216</v>
      </c>
      <c r="AN19" s="186">
        <f t="shared" si="14"/>
        <v>47099.890503472518</v>
      </c>
      <c r="AO19" s="186">
        <f t="shared" si="14"/>
        <v>37189.116743989507</v>
      </c>
      <c r="AP19" s="186">
        <f t="shared" si="14"/>
        <v>38631.313376158243</v>
      </c>
      <c r="AQ19" s="186">
        <f t="shared" si="14"/>
        <v>85455.607600020332</v>
      </c>
      <c r="AR19" s="186">
        <f>SUM(G19:R19)</f>
        <v>643277.56000000017</v>
      </c>
      <c r="AS19" s="186">
        <f>SUM(T19:AE19)</f>
        <v>634345.02541269572</v>
      </c>
      <c r="AT19" s="186">
        <f>SUM(AF19:AQ19)</f>
        <v>643661.15928913758</v>
      </c>
      <c r="AU19" s="171"/>
      <c r="AV19" s="171"/>
    </row>
    <row r="20" spans="1:48">
      <c r="A20" s="15" t="s">
        <v>1001</v>
      </c>
      <c r="B20" s="250">
        <v>629</v>
      </c>
      <c r="C20" s="212"/>
      <c r="D20" s="102"/>
      <c r="E20" s="102" t="s">
        <v>170</v>
      </c>
      <c r="F20" s="102"/>
      <c r="G20" s="131">
        <f t="shared" ref="G20:AE20" si="15">SUM(G18:G19)</f>
        <v>2855286.39</v>
      </c>
      <c r="H20" s="131">
        <f t="shared" si="15"/>
        <v>444626.59</v>
      </c>
      <c r="I20" s="131">
        <f t="shared" si="15"/>
        <v>1019227.1299999999</v>
      </c>
      <c r="J20" s="131">
        <f t="shared" si="15"/>
        <v>707847.92</v>
      </c>
      <c r="K20" s="131">
        <f t="shared" si="15"/>
        <v>675997.88</v>
      </c>
      <c r="L20" s="131">
        <f t="shared" si="15"/>
        <v>1011091.05</v>
      </c>
      <c r="M20" s="131">
        <f t="shared" si="15"/>
        <v>859252.98</v>
      </c>
      <c r="N20" s="131">
        <f t="shared" si="15"/>
        <v>988910.64</v>
      </c>
      <c r="O20" s="131">
        <f t="shared" si="15"/>
        <v>788801.77000000014</v>
      </c>
      <c r="P20" s="131">
        <f t="shared" si="15"/>
        <v>632304.07999999996</v>
      </c>
      <c r="Q20" s="131">
        <f t="shared" si="15"/>
        <v>491119.21</v>
      </c>
      <c r="R20" s="131">
        <f t="shared" si="15"/>
        <v>1299167.04</v>
      </c>
      <c r="S20" s="620"/>
      <c r="T20" s="131">
        <f t="shared" ref="T20:Y20" si="16">SUM(T18:T19)</f>
        <v>2749904.7858227822</v>
      </c>
      <c r="U20" s="131">
        <f t="shared" si="16"/>
        <v>405367.0303259475</v>
      </c>
      <c r="V20" s="131">
        <f t="shared" si="16"/>
        <v>994090.91416629776</v>
      </c>
      <c r="W20" s="131">
        <f t="shared" si="16"/>
        <v>672925.29867341509</v>
      </c>
      <c r="X20" s="131">
        <f t="shared" si="16"/>
        <v>646494.52662884584</v>
      </c>
      <c r="Y20" s="131">
        <f t="shared" si="16"/>
        <v>988868.50964095537</v>
      </c>
      <c r="Z20" s="131">
        <f t="shared" si="15"/>
        <v>837277.85907973291</v>
      </c>
      <c r="AA20" s="131">
        <f t="shared" si="15"/>
        <v>967390.70378277893</v>
      </c>
      <c r="AB20" s="131">
        <f t="shared" si="15"/>
        <v>761786.90078764933</v>
      </c>
      <c r="AC20" s="131">
        <f t="shared" si="15"/>
        <v>627517.29665085871</v>
      </c>
      <c r="AD20" s="131">
        <f t="shared" si="15"/>
        <v>464187.4863159298</v>
      </c>
      <c r="AE20" s="131">
        <f t="shared" si="15"/>
        <v>1281840.0917214081</v>
      </c>
      <c r="AF20" s="131">
        <f t="shared" ref="AF20:AQ20" si="17">SUM(AF18:AF19)</f>
        <v>2778144.0778740589</v>
      </c>
      <c r="AG20" s="131">
        <f t="shared" si="17"/>
        <v>405206.67835366761</v>
      </c>
      <c r="AH20" s="131">
        <f t="shared" si="17"/>
        <v>1006660.8289452003</v>
      </c>
      <c r="AI20" s="131">
        <f t="shared" si="17"/>
        <v>678171.16431549343</v>
      </c>
      <c r="AJ20" s="131">
        <f t="shared" si="17"/>
        <v>652271.8930373668</v>
      </c>
      <c r="AK20" s="131">
        <f t="shared" si="17"/>
        <v>1001879.2507686949</v>
      </c>
      <c r="AL20" s="131">
        <f t="shared" si="17"/>
        <v>847718.42307622381</v>
      </c>
      <c r="AM20" s="131">
        <f t="shared" si="17"/>
        <v>980158.93412212655</v>
      </c>
      <c r="AN20" s="131">
        <f t="shared" si="17"/>
        <v>770006.75251432334</v>
      </c>
      <c r="AO20" s="131">
        <f t="shared" si="17"/>
        <v>637471.06792369648</v>
      </c>
      <c r="AP20" s="131">
        <f t="shared" si="17"/>
        <v>467288.26529214811</v>
      </c>
      <c r="AQ20" s="131">
        <f t="shared" si="17"/>
        <v>1300797.28095157</v>
      </c>
      <c r="AR20" s="131">
        <f>SUM(G20:R20)</f>
        <v>11773632.68</v>
      </c>
      <c r="AS20" s="131">
        <f>SUM(T20:AE20)</f>
        <v>11397651.403596601</v>
      </c>
      <c r="AT20" s="131">
        <f>SUM(AF20:AQ20)</f>
        <v>11525774.617174573</v>
      </c>
      <c r="AU20" s="621"/>
      <c r="AV20" s="621"/>
    </row>
    <row r="21" spans="1:48">
      <c r="B21" s="250">
        <v>630</v>
      </c>
      <c r="C21" s="212"/>
      <c r="D21" s="102"/>
      <c r="E21" s="102"/>
      <c r="F21" s="102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71"/>
      <c r="AV21" s="171"/>
    </row>
    <row r="22" spans="1:48">
      <c r="B22" s="250">
        <v>631</v>
      </c>
      <c r="C22" s="212">
        <v>871</v>
      </c>
      <c r="D22" s="102" t="s">
        <v>376</v>
      </c>
      <c r="E22" s="102"/>
      <c r="F22" s="102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71"/>
      <c r="AV22" s="171"/>
    </row>
    <row r="23" spans="1:48">
      <c r="B23" s="250">
        <v>632</v>
      </c>
      <c r="C23" s="212"/>
      <c r="D23" s="102"/>
      <c r="E23" s="102" t="s">
        <v>14</v>
      </c>
      <c r="F23" s="102"/>
      <c r="G23" s="186">
        <f t="shared" ref="G23:AE24" si="18">G277+G531</f>
        <v>177916.23</v>
      </c>
      <c r="H23" s="186">
        <f t="shared" si="18"/>
        <v>152345.06</v>
      </c>
      <c r="I23" s="186">
        <f t="shared" si="18"/>
        <v>174551.69</v>
      </c>
      <c r="J23" s="186">
        <f t="shared" si="18"/>
        <v>131648.76999999999</v>
      </c>
      <c r="K23" s="186">
        <f t="shared" si="18"/>
        <v>156206.44</v>
      </c>
      <c r="L23" s="186">
        <f t="shared" si="18"/>
        <v>160492.58000000002</v>
      </c>
      <c r="M23" s="186">
        <f t="shared" si="18"/>
        <v>144422.67000000001</v>
      </c>
      <c r="N23" s="186">
        <f t="shared" si="18"/>
        <v>163885.92000000001</v>
      </c>
      <c r="O23" s="186">
        <f t="shared" si="18"/>
        <v>163573.32</v>
      </c>
      <c r="P23" s="186">
        <f t="shared" si="18"/>
        <v>128317.45</v>
      </c>
      <c r="Q23" s="186">
        <f t="shared" si="18"/>
        <v>147765.44</v>
      </c>
      <c r="R23" s="186">
        <f t="shared" si="18"/>
        <v>178870.65</v>
      </c>
      <c r="S23" s="186"/>
      <c r="T23" s="186">
        <f t="shared" ref="T23:Y23" si="19">T277+T531</f>
        <v>169975.6726707817</v>
      </c>
      <c r="U23" s="186">
        <f t="shared" si="19"/>
        <v>146607.76275350383</v>
      </c>
      <c r="V23" s="186">
        <f t="shared" si="19"/>
        <v>165975.83536611925</v>
      </c>
      <c r="W23" s="186">
        <f t="shared" si="19"/>
        <v>125703.43145779219</v>
      </c>
      <c r="X23" s="186">
        <f t="shared" si="19"/>
        <v>149256.46302285252</v>
      </c>
      <c r="Y23" s="186">
        <f t="shared" si="19"/>
        <v>153362.96899679585</v>
      </c>
      <c r="Z23" s="186">
        <f t="shared" si="18"/>
        <v>138344.16140098748</v>
      </c>
      <c r="AA23" s="186">
        <f t="shared" si="18"/>
        <v>156566.7380356637</v>
      </c>
      <c r="AB23" s="186">
        <f t="shared" si="18"/>
        <v>156669.45640462355</v>
      </c>
      <c r="AC23" s="186">
        <f t="shared" si="18"/>
        <v>121011.58205253161</v>
      </c>
      <c r="AD23" s="186">
        <f t="shared" si="18"/>
        <v>141274.4522292219</v>
      </c>
      <c r="AE23" s="186">
        <f t="shared" si="18"/>
        <v>170727.81465276191</v>
      </c>
      <c r="AF23" s="186">
        <f t="shared" ref="AF23:AQ23" si="20">AF277+AF531</f>
        <v>171487.42016295769</v>
      </c>
      <c r="AG23" s="186">
        <f t="shared" si="20"/>
        <v>148126.02638279166</v>
      </c>
      <c r="AH23" s="186">
        <f t="shared" si="20"/>
        <v>167293.47537524274</v>
      </c>
      <c r="AI23" s="186">
        <f t="shared" si="20"/>
        <v>126807.35016207253</v>
      </c>
      <c r="AJ23" s="186">
        <f t="shared" si="20"/>
        <v>150588.30624555738</v>
      </c>
      <c r="AK23" s="186">
        <f t="shared" si="20"/>
        <v>154733.68852290392</v>
      </c>
      <c r="AL23" s="186">
        <f t="shared" si="20"/>
        <v>139648.69543378314</v>
      </c>
      <c r="AM23" s="186">
        <f t="shared" si="20"/>
        <v>157958.25697614934</v>
      </c>
      <c r="AN23" s="186">
        <f t="shared" si="20"/>
        <v>158142.89880075137</v>
      </c>
      <c r="AO23" s="186">
        <f t="shared" si="20"/>
        <v>121769.16055899662</v>
      </c>
      <c r="AP23" s="186">
        <f t="shared" si="20"/>
        <v>142551.90715403185</v>
      </c>
      <c r="AQ23" s="186">
        <f t="shared" si="20"/>
        <v>172214.02231409797</v>
      </c>
      <c r="AR23" s="186">
        <f>SUM(G23:R23)</f>
        <v>1879996.2199999997</v>
      </c>
      <c r="AS23" s="186">
        <f>SUM(T23:AE23)</f>
        <v>1795476.3390436354</v>
      </c>
      <c r="AT23" s="186">
        <f>SUM(AF23:AQ23)</f>
        <v>1811321.2080893363</v>
      </c>
      <c r="AU23" s="171"/>
      <c r="AV23" s="171"/>
    </row>
    <row r="24" spans="1:48">
      <c r="B24" s="250">
        <v>633</v>
      </c>
      <c r="C24" s="212"/>
      <c r="D24" s="102"/>
      <c r="E24" s="102" t="s">
        <v>24</v>
      </c>
      <c r="F24" s="102"/>
      <c r="G24" s="186">
        <f t="shared" si="18"/>
        <v>2086.41</v>
      </c>
      <c r="H24" s="186">
        <f t="shared" si="18"/>
        <v>2372.39</v>
      </c>
      <c r="I24" s="186">
        <f t="shared" si="18"/>
        <v>2724.17</v>
      </c>
      <c r="J24" s="186">
        <f t="shared" si="18"/>
        <v>2406.37</v>
      </c>
      <c r="K24" s="186">
        <f t="shared" si="18"/>
        <v>3003.53</v>
      </c>
      <c r="L24" s="186">
        <f t="shared" si="18"/>
        <v>2900.08</v>
      </c>
      <c r="M24" s="186">
        <f t="shared" si="18"/>
        <v>2214.4900000000002</v>
      </c>
      <c r="N24" s="186">
        <f t="shared" si="18"/>
        <v>2981.02</v>
      </c>
      <c r="O24" s="186">
        <f t="shared" si="18"/>
        <v>2632.52</v>
      </c>
      <c r="P24" s="186">
        <f t="shared" si="18"/>
        <v>1815.93</v>
      </c>
      <c r="Q24" s="186">
        <f t="shared" si="18"/>
        <v>2797.88</v>
      </c>
      <c r="R24" s="186">
        <f t="shared" si="18"/>
        <v>2871.62</v>
      </c>
      <c r="S24" s="186"/>
      <c r="T24" s="186">
        <f t="shared" ref="T24:Y24" si="21">T278+T532</f>
        <v>2109.3605099999995</v>
      </c>
      <c r="U24" s="186">
        <f t="shared" si="21"/>
        <v>2398.4862899999998</v>
      </c>
      <c r="V24" s="186">
        <f t="shared" si="21"/>
        <v>2754.1358699999996</v>
      </c>
      <c r="W24" s="186">
        <f t="shared" si="21"/>
        <v>2432.8400699999997</v>
      </c>
      <c r="X24" s="186">
        <f t="shared" si="21"/>
        <v>3036.5688299999997</v>
      </c>
      <c r="Y24" s="186">
        <f t="shared" si="21"/>
        <v>2931.9808799999996</v>
      </c>
      <c r="Z24" s="186">
        <f t="shared" si="18"/>
        <v>2238.8493899999999</v>
      </c>
      <c r="AA24" s="186">
        <f t="shared" si="18"/>
        <v>3013.8112199999996</v>
      </c>
      <c r="AB24" s="186">
        <f t="shared" si="18"/>
        <v>2661.4777199999999</v>
      </c>
      <c r="AC24" s="186">
        <f t="shared" si="18"/>
        <v>1835.9052299999998</v>
      </c>
      <c r="AD24" s="186">
        <f t="shared" si="18"/>
        <v>2828.6566800000001</v>
      </c>
      <c r="AE24" s="186">
        <f t="shared" si="18"/>
        <v>2903.2078199999996</v>
      </c>
      <c r="AF24" s="186">
        <f t="shared" ref="AF24:AQ24" si="22">AF278+AF532</f>
        <v>2151.5477201999997</v>
      </c>
      <c r="AG24" s="186">
        <f t="shared" si="22"/>
        <v>2446.4560157999999</v>
      </c>
      <c r="AH24" s="186">
        <f t="shared" si="22"/>
        <v>2809.2185873999997</v>
      </c>
      <c r="AI24" s="186">
        <f t="shared" si="22"/>
        <v>2481.4968713999997</v>
      </c>
      <c r="AJ24" s="186">
        <f t="shared" si="22"/>
        <v>3097.3002065999999</v>
      </c>
      <c r="AK24" s="186">
        <f t="shared" si="22"/>
        <v>2990.6204975999995</v>
      </c>
      <c r="AL24" s="186">
        <f t="shared" si="22"/>
        <v>2283.6263777999998</v>
      </c>
      <c r="AM24" s="186">
        <f t="shared" si="22"/>
        <v>3074.0874443999996</v>
      </c>
      <c r="AN24" s="186">
        <f t="shared" si="22"/>
        <v>2714.7072743999997</v>
      </c>
      <c r="AO24" s="186">
        <f t="shared" si="22"/>
        <v>1872.6233345999999</v>
      </c>
      <c r="AP24" s="186">
        <f t="shared" si="22"/>
        <v>2885.2298135999999</v>
      </c>
      <c r="AQ24" s="186">
        <f t="shared" si="22"/>
        <v>2961.2719763999999</v>
      </c>
      <c r="AR24" s="186">
        <f>SUM(G24:R24)</f>
        <v>30806.410000000003</v>
      </c>
      <c r="AS24" s="186">
        <f>SUM(T24:AE24)</f>
        <v>31145.280509999997</v>
      </c>
      <c r="AT24" s="186">
        <f>SUM(AF24:AQ24)</f>
        <v>31768.1861202</v>
      </c>
      <c r="AU24" s="171"/>
      <c r="AV24" s="171"/>
    </row>
    <row r="25" spans="1:48">
      <c r="A25" s="15" t="s">
        <v>1002</v>
      </c>
      <c r="B25" s="250">
        <v>634</v>
      </c>
      <c r="C25" s="212"/>
      <c r="D25" s="102"/>
      <c r="E25" s="102" t="s">
        <v>170</v>
      </c>
      <c r="F25" s="102"/>
      <c r="G25" s="131">
        <f t="shared" ref="G25:AE25" si="23">SUM(G23:G24)</f>
        <v>180002.64</v>
      </c>
      <c r="H25" s="131">
        <f t="shared" si="23"/>
        <v>154717.45000000001</v>
      </c>
      <c r="I25" s="131">
        <f t="shared" si="23"/>
        <v>177275.86000000002</v>
      </c>
      <c r="J25" s="131">
        <f t="shared" si="23"/>
        <v>134055.13999999998</v>
      </c>
      <c r="K25" s="131">
        <f t="shared" si="23"/>
        <v>159209.97</v>
      </c>
      <c r="L25" s="131">
        <f t="shared" si="23"/>
        <v>163392.66</v>
      </c>
      <c r="M25" s="131">
        <f t="shared" si="23"/>
        <v>146637.16</v>
      </c>
      <c r="N25" s="131">
        <f t="shared" si="23"/>
        <v>166866.94</v>
      </c>
      <c r="O25" s="131">
        <f t="shared" si="23"/>
        <v>166205.84</v>
      </c>
      <c r="P25" s="131">
        <f t="shared" si="23"/>
        <v>130133.37999999999</v>
      </c>
      <c r="Q25" s="131">
        <f t="shared" si="23"/>
        <v>150563.32</v>
      </c>
      <c r="R25" s="131">
        <f t="shared" si="23"/>
        <v>181742.27</v>
      </c>
      <c r="S25" s="620"/>
      <c r="T25" s="131">
        <f t="shared" ref="T25:Y25" si="24">SUM(T23:T24)</f>
        <v>172085.0331807817</v>
      </c>
      <c r="U25" s="131">
        <f t="shared" si="24"/>
        <v>149006.24904350383</v>
      </c>
      <c r="V25" s="131">
        <f t="shared" si="24"/>
        <v>168729.97123611925</v>
      </c>
      <c r="W25" s="131">
        <f t="shared" si="24"/>
        <v>128136.2715277922</v>
      </c>
      <c r="X25" s="131">
        <f t="shared" si="24"/>
        <v>152293.03185285252</v>
      </c>
      <c r="Y25" s="131">
        <f t="shared" si="24"/>
        <v>156294.94987679584</v>
      </c>
      <c r="Z25" s="131">
        <f t="shared" si="23"/>
        <v>140583.01079098746</v>
      </c>
      <c r="AA25" s="131">
        <f t="shared" si="23"/>
        <v>159580.5492556637</v>
      </c>
      <c r="AB25" s="131">
        <f t="shared" si="23"/>
        <v>159330.93412462354</v>
      </c>
      <c r="AC25" s="131">
        <f t="shared" si="23"/>
        <v>122847.48728253161</v>
      </c>
      <c r="AD25" s="131">
        <f t="shared" si="23"/>
        <v>144103.10890922189</v>
      </c>
      <c r="AE25" s="131">
        <f t="shared" si="23"/>
        <v>173631.02247276192</v>
      </c>
      <c r="AF25" s="131">
        <f t="shared" ref="AF25:AQ25" si="25">SUM(AF23:AF24)</f>
        <v>173638.96788315769</v>
      </c>
      <c r="AG25" s="131">
        <f t="shared" si="25"/>
        <v>150572.48239859167</v>
      </c>
      <c r="AH25" s="131">
        <f t="shared" si="25"/>
        <v>170102.69396264275</v>
      </c>
      <c r="AI25" s="131">
        <f t="shared" si="25"/>
        <v>129288.84703347253</v>
      </c>
      <c r="AJ25" s="131">
        <f t="shared" si="25"/>
        <v>153685.60645215737</v>
      </c>
      <c r="AK25" s="131">
        <f t="shared" si="25"/>
        <v>157724.30902050392</v>
      </c>
      <c r="AL25" s="131">
        <f t="shared" si="25"/>
        <v>141932.32181158316</v>
      </c>
      <c r="AM25" s="131">
        <f t="shared" si="25"/>
        <v>161032.34442054934</v>
      </c>
      <c r="AN25" s="131">
        <f t="shared" si="25"/>
        <v>160857.60607515136</v>
      </c>
      <c r="AO25" s="131">
        <f t="shared" si="25"/>
        <v>123641.78389359661</v>
      </c>
      <c r="AP25" s="131">
        <f t="shared" si="25"/>
        <v>145437.13696763184</v>
      </c>
      <c r="AQ25" s="131">
        <f t="shared" si="25"/>
        <v>175175.29429049796</v>
      </c>
      <c r="AR25" s="131">
        <f>SUM(G25:R25)</f>
        <v>1910802.6300000001</v>
      </c>
      <c r="AS25" s="131">
        <f>SUM(T25:AE25)</f>
        <v>1826621.6195536354</v>
      </c>
      <c r="AT25" s="131">
        <f>SUM(AF25:AQ25)</f>
        <v>1843089.3942095363</v>
      </c>
      <c r="AU25" s="621"/>
      <c r="AV25" s="621"/>
    </row>
    <row r="26" spans="1:48">
      <c r="B26" s="250">
        <v>635</v>
      </c>
      <c r="C26" s="212"/>
      <c r="D26" s="102"/>
      <c r="E26" s="102"/>
      <c r="F26" s="102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71"/>
      <c r="AV26" s="171"/>
    </row>
    <row r="27" spans="1:48">
      <c r="B27" s="250">
        <v>636</v>
      </c>
      <c r="C27" s="212">
        <v>872</v>
      </c>
      <c r="D27" s="102" t="s">
        <v>378</v>
      </c>
      <c r="E27" s="102"/>
      <c r="F27" s="102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71"/>
      <c r="AV27" s="171"/>
    </row>
    <row r="28" spans="1:48">
      <c r="B28" s="250">
        <v>637</v>
      </c>
      <c r="C28" s="212"/>
      <c r="D28" s="102"/>
      <c r="E28" s="102" t="s">
        <v>14</v>
      </c>
      <c r="F28" s="102"/>
      <c r="G28" s="186">
        <f t="shared" ref="G28:AE29" si="26">G282+G536</f>
        <v>0</v>
      </c>
      <c r="H28" s="186">
        <f t="shared" si="26"/>
        <v>0</v>
      </c>
      <c r="I28" s="186">
        <f t="shared" si="26"/>
        <v>0</v>
      </c>
      <c r="J28" s="186">
        <f t="shared" si="26"/>
        <v>0</v>
      </c>
      <c r="K28" s="186">
        <f t="shared" si="26"/>
        <v>0</v>
      </c>
      <c r="L28" s="186">
        <f t="shared" si="26"/>
        <v>0</v>
      </c>
      <c r="M28" s="186">
        <f t="shared" si="26"/>
        <v>0</v>
      </c>
      <c r="N28" s="186">
        <f t="shared" si="26"/>
        <v>0</v>
      </c>
      <c r="O28" s="186">
        <f t="shared" si="26"/>
        <v>0</v>
      </c>
      <c r="P28" s="186">
        <f t="shared" si="26"/>
        <v>0</v>
      </c>
      <c r="Q28" s="186">
        <f t="shared" si="26"/>
        <v>0</v>
      </c>
      <c r="R28" s="186">
        <f t="shared" si="26"/>
        <v>0</v>
      </c>
      <c r="S28" s="186"/>
      <c r="T28" s="186">
        <f t="shared" ref="T28:Y28" si="27">T282+T536</f>
        <v>0</v>
      </c>
      <c r="U28" s="186">
        <f t="shared" si="27"/>
        <v>0</v>
      </c>
      <c r="V28" s="186">
        <f t="shared" si="27"/>
        <v>0</v>
      </c>
      <c r="W28" s="186">
        <f t="shared" si="27"/>
        <v>0</v>
      </c>
      <c r="X28" s="186">
        <f t="shared" si="27"/>
        <v>0</v>
      </c>
      <c r="Y28" s="186">
        <f t="shared" si="27"/>
        <v>0</v>
      </c>
      <c r="Z28" s="186">
        <f t="shared" si="26"/>
        <v>0</v>
      </c>
      <c r="AA28" s="186">
        <f t="shared" si="26"/>
        <v>0</v>
      </c>
      <c r="AB28" s="186">
        <f t="shared" si="26"/>
        <v>0</v>
      </c>
      <c r="AC28" s="186">
        <f t="shared" si="26"/>
        <v>0</v>
      </c>
      <c r="AD28" s="186">
        <f t="shared" si="26"/>
        <v>0</v>
      </c>
      <c r="AE28" s="186">
        <f t="shared" si="26"/>
        <v>0</v>
      </c>
      <c r="AF28" s="186">
        <f t="shared" ref="AF28:AQ28" si="28">AF282+AF536</f>
        <v>0</v>
      </c>
      <c r="AG28" s="186">
        <f t="shared" si="28"/>
        <v>0</v>
      </c>
      <c r="AH28" s="186">
        <f t="shared" si="28"/>
        <v>0</v>
      </c>
      <c r="AI28" s="186">
        <f t="shared" si="28"/>
        <v>0</v>
      </c>
      <c r="AJ28" s="186">
        <f t="shared" si="28"/>
        <v>0</v>
      </c>
      <c r="AK28" s="186">
        <f t="shared" si="28"/>
        <v>0</v>
      </c>
      <c r="AL28" s="186">
        <f t="shared" si="28"/>
        <v>0</v>
      </c>
      <c r="AM28" s="186">
        <f t="shared" si="28"/>
        <v>0</v>
      </c>
      <c r="AN28" s="186">
        <f t="shared" si="28"/>
        <v>0</v>
      </c>
      <c r="AO28" s="186">
        <f t="shared" si="28"/>
        <v>0</v>
      </c>
      <c r="AP28" s="186">
        <f t="shared" si="28"/>
        <v>0</v>
      </c>
      <c r="AQ28" s="186">
        <f t="shared" si="28"/>
        <v>0</v>
      </c>
      <c r="AR28" s="186">
        <f>SUM(G28:R28)</f>
        <v>0</v>
      </c>
      <c r="AS28" s="186">
        <f>SUM(T28:AE28)</f>
        <v>0</v>
      </c>
      <c r="AT28" s="186">
        <f>SUM(AF28:AQ28)</f>
        <v>0</v>
      </c>
      <c r="AU28" s="171"/>
      <c r="AV28" s="171"/>
    </row>
    <row r="29" spans="1:48">
      <c r="B29" s="250">
        <v>638</v>
      </c>
      <c r="C29" s="212"/>
      <c r="D29" s="102"/>
      <c r="E29" s="102" t="s">
        <v>24</v>
      </c>
      <c r="F29" s="102"/>
      <c r="G29" s="186">
        <f t="shared" si="26"/>
        <v>0</v>
      </c>
      <c r="H29" s="186">
        <f t="shared" si="26"/>
        <v>0</v>
      </c>
      <c r="I29" s="186">
        <f t="shared" si="26"/>
        <v>0</v>
      </c>
      <c r="J29" s="186">
        <f t="shared" si="26"/>
        <v>0</v>
      </c>
      <c r="K29" s="186">
        <f t="shared" si="26"/>
        <v>0</v>
      </c>
      <c r="L29" s="186">
        <f t="shared" si="26"/>
        <v>0</v>
      </c>
      <c r="M29" s="186">
        <f t="shared" si="26"/>
        <v>0</v>
      </c>
      <c r="N29" s="186">
        <f t="shared" si="26"/>
        <v>0</v>
      </c>
      <c r="O29" s="186">
        <f t="shared" si="26"/>
        <v>0</v>
      </c>
      <c r="P29" s="186">
        <f t="shared" si="26"/>
        <v>0</v>
      </c>
      <c r="Q29" s="186">
        <f t="shared" si="26"/>
        <v>0</v>
      </c>
      <c r="R29" s="186">
        <f t="shared" si="26"/>
        <v>0</v>
      </c>
      <c r="S29" s="186"/>
      <c r="T29" s="186">
        <v>0</v>
      </c>
      <c r="U29" s="186">
        <v>0</v>
      </c>
      <c r="V29" s="186">
        <v>0</v>
      </c>
      <c r="W29" s="186">
        <v>0</v>
      </c>
      <c r="X29" s="186">
        <v>0</v>
      </c>
      <c r="Y29" s="186">
        <v>0</v>
      </c>
      <c r="Z29" s="186">
        <v>0</v>
      </c>
      <c r="AA29" s="186">
        <v>0</v>
      </c>
      <c r="AB29" s="186">
        <v>0</v>
      </c>
      <c r="AC29" s="186">
        <v>0</v>
      </c>
      <c r="AD29" s="186">
        <f t="shared" si="26"/>
        <v>0</v>
      </c>
      <c r="AE29" s="186">
        <f t="shared" si="26"/>
        <v>0</v>
      </c>
      <c r="AF29" s="186">
        <f t="shared" ref="AF29:AQ29" si="29">AF283+AF537</f>
        <v>0</v>
      </c>
      <c r="AG29" s="186">
        <f t="shared" si="29"/>
        <v>0</v>
      </c>
      <c r="AH29" s="186">
        <f t="shared" si="29"/>
        <v>0</v>
      </c>
      <c r="AI29" s="186">
        <v>0</v>
      </c>
      <c r="AJ29" s="186">
        <v>0</v>
      </c>
      <c r="AK29" s="186">
        <v>0</v>
      </c>
      <c r="AL29" s="186">
        <v>0</v>
      </c>
      <c r="AM29" s="186">
        <v>0</v>
      </c>
      <c r="AN29" s="186">
        <v>0</v>
      </c>
      <c r="AO29" s="186">
        <v>0</v>
      </c>
      <c r="AP29" s="186">
        <v>0</v>
      </c>
      <c r="AQ29" s="186">
        <f t="shared" si="29"/>
        <v>0</v>
      </c>
      <c r="AR29" s="186">
        <f>SUM(G29:R29)</f>
        <v>0</v>
      </c>
      <c r="AS29" s="186">
        <f>SUM(T29:AE29)</f>
        <v>0</v>
      </c>
      <c r="AT29" s="186">
        <f>SUM(AF29:AQ29)</f>
        <v>0</v>
      </c>
      <c r="AU29" s="171"/>
      <c r="AV29" s="171"/>
    </row>
    <row r="30" spans="1:48">
      <c r="A30" s="15" t="s">
        <v>1003</v>
      </c>
      <c r="B30" s="250">
        <v>639</v>
      </c>
      <c r="C30" s="212"/>
      <c r="D30" s="102"/>
      <c r="E30" s="102" t="s">
        <v>170</v>
      </c>
      <c r="F30" s="102"/>
      <c r="G30" s="131">
        <f t="shared" ref="G30:AE30" si="30">SUM(G28:G29)</f>
        <v>0</v>
      </c>
      <c r="H30" s="131">
        <f t="shared" si="30"/>
        <v>0</v>
      </c>
      <c r="I30" s="131">
        <f t="shared" si="30"/>
        <v>0</v>
      </c>
      <c r="J30" s="131">
        <f t="shared" si="30"/>
        <v>0</v>
      </c>
      <c r="K30" s="131">
        <f t="shared" si="30"/>
        <v>0</v>
      </c>
      <c r="L30" s="131">
        <f t="shared" si="30"/>
        <v>0</v>
      </c>
      <c r="M30" s="131">
        <f t="shared" si="30"/>
        <v>0</v>
      </c>
      <c r="N30" s="131">
        <f t="shared" si="30"/>
        <v>0</v>
      </c>
      <c r="O30" s="131">
        <f t="shared" si="30"/>
        <v>0</v>
      </c>
      <c r="P30" s="131">
        <f t="shared" si="30"/>
        <v>0</v>
      </c>
      <c r="Q30" s="131">
        <f t="shared" si="30"/>
        <v>0</v>
      </c>
      <c r="R30" s="131">
        <f t="shared" si="30"/>
        <v>0</v>
      </c>
      <c r="S30" s="620"/>
      <c r="T30" s="131">
        <f t="shared" ref="T30:Y30" si="31">SUM(T28:T29)</f>
        <v>0</v>
      </c>
      <c r="U30" s="131">
        <f t="shared" si="31"/>
        <v>0</v>
      </c>
      <c r="V30" s="131">
        <f t="shared" si="31"/>
        <v>0</v>
      </c>
      <c r="W30" s="131">
        <f t="shared" si="31"/>
        <v>0</v>
      </c>
      <c r="X30" s="131">
        <f t="shared" si="31"/>
        <v>0</v>
      </c>
      <c r="Y30" s="131">
        <f t="shared" si="31"/>
        <v>0</v>
      </c>
      <c r="Z30" s="131">
        <f t="shared" si="30"/>
        <v>0</v>
      </c>
      <c r="AA30" s="131">
        <f t="shared" si="30"/>
        <v>0</v>
      </c>
      <c r="AB30" s="131">
        <f t="shared" si="30"/>
        <v>0</v>
      </c>
      <c r="AC30" s="131">
        <f t="shared" si="30"/>
        <v>0</v>
      </c>
      <c r="AD30" s="131">
        <f t="shared" si="30"/>
        <v>0</v>
      </c>
      <c r="AE30" s="131">
        <f t="shared" si="30"/>
        <v>0</v>
      </c>
      <c r="AF30" s="131">
        <f t="shared" ref="AF30:AQ30" si="32">SUM(AF28:AF29)</f>
        <v>0</v>
      </c>
      <c r="AG30" s="131">
        <f t="shared" si="32"/>
        <v>0</v>
      </c>
      <c r="AH30" s="131">
        <f t="shared" si="32"/>
        <v>0</v>
      </c>
      <c r="AI30" s="131">
        <f t="shared" si="32"/>
        <v>0</v>
      </c>
      <c r="AJ30" s="131">
        <f t="shared" si="32"/>
        <v>0</v>
      </c>
      <c r="AK30" s="131">
        <f t="shared" si="32"/>
        <v>0</v>
      </c>
      <c r="AL30" s="131">
        <f t="shared" si="32"/>
        <v>0</v>
      </c>
      <c r="AM30" s="131">
        <f t="shared" si="32"/>
        <v>0</v>
      </c>
      <c r="AN30" s="131">
        <f t="shared" si="32"/>
        <v>0</v>
      </c>
      <c r="AO30" s="131">
        <f t="shared" si="32"/>
        <v>0</v>
      </c>
      <c r="AP30" s="131">
        <f t="shared" si="32"/>
        <v>0</v>
      </c>
      <c r="AQ30" s="131">
        <f t="shared" si="32"/>
        <v>0</v>
      </c>
      <c r="AR30" s="131">
        <f>SUM(G30:R30)</f>
        <v>0</v>
      </c>
      <c r="AS30" s="131">
        <f>SUM(T30:AE30)</f>
        <v>0</v>
      </c>
      <c r="AT30" s="131">
        <f>SUM(AF30:AQ30)</f>
        <v>0</v>
      </c>
      <c r="AU30" s="621"/>
      <c r="AV30" s="621"/>
    </row>
    <row r="31" spans="1:48">
      <c r="B31" s="250">
        <v>640</v>
      </c>
      <c r="C31" s="212"/>
      <c r="D31" s="102"/>
      <c r="E31" s="102"/>
      <c r="F31" s="102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71"/>
      <c r="AV31" s="171"/>
    </row>
    <row r="32" spans="1:48">
      <c r="B32" s="250">
        <v>641</v>
      </c>
      <c r="C32" s="212">
        <v>873</v>
      </c>
      <c r="D32" s="102" t="s">
        <v>379</v>
      </c>
      <c r="E32" s="102"/>
      <c r="F32" s="102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71"/>
      <c r="AV32" s="171"/>
    </row>
    <row r="33" spans="1:48">
      <c r="B33" s="250">
        <v>642</v>
      </c>
      <c r="C33" s="212"/>
      <c r="D33" s="102"/>
      <c r="E33" s="102" t="s">
        <v>14</v>
      </c>
      <c r="F33" s="102"/>
      <c r="G33" s="186">
        <f t="shared" ref="G33:AE34" si="33">G287+G541</f>
        <v>3059</v>
      </c>
      <c r="H33" s="186">
        <f t="shared" si="33"/>
        <v>620</v>
      </c>
      <c r="I33" s="186">
        <f t="shared" si="33"/>
        <v>1026</v>
      </c>
      <c r="J33" s="186">
        <f t="shared" si="33"/>
        <v>666</v>
      </c>
      <c r="K33" s="186">
        <f t="shared" si="33"/>
        <v>2201</v>
      </c>
      <c r="L33" s="186">
        <f t="shared" si="33"/>
        <v>517</v>
      </c>
      <c r="M33" s="186">
        <f t="shared" si="33"/>
        <v>2920</v>
      </c>
      <c r="N33" s="186">
        <f t="shared" si="33"/>
        <v>344</v>
      </c>
      <c r="O33" s="186">
        <f t="shared" si="33"/>
        <v>441</v>
      </c>
      <c r="P33" s="186">
        <f t="shared" si="33"/>
        <v>708</v>
      </c>
      <c r="Q33" s="186">
        <f t="shared" si="33"/>
        <v>1073</v>
      </c>
      <c r="R33" s="186">
        <f t="shared" si="33"/>
        <v>658</v>
      </c>
      <c r="S33" s="186"/>
      <c r="T33" s="186">
        <f t="shared" ref="T33:Y33" si="34">T287+T541</f>
        <v>3126.2980000000002</v>
      </c>
      <c r="U33" s="186">
        <f t="shared" si="34"/>
        <v>633.64</v>
      </c>
      <c r="V33" s="186">
        <f t="shared" si="34"/>
        <v>1048.5720000000001</v>
      </c>
      <c r="W33" s="186">
        <f t="shared" si="34"/>
        <v>680.65200000000004</v>
      </c>
      <c r="X33" s="186">
        <f t="shared" si="34"/>
        <v>2249.422</v>
      </c>
      <c r="Y33" s="186">
        <f t="shared" si="34"/>
        <v>528.37400000000002</v>
      </c>
      <c r="Z33" s="186">
        <f t="shared" si="33"/>
        <v>2984.2400000000002</v>
      </c>
      <c r="AA33" s="186">
        <f t="shared" si="33"/>
        <v>351.56799999999998</v>
      </c>
      <c r="AB33" s="186">
        <f t="shared" si="33"/>
        <v>450.702</v>
      </c>
      <c r="AC33" s="186">
        <f t="shared" si="33"/>
        <v>723.57600000000002</v>
      </c>
      <c r="AD33" s="186">
        <f t="shared" si="33"/>
        <v>1096.606</v>
      </c>
      <c r="AE33" s="186">
        <f t="shared" si="33"/>
        <v>672.476</v>
      </c>
      <c r="AF33" s="186">
        <f t="shared" ref="AF33:AQ33" si="35">AF287+AF541</f>
        <v>3185.697662</v>
      </c>
      <c r="AG33" s="186">
        <f t="shared" si="35"/>
        <v>645.67915999999991</v>
      </c>
      <c r="AH33" s="186">
        <f t="shared" si="35"/>
        <v>1068.494868</v>
      </c>
      <c r="AI33" s="186">
        <f t="shared" si="35"/>
        <v>693.58438799999999</v>
      </c>
      <c r="AJ33" s="186">
        <f t="shared" si="35"/>
        <v>2292.1610179999998</v>
      </c>
      <c r="AK33" s="186">
        <f t="shared" si="35"/>
        <v>538.41310599999997</v>
      </c>
      <c r="AL33" s="186">
        <f t="shared" si="35"/>
        <v>3040.94056</v>
      </c>
      <c r="AM33" s="186">
        <f t="shared" si="35"/>
        <v>358.24779199999995</v>
      </c>
      <c r="AN33" s="186">
        <f t="shared" si="35"/>
        <v>459.26533799999993</v>
      </c>
      <c r="AO33" s="186">
        <f t="shared" si="35"/>
        <v>737.32394399999998</v>
      </c>
      <c r="AP33" s="186">
        <f t="shared" si="35"/>
        <v>1117.4415139999999</v>
      </c>
      <c r="AQ33" s="186">
        <f t="shared" si="35"/>
        <v>685.25304399999993</v>
      </c>
      <c r="AR33" s="186">
        <f>SUM(G33:R33)</f>
        <v>14233</v>
      </c>
      <c r="AS33" s="186">
        <f>SUM(T33:AE33)</f>
        <v>14546.125999999998</v>
      </c>
      <c r="AT33" s="186">
        <f>SUM(AF33:AQ33)</f>
        <v>14822.502393999999</v>
      </c>
      <c r="AU33" s="171"/>
      <c r="AV33" s="171"/>
    </row>
    <row r="34" spans="1:48">
      <c r="B34" s="250">
        <v>643</v>
      </c>
      <c r="C34" s="212"/>
      <c r="D34" s="102"/>
      <c r="E34" s="102" t="s">
        <v>24</v>
      </c>
      <c r="F34" s="102"/>
      <c r="G34" s="186">
        <f t="shared" si="33"/>
        <v>0</v>
      </c>
      <c r="H34" s="186">
        <f t="shared" si="33"/>
        <v>0</v>
      </c>
      <c r="I34" s="186">
        <f t="shared" si="33"/>
        <v>0</v>
      </c>
      <c r="J34" s="186">
        <f t="shared" si="33"/>
        <v>0</v>
      </c>
      <c r="K34" s="186">
        <f t="shared" si="33"/>
        <v>0</v>
      </c>
      <c r="L34" s="186">
        <f t="shared" si="33"/>
        <v>0</v>
      </c>
      <c r="M34" s="186">
        <f t="shared" si="33"/>
        <v>0</v>
      </c>
      <c r="N34" s="186">
        <f t="shared" si="33"/>
        <v>0</v>
      </c>
      <c r="O34" s="186">
        <f t="shared" si="33"/>
        <v>0</v>
      </c>
      <c r="P34" s="186">
        <f t="shared" si="33"/>
        <v>0</v>
      </c>
      <c r="Q34" s="186">
        <f t="shared" si="33"/>
        <v>0</v>
      </c>
      <c r="R34" s="186">
        <f t="shared" si="33"/>
        <v>0</v>
      </c>
      <c r="S34" s="186"/>
      <c r="T34" s="186">
        <f t="shared" ref="T34:Y34" si="36">T288+T542</f>
        <v>0</v>
      </c>
      <c r="U34" s="186">
        <f t="shared" si="36"/>
        <v>0</v>
      </c>
      <c r="V34" s="186">
        <f t="shared" si="36"/>
        <v>0</v>
      </c>
      <c r="W34" s="186">
        <f t="shared" si="36"/>
        <v>0</v>
      </c>
      <c r="X34" s="186">
        <f t="shared" si="36"/>
        <v>0</v>
      </c>
      <c r="Y34" s="186">
        <f t="shared" si="36"/>
        <v>0</v>
      </c>
      <c r="Z34" s="186">
        <f t="shared" si="33"/>
        <v>0</v>
      </c>
      <c r="AA34" s="186">
        <f t="shared" si="33"/>
        <v>0</v>
      </c>
      <c r="AB34" s="186">
        <f t="shared" si="33"/>
        <v>0</v>
      </c>
      <c r="AC34" s="186">
        <f t="shared" si="33"/>
        <v>0</v>
      </c>
      <c r="AD34" s="186">
        <f t="shared" si="33"/>
        <v>0</v>
      </c>
      <c r="AE34" s="186">
        <f t="shared" si="33"/>
        <v>0</v>
      </c>
      <c r="AF34" s="186">
        <f t="shared" ref="AF34:AQ34" si="37">AF288+AF542</f>
        <v>0</v>
      </c>
      <c r="AG34" s="186">
        <f t="shared" si="37"/>
        <v>0</v>
      </c>
      <c r="AH34" s="186">
        <f t="shared" si="37"/>
        <v>0</v>
      </c>
      <c r="AI34" s="186">
        <f t="shared" si="37"/>
        <v>0</v>
      </c>
      <c r="AJ34" s="186">
        <f t="shared" si="37"/>
        <v>0</v>
      </c>
      <c r="AK34" s="186">
        <f t="shared" si="37"/>
        <v>0</v>
      </c>
      <c r="AL34" s="186">
        <f t="shared" si="37"/>
        <v>0</v>
      </c>
      <c r="AM34" s="186">
        <f t="shared" si="37"/>
        <v>0</v>
      </c>
      <c r="AN34" s="186">
        <f t="shared" si="37"/>
        <v>0</v>
      </c>
      <c r="AO34" s="186">
        <f t="shared" si="37"/>
        <v>0</v>
      </c>
      <c r="AP34" s="186">
        <f t="shared" si="37"/>
        <v>0</v>
      </c>
      <c r="AQ34" s="186">
        <f t="shared" si="37"/>
        <v>0</v>
      </c>
      <c r="AR34" s="186">
        <f>SUM(G34:R34)</f>
        <v>0</v>
      </c>
      <c r="AS34" s="186">
        <f>SUM(T34:AE34)</f>
        <v>0</v>
      </c>
      <c r="AT34" s="186">
        <f>SUM(AF34:AQ34)</f>
        <v>0</v>
      </c>
      <c r="AU34" s="171"/>
      <c r="AV34" s="171"/>
    </row>
    <row r="35" spans="1:48">
      <c r="A35" s="15" t="s">
        <v>1004</v>
      </c>
      <c r="B35" s="250">
        <v>644</v>
      </c>
      <c r="C35" s="212"/>
      <c r="D35" s="102"/>
      <c r="E35" s="102" t="s">
        <v>170</v>
      </c>
      <c r="F35" s="102"/>
      <c r="G35" s="131">
        <f t="shared" ref="G35:AE35" si="38">SUM(G33:G34)</f>
        <v>3059</v>
      </c>
      <c r="H35" s="131">
        <f t="shared" si="38"/>
        <v>620</v>
      </c>
      <c r="I35" s="131">
        <f t="shared" si="38"/>
        <v>1026</v>
      </c>
      <c r="J35" s="131">
        <f t="shared" si="38"/>
        <v>666</v>
      </c>
      <c r="K35" s="131">
        <f t="shared" si="38"/>
        <v>2201</v>
      </c>
      <c r="L35" s="131">
        <f t="shared" si="38"/>
        <v>517</v>
      </c>
      <c r="M35" s="131">
        <f t="shared" si="38"/>
        <v>2920</v>
      </c>
      <c r="N35" s="131">
        <f t="shared" si="38"/>
        <v>344</v>
      </c>
      <c r="O35" s="131">
        <f t="shared" si="38"/>
        <v>441</v>
      </c>
      <c r="P35" s="131">
        <f t="shared" si="38"/>
        <v>708</v>
      </c>
      <c r="Q35" s="131">
        <f t="shared" si="38"/>
        <v>1073</v>
      </c>
      <c r="R35" s="131">
        <f t="shared" si="38"/>
        <v>658</v>
      </c>
      <c r="S35" s="620"/>
      <c r="T35" s="131">
        <f t="shared" ref="T35:Y35" si="39">SUM(T33:T34)</f>
        <v>3126.2980000000002</v>
      </c>
      <c r="U35" s="131">
        <f t="shared" si="39"/>
        <v>633.64</v>
      </c>
      <c r="V35" s="131">
        <f t="shared" si="39"/>
        <v>1048.5720000000001</v>
      </c>
      <c r="W35" s="131">
        <f t="shared" si="39"/>
        <v>680.65200000000004</v>
      </c>
      <c r="X35" s="131">
        <f t="shared" si="39"/>
        <v>2249.422</v>
      </c>
      <c r="Y35" s="131">
        <f t="shared" si="39"/>
        <v>528.37400000000002</v>
      </c>
      <c r="Z35" s="131">
        <f t="shared" si="38"/>
        <v>2984.2400000000002</v>
      </c>
      <c r="AA35" s="131">
        <f t="shared" si="38"/>
        <v>351.56799999999998</v>
      </c>
      <c r="AB35" s="131">
        <f t="shared" si="38"/>
        <v>450.702</v>
      </c>
      <c r="AC35" s="131">
        <f t="shared" si="38"/>
        <v>723.57600000000002</v>
      </c>
      <c r="AD35" s="131">
        <f t="shared" si="38"/>
        <v>1096.606</v>
      </c>
      <c r="AE35" s="131">
        <f t="shared" si="38"/>
        <v>672.476</v>
      </c>
      <c r="AF35" s="131">
        <f t="shared" ref="AF35:AQ35" si="40">SUM(AF33:AF34)</f>
        <v>3185.697662</v>
      </c>
      <c r="AG35" s="131">
        <f t="shared" si="40"/>
        <v>645.67915999999991</v>
      </c>
      <c r="AH35" s="131">
        <f t="shared" si="40"/>
        <v>1068.494868</v>
      </c>
      <c r="AI35" s="131">
        <f t="shared" si="40"/>
        <v>693.58438799999999</v>
      </c>
      <c r="AJ35" s="131">
        <f t="shared" si="40"/>
        <v>2292.1610179999998</v>
      </c>
      <c r="AK35" s="131">
        <f t="shared" si="40"/>
        <v>538.41310599999997</v>
      </c>
      <c r="AL35" s="131">
        <f t="shared" si="40"/>
        <v>3040.94056</v>
      </c>
      <c r="AM35" s="131">
        <f t="shared" si="40"/>
        <v>358.24779199999995</v>
      </c>
      <c r="AN35" s="131">
        <f t="shared" si="40"/>
        <v>459.26533799999993</v>
      </c>
      <c r="AO35" s="131">
        <f t="shared" si="40"/>
        <v>737.32394399999998</v>
      </c>
      <c r="AP35" s="131">
        <f t="shared" si="40"/>
        <v>1117.4415139999999</v>
      </c>
      <c r="AQ35" s="131">
        <f t="shared" si="40"/>
        <v>685.25304399999993</v>
      </c>
      <c r="AR35" s="131">
        <f>SUM(G35:R35)</f>
        <v>14233</v>
      </c>
      <c r="AS35" s="131">
        <f>SUM(T35:AE35)</f>
        <v>14546.125999999998</v>
      </c>
      <c r="AT35" s="131">
        <f>SUM(AF35:AQ35)</f>
        <v>14822.502393999999</v>
      </c>
      <c r="AU35" s="621"/>
      <c r="AV35" s="621"/>
    </row>
    <row r="36" spans="1:48">
      <c r="B36" s="250">
        <v>645</v>
      </c>
      <c r="C36" s="212"/>
      <c r="D36" s="102"/>
      <c r="E36" s="102"/>
      <c r="F36" s="102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71"/>
      <c r="AV36" s="171"/>
    </row>
    <row r="37" spans="1:48">
      <c r="B37" s="250">
        <v>646</v>
      </c>
      <c r="C37" s="212">
        <v>874</v>
      </c>
      <c r="D37" s="102" t="s">
        <v>380</v>
      </c>
      <c r="E37" s="102"/>
      <c r="F37" s="102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71"/>
      <c r="AV37" s="171"/>
    </row>
    <row r="38" spans="1:48">
      <c r="B38" s="250">
        <v>647</v>
      </c>
      <c r="C38" s="212"/>
      <c r="D38" s="102"/>
      <c r="E38" s="102" t="s">
        <v>14</v>
      </c>
      <c r="F38" s="102"/>
      <c r="G38" s="186">
        <f t="shared" ref="G38:AE39" si="41">G292+G546</f>
        <v>680600.99</v>
      </c>
      <c r="H38" s="186">
        <f t="shared" si="41"/>
        <v>715701.25</v>
      </c>
      <c r="I38" s="186">
        <f t="shared" si="41"/>
        <v>957067.53</v>
      </c>
      <c r="J38" s="186">
        <f t="shared" si="41"/>
        <v>1090244.17</v>
      </c>
      <c r="K38" s="186">
        <f t="shared" si="41"/>
        <v>1165098.9300000002</v>
      </c>
      <c r="L38" s="186">
        <f t="shared" si="41"/>
        <v>1294194.98</v>
      </c>
      <c r="M38" s="186">
        <f t="shared" si="41"/>
        <v>850340.36</v>
      </c>
      <c r="N38" s="186">
        <f t="shared" si="41"/>
        <v>1115787.83</v>
      </c>
      <c r="O38" s="186">
        <f t="shared" si="41"/>
        <v>1087200.82</v>
      </c>
      <c r="P38" s="186">
        <f t="shared" si="41"/>
        <v>1267024.48</v>
      </c>
      <c r="Q38" s="186">
        <f t="shared" si="41"/>
        <v>1103558.92</v>
      </c>
      <c r="R38" s="186">
        <f t="shared" si="41"/>
        <v>951386.38</v>
      </c>
      <c r="S38" s="186"/>
      <c r="T38" s="186">
        <f t="shared" ref="T38:Y38" si="42">T292+T546</f>
        <v>666710.08179507405</v>
      </c>
      <c r="U38" s="186">
        <f t="shared" si="42"/>
        <v>715106.31437859824</v>
      </c>
      <c r="V38" s="186">
        <f t="shared" si="42"/>
        <v>952970.91842209687</v>
      </c>
      <c r="W38" s="186">
        <f t="shared" si="42"/>
        <v>1095882.4528589046</v>
      </c>
      <c r="X38" s="186">
        <f t="shared" si="42"/>
        <v>1167194.6911156154</v>
      </c>
      <c r="Y38" s="186">
        <f t="shared" si="42"/>
        <v>1293390.4049652391</v>
      </c>
      <c r="Z38" s="186">
        <f t="shared" si="41"/>
        <v>855223.28477660997</v>
      </c>
      <c r="AA38" s="186">
        <f t="shared" si="41"/>
        <v>1115421.8331260826</v>
      </c>
      <c r="AB38" s="186">
        <f t="shared" si="41"/>
        <v>1087088.3323584995</v>
      </c>
      <c r="AC38" s="186">
        <f t="shared" si="41"/>
        <v>1258334.5195948016</v>
      </c>
      <c r="AD38" s="186">
        <f t="shared" si="41"/>
        <v>1102608.7483382248</v>
      </c>
      <c r="AE38" s="186">
        <f t="shared" si="41"/>
        <v>958297.61131063849</v>
      </c>
      <c r="AF38" s="186">
        <f t="shared" ref="AF38:AQ38" si="43">AF292+AF546</f>
        <v>673287.38256173837</v>
      </c>
      <c r="AG38" s="186">
        <f t="shared" si="43"/>
        <v>723496.9647766815</v>
      </c>
      <c r="AH38" s="186">
        <f t="shared" si="43"/>
        <v>963843.99020861019</v>
      </c>
      <c r="AI38" s="186">
        <f t="shared" si="43"/>
        <v>1109352.6309626044</v>
      </c>
      <c r="AJ38" s="186">
        <f t="shared" si="43"/>
        <v>1181176.304557293</v>
      </c>
      <c r="AK38" s="186">
        <f t="shared" si="43"/>
        <v>1308591.6644273996</v>
      </c>
      <c r="AL38" s="186">
        <f t="shared" si="43"/>
        <v>865780.46224159282</v>
      </c>
      <c r="AM38" s="186">
        <f t="shared" si="43"/>
        <v>1128562.0425522886</v>
      </c>
      <c r="AN38" s="186">
        <f t="shared" si="43"/>
        <v>1099917.5668644321</v>
      </c>
      <c r="AO38" s="186">
        <f t="shared" si="43"/>
        <v>1272385.2987435733</v>
      </c>
      <c r="AP38" s="186">
        <f t="shared" si="43"/>
        <v>1115543.0636084212</v>
      </c>
      <c r="AQ38" s="186">
        <f t="shared" si="43"/>
        <v>970261.64019155013</v>
      </c>
      <c r="AR38" s="186">
        <f>SUM(G38:R38)</f>
        <v>12278206.640000001</v>
      </c>
      <c r="AS38" s="186">
        <f>SUM(T38:AE38)</f>
        <v>12268229.193040384</v>
      </c>
      <c r="AT38" s="186">
        <f>SUM(AF38:AQ38)</f>
        <v>12412199.011696186</v>
      </c>
      <c r="AU38" s="171"/>
      <c r="AV38" s="171"/>
    </row>
    <row r="39" spans="1:48">
      <c r="B39" s="250">
        <v>648</v>
      </c>
      <c r="C39" s="212"/>
      <c r="D39" s="102"/>
      <c r="E39" s="102" t="s">
        <v>24</v>
      </c>
      <c r="F39" s="102"/>
      <c r="G39" s="186">
        <f t="shared" si="41"/>
        <v>29022.1</v>
      </c>
      <c r="H39" s="186">
        <f t="shared" si="41"/>
        <v>16317.15</v>
      </c>
      <c r="I39" s="186">
        <f t="shared" si="41"/>
        <v>24715.300000000003</v>
      </c>
      <c r="J39" s="186">
        <f t="shared" si="41"/>
        <v>31605.649999999998</v>
      </c>
      <c r="K39" s="186">
        <f t="shared" si="41"/>
        <v>45910.859999999993</v>
      </c>
      <c r="L39" s="186">
        <f t="shared" si="41"/>
        <v>47290.450000000004</v>
      </c>
      <c r="M39" s="186">
        <f t="shared" si="41"/>
        <v>42581.41</v>
      </c>
      <c r="N39" s="186">
        <f t="shared" si="41"/>
        <v>42671.030000000006</v>
      </c>
      <c r="O39" s="186">
        <f t="shared" si="41"/>
        <v>43784.87000000001</v>
      </c>
      <c r="P39" s="186">
        <f t="shared" si="41"/>
        <v>41963.08</v>
      </c>
      <c r="Q39" s="186">
        <f t="shared" si="41"/>
        <v>42421.23</v>
      </c>
      <c r="R39" s="186">
        <f t="shared" si="41"/>
        <v>43459.01</v>
      </c>
      <c r="S39" s="186"/>
      <c r="T39" s="186">
        <f t="shared" ref="T39:Y39" si="44">T293+T547</f>
        <v>28663.175027104546</v>
      </c>
      <c r="U39" s="186">
        <f t="shared" si="44"/>
        <v>16537.704163199611</v>
      </c>
      <c r="V39" s="186">
        <f t="shared" si="44"/>
        <v>25056.615842475851</v>
      </c>
      <c r="W39" s="186">
        <f t="shared" si="44"/>
        <v>31846.374920318296</v>
      </c>
      <c r="X39" s="186">
        <f t="shared" si="44"/>
        <v>46374.966110860929</v>
      </c>
      <c r="Y39" s="186">
        <f t="shared" si="44"/>
        <v>47792.501582882243</v>
      </c>
      <c r="Z39" s="186">
        <f t="shared" si="41"/>
        <v>42766.769872575271</v>
      </c>
      <c r="AA39" s="186">
        <f t="shared" si="41"/>
        <v>42992.811573531297</v>
      </c>
      <c r="AB39" s="186">
        <f t="shared" si="41"/>
        <v>44053.949616627622</v>
      </c>
      <c r="AC39" s="186">
        <f t="shared" si="41"/>
        <v>42496.272869867105</v>
      </c>
      <c r="AD39" s="186">
        <f t="shared" si="41"/>
        <v>42548.610814557454</v>
      </c>
      <c r="AE39" s="186">
        <f t="shared" si="41"/>
        <v>43792.121206606556</v>
      </c>
      <c r="AF39" s="186">
        <f t="shared" ref="AF39:AQ39" si="45">AF293+AF547</f>
        <v>28968.19880110932</v>
      </c>
      <c r="AG39" s="186">
        <f t="shared" si="45"/>
        <v>16753.631073317214</v>
      </c>
      <c r="AH39" s="186">
        <f t="shared" si="45"/>
        <v>25384.43886968249</v>
      </c>
      <c r="AI39" s="186">
        <f t="shared" si="45"/>
        <v>32244.998291595577</v>
      </c>
      <c r="AJ39" s="186">
        <f t="shared" si="45"/>
        <v>46966.050522176527</v>
      </c>
      <c r="AK39" s="186">
        <f t="shared" si="45"/>
        <v>48403.872485676795</v>
      </c>
      <c r="AL39" s="186">
        <f t="shared" si="45"/>
        <v>43289.20478703265</v>
      </c>
      <c r="AM39" s="186">
        <f t="shared" si="45"/>
        <v>43530.656970941454</v>
      </c>
      <c r="AN39" s="186">
        <f t="shared" si="45"/>
        <v>44599.406318382338</v>
      </c>
      <c r="AO39" s="186">
        <f t="shared" si="45"/>
        <v>43047.997677490159</v>
      </c>
      <c r="AP39" s="186">
        <f t="shared" si="45"/>
        <v>43063.054252716924</v>
      </c>
      <c r="AQ39" s="186">
        <f t="shared" si="45"/>
        <v>44340.465448190233</v>
      </c>
      <c r="AR39" s="186">
        <f>SUM(G39:R39)</f>
        <v>451742.14</v>
      </c>
      <c r="AS39" s="186">
        <f>SUM(T39:AE39)</f>
        <v>454921.87360060675</v>
      </c>
      <c r="AT39" s="186">
        <f>SUM(AF39:AQ39)</f>
        <v>460591.97549831169</v>
      </c>
      <c r="AU39" s="171"/>
      <c r="AV39" s="171"/>
    </row>
    <row r="40" spans="1:48">
      <c r="A40" s="15" t="s">
        <v>1005</v>
      </c>
      <c r="B40" s="250">
        <v>649</v>
      </c>
      <c r="C40" s="212"/>
      <c r="D40" s="102"/>
      <c r="E40" s="102" t="s">
        <v>170</v>
      </c>
      <c r="F40" s="102"/>
      <c r="G40" s="131">
        <f t="shared" ref="G40:AE40" si="46">SUM(G38:G39)</f>
        <v>709623.09</v>
      </c>
      <c r="H40" s="131">
        <f t="shared" si="46"/>
        <v>732018.4</v>
      </c>
      <c r="I40" s="131">
        <f t="shared" si="46"/>
        <v>981782.83000000007</v>
      </c>
      <c r="J40" s="131">
        <f t="shared" si="46"/>
        <v>1121849.8199999998</v>
      </c>
      <c r="K40" s="131">
        <f t="shared" si="46"/>
        <v>1211009.7900000003</v>
      </c>
      <c r="L40" s="131">
        <f t="shared" si="46"/>
        <v>1341485.43</v>
      </c>
      <c r="M40" s="131">
        <f t="shared" si="46"/>
        <v>892921.77</v>
      </c>
      <c r="N40" s="131">
        <f t="shared" si="46"/>
        <v>1158458.8600000001</v>
      </c>
      <c r="O40" s="131">
        <f t="shared" si="46"/>
        <v>1130985.6900000002</v>
      </c>
      <c r="P40" s="131">
        <f t="shared" si="46"/>
        <v>1308987.56</v>
      </c>
      <c r="Q40" s="131">
        <f t="shared" si="46"/>
        <v>1145980.1499999999</v>
      </c>
      <c r="R40" s="131">
        <f t="shared" si="46"/>
        <v>994845.39</v>
      </c>
      <c r="S40" s="620"/>
      <c r="T40" s="131">
        <f t="shared" ref="T40:Y40" si="47">SUM(T38:T39)</f>
        <v>695373.25682217861</v>
      </c>
      <c r="U40" s="131">
        <f t="shared" si="47"/>
        <v>731644.01854179788</v>
      </c>
      <c r="V40" s="131">
        <f t="shared" si="47"/>
        <v>978027.53426457278</v>
      </c>
      <c r="W40" s="131">
        <f t="shared" si="47"/>
        <v>1127728.827779223</v>
      </c>
      <c r="X40" s="131">
        <f t="shared" si="47"/>
        <v>1213569.6572264764</v>
      </c>
      <c r="Y40" s="131">
        <f t="shared" si="47"/>
        <v>1341182.9065481212</v>
      </c>
      <c r="Z40" s="131">
        <f t="shared" si="46"/>
        <v>897990.05464918527</v>
      </c>
      <c r="AA40" s="131">
        <f t="shared" si="46"/>
        <v>1158414.6446996138</v>
      </c>
      <c r="AB40" s="131">
        <f t="shared" si="46"/>
        <v>1131142.2819751271</v>
      </c>
      <c r="AC40" s="131">
        <f t="shared" si="46"/>
        <v>1300830.7924646686</v>
      </c>
      <c r="AD40" s="131">
        <f t="shared" si="46"/>
        <v>1145157.3591527822</v>
      </c>
      <c r="AE40" s="131">
        <f t="shared" si="46"/>
        <v>1002089.732517245</v>
      </c>
      <c r="AF40" s="131">
        <f t="shared" ref="AF40:AQ40" si="48">SUM(AF38:AF39)</f>
        <v>702255.5813628477</v>
      </c>
      <c r="AG40" s="131">
        <f t="shared" si="48"/>
        <v>740250.59584999876</v>
      </c>
      <c r="AH40" s="131">
        <f t="shared" si="48"/>
        <v>989228.42907829268</v>
      </c>
      <c r="AI40" s="131">
        <f t="shared" si="48"/>
        <v>1141597.6292542</v>
      </c>
      <c r="AJ40" s="131">
        <f t="shared" si="48"/>
        <v>1228142.3550794695</v>
      </c>
      <c r="AK40" s="131">
        <f t="shared" si="48"/>
        <v>1356995.5369130764</v>
      </c>
      <c r="AL40" s="131">
        <f t="shared" si="48"/>
        <v>909069.6670286255</v>
      </c>
      <c r="AM40" s="131">
        <f t="shared" si="48"/>
        <v>1172092.6995232301</v>
      </c>
      <c r="AN40" s="131">
        <f t="shared" si="48"/>
        <v>1144516.9731828144</v>
      </c>
      <c r="AO40" s="131">
        <f t="shared" si="48"/>
        <v>1315433.2964210634</v>
      </c>
      <c r="AP40" s="131">
        <f t="shared" si="48"/>
        <v>1158606.1178611382</v>
      </c>
      <c r="AQ40" s="131">
        <f t="shared" si="48"/>
        <v>1014602.1056397404</v>
      </c>
      <c r="AR40" s="131">
        <f>SUM(G40:R40)</f>
        <v>12729948.780000003</v>
      </c>
      <c r="AS40" s="131">
        <f>SUM(T40:AE40)</f>
        <v>12723151.066640992</v>
      </c>
      <c r="AT40" s="131">
        <f>SUM(AF40:AQ40)</f>
        <v>12872790.987194499</v>
      </c>
      <c r="AU40" s="621"/>
      <c r="AV40" s="621"/>
    </row>
    <row r="41" spans="1:48">
      <c r="B41" s="250">
        <v>650</v>
      </c>
      <c r="C41" s="212"/>
      <c r="D41" s="102"/>
      <c r="E41" s="102"/>
      <c r="F41" s="102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71"/>
      <c r="AV41" s="171"/>
    </row>
    <row r="42" spans="1:48">
      <c r="B42" s="250">
        <v>651</v>
      </c>
      <c r="C42" s="212">
        <v>875</v>
      </c>
      <c r="D42" s="102" t="s">
        <v>381</v>
      </c>
      <c r="E42" s="102"/>
      <c r="F42" s="102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71"/>
      <c r="AV42" s="171"/>
    </row>
    <row r="43" spans="1:48">
      <c r="B43" s="250">
        <v>652</v>
      </c>
      <c r="C43" s="212"/>
      <c r="D43" s="102"/>
      <c r="E43" s="102" t="s">
        <v>14</v>
      </c>
      <c r="F43" s="102"/>
      <c r="G43" s="186">
        <f t="shared" ref="G43:AE44" si="49">G297+G551</f>
        <v>175821.30000000002</v>
      </c>
      <c r="H43" s="186">
        <f t="shared" si="49"/>
        <v>170807.42</v>
      </c>
      <c r="I43" s="186">
        <f t="shared" si="49"/>
        <v>170216.5</v>
      </c>
      <c r="J43" s="186">
        <f t="shared" si="49"/>
        <v>252562.53</v>
      </c>
      <c r="K43" s="186">
        <f t="shared" si="49"/>
        <v>154728.83000000002</v>
      </c>
      <c r="L43" s="186">
        <f t="shared" si="49"/>
        <v>130631.61000000002</v>
      </c>
      <c r="M43" s="186">
        <f t="shared" si="49"/>
        <v>167896.18000000002</v>
      </c>
      <c r="N43" s="186">
        <f t="shared" si="49"/>
        <v>146718.04</v>
      </c>
      <c r="O43" s="186">
        <f t="shared" si="49"/>
        <v>237123.98</v>
      </c>
      <c r="P43" s="186">
        <f t="shared" si="49"/>
        <v>114311.62</v>
      </c>
      <c r="Q43" s="186">
        <f t="shared" si="49"/>
        <v>265047.42</v>
      </c>
      <c r="R43" s="186">
        <f t="shared" si="49"/>
        <v>219122.45</v>
      </c>
      <c r="S43" s="186"/>
      <c r="T43" s="186">
        <f t="shared" ref="T43:Y43" si="50">T297+T551</f>
        <v>171054.8656969154</v>
      </c>
      <c r="U43" s="186">
        <f t="shared" si="50"/>
        <v>164558.60013317014</v>
      </c>
      <c r="V43" s="186">
        <f t="shared" si="50"/>
        <v>164662.84002999193</v>
      </c>
      <c r="W43" s="186">
        <f t="shared" si="50"/>
        <v>251293.0986399322</v>
      </c>
      <c r="X43" s="186">
        <f t="shared" si="50"/>
        <v>150360.49649302763</v>
      </c>
      <c r="Y43" s="186">
        <f t="shared" si="50"/>
        <v>125787.95948236214</v>
      </c>
      <c r="Z43" s="186">
        <f t="shared" si="49"/>
        <v>163141.50675763859</v>
      </c>
      <c r="AA43" s="186">
        <f t="shared" si="49"/>
        <v>140591.09026204038</v>
      </c>
      <c r="AB43" s="186">
        <f t="shared" si="49"/>
        <v>233307.25308363134</v>
      </c>
      <c r="AC43" s="186">
        <f t="shared" si="49"/>
        <v>110668.32035250163</v>
      </c>
      <c r="AD43" s="186">
        <f t="shared" si="49"/>
        <v>260080.5191691111</v>
      </c>
      <c r="AE43" s="186">
        <f t="shared" si="49"/>
        <v>215098.75256953028</v>
      </c>
      <c r="AF43" s="186">
        <f t="shared" ref="AF43:AQ43" si="51">AF297+AF551</f>
        <v>172882.16634897821</v>
      </c>
      <c r="AG43" s="186">
        <f t="shared" si="51"/>
        <v>166087.73540399733</v>
      </c>
      <c r="AH43" s="186">
        <f t="shared" si="51"/>
        <v>166289.09402171231</v>
      </c>
      <c r="AI43" s="186">
        <f t="shared" si="51"/>
        <v>254765.98751435068</v>
      </c>
      <c r="AJ43" s="186">
        <f t="shared" si="51"/>
        <v>151942.17308098351</v>
      </c>
      <c r="AK43" s="186">
        <f t="shared" si="51"/>
        <v>126947.59949425032</v>
      </c>
      <c r="AL43" s="186">
        <f t="shared" si="51"/>
        <v>164855.56392352498</v>
      </c>
      <c r="AM43" s="186">
        <f t="shared" si="51"/>
        <v>141789.10227143433</v>
      </c>
      <c r="AN43" s="186">
        <f t="shared" si="51"/>
        <v>236168.74975853029</v>
      </c>
      <c r="AO43" s="186">
        <f t="shared" si="51"/>
        <v>111773.58637556492</v>
      </c>
      <c r="AP43" s="186">
        <f t="shared" si="51"/>
        <v>263172.44100806525</v>
      </c>
      <c r="AQ43" s="186">
        <f t="shared" si="51"/>
        <v>217667.49135227044</v>
      </c>
      <c r="AR43" s="186">
        <f>SUM(G43:R43)</f>
        <v>2204987.8800000004</v>
      </c>
      <c r="AS43" s="186">
        <f>SUM(T43:AE43)</f>
        <v>2150605.302669853</v>
      </c>
      <c r="AT43" s="186">
        <f>SUM(AF43:AQ43)</f>
        <v>2174341.6905536624</v>
      </c>
      <c r="AU43" s="171"/>
      <c r="AV43" s="171"/>
    </row>
    <row r="44" spans="1:48">
      <c r="B44" s="250">
        <v>653</v>
      </c>
      <c r="C44" s="212"/>
      <c r="D44" s="102"/>
      <c r="E44" s="102" t="s">
        <v>24</v>
      </c>
      <c r="F44" s="102"/>
      <c r="G44" s="186">
        <f t="shared" si="49"/>
        <v>11604.560000000001</v>
      </c>
      <c r="H44" s="186">
        <f t="shared" si="49"/>
        <v>10149.23</v>
      </c>
      <c r="I44" s="186">
        <f t="shared" si="49"/>
        <v>12453.46</v>
      </c>
      <c r="J44" s="186">
        <f t="shared" si="49"/>
        <v>12420.64</v>
      </c>
      <c r="K44" s="186">
        <f t="shared" si="49"/>
        <v>6840.52</v>
      </c>
      <c r="L44" s="186">
        <f t="shared" si="49"/>
        <v>11924.86</v>
      </c>
      <c r="M44" s="186">
        <f t="shared" si="49"/>
        <v>9725.85</v>
      </c>
      <c r="N44" s="186">
        <f t="shared" si="49"/>
        <v>8223.6200000000008</v>
      </c>
      <c r="O44" s="186">
        <f t="shared" si="49"/>
        <v>18488.669999999998</v>
      </c>
      <c r="P44" s="186">
        <f t="shared" si="49"/>
        <v>7342.33</v>
      </c>
      <c r="Q44" s="186">
        <f t="shared" si="49"/>
        <v>18719.68</v>
      </c>
      <c r="R44" s="186">
        <f t="shared" si="49"/>
        <v>11176.449999999999</v>
      </c>
      <c r="S44" s="186"/>
      <c r="T44" s="186">
        <f t="shared" ref="T44:Y44" si="52">T298+T552</f>
        <v>11462.923773928809</v>
      </c>
      <c r="U44" s="186">
        <f t="shared" si="52"/>
        <v>10077.804583344699</v>
      </c>
      <c r="V44" s="186">
        <f t="shared" si="52"/>
        <v>12236.167497504415</v>
      </c>
      <c r="W44" s="186">
        <f t="shared" si="52"/>
        <v>12474.158080268277</v>
      </c>
      <c r="X44" s="186">
        <f t="shared" si="52"/>
        <v>6921.9619059344859</v>
      </c>
      <c r="Y44" s="186">
        <f t="shared" si="52"/>
        <v>11589.127453220404</v>
      </c>
      <c r="Z44" s="186">
        <f t="shared" si="49"/>
        <v>9659.9587365184343</v>
      </c>
      <c r="AA44" s="186">
        <f t="shared" si="49"/>
        <v>8187.8929575881793</v>
      </c>
      <c r="AB44" s="186">
        <f t="shared" si="49"/>
        <v>18107.091697337695</v>
      </c>
      <c r="AC44" s="186">
        <f t="shared" si="49"/>
        <v>7290.1960566805556</v>
      </c>
      <c r="AD44" s="186">
        <f t="shared" si="49"/>
        <v>18430.985654009492</v>
      </c>
      <c r="AE44" s="186">
        <f t="shared" si="49"/>
        <v>11242.463211676297</v>
      </c>
      <c r="AF44" s="186">
        <f t="shared" ref="AF44:AQ44" si="53">AF298+AF552</f>
        <v>11609.826761224558</v>
      </c>
      <c r="AG44" s="186">
        <f t="shared" si="53"/>
        <v>10214.258941764967</v>
      </c>
      <c r="AH44" s="186">
        <f t="shared" si="53"/>
        <v>12383.888932740843</v>
      </c>
      <c r="AI44" s="186">
        <f t="shared" si="53"/>
        <v>12662.578624732769</v>
      </c>
      <c r="AJ44" s="186">
        <f t="shared" si="53"/>
        <v>7033.6336931768428</v>
      </c>
      <c r="AK44" s="186">
        <f t="shared" si="53"/>
        <v>11711.168097756708</v>
      </c>
      <c r="AL44" s="186">
        <f t="shared" si="53"/>
        <v>9791.1092520671755</v>
      </c>
      <c r="AM44" s="186">
        <f t="shared" si="53"/>
        <v>8301.8252022186862</v>
      </c>
      <c r="AN44" s="186">
        <f t="shared" si="53"/>
        <v>18317.43423778571</v>
      </c>
      <c r="AO44" s="186">
        <f t="shared" si="53"/>
        <v>7388.8419417088317</v>
      </c>
      <c r="AP44" s="186">
        <f t="shared" si="53"/>
        <v>18658.803835595194</v>
      </c>
      <c r="AQ44" s="186">
        <f t="shared" si="53"/>
        <v>11414.724387061793</v>
      </c>
      <c r="AR44" s="186">
        <f>SUM(G44:R44)</f>
        <v>139069.87000000002</v>
      </c>
      <c r="AS44" s="186">
        <f>SUM(T44:AE44)</f>
        <v>137680.73160801173</v>
      </c>
      <c r="AT44" s="186">
        <f>SUM(AF44:AQ44)</f>
        <v>139488.09390783409</v>
      </c>
      <c r="AU44" s="171"/>
      <c r="AV44" s="171"/>
    </row>
    <row r="45" spans="1:48">
      <c r="A45" s="15" t="s">
        <v>1006</v>
      </c>
      <c r="B45" s="250">
        <v>654</v>
      </c>
      <c r="C45" s="212"/>
      <c r="D45" s="102"/>
      <c r="E45" s="102" t="s">
        <v>170</v>
      </c>
      <c r="F45" s="102"/>
      <c r="G45" s="131">
        <f t="shared" ref="G45:AE45" si="54">SUM(G43:G44)</f>
        <v>187425.86000000002</v>
      </c>
      <c r="H45" s="131">
        <f t="shared" si="54"/>
        <v>180956.65000000002</v>
      </c>
      <c r="I45" s="131">
        <f t="shared" si="54"/>
        <v>182669.96</v>
      </c>
      <c r="J45" s="131">
        <f t="shared" si="54"/>
        <v>264983.17</v>
      </c>
      <c r="K45" s="131">
        <f t="shared" si="54"/>
        <v>161569.35</v>
      </c>
      <c r="L45" s="131">
        <f t="shared" si="54"/>
        <v>142556.47000000003</v>
      </c>
      <c r="M45" s="131">
        <f t="shared" si="54"/>
        <v>177622.03000000003</v>
      </c>
      <c r="N45" s="131">
        <f t="shared" si="54"/>
        <v>154941.66</v>
      </c>
      <c r="O45" s="131">
        <f t="shared" si="54"/>
        <v>255612.65000000002</v>
      </c>
      <c r="P45" s="131">
        <f t="shared" si="54"/>
        <v>121653.95</v>
      </c>
      <c r="Q45" s="131">
        <f t="shared" si="54"/>
        <v>283767.09999999998</v>
      </c>
      <c r="R45" s="131">
        <f t="shared" si="54"/>
        <v>230298.90000000002</v>
      </c>
      <c r="S45" s="620"/>
      <c r="T45" s="131">
        <f t="shared" ref="T45:Y45" si="55">SUM(T43:T44)</f>
        <v>182517.7894708442</v>
      </c>
      <c r="U45" s="131">
        <f t="shared" si="55"/>
        <v>174636.40471651484</v>
      </c>
      <c r="V45" s="131">
        <f t="shared" si="55"/>
        <v>176899.00752749635</v>
      </c>
      <c r="W45" s="131">
        <f t="shared" si="55"/>
        <v>263767.25672020047</v>
      </c>
      <c r="X45" s="131">
        <f t="shared" si="55"/>
        <v>157282.45839896213</v>
      </c>
      <c r="Y45" s="131">
        <f t="shared" si="55"/>
        <v>137377.08693558254</v>
      </c>
      <c r="Z45" s="131">
        <f t="shared" si="54"/>
        <v>172801.46549415702</v>
      </c>
      <c r="AA45" s="131">
        <f t="shared" si="54"/>
        <v>148778.98321962857</v>
      </c>
      <c r="AB45" s="131">
        <f t="shared" si="54"/>
        <v>251414.34478096903</v>
      </c>
      <c r="AC45" s="131">
        <f t="shared" si="54"/>
        <v>117958.51640918218</v>
      </c>
      <c r="AD45" s="131">
        <f t="shared" si="54"/>
        <v>278511.5048231206</v>
      </c>
      <c r="AE45" s="131">
        <f t="shared" si="54"/>
        <v>226341.21578120659</v>
      </c>
      <c r="AF45" s="131">
        <f t="shared" ref="AF45:AQ45" si="56">SUM(AF43:AF44)</f>
        <v>184491.99311020278</v>
      </c>
      <c r="AG45" s="131">
        <f t="shared" si="56"/>
        <v>176301.9943457623</v>
      </c>
      <c r="AH45" s="131">
        <f t="shared" si="56"/>
        <v>178672.98295445315</v>
      </c>
      <c r="AI45" s="131">
        <f t="shared" si="56"/>
        <v>267428.56613908347</v>
      </c>
      <c r="AJ45" s="131">
        <f t="shared" si="56"/>
        <v>158975.80677416036</v>
      </c>
      <c r="AK45" s="131">
        <f t="shared" si="56"/>
        <v>138658.76759200703</v>
      </c>
      <c r="AL45" s="131">
        <f t="shared" si="56"/>
        <v>174646.67317559215</v>
      </c>
      <c r="AM45" s="131">
        <f t="shared" si="56"/>
        <v>150090.92747365302</v>
      </c>
      <c r="AN45" s="131">
        <f t="shared" si="56"/>
        <v>254486.18399631599</v>
      </c>
      <c r="AO45" s="131">
        <f t="shared" si="56"/>
        <v>119162.42831727375</v>
      </c>
      <c r="AP45" s="131">
        <f t="shared" si="56"/>
        <v>281831.24484366045</v>
      </c>
      <c r="AQ45" s="131">
        <f t="shared" si="56"/>
        <v>229082.21573933223</v>
      </c>
      <c r="AR45" s="131">
        <f>SUM(G45:R45)</f>
        <v>2344057.7499999995</v>
      </c>
      <c r="AS45" s="131">
        <f>SUM(T45:AE45)</f>
        <v>2288286.0342778647</v>
      </c>
      <c r="AT45" s="131">
        <f>SUM(AF45:AQ45)</f>
        <v>2313829.7844614969</v>
      </c>
      <c r="AU45" s="621"/>
      <c r="AV45" s="621"/>
    </row>
    <row r="46" spans="1:48">
      <c r="B46" s="250">
        <v>655</v>
      </c>
      <c r="C46" s="212"/>
      <c r="D46" s="102"/>
      <c r="E46" s="102"/>
      <c r="F46" s="102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71"/>
      <c r="AV46" s="171"/>
    </row>
    <row r="47" spans="1:48">
      <c r="B47" s="250">
        <v>656</v>
      </c>
      <c r="C47" s="212">
        <v>878</v>
      </c>
      <c r="D47" s="102" t="s">
        <v>382</v>
      </c>
      <c r="E47" s="102"/>
      <c r="F47" s="102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71"/>
      <c r="AV47" s="171"/>
    </row>
    <row r="48" spans="1:48">
      <c r="B48" s="250">
        <v>657</v>
      </c>
      <c r="C48" s="212"/>
      <c r="D48" s="102"/>
      <c r="E48" s="102" t="s">
        <v>14</v>
      </c>
      <c r="F48" s="102"/>
      <c r="G48" s="186">
        <f t="shared" ref="G48:AE49" si="57">G302+G556</f>
        <v>220914.58999999997</v>
      </c>
      <c r="H48" s="186">
        <f t="shared" si="57"/>
        <v>206673.35</v>
      </c>
      <c r="I48" s="186">
        <f t="shared" si="57"/>
        <v>213380.29</v>
      </c>
      <c r="J48" s="186">
        <f t="shared" si="57"/>
        <v>193153.77000000002</v>
      </c>
      <c r="K48" s="186">
        <f t="shared" si="57"/>
        <v>215599.54000000004</v>
      </c>
      <c r="L48" s="186">
        <f t="shared" si="57"/>
        <v>209860.4</v>
      </c>
      <c r="M48" s="186">
        <f t="shared" si="57"/>
        <v>193053.77000000002</v>
      </c>
      <c r="N48" s="186">
        <f t="shared" si="57"/>
        <v>227680.95</v>
      </c>
      <c r="O48" s="186">
        <f t="shared" si="57"/>
        <v>214083.06000000003</v>
      </c>
      <c r="P48" s="186">
        <f t="shared" si="57"/>
        <v>259035.51</v>
      </c>
      <c r="Q48" s="186">
        <f t="shared" si="57"/>
        <v>281073.82</v>
      </c>
      <c r="R48" s="186">
        <f t="shared" si="57"/>
        <v>290755.30000000005</v>
      </c>
      <c r="S48" s="186"/>
      <c r="T48" s="186">
        <f t="shared" ref="T48:Y48" si="58">T302+T556</f>
        <v>213309.57535209801</v>
      </c>
      <c r="U48" s="186">
        <f t="shared" si="58"/>
        <v>200606.97034900408</v>
      </c>
      <c r="V48" s="186">
        <f t="shared" si="58"/>
        <v>205013.2619622479</v>
      </c>
      <c r="W48" s="186">
        <f t="shared" si="58"/>
        <v>186618.04437881679</v>
      </c>
      <c r="X48" s="186">
        <f t="shared" si="58"/>
        <v>207953.51218088792</v>
      </c>
      <c r="Y48" s="186">
        <f t="shared" si="58"/>
        <v>201929.92107658315</v>
      </c>
      <c r="Z48" s="186">
        <f t="shared" si="57"/>
        <v>186018.43462268737</v>
      </c>
      <c r="AA48" s="186">
        <f t="shared" si="57"/>
        <v>218916.10373635459</v>
      </c>
      <c r="AB48" s="186">
        <f t="shared" si="57"/>
        <v>206257.52099959849</v>
      </c>
      <c r="AC48" s="186">
        <f t="shared" si="57"/>
        <v>248431.89026123675</v>
      </c>
      <c r="AD48" s="186">
        <f t="shared" si="57"/>
        <v>270731.68509634864</v>
      </c>
      <c r="AE48" s="186">
        <f t="shared" si="57"/>
        <v>281467.70337686938</v>
      </c>
      <c r="AF48" s="186">
        <f t="shared" ref="AF48:AQ48" si="59">AF302+AF556</f>
        <v>215345.52031204704</v>
      </c>
      <c r="AG48" s="186">
        <f t="shared" si="59"/>
        <v>202668.15930463921</v>
      </c>
      <c r="AH48" s="186">
        <f t="shared" si="59"/>
        <v>206827.30957101617</v>
      </c>
      <c r="AI48" s="186">
        <f t="shared" si="59"/>
        <v>188415.105979874</v>
      </c>
      <c r="AJ48" s="186">
        <f t="shared" si="59"/>
        <v>209907.03966130895</v>
      </c>
      <c r="AK48" s="186">
        <f t="shared" si="59"/>
        <v>203758.60555108968</v>
      </c>
      <c r="AL48" s="186">
        <f t="shared" si="59"/>
        <v>187739.48421918869</v>
      </c>
      <c r="AM48" s="186">
        <f t="shared" si="59"/>
        <v>220876.04955256794</v>
      </c>
      <c r="AN48" s="186">
        <f t="shared" si="59"/>
        <v>208162.4844432614</v>
      </c>
      <c r="AO48" s="186">
        <f t="shared" si="59"/>
        <v>250567.44553741987</v>
      </c>
      <c r="AP48" s="186">
        <f t="shared" si="59"/>
        <v>273222.62341199996</v>
      </c>
      <c r="AQ48" s="186">
        <f t="shared" si="59"/>
        <v>284255.02604197123</v>
      </c>
      <c r="AR48" s="186">
        <f>SUM(G48:R48)</f>
        <v>2725264.3499999996</v>
      </c>
      <c r="AS48" s="186">
        <f>SUM(T48:AE48)</f>
        <v>2627254.6233927328</v>
      </c>
      <c r="AT48" s="186">
        <f>SUM(AF48:AQ48)</f>
        <v>2651744.8535863846</v>
      </c>
      <c r="AU48" s="171"/>
      <c r="AV48" s="171"/>
    </row>
    <row r="49" spans="1:48">
      <c r="B49" s="250">
        <v>658</v>
      </c>
      <c r="C49" s="212"/>
      <c r="D49" s="102"/>
      <c r="E49" s="102" t="s">
        <v>24</v>
      </c>
      <c r="F49" s="102"/>
      <c r="G49" s="186">
        <f t="shared" si="57"/>
        <v>9296.2099999999991</v>
      </c>
      <c r="H49" s="186">
        <f t="shared" si="57"/>
        <v>13372.470000000001</v>
      </c>
      <c r="I49" s="186">
        <f t="shared" si="57"/>
        <v>18614.54</v>
      </c>
      <c r="J49" s="186">
        <f t="shared" si="57"/>
        <v>22679.29</v>
      </c>
      <c r="K49" s="186">
        <f t="shared" si="57"/>
        <v>14885.460000000003</v>
      </c>
      <c r="L49" s="186">
        <f t="shared" si="57"/>
        <v>13067.68</v>
      </c>
      <c r="M49" s="186">
        <f t="shared" si="57"/>
        <v>22499.22</v>
      </c>
      <c r="N49" s="186">
        <f t="shared" si="57"/>
        <v>18396.34</v>
      </c>
      <c r="O49" s="186">
        <f t="shared" si="57"/>
        <v>13797.97</v>
      </c>
      <c r="P49" s="186">
        <f t="shared" si="57"/>
        <v>17778.060000000001</v>
      </c>
      <c r="Q49" s="186">
        <f t="shared" si="57"/>
        <v>20879.559999999998</v>
      </c>
      <c r="R49" s="186">
        <f t="shared" si="57"/>
        <v>29154.97</v>
      </c>
      <c r="S49" s="186"/>
      <c r="T49" s="186">
        <f t="shared" ref="T49:Y49" si="60">T303+T557</f>
        <v>8968.668217658209</v>
      </c>
      <c r="U49" s="186">
        <f t="shared" si="60"/>
        <v>12838.674802907273</v>
      </c>
      <c r="V49" s="186">
        <f t="shared" si="60"/>
        <v>18050.194300163366</v>
      </c>
      <c r="W49" s="186">
        <f t="shared" si="60"/>
        <v>21798.383408694892</v>
      </c>
      <c r="X49" s="186">
        <f t="shared" si="60"/>
        <v>14542.729057591805</v>
      </c>
      <c r="Y49" s="186">
        <f t="shared" si="60"/>
        <v>12618.116332535847</v>
      </c>
      <c r="Z49" s="186">
        <f t="shared" si="57"/>
        <v>21461.857428430834</v>
      </c>
      <c r="AA49" s="186">
        <f t="shared" si="57"/>
        <v>17926.34817082659</v>
      </c>
      <c r="AB49" s="186">
        <f t="shared" si="57"/>
        <v>13270.141060705864</v>
      </c>
      <c r="AC49" s="186">
        <f t="shared" si="57"/>
        <v>17153.535904633351</v>
      </c>
      <c r="AD49" s="186">
        <f t="shared" si="57"/>
        <v>20020.756077494734</v>
      </c>
      <c r="AE49" s="186">
        <f t="shared" si="57"/>
        <v>27712.645954017607</v>
      </c>
      <c r="AF49" s="186">
        <f t="shared" ref="AF49:AQ49" si="61">AF303+AF557</f>
        <v>9053.2196421077679</v>
      </c>
      <c r="AG49" s="186">
        <f t="shared" si="61"/>
        <v>12950.95197976115</v>
      </c>
      <c r="AH49" s="186">
        <f t="shared" si="61"/>
        <v>18233.159076929576</v>
      </c>
      <c r="AI49" s="186">
        <f t="shared" si="61"/>
        <v>21992.443164439876</v>
      </c>
      <c r="AJ49" s="186">
        <f t="shared" si="61"/>
        <v>14705.244696156602</v>
      </c>
      <c r="AK49" s="186">
        <f t="shared" si="61"/>
        <v>12738.591574299724</v>
      </c>
      <c r="AL49" s="186">
        <f t="shared" si="61"/>
        <v>21629.978229764638</v>
      </c>
      <c r="AM49" s="186">
        <f t="shared" si="61"/>
        <v>18120.264935727613</v>
      </c>
      <c r="AN49" s="186">
        <f t="shared" si="61"/>
        <v>13389.416704202848</v>
      </c>
      <c r="AO49" s="186">
        <f t="shared" si="61"/>
        <v>17315.510534280482</v>
      </c>
      <c r="AP49" s="186">
        <f t="shared" si="61"/>
        <v>20192.280670566106</v>
      </c>
      <c r="AQ49" s="186">
        <f t="shared" si="61"/>
        <v>27915.859005326001</v>
      </c>
      <c r="AR49" s="186">
        <f>SUM(G49:R49)</f>
        <v>214421.77</v>
      </c>
      <c r="AS49" s="186">
        <f>SUM(T49:AE49)</f>
        <v>206362.05071566039</v>
      </c>
      <c r="AT49" s="186">
        <f>SUM(AF49:AQ49)</f>
        <v>208236.92021356238</v>
      </c>
      <c r="AU49" s="171"/>
      <c r="AV49" s="171"/>
    </row>
    <row r="50" spans="1:48">
      <c r="A50" s="15" t="s">
        <v>1007</v>
      </c>
      <c r="B50" s="250">
        <v>659</v>
      </c>
      <c r="C50" s="212"/>
      <c r="D50" s="102"/>
      <c r="E50" s="102" t="s">
        <v>170</v>
      </c>
      <c r="F50" s="102"/>
      <c r="G50" s="131">
        <f t="shared" ref="G50:AE50" si="62">SUM(G48:G49)</f>
        <v>230210.79999999996</v>
      </c>
      <c r="H50" s="131">
        <f t="shared" si="62"/>
        <v>220045.82</v>
      </c>
      <c r="I50" s="131">
        <f t="shared" si="62"/>
        <v>231994.83000000002</v>
      </c>
      <c r="J50" s="131">
        <f t="shared" si="62"/>
        <v>215833.06000000003</v>
      </c>
      <c r="K50" s="131">
        <f t="shared" si="62"/>
        <v>230485.00000000003</v>
      </c>
      <c r="L50" s="131">
        <f t="shared" si="62"/>
        <v>222928.08</v>
      </c>
      <c r="M50" s="131">
        <f t="shared" si="62"/>
        <v>215552.99000000002</v>
      </c>
      <c r="N50" s="131">
        <f t="shared" si="62"/>
        <v>246077.29</v>
      </c>
      <c r="O50" s="131">
        <f t="shared" si="62"/>
        <v>227881.03000000003</v>
      </c>
      <c r="P50" s="131">
        <f t="shared" si="62"/>
        <v>276813.57</v>
      </c>
      <c r="Q50" s="131">
        <f t="shared" si="62"/>
        <v>301953.38</v>
      </c>
      <c r="R50" s="131">
        <f t="shared" si="62"/>
        <v>319910.27</v>
      </c>
      <c r="S50" s="620"/>
      <c r="T50" s="131">
        <f t="shared" ref="T50:Y50" si="63">SUM(T48:T49)</f>
        <v>222278.24356975622</v>
      </c>
      <c r="U50" s="131">
        <f t="shared" si="63"/>
        <v>213445.64515191136</v>
      </c>
      <c r="V50" s="131">
        <f t="shared" si="63"/>
        <v>223063.45626241126</v>
      </c>
      <c r="W50" s="131">
        <f t="shared" si="63"/>
        <v>208416.42778751167</v>
      </c>
      <c r="X50" s="131">
        <f t="shared" si="63"/>
        <v>222496.24123847974</v>
      </c>
      <c r="Y50" s="131">
        <f t="shared" si="63"/>
        <v>214548.03740911899</v>
      </c>
      <c r="Z50" s="131">
        <f t="shared" si="62"/>
        <v>207480.29205111822</v>
      </c>
      <c r="AA50" s="131">
        <f t="shared" si="62"/>
        <v>236842.45190718118</v>
      </c>
      <c r="AB50" s="131">
        <f t="shared" si="62"/>
        <v>219527.66206030437</v>
      </c>
      <c r="AC50" s="131">
        <f t="shared" si="62"/>
        <v>265585.4261658701</v>
      </c>
      <c r="AD50" s="131">
        <f t="shared" si="62"/>
        <v>290752.44117384334</v>
      </c>
      <c r="AE50" s="131">
        <f t="shared" si="62"/>
        <v>309180.34933088697</v>
      </c>
      <c r="AF50" s="131">
        <f t="shared" ref="AF50:AQ50" si="64">SUM(AF48:AF49)</f>
        <v>224398.73995415482</v>
      </c>
      <c r="AG50" s="131">
        <f t="shared" si="64"/>
        <v>215619.11128440037</v>
      </c>
      <c r="AH50" s="131">
        <f t="shared" si="64"/>
        <v>225060.46864794576</v>
      </c>
      <c r="AI50" s="131">
        <f t="shared" si="64"/>
        <v>210407.54914431387</v>
      </c>
      <c r="AJ50" s="131">
        <f t="shared" si="64"/>
        <v>224612.28435746557</v>
      </c>
      <c r="AK50" s="131">
        <f t="shared" si="64"/>
        <v>216497.19712538942</v>
      </c>
      <c r="AL50" s="131">
        <f t="shared" si="64"/>
        <v>209369.46244895333</v>
      </c>
      <c r="AM50" s="131">
        <f t="shared" si="64"/>
        <v>238996.31448829555</v>
      </c>
      <c r="AN50" s="131">
        <f t="shared" si="64"/>
        <v>221551.90114746426</v>
      </c>
      <c r="AO50" s="131">
        <f t="shared" si="64"/>
        <v>267882.95607170038</v>
      </c>
      <c r="AP50" s="131">
        <f t="shared" si="64"/>
        <v>293414.90408256603</v>
      </c>
      <c r="AQ50" s="131">
        <f t="shared" si="64"/>
        <v>312170.88504729723</v>
      </c>
      <c r="AR50" s="131">
        <f>SUM(G50:R50)</f>
        <v>2939686.12</v>
      </c>
      <c r="AS50" s="131">
        <f>SUM(T50:AE50)</f>
        <v>2833616.6741083935</v>
      </c>
      <c r="AT50" s="131">
        <f>SUM(AF50:AQ50)</f>
        <v>2859981.7737999465</v>
      </c>
      <c r="AU50" s="621"/>
      <c r="AV50" s="621"/>
    </row>
    <row r="51" spans="1:48">
      <c r="B51" s="250">
        <v>660</v>
      </c>
      <c r="C51" s="212"/>
      <c r="D51" s="102"/>
      <c r="E51" s="102"/>
      <c r="F51" s="102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71"/>
      <c r="AV51" s="171"/>
    </row>
    <row r="52" spans="1:48">
      <c r="B52" s="250">
        <v>661</v>
      </c>
      <c r="C52" s="212">
        <v>879</v>
      </c>
      <c r="D52" s="102" t="s">
        <v>383</v>
      </c>
      <c r="E52" s="102"/>
      <c r="F52" s="102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71"/>
      <c r="AV52" s="171"/>
    </row>
    <row r="53" spans="1:48">
      <c r="B53" s="250">
        <v>662</v>
      </c>
      <c r="C53" s="212"/>
      <c r="D53" s="102"/>
      <c r="E53" s="102" t="s">
        <v>14</v>
      </c>
      <c r="F53" s="102"/>
      <c r="G53" s="186">
        <f t="shared" ref="G53:AE54" si="65">G307+G561</f>
        <v>310376.46000000002</v>
      </c>
      <c r="H53" s="186">
        <f t="shared" si="65"/>
        <v>258580.47</v>
      </c>
      <c r="I53" s="186">
        <f t="shared" si="65"/>
        <v>225455.46</v>
      </c>
      <c r="J53" s="186">
        <f t="shared" si="65"/>
        <v>222558.62</v>
      </c>
      <c r="K53" s="186">
        <f t="shared" si="65"/>
        <v>223818.91000000003</v>
      </c>
      <c r="L53" s="186">
        <f t="shared" si="65"/>
        <v>198600.31999999998</v>
      </c>
      <c r="M53" s="186">
        <f t="shared" si="65"/>
        <v>222723.22999999998</v>
      </c>
      <c r="N53" s="186">
        <f t="shared" si="65"/>
        <v>207922.47</v>
      </c>
      <c r="O53" s="186">
        <f t="shared" si="65"/>
        <v>208957.77000000002</v>
      </c>
      <c r="P53" s="186">
        <f t="shared" si="65"/>
        <v>248359.84999999998</v>
      </c>
      <c r="Q53" s="186">
        <f t="shared" si="65"/>
        <v>297208.64</v>
      </c>
      <c r="R53" s="186">
        <f t="shared" si="65"/>
        <v>335517.19999999995</v>
      </c>
      <c r="S53" s="186"/>
      <c r="T53" s="186">
        <f t="shared" ref="T53:Y53" si="66">T307+T561</f>
        <v>297385.44986209774</v>
      </c>
      <c r="U53" s="186">
        <f t="shared" si="66"/>
        <v>250947.34391840355</v>
      </c>
      <c r="V53" s="186">
        <f t="shared" si="66"/>
        <v>217084.23255926213</v>
      </c>
      <c r="W53" s="186">
        <f t="shared" si="66"/>
        <v>214657.83987776763</v>
      </c>
      <c r="X53" s="186">
        <f t="shared" si="66"/>
        <v>215236.80425577579</v>
      </c>
      <c r="Y53" s="186">
        <f t="shared" si="66"/>
        <v>191340.02978686363</v>
      </c>
      <c r="Z53" s="186">
        <f t="shared" si="65"/>
        <v>213716.71511474223</v>
      </c>
      <c r="AA53" s="186">
        <f t="shared" si="65"/>
        <v>199962.28668391966</v>
      </c>
      <c r="AB53" s="186">
        <f t="shared" si="65"/>
        <v>201087.88934089529</v>
      </c>
      <c r="AC53" s="186">
        <f t="shared" si="65"/>
        <v>237896.95064377837</v>
      </c>
      <c r="AD53" s="186">
        <f t="shared" si="65"/>
        <v>285086.46511181979</v>
      </c>
      <c r="AE53" s="186">
        <f t="shared" si="65"/>
        <v>323119.46507818834</v>
      </c>
      <c r="AF53" s="186">
        <f t="shared" ref="AF53:AQ53" si="67">AF307+AF561</f>
        <v>299918.82114778645</v>
      </c>
      <c r="AG53" s="186">
        <f t="shared" si="67"/>
        <v>253545.24724759933</v>
      </c>
      <c r="AH53" s="186">
        <f t="shared" si="67"/>
        <v>219087.20481291058</v>
      </c>
      <c r="AI53" s="186">
        <f t="shared" si="67"/>
        <v>216690.51205187387</v>
      </c>
      <c r="AJ53" s="186">
        <f t="shared" si="67"/>
        <v>217183.73999783487</v>
      </c>
      <c r="AK53" s="186">
        <f t="shared" si="67"/>
        <v>193121.80204156652</v>
      </c>
      <c r="AL53" s="186">
        <f t="shared" si="67"/>
        <v>215582.86771723721</v>
      </c>
      <c r="AM53" s="186">
        <f t="shared" si="67"/>
        <v>201772.83661400923</v>
      </c>
      <c r="AN53" s="186">
        <f t="shared" si="67"/>
        <v>202927.30429857963</v>
      </c>
      <c r="AO53" s="186">
        <f t="shared" si="67"/>
        <v>239913.79449366539</v>
      </c>
      <c r="AP53" s="186">
        <f t="shared" si="67"/>
        <v>287560.88830433757</v>
      </c>
      <c r="AQ53" s="186">
        <f t="shared" si="67"/>
        <v>326109.42220507853</v>
      </c>
      <c r="AR53" s="186">
        <f>SUM(G53:R53)</f>
        <v>2960079.4000000004</v>
      </c>
      <c r="AS53" s="186">
        <f>SUM(T53:AE53)</f>
        <v>2847521.4722335134</v>
      </c>
      <c r="AT53" s="186">
        <f>SUM(AF53:AQ53)</f>
        <v>2873414.4409324788</v>
      </c>
      <c r="AU53" s="171"/>
      <c r="AV53" s="171"/>
    </row>
    <row r="54" spans="1:48">
      <c r="B54" s="250">
        <v>663</v>
      </c>
      <c r="C54" s="212"/>
      <c r="D54" s="102"/>
      <c r="E54" s="102" t="s">
        <v>24</v>
      </c>
      <c r="F54" s="102"/>
      <c r="G54" s="186">
        <f t="shared" si="65"/>
        <v>14868.18</v>
      </c>
      <c r="H54" s="186">
        <f t="shared" si="65"/>
        <v>11885.34</v>
      </c>
      <c r="I54" s="186">
        <f t="shared" si="65"/>
        <v>13245.99</v>
      </c>
      <c r="J54" s="186">
        <f t="shared" si="65"/>
        <v>8427.5800000000017</v>
      </c>
      <c r="K54" s="186">
        <f t="shared" si="65"/>
        <v>6097.85</v>
      </c>
      <c r="L54" s="186">
        <f t="shared" si="65"/>
        <v>5055.7099999999991</v>
      </c>
      <c r="M54" s="186">
        <f t="shared" si="65"/>
        <v>5574.3</v>
      </c>
      <c r="N54" s="186">
        <f t="shared" si="65"/>
        <v>6657.49</v>
      </c>
      <c r="O54" s="186">
        <f t="shared" si="65"/>
        <v>6408.15</v>
      </c>
      <c r="P54" s="186">
        <f t="shared" si="65"/>
        <v>12580.029999999999</v>
      </c>
      <c r="Q54" s="186">
        <f t="shared" si="65"/>
        <v>13773.34</v>
      </c>
      <c r="R54" s="186">
        <f t="shared" si="65"/>
        <v>14273.119999999999</v>
      </c>
      <c r="S54" s="186"/>
      <c r="T54" s="186">
        <f t="shared" ref="T54:Y54" si="68">T308+T562</f>
        <v>14324.803208302779</v>
      </c>
      <c r="U54" s="186">
        <f t="shared" si="68"/>
        <v>11487.67044910906</v>
      </c>
      <c r="V54" s="186">
        <f t="shared" si="68"/>
        <v>12802.108794743421</v>
      </c>
      <c r="W54" s="186">
        <f t="shared" si="68"/>
        <v>8280.5075191619217</v>
      </c>
      <c r="X54" s="186">
        <f t="shared" si="68"/>
        <v>5948.3025681763447</v>
      </c>
      <c r="Y54" s="186">
        <f t="shared" si="68"/>
        <v>4935.2031684110916</v>
      </c>
      <c r="Z54" s="186">
        <f t="shared" si="65"/>
        <v>5437.9224544909903</v>
      </c>
      <c r="AA54" s="186">
        <f t="shared" si="65"/>
        <v>6460.1486152278394</v>
      </c>
      <c r="AB54" s="186">
        <f t="shared" si="65"/>
        <v>6231.3948353132801</v>
      </c>
      <c r="AC54" s="186">
        <f t="shared" si="65"/>
        <v>12155.141935235519</v>
      </c>
      <c r="AD54" s="186">
        <f t="shared" si="65"/>
        <v>13312.132946558424</v>
      </c>
      <c r="AE54" s="186">
        <f t="shared" si="65"/>
        <v>13497.235336149144</v>
      </c>
      <c r="AF54" s="186">
        <f t="shared" ref="AF54:AQ54" si="69">AF308+AF562</f>
        <v>14458.220289176543</v>
      </c>
      <c r="AG54" s="186">
        <f t="shared" si="69"/>
        <v>11599.927250098195</v>
      </c>
      <c r="AH54" s="186">
        <f t="shared" si="69"/>
        <v>12927.112127769444</v>
      </c>
      <c r="AI54" s="186">
        <f t="shared" si="69"/>
        <v>8380.714296037193</v>
      </c>
      <c r="AJ54" s="186">
        <f t="shared" si="69"/>
        <v>6014.2191058780545</v>
      </c>
      <c r="AK54" s="186">
        <f t="shared" si="69"/>
        <v>4990.3863820282149</v>
      </c>
      <c r="AL54" s="186">
        <f t="shared" si="69"/>
        <v>5498.229936971331</v>
      </c>
      <c r="AM54" s="186">
        <f t="shared" si="69"/>
        <v>6526.9102573520267</v>
      </c>
      <c r="AN54" s="186">
        <f t="shared" si="69"/>
        <v>6297.6718380254024</v>
      </c>
      <c r="AO54" s="186">
        <f t="shared" si="69"/>
        <v>12273.352835389716</v>
      </c>
      <c r="AP54" s="186">
        <f t="shared" si="69"/>
        <v>13442.165770198135</v>
      </c>
      <c r="AQ54" s="186">
        <f t="shared" si="69"/>
        <v>13586.471901495979</v>
      </c>
      <c r="AR54" s="186">
        <f>SUM(G54:R54)</f>
        <v>118847.07999999999</v>
      </c>
      <c r="AS54" s="186">
        <f>SUM(T54:AE54)</f>
        <v>114872.57183087981</v>
      </c>
      <c r="AT54" s="186">
        <f>SUM(AF54:AQ54)</f>
        <v>115995.38199042022</v>
      </c>
      <c r="AU54" s="171"/>
      <c r="AV54" s="171"/>
    </row>
    <row r="55" spans="1:48">
      <c r="A55" s="15" t="s">
        <v>1008</v>
      </c>
      <c r="B55" s="250">
        <v>664</v>
      </c>
      <c r="C55" s="212"/>
      <c r="D55" s="102"/>
      <c r="E55" s="102" t="s">
        <v>170</v>
      </c>
      <c r="F55" s="102"/>
      <c r="G55" s="131">
        <f t="shared" ref="G55:AE55" si="70">SUM(G53:G54)</f>
        <v>325244.64</v>
      </c>
      <c r="H55" s="131">
        <f t="shared" si="70"/>
        <v>270465.81</v>
      </c>
      <c r="I55" s="131">
        <f t="shared" si="70"/>
        <v>238701.44999999998</v>
      </c>
      <c r="J55" s="131">
        <f t="shared" si="70"/>
        <v>230986.2</v>
      </c>
      <c r="K55" s="131">
        <f t="shared" si="70"/>
        <v>229916.76000000004</v>
      </c>
      <c r="L55" s="131">
        <f t="shared" si="70"/>
        <v>203656.02999999997</v>
      </c>
      <c r="M55" s="131">
        <f t="shared" si="70"/>
        <v>228297.52999999997</v>
      </c>
      <c r="N55" s="131">
        <f t="shared" si="70"/>
        <v>214579.96</v>
      </c>
      <c r="O55" s="131">
        <f t="shared" si="70"/>
        <v>215365.92</v>
      </c>
      <c r="P55" s="131">
        <f t="shared" si="70"/>
        <v>260939.87999999998</v>
      </c>
      <c r="Q55" s="131">
        <f t="shared" si="70"/>
        <v>310981.98000000004</v>
      </c>
      <c r="R55" s="131">
        <f t="shared" si="70"/>
        <v>349790.31999999995</v>
      </c>
      <c r="S55" s="620"/>
      <c r="T55" s="131">
        <f t="shared" ref="T55:Y55" si="71">SUM(T53:T54)</f>
        <v>311710.2530704005</v>
      </c>
      <c r="U55" s="131">
        <f t="shared" si="71"/>
        <v>262435.0143675126</v>
      </c>
      <c r="V55" s="131">
        <f t="shared" si="71"/>
        <v>229886.34135400556</v>
      </c>
      <c r="W55" s="131">
        <f t="shared" si="71"/>
        <v>222938.34739692954</v>
      </c>
      <c r="X55" s="131">
        <f t="shared" si="71"/>
        <v>221185.10682395214</v>
      </c>
      <c r="Y55" s="131">
        <f t="shared" si="71"/>
        <v>196275.23295527473</v>
      </c>
      <c r="Z55" s="131">
        <f t="shared" si="70"/>
        <v>219154.63756923322</v>
      </c>
      <c r="AA55" s="131">
        <f t="shared" si="70"/>
        <v>206422.4352991475</v>
      </c>
      <c r="AB55" s="131">
        <f t="shared" si="70"/>
        <v>207319.28417620857</v>
      </c>
      <c r="AC55" s="131">
        <f t="shared" si="70"/>
        <v>250052.0925790139</v>
      </c>
      <c r="AD55" s="131">
        <f t="shared" si="70"/>
        <v>298398.59805837821</v>
      </c>
      <c r="AE55" s="131">
        <f t="shared" si="70"/>
        <v>336616.70041433751</v>
      </c>
      <c r="AF55" s="131">
        <f t="shared" ref="AF55:AQ55" si="72">SUM(AF53:AF54)</f>
        <v>314377.04143696302</v>
      </c>
      <c r="AG55" s="131">
        <f t="shared" si="72"/>
        <v>265145.1744976975</v>
      </c>
      <c r="AH55" s="131">
        <f t="shared" si="72"/>
        <v>232014.31694068003</v>
      </c>
      <c r="AI55" s="131">
        <f t="shared" si="72"/>
        <v>225071.22634791106</v>
      </c>
      <c r="AJ55" s="131">
        <f t="shared" si="72"/>
        <v>223197.95910371293</v>
      </c>
      <c r="AK55" s="131">
        <f t="shared" si="72"/>
        <v>198112.18842359475</v>
      </c>
      <c r="AL55" s="131">
        <f t="shared" si="72"/>
        <v>221081.09765420854</v>
      </c>
      <c r="AM55" s="131">
        <f t="shared" si="72"/>
        <v>208299.74687136125</v>
      </c>
      <c r="AN55" s="131">
        <f t="shared" si="72"/>
        <v>209224.97613660502</v>
      </c>
      <c r="AO55" s="131">
        <f t="shared" si="72"/>
        <v>252187.14732905512</v>
      </c>
      <c r="AP55" s="131">
        <f t="shared" si="72"/>
        <v>301003.05407453573</v>
      </c>
      <c r="AQ55" s="131">
        <f t="shared" si="72"/>
        <v>339695.89410657453</v>
      </c>
      <c r="AR55" s="131">
        <f>SUM(G55:R55)</f>
        <v>3078926.4799999995</v>
      </c>
      <c r="AS55" s="131">
        <f>SUM(T55:AE55)</f>
        <v>2962394.0440643947</v>
      </c>
      <c r="AT55" s="131">
        <f>SUM(AF55:AQ55)</f>
        <v>2989409.8229228989</v>
      </c>
      <c r="AU55" s="621"/>
      <c r="AV55" s="621"/>
    </row>
    <row r="56" spans="1:48">
      <c r="B56" s="250">
        <v>665</v>
      </c>
      <c r="C56" s="212"/>
      <c r="D56" s="102"/>
      <c r="E56" s="102"/>
      <c r="F56" s="102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71"/>
      <c r="AV56" s="171"/>
    </row>
    <row r="57" spans="1:48">
      <c r="B57" s="250">
        <v>666</v>
      </c>
      <c r="C57" s="212">
        <v>880</v>
      </c>
      <c r="D57" s="102" t="s">
        <v>384</v>
      </c>
      <c r="E57" s="102"/>
      <c r="F57" s="102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71"/>
      <c r="AV57" s="171"/>
    </row>
    <row r="58" spans="1:48">
      <c r="B58" s="250">
        <v>667</v>
      </c>
      <c r="C58" s="212"/>
      <c r="D58" s="102"/>
      <c r="E58" s="102" t="s">
        <v>14</v>
      </c>
      <c r="F58" s="102"/>
      <c r="G58" s="186">
        <f t="shared" ref="G58:AE59" si="73">G312+G566</f>
        <v>839009.65000000014</v>
      </c>
      <c r="H58" s="186">
        <f t="shared" si="73"/>
        <v>617360.21</v>
      </c>
      <c r="I58" s="186">
        <f t="shared" si="73"/>
        <v>778968.74</v>
      </c>
      <c r="J58" s="186">
        <f t="shared" si="73"/>
        <v>667466.77</v>
      </c>
      <c r="K58" s="186">
        <f t="shared" si="73"/>
        <v>698510.72</v>
      </c>
      <c r="L58" s="186">
        <f t="shared" si="73"/>
        <v>556582.19000000006</v>
      </c>
      <c r="M58" s="186">
        <f t="shared" si="73"/>
        <v>530808.1</v>
      </c>
      <c r="N58" s="186">
        <f t="shared" si="73"/>
        <v>613819.55000000005</v>
      </c>
      <c r="O58" s="186">
        <f t="shared" si="73"/>
        <v>627619.46</v>
      </c>
      <c r="P58" s="186">
        <f t="shared" si="73"/>
        <v>795467.67999999993</v>
      </c>
      <c r="Q58" s="186">
        <f t="shared" si="73"/>
        <v>530774.48</v>
      </c>
      <c r="R58" s="186">
        <f t="shared" si="73"/>
        <v>658626.42999999993</v>
      </c>
      <c r="S58" s="186"/>
      <c r="T58" s="186">
        <f t="shared" ref="T58:Y58" si="74">T312+T566</f>
        <v>810342.48940501339</v>
      </c>
      <c r="U58" s="186">
        <f t="shared" si="74"/>
        <v>588147.64659494185</v>
      </c>
      <c r="V58" s="186">
        <f t="shared" si="74"/>
        <v>768831.53137080255</v>
      </c>
      <c r="W58" s="186">
        <f t="shared" si="74"/>
        <v>644363.25084238686</v>
      </c>
      <c r="X58" s="186">
        <f t="shared" si="74"/>
        <v>677747.12084862369</v>
      </c>
      <c r="Y58" s="186">
        <f t="shared" si="74"/>
        <v>536632.11746178893</v>
      </c>
      <c r="Z58" s="186">
        <f t="shared" si="73"/>
        <v>509771.24510740227</v>
      </c>
      <c r="AA58" s="186">
        <f t="shared" si="73"/>
        <v>590620.15326612792</v>
      </c>
      <c r="AB58" s="186">
        <f t="shared" si="73"/>
        <v>613235.84556811559</v>
      </c>
      <c r="AC58" s="186">
        <f t="shared" si="73"/>
        <v>783195.39782934193</v>
      </c>
      <c r="AD58" s="186">
        <f t="shared" si="73"/>
        <v>508721.17345762695</v>
      </c>
      <c r="AE58" s="186">
        <f t="shared" si="73"/>
        <v>632055.4599977308</v>
      </c>
      <c r="AF58" s="186">
        <f t="shared" ref="AF58:AQ58" si="75">AF312+AF566</f>
        <v>818330.0932610915</v>
      </c>
      <c r="AG58" s="186">
        <f t="shared" si="75"/>
        <v>592721.55384222267</v>
      </c>
      <c r="AH58" s="186">
        <f t="shared" si="75"/>
        <v>778893.30617889564</v>
      </c>
      <c r="AI58" s="186">
        <f t="shared" si="75"/>
        <v>650669.93478719529</v>
      </c>
      <c r="AJ58" s="186">
        <f t="shared" si="75"/>
        <v>684895.35447543312</v>
      </c>
      <c r="AK58" s="186">
        <f t="shared" si="75"/>
        <v>541781.15545304259</v>
      </c>
      <c r="AL58" s="186">
        <f t="shared" si="75"/>
        <v>514359.01741448365</v>
      </c>
      <c r="AM58" s="186">
        <f t="shared" si="75"/>
        <v>596106.39953667135</v>
      </c>
      <c r="AN58" s="186">
        <f t="shared" si="75"/>
        <v>620344.63437154563</v>
      </c>
      <c r="AO58" s="186">
        <f t="shared" si="75"/>
        <v>793161.95351561997</v>
      </c>
      <c r="AP58" s="186">
        <f t="shared" si="75"/>
        <v>513145.24028256472</v>
      </c>
      <c r="AQ58" s="186">
        <f t="shared" si="75"/>
        <v>637672.75140131102</v>
      </c>
      <c r="AR58" s="186">
        <f>SUM(G58:R58)</f>
        <v>7915013.9799999986</v>
      </c>
      <c r="AS58" s="186">
        <f>SUM(T58:AE58)</f>
        <v>7663663.4317499027</v>
      </c>
      <c r="AT58" s="186">
        <f>SUM(AF58:AQ58)</f>
        <v>7742081.394520076</v>
      </c>
      <c r="AU58" s="171"/>
      <c r="AV58" s="171"/>
    </row>
    <row r="59" spans="1:48">
      <c r="B59" s="250">
        <v>668</v>
      </c>
      <c r="C59" s="212"/>
      <c r="D59" s="102"/>
      <c r="E59" s="102" t="s">
        <v>24</v>
      </c>
      <c r="F59" s="102"/>
      <c r="G59" s="186">
        <f t="shared" si="73"/>
        <v>51691.14</v>
      </c>
      <c r="H59" s="186">
        <f t="shared" si="73"/>
        <v>62229.46</v>
      </c>
      <c r="I59" s="186">
        <f t="shared" si="73"/>
        <v>64319.66</v>
      </c>
      <c r="J59" s="186">
        <f t="shared" si="73"/>
        <v>68472.31</v>
      </c>
      <c r="K59" s="186">
        <f t="shared" si="73"/>
        <v>69541.649999999994</v>
      </c>
      <c r="L59" s="186">
        <f t="shared" si="73"/>
        <v>45667.83</v>
      </c>
      <c r="M59" s="186">
        <f t="shared" si="73"/>
        <v>32573.94</v>
      </c>
      <c r="N59" s="186">
        <f t="shared" si="73"/>
        <v>41708.17</v>
      </c>
      <c r="O59" s="186">
        <f t="shared" si="73"/>
        <v>35492.980000000003</v>
      </c>
      <c r="P59" s="186">
        <f t="shared" si="73"/>
        <v>54126.3</v>
      </c>
      <c r="Q59" s="186">
        <f t="shared" si="73"/>
        <v>56989.19</v>
      </c>
      <c r="R59" s="186">
        <f t="shared" si="73"/>
        <v>68820.92</v>
      </c>
      <c r="S59" s="186"/>
      <c r="T59" s="186">
        <f t="shared" ref="T59:Y59" si="76">T313+T567</f>
        <v>50861.76910489022</v>
      </c>
      <c r="U59" s="186">
        <f t="shared" si="76"/>
        <v>59550.807571324745</v>
      </c>
      <c r="V59" s="186">
        <f t="shared" si="76"/>
        <v>62938.685723429386</v>
      </c>
      <c r="W59" s="186">
        <f t="shared" si="76"/>
        <v>66362.349931250035</v>
      </c>
      <c r="X59" s="186">
        <f t="shared" si="76"/>
        <v>67275.954640330499</v>
      </c>
      <c r="Y59" s="186">
        <f t="shared" si="76"/>
        <v>44906.399176915977</v>
      </c>
      <c r="Z59" s="186">
        <f t="shared" si="73"/>
        <v>31670.234070781378</v>
      </c>
      <c r="AA59" s="186">
        <f t="shared" si="73"/>
        <v>40377.487171778099</v>
      </c>
      <c r="AB59" s="186">
        <f t="shared" si="73"/>
        <v>34825.41348755073</v>
      </c>
      <c r="AC59" s="186">
        <f t="shared" si="73"/>
        <v>52813.786793925377</v>
      </c>
      <c r="AD59" s="186">
        <f t="shared" si="73"/>
        <v>54516.034569371826</v>
      </c>
      <c r="AE59" s="186">
        <f t="shared" si="73"/>
        <v>66114.85882895728</v>
      </c>
      <c r="AF59" s="186">
        <f t="shared" ref="AF59:AQ59" si="77">AF313+AF567</f>
        <v>51504.295917831318</v>
      </c>
      <c r="AG59" s="186">
        <f t="shared" si="77"/>
        <v>60054.555328838469</v>
      </c>
      <c r="AH59" s="186">
        <f t="shared" si="77"/>
        <v>63682.154105123467</v>
      </c>
      <c r="AI59" s="186">
        <f t="shared" si="77"/>
        <v>67051.088422099914</v>
      </c>
      <c r="AJ59" s="186">
        <f t="shared" si="77"/>
        <v>67955.735134061746</v>
      </c>
      <c r="AK59" s="186">
        <f t="shared" si="77"/>
        <v>45469.44711579162</v>
      </c>
      <c r="AL59" s="186">
        <f t="shared" si="77"/>
        <v>32013.948196830464</v>
      </c>
      <c r="AM59" s="186">
        <f t="shared" si="77"/>
        <v>40789.716641881692</v>
      </c>
      <c r="AN59" s="186">
        <f t="shared" si="77"/>
        <v>35250.845886320982</v>
      </c>
      <c r="AO59" s="186">
        <f t="shared" si="77"/>
        <v>53415.283138199993</v>
      </c>
      <c r="AP59" s="186">
        <f t="shared" si="77"/>
        <v>54974.140018873346</v>
      </c>
      <c r="AQ59" s="186">
        <f t="shared" si="77"/>
        <v>66713.118951876328</v>
      </c>
      <c r="AR59" s="186">
        <f>SUM(G59:R59)</f>
        <v>651633.54999999993</v>
      </c>
      <c r="AS59" s="186">
        <f>SUM(T59:AE59)</f>
        <v>632213.78107050562</v>
      </c>
      <c r="AT59" s="186">
        <f>SUM(AF59:AQ59)</f>
        <v>638874.32885772933</v>
      </c>
      <c r="AU59" s="171"/>
      <c r="AV59" s="171"/>
    </row>
    <row r="60" spans="1:48">
      <c r="A60" s="15" t="s">
        <v>1009</v>
      </c>
      <c r="B60" s="250">
        <v>669</v>
      </c>
      <c r="C60" s="212"/>
      <c r="D60" s="102"/>
      <c r="E60" s="102" t="s">
        <v>170</v>
      </c>
      <c r="F60" s="102"/>
      <c r="G60" s="131">
        <f t="shared" ref="G60:AE60" si="78">SUM(G58:G59)</f>
        <v>890700.79000000015</v>
      </c>
      <c r="H60" s="131">
        <f t="shared" si="78"/>
        <v>679589.66999999993</v>
      </c>
      <c r="I60" s="131">
        <f t="shared" si="78"/>
        <v>843288.4</v>
      </c>
      <c r="J60" s="131">
        <f t="shared" si="78"/>
        <v>735939.08000000007</v>
      </c>
      <c r="K60" s="131">
        <f t="shared" si="78"/>
        <v>768052.37</v>
      </c>
      <c r="L60" s="131">
        <f t="shared" si="78"/>
        <v>602250.02</v>
      </c>
      <c r="M60" s="131">
        <f t="shared" si="78"/>
        <v>563382.03999999992</v>
      </c>
      <c r="N60" s="131">
        <f t="shared" si="78"/>
        <v>655527.72000000009</v>
      </c>
      <c r="O60" s="131">
        <f t="shared" si="78"/>
        <v>663112.43999999994</v>
      </c>
      <c r="P60" s="131">
        <f t="shared" si="78"/>
        <v>849593.98</v>
      </c>
      <c r="Q60" s="131">
        <f t="shared" si="78"/>
        <v>587763.66999999993</v>
      </c>
      <c r="R60" s="131">
        <f t="shared" si="78"/>
        <v>727447.35</v>
      </c>
      <c r="S60" s="620"/>
      <c r="T60" s="131">
        <f t="shared" ref="T60:Y60" si="79">SUM(T58:T59)</f>
        <v>861204.25850990356</v>
      </c>
      <c r="U60" s="131">
        <f t="shared" si="79"/>
        <v>647698.4541662666</v>
      </c>
      <c r="V60" s="131">
        <f t="shared" si="79"/>
        <v>831770.21709423198</v>
      </c>
      <c r="W60" s="131">
        <f t="shared" si="79"/>
        <v>710725.60077363695</v>
      </c>
      <c r="X60" s="131">
        <f t="shared" si="79"/>
        <v>745023.0754889542</v>
      </c>
      <c r="Y60" s="131">
        <f t="shared" si="79"/>
        <v>581538.51663870492</v>
      </c>
      <c r="Z60" s="131">
        <f t="shared" si="78"/>
        <v>541441.4791781836</v>
      </c>
      <c r="AA60" s="131">
        <f t="shared" si="78"/>
        <v>630997.64043790603</v>
      </c>
      <c r="AB60" s="131">
        <f t="shared" si="78"/>
        <v>648061.25905566628</v>
      </c>
      <c r="AC60" s="131">
        <f t="shared" si="78"/>
        <v>836009.18462326727</v>
      </c>
      <c r="AD60" s="131">
        <f t="shared" si="78"/>
        <v>563237.20802699879</v>
      </c>
      <c r="AE60" s="131">
        <f t="shared" si="78"/>
        <v>698170.3188266881</v>
      </c>
      <c r="AF60" s="131">
        <f t="shared" ref="AF60:AQ60" si="80">SUM(AF58:AF59)</f>
        <v>869834.38917892287</v>
      </c>
      <c r="AG60" s="131">
        <f t="shared" si="80"/>
        <v>652776.10917106108</v>
      </c>
      <c r="AH60" s="131">
        <f t="shared" si="80"/>
        <v>842575.46028401912</v>
      </c>
      <c r="AI60" s="131">
        <f t="shared" si="80"/>
        <v>717721.02320929524</v>
      </c>
      <c r="AJ60" s="131">
        <f t="shared" si="80"/>
        <v>752851.0896094949</v>
      </c>
      <c r="AK60" s="131">
        <f t="shared" si="80"/>
        <v>587250.60256883421</v>
      </c>
      <c r="AL60" s="131">
        <f t="shared" si="80"/>
        <v>546372.96561131417</v>
      </c>
      <c r="AM60" s="131">
        <f t="shared" si="80"/>
        <v>636896.11617855309</v>
      </c>
      <c r="AN60" s="131">
        <f t="shared" si="80"/>
        <v>655595.48025786667</v>
      </c>
      <c r="AO60" s="131">
        <f t="shared" si="80"/>
        <v>846577.23665381991</v>
      </c>
      <c r="AP60" s="131">
        <f t="shared" si="80"/>
        <v>568119.38030143804</v>
      </c>
      <c r="AQ60" s="131">
        <f t="shared" si="80"/>
        <v>704385.87035318732</v>
      </c>
      <c r="AR60" s="131">
        <f>SUM(G60:R60)</f>
        <v>8566647.5299999993</v>
      </c>
      <c r="AS60" s="131">
        <f>SUM(T60:AE60)</f>
        <v>8295877.2128204089</v>
      </c>
      <c r="AT60" s="131">
        <f>SUM(AF60:AQ60)</f>
        <v>8380955.723377808</v>
      </c>
      <c r="AU60" s="621"/>
      <c r="AV60" s="621"/>
    </row>
    <row r="61" spans="1:48">
      <c r="B61" s="250">
        <v>670</v>
      </c>
      <c r="C61" s="212"/>
      <c r="D61" s="102"/>
      <c r="E61" s="102"/>
      <c r="F61" s="102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71"/>
      <c r="AV61" s="171"/>
    </row>
    <row r="62" spans="1:48">
      <c r="B62" s="250">
        <v>671</v>
      </c>
      <c r="C62" s="212">
        <v>881</v>
      </c>
      <c r="D62" s="102" t="s">
        <v>385</v>
      </c>
      <c r="E62" s="102"/>
      <c r="F62" s="102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71"/>
      <c r="AV62" s="171"/>
    </row>
    <row r="63" spans="1:48">
      <c r="B63" s="250">
        <v>672</v>
      </c>
      <c r="C63" s="212"/>
      <c r="D63" s="102"/>
      <c r="E63" s="102" t="s">
        <v>14</v>
      </c>
      <c r="F63" s="102"/>
      <c r="G63" s="186">
        <f t="shared" ref="G63:AE64" si="81">G317+G571</f>
        <v>3553.83</v>
      </c>
      <c r="H63" s="186">
        <f t="shared" si="81"/>
        <v>8868.35</v>
      </c>
      <c r="I63" s="186">
        <f t="shared" si="81"/>
        <v>3613.41</v>
      </c>
      <c r="J63" s="186">
        <f t="shared" si="81"/>
        <v>3507.7000000000003</v>
      </c>
      <c r="K63" s="186">
        <f t="shared" si="81"/>
        <v>3907.5299999999997</v>
      </c>
      <c r="L63" s="186">
        <f t="shared" si="81"/>
        <v>3733.54</v>
      </c>
      <c r="M63" s="186">
        <f t="shared" si="81"/>
        <v>3275.5</v>
      </c>
      <c r="N63" s="186">
        <f t="shared" si="81"/>
        <v>3399.8900000000003</v>
      </c>
      <c r="O63" s="186">
        <f t="shared" si="81"/>
        <v>-547.81000000000006</v>
      </c>
      <c r="P63" s="186">
        <f t="shared" si="81"/>
        <v>3012.82</v>
      </c>
      <c r="Q63" s="186">
        <f t="shared" si="81"/>
        <v>3325.4100000000003</v>
      </c>
      <c r="R63" s="186">
        <f t="shared" si="81"/>
        <v>3070.88</v>
      </c>
      <c r="S63" s="186"/>
      <c r="T63" s="186">
        <f t="shared" ref="T63:Y63" si="82">T317+T571</f>
        <v>3624.9065999999998</v>
      </c>
      <c r="U63" s="186">
        <f t="shared" si="82"/>
        <v>9045.7170000000006</v>
      </c>
      <c r="V63" s="186">
        <f t="shared" si="82"/>
        <v>3685.6781999999998</v>
      </c>
      <c r="W63" s="186">
        <f t="shared" si="82"/>
        <v>3577.8540000000003</v>
      </c>
      <c r="X63" s="186">
        <f t="shared" si="82"/>
        <v>3985.6805999999997</v>
      </c>
      <c r="Y63" s="186">
        <f t="shared" si="82"/>
        <v>3808.2107999999998</v>
      </c>
      <c r="Z63" s="186">
        <f t="shared" si="81"/>
        <v>3341.01</v>
      </c>
      <c r="AA63" s="186">
        <f t="shared" si="81"/>
        <v>3467.8878000000004</v>
      </c>
      <c r="AB63" s="186">
        <f t="shared" si="81"/>
        <v>-558.76620000000003</v>
      </c>
      <c r="AC63" s="186">
        <f t="shared" si="81"/>
        <v>3073.0764000000004</v>
      </c>
      <c r="AD63" s="186">
        <f t="shared" si="81"/>
        <v>3391.9182000000005</v>
      </c>
      <c r="AE63" s="186">
        <f t="shared" si="81"/>
        <v>3132.2976000000003</v>
      </c>
      <c r="AF63" s="186">
        <f t="shared" ref="AF63:AQ63" si="83">AF317+AF571</f>
        <v>3679.2801989999994</v>
      </c>
      <c r="AG63" s="186">
        <f t="shared" si="83"/>
        <v>9181.4027549999992</v>
      </c>
      <c r="AH63" s="186">
        <f t="shared" si="83"/>
        <v>3740.9633729999996</v>
      </c>
      <c r="AI63" s="186">
        <f t="shared" si="83"/>
        <v>3631.5218099999997</v>
      </c>
      <c r="AJ63" s="186">
        <f t="shared" si="83"/>
        <v>4045.4658089999994</v>
      </c>
      <c r="AK63" s="186">
        <f t="shared" si="83"/>
        <v>3865.3339619999992</v>
      </c>
      <c r="AL63" s="186">
        <f t="shared" si="83"/>
        <v>3391.1251499999998</v>
      </c>
      <c r="AM63" s="186">
        <f t="shared" si="83"/>
        <v>3519.906117</v>
      </c>
      <c r="AN63" s="186">
        <f t="shared" si="83"/>
        <v>-567.147693</v>
      </c>
      <c r="AO63" s="186">
        <f t="shared" si="83"/>
        <v>3119.1725460000002</v>
      </c>
      <c r="AP63" s="186">
        <f t="shared" si="83"/>
        <v>3442.796973</v>
      </c>
      <c r="AQ63" s="186">
        <f t="shared" si="83"/>
        <v>3179.282064</v>
      </c>
      <c r="AR63" s="186">
        <f>SUM(G63:R63)</f>
        <v>42721.05</v>
      </c>
      <c r="AS63" s="186">
        <f>SUM(T63:AE63)</f>
        <v>43575.471000000005</v>
      </c>
      <c r="AT63" s="186">
        <f>SUM(AF63:AQ63)</f>
        <v>44229.103064999996</v>
      </c>
      <c r="AU63" s="171"/>
      <c r="AV63" s="171"/>
    </row>
    <row r="64" spans="1:48">
      <c r="B64" s="250">
        <v>673</v>
      </c>
      <c r="C64" s="212"/>
      <c r="D64" s="102"/>
      <c r="E64" s="102" t="s">
        <v>24</v>
      </c>
      <c r="F64" s="102"/>
      <c r="G64" s="186">
        <f t="shared" si="81"/>
        <v>114.07000000000001</v>
      </c>
      <c r="H64" s="186">
        <f t="shared" si="81"/>
        <v>286.55</v>
      </c>
      <c r="I64" s="186">
        <f t="shared" si="81"/>
        <v>121</v>
      </c>
      <c r="J64" s="186">
        <f t="shared" si="81"/>
        <v>117.08</v>
      </c>
      <c r="K64" s="186">
        <f t="shared" si="81"/>
        <v>129.59</v>
      </c>
      <c r="L64" s="186">
        <f t="shared" si="81"/>
        <v>123.82000000000001</v>
      </c>
      <c r="M64" s="186">
        <f t="shared" si="81"/>
        <v>108.28</v>
      </c>
      <c r="N64" s="186">
        <f t="shared" si="81"/>
        <v>111.31</v>
      </c>
      <c r="O64" s="186">
        <f t="shared" si="81"/>
        <v>-17.990000000000002</v>
      </c>
      <c r="P64" s="186">
        <f t="shared" si="81"/>
        <v>98.960000000000008</v>
      </c>
      <c r="Q64" s="186">
        <f t="shared" si="81"/>
        <v>109.93</v>
      </c>
      <c r="R64" s="186">
        <f t="shared" si="81"/>
        <v>101.19</v>
      </c>
      <c r="S64" s="186"/>
      <c r="T64" s="186">
        <f t="shared" ref="T64:Y64" si="84">T318+T572</f>
        <v>116.35140000000001</v>
      </c>
      <c r="U64" s="186">
        <f t="shared" si="84"/>
        <v>292.28100000000001</v>
      </c>
      <c r="V64" s="186">
        <f t="shared" si="84"/>
        <v>123.42</v>
      </c>
      <c r="W64" s="186">
        <f t="shared" si="84"/>
        <v>119.4216</v>
      </c>
      <c r="X64" s="186">
        <f t="shared" si="84"/>
        <v>132.18180000000001</v>
      </c>
      <c r="Y64" s="186">
        <f t="shared" si="84"/>
        <v>126.29640000000001</v>
      </c>
      <c r="Z64" s="186">
        <f t="shared" si="81"/>
        <v>110.4456</v>
      </c>
      <c r="AA64" s="186">
        <f t="shared" si="81"/>
        <v>113.53620000000001</v>
      </c>
      <c r="AB64" s="186">
        <f t="shared" si="81"/>
        <v>-18.349800000000002</v>
      </c>
      <c r="AC64" s="186">
        <f t="shared" si="81"/>
        <v>100.93920000000001</v>
      </c>
      <c r="AD64" s="186">
        <f t="shared" si="81"/>
        <v>112.12860000000001</v>
      </c>
      <c r="AE64" s="186">
        <f t="shared" si="81"/>
        <v>103.21380000000001</v>
      </c>
      <c r="AF64" s="186">
        <f t="shared" ref="AF64:AQ64" si="85">AF318+AF572</f>
        <v>118.096671</v>
      </c>
      <c r="AG64" s="186">
        <f t="shared" si="85"/>
        <v>296.66521499999999</v>
      </c>
      <c r="AH64" s="186">
        <f t="shared" si="85"/>
        <v>125.2713</v>
      </c>
      <c r="AI64" s="186">
        <f t="shared" si="85"/>
        <v>121.21292399999999</v>
      </c>
      <c r="AJ64" s="186">
        <f t="shared" si="85"/>
        <v>134.16452699999999</v>
      </c>
      <c r="AK64" s="186">
        <f t="shared" si="85"/>
        <v>128.19084599999999</v>
      </c>
      <c r="AL64" s="186">
        <f t="shared" si="85"/>
        <v>112.10228399999998</v>
      </c>
      <c r="AM64" s="186">
        <f t="shared" si="85"/>
        <v>115.239243</v>
      </c>
      <c r="AN64" s="186">
        <f t="shared" si="85"/>
        <v>-18.625046999999999</v>
      </c>
      <c r="AO64" s="186">
        <f t="shared" si="85"/>
        <v>102.453288</v>
      </c>
      <c r="AP64" s="186">
        <f t="shared" si="85"/>
        <v>113.81052899999999</v>
      </c>
      <c r="AQ64" s="186">
        <f t="shared" si="85"/>
        <v>104.762007</v>
      </c>
      <c r="AR64" s="186">
        <f>SUM(G64:R64)</f>
        <v>1403.7900000000002</v>
      </c>
      <c r="AS64" s="186">
        <f>SUM(T64:AE64)</f>
        <v>1431.8658</v>
      </c>
      <c r="AT64" s="186">
        <f>SUM(AF64:AQ64)</f>
        <v>1453.343787</v>
      </c>
      <c r="AU64" s="171"/>
      <c r="AV64" s="171"/>
    </row>
    <row r="65" spans="1:48">
      <c r="A65" s="15" t="s">
        <v>1010</v>
      </c>
      <c r="B65" s="250">
        <v>674</v>
      </c>
      <c r="C65" s="212"/>
      <c r="D65" s="102"/>
      <c r="E65" s="102" t="s">
        <v>170</v>
      </c>
      <c r="F65" s="102"/>
      <c r="G65" s="131">
        <f t="shared" ref="G65:AE65" si="86">SUM(G63:G64)</f>
        <v>3667.9</v>
      </c>
      <c r="H65" s="131">
        <f t="shared" si="86"/>
        <v>9154.9</v>
      </c>
      <c r="I65" s="131">
        <f t="shared" si="86"/>
        <v>3734.41</v>
      </c>
      <c r="J65" s="131">
        <f t="shared" si="86"/>
        <v>3624.78</v>
      </c>
      <c r="K65" s="131">
        <f t="shared" si="86"/>
        <v>4037.12</v>
      </c>
      <c r="L65" s="131">
        <f t="shared" si="86"/>
        <v>3857.36</v>
      </c>
      <c r="M65" s="131">
        <f t="shared" si="86"/>
        <v>3383.78</v>
      </c>
      <c r="N65" s="131">
        <f t="shared" si="86"/>
        <v>3511.2000000000003</v>
      </c>
      <c r="O65" s="131">
        <f t="shared" si="86"/>
        <v>-565.80000000000007</v>
      </c>
      <c r="P65" s="131">
        <f t="shared" si="86"/>
        <v>3111.78</v>
      </c>
      <c r="Q65" s="131">
        <f t="shared" si="86"/>
        <v>3435.34</v>
      </c>
      <c r="R65" s="131">
        <f t="shared" si="86"/>
        <v>3172.07</v>
      </c>
      <c r="S65" s="620"/>
      <c r="T65" s="131">
        <f t="shared" ref="T65:Y65" si="87">SUM(T63:T64)</f>
        <v>3741.2579999999998</v>
      </c>
      <c r="U65" s="131">
        <f t="shared" si="87"/>
        <v>9337.9980000000014</v>
      </c>
      <c r="V65" s="131">
        <f t="shared" si="87"/>
        <v>3809.0981999999999</v>
      </c>
      <c r="W65" s="131">
        <f t="shared" si="87"/>
        <v>3697.2756000000004</v>
      </c>
      <c r="X65" s="131">
        <f t="shared" si="87"/>
        <v>4117.8624</v>
      </c>
      <c r="Y65" s="131">
        <f t="shared" si="87"/>
        <v>3934.5072</v>
      </c>
      <c r="Z65" s="131">
        <f t="shared" si="86"/>
        <v>3451.4556000000002</v>
      </c>
      <c r="AA65" s="131">
        <f t="shared" si="86"/>
        <v>3581.4240000000004</v>
      </c>
      <c r="AB65" s="131">
        <f t="shared" si="86"/>
        <v>-577.11599999999999</v>
      </c>
      <c r="AC65" s="131">
        <f t="shared" si="86"/>
        <v>3174.0156000000002</v>
      </c>
      <c r="AD65" s="131">
        <f t="shared" si="86"/>
        <v>3504.0468000000005</v>
      </c>
      <c r="AE65" s="131">
        <f t="shared" si="86"/>
        <v>3235.5114000000003</v>
      </c>
      <c r="AF65" s="131">
        <f t="shared" ref="AF65:AQ65" si="88">SUM(AF63:AF64)</f>
        <v>3797.3768699999991</v>
      </c>
      <c r="AG65" s="131">
        <f t="shared" si="88"/>
        <v>9478.0679700000001</v>
      </c>
      <c r="AH65" s="131">
        <f t="shared" si="88"/>
        <v>3866.2346729999995</v>
      </c>
      <c r="AI65" s="131">
        <f t="shared" si="88"/>
        <v>3752.7347339999997</v>
      </c>
      <c r="AJ65" s="131">
        <f t="shared" si="88"/>
        <v>4179.6303359999993</v>
      </c>
      <c r="AK65" s="131">
        <f t="shared" si="88"/>
        <v>3993.5248079999992</v>
      </c>
      <c r="AL65" s="131">
        <f t="shared" si="88"/>
        <v>3503.2274339999999</v>
      </c>
      <c r="AM65" s="131">
        <f t="shared" si="88"/>
        <v>3635.14536</v>
      </c>
      <c r="AN65" s="131">
        <f t="shared" si="88"/>
        <v>-585.77274</v>
      </c>
      <c r="AO65" s="131">
        <f t="shared" si="88"/>
        <v>3221.6258340000004</v>
      </c>
      <c r="AP65" s="131">
        <f t="shared" si="88"/>
        <v>3556.6075019999998</v>
      </c>
      <c r="AQ65" s="131">
        <f t="shared" si="88"/>
        <v>3284.0440709999998</v>
      </c>
      <c r="AR65" s="131">
        <f>SUM(G65:R65)</f>
        <v>44124.839999999989</v>
      </c>
      <c r="AS65" s="131">
        <f>SUM(T65:AE65)</f>
        <v>45007.336800000005</v>
      </c>
      <c r="AT65" s="131">
        <f>SUM(AF65:AQ65)</f>
        <v>45682.446851999994</v>
      </c>
      <c r="AU65" s="621"/>
      <c r="AV65" s="621"/>
    </row>
    <row r="66" spans="1:48">
      <c r="B66" s="250">
        <v>675</v>
      </c>
      <c r="C66" s="212"/>
      <c r="D66" s="102"/>
      <c r="E66" s="102"/>
      <c r="F66" s="102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71"/>
      <c r="AV66" s="171"/>
    </row>
    <row r="67" spans="1:48">
      <c r="B67" s="250">
        <v>676</v>
      </c>
      <c r="C67" s="212">
        <v>885</v>
      </c>
      <c r="D67" s="102" t="s">
        <v>386</v>
      </c>
      <c r="E67" s="102"/>
      <c r="F67" s="102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71"/>
      <c r="AV67" s="171"/>
    </row>
    <row r="68" spans="1:48">
      <c r="B68" s="250">
        <v>677</v>
      </c>
      <c r="C68" s="212"/>
      <c r="D68" s="102"/>
      <c r="E68" s="102" t="s">
        <v>14</v>
      </c>
      <c r="F68" s="102"/>
      <c r="G68" s="186">
        <f t="shared" ref="G68:AE69" si="89">G322+G576</f>
        <v>45283.619999999995</v>
      </c>
      <c r="H68" s="186">
        <f t="shared" si="89"/>
        <v>77746.06</v>
      </c>
      <c r="I68" s="186">
        <f t="shared" si="89"/>
        <v>29485.100000000002</v>
      </c>
      <c r="J68" s="186">
        <f t="shared" si="89"/>
        <v>49130.710000000006</v>
      </c>
      <c r="K68" s="186">
        <f t="shared" si="89"/>
        <v>42078.009999999995</v>
      </c>
      <c r="L68" s="186">
        <f t="shared" si="89"/>
        <v>40285.67</v>
      </c>
      <c r="M68" s="186">
        <f t="shared" si="89"/>
        <v>37656.51</v>
      </c>
      <c r="N68" s="186">
        <f t="shared" si="89"/>
        <v>40846.800000000003</v>
      </c>
      <c r="O68" s="186">
        <f t="shared" si="89"/>
        <v>38173.43</v>
      </c>
      <c r="P68" s="186">
        <f t="shared" si="89"/>
        <v>46597.7</v>
      </c>
      <c r="Q68" s="186">
        <f t="shared" si="89"/>
        <v>53213.86</v>
      </c>
      <c r="R68" s="186">
        <f t="shared" si="89"/>
        <v>41586.46</v>
      </c>
      <c r="S68" s="186"/>
      <c r="T68" s="186">
        <f t="shared" ref="T68:Y68" si="90">T322+T576</f>
        <v>46234.576019999993</v>
      </c>
      <c r="U68" s="186">
        <f t="shared" si="90"/>
        <v>79378.727259999985</v>
      </c>
      <c r="V68" s="186">
        <f t="shared" si="90"/>
        <v>30104.287099999998</v>
      </c>
      <c r="W68" s="186">
        <f t="shared" si="90"/>
        <v>50162.45491</v>
      </c>
      <c r="X68" s="186">
        <f t="shared" si="90"/>
        <v>42961.648209999992</v>
      </c>
      <c r="Y68" s="186">
        <f t="shared" si="90"/>
        <v>41131.669069999996</v>
      </c>
      <c r="Z68" s="186">
        <f t="shared" si="89"/>
        <v>38447.296709999995</v>
      </c>
      <c r="AA68" s="186">
        <f t="shared" si="89"/>
        <v>41704.582799999996</v>
      </c>
      <c r="AB68" s="186">
        <f t="shared" si="89"/>
        <v>38975.072029999996</v>
      </c>
      <c r="AC68" s="186">
        <f t="shared" si="89"/>
        <v>47576.251699999993</v>
      </c>
      <c r="AD68" s="186">
        <f t="shared" si="89"/>
        <v>54331.351059999994</v>
      </c>
      <c r="AE68" s="186">
        <f t="shared" si="89"/>
        <v>42459.775659999992</v>
      </c>
      <c r="AF68" s="186">
        <f t="shared" ref="AF68:AQ68" si="91">AF322+AF576</f>
        <v>47205.502116419986</v>
      </c>
      <c r="AG68" s="186">
        <f t="shared" si="91"/>
        <v>81045.680532459985</v>
      </c>
      <c r="AH68" s="186">
        <f t="shared" si="91"/>
        <v>30736.477129099996</v>
      </c>
      <c r="AI68" s="186">
        <f t="shared" si="91"/>
        <v>51215.866463109996</v>
      </c>
      <c r="AJ68" s="186">
        <f t="shared" si="91"/>
        <v>43863.842822409984</v>
      </c>
      <c r="AK68" s="186">
        <f t="shared" si="91"/>
        <v>41995.434120469996</v>
      </c>
      <c r="AL68" s="186">
        <f t="shared" si="91"/>
        <v>39254.689940909993</v>
      </c>
      <c r="AM68" s="186">
        <f t="shared" si="91"/>
        <v>42580.379038799991</v>
      </c>
      <c r="AN68" s="186">
        <f t="shared" si="91"/>
        <v>39793.548542629993</v>
      </c>
      <c r="AO68" s="186">
        <f t="shared" si="91"/>
        <v>48575.352985699988</v>
      </c>
      <c r="AP68" s="186">
        <f t="shared" si="91"/>
        <v>55472.309432259986</v>
      </c>
      <c r="AQ68" s="186">
        <f t="shared" si="91"/>
        <v>43351.43094885999</v>
      </c>
      <c r="AR68" s="186">
        <f>SUM(G68:R68)</f>
        <v>542083.92999999993</v>
      </c>
      <c r="AS68" s="186">
        <f>SUM(T68:AE68)</f>
        <v>553467.69252999988</v>
      </c>
      <c r="AT68" s="186">
        <f>SUM(AF68:AQ68)</f>
        <v>565090.51407312986</v>
      </c>
      <c r="AU68" s="171"/>
      <c r="AV68" s="171"/>
    </row>
    <row r="69" spans="1:48">
      <c r="B69" s="250">
        <v>678</v>
      </c>
      <c r="C69" s="212"/>
      <c r="D69" s="102"/>
      <c r="E69" s="102" t="s">
        <v>24</v>
      </c>
      <c r="F69" s="102"/>
      <c r="G69" s="186">
        <f t="shared" si="89"/>
        <v>1327.91</v>
      </c>
      <c r="H69" s="186">
        <f t="shared" si="89"/>
        <v>2355</v>
      </c>
      <c r="I69" s="186">
        <f t="shared" si="89"/>
        <v>887.64</v>
      </c>
      <c r="J69" s="186">
        <f t="shared" si="89"/>
        <v>1515.49</v>
      </c>
      <c r="K69" s="186">
        <f t="shared" si="89"/>
        <v>1291.1600000000001</v>
      </c>
      <c r="L69" s="186">
        <f t="shared" si="89"/>
        <v>1189.04</v>
      </c>
      <c r="M69" s="186">
        <f t="shared" si="89"/>
        <v>1131.1300000000001</v>
      </c>
      <c r="N69" s="186">
        <f t="shared" si="89"/>
        <v>1224.6100000000001</v>
      </c>
      <c r="O69" s="186">
        <f t="shared" si="89"/>
        <v>1149.1500000000001</v>
      </c>
      <c r="P69" s="186">
        <f t="shared" si="89"/>
        <v>1384.79</v>
      </c>
      <c r="Q69" s="186">
        <f t="shared" si="89"/>
        <v>1644.94</v>
      </c>
      <c r="R69" s="186">
        <f t="shared" si="89"/>
        <v>1244.6200000000001</v>
      </c>
      <c r="S69" s="186"/>
      <c r="T69" s="186">
        <f t="shared" ref="T69:Y69" si="92">T323+T577</f>
        <v>1355.79611</v>
      </c>
      <c r="U69" s="186">
        <f t="shared" si="92"/>
        <v>2404.4549999999999</v>
      </c>
      <c r="V69" s="186">
        <f t="shared" si="92"/>
        <v>906.28043999999989</v>
      </c>
      <c r="W69" s="186">
        <f t="shared" si="92"/>
        <v>1547.3152899999998</v>
      </c>
      <c r="X69" s="186">
        <f t="shared" si="92"/>
        <v>1318.2743599999999</v>
      </c>
      <c r="Y69" s="186">
        <f t="shared" si="92"/>
        <v>1214.0098399999999</v>
      </c>
      <c r="Z69" s="186">
        <f t="shared" si="89"/>
        <v>1154.88373</v>
      </c>
      <c r="AA69" s="186">
        <f t="shared" si="89"/>
        <v>1250.32681</v>
      </c>
      <c r="AB69" s="186">
        <f t="shared" si="89"/>
        <v>1173.28215</v>
      </c>
      <c r="AC69" s="186">
        <f t="shared" si="89"/>
        <v>1413.8705899999998</v>
      </c>
      <c r="AD69" s="186">
        <f t="shared" si="89"/>
        <v>1679.4837399999999</v>
      </c>
      <c r="AE69" s="186">
        <f t="shared" si="89"/>
        <v>1270.75702</v>
      </c>
      <c r="AF69" s="186">
        <f t="shared" ref="AF69:AQ69" si="93">AF323+AF577</f>
        <v>1384.2678283099999</v>
      </c>
      <c r="AG69" s="186">
        <f t="shared" si="93"/>
        <v>2454.9485549999995</v>
      </c>
      <c r="AH69" s="186">
        <f t="shared" si="93"/>
        <v>925.31232923999983</v>
      </c>
      <c r="AI69" s="186">
        <f t="shared" si="93"/>
        <v>1579.8089110899996</v>
      </c>
      <c r="AJ69" s="186">
        <f t="shared" si="93"/>
        <v>1345.9581215599997</v>
      </c>
      <c r="AK69" s="186">
        <f t="shared" si="93"/>
        <v>1239.5040466399998</v>
      </c>
      <c r="AL69" s="186">
        <f t="shared" si="93"/>
        <v>1179.1362883299998</v>
      </c>
      <c r="AM69" s="186">
        <f t="shared" si="93"/>
        <v>1276.58367301</v>
      </c>
      <c r="AN69" s="186">
        <f t="shared" si="93"/>
        <v>1197.92107515</v>
      </c>
      <c r="AO69" s="186">
        <f t="shared" si="93"/>
        <v>1443.5618723899997</v>
      </c>
      <c r="AP69" s="186">
        <f t="shared" si="93"/>
        <v>1714.7528985399997</v>
      </c>
      <c r="AQ69" s="186">
        <f t="shared" si="93"/>
        <v>1297.44291742</v>
      </c>
      <c r="AR69" s="186">
        <f>SUM(G69:R69)</f>
        <v>16345.48</v>
      </c>
      <c r="AS69" s="186">
        <f>SUM(T69:AE69)</f>
        <v>16688.735079999999</v>
      </c>
      <c r="AT69" s="186">
        <f>SUM(AF69:AQ69)</f>
        <v>17039.198516679997</v>
      </c>
      <c r="AU69" s="171"/>
      <c r="AV69" s="171"/>
    </row>
    <row r="70" spans="1:48">
      <c r="A70" s="15" t="s">
        <v>1011</v>
      </c>
      <c r="B70" s="250">
        <v>679</v>
      </c>
      <c r="C70" s="212"/>
      <c r="D70" s="102"/>
      <c r="E70" s="102" t="s">
        <v>170</v>
      </c>
      <c r="F70" s="102"/>
      <c r="G70" s="131">
        <f t="shared" ref="G70:AE70" si="94">SUM(G68:G69)</f>
        <v>46611.53</v>
      </c>
      <c r="H70" s="131">
        <f t="shared" si="94"/>
        <v>80101.06</v>
      </c>
      <c r="I70" s="131">
        <f t="shared" si="94"/>
        <v>30372.74</v>
      </c>
      <c r="J70" s="131">
        <f t="shared" si="94"/>
        <v>50646.200000000004</v>
      </c>
      <c r="K70" s="131">
        <f t="shared" si="94"/>
        <v>43369.17</v>
      </c>
      <c r="L70" s="131">
        <f t="shared" si="94"/>
        <v>41474.71</v>
      </c>
      <c r="M70" s="131">
        <f t="shared" si="94"/>
        <v>38787.64</v>
      </c>
      <c r="N70" s="131">
        <f t="shared" si="94"/>
        <v>42071.41</v>
      </c>
      <c r="O70" s="131">
        <f t="shared" si="94"/>
        <v>39322.58</v>
      </c>
      <c r="P70" s="131">
        <f t="shared" si="94"/>
        <v>47982.49</v>
      </c>
      <c r="Q70" s="131">
        <f t="shared" si="94"/>
        <v>54858.8</v>
      </c>
      <c r="R70" s="131">
        <f t="shared" si="94"/>
        <v>42831.08</v>
      </c>
      <c r="S70" s="620"/>
      <c r="T70" s="131">
        <f t="shared" ref="T70:Y70" si="95">SUM(T68:T69)</f>
        <v>47590.372129999996</v>
      </c>
      <c r="U70" s="131">
        <f t="shared" si="95"/>
        <v>81783.182259999987</v>
      </c>
      <c r="V70" s="131">
        <f t="shared" si="95"/>
        <v>31010.567539999996</v>
      </c>
      <c r="W70" s="131">
        <f t="shared" si="95"/>
        <v>51709.770199999999</v>
      </c>
      <c r="X70" s="131">
        <f t="shared" si="95"/>
        <v>44279.922569999995</v>
      </c>
      <c r="Y70" s="131">
        <f t="shared" si="95"/>
        <v>42345.678909999995</v>
      </c>
      <c r="Z70" s="131">
        <f t="shared" si="94"/>
        <v>39602.180439999996</v>
      </c>
      <c r="AA70" s="131">
        <f t="shared" si="94"/>
        <v>42954.909609999995</v>
      </c>
      <c r="AB70" s="131">
        <f t="shared" si="94"/>
        <v>40148.354179999995</v>
      </c>
      <c r="AC70" s="131">
        <f t="shared" si="94"/>
        <v>48990.122289999992</v>
      </c>
      <c r="AD70" s="131">
        <f t="shared" si="94"/>
        <v>56010.834799999997</v>
      </c>
      <c r="AE70" s="131">
        <f t="shared" si="94"/>
        <v>43730.532679999989</v>
      </c>
      <c r="AF70" s="131">
        <f t="shared" ref="AF70:AQ70" si="96">SUM(AF68:AF69)</f>
        <v>48589.769944729989</v>
      </c>
      <c r="AG70" s="131">
        <f t="shared" si="96"/>
        <v>83500.62908745998</v>
      </c>
      <c r="AH70" s="131">
        <f t="shared" si="96"/>
        <v>31661.789458339998</v>
      </c>
      <c r="AI70" s="131">
        <f t="shared" si="96"/>
        <v>52795.675374199993</v>
      </c>
      <c r="AJ70" s="131">
        <f t="shared" si="96"/>
        <v>45209.800943969982</v>
      </c>
      <c r="AK70" s="131">
        <f t="shared" si="96"/>
        <v>43234.938167109998</v>
      </c>
      <c r="AL70" s="131">
        <f t="shared" si="96"/>
        <v>40433.826229239996</v>
      </c>
      <c r="AM70" s="131">
        <f t="shared" si="96"/>
        <v>43856.962711809989</v>
      </c>
      <c r="AN70" s="131">
        <f t="shared" si="96"/>
        <v>40991.469617779992</v>
      </c>
      <c r="AO70" s="131">
        <f t="shared" si="96"/>
        <v>50018.914858089986</v>
      </c>
      <c r="AP70" s="131">
        <f t="shared" si="96"/>
        <v>57187.062330799985</v>
      </c>
      <c r="AQ70" s="131">
        <f t="shared" si="96"/>
        <v>44648.873866279988</v>
      </c>
      <c r="AR70" s="131">
        <f>SUM(G70:R70)</f>
        <v>558429.41</v>
      </c>
      <c r="AS70" s="131">
        <f>SUM(T70:AE70)</f>
        <v>570156.42760999978</v>
      </c>
      <c r="AT70" s="131">
        <f>SUM(AF70:AQ70)</f>
        <v>582129.71258980979</v>
      </c>
      <c r="AU70" s="621"/>
      <c r="AV70" s="621"/>
    </row>
    <row r="71" spans="1:48">
      <c r="B71" s="250">
        <v>680</v>
      </c>
      <c r="C71" s="212"/>
      <c r="D71" s="102"/>
      <c r="E71" s="102"/>
      <c r="F71" s="102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71"/>
      <c r="AV71" s="171"/>
    </row>
    <row r="72" spans="1:48">
      <c r="B72" s="250">
        <v>681</v>
      </c>
      <c r="C72" s="212">
        <v>886</v>
      </c>
      <c r="D72" s="102" t="s">
        <v>387</v>
      </c>
      <c r="E72" s="102"/>
      <c r="F72" s="102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71"/>
      <c r="AV72" s="171"/>
    </row>
    <row r="73" spans="1:48">
      <c r="B73" s="250">
        <v>682</v>
      </c>
      <c r="C73" s="212"/>
      <c r="D73" s="102"/>
      <c r="E73" s="102" t="s">
        <v>14</v>
      </c>
      <c r="F73" s="102"/>
      <c r="G73" s="186">
        <f t="shared" ref="G73:AE74" si="97">G327+G581</f>
        <v>6724.75</v>
      </c>
      <c r="H73" s="186">
        <f t="shared" si="97"/>
        <v>7103.33</v>
      </c>
      <c r="I73" s="186">
        <f t="shared" si="97"/>
        <v>6825.66</v>
      </c>
      <c r="J73" s="186">
        <f t="shared" si="97"/>
        <v>7075.21</v>
      </c>
      <c r="K73" s="186">
        <f t="shared" si="97"/>
        <v>6941.82</v>
      </c>
      <c r="L73" s="186">
        <f t="shared" si="97"/>
        <v>6732.58</v>
      </c>
      <c r="M73" s="186">
        <f t="shared" si="97"/>
        <v>6739.88</v>
      </c>
      <c r="N73" s="186">
        <f t="shared" si="97"/>
        <v>7074.5599999999995</v>
      </c>
      <c r="O73" s="186">
        <f t="shared" si="97"/>
        <v>7663.42</v>
      </c>
      <c r="P73" s="186">
        <f t="shared" si="97"/>
        <v>7232.9100000000008</v>
      </c>
      <c r="Q73" s="186">
        <f t="shared" si="97"/>
        <v>7559.0099999999993</v>
      </c>
      <c r="R73" s="186">
        <f t="shared" si="97"/>
        <v>10880.62</v>
      </c>
      <c r="S73" s="186"/>
      <c r="T73" s="186">
        <f t="shared" ref="T73:Y73" si="98">T327+T581</f>
        <v>7054.2627499999999</v>
      </c>
      <c r="U73" s="186">
        <f t="shared" si="98"/>
        <v>7451.3931699999994</v>
      </c>
      <c r="V73" s="186">
        <f t="shared" si="98"/>
        <v>7160.1173399999998</v>
      </c>
      <c r="W73" s="186">
        <f t="shared" si="98"/>
        <v>7421.8952899999995</v>
      </c>
      <c r="X73" s="186">
        <f t="shared" si="98"/>
        <v>7281.9691799999991</v>
      </c>
      <c r="Y73" s="186">
        <f t="shared" si="98"/>
        <v>7062.4764199999991</v>
      </c>
      <c r="Z73" s="186">
        <f t="shared" si="97"/>
        <v>7070.1341199999997</v>
      </c>
      <c r="AA73" s="186">
        <f t="shared" si="97"/>
        <v>7421.2134399999986</v>
      </c>
      <c r="AB73" s="186">
        <f t="shared" si="97"/>
        <v>8038.9275799999996</v>
      </c>
      <c r="AC73" s="186">
        <f t="shared" si="97"/>
        <v>7587.3225900000007</v>
      </c>
      <c r="AD73" s="186">
        <f t="shared" si="97"/>
        <v>7929.4014899999984</v>
      </c>
      <c r="AE73" s="186">
        <f t="shared" si="97"/>
        <v>11413.77038</v>
      </c>
      <c r="AF73" s="186">
        <f t="shared" ref="AF73:AQ73" si="99">AF327+AF581</f>
        <v>7237.6735815000002</v>
      </c>
      <c r="AG73" s="186">
        <f t="shared" si="99"/>
        <v>7645.1293924199999</v>
      </c>
      <c r="AH73" s="186">
        <f t="shared" si="99"/>
        <v>7346.2803908400001</v>
      </c>
      <c r="AI73" s="186">
        <f t="shared" si="99"/>
        <v>7614.8645675399994</v>
      </c>
      <c r="AJ73" s="186">
        <f t="shared" si="99"/>
        <v>7471.3003786799991</v>
      </c>
      <c r="AK73" s="186">
        <f t="shared" si="99"/>
        <v>7246.1008069199988</v>
      </c>
      <c r="AL73" s="186">
        <f t="shared" si="99"/>
        <v>7253.9576071199999</v>
      </c>
      <c r="AM73" s="186">
        <f t="shared" si="99"/>
        <v>7614.1649894399989</v>
      </c>
      <c r="AN73" s="186">
        <f t="shared" si="99"/>
        <v>8247.939697079999</v>
      </c>
      <c r="AO73" s="186">
        <f t="shared" si="99"/>
        <v>7784.5929773400012</v>
      </c>
      <c r="AP73" s="186">
        <f t="shared" si="99"/>
        <v>8135.5659287399985</v>
      </c>
      <c r="AQ73" s="186">
        <f t="shared" si="99"/>
        <v>11710.52840988</v>
      </c>
      <c r="AR73" s="186">
        <f>SUM(G73:R73)</f>
        <v>88553.749999999985</v>
      </c>
      <c r="AS73" s="186">
        <f>SUM(T73:AE73)</f>
        <v>92892.883749999994</v>
      </c>
      <c r="AT73" s="186">
        <f>SUM(AF73:AQ73)</f>
        <v>95308.098727499993</v>
      </c>
      <c r="AU73" s="171"/>
      <c r="AV73" s="171"/>
    </row>
    <row r="74" spans="1:48">
      <c r="B74" s="250">
        <v>683</v>
      </c>
      <c r="C74" s="212"/>
      <c r="D74" s="102"/>
      <c r="E74" s="102" t="s">
        <v>24</v>
      </c>
      <c r="F74" s="102"/>
      <c r="G74" s="186">
        <f t="shared" si="97"/>
        <v>205.09</v>
      </c>
      <c r="H74" s="186">
        <f t="shared" si="97"/>
        <v>211.39000000000001</v>
      </c>
      <c r="I74" s="186">
        <f t="shared" si="97"/>
        <v>218.73000000000002</v>
      </c>
      <c r="J74" s="186">
        <f t="shared" si="97"/>
        <v>211.37</v>
      </c>
      <c r="K74" s="186">
        <f t="shared" si="97"/>
        <v>216.77</v>
      </c>
      <c r="L74" s="186">
        <f t="shared" si="97"/>
        <v>216.18</v>
      </c>
      <c r="M74" s="186">
        <f t="shared" si="97"/>
        <v>216.36</v>
      </c>
      <c r="N74" s="186">
        <f t="shared" si="97"/>
        <v>216.76</v>
      </c>
      <c r="O74" s="186">
        <f t="shared" si="97"/>
        <v>222.18</v>
      </c>
      <c r="P74" s="186">
        <f t="shared" si="97"/>
        <v>223.78</v>
      </c>
      <c r="Q74" s="186">
        <f t="shared" si="97"/>
        <v>233.77</v>
      </c>
      <c r="R74" s="186">
        <f t="shared" si="97"/>
        <v>330.14</v>
      </c>
      <c r="S74" s="186"/>
      <c r="T74" s="186">
        <f t="shared" ref="T74:Y74" si="100">T328+T582</f>
        <v>215.13941</v>
      </c>
      <c r="U74" s="186">
        <f t="shared" si="100"/>
        <v>221.74811</v>
      </c>
      <c r="V74" s="186">
        <f t="shared" si="100"/>
        <v>229.44776999999999</v>
      </c>
      <c r="W74" s="186">
        <f t="shared" si="100"/>
        <v>221.72712999999999</v>
      </c>
      <c r="X74" s="186">
        <f t="shared" si="100"/>
        <v>227.39173</v>
      </c>
      <c r="Y74" s="186">
        <f t="shared" si="100"/>
        <v>226.77282</v>
      </c>
      <c r="Z74" s="186">
        <f t="shared" si="97"/>
        <v>226.96163999999999</v>
      </c>
      <c r="AA74" s="186">
        <f t="shared" si="97"/>
        <v>227.38123999999996</v>
      </c>
      <c r="AB74" s="186">
        <f t="shared" si="97"/>
        <v>233.06681999999998</v>
      </c>
      <c r="AC74" s="186">
        <f t="shared" si="97"/>
        <v>234.74521999999999</v>
      </c>
      <c r="AD74" s="186">
        <f t="shared" si="97"/>
        <v>245.22472999999999</v>
      </c>
      <c r="AE74" s="186">
        <f t="shared" si="97"/>
        <v>346.31685999999996</v>
      </c>
      <c r="AF74" s="186">
        <f t="shared" ref="AF74:AQ74" si="101">AF328+AF582</f>
        <v>220.73303466000002</v>
      </c>
      <c r="AG74" s="186">
        <f t="shared" si="101"/>
        <v>227.51356086000001</v>
      </c>
      <c r="AH74" s="186">
        <f t="shared" si="101"/>
        <v>235.41341202000001</v>
      </c>
      <c r="AI74" s="186">
        <f t="shared" si="101"/>
        <v>227.49203538</v>
      </c>
      <c r="AJ74" s="186">
        <f t="shared" si="101"/>
        <v>233.30391498</v>
      </c>
      <c r="AK74" s="186">
        <f t="shared" si="101"/>
        <v>232.66891332</v>
      </c>
      <c r="AL74" s="186">
        <f t="shared" si="101"/>
        <v>232.86264263999999</v>
      </c>
      <c r="AM74" s="186">
        <f t="shared" si="101"/>
        <v>233.29315223999996</v>
      </c>
      <c r="AN74" s="186">
        <f t="shared" si="101"/>
        <v>239.12655731999999</v>
      </c>
      <c r="AO74" s="186">
        <f t="shared" si="101"/>
        <v>240.84859571999999</v>
      </c>
      <c r="AP74" s="186">
        <f t="shared" si="101"/>
        <v>251.60057298000001</v>
      </c>
      <c r="AQ74" s="186">
        <f t="shared" si="101"/>
        <v>355.32109835999995</v>
      </c>
      <c r="AR74" s="186">
        <f>SUM(G74:R74)</f>
        <v>2722.5200000000004</v>
      </c>
      <c r="AS74" s="186">
        <f>SUM(T74:AE74)</f>
        <v>2855.9234799999995</v>
      </c>
      <c r="AT74" s="186">
        <f>SUM(AF74:AQ74)</f>
        <v>2930.1774904799995</v>
      </c>
      <c r="AU74" s="171"/>
      <c r="AV74" s="171"/>
    </row>
    <row r="75" spans="1:48">
      <c r="A75" s="15" t="s">
        <v>1012</v>
      </c>
      <c r="B75" s="250">
        <v>684</v>
      </c>
      <c r="C75" s="212"/>
      <c r="D75" s="102"/>
      <c r="E75" s="102" t="s">
        <v>170</v>
      </c>
      <c r="F75" s="102"/>
      <c r="G75" s="131">
        <f t="shared" ref="G75:AE75" si="102">SUM(G73:G74)</f>
        <v>6929.84</v>
      </c>
      <c r="H75" s="131">
        <f t="shared" si="102"/>
        <v>7314.72</v>
      </c>
      <c r="I75" s="131">
        <f t="shared" si="102"/>
        <v>7044.3899999999994</v>
      </c>
      <c r="J75" s="131">
        <f t="shared" si="102"/>
        <v>7286.58</v>
      </c>
      <c r="K75" s="131">
        <f t="shared" si="102"/>
        <v>7158.59</v>
      </c>
      <c r="L75" s="131">
        <f t="shared" si="102"/>
        <v>6948.76</v>
      </c>
      <c r="M75" s="131">
        <f t="shared" si="102"/>
        <v>6956.24</v>
      </c>
      <c r="N75" s="131">
        <f t="shared" si="102"/>
        <v>7291.32</v>
      </c>
      <c r="O75" s="131">
        <f t="shared" si="102"/>
        <v>7885.6</v>
      </c>
      <c r="P75" s="131">
        <f t="shared" si="102"/>
        <v>7456.6900000000005</v>
      </c>
      <c r="Q75" s="131">
        <f t="shared" si="102"/>
        <v>7792.78</v>
      </c>
      <c r="R75" s="131">
        <f t="shared" si="102"/>
        <v>11210.76</v>
      </c>
      <c r="S75" s="620"/>
      <c r="T75" s="131">
        <f t="shared" ref="T75:Y75" si="103">SUM(T73:T74)</f>
        <v>7269.4021599999996</v>
      </c>
      <c r="U75" s="131">
        <f t="shared" si="103"/>
        <v>7673.1412799999998</v>
      </c>
      <c r="V75" s="131">
        <f t="shared" si="103"/>
        <v>7389.5651099999995</v>
      </c>
      <c r="W75" s="131">
        <f t="shared" si="103"/>
        <v>7643.6224199999997</v>
      </c>
      <c r="X75" s="131">
        <f t="shared" si="103"/>
        <v>7509.3609099999994</v>
      </c>
      <c r="Y75" s="131">
        <f t="shared" si="103"/>
        <v>7289.2492399999992</v>
      </c>
      <c r="Z75" s="131">
        <f t="shared" si="102"/>
        <v>7297.0957600000002</v>
      </c>
      <c r="AA75" s="131">
        <f t="shared" si="102"/>
        <v>7648.5946799999983</v>
      </c>
      <c r="AB75" s="131">
        <f t="shared" si="102"/>
        <v>8271.9943999999996</v>
      </c>
      <c r="AC75" s="131">
        <f t="shared" si="102"/>
        <v>7822.0678100000005</v>
      </c>
      <c r="AD75" s="131">
        <f t="shared" si="102"/>
        <v>8174.6262199999983</v>
      </c>
      <c r="AE75" s="131">
        <f t="shared" si="102"/>
        <v>11760.087240000001</v>
      </c>
      <c r="AF75" s="131">
        <f t="shared" ref="AF75:AQ75" si="104">SUM(AF73:AF74)</f>
        <v>7458.4066161600003</v>
      </c>
      <c r="AG75" s="131">
        <f t="shared" si="104"/>
        <v>7872.6429532800003</v>
      </c>
      <c r="AH75" s="131">
        <f t="shared" si="104"/>
        <v>7581.6938028599998</v>
      </c>
      <c r="AI75" s="131">
        <f t="shared" si="104"/>
        <v>7842.3566029199992</v>
      </c>
      <c r="AJ75" s="131">
        <f t="shared" si="104"/>
        <v>7704.6042936599988</v>
      </c>
      <c r="AK75" s="131">
        <f t="shared" si="104"/>
        <v>7478.7697202399986</v>
      </c>
      <c r="AL75" s="131">
        <f t="shared" si="104"/>
        <v>7486.8202497599996</v>
      </c>
      <c r="AM75" s="131">
        <f t="shared" si="104"/>
        <v>7847.4581416799992</v>
      </c>
      <c r="AN75" s="131">
        <f t="shared" si="104"/>
        <v>8487.0662543999988</v>
      </c>
      <c r="AO75" s="131">
        <f t="shared" si="104"/>
        <v>8025.4415730600012</v>
      </c>
      <c r="AP75" s="131">
        <f t="shared" si="104"/>
        <v>8387.1665017199994</v>
      </c>
      <c r="AQ75" s="131">
        <f t="shared" si="104"/>
        <v>12065.84950824</v>
      </c>
      <c r="AR75" s="131">
        <f>SUM(G75:R75)</f>
        <v>91276.26999999999</v>
      </c>
      <c r="AS75" s="131">
        <f>SUM(T75:AE75)</f>
        <v>95748.807229999977</v>
      </c>
      <c r="AT75" s="131">
        <f>SUM(AF75:AQ75)</f>
        <v>98238.276217980005</v>
      </c>
      <c r="AU75" s="621"/>
      <c r="AV75" s="621"/>
    </row>
    <row r="76" spans="1:48">
      <c r="B76" s="250">
        <v>685</v>
      </c>
      <c r="C76" s="212"/>
      <c r="D76" s="102"/>
      <c r="E76" s="102"/>
      <c r="F76" s="102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71"/>
      <c r="AV76" s="171"/>
    </row>
    <row r="77" spans="1:48">
      <c r="B77" s="250">
        <v>686</v>
      </c>
      <c r="C77" s="212">
        <v>887</v>
      </c>
      <c r="D77" s="102" t="s">
        <v>388</v>
      </c>
      <c r="E77" s="102"/>
      <c r="F77" s="102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71"/>
      <c r="AV77" s="171"/>
    </row>
    <row r="78" spans="1:48">
      <c r="B78" s="250">
        <v>687</v>
      </c>
      <c r="C78" s="212"/>
      <c r="D78" s="102"/>
      <c r="E78" s="102" t="s">
        <v>14</v>
      </c>
      <c r="F78" s="102"/>
      <c r="G78" s="186">
        <f t="shared" ref="G78:AE79" si="105">G332+G586</f>
        <v>751104.42</v>
      </c>
      <c r="H78" s="186">
        <f t="shared" si="105"/>
        <v>756653.34</v>
      </c>
      <c r="I78" s="186">
        <f t="shared" si="105"/>
        <v>707952.4</v>
      </c>
      <c r="J78" s="186">
        <f t="shared" si="105"/>
        <v>784718.40000000014</v>
      </c>
      <c r="K78" s="186">
        <f t="shared" si="105"/>
        <v>685739.81</v>
      </c>
      <c r="L78" s="186">
        <f t="shared" si="105"/>
        <v>696087.04000000004</v>
      </c>
      <c r="M78" s="186">
        <f t="shared" si="105"/>
        <v>666493.44999999995</v>
      </c>
      <c r="N78" s="186">
        <f t="shared" si="105"/>
        <v>681255.97</v>
      </c>
      <c r="O78" s="186">
        <f t="shared" si="105"/>
        <v>633315.16</v>
      </c>
      <c r="P78" s="186">
        <f t="shared" si="105"/>
        <v>654158.66</v>
      </c>
      <c r="Q78" s="186">
        <f t="shared" si="105"/>
        <v>684689.4</v>
      </c>
      <c r="R78" s="186">
        <f t="shared" si="105"/>
        <v>699562.79</v>
      </c>
      <c r="S78" s="186"/>
      <c r="T78" s="186">
        <f t="shared" ref="T78:Y78" si="106">T332+T586</f>
        <v>765066.21401467279</v>
      </c>
      <c r="U78" s="186">
        <f t="shared" si="106"/>
        <v>772466.42691095348</v>
      </c>
      <c r="V78" s="186">
        <f t="shared" si="106"/>
        <v>724538.80963516317</v>
      </c>
      <c r="W78" s="186">
        <f t="shared" si="106"/>
        <v>804037.14263556688</v>
      </c>
      <c r="X78" s="186">
        <f t="shared" si="106"/>
        <v>702671.9906595659</v>
      </c>
      <c r="Y78" s="186">
        <f t="shared" si="106"/>
        <v>713473.05625599623</v>
      </c>
      <c r="Z78" s="186">
        <f t="shared" si="105"/>
        <v>682067.40118668927</v>
      </c>
      <c r="AA78" s="186">
        <f t="shared" si="105"/>
        <v>695434.26558045065</v>
      </c>
      <c r="AB78" s="186">
        <f t="shared" si="105"/>
        <v>649676.51298548665</v>
      </c>
      <c r="AC78" s="186">
        <f t="shared" si="105"/>
        <v>674102.7924774522</v>
      </c>
      <c r="AD78" s="186">
        <f t="shared" si="105"/>
        <v>700792.21456579841</v>
      </c>
      <c r="AE78" s="186">
        <f t="shared" si="105"/>
        <v>714082.8230017008</v>
      </c>
      <c r="AF78" s="186">
        <f t="shared" ref="AF78:AQ78" si="107">AF332+AF586</f>
        <v>778453.94636646216</v>
      </c>
      <c r="AG78" s="186">
        <f t="shared" si="107"/>
        <v>786229.92573579564</v>
      </c>
      <c r="AH78" s="186">
        <f t="shared" si="107"/>
        <v>737700.10633493261</v>
      </c>
      <c r="AI78" s="186">
        <f t="shared" si="107"/>
        <v>818773.46029350569</v>
      </c>
      <c r="AJ78" s="186">
        <f t="shared" si="107"/>
        <v>715557.52225950488</v>
      </c>
      <c r="AK78" s="186">
        <f t="shared" si="107"/>
        <v>726584.43211574643</v>
      </c>
      <c r="AL78" s="186">
        <f t="shared" si="107"/>
        <v>694451.43521136767</v>
      </c>
      <c r="AM78" s="186">
        <f t="shared" si="107"/>
        <v>707816.93157312926</v>
      </c>
      <c r="AN78" s="186">
        <f t="shared" si="107"/>
        <v>661691.55385640066</v>
      </c>
      <c r="AO78" s="186">
        <f t="shared" si="107"/>
        <v>686995.40880401141</v>
      </c>
      <c r="AP78" s="186">
        <f t="shared" si="107"/>
        <v>713530.76539676159</v>
      </c>
      <c r="AQ78" s="186">
        <f t="shared" si="107"/>
        <v>726792.01956352836</v>
      </c>
      <c r="AR78" s="186">
        <f>SUM(G78:R78)</f>
        <v>8401730.8399999999</v>
      </c>
      <c r="AS78" s="186">
        <f>SUM(T78:AE78)</f>
        <v>8598409.6499094963</v>
      </c>
      <c r="AT78" s="186">
        <f>SUM(AF78:AQ78)</f>
        <v>8754577.5075111464</v>
      </c>
      <c r="AU78" s="171"/>
      <c r="AV78" s="171"/>
    </row>
    <row r="79" spans="1:48">
      <c r="B79" s="250">
        <v>688</v>
      </c>
      <c r="C79" s="212"/>
      <c r="D79" s="102"/>
      <c r="E79" s="102" t="s">
        <v>24</v>
      </c>
      <c r="F79" s="102"/>
      <c r="G79" s="186">
        <f t="shared" si="105"/>
        <v>17807.16</v>
      </c>
      <c r="H79" s="186">
        <f t="shared" si="105"/>
        <v>10332.39</v>
      </c>
      <c r="I79" s="186">
        <f t="shared" si="105"/>
        <v>9372.33</v>
      </c>
      <c r="J79" s="186">
        <f t="shared" si="105"/>
        <v>15876.86</v>
      </c>
      <c r="K79" s="186">
        <f t="shared" si="105"/>
        <v>12511.52</v>
      </c>
      <c r="L79" s="186">
        <f t="shared" si="105"/>
        <v>9690.0299999999988</v>
      </c>
      <c r="M79" s="186">
        <f t="shared" si="105"/>
        <v>10985.279999999999</v>
      </c>
      <c r="N79" s="186">
        <f t="shared" si="105"/>
        <v>15552.440000000002</v>
      </c>
      <c r="O79" s="186">
        <f t="shared" si="105"/>
        <v>8286.5400000000009</v>
      </c>
      <c r="P79" s="186">
        <f t="shared" si="105"/>
        <v>4834.4699999999993</v>
      </c>
      <c r="Q79" s="186">
        <f t="shared" si="105"/>
        <v>1955.8999999999996</v>
      </c>
      <c r="R79" s="186">
        <f t="shared" si="105"/>
        <v>16467.900000000001</v>
      </c>
      <c r="S79" s="186"/>
      <c r="T79" s="186">
        <f t="shared" ref="T79:Y79" si="108">T333+T587</f>
        <v>17456.462676226256</v>
      </c>
      <c r="U79" s="186">
        <f t="shared" si="108"/>
        <v>10216.702447707663</v>
      </c>
      <c r="V79" s="186">
        <f t="shared" si="108"/>
        <v>9108.2739298245488</v>
      </c>
      <c r="W79" s="186">
        <f t="shared" si="108"/>
        <v>15566.069528866825</v>
      </c>
      <c r="X79" s="186">
        <f t="shared" si="108"/>
        <v>12235.050941660966</v>
      </c>
      <c r="Y79" s="186">
        <f t="shared" si="108"/>
        <v>9563.3328270662842</v>
      </c>
      <c r="Z79" s="186">
        <f t="shared" si="105"/>
        <v>10551.318481187687</v>
      </c>
      <c r="AA79" s="186">
        <f t="shared" si="105"/>
        <v>15091.414057268479</v>
      </c>
      <c r="AB79" s="186">
        <f t="shared" si="105"/>
        <v>7824.1526836833282</v>
      </c>
      <c r="AC79" s="186">
        <f t="shared" si="105"/>
        <v>4686.1841401769125</v>
      </c>
      <c r="AD79" s="186">
        <f t="shared" si="105"/>
        <v>1471.8246050848875</v>
      </c>
      <c r="AE79" s="186">
        <f t="shared" si="105"/>
        <v>15692.857473145536</v>
      </c>
      <c r="AF79" s="186">
        <f t="shared" ref="AF79:AQ79" si="109">AF333+AF587</f>
        <v>17665.894160680371</v>
      </c>
      <c r="AG79" s="186">
        <f t="shared" si="109"/>
        <v>10352.127886832535</v>
      </c>
      <c r="AH79" s="186">
        <f t="shared" si="109"/>
        <v>9205.915737549858</v>
      </c>
      <c r="AI79" s="186">
        <f t="shared" si="109"/>
        <v>15753.098111003939</v>
      </c>
      <c r="AJ79" s="186">
        <f t="shared" si="109"/>
        <v>12377.438433739253</v>
      </c>
      <c r="AK79" s="186">
        <f t="shared" si="109"/>
        <v>9687.4562152913095</v>
      </c>
      <c r="AL79" s="186">
        <f t="shared" si="109"/>
        <v>10646.052503526007</v>
      </c>
      <c r="AM79" s="186">
        <f t="shared" si="109"/>
        <v>15249.821742085684</v>
      </c>
      <c r="AN79" s="186">
        <f t="shared" si="109"/>
        <v>7874.2271530453372</v>
      </c>
      <c r="AO79" s="186">
        <f t="shared" si="109"/>
        <v>4734.6370167389923</v>
      </c>
      <c r="AP79" s="186">
        <f t="shared" si="109"/>
        <v>1424.2634249060047</v>
      </c>
      <c r="AQ79" s="186">
        <f t="shared" si="109"/>
        <v>15815.155080731634</v>
      </c>
      <c r="AR79" s="186">
        <f>SUM(G79:R79)</f>
        <v>133672.81999999998</v>
      </c>
      <c r="AS79" s="186">
        <f>SUM(T79:AE79)</f>
        <v>129463.64379189936</v>
      </c>
      <c r="AT79" s="186">
        <f>SUM(AF79:AQ79)</f>
        <v>130786.08746613095</v>
      </c>
      <c r="AU79" s="171"/>
      <c r="AV79" s="171"/>
    </row>
    <row r="80" spans="1:48">
      <c r="A80" s="15" t="s">
        <v>1013</v>
      </c>
      <c r="B80" s="250">
        <v>689</v>
      </c>
      <c r="C80" s="212"/>
      <c r="D80" s="102"/>
      <c r="E80" s="102" t="s">
        <v>170</v>
      </c>
      <c r="F80" s="102"/>
      <c r="G80" s="131">
        <f t="shared" ref="G80:AE80" si="110">SUM(G78:G79)</f>
        <v>768911.58000000007</v>
      </c>
      <c r="H80" s="131">
        <f t="shared" si="110"/>
        <v>766985.73</v>
      </c>
      <c r="I80" s="131">
        <f t="shared" si="110"/>
        <v>717324.73</v>
      </c>
      <c r="J80" s="131">
        <f t="shared" si="110"/>
        <v>800595.26000000013</v>
      </c>
      <c r="K80" s="131">
        <f t="shared" si="110"/>
        <v>698251.33000000007</v>
      </c>
      <c r="L80" s="131">
        <f t="shared" si="110"/>
        <v>705777.07000000007</v>
      </c>
      <c r="M80" s="131">
        <f t="shared" si="110"/>
        <v>677478.73</v>
      </c>
      <c r="N80" s="131">
        <f t="shared" si="110"/>
        <v>696808.40999999992</v>
      </c>
      <c r="O80" s="131">
        <f t="shared" si="110"/>
        <v>641601.70000000007</v>
      </c>
      <c r="P80" s="131">
        <f t="shared" si="110"/>
        <v>658993.13</v>
      </c>
      <c r="Q80" s="131">
        <f t="shared" si="110"/>
        <v>686645.3</v>
      </c>
      <c r="R80" s="131">
        <f t="shared" si="110"/>
        <v>716030.69000000006</v>
      </c>
      <c r="S80" s="620"/>
      <c r="T80" s="131">
        <f t="shared" ref="T80:Y80" si="111">SUM(T78:T79)</f>
        <v>782522.67669089907</v>
      </c>
      <c r="U80" s="131">
        <f t="shared" si="111"/>
        <v>782683.12935866113</v>
      </c>
      <c r="V80" s="131">
        <f t="shared" si="111"/>
        <v>733647.08356498776</v>
      </c>
      <c r="W80" s="131">
        <f t="shared" si="111"/>
        <v>819603.21216443367</v>
      </c>
      <c r="X80" s="131">
        <f t="shared" si="111"/>
        <v>714907.0416012269</v>
      </c>
      <c r="Y80" s="131">
        <f t="shared" si="111"/>
        <v>723036.38908306253</v>
      </c>
      <c r="Z80" s="131">
        <f t="shared" si="110"/>
        <v>692618.71966787695</v>
      </c>
      <c r="AA80" s="131">
        <f t="shared" si="110"/>
        <v>710525.67963771918</v>
      </c>
      <c r="AB80" s="131">
        <f t="shared" si="110"/>
        <v>657500.66566916998</v>
      </c>
      <c r="AC80" s="131">
        <f t="shared" si="110"/>
        <v>678788.97661762906</v>
      </c>
      <c r="AD80" s="131">
        <f t="shared" si="110"/>
        <v>702264.03917088325</v>
      </c>
      <c r="AE80" s="131">
        <f t="shared" si="110"/>
        <v>729775.68047484639</v>
      </c>
      <c r="AF80" s="131">
        <f t="shared" ref="AF80:AQ80" si="112">SUM(AF78:AF79)</f>
        <v>796119.84052714251</v>
      </c>
      <c r="AG80" s="131">
        <f t="shared" si="112"/>
        <v>796582.05362262821</v>
      </c>
      <c r="AH80" s="131">
        <f t="shared" si="112"/>
        <v>746906.0220724825</v>
      </c>
      <c r="AI80" s="131">
        <f t="shared" si="112"/>
        <v>834526.55840450968</v>
      </c>
      <c r="AJ80" s="131">
        <f t="shared" si="112"/>
        <v>727934.96069324412</v>
      </c>
      <c r="AK80" s="131">
        <f t="shared" si="112"/>
        <v>736271.88833103771</v>
      </c>
      <c r="AL80" s="131">
        <f t="shared" si="112"/>
        <v>705097.48771489365</v>
      </c>
      <c r="AM80" s="131">
        <f t="shared" si="112"/>
        <v>723066.753315215</v>
      </c>
      <c r="AN80" s="131">
        <f t="shared" si="112"/>
        <v>669565.78100944601</v>
      </c>
      <c r="AO80" s="131">
        <f t="shared" si="112"/>
        <v>691730.04582075041</v>
      </c>
      <c r="AP80" s="131">
        <f t="shared" si="112"/>
        <v>714955.02882166754</v>
      </c>
      <c r="AQ80" s="131">
        <f t="shared" si="112"/>
        <v>742607.17464425997</v>
      </c>
      <c r="AR80" s="131">
        <f>SUM(G80:R80)</f>
        <v>8535403.6600000001</v>
      </c>
      <c r="AS80" s="131">
        <f>SUM(T80:AE80)</f>
        <v>8727873.2937013954</v>
      </c>
      <c r="AT80" s="131">
        <f>SUM(AF80:AQ80)</f>
        <v>8885363.5949772764</v>
      </c>
      <c r="AU80" s="621"/>
      <c r="AV80" s="621"/>
    </row>
    <row r="81" spans="1:48">
      <c r="B81" s="250">
        <v>690</v>
      </c>
      <c r="C81" s="212"/>
      <c r="D81" s="102"/>
      <c r="E81" s="102"/>
      <c r="F81" s="102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71"/>
      <c r="AV81" s="171"/>
    </row>
    <row r="82" spans="1:48">
      <c r="B82" s="250">
        <v>691</v>
      </c>
      <c r="C82" s="212">
        <v>888</v>
      </c>
      <c r="D82" s="102" t="s">
        <v>389</v>
      </c>
      <c r="E82" s="102"/>
      <c r="F82" s="102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71"/>
      <c r="AV82" s="171"/>
    </row>
    <row r="83" spans="1:48">
      <c r="B83" s="250">
        <v>692</v>
      </c>
      <c r="C83" s="212"/>
      <c r="D83" s="102"/>
      <c r="E83" s="102" t="s">
        <v>14</v>
      </c>
      <c r="F83" s="102"/>
      <c r="G83" s="186">
        <f t="shared" ref="G83:AE84" si="113">G337+G591</f>
        <v>72174.679999999993</v>
      </c>
      <c r="H83" s="186">
        <f t="shared" si="113"/>
        <v>74082.98</v>
      </c>
      <c r="I83" s="186">
        <f t="shared" si="113"/>
        <v>80516.22</v>
      </c>
      <c r="J83" s="186">
        <f t="shared" si="113"/>
        <v>107011.17</v>
      </c>
      <c r="K83" s="186">
        <f t="shared" si="113"/>
        <v>73327.150000000009</v>
      </c>
      <c r="L83" s="186">
        <f t="shared" si="113"/>
        <v>86888.33</v>
      </c>
      <c r="M83" s="186">
        <f t="shared" si="113"/>
        <v>93700.1</v>
      </c>
      <c r="N83" s="186">
        <f t="shared" si="113"/>
        <v>75567.159999999989</v>
      </c>
      <c r="O83" s="186">
        <f t="shared" si="113"/>
        <v>78071.39</v>
      </c>
      <c r="P83" s="186">
        <f t="shared" si="113"/>
        <v>82844.83</v>
      </c>
      <c r="Q83" s="186">
        <f t="shared" si="113"/>
        <v>119059.48999999999</v>
      </c>
      <c r="R83" s="186">
        <f t="shared" si="113"/>
        <v>33495.210000000006</v>
      </c>
      <c r="S83" s="186"/>
      <c r="T83" s="186">
        <f t="shared" ref="T83:Y83" si="114">T337+T591</f>
        <v>74111.782235090388</v>
      </c>
      <c r="U83" s="186">
        <f t="shared" si="114"/>
        <v>76083.220459999982</v>
      </c>
      <c r="V83" s="186">
        <f t="shared" si="114"/>
        <v>82690.15793999999</v>
      </c>
      <c r="W83" s="186">
        <f t="shared" si="114"/>
        <v>109898.02575305973</v>
      </c>
      <c r="X83" s="186">
        <f t="shared" si="114"/>
        <v>75292.973072348104</v>
      </c>
      <c r="Y83" s="186">
        <f t="shared" si="114"/>
        <v>89222.611830161841</v>
      </c>
      <c r="Z83" s="186">
        <f t="shared" si="113"/>
        <v>96230.002699999997</v>
      </c>
      <c r="AA83" s="186">
        <f t="shared" si="113"/>
        <v>77564.842729479089</v>
      </c>
      <c r="AB83" s="186">
        <f t="shared" si="113"/>
        <v>80179.317529999986</v>
      </c>
      <c r="AC83" s="186">
        <f t="shared" si="113"/>
        <v>85081.640409999993</v>
      </c>
      <c r="AD83" s="186">
        <f t="shared" si="113"/>
        <v>122274.09622999998</v>
      </c>
      <c r="AE83" s="186">
        <f t="shared" si="113"/>
        <v>34389.350006026827</v>
      </c>
      <c r="AF83" s="186">
        <f t="shared" ref="AF83:AQ83" si="115">AF337+AF591</f>
        <v>75888.151501917615</v>
      </c>
      <c r="AG83" s="186">
        <f t="shared" si="115"/>
        <v>77909.217751039978</v>
      </c>
      <c r="AH83" s="186">
        <f t="shared" si="115"/>
        <v>84674.721730559992</v>
      </c>
      <c r="AI83" s="186">
        <f t="shared" si="115"/>
        <v>112535.09116607264</v>
      </c>
      <c r="AJ83" s="186">
        <f t="shared" si="115"/>
        <v>77097.213670945595</v>
      </c>
      <c r="AK83" s="186">
        <f t="shared" si="115"/>
        <v>91361.623287654802</v>
      </c>
      <c r="AL83" s="186">
        <f t="shared" si="115"/>
        <v>98539.5227648</v>
      </c>
      <c r="AM83" s="186">
        <f t="shared" si="115"/>
        <v>79417.907039972502</v>
      </c>
      <c r="AN83" s="186">
        <f t="shared" si="115"/>
        <v>82103.621150719991</v>
      </c>
      <c r="AO83" s="186">
        <f t="shared" si="115"/>
        <v>87123.599779839991</v>
      </c>
      <c r="AP83" s="186">
        <f t="shared" si="115"/>
        <v>125208.67453951998</v>
      </c>
      <c r="AQ83" s="186">
        <f t="shared" si="115"/>
        <v>35212.65648157469</v>
      </c>
      <c r="AR83" s="186">
        <f>SUM(G83:R83)</f>
        <v>976738.71</v>
      </c>
      <c r="AS83" s="186">
        <f>SUM(T83:AE83)</f>
        <v>1003018.0208961659</v>
      </c>
      <c r="AT83" s="186">
        <f>SUM(AF83:AQ83)</f>
        <v>1027072.0008646178</v>
      </c>
      <c r="AU83" s="171"/>
      <c r="AV83" s="171"/>
    </row>
    <row r="84" spans="1:48">
      <c r="B84" s="250">
        <v>693</v>
      </c>
      <c r="C84" s="212"/>
      <c r="D84" s="102"/>
      <c r="E84" s="102" t="s">
        <v>24</v>
      </c>
      <c r="F84" s="102"/>
      <c r="G84" s="186">
        <f t="shared" si="113"/>
        <v>6563.57</v>
      </c>
      <c r="H84" s="186">
        <f t="shared" si="113"/>
        <v>12046.44</v>
      </c>
      <c r="I84" s="186">
        <f t="shared" si="113"/>
        <v>3290.64</v>
      </c>
      <c r="J84" s="186">
        <f t="shared" si="113"/>
        <v>15250.460000000001</v>
      </c>
      <c r="K84" s="186">
        <f t="shared" si="113"/>
        <v>-344.57</v>
      </c>
      <c r="L84" s="186">
        <f t="shared" si="113"/>
        <v>5772.3</v>
      </c>
      <c r="M84" s="186">
        <f t="shared" si="113"/>
        <v>5127.7300000000005</v>
      </c>
      <c r="N84" s="186">
        <f t="shared" si="113"/>
        <v>8968.99</v>
      </c>
      <c r="O84" s="186">
        <f t="shared" si="113"/>
        <v>11296.61</v>
      </c>
      <c r="P84" s="186">
        <f t="shared" si="113"/>
        <v>15753.970000000001</v>
      </c>
      <c r="Q84" s="186">
        <f t="shared" si="113"/>
        <v>13083.91</v>
      </c>
      <c r="R84" s="186">
        <f t="shared" si="113"/>
        <v>1982.81</v>
      </c>
      <c r="S84" s="186"/>
      <c r="T84" s="186">
        <f t="shared" ref="T84:Y84" si="116">T338+T592</f>
        <v>6740.7863899999993</v>
      </c>
      <c r="U84" s="186">
        <f t="shared" si="116"/>
        <v>12371.693879999999</v>
      </c>
      <c r="V84" s="186">
        <f t="shared" si="116"/>
        <v>3379.4872799999994</v>
      </c>
      <c r="W84" s="186">
        <f t="shared" si="116"/>
        <v>15662.22242</v>
      </c>
      <c r="X84" s="186">
        <f t="shared" si="116"/>
        <v>-353.87338999999997</v>
      </c>
      <c r="Y84" s="186">
        <f t="shared" si="116"/>
        <v>5928.1520999999993</v>
      </c>
      <c r="Z84" s="186">
        <f t="shared" si="113"/>
        <v>5266.1787100000001</v>
      </c>
      <c r="AA84" s="186">
        <f t="shared" si="113"/>
        <v>9211.1527299999998</v>
      </c>
      <c r="AB84" s="186">
        <f t="shared" si="113"/>
        <v>11601.618469999999</v>
      </c>
      <c r="AC84" s="186">
        <f t="shared" si="113"/>
        <v>16179.32719</v>
      </c>
      <c r="AD84" s="186">
        <f t="shared" si="113"/>
        <v>13437.175569999999</v>
      </c>
      <c r="AE84" s="186">
        <f t="shared" si="113"/>
        <v>2036.3458699999999</v>
      </c>
      <c r="AF84" s="186">
        <f t="shared" ref="AF84:AQ84" si="117">AF338+AF592</f>
        <v>6902.5652633599993</v>
      </c>
      <c r="AG84" s="186">
        <f t="shared" si="117"/>
        <v>12668.614533119999</v>
      </c>
      <c r="AH84" s="186">
        <f t="shared" si="117"/>
        <v>3460.5949747199993</v>
      </c>
      <c r="AI84" s="186">
        <f t="shared" si="117"/>
        <v>16038.115758080001</v>
      </c>
      <c r="AJ84" s="186">
        <f t="shared" si="117"/>
        <v>-362.36635135999995</v>
      </c>
      <c r="AK84" s="186">
        <f t="shared" si="117"/>
        <v>6070.4277503999992</v>
      </c>
      <c r="AL84" s="186">
        <f t="shared" si="117"/>
        <v>5392.5669990400002</v>
      </c>
      <c r="AM84" s="186">
        <f t="shared" si="117"/>
        <v>9432.2203955200002</v>
      </c>
      <c r="AN84" s="186">
        <f t="shared" si="117"/>
        <v>11880.05731328</v>
      </c>
      <c r="AO84" s="186">
        <f t="shared" si="117"/>
        <v>16567.631042559999</v>
      </c>
      <c r="AP84" s="186">
        <f t="shared" si="117"/>
        <v>13759.667783679999</v>
      </c>
      <c r="AQ84" s="186">
        <f t="shared" si="117"/>
        <v>2085.2181708799999</v>
      </c>
      <c r="AR84" s="186">
        <f>SUM(G84:R84)</f>
        <v>98792.860000000015</v>
      </c>
      <c r="AS84" s="186">
        <f>SUM(T84:AE84)</f>
        <v>101460.26721999999</v>
      </c>
      <c r="AT84" s="186">
        <f>SUM(AF84:AQ84)</f>
        <v>103895.31363327999</v>
      </c>
      <c r="AU84" s="171"/>
      <c r="AV84" s="171"/>
    </row>
    <row r="85" spans="1:48">
      <c r="A85" s="15" t="s">
        <v>1014</v>
      </c>
      <c r="B85" s="250">
        <v>694</v>
      </c>
      <c r="C85" s="212"/>
      <c r="D85" s="102"/>
      <c r="E85" s="102" t="s">
        <v>170</v>
      </c>
      <c r="F85" s="102"/>
      <c r="G85" s="131">
        <f t="shared" ref="G85:AE85" si="118">SUM(G83:G84)</f>
        <v>78738.25</v>
      </c>
      <c r="H85" s="131">
        <f t="shared" si="118"/>
        <v>86129.42</v>
      </c>
      <c r="I85" s="131">
        <f t="shared" si="118"/>
        <v>83806.86</v>
      </c>
      <c r="J85" s="131">
        <f t="shared" si="118"/>
        <v>122261.63</v>
      </c>
      <c r="K85" s="131">
        <f t="shared" si="118"/>
        <v>72982.58</v>
      </c>
      <c r="L85" s="131">
        <f t="shared" si="118"/>
        <v>92660.63</v>
      </c>
      <c r="M85" s="131">
        <f t="shared" si="118"/>
        <v>98827.83</v>
      </c>
      <c r="N85" s="131">
        <f t="shared" si="118"/>
        <v>84536.15</v>
      </c>
      <c r="O85" s="131">
        <f t="shared" si="118"/>
        <v>89368</v>
      </c>
      <c r="P85" s="131">
        <f t="shared" si="118"/>
        <v>98598.8</v>
      </c>
      <c r="Q85" s="131">
        <f t="shared" si="118"/>
        <v>132143.4</v>
      </c>
      <c r="R85" s="131">
        <f t="shared" si="118"/>
        <v>35478.020000000004</v>
      </c>
      <c r="S85" s="620"/>
      <c r="T85" s="131">
        <f t="shared" ref="T85:Y85" si="119">SUM(T83:T84)</f>
        <v>80852.568625090382</v>
      </c>
      <c r="U85" s="131">
        <f t="shared" si="119"/>
        <v>88454.914339999988</v>
      </c>
      <c r="V85" s="131">
        <f t="shared" si="119"/>
        <v>86069.645219999991</v>
      </c>
      <c r="W85" s="131">
        <f t="shared" si="119"/>
        <v>125560.24817305974</v>
      </c>
      <c r="X85" s="131">
        <f t="shared" si="119"/>
        <v>74939.099682348111</v>
      </c>
      <c r="Y85" s="131">
        <f t="shared" si="119"/>
        <v>95150.763930161833</v>
      </c>
      <c r="Z85" s="131">
        <f t="shared" si="118"/>
        <v>101496.18140999999</v>
      </c>
      <c r="AA85" s="131">
        <f t="shared" si="118"/>
        <v>86775.995459479091</v>
      </c>
      <c r="AB85" s="131">
        <f t="shared" si="118"/>
        <v>91780.935999999987</v>
      </c>
      <c r="AC85" s="131">
        <f t="shared" si="118"/>
        <v>101260.96759999999</v>
      </c>
      <c r="AD85" s="131">
        <f t="shared" si="118"/>
        <v>135711.27179999999</v>
      </c>
      <c r="AE85" s="131">
        <f t="shared" si="118"/>
        <v>36425.695876026824</v>
      </c>
      <c r="AF85" s="131">
        <f t="shared" ref="AF85:AQ85" si="120">SUM(AF83:AF84)</f>
        <v>82790.716765277612</v>
      </c>
      <c r="AG85" s="131">
        <f t="shared" si="120"/>
        <v>90577.832284159973</v>
      </c>
      <c r="AH85" s="131">
        <f t="shared" si="120"/>
        <v>88135.316705279984</v>
      </c>
      <c r="AI85" s="131">
        <f t="shared" si="120"/>
        <v>128573.20692415265</v>
      </c>
      <c r="AJ85" s="131">
        <f t="shared" si="120"/>
        <v>76734.847319585591</v>
      </c>
      <c r="AK85" s="131">
        <f t="shared" si="120"/>
        <v>97432.051038054808</v>
      </c>
      <c r="AL85" s="131">
        <f t="shared" si="120"/>
        <v>103932.08976384001</v>
      </c>
      <c r="AM85" s="131">
        <f t="shared" si="120"/>
        <v>88850.127435492497</v>
      </c>
      <c r="AN85" s="131">
        <f t="shared" si="120"/>
        <v>93983.678463999997</v>
      </c>
      <c r="AO85" s="131">
        <f t="shared" si="120"/>
        <v>103691.23082239999</v>
      </c>
      <c r="AP85" s="131">
        <f t="shared" si="120"/>
        <v>138968.34232319999</v>
      </c>
      <c r="AQ85" s="131">
        <f t="shared" si="120"/>
        <v>37297.874652454688</v>
      </c>
      <c r="AR85" s="131">
        <f>SUM(G85:R85)</f>
        <v>1075531.57</v>
      </c>
      <c r="AS85" s="131">
        <f>SUM(T85:AE85)</f>
        <v>1104478.2881161657</v>
      </c>
      <c r="AT85" s="131">
        <f>SUM(AF85:AQ85)</f>
        <v>1130967.3144978976</v>
      </c>
      <c r="AU85" s="621"/>
      <c r="AV85" s="621"/>
    </row>
    <row r="86" spans="1:48">
      <c r="B86" s="250">
        <v>695</v>
      </c>
      <c r="C86" s="212"/>
      <c r="D86" s="102"/>
      <c r="E86" s="102"/>
      <c r="F86" s="102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71"/>
      <c r="AV86" s="171"/>
    </row>
    <row r="87" spans="1:48">
      <c r="B87" s="250">
        <v>696</v>
      </c>
      <c r="C87" s="212">
        <v>889</v>
      </c>
      <c r="D87" s="102" t="s">
        <v>391</v>
      </c>
      <c r="E87" s="102"/>
      <c r="F87" s="102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71"/>
      <c r="AV87" s="171"/>
    </row>
    <row r="88" spans="1:48">
      <c r="B88" s="250">
        <v>697</v>
      </c>
      <c r="C88" s="212"/>
      <c r="D88" s="102"/>
      <c r="E88" s="102" t="s">
        <v>14</v>
      </c>
      <c r="F88" s="102"/>
      <c r="G88" s="186">
        <f t="shared" ref="G88:AE89" si="121">G342+G596</f>
        <v>9493.220000000003</v>
      </c>
      <c r="H88" s="186">
        <f t="shared" si="121"/>
        <v>5233.5800000000008</v>
      </c>
      <c r="I88" s="186">
        <f t="shared" si="121"/>
        <v>6501.27</v>
      </c>
      <c r="J88" s="186">
        <f t="shared" si="121"/>
        <v>5310.81</v>
      </c>
      <c r="K88" s="186">
        <f t="shared" si="121"/>
        <v>4740.5599999999995</v>
      </c>
      <c r="L88" s="186">
        <f t="shared" si="121"/>
        <v>9670.09</v>
      </c>
      <c r="M88" s="186">
        <f t="shared" si="121"/>
        <v>5514.2000000000007</v>
      </c>
      <c r="N88" s="186">
        <f t="shared" si="121"/>
        <v>7619.5599999999995</v>
      </c>
      <c r="O88" s="186">
        <f t="shared" si="121"/>
        <v>3926.5800000000008</v>
      </c>
      <c r="P88" s="186">
        <f t="shared" si="121"/>
        <v>16663.68</v>
      </c>
      <c r="Q88" s="186">
        <f t="shared" si="121"/>
        <v>10696.390000000001</v>
      </c>
      <c r="R88" s="186">
        <f t="shared" si="121"/>
        <v>3724.46</v>
      </c>
      <c r="S88" s="186"/>
      <c r="T88" s="186">
        <f t="shared" ref="T88:Y88" si="122">T342+T596</f>
        <v>9726.6047484576011</v>
      </c>
      <c r="U88" s="186">
        <f t="shared" si="122"/>
        <v>5312.849524586085</v>
      </c>
      <c r="V88" s="186">
        <f t="shared" si="122"/>
        <v>6627.8050262586767</v>
      </c>
      <c r="W88" s="186">
        <f t="shared" si="122"/>
        <v>5419.1194935131753</v>
      </c>
      <c r="X88" s="186">
        <f t="shared" si="122"/>
        <v>4818.9920110092608</v>
      </c>
      <c r="Y88" s="186">
        <f t="shared" si="122"/>
        <v>9927.6294254272452</v>
      </c>
      <c r="Z88" s="186">
        <f t="shared" si="121"/>
        <v>5613.2941365757561</v>
      </c>
      <c r="AA88" s="186">
        <f t="shared" si="121"/>
        <v>7513.2799114789714</v>
      </c>
      <c r="AB88" s="186">
        <f t="shared" si="121"/>
        <v>4329.3816503024782</v>
      </c>
      <c r="AC88" s="186">
        <f t="shared" si="121"/>
        <v>17150.401913902526</v>
      </c>
      <c r="AD88" s="186">
        <f t="shared" si="121"/>
        <v>10942.479859428844</v>
      </c>
      <c r="AE88" s="186">
        <f t="shared" si="121"/>
        <v>3747.9187942584604</v>
      </c>
      <c r="AF88" s="186">
        <f t="shared" ref="AF88:AQ88" si="123">AF342+AF596</f>
        <v>9934.7886226307037</v>
      </c>
      <c r="AG88" s="186">
        <f t="shared" si="123"/>
        <v>5417.9035979721111</v>
      </c>
      <c r="AH88" s="186">
        <f t="shared" si="123"/>
        <v>6763.8264590684839</v>
      </c>
      <c r="AI88" s="186">
        <f t="shared" si="123"/>
        <v>5531.2064774431356</v>
      </c>
      <c r="AJ88" s="186">
        <f t="shared" si="123"/>
        <v>4915.4539027807441</v>
      </c>
      <c r="AK88" s="186">
        <f t="shared" si="123"/>
        <v>10143.588362784874</v>
      </c>
      <c r="AL88" s="186">
        <f t="shared" si="123"/>
        <v>5727.0449049604777</v>
      </c>
      <c r="AM88" s="186">
        <f t="shared" si="123"/>
        <v>7622.6171053705002</v>
      </c>
      <c r="AN88" s="186">
        <f t="shared" si="123"/>
        <v>4475.7402246740021</v>
      </c>
      <c r="AO88" s="186">
        <f t="shared" si="123"/>
        <v>17530.990689435024</v>
      </c>
      <c r="AP88" s="186">
        <f t="shared" si="123"/>
        <v>11173.729455792953</v>
      </c>
      <c r="AQ88" s="186">
        <f t="shared" si="123"/>
        <v>3816.1976018561531</v>
      </c>
      <c r="AR88" s="186">
        <f>SUM(G88:R88)</f>
        <v>89094.399999999994</v>
      </c>
      <c r="AS88" s="186">
        <f>SUM(T88:AE88)</f>
        <v>91129.756495199079</v>
      </c>
      <c r="AT88" s="186">
        <f>SUM(AF88:AQ88)</f>
        <v>93053.087404769161</v>
      </c>
      <c r="AU88" s="171"/>
      <c r="AV88" s="171"/>
    </row>
    <row r="89" spans="1:48">
      <c r="B89" s="250">
        <v>698</v>
      </c>
      <c r="C89" s="212"/>
      <c r="D89" s="102"/>
      <c r="E89" s="102" t="s">
        <v>24</v>
      </c>
      <c r="F89" s="102"/>
      <c r="G89" s="186">
        <f t="shared" si="121"/>
        <v>8326.7900000000009</v>
      </c>
      <c r="H89" s="186">
        <f t="shared" si="121"/>
        <v>8814.5300000000007</v>
      </c>
      <c r="I89" s="186">
        <f t="shared" si="121"/>
        <v>5790.16</v>
      </c>
      <c r="J89" s="186">
        <f t="shared" si="121"/>
        <v>6260.33</v>
      </c>
      <c r="K89" s="186">
        <f t="shared" si="121"/>
        <v>8457.58</v>
      </c>
      <c r="L89" s="186">
        <f t="shared" si="121"/>
        <v>4388.1499999999996</v>
      </c>
      <c r="M89" s="186">
        <f t="shared" si="121"/>
        <v>9083.77</v>
      </c>
      <c r="N89" s="186">
        <f t="shared" si="121"/>
        <v>1951.3500000000001</v>
      </c>
      <c r="O89" s="186">
        <f t="shared" si="121"/>
        <v>9839.9399999999987</v>
      </c>
      <c r="P89" s="186">
        <f t="shared" si="121"/>
        <v>4659.3700000000008</v>
      </c>
      <c r="Q89" s="186">
        <f t="shared" si="121"/>
        <v>9382.7999999999993</v>
      </c>
      <c r="R89" s="186">
        <f t="shared" si="121"/>
        <v>4767.75</v>
      </c>
      <c r="S89" s="186"/>
      <c r="T89" s="186">
        <f t="shared" ref="T89:Y89" si="124">T343+T597</f>
        <v>7926.7476328805869</v>
      </c>
      <c r="U89" s="186">
        <f t="shared" si="124"/>
        <v>8379.4284214322779</v>
      </c>
      <c r="V89" s="186">
        <f t="shared" si="124"/>
        <v>5558.4006359025007</v>
      </c>
      <c r="W89" s="186">
        <f t="shared" si="124"/>
        <v>5976.2551261944336</v>
      </c>
      <c r="X89" s="186">
        <f t="shared" si="124"/>
        <v>8055.4761140901201</v>
      </c>
      <c r="Y89" s="186">
        <f t="shared" si="124"/>
        <v>4236.9591871918237</v>
      </c>
      <c r="Z89" s="186">
        <f t="shared" si="121"/>
        <v>8627.7736093447274</v>
      </c>
      <c r="AA89" s="186">
        <f t="shared" si="121"/>
        <v>1940.1713497061205</v>
      </c>
      <c r="AB89" s="186">
        <f t="shared" si="121"/>
        <v>9318.8075744577345</v>
      </c>
      <c r="AC89" s="186">
        <f t="shared" si="121"/>
        <v>4489.4107861956772</v>
      </c>
      <c r="AD89" s="186">
        <f t="shared" si="121"/>
        <v>8934.7638706962116</v>
      </c>
      <c r="AE89" s="186">
        <f t="shared" si="121"/>
        <v>4564.4900276830576</v>
      </c>
      <c r="AF89" s="186">
        <f t="shared" ref="AF89:AQ89" si="125">AF343+AF597</f>
        <v>7990.3845366713404</v>
      </c>
      <c r="AG89" s="186">
        <f t="shared" si="125"/>
        <v>8444.5056015629198</v>
      </c>
      <c r="AH89" s="186">
        <f t="shared" si="125"/>
        <v>5611.7825766305923</v>
      </c>
      <c r="AI89" s="186">
        <f t="shared" si="125"/>
        <v>6027.3823288548801</v>
      </c>
      <c r="AJ89" s="186">
        <f t="shared" si="125"/>
        <v>8120.9431286856598</v>
      </c>
      <c r="AK89" s="186">
        <f t="shared" si="125"/>
        <v>4282.2254587647367</v>
      </c>
      <c r="AL89" s="186">
        <f t="shared" si="125"/>
        <v>8693.3425812007517</v>
      </c>
      <c r="AM89" s="186">
        <f t="shared" si="125"/>
        <v>1971.3276222475802</v>
      </c>
      <c r="AN89" s="186">
        <f t="shared" si="125"/>
        <v>9384.4884711183295</v>
      </c>
      <c r="AO89" s="186">
        <f t="shared" si="125"/>
        <v>4535.621005005798</v>
      </c>
      <c r="AP89" s="186">
        <f t="shared" si="125"/>
        <v>9007.0102575011933</v>
      </c>
      <c r="AQ89" s="186">
        <f t="shared" si="125"/>
        <v>4606.0018675385336</v>
      </c>
      <c r="AR89" s="186">
        <f>SUM(G89:R89)</f>
        <v>81722.51999999999</v>
      </c>
      <c r="AS89" s="186">
        <f>SUM(T89:AE89)</f>
        <v>78008.68433577528</v>
      </c>
      <c r="AT89" s="186">
        <f>SUM(AF89:AQ89)</f>
        <v>78675.015435782319</v>
      </c>
      <c r="AU89" s="171"/>
      <c r="AV89" s="171"/>
    </row>
    <row r="90" spans="1:48">
      <c r="A90" s="15" t="s">
        <v>1015</v>
      </c>
      <c r="B90" s="250">
        <v>699</v>
      </c>
      <c r="C90" s="212"/>
      <c r="D90" s="102"/>
      <c r="E90" s="102" t="s">
        <v>170</v>
      </c>
      <c r="F90" s="102"/>
      <c r="G90" s="131">
        <f t="shared" ref="G90:AE90" si="126">SUM(G88:G89)</f>
        <v>17820.010000000002</v>
      </c>
      <c r="H90" s="131">
        <f t="shared" si="126"/>
        <v>14048.11</v>
      </c>
      <c r="I90" s="131">
        <f t="shared" si="126"/>
        <v>12291.43</v>
      </c>
      <c r="J90" s="131">
        <f t="shared" si="126"/>
        <v>11571.14</v>
      </c>
      <c r="K90" s="131">
        <f t="shared" si="126"/>
        <v>13198.14</v>
      </c>
      <c r="L90" s="131">
        <f t="shared" si="126"/>
        <v>14058.24</v>
      </c>
      <c r="M90" s="131">
        <f t="shared" si="126"/>
        <v>14597.970000000001</v>
      </c>
      <c r="N90" s="131">
        <f t="shared" si="126"/>
        <v>9570.91</v>
      </c>
      <c r="O90" s="131">
        <f t="shared" si="126"/>
        <v>13766.52</v>
      </c>
      <c r="P90" s="131">
        <f t="shared" si="126"/>
        <v>21323.050000000003</v>
      </c>
      <c r="Q90" s="131">
        <f t="shared" si="126"/>
        <v>20079.190000000002</v>
      </c>
      <c r="R90" s="131">
        <f t="shared" si="126"/>
        <v>8492.2099999999991</v>
      </c>
      <c r="S90" s="620"/>
      <c r="T90" s="131">
        <f t="shared" ref="T90:Y90" si="127">SUM(T88:T89)</f>
        <v>17653.352381338187</v>
      </c>
      <c r="U90" s="131">
        <f t="shared" si="127"/>
        <v>13692.277946018363</v>
      </c>
      <c r="V90" s="131">
        <f t="shared" si="127"/>
        <v>12186.205662161177</v>
      </c>
      <c r="W90" s="131">
        <f t="shared" si="127"/>
        <v>11395.374619707609</v>
      </c>
      <c r="X90" s="131">
        <f t="shared" si="127"/>
        <v>12874.468125099382</v>
      </c>
      <c r="Y90" s="131">
        <f t="shared" si="127"/>
        <v>14164.588612619069</v>
      </c>
      <c r="Z90" s="131">
        <f t="shared" si="126"/>
        <v>14241.067745920484</v>
      </c>
      <c r="AA90" s="131">
        <f t="shared" si="126"/>
        <v>9453.4512611850914</v>
      </c>
      <c r="AB90" s="131">
        <f t="shared" si="126"/>
        <v>13648.189224760212</v>
      </c>
      <c r="AC90" s="131">
        <f t="shared" si="126"/>
        <v>21639.812700098202</v>
      </c>
      <c r="AD90" s="131">
        <f t="shared" si="126"/>
        <v>19877.243730125054</v>
      </c>
      <c r="AE90" s="131">
        <f t="shared" si="126"/>
        <v>8312.4088219415171</v>
      </c>
      <c r="AF90" s="131">
        <f t="shared" ref="AF90:AQ90" si="128">SUM(AF88:AF89)</f>
        <v>17925.173159302045</v>
      </c>
      <c r="AG90" s="131">
        <f t="shared" si="128"/>
        <v>13862.409199535032</v>
      </c>
      <c r="AH90" s="131">
        <f t="shared" si="128"/>
        <v>12375.609035699075</v>
      </c>
      <c r="AI90" s="131">
        <f t="shared" si="128"/>
        <v>11558.588806298016</v>
      </c>
      <c r="AJ90" s="131">
        <f t="shared" si="128"/>
        <v>13036.397031466404</v>
      </c>
      <c r="AK90" s="131">
        <f t="shared" si="128"/>
        <v>14425.813821549611</v>
      </c>
      <c r="AL90" s="131">
        <f t="shared" si="128"/>
        <v>14420.387486161229</v>
      </c>
      <c r="AM90" s="131">
        <f t="shared" si="128"/>
        <v>9593.9447276180799</v>
      </c>
      <c r="AN90" s="131">
        <f t="shared" si="128"/>
        <v>13860.228695792332</v>
      </c>
      <c r="AO90" s="131">
        <f t="shared" si="128"/>
        <v>22066.61169444082</v>
      </c>
      <c r="AP90" s="131">
        <f t="shared" si="128"/>
        <v>20180.739713294148</v>
      </c>
      <c r="AQ90" s="131">
        <f t="shared" si="128"/>
        <v>8422.1994693946872</v>
      </c>
      <c r="AR90" s="131">
        <f>SUM(G90:R90)</f>
        <v>170816.92</v>
      </c>
      <c r="AS90" s="131">
        <f>SUM(T90:AE90)</f>
        <v>169138.44083097437</v>
      </c>
      <c r="AT90" s="131">
        <f>SUM(AF90:AQ90)</f>
        <v>171728.10284055147</v>
      </c>
      <c r="AU90" s="621"/>
      <c r="AV90" s="621"/>
    </row>
    <row r="91" spans="1:48">
      <c r="B91" s="250">
        <v>700</v>
      </c>
      <c r="C91" s="212"/>
      <c r="D91" s="102"/>
      <c r="E91" s="102"/>
      <c r="F91" s="102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71"/>
      <c r="AV91" s="171"/>
    </row>
    <row r="92" spans="1:48">
      <c r="B92" s="250">
        <v>701</v>
      </c>
      <c r="C92" s="212">
        <v>892</v>
      </c>
      <c r="D92" s="102" t="s">
        <v>392</v>
      </c>
      <c r="E92" s="102"/>
      <c r="F92" s="102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71"/>
      <c r="AV92" s="171"/>
    </row>
    <row r="93" spans="1:48">
      <c r="B93" s="250">
        <v>702</v>
      </c>
      <c r="C93" s="212"/>
      <c r="D93" s="102"/>
      <c r="E93" s="102" t="s">
        <v>14</v>
      </c>
      <c r="F93" s="102"/>
      <c r="G93" s="186">
        <f t="shared" ref="G93:AE94" si="129">G347+G601</f>
        <v>90642.299999999988</v>
      </c>
      <c r="H93" s="186">
        <f t="shared" si="129"/>
        <v>57741.31</v>
      </c>
      <c r="I93" s="186">
        <f t="shared" si="129"/>
        <v>45010.509999999995</v>
      </c>
      <c r="J93" s="186">
        <f t="shared" si="129"/>
        <v>48598.570000000007</v>
      </c>
      <c r="K93" s="186">
        <f t="shared" si="129"/>
        <v>34042.200000000004</v>
      </c>
      <c r="L93" s="186">
        <f t="shared" si="129"/>
        <v>31108.649999999998</v>
      </c>
      <c r="M93" s="186">
        <f t="shared" si="129"/>
        <v>27580.719999999998</v>
      </c>
      <c r="N93" s="186">
        <f t="shared" si="129"/>
        <v>16832.36</v>
      </c>
      <c r="O93" s="186">
        <f t="shared" si="129"/>
        <v>37186.580000000009</v>
      </c>
      <c r="P93" s="186">
        <f t="shared" si="129"/>
        <v>21739.350000000002</v>
      </c>
      <c r="Q93" s="186">
        <f t="shared" si="129"/>
        <v>35788.44</v>
      </c>
      <c r="R93" s="186">
        <f t="shared" si="129"/>
        <v>25827.060000000005</v>
      </c>
      <c r="S93" s="186"/>
      <c r="T93" s="186">
        <f t="shared" ref="T93:Y93" si="130">T347+T601</f>
        <v>87047.590189276758</v>
      </c>
      <c r="U93" s="186">
        <f t="shared" si="130"/>
        <v>55318.087725898848</v>
      </c>
      <c r="V93" s="186">
        <f t="shared" si="130"/>
        <v>41856.254606713039</v>
      </c>
      <c r="W93" s="186">
        <f t="shared" si="130"/>
        <v>46159.592435787948</v>
      </c>
      <c r="X93" s="186">
        <f t="shared" si="130"/>
        <v>31591.120380803532</v>
      </c>
      <c r="Y93" s="186">
        <f t="shared" si="130"/>
        <v>26824.812884936455</v>
      </c>
      <c r="Z93" s="186">
        <f t="shared" si="129"/>
        <v>23846.942347141998</v>
      </c>
      <c r="AA93" s="186">
        <f t="shared" si="129"/>
        <v>11667.955643882742</v>
      </c>
      <c r="AB93" s="186">
        <f t="shared" si="129"/>
        <v>32781.73816445694</v>
      </c>
      <c r="AC93" s="186">
        <f t="shared" si="129"/>
        <v>19684.361784849039</v>
      </c>
      <c r="AD93" s="186">
        <f t="shared" si="129"/>
        <v>33235.214157010996</v>
      </c>
      <c r="AE93" s="186">
        <f t="shared" si="129"/>
        <v>20981.032610689224</v>
      </c>
      <c r="AF93" s="186">
        <f t="shared" ref="AF93:AQ93" si="131">AF347+AF601</f>
        <v>87839.95147734815</v>
      </c>
      <c r="AG93" s="186">
        <f t="shared" si="131"/>
        <v>55800.677866062091</v>
      </c>
      <c r="AH93" s="186">
        <f t="shared" si="131"/>
        <v>42022.079156656626</v>
      </c>
      <c r="AI93" s="186">
        <f t="shared" si="131"/>
        <v>46499.358993104004</v>
      </c>
      <c r="AJ93" s="186">
        <f t="shared" si="131"/>
        <v>31705.652557335474</v>
      </c>
      <c r="AK93" s="186">
        <f t="shared" si="131"/>
        <v>26589.652635295206</v>
      </c>
      <c r="AL93" s="186">
        <f t="shared" si="131"/>
        <v>23649.131704256535</v>
      </c>
      <c r="AM93" s="186">
        <f t="shared" si="131"/>
        <v>11067.468773241948</v>
      </c>
      <c r="AN93" s="186">
        <f t="shared" si="131"/>
        <v>32619.665420373047</v>
      </c>
      <c r="AO93" s="186">
        <f t="shared" si="131"/>
        <v>19676.081856873861</v>
      </c>
      <c r="AP93" s="186">
        <f t="shared" si="131"/>
        <v>33359.54258282615</v>
      </c>
      <c r="AQ93" s="186">
        <f t="shared" si="131"/>
        <v>20571.411699648655</v>
      </c>
      <c r="AR93" s="186">
        <f>SUM(G93:R93)</f>
        <v>472098.05</v>
      </c>
      <c r="AS93" s="186">
        <f>SUM(T93:AE93)</f>
        <v>430994.70293144754</v>
      </c>
      <c r="AT93" s="186">
        <f>SUM(AF93:AQ93)</f>
        <v>431400.6747230218</v>
      </c>
      <c r="AU93" s="171"/>
      <c r="AV93" s="171"/>
    </row>
    <row r="94" spans="1:48">
      <c r="B94" s="250">
        <v>703</v>
      </c>
      <c r="C94" s="212"/>
      <c r="D94" s="102"/>
      <c r="E94" s="102" t="s">
        <v>24</v>
      </c>
      <c r="F94" s="102"/>
      <c r="G94" s="186">
        <f t="shared" si="129"/>
        <v>7665.83</v>
      </c>
      <c r="H94" s="186">
        <f t="shared" si="129"/>
        <v>7765.77</v>
      </c>
      <c r="I94" s="186">
        <f t="shared" si="129"/>
        <v>9778.76</v>
      </c>
      <c r="J94" s="186">
        <f t="shared" si="129"/>
        <v>6610.8799999999992</v>
      </c>
      <c r="K94" s="186">
        <f t="shared" si="129"/>
        <v>5103.93</v>
      </c>
      <c r="L94" s="186">
        <f t="shared" si="129"/>
        <v>4482.33</v>
      </c>
      <c r="M94" s="186">
        <f t="shared" si="129"/>
        <v>4711.1500000000005</v>
      </c>
      <c r="N94" s="186">
        <f t="shared" si="129"/>
        <v>1566.4499999999998</v>
      </c>
      <c r="O94" s="186">
        <f t="shared" si="129"/>
        <v>5525.71</v>
      </c>
      <c r="P94" s="186">
        <f t="shared" si="129"/>
        <v>5352.4</v>
      </c>
      <c r="Q94" s="186">
        <f t="shared" si="129"/>
        <v>7291.18</v>
      </c>
      <c r="R94" s="186">
        <f t="shared" si="129"/>
        <v>6733.05</v>
      </c>
      <c r="S94" s="186"/>
      <c r="T94" s="186">
        <f t="shared" ref="T94:Y94" si="132">T348+T602</f>
        <v>7481.4829571781429</v>
      </c>
      <c r="U94" s="186">
        <f t="shared" si="132"/>
        <v>7412.0079433025467</v>
      </c>
      <c r="V94" s="186">
        <f t="shared" si="132"/>
        <v>9574.9992230025546</v>
      </c>
      <c r="W94" s="186">
        <f t="shared" si="132"/>
        <v>6390.7645808729876</v>
      </c>
      <c r="X94" s="186">
        <f t="shared" si="132"/>
        <v>4962.3844818659718</v>
      </c>
      <c r="Y94" s="186">
        <f t="shared" si="132"/>
        <v>4367.8186160761406</v>
      </c>
      <c r="Z94" s="186">
        <f t="shared" si="129"/>
        <v>4522.8059683947067</v>
      </c>
      <c r="AA94" s="186">
        <f t="shared" si="129"/>
        <v>1273.7802759359465</v>
      </c>
      <c r="AB94" s="186">
        <f t="shared" si="129"/>
        <v>5096.1744714349261</v>
      </c>
      <c r="AC94" s="186">
        <f t="shared" si="129"/>
        <v>5138.5213140496971</v>
      </c>
      <c r="AD94" s="186">
        <f t="shared" si="129"/>
        <v>7018.2586691194429</v>
      </c>
      <c r="AE94" s="186">
        <f t="shared" si="129"/>
        <v>6397.5626319663661</v>
      </c>
      <c r="AF94" s="186">
        <f t="shared" ref="AF94:AQ94" si="133">AF348+AF602</f>
        <v>7568.3899328833932</v>
      </c>
      <c r="AG94" s="186">
        <f t="shared" si="133"/>
        <v>7472.2812924491918</v>
      </c>
      <c r="AH94" s="186">
        <f t="shared" si="133"/>
        <v>9691.0803962870232</v>
      </c>
      <c r="AI94" s="186">
        <f t="shared" si="133"/>
        <v>6455.547172588258</v>
      </c>
      <c r="AJ94" s="186">
        <f t="shared" si="133"/>
        <v>5017.1206454997327</v>
      </c>
      <c r="AK94" s="186">
        <f t="shared" si="133"/>
        <v>4417.5171046602782</v>
      </c>
      <c r="AL94" s="186">
        <f t="shared" si="133"/>
        <v>4563.7383206856057</v>
      </c>
      <c r="AM94" s="186">
        <f t="shared" si="133"/>
        <v>1249.1438253271922</v>
      </c>
      <c r="AN94" s="186">
        <f t="shared" si="133"/>
        <v>5109.4986666582654</v>
      </c>
      <c r="AO94" s="186">
        <f t="shared" si="133"/>
        <v>5185.0419717485865</v>
      </c>
      <c r="AP94" s="186">
        <f t="shared" si="133"/>
        <v>7084.694397498647</v>
      </c>
      <c r="AQ94" s="186">
        <f t="shared" si="133"/>
        <v>6445.037461619705</v>
      </c>
      <c r="AR94" s="186">
        <f>SUM(G94:R94)</f>
        <v>72587.44</v>
      </c>
      <c r="AS94" s="186">
        <f>SUM(T94:AE94)</f>
        <v>69636.56113319943</v>
      </c>
      <c r="AT94" s="186">
        <f>SUM(AF94:AQ94)</f>
        <v>70259.091187905869</v>
      </c>
      <c r="AU94" s="171"/>
      <c r="AV94" s="171"/>
    </row>
    <row r="95" spans="1:48">
      <c r="A95" s="15" t="s">
        <v>1016</v>
      </c>
      <c r="B95" s="250">
        <v>704</v>
      </c>
      <c r="C95" s="212"/>
      <c r="D95" s="102"/>
      <c r="E95" s="102" t="s">
        <v>170</v>
      </c>
      <c r="F95" s="102"/>
      <c r="G95" s="131">
        <f t="shared" ref="G95:AE95" si="134">SUM(G93:G94)</f>
        <v>98308.12999999999</v>
      </c>
      <c r="H95" s="131">
        <f t="shared" si="134"/>
        <v>65507.08</v>
      </c>
      <c r="I95" s="131">
        <f t="shared" si="134"/>
        <v>54789.27</v>
      </c>
      <c r="J95" s="131">
        <f t="shared" si="134"/>
        <v>55209.450000000004</v>
      </c>
      <c r="K95" s="131">
        <f t="shared" si="134"/>
        <v>39146.130000000005</v>
      </c>
      <c r="L95" s="131">
        <f t="shared" si="134"/>
        <v>35590.979999999996</v>
      </c>
      <c r="M95" s="131">
        <f t="shared" si="134"/>
        <v>32291.87</v>
      </c>
      <c r="N95" s="131">
        <f t="shared" si="134"/>
        <v>18398.810000000001</v>
      </c>
      <c r="O95" s="131">
        <f t="shared" si="134"/>
        <v>42712.290000000008</v>
      </c>
      <c r="P95" s="131">
        <f t="shared" si="134"/>
        <v>27091.75</v>
      </c>
      <c r="Q95" s="131">
        <f t="shared" si="134"/>
        <v>43079.62</v>
      </c>
      <c r="R95" s="131">
        <f t="shared" si="134"/>
        <v>32560.110000000004</v>
      </c>
      <c r="S95" s="620"/>
      <c r="T95" s="131">
        <f t="shared" ref="T95:Y95" si="135">SUM(T93:T94)</f>
        <v>94529.073146454903</v>
      </c>
      <c r="U95" s="131">
        <f t="shared" si="135"/>
        <v>62730.095669201393</v>
      </c>
      <c r="V95" s="131">
        <f t="shared" si="135"/>
        <v>51431.253829715592</v>
      </c>
      <c r="W95" s="131">
        <f t="shared" si="135"/>
        <v>52550.357016660935</v>
      </c>
      <c r="X95" s="131">
        <f t="shared" si="135"/>
        <v>36553.504862669506</v>
      </c>
      <c r="Y95" s="131">
        <f t="shared" si="135"/>
        <v>31192.631501012595</v>
      </c>
      <c r="Z95" s="131">
        <f t="shared" si="134"/>
        <v>28369.748315536704</v>
      </c>
      <c r="AA95" s="131">
        <f t="shared" si="134"/>
        <v>12941.73591981869</v>
      </c>
      <c r="AB95" s="131">
        <f t="shared" si="134"/>
        <v>37877.912635891866</v>
      </c>
      <c r="AC95" s="131">
        <f t="shared" si="134"/>
        <v>24822.883098898736</v>
      </c>
      <c r="AD95" s="131">
        <f t="shared" si="134"/>
        <v>40253.472826130441</v>
      </c>
      <c r="AE95" s="131">
        <f t="shared" si="134"/>
        <v>27378.595242655589</v>
      </c>
      <c r="AF95" s="131">
        <f t="shared" ref="AF95:AQ95" si="136">SUM(AF93:AF94)</f>
        <v>95408.341410231544</v>
      </c>
      <c r="AG95" s="131">
        <f t="shared" si="136"/>
        <v>63272.959158511279</v>
      </c>
      <c r="AH95" s="131">
        <f t="shared" si="136"/>
        <v>51713.159552943645</v>
      </c>
      <c r="AI95" s="131">
        <f t="shared" si="136"/>
        <v>52954.906165692264</v>
      </c>
      <c r="AJ95" s="131">
        <f t="shared" si="136"/>
        <v>36722.773202835204</v>
      </c>
      <c r="AK95" s="131">
        <f t="shared" si="136"/>
        <v>31007.169739955483</v>
      </c>
      <c r="AL95" s="131">
        <f t="shared" si="136"/>
        <v>28212.870024942142</v>
      </c>
      <c r="AM95" s="131">
        <f t="shared" si="136"/>
        <v>12316.61259856914</v>
      </c>
      <c r="AN95" s="131">
        <f t="shared" si="136"/>
        <v>37729.164087031313</v>
      </c>
      <c r="AO95" s="131">
        <f t="shared" si="136"/>
        <v>24861.123828622447</v>
      </c>
      <c r="AP95" s="131">
        <f t="shared" si="136"/>
        <v>40444.2369803248</v>
      </c>
      <c r="AQ95" s="131">
        <f t="shared" si="136"/>
        <v>27016.44916126836</v>
      </c>
      <c r="AR95" s="131">
        <f>SUM(G95:R95)</f>
        <v>544685.49</v>
      </c>
      <c r="AS95" s="131">
        <f>SUM(T95:AE95)</f>
        <v>500631.26406464702</v>
      </c>
      <c r="AT95" s="131">
        <f>SUM(AF95:AQ95)</f>
        <v>501659.76591092761</v>
      </c>
      <c r="AU95" s="621"/>
      <c r="AV95" s="621"/>
    </row>
    <row r="96" spans="1:48">
      <c r="B96" s="250">
        <v>705</v>
      </c>
      <c r="C96" s="212"/>
      <c r="D96" s="102"/>
      <c r="E96" s="102"/>
      <c r="F96" s="102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71"/>
      <c r="AV96" s="171"/>
    </row>
    <row r="97" spans="1:48">
      <c r="B97" s="250">
        <v>706</v>
      </c>
      <c r="C97" s="212">
        <v>893</v>
      </c>
      <c r="D97" s="102" t="s">
        <v>395</v>
      </c>
      <c r="E97" s="102"/>
      <c r="F97" s="102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71"/>
      <c r="AV97" s="171"/>
    </row>
    <row r="98" spans="1:48">
      <c r="B98" s="250">
        <v>707</v>
      </c>
      <c r="C98" s="212"/>
      <c r="D98" s="102"/>
      <c r="E98" s="102" t="s">
        <v>14</v>
      </c>
      <c r="F98" s="102"/>
      <c r="G98" s="186">
        <f t="shared" ref="G98:AE99" si="137">G352+G606</f>
        <v>68386.78</v>
      </c>
      <c r="H98" s="186">
        <f t="shared" si="137"/>
        <v>58122.149999999994</v>
      </c>
      <c r="I98" s="186">
        <f t="shared" si="137"/>
        <v>49703.39</v>
      </c>
      <c r="J98" s="186">
        <f t="shared" si="137"/>
        <v>41041.880000000005</v>
      </c>
      <c r="K98" s="186">
        <f t="shared" si="137"/>
        <v>43761.320000000007</v>
      </c>
      <c r="L98" s="186">
        <f t="shared" si="137"/>
        <v>46934.14</v>
      </c>
      <c r="M98" s="186">
        <f t="shared" si="137"/>
        <v>33483.72</v>
      </c>
      <c r="N98" s="186">
        <f t="shared" si="137"/>
        <v>43729.84</v>
      </c>
      <c r="O98" s="186">
        <f t="shared" si="137"/>
        <v>47669.950000000004</v>
      </c>
      <c r="P98" s="186">
        <f t="shared" si="137"/>
        <v>31524.54</v>
      </c>
      <c r="Q98" s="186">
        <f t="shared" si="137"/>
        <v>50754.11</v>
      </c>
      <c r="R98" s="186">
        <f t="shared" si="137"/>
        <v>54603.199999999997</v>
      </c>
      <c r="S98" s="186"/>
      <c r="T98" s="186">
        <f t="shared" ref="T98:Y98" si="138">T352+T606</f>
        <v>65990.066337018434</v>
      </c>
      <c r="U98" s="186">
        <f t="shared" si="138"/>
        <v>56264.631424610096</v>
      </c>
      <c r="V98" s="186">
        <f t="shared" si="138"/>
        <v>47947.67515457292</v>
      </c>
      <c r="W98" s="186">
        <f t="shared" si="138"/>
        <v>39745.908932993014</v>
      </c>
      <c r="X98" s="186">
        <f t="shared" si="138"/>
        <v>42253.188184421539</v>
      </c>
      <c r="Y98" s="186">
        <f t="shared" si="138"/>
        <v>45120.964813177845</v>
      </c>
      <c r="Z98" s="186">
        <f t="shared" si="137"/>
        <v>32206.062011593294</v>
      </c>
      <c r="AA98" s="186">
        <f t="shared" si="137"/>
        <v>41748.439029470079</v>
      </c>
      <c r="AB98" s="186">
        <f t="shared" si="137"/>
        <v>45726.598776715167</v>
      </c>
      <c r="AC98" s="186">
        <f t="shared" si="137"/>
        <v>31165.161734777059</v>
      </c>
      <c r="AD98" s="186">
        <f t="shared" si="137"/>
        <v>49220.515795591506</v>
      </c>
      <c r="AE98" s="186">
        <f t="shared" si="137"/>
        <v>52459.506493847104</v>
      </c>
      <c r="AF98" s="186">
        <f t="shared" ref="AF98:AQ98" si="139">AF352+AF606</f>
        <v>66439.115582371334</v>
      </c>
      <c r="AG98" s="186">
        <f t="shared" si="139"/>
        <v>56652.828821943236</v>
      </c>
      <c r="AH98" s="186">
        <f t="shared" si="139"/>
        <v>48273.540190401138</v>
      </c>
      <c r="AI98" s="186">
        <f t="shared" si="139"/>
        <v>40020.599599582718</v>
      </c>
      <c r="AJ98" s="186">
        <f t="shared" si="139"/>
        <v>42541.471158814296</v>
      </c>
      <c r="AK98" s="186">
        <f t="shared" si="139"/>
        <v>45423.007389330407</v>
      </c>
      <c r="AL98" s="186">
        <f t="shared" si="139"/>
        <v>32422.125109718338</v>
      </c>
      <c r="AM98" s="186">
        <f t="shared" si="139"/>
        <v>42019.203854543084</v>
      </c>
      <c r="AN98" s="186">
        <f t="shared" si="139"/>
        <v>46029.663427141357</v>
      </c>
      <c r="AO98" s="186">
        <f t="shared" si="139"/>
        <v>31399.365628323889</v>
      </c>
      <c r="AP98" s="186">
        <f t="shared" si="139"/>
        <v>49562.729950716508</v>
      </c>
      <c r="AQ98" s="186">
        <f t="shared" si="139"/>
        <v>52809.653262794949</v>
      </c>
      <c r="AR98" s="186">
        <f>SUM(G98:R98)</f>
        <v>569715.0199999999</v>
      </c>
      <c r="AS98" s="186">
        <f>SUM(T98:AE98)</f>
        <v>549848.71868878801</v>
      </c>
      <c r="AT98" s="186">
        <f>SUM(AF98:AQ98)</f>
        <v>553593.30397568131</v>
      </c>
      <c r="AU98" s="171"/>
      <c r="AV98" s="171"/>
    </row>
    <row r="99" spans="1:48">
      <c r="B99" s="250">
        <v>708</v>
      </c>
      <c r="C99" s="212"/>
      <c r="D99" s="102"/>
      <c r="E99" s="102" t="s">
        <v>24</v>
      </c>
      <c r="F99" s="102"/>
      <c r="G99" s="186">
        <f t="shared" si="137"/>
        <v>394.5</v>
      </c>
      <c r="H99" s="186">
        <f t="shared" si="137"/>
        <v>214.61</v>
      </c>
      <c r="I99" s="186">
        <f t="shared" si="137"/>
        <v>200.64000000000001</v>
      </c>
      <c r="J99" s="186">
        <f t="shared" si="137"/>
        <v>-30.38</v>
      </c>
      <c r="K99" s="186">
        <f t="shared" si="137"/>
        <v>229.41</v>
      </c>
      <c r="L99" s="186">
        <f t="shared" si="137"/>
        <v>349.87</v>
      </c>
      <c r="M99" s="186">
        <f t="shared" si="137"/>
        <v>-1.1100000000000001</v>
      </c>
      <c r="N99" s="186">
        <f t="shared" si="137"/>
        <v>291.72000000000003</v>
      </c>
      <c r="O99" s="186">
        <f t="shared" si="137"/>
        <v>301.61</v>
      </c>
      <c r="P99" s="186">
        <f t="shared" si="137"/>
        <v>-98.78</v>
      </c>
      <c r="Q99" s="186">
        <f t="shared" si="137"/>
        <v>342.77</v>
      </c>
      <c r="R99" s="186">
        <f t="shared" si="137"/>
        <v>-228.88</v>
      </c>
      <c r="S99" s="186"/>
      <c r="T99" s="186">
        <f t="shared" ref="T99:Y99" si="140">T353+T607</f>
        <v>411.06900000000002</v>
      </c>
      <c r="U99" s="186">
        <f t="shared" si="140"/>
        <v>223.62362000000002</v>
      </c>
      <c r="V99" s="186">
        <f t="shared" si="140"/>
        <v>209.06688000000003</v>
      </c>
      <c r="W99" s="186">
        <f t="shared" si="140"/>
        <v>-31.65596</v>
      </c>
      <c r="X99" s="186">
        <f t="shared" si="140"/>
        <v>239.04522</v>
      </c>
      <c r="Y99" s="186">
        <f t="shared" si="140"/>
        <v>364.56454000000002</v>
      </c>
      <c r="Z99" s="186">
        <f t="shared" si="137"/>
        <v>-1.1566200000000002</v>
      </c>
      <c r="AA99" s="186">
        <f t="shared" si="137"/>
        <v>303.97224000000006</v>
      </c>
      <c r="AB99" s="186">
        <f t="shared" si="137"/>
        <v>314.27762000000001</v>
      </c>
      <c r="AC99" s="186">
        <f t="shared" si="137"/>
        <v>-102.92876000000001</v>
      </c>
      <c r="AD99" s="186">
        <f t="shared" si="137"/>
        <v>357.16633999999999</v>
      </c>
      <c r="AE99" s="186">
        <f t="shared" si="137"/>
        <v>-238.49296000000001</v>
      </c>
      <c r="AF99" s="186">
        <f t="shared" ref="AF99:AQ99" si="141">AF353+AF607</f>
        <v>414.768621</v>
      </c>
      <c r="AG99" s="186">
        <f t="shared" si="141"/>
        <v>225.63623257999998</v>
      </c>
      <c r="AH99" s="186">
        <f t="shared" si="141"/>
        <v>210.94848192000001</v>
      </c>
      <c r="AI99" s="186">
        <f t="shared" si="141"/>
        <v>-31.940863639999996</v>
      </c>
      <c r="AJ99" s="186">
        <f t="shared" si="141"/>
        <v>241.19662697999996</v>
      </c>
      <c r="AK99" s="186">
        <f t="shared" si="141"/>
        <v>367.84562086</v>
      </c>
      <c r="AL99" s="186">
        <f t="shared" si="141"/>
        <v>-1.1670295800000001</v>
      </c>
      <c r="AM99" s="186">
        <f t="shared" si="141"/>
        <v>306.70799016000001</v>
      </c>
      <c r="AN99" s="186">
        <f t="shared" si="141"/>
        <v>317.10611857999999</v>
      </c>
      <c r="AO99" s="186">
        <f t="shared" si="141"/>
        <v>-103.85511884</v>
      </c>
      <c r="AP99" s="186">
        <f t="shared" si="141"/>
        <v>360.38083705999998</v>
      </c>
      <c r="AQ99" s="186">
        <f t="shared" si="141"/>
        <v>-240.63939663999997</v>
      </c>
      <c r="AR99" s="186">
        <f>SUM(G99:R99)</f>
        <v>1965.9800000000005</v>
      </c>
      <c r="AS99" s="186">
        <f>SUM(T99:AE99)</f>
        <v>2048.5511600000004</v>
      </c>
      <c r="AT99" s="186">
        <f>SUM(AF99:AQ99)</f>
        <v>2066.9881204399999</v>
      </c>
      <c r="AU99" s="171"/>
      <c r="AV99" s="171"/>
    </row>
    <row r="100" spans="1:48">
      <c r="A100" s="15" t="s">
        <v>1017</v>
      </c>
      <c r="B100" s="250">
        <v>709</v>
      </c>
      <c r="C100" s="212"/>
      <c r="D100" s="102"/>
      <c r="E100" s="102" t="s">
        <v>170</v>
      </c>
      <c r="F100" s="102"/>
      <c r="G100" s="131">
        <f t="shared" ref="G100:AE100" si="142">SUM(G98:G99)</f>
        <v>68781.279999999999</v>
      </c>
      <c r="H100" s="131">
        <f t="shared" si="142"/>
        <v>58336.759999999995</v>
      </c>
      <c r="I100" s="131">
        <f t="shared" si="142"/>
        <v>49904.03</v>
      </c>
      <c r="J100" s="131">
        <f t="shared" si="142"/>
        <v>41011.500000000007</v>
      </c>
      <c r="K100" s="131">
        <f t="shared" si="142"/>
        <v>43990.73000000001</v>
      </c>
      <c r="L100" s="131">
        <f t="shared" si="142"/>
        <v>47284.01</v>
      </c>
      <c r="M100" s="131">
        <f t="shared" si="142"/>
        <v>33482.61</v>
      </c>
      <c r="N100" s="131">
        <f t="shared" si="142"/>
        <v>44021.56</v>
      </c>
      <c r="O100" s="131">
        <f t="shared" si="142"/>
        <v>47971.560000000005</v>
      </c>
      <c r="P100" s="131">
        <f t="shared" si="142"/>
        <v>31425.760000000002</v>
      </c>
      <c r="Q100" s="131">
        <f t="shared" si="142"/>
        <v>51096.88</v>
      </c>
      <c r="R100" s="131">
        <f t="shared" si="142"/>
        <v>54374.32</v>
      </c>
      <c r="S100" s="620"/>
      <c r="T100" s="131">
        <f t="shared" ref="T100:Y100" si="143">SUM(T98:T99)</f>
        <v>66401.135337018437</v>
      </c>
      <c r="U100" s="131">
        <f t="shared" si="143"/>
        <v>56488.255044610094</v>
      </c>
      <c r="V100" s="131">
        <f t="shared" si="143"/>
        <v>48156.742034572919</v>
      </c>
      <c r="W100" s="131">
        <f t="shared" si="143"/>
        <v>39714.252972993017</v>
      </c>
      <c r="X100" s="131">
        <f t="shared" si="143"/>
        <v>42492.233404421539</v>
      </c>
      <c r="Y100" s="131">
        <f t="shared" si="143"/>
        <v>45485.529353177844</v>
      </c>
      <c r="Z100" s="131">
        <f t="shared" si="142"/>
        <v>32204.905391593293</v>
      </c>
      <c r="AA100" s="131">
        <f t="shared" si="142"/>
        <v>42052.411269470082</v>
      </c>
      <c r="AB100" s="131">
        <f t="shared" si="142"/>
        <v>46040.876396715168</v>
      </c>
      <c r="AC100" s="131">
        <f t="shared" si="142"/>
        <v>31062.23297477706</v>
      </c>
      <c r="AD100" s="131">
        <f t="shared" si="142"/>
        <v>49577.682135591509</v>
      </c>
      <c r="AE100" s="131">
        <f t="shared" si="142"/>
        <v>52221.013533847101</v>
      </c>
      <c r="AF100" s="131">
        <f t="shared" ref="AF100:AQ100" si="144">SUM(AF98:AF99)</f>
        <v>66853.88420337133</v>
      </c>
      <c r="AG100" s="131">
        <f t="shared" si="144"/>
        <v>56878.465054523236</v>
      </c>
      <c r="AH100" s="131">
        <f t="shared" si="144"/>
        <v>48484.488672321138</v>
      </c>
      <c r="AI100" s="131">
        <f t="shared" si="144"/>
        <v>39988.658735942721</v>
      </c>
      <c r="AJ100" s="131">
        <f t="shared" si="144"/>
        <v>42782.6677857943</v>
      </c>
      <c r="AK100" s="131">
        <f t="shared" si="144"/>
        <v>45790.853010190403</v>
      </c>
      <c r="AL100" s="131">
        <f t="shared" si="144"/>
        <v>32420.958080138338</v>
      </c>
      <c r="AM100" s="131">
        <f t="shared" si="144"/>
        <v>42325.911844703085</v>
      </c>
      <c r="AN100" s="131">
        <f t="shared" si="144"/>
        <v>46346.769545721356</v>
      </c>
      <c r="AO100" s="131">
        <f t="shared" si="144"/>
        <v>31295.510509483887</v>
      </c>
      <c r="AP100" s="131">
        <f t="shared" si="144"/>
        <v>49923.11078777651</v>
      </c>
      <c r="AQ100" s="131">
        <f t="shared" si="144"/>
        <v>52569.01386615495</v>
      </c>
      <c r="AR100" s="131">
        <f>SUM(G100:R100)</f>
        <v>571681</v>
      </c>
      <c r="AS100" s="131">
        <f>SUM(T100:AE100)</f>
        <v>551897.26984878804</v>
      </c>
      <c r="AT100" s="131">
        <f>SUM(AF100:AQ100)</f>
        <v>555660.29209612124</v>
      </c>
      <c r="AU100" s="621"/>
      <c r="AV100" s="621"/>
    </row>
    <row r="101" spans="1:48">
      <c r="B101" s="250">
        <v>710</v>
      </c>
      <c r="C101" s="212"/>
      <c r="D101" s="102"/>
      <c r="E101" s="102"/>
      <c r="F101" s="102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71"/>
      <c r="AV101" s="171"/>
    </row>
    <row r="102" spans="1:48">
      <c r="B102" s="250">
        <v>711</v>
      </c>
      <c r="C102" s="212">
        <v>8941</v>
      </c>
      <c r="D102" s="102" t="s">
        <v>397</v>
      </c>
      <c r="E102" s="102"/>
      <c r="F102" s="102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71"/>
      <c r="AV102" s="171"/>
    </row>
    <row r="103" spans="1:48">
      <c r="B103" s="250">
        <v>712</v>
      </c>
      <c r="C103" s="212"/>
      <c r="D103" s="102"/>
      <c r="E103" s="102" t="s">
        <v>14</v>
      </c>
      <c r="F103" s="102"/>
      <c r="G103" s="186">
        <f t="shared" ref="G103:AE104" si="145">G357+G611</f>
        <v>0</v>
      </c>
      <c r="H103" s="186">
        <f t="shared" si="145"/>
        <v>0</v>
      </c>
      <c r="I103" s="186">
        <f t="shared" si="145"/>
        <v>0</v>
      </c>
      <c r="J103" s="186">
        <f t="shared" si="145"/>
        <v>0</v>
      </c>
      <c r="K103" s="186">
        <f t="shared" si="145"/>
        <v>0</v>
      </c>
      <c r="L103" s="186">
        <f t="shared" si="145"/>
        <v>0</v>
      </c>
      <c r="M103" s="186">
        <f t="shared" si="145"/>
        <v>0</v>
      </c>
      <c r="N103" s="186">
        <f t="shared" si="145"/>
        <v>0</v>
      </c>
      <c r="O103" s="186">
        <f t="shared" si="145"/>
        <v>0</v>
      </c>
      <c r="P103" s="186">
        <f t="shared" si="145"/>
        <v>0</v>
      </c>
      <c r="Q103" s="186">
        <f t="shared" si="145"/>
        <v>0</v>
      </c>
      <c r="R103" s="186">
        <f t="shared" si="145"/>
        <v>0</v>
      </c>
      <c r="S103" s="186"/>
      <c r="T103" s="186">
        <f t="shared" ref="T103:Y103" si="146">T357+T611</f>
        <v>0</v>
      </c>
      <c r="U103" s="186">
        <f t="shared" si="146"/>
        <v>0</v>
      </c>
      <c r="V103" s="186">
        <f t="shared" si="146"/>
        <v>0</v>
      </c>
      <c r="W103" s="186">
        <f t="shared" si="146"/>
        <v>0</v>
      </c>
      <c r="X103" s="186">
        <f t="shared" si="146"/>
        <v>0</v>
      </c>
      <c r="Y103" s="186">
        <f t="shared" si="146"/>
        <v>0</v>
      </c>
      <c r="Z103" s="186">
        <f t="shared" si="145"/>
        <v>0</v>
      </c>
      <c r="AA103" s="186">
        <f t="shared" si="145"/>
        <v>0</v>
      </c>
      <c r="AB103" s="186">
        <f t="shared" si="145"/>
        <v>0</v>
      </c>
      <c r="AC103" s="186">
        <f t="shared" si="145"/>
        <v>0</v>
      </c>
      <c r="AD103" s="186">
        <f t="shared" si="145"/>
        <v>0</v>
      </c>
      <c r="AE103" s="186">
        <f t="shared" si="145"/>
        <v>0</v>
      </c>
      <c r="AF103" s="186">
        <f t="shared" ref="AF103:AQ103" si="147">AF357+AF611</f>
        <v>0</v>
      </c>
      <c r="AG103" s="186">
        <f t="shared" si="147"/>
        <v>0</v>
      </c>
      <c r="AH103" s="186">
        <f t="shared" si="147"/>
        <v>0</v>
      </c>
      <c r="AI103" s="186">
        <f t="shared" si="147"/>
        <v>0</v>
      </c>
      <c r="AJ103" s="186">
        <f t="shared" si="147"/>
        <v>0</v>
      </c>
      <c r="AK103" s="186">
        <f t="shared" si="147"/>
        <v>0</v>
      </c>
      <c r="AL103" s="186">
        <f t="shared" si="147"/>
        <v>0</v>
      </c>
      <c r="AM103" s="186">
        <f t="shared" si="147"/>
        <v>0</v>
      </c>
      <c r="AN103" s="186">
        <f t="shared" si="147"/>
        <v>0</v>
      </c>
      <c r="AO103" s="186">
        <f t="shared" si="147"/>
        <v>0</v>
      </c>
      <c r="AP103" s="186">
        <f t="shared" si="147"/>
        <v>0</v>
      </c>
      <c r="AQ103" s="186">
        <f t="shared" si="147"/>
        <v>0</v>
      </c>
      <c r="AR103" s="186">
        <f>SUM(G103:R103)</f>
        <v>0</v>
      </c>
      <c r="AS103" s="186">
        <f>SUM(T103:AE103)</f>
        <v>0</v>
      </c>
      <c r="AT103" s="186">
        <f>SUM(AF103:AQ103)</f>
        <v>0</v>
      </c>
      <c r="AU103" s="171"/>
      <c r="AV103" s="171"/>
    </row>
    <row r="104" spans="1:48">
      <c r="B104" s="250">
        <v>713</v>
      </c>
      <c r="C104" s="212"/>
      <c r="D104" s="102"/>
      <c r="E104" s="102" t="s">
        <v>24</v>
      </c>
      <c r="F104" s="102"/>
      <c r="G104" s="186">
        <f t="shared" si="145"/>
        <v>0</v>
      </c>
      <c r="H104" s="186">
        <f t="shared" si="145"/>
        <v>0</v>
      </c>
      <c r="I104" s="186">
        <f t="shared" si="145"/>
        <v>0</v>
      </c>
      <c r="J104" s="186">
        <f t="shared" si="145"/>
        <v>0</v>
      </c>
      <c r="K104" s="186">
        <f t="shared" si="145"/>
        <v>0</v>
      </c>
      <c r="L104" s="186">
        <f t="shared" si="145"/>
        <v>0</v>
      </c>
      <c r="M104" s="186">
        <f t="shared" si="145"/>
        <v>0</v>
      </c>
      <c r="N104" s="186">
        <f t="shared" si="145"/>
        <v>0</v>
      </c>
      <c r="O104" s="186">
        <f t="shared" si="145"/>
        <v>0</v>
      </c>
      <c r="P104" s="186">
        <f t="shared" si="145"/>
        <v>0</v>
      </c>
      <c r="Q104" s="186">
        <f t="shared" si="145"/>
        <v>0</v>
      </c>
      <c r="R104" s="186">
        <f t="shared" si="145"/>
        <v>0</v>
      </c>
      <c r="S104" s="186"/>
      <c r="T104" s="186">
        <f t="shared" ref="T104:Y104" si="148">T358+T612</f>
        <v>0</v>
      </c>
      <c r="U104" s="186">
        <f t="shared" si="148"/>
        <v>0</v>
      </c>
      <c r="V104" s="186">
        <f t="shared" si="148"/>
        <v>0</v>
      </c>
      <c r="W104" s="186">
        <f t="shared" si="148"/>
        <v>0</v>
      </c>
      <c r="X104" s="186">
        <f t="shared" si="148"/>
        <v>0</v>
      </c>
      <c r="Y104" s="186">
        <f t="shared" si="148"/>
        <v>0</v>
      </c>
      <c r="Z104" s="186">
        <f t="shared" si="145"/>
        <v>0</v>
      </c>
      <c r="AA104" s="186">
        <f t="shared" si="145"/>
        <v>0</v>
      </c>
      <c r="AB104" s="186">
        <f t="shared" si="145"/>
        <v>0</v>
      </c>
      <c r="AC104" s="186">
        <f t="shared" si="145"/>
        <v>0</v>
      </c>
      <c r="AD104" s="186">
        <f t="shared" si="145"/>
        <v>0</v>
      </c>
      <c r="AE104" s="186">
        <f t="shared" si="145"/>
        <v>0</v>
      </c>
      <c r="AF104" s="186">
        <f t="shared" ref="AF104:AQ104" si="149">AF358+AF612</f>
        <v>0</v>
      </c>
      <c r="AG104" s="186">
        <f t="shared" si="149"/>
        <v>0</v>
      </c>
      <c r="AH104" s="186">
        <f t="shared" si="149"/>
        <v>0</v>
      </c>
      <c r="AI104" s="186">
        <f t="shared" si="149"/>
        <v>0</v>
      </c>
      <c r="AJ104" s="186">
        <f t="shared" si="149"/>
        <v>0</v>
      </c>
      <c r="AK104" s="186">
        <f t="shared" si="149"/>
        <v>0</v>
      </c>
      <c r="AL104" s="186">
        <f t="shared" si="149"/>
        <v>0</v>
      </c>
      <c r="AM104" s="186">
        <f t="shared" si="149"/>
        <v>0</v>
      </c>
      <c r="AN104" s="186">
        <f t="shared" si="149"/>
        <v>0</v>
      </c>
      <c r="AO104" s="186">
        <f t="shared" si="149"/>
        <v>0</v>
      </c>
      <c r="AP104" s="186">
        <f t="shared" si="149"/>
        <v>0</v>
      </c>
      <c r="AQ104" s="186">
        <f t="shared" si="149"/>
        <v>0</v>
      </c>
      <c r="AR104" s="186">
        <f>SUM(G104:R104)</f>
        <v>0</v>
      </c>
      <c r="AS104" s="186">
        <f>SUM(T104:AE104)</f>
        <v>0</v>
      </c>
      <c r="AT104" s="186">
        <f>SUM(AF104:AQ104)</f>
        <v>0</v>
      </c>
      <c r="AU104" s="171"/>
      <c r="AV104" s="171"/>
    </row>
    <row r="105" spans="1:48">
      <c r="A105" s="15" t="s">
        <v>1018</v>
      </c>
      <c r="B105" s="250">
        <v>714</v>
      </c>
      <c r="C105" s="212"/>
      <c r="D105" s="102"/>
      <c r="E105" s="102" t="s">
        <v>170</v>
      </c>
      <c r="F105" s="102"/>
      <c r="G105" s="131">
        <f t="shared" ref="G105:AE105" si="150">SUM(G103:G104)</f>
        <v>0</v>
      </c>
      <c r="H105" s="131">
        <f t="shared" si="150"/>
        <v>0</v>
      </c>
      <c r="I105" s="131">
        <f t="shared" si="150"/>
        <v>0</v>
      </c>
      <c r="J105" s="131">
        <f t="shared" si="150"/>
        <v>0</v>
      </c>
      <c r="K105" s="131">
        <f t="shared" si="150"/>
        <v>0</v>
      </c>
      <c r="L105" s="131">
        <f t="shared" si="150"/>
        <v>0</v>
      </c>
      <c r="M105" s="131">
        <f t="shared" si="150"/>
        <v>0</v>
      </c>
      <c r="N105" s="131">
        <f t="shared" si="150"/>
        <v>0</v>
      </c>
      <c r="O105" s="131">
        <f t="shared" si="150"/>
        <v>0</v>
      </c>
      <c r="P105" s="131">
        <f t="shared" si="150"/>
        <v>0</v>
      </c>
      <c r="Q105" s="131">
        <f t="shared" si="150"/>
        <v>0</v>
      </c>
      <c r="R105" s="131">
        <f t="shared" si="150"/>
        <v>0</v>
      </c>
      <c r="S105" s="620"/>
      <c r="T105" s="131">
        <f t="shared" ref="T105:Y105" si="151">SUM(T103:T104)</f>
        <v>0</v>
      </c>
      <c r="U105" s="131">
        <f t="shared" si="151"/>
        <v>0</v>
      </c>
      <c r="V105" s="131">
        <f t="shared" si="151"/>
        <v>0</v>
      </c>
      <c r="W105" s="131">
        <f t="shared" si="151"/>
        <v>0</v>
      </c>
      <c r="X105" s="131">
        <f t="shared" si="151"/>
        <v>0</v>
      </c>
      <c r="Y105" s="131">
        <f t="shared" si="151"/>
        <v>0</v>
      </c>
      <c r="Z105" s="131">
        <f t="shared" si="150"/>
        <v>0</v>
      </c>
      <c r="AA105" s="131">
        <f t="shared" si="150"/>
        <v>0</v>
      </c>
      <c r="AB105" s="131">
        <f t="shared" si="150"/>
        <v>0</v>
      </c>
      <c r="AC105" s="131">
        <f t="shared" si="150"/>
        <v>0</v>
      </c>
      <c r="AD105" s="131">
        <f t="shared" si="150"/>
        <v>0</v>
      </c>
      <c r="AE105" s="131">
        <f t="shared" si="150"/>
        <v>0</v>
      </c>
      <c r="AF105" s="131">
        <f t="shared" ref="AF105:AQ105" si="152">SUM(AF103:AF104)</f>
        <v>0</v>
      </c>
      <c r="AG105" s="131">
        <f t="shared" si="152"/>
        <v>0</v>
      </c>
      <c r="AH105" s="131">
        <f t="shared" si="152"/>
        <v>0</v>
      </c>
      <c r="AI105" s="131">
        <f t="shared" si="152"/>
        <v>0</v>
      </c>
      <c r="AJ105" s="131">
        <f t="shared" si="152"/>
        <v>0</v>
      </c>
      <c r="AK105" s="131">
        <f t="shared" si="152"/>
        <v>0</v>
      </c>
      <c r="AL105" s="131">
        <f t="shared" si="152"/>
        <v>0</v>
      </c>
      <c r="AM105" s="131">
        <f t="shared" si="152"/>
        <v>0</v>
      </c>
      <c r="AN105" s="131">
        <f t="shared" si="152"/>
        <v>0</v>
      </c>
      <c r="AO105" s="131">
        <f t="shared" si="152"/>
        <v>0</v>
      </c>
      <c r="AP105" s="131">
        <f t="shared" si="152"/>
        <v>0</v>
      </c>
      <c r="AQ105" s="131">
        <f t="shared" si="152"/>
        <v>0</v>
      </c>
      <c r="AR105" s="131">
        <f>SUM(G105:R105)</f>
        <v>0</v>
      </c>
      <c r="AS105" s="131">
        <f>SUM(T105:AE105)</f>
        <v>0</v>
      </c>
      <c r="AT105" s="131">
        <f>SUM(AF105:AQ105)</f>
        <v>0</v>
      </c>
      <c r="AU105" s="621"/>
      <c r="AV105" s="621"/>
    </row>
    <row r="106" spans="1:48">
      <c r="B106" s="250">
        <v>715</v>
      </c>
      <c r="C106" s="212"/>
      <c r="D106" s="102"/>
      <c r="E106" s="102"/>
      <c r="F106" s="102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71"/>
      <c r="AV106" s="171"/>
    </row>
    <row r="107" spans="1:48">
      <c r="B107" s="250">
        <v>716</v>
      </c>
      <c r="C107" s="212">
        <v>8942</v>
      </c>
      <c r="D107" s="102" t="s">
        <v>399</v>
      </c>
      <c r="E107" s="102"/>
      <c r="F107" s="102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71"/>
      <c r="AV107" s="171"/>
    </row>
    <row r="108" spans="1:48">
      <c r="B108" s="250">
        <v>717</v>
      </c>
      <c r="C108" s="208"/>
      <c r="D108" s="102"/>
      <c r="E108" s="102" t="s">
        <v>14</v>
      </c>
      <c r="F108" s="102"/>
      <c r="G108" s="186">
        <f t="shared" ref="G108:AE109" si="153">G362+G616</f>
        <v>0</v>
      </c>
      <c r="H108" s="186">
        <f t="shared" si="153"/>
        <v>0</v>
      </c>
      <c r="I108" s="186">
        <f t="shared" si="153"/>
        <v>0</v>
      </c>
      <c r="J108" s="186">
        <f t="shared" si="153"/>
        <v>0</v>
      </c>
      <c r="K108" s="186">
        <f t="shared" si="153"/>
        <v>0</v>
      </c>
      <c r="L108" s="186">
        <f t="shared" si="153"/>
        <v>0</v>
      </c>
      <c r="M108" s="186">
        <f t="shared" si="153"/>
        <v>0</v>
      </c>
      <c r="N108" s="186">
        <f t="shared" si="153"/>
        <v>0</v>
      </c>
      <c r="O108" s="186">
        <f t="shared" si="153"/>
        <v>0</v>
      </c>
      <c r="P108" s="186">
        <f t="shared" si="153"/>
        <v>0</v>
      </c>
      <c r="Q108" s="186">
        <f t="shared" si="153"/>
        <v>0</v>
      </c>
      <c r="R108" s="186">
        <f t="shared" si="153"/>
        <v>0</v>
      </c>
      <c r="S108" s="186"/>
      <c r="T108" s="186">
        <f t="shared" ref="T108:Y108" si="154">T362+T616</f>
        <v>0</v>
      </c>
      <c r="U108" s="186">
        <f t="shared" si="154"/>
        <v>0</v>
      </c>
      <c r="V108" s="186">
        <f t="shared" si="154"/>
        <v>0</v>
      </c>
      <c r="W108" s="186">
        <f t="shared" si="154"/>
        <v>0</v>
      </c>
      <c r="X108" s="186">
        <f t="shared" si="154"/>
        <v>0</v>
      </c>
      <c r="Y108" s="186">
        <f t="shared" si="154"/>
        <v>0</v>
      </c>
      <c r="Z108" s="186">
        <f t="shared" si="153"/>
        <v>0</v>
      </c>
      <c r="AA108" s="186">
        <f t="shared" si="153"/>
        <v>0</v>
      </c>
      <c r="AB108" s="186">
        <f t="shared" si="153"/>
        <v>0</v>
      </c>
      <c r="AC108" s="186">
        <f t="shared" si="153"/>
        <v>0</v>
      </c>
      <c r="AD108" s="186">
        <f t="shared" si="153"/>
        <v>0</v>
      </c>
      <c r="AE108" s="186">
        <f t="shared" si="153"/>
        <v>0</v>
      </c>
      <c r="AF108" s="186">
        <f t="shared" ref="AF108:AQ108" si="155">AF362+AF616</f>
        <v>0</v>
      </c>
      <c r="AG108" s="186">
        <f t="shared" si="155"/>
        <v>0</v>
      </c>
      <c r="AH108" s="186">
        <f t="shared" si="155"/>
        <v>0</v>
      </c>
      <c r="AI108" s="186">
        <f t="shared" si="155"/>
        <v>0</v>
      </c>
      <c r="AJ108" s="186">
        <f t="shared" si="155"/>
        <v>0</v>
      </c>
      <c r="AK108" s="186">
        <f t="shared" si="155"/>
        <v>0</v>
      </c>
      <c r="AL108" s="186">
        <f t="shared" si="155"/>
        <v>0</v>
      </c>
      <c r="AM108" s="186">
        <f t="shared" si="155"/>
        <v>0</v>
      </c>
      <c r="AN108" s="186">
        <f t="shared" si="155"/>
        <v>0</v>
      </c>
      <c r="AO108" s="186">
        <f t="shared" si="155"/>
        <v>0</v>
      </c>
      <c r="AP108" s="186">
        <f t="shared" si="155"/>
        <v>0</v>
      </c>
      <c r="AQ108" s="186">
        <f t="shared" si="155"/>
        <v>0</v>
      </c>
      <c r="AR108" s="186">
        <f>SUM(G108:R108)</f>
        <v>0</v>
      </c>
      <c r="AS108" s="186">
        <f>SUM(T108:AE108)</f>
        <v>0</v>
      </c>
      <c r="AT108" s="186">
        <f>SUM(AF108:AQ108)</f>
        <v>0</v>
      </c>
      <c r="AU108" s="171"/>
      <c r="AV108" s="171"/>
    </row>
    <row r="109" spans="1:48">
      <c r="B109" s="250">
        <v>718</v>
      </c>
      <c r="C109" s="208"/>
      <c r="D109" s="102"/>
      <c r="E109" s="102" t="s">
        <v>24</v>
      </c>
      <c r="F109" s="102"/>
      <c r="G109" s="186">
        <f t="shared" si="153"/>
        <v>0</v>
      </c>
      <c r="H109" s="186">
        <f t="shared" si="153"/>
        <v>0</v>
      </c>
      <c r="I109" s="186">
        <f t="shared" si="153"/>
        <v>0</v>
      </c>
      <c r="J109" s="186">
        <f t="shared" si="153"/>
        <v>0</v>
      </c>
      <c r="K109" s="186">
        <f t="shared" si="153"/>
        <v>0</v>
      </c>
      <c r="L109" s="186">
        <f t="shared" si="153"/>
        <v>0</v>
      </c>
      <c r="M109" s="186">
        <f t="shared" si="153"/>
        <v>0</v>
      </c>
      <c r="N109" s="186">
        <f t="shared" si="153"/>
        <v>0</v>
      </c>
      <c r="O109" s="186">
        <f t="shared" si="153"/>
        <v>0</v>
      </c>
      <c r="P109" s="186">
        <f t="shared" si="153"/>
        <v>0</v>
      </c>
      <c r="Q109" s="186">
        <f t="shared" si="153"/>
        <v>0</v>
      </c>
      <c r="R109" s="186">
        <f t="shared" si="153"/>
        <v>0</v>
      </c>
      <c r="S109" s="186"/>
      <c r="T109" s="186">
        <f t="shared" ref="T109:Y109" si="156">T363+T617</f>
        <v>0</v>
      </c>
      <c r="U109" s="186">
        <f t="shared" si="156"/>
        <v>0</v>
      </c>
      <c r="V109" s="186">
        <f t="shared" si="156"/>
        <v>0</v>
      </c>
      <c r="W109" s="186">
        <f t="shared" si="156"/>
        <v>0</v>
      </c>
      <c r="X109" s="186">
        <f t="shared" si="156"/>
        <v>0</v>
      </c>
      <c r="Y109" s="186">
        <f t="shared" si="156"/>
        <v>0</v>
      </c>
      <c r="Z109" s="186">
        <f t="shared" si="153"/>
        <v>0</v>
      </c>
      <c r="AA109" s="186">
        <f t="shared" si="153"/>
        <v>0</v>
      </c>
      <c r="AB109" s="186">
        <f t="shared" si="153"/>
        <v>0</v>
      </c>
      <c r="AC109" s="186">
        <f t="shared" si="153"/>
        <v>0</v>
      </c>
      <c r="AD109" s="186">
        <f t="shared" si="153"/>
        <v>0</v>
      </c>
      <c r="AE109" s="186">
        <f t="shared" si="153"/>
        <v>0</v>
      </c>
      <c r="AF109" s="186">
        <f t="shared" ref="AF109:AQ109" si="157">AF363+AF617</f>
        <v>0</v>
      </c>
      <c r="AG109" s="186">
        <f t="shared" si="157"/>
        <v>0</v>
      </c>
      <c r="AH109" s="186">
        <f t="shared" si="157"/>
        <v>0</v>
      </c>
      <c r="AI109" s="186">
        <f t="shared" si="157"/>
        <v>0</v>
      </c>
      <c r="AJ109" s="186">
        <f t="shared" si="157"/>
        <v>0</v>
      </c>
      <c r="AK109" s="186">
        <f t="shared" si="157"/>
        <v>0</v>
      </c>
      <c r="AL109" s="186">
        <f t="shared" si="157"/>
        <v>0</v>
      </c>
      <c r="AM109" s="186">
        <f t="shared" si="157"/>
        <v>0</v>
      </c>
      <c r="AN109" s="186">
        <f t="shared" si="157"/>
        <v>0</v>
      </c>
      <c r="AO109" s="186">
        <f t="shared" si="157"/>
        <v>0</v>
      </c>
      <c r="AP109" s="186">
        <f t="shared" si="157"/>
        <v>0</v>
      </c>
      <c r="AQ109" s="186">
        <f t="shared" si="157"/>
        <v>0</v>
      </c>
      <c r="AR109" s="186">
        <f>SUM(G109:R109)</f>
        <v>0</v>
      </c>
      <c r="AS109" s="186">
        <f>SUM(T109:AE109)</f>
        <v>0</v>
      </c>
      <c r="AT109" s="186">
        <f>SUM(AF109:AQ109)</f>
        <v>0</v>
      </c>
      <c r="AU109" s="171"/>
      <c r="AV109" s="171"/>
    </row>
    <row r="110" spans="1:48">
      <c r="A110" s="15" t="s">
        <v>1019</v>
      </c>
      <c r="B110" s="250">
        <v>719</v>
      </c>
      <c r="C110" s="208"/>
      <c r="D110" s="102"/>
      <c r="E110" s="102" t="s">
        <v>170</v>
      </c>
      <c r="F110" s="102"/>
      <c r="G110" s="131">
        <f t="shared" ref="G110:AE110" si="158">SUM(G108:G109)</f>
        <v>0</v>
      </c>
      <c r="H110" s="131">
        <f t="shared" si="158"/>
        <v>0</v>
      </c>
      <c r="I110" s="131">
        <f t="shared" si="158"/>
        <v>0</v>
      </c>
      <c r="J110" s="131">
        <f t="shared" si="158"/>
        <v>0</v>
      </c>
      <c r="K110" s="131">
        <f t="shared" si="158"/>
        <v>0</v>
      </c>
      <c r="L110" s="131">
        <f t="shared" si="158"/>
        <v>0</v>
      </c>
      <c r="M110" s="131">
        <f t="shared" si="158"/>
        <v>0</v>
      </c>
      <c r="N110" s="131">
        <f t="shared" si="158"/>
        <v>0</v>
      </c>
      <c r="O110" s="131">
        <f t="shared" si="158"/>
        <v>0</v>
      </c>
      <c r="P110" s="131">
        <f t="shared" si="158"/>
        <v>0</v>
      </c>
      <c r="Q110" s="131">
        <f t="shared" si="158"/>
        <v>0</v>
      </c>
      <c r="R110" s="131">
        <f t="shared" si="158"/>
        <v>0</v>
      </c>
      <c r="S110" s="620"/>
      <c r="T110" s="131">
        <f t="shared" ref="T110:Y110" si="159">SUM(T108:T109)</f>
        <v>0</v>
      </c>
      <c r="U110" s="131">
        <f t="shared" si="159"/>
        <v>0</v>
      </c>
      <c r="V110" s="131">
        <f t="shared" si="159"/>
        <v>0</v>
      </c>
      <c r="W110" s="131">
        <f t="shared" si="159"/>
        <v>0</v>
      </c>
      <c r="X110" s="131">
        <f t="shared" si="159"/>
        <v>0</v>
      </c>
      <c r="Y110" s="131">
        <f t="shared" si="159"/>
        <v>0</v>
      </c>
      <c r="Z110" s="131">
        <f t="shared" si="158"/>
        <v>0</v>
      </c>
      <c r="AA110" s="131">
        <f t="shared" si="158"/>
        <v>0</v>
      </c>
      <c r="AB110" s="131">
        <f t="shared" si="158"/>
        <v>0</v>
      </c>
      <c r="AC110" s="131">
        <f t="shared" si="158"/>
        <v>0</v>
      </c>
      <c r="AD110" s="131">
        <f t="shared" si="158"/>
        <v>0</v>
      </c>
      <c r="AE110" s="131">
        <f t="shared" si="158"/>
        <v>0</v>
      </c>
      <c r="AF110" s="131">
        <f t="shared" ref="AF110:AQ110" si="160">SUM(AF108:AF109)</f>
        <v>0</v>
      </c>
      <c r="AG110" s="131">
        <f t="shared" si="160"/>
        <v>0</v>
      </c>
      <c r="AH110" s="131">
        <f t="shared" si="160"/>
        <v>0</v>
      </c>
      <c r="AI110" s="131">
        <f t="shared" si="160"/>
        <v>0</v>
      </c>
      <c r="AJ110" s="131">
        <f t="shared" si="160"/>
        <v>0</v>
      </c>
      <c r="AK110" s="131">
        <f t="shared" si="160"/>
        <v>0</v>
      </c>
      <c r="AL110" s="131">
        <f t="shared" si="160"/>
        <v>0</v>
      </c>
      <c r="AM110" s="131">
        <f t="shared" si="160"/>
        <v>0</v>
      </c>
      <c r="AN110" s="131">
        <f t="shared" si="160"/>
        <v>0</v>
      </c>
      <c r="AO110" s="131">
        <f t="shared" si="160"/>
        <v>0</v>
      </c>
      <c r="AP110" s="131">
        <f t="shared" si="160"/>
        <v>0</v>
      </c>
      <c r="AQ110" s="131">
        <f t="shared" si="160"/>
        <v>0</v>
      </c>
      <c r="AR110" s="131">
        <f>SUM(G110:R110)</f>
        <v>0</v>
      </c>
      <c r="AS110" s="131">
        <f>SUM(T110:AE110)</f>
        <v>0</v>
      </c>
      <c r="AT110" s="131">
        <f>SUM(AF110:AQ110)</f>
        <v>0</v>
      </c>
      <c r="AU110" s="621"/>
      <c r="AV110" s="621"/>
    </row>
    <row r="111" spans="1:48" ht="13.5" thickBot="1">
      <c r="B111" s="250">
        <v>720</v>
      </c>
      <c r="C111" s="208"/>
      <c r="D111" s="102"/>
      <c r="E111" s="102"/>
      <c r="F111" s="102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622"/>
      <c r="AV111" s="622"/>
    </row>
    <row r="112" spans="1:48" ht="13.5" thickTop="1">
      <c r="B112" s="250">
        <v>721</v>
      </c>
      <c r="C112" s="49" t="s">
        <v>564</v>
      </c>
      <c r="D112" s="102"/>
      <c r="E112" s="102"/>
      <c r="F112" s="102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71"/>
      <c r="AV112" s="171"/>
    </row>
    <row r="113" spans="1:48">
      <c r="B113" s="250">
        <v>722</v>
      </c>
      <c r="C113" s="208"/>
      <c r="D113" s="102" t="s">
        <v>562</v>
      </c>
      <c r="E113" s="102"/>
      <c r="F113" s="102"/>
      <c r="G113" s="116">
        <f t="shared" ref="G113:AE114" si="161">G18+G23+G28+G33+G38+G43+G48+G53+G58+G63+G68+G73+G78+G83+G88+G93+G98+G103+G108</f>
        <v>6205549.3199999994</v>
      </c>
      <c r="H113" s="116">
        <f t="shared" si="161"/>
        <v>3580995.6700000004</v>
      </c>
      <c r="I113" s="116">
        <f t="shared" si="161"/>
        <v>4411879.4399999995</v>
      </c>
      <c r="J113" s="116">
        <f t="shared" si="161"/>
        <v>4263078.17</v>
      </c>
      <c r="K113" s="116">
        <f t="shared" si="161"/>
        <v>4144515.8999999994</v>
      </c>
      <c r="L113" s="116">
        <f t="shared" si="161"/>
        <v>4429616.9899999993</v>
      </c>
      <c r="M113" s="116">
        <f t="shared" si="161"/>
        <v>3804888.6</v>
      </c>
      <c r="N113" s="116">
        <f t="shared" si="161"/>
        <v>4288063.7600000007</v>
      </c>
      <c r="O113" s="116">
        <f t="shared" si="161"/>
        <v>4126057.4600000009</v>
      </c>
      <c r="P113" s="116">
        <f t="shared" si="161"/>
        <v>4271986.0199999996</v>
      </c>
      <c r="Q113" s="116">
        <f t="shared" si="161"/>
        <v>4043267.9299999992</v>
      </c>
      <c r="R113" s="116">
        <f t="shared" si="161"/>
        <v>4720973.08</v>
      </c>
      <c r="S113" s="116"/>
      <c r="T113" s="116">
        <f t="shared" ref="T113:Y113" si="162">T18+T23+T28+T33+T38+T43+T48+T53+T58+T63+T68+T73+T78+T83+T88+T93+T98+T103+T108</f>
        <v>6035054.8771004109</v>
      </c>
      <c r="U113" s="116">
        <f t="shared" si="162"/>
        <v>3503042.9121299176</v>
      </c>
      <c r="V113" s="116">
        <f t="shared" si="162"/>
        <v>4357534.8498121696</v>
      </c>
      <c r="W113" s="116">
        <f t="shared" si="162"/>
        <v>4210026.7880865978</v>
      </c>
      <c r="X113" s="116">
        <f t="shared" si="162"/>
        <v>4086188.6477245372</v>
      </c>
      <c r="Y113" s="116">
        <f t="shared" si="162"/>
        <v>4375097.2356205108</v>
      </c>
      <c r="Z113" s="116">
        <f t="shared" si="161"/>
        <v>3754817.0922999862</v>
      </c>
      <c r="AA113" s="116">
        <f t="shared" si="161"/>
        <v>4223695.1615174832</v>
      </c>
      <c r="AB113" s="116">
        <f t="shared" si="161"/>
        <v>4072594.6603872557</v>
      </c>
      <c r="AC113" s="116">
        <f t="shared" si="161"/>
        <v>4236526.8726858636</v>
      </c>
      <c r="AD113" s="116">
        <f t="shared" si="161"/>
        <v>3977705.9360058154</v>
      </c>
      <c r="AE113" s="116">
        <f t="shared" si="161"/>
        <v>4661654.7291444782</v>
      </c>
      <c r="AF113" s="116">
        <f t="shared" ref="AF113:AQ113" si="163">AF18+AF23+AF28+AF33+AF38+AF43+AF48+AF53+AF58+AF63+AF68+AF73+AF78+AF83+AF88+AF93+AF98+AF103+AF108</f>
        <v>6101679.3795917416</v>
      </c>
      <c r="AG113" s="116">
        <f t="shared" si="163"/>
        <v>3541790.6183148683</v>
      </c>
      <c r="AH113" s="116">
        <f t="shared" si="163"/>
        <v>4413646.6618443727</v>
      </c>
      <c r="AI113" s="116">
        <f t="shared" si="163"/>
        <v>4262204.2019338245</v>
      </c>
      <c r="AJ113" s="116">
        <f t="shared" si="163"/>
        <v>4135769.1845467701</v>
      </c>
      <c r="AK113" s="116">
        <f t="shared" si="163"/>
        <v>4430414.3099630438</v>
      </c>
      <c r="AL113" s="116">
        <f t="shared" si="163"/>
        <v>3802322.9163469351</v>
      </c>
      <c r="AM113" s="116">
        <f t="shared" si="163"/>
        <v>4275809.0159398261</v>
      </c>
      <c r="AN113" s="116">
        <f t="shared" si="163"/>
        <v>4123424.3505119705</v>
      </c>
      <c r="AO113" s="116">
        <f t="shared" si="163"/>
        <v>4292795.0796160707</v>
      </c>
      <c r="AP113" s="116">
        <f t="shared" si="163"/>
        <v>4024856.6714590276</v>
      </c>
      <c r="AQ113" s="116">
        <f t="shared" si="163"/>
        <v>4721650.4599339711</v>
      </c>
      <c r="AR113" s="116">
        <f>SUM(G113:R113)</f>
        <v>52290872.339999996</v>
      </c>
      <c r="AS113" s="116">
        <f>SUM(T113:AE113)</f>
        <v>51493939.762515023</v>
      </c>
      <c r="AT113" s="116">
        <f>SUM(AF113:AQ113)</f>
        <v>52126362.850002415</v>
      </c>
      <c r="AU113" s="171"/>
      <c r="AV113" s="171"/>
    </row>
    <row r="114" spans="1:48">
      <c r="B114" s="250">
        <v>723</v>
      </c>
      <c r="C114" s="208"/>
      <c r="D114" s="102" t="s">
        <v>563</v>
      </c>
      <c r="E114" s="102"/>
      <c r="F114" s="102"/>
      <c r="G114" s="116">
        <f t="shared" si="161"/>
        <v>265772.41000000003</v>
      </c>
      <c r="H114" s="116">
        <f t="shared" si="161"/>
        <v>189622.5</v>
      </c>
      <c r="I114" s="116">
        <f t="shared" si="161"/>
        <v>223354.88000000009</v>
      </c>
      <c r="J114" s="116">
        <f t="shared" si="161"/>
        <v>241288.75999999995</v>
      </c>
      <c r="K114" s="116">
        <f t="shared" si="161"/>
        <v>216060.00999999995</v>
      </c>
      <c r="L114" s="116">
        <f t="shared" si="161"/>
        <v>205911.50999999995</v>
      </c>
      <c r="M114" s="116">
        <f t="shared" si="161"/>
        <v>187504.57</v>
      </c>
      <c r="N114" s="116">
        <f t="shared" si="161"/>
        <v>203853.08000000002</v>
      </c>
      <c r="O114" s="116">
        <f t="shared" si="161"/>
        <v>204411.33</v>
      </c>
      <c r="P114" s="116">
        <f t="shared" si="161"/>
        <v>205131.83</v>
      </c>
      <c r="Q114" s="116">
        <f t="shared" si="161"/>
        <v>229065.18999999994</v>
      </c>
      <c r="R114" s="116">
        <f t="shared" si="161"/>
        <v>287035.72000000003</v>
      </c>
      <c r="S114" s="116"/>
      <c r="T114" s="116">
        <f t="shared" ref="T114:Y114" si="164">T19+T24+T29+T34+T39+T44+T49+T54+T59+T64+T69+T74+T79+T84+T89+T94+T99+T104+T109</f>
        <v>263704.87981703691</v>
      </c>
      <c r="U114" s="116">
        <f t="shared" si="164"/>
        <v>184666.53808202807</v>
      </c>
      <c r="V114" s="116">
        <f t="shared" si="164"/>
        <v>219681.32525440279</v>
      </c>
      <c r="W114" s="116">
        <f t="shared" si="164"/>
        <v>237166.00773896556</v>
      </c>
      <c r="X114" s="116">
        <f t="shared" si="164"/>
        <v>212078.36548975084</v>
      </c>
      <c r="Y114" s="116">
        <f t="shared" si="164"/>
        <v>204115.71621407603</v>
      </c>
      <c r="Z114" s="116">
        <f t="shared" si="161"/>
        <v>184177.30084353912</v>
      </c>
      <c r="AA114" s="116">
        <f t="shared" si="161"/>
        <v>201018.01692210924</v>
      </c>
      <c r="AB114" s="116">
        <f t="shared" si="161"/>
        <v>201130.52107982969</v>
      </c>
      <c r="AC114" s="116">
        <f t="shared" si="161"/>
        <v>202558.5781809327</v>
      </c>
      <c r="AD114" s="116">
        <f t="shared" si="161"/>
        <v>223111.59393718987</v>
      </c>
      <c r="AE114" s="116">
        <f t="shared" si="161"/>
        <v>279726.70318937319</v>
      </c>
      <c r="AF114" s="116">
        <f t="shared" ref="AF114:AQ114" si="165">AF19+AF24+AF29+AF34+AF39+AF44+AF49+AF54+AF59+AF64+AF69+AF74+AF79+AF84+AF89+AF94+AF99+AF104+AF109</f>
        <v>267590.61836678087</v>
      </c>
      <c r="AG114" s="116">
        <f t="shared" si="165"/>
        <v>186752.26607640903</v>
      </c>
      <c r="AH114" s="116">
        <f t="shared" si="165"/>
        <v>222461.3278097882</v>
      </c>
      <c r="AI114" s="116">
        <f t="shared" si="165"/>
        <v>240168.07364566007</v>
      </c>
      <c r="AJ114" s="116">
        <f t="shared" si="165"/>
        <v>214565.65249161288</v>
      </c>
      <c r="AK114" s="116">
        <f t="shared" si="165"/>
        <v>206876.96419119483</v>
      </c>
      <c r="AL114" s="116">
        <f t="shared" si="165"/>
        <v>186416.30200254018</v>
      </c>
      <c r="AM114" s="116">
        <f t="shared" si="165"/>
        <v>203609.23106503012</v>
      </c>
      <c r="AN114" s="116">
        <f t="shared" si="165"/>
        <v>203653.1730707417</v>
      </c>
      <c r="AO114" s="116">
        <f t="shared" si="165"/>
        <v>205208.66587898205</v>
      </c>
      <c r="AP114" s="116">
        <f t="shared" si="165"/>
        <v>225563.16843887381</v>
      </c>
      <c r="AQ114" s="116">
        <f t="shared" si="165"/>
        <v>282855.81847728055</v>
      </c>
      <c r="AR114" s="116">
        <f>SUM(G114:R114)</f>
        <v>2659011.7900000005</v>
      </c>
      <c r="AS114" s="116">
        <f>SUM(T114:AE114)</f>
        <v>2613135.5467492337</v>
      </c>
      <c r="AT114" s="116">
        <f>SUM(AF114:AQ114)</f>
        <v>2645721.2615148942</v>
      </c>
      <c r="AU114" s="171"/>
      <c r="AV114" s="171"/>
    </row>
    <row r="115" spans="1:48" ht="13.5" thickBot="1">
      <c r="B115" s="250">
        <v>724</v>
      </c>
      <c r="C115" s="208"/>
      <c r="D115" s="102"/>
      <c r="E115" s="102"/>
      <c r="F115" s="102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623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409"/>
      <c r="AV115" s="409"/>
    </row>
    <row r="116" spans="1:48">
      <c r="B116" s="250">
        <v>725</v>
      </c>
      <c r="C116" s="208"/>
      <c r="D116" s="49" t="s">
        <v>564</v>
      </c>
      <c r="E116" s="102"/>
      <c r="F116" s="102"/>
      <c r="G116" s="116">
        <f t="shared" ref="G116:AE116" si="166">G20+G25+G30+G35+G40+G45+G50+G55+G60+G65+G70+G75+G80+G85+G90+G95+G100+G105+G110</f>
        <v>6471321.7300000004</v>
      </c>
      <c r="H116" s="116">
        <f t="shared" si="166"/>
        <v>3770618.1699999995</v>
      </c>
      <c r="I116" s="116">
        <f t="shared" si="166"/>
        <v>4635234.32</v>
      </c>
      <c r="J116" s="116">
        <f t="shared" si="166"/>
        <v>4504366.93</v>
      </c>
      <c r="K116" s="116">
        <f t="shared" si="166"/>
        <v>4360575.91</v>
      </c>
      <c r="L116" s="116">
        <f t="shared" si="166"/>
        <v>4635528.5</v>
      </c>
      <c r="M116" s="116">
        <f t="shared" si="166"/>
        <v>3992393.1700000004</v>
      </c>
      <c r="N116" s="116">
        <f t="shared" si="166"/>
        <v>4491916.8400000008</v>
      </c>
      <c r="O116" s="116">
        <f t="shared" si="166"/>
        <v>4330468.79</v>
      </c>
      <c r="P116" s="116">
        <f t="shared" si="166"/>
        <v>4477117.8499999996</v>
      </c>
      <c r="Q116" s="116">
        <f t="shared" si="166"/>
        <v>4272333.1199999992</v>
      </c>
      <c r="R116" s="116">
        <f t="shared" si="166"/>
        <v>5008008.8</v>
      </c>
      <c r="S116" s="116"/>
      <c r="T116" s="116">
        <f t="shared" ref="T116:Y116" si="167">T20+T25+T30+T35+T40+T45+T50+T55+T60+T65+T70+T75+T80+T85+T90+T95+T100+T105+T110</f>
        <v>6298759.7569174487</v>
      </c>
      <c r="U116" s="116">
        <f t="shared" si="167"/>
        <v>3687709.4502119459</v>
      </c>
      <c r="V116" s="116">
        <f t="shared" si="167"/>
        <v>4577216.1750665726</v>
      </c>
      <c r="W116" s="116">
        <f t="shared" si="167"/>
        <v>4447192.7958255652</v>
      </c>
      <c r="X116" s="116">
        <f t="shared" si="167"/>
        <v>4298267.0132142883</v>
      </c>
      <c r="Y116" s="116">
        <f t="shared" si="167"/>
        <v>4579212.9518345864</v>
      </c>
      <c r="Z116" s="116">
        <f t="shared" si="166"/>
        <v>3938994.3931435253</v>
      </c>
      <c r="AA116" s="116">
        <f t="shared" si="166"/>
        <v>4424713.178439592</v>
      </c>
      <c r="AB116" s="116">
        <f t="shared" si="166"/>
        <v>4273725.1814670842</v>
      </c>
      <c r="AC116" s="116">
        <f t="shared" si="166"/>
        <v>4439085.4508667951</v>
      </c>
      <c r="AD116" s="116">
        <f t="shared" si="166"/>
        <v>4200817.5299430052</v>
      </c>
      <c r="AE116" s="116">
        <f t="shared" si="166"/>
        <v>4941381.4323338522</v>
      </c>
      <c r="AF116" s="116">
        <f t="shared" ref="AF116:AQ116" si="168">AF20+AF25+AF30+AF35+AF40+AF45+AF50+AF55+AF60+AF65+AF70+AF75+AF80+AF85+AF90+AF95+AF100+AF105+AF110</f>
        <v>6369269.9979585242</v>
      </c>
      <c r="AG116" s="116">
        <f t="shared" si="168"/>
        <v>3728542.8843912771</v>
      </c>
      <c r="AH116" s="116">
        <f t="shared" si="168"/>
        <v>4636107.9896541601</v>
      </c>
      <c r="AI116" s="116">
        <f t="shared" si="168"/>
        <v>4502372.2755794851</v>
      </c>
      <c r="AJ116" s="116">
        <f t="shared" si="168"/>
        <v>4350334.8370383829</v>
      </c>
      <c r="AK116" s="116">
        <f t="shared" si="168"/>
        <v>4637291.2741542384</v>
      </c>
      <c r="AL116" s="116">
        <f t="shared" si="168"/>
        <v>3988739.2183494763</v>
      </c>
      <c r="AM116" s="116">
        <f t="shared" si="168"/>
        <v>4479418.2470048573</v>
      </c>
      <c r="AN116" s="116">
        <f t="shared" si="168"/>
        <v>4327077.5235827118</v>
      </c>
      <c r="AO116" s="116">
        <f t="shared" si="168"/>
        <v>4498003.7454950539</v>
      </c>
      <c r="AP116" s="116">
        <f t="shared" si="168"/>
        <v>4250419.8398979008</v>
      </c>
      <c r="AQ116" s="116">
        <f t="shared" si="168"/>
        <v>5004506.2784112534</v>
      </c>
      <c r="AR116" s="116">
        <f>SUM(G116:R116)</f>
        <v>54949884.129999995</v>
      </c>
      <c r="AS116" s="116">
        <f>SUM(T116:AE116)</f>
        <v>54107075.309264265</v>
      </c>
      <c r="AT116" s="116">
        <f>SUM(AF116:AQ116)</f>
        <v>54772084.111517318</v>
      </c>
      <c r="AU116" s="171"/>
      <c r="AV116" s="171"/>
    </row>
    <row r="117" spans="1:48">
      <c r="B117" s="250">
        <v>726</v>
      </c>
      <c r="C117" s="208"/>
      <c r="D117" s="102"/>
      <c r="E117" s="102"/>
      <c r="F117" s="102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71"/>
      <c r="AV117" s="171"/>
    </row>
    <row r="118" spans="1:48">
      <c r="B118" s="250">
        <v>727</v>
      </c>
      <c r="C118" s="49" t="s">
        <v>400</v>
      </c>
      <c r="D118" s="102"/>
      <c r="E118" s="102"/>
      <c r="F118" s="102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71"/>
      <c r="AV118" s="171"/>
    </row>
    <row r="119" spans="1:48">
      <c r="B119" s="250">
        <v>728</v>
      </c>
      <c r="C119" s="208"/>
      <c r="D119" s="102"/>
      <c r="E119" s="102"/>
      <c r="F119" s="102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71"/>
      <c r="AV119" s="171"/>
    </row>
    <row r="120" spans="1:48">
      <c r="B120" s="250">
        <v>729</v>
      </c>
      <c r="C120" s="212">
        <v>901</v>
      </c>
      <c r="D120" s="102" t="s">
        <v>402</v>
      </c>
      <c r="E120" s="102"/>
      <c r="F120" s="102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71"/>
      <c r="AV120" s="171"/>
    </row>
    <row r="121" spans="1:48">
      <c r="B121" s="250">
        <v>730</v>
      </c>
      <c r="C121" s="212"/>
      <c r="D121" s="102"/>
      <c r="E121" s="102" t="s">
        <v>14</v>
      </c>
      <c r="F121" s="102"/>
      <c r="G121" s="186">
        <f t="shared" ref="G121:AE122" si="169">G375+G629</f>
        <v>92628.49</v>
      </c>
      <c r="H121" s="186">
        <f t="shared" si="169"/>
        <v>98702.890000000014</v>
      </c>
      <c r="I121" s="186">
        <f t="shared" si="169"/>
        <v>88676.49</v>
      </c>
      <c r="J121" s="186">
        <f t="shared" si="169"/>
        <v>85767.18</v>
      </c>
      <c r="K121" s="186">
        <f t="shared" si="169"/>
        <v>86143.790000000008</v>
      </c>
      <c r="L121" s="186">
        <f t="shared" si="169"/>
        <v>89140.64</v>
      </c>
      <c r="M121" s="186">
        <f t="shared" si="169"/>
        <v>87342.49</v>
      </c>
      <c r="N121" s="186">
        <f t="shared" si="169"/>
        <v>81312.850000000006</v>
      </c>
      <c r="O121" s="186">
        <f t="shared" si="169"/>
        <v>92048.74</v>
      </c>
      <c r="P121" s="186">
        <f t="shared" si="169"/>
        <v>72722.11</v>
      </c>
      <c r="Q121" s="186">
        <f t="shared" si="169"/>
        <v>99904.13</v>
      </c>
      <c r="R121" s="186">
        <f t="shared" si="169"/>
        <v>148811.41999999998</v>
      </c>
      <c r="S121" s="186"/>
      <c r="T121" s="186">
        <f t="shared" ref="T121:Y121" si="170">T375+T629</f>
        <v>90061.599445399246</v>
      </c>
      <c r="U121" s="186">
        <f t="shared" si="170"/>
        <v>96611.511089296022</v>
      </c>
      <c r="V121" s="186">
        <f t="shared" si="170"/>
        <v>86667.904054818442</v>
      </c>
      <c r="W121" s="186">
        <f t="shared" si="170"/>
        <v>83671.519359319936</v>
      </c>
      <c r="X121" s="186">
        <f t="shared" si="170"/>
        <v>84908.185768789102</v>
      </c>
      <c r="Y121" s="186">
        <f t="shared" si="170"/>
        <v>86926.458105217651</v>
      </c>
      <c r="Z121" s="186">
        <f t="shared" si="169"/>
        <v>85789.52407547849</v>
      </c>
      <c r="AA121" s="186">
        <f t="shared" si="169"/>
        <v>79175.416706853255</v>
      </c>
      <c r="AB121" s="186">
        <f t="shared" si="169"/>
        <v>89893.908618453468</v>
      </c>
      <c r="AC121" s="186">
        <f t="shared" si="169"/>
        <v>72000.457764809369</v>
      </c>
      <c r="AD121" s="186">
        <f t="shared" si="169"/>
        <v>97488.411670417729</v>
      </c>
      <c r="AE121" s="186">
        <f t="shared" si="169"/>
        <v>147806.7846967447</v>
      </c>
      <c r="AF121" s="186">
        <f t="shared" ref="AF121:AQ121" si="171">AF375+AF629</f>
        <v>91141.397579830402</v>
      </c>
      <c r="AG121" s="186">
        <f t="shared" si="171"/>
        <v>97889.106426220053</v>
      </c>
      <c r="AH121" s="186">
        <f t="shared" si="171"/>
        <v>87790.147605793201</v>
      </c>
      <c r="AI121" s="186">
        <f t="shared" si="171"/>
        <v>84726.773196878406</v>
      </c>
      <c r="AJ121" s="186">
        <f t="shared" si="171"/>
        <v>86139.518334123844</v>
      </c>
      <c r="AK121" s="186">
        <f t="shared" si="171"/>
        <v>88016.099292921921</v>
      </c>
      <c r="AL121" s="186">
        <f t="shared" si="171"/>
        <v>86978.788205519522</v>
      </c>
      <c r="AM121" s="186">
        <f t="shared" si="171"/>
        <v>80146.160573535541</v>
      </c>
      <c r="AN121" s="186">
        <f t="shared" si="171"/>
        <v>91045.050723548688</v>
      </c>
      <c r="AO121" s="186">
        <f t="shared" si="171"/>
        <v>73103.33953615991</v>
      </c>
      <c r="AP121" s="186">
        <f t="shared" si="171"/>
        <v>98722.605838156742</v>
      </c>
      <c r="AQ121" s="186">
        <f t="shared" si="171"/>
        <v>150156.72380725859</v>
      </c>
      <c r="AR121" s="186">
        <f>SUM(G121:R121)</f>
        <v>1123201.22</v>
      </c>
      <c r="AS121" s="186">
        <f>SUM(T121:AE121)</f>
        <v>1101001.6813555975</v>
      </c>
      <c r="AT121" s="186">
        <f>SUM(AF121:AQ121)</f>
        <v>1115855.711119947</v>
      </c>
      <c r="AU121" s="171"/>
      <c r="AV121" s="171"/>
    </row>
    <row r="122" spans="1:48">
      <c r="B122" s="250">
        <v>731</v>
      </c>
      <c r="C122" s="212"/>
      <c r="D122" s="102"/>
      <c r="E122" s="102" t="s">
        <v>24</v>
      </c>
      <c r="F122" s="102"/>
      <c r="G122" s="186">
        <f t="shared" si="169"/>
        <v>1991.32</v>
      </c>
      <c r="H122" s="186">
        <f t="shared" si="169"/>
        <v>1961.25</v>
      </c>
      <c r="I122" s="186">
        <f t="shared" si="169"/>
        <v>2013.95</v>
      </c>
      <c r="J122" s="186">
        <f t="shared" si="169"/>
        <v>1789.29</v>
      </c>
      <c r="K122" s="186">
        <f t="shared" si="169"/>
        <v>1864.99</v>
      </c>
      <c r="L122" s="186">
        <f t="shared" si="169"/>
        <v>1792.97</v>
      </c>
      <c r="M122" s="186">
        <f t="shared" si="169"/>
        <v>1816.06</v>
      </c>
      <c r="N122" s="186">
        <f t="shared" si="169"/>
        <v>1665.04</v>
      </c>
      <c r="O122" s="186">
        <f t="shared" si="169"/>
        <v>2058.94</v>
      </c>
      <c r="P122" s="186">
        <f t="shared" si="169"/>
        <v>1196</v>
      </c>
      <c r="Q122" s="186">
        <f t="shared" si="169"/>
        <v>2177.3200000000002</v>
      </c>
      <c r="R122" s="186">
        <f t="shared" si="169"/>
        <v>3646.7400000000002</v>
      </c>
      <c r="S122" s="186"/>
      <c r="T122" s="186">
        <f t="shared" ref="T122:Y122" si="172">T376+T630</f>
        <v>2035.12904</v>
      </c>
      <c r="U122" s="186">
        <f t="shared" si="172"/>
        <v>2004.3975</v>
      </c>
      <c r="V122" s="186">
        <f t="shared" si="172"/>
        <v>2058.2568999999999</v>
      </c>
      <c r="W122" s="186">
        <f t="shared" si="172"/>
        <v>1828.6543799999999</v>
      </c>
      <c r="X122" s="186">
        <f t="shared" si="172"/>
        <v>1906.0197800000001</v>
      </c>
      <c r="Y122" s="186">
        <f t="shared" si="172"/>
        <v>1832.41534</v>
      </c>
      <c r="Z122" s="186">
        <f t="shared" si="169"/>
        <v>1856.01332</v>
      </c>
      <c r="AA122" s="186">
        <f t="shared" si="169"/>
        <v>1701.6708799999999</v>
      </c>
      <c r="AB122" s="186">
        <f t="shared" si="169"/>
        <v>2104.23668</v>
      </c>
      <c r="AC122" s="186">
        <f t="shared" si="169"/>
        <v>1222.3120000000001</v>
      </c>
      <c r="AD122" s="186">
        <f t="shared" si="169"/>
        <v>2225.2210400000004</v>
      </c>
      <c r="AE122" s="186">
        <f t="shared" si="169"/>
        <v>3726.9682800000005</v>
      </c>
      <c r="AF122" s="186">
        <f t="shared" ref="AF122:AQ122" si="173">AF376+AF630</f>
        <v>2077.86674984</v>
      </c>
      <c r="AG122" s="186">
        <f t="shared" si="173"/>
        <v>2046.4898474999998</v>
      </c>
      <c r="AH122" s="186">
        <f t="shared" si="173"/>
        <v>2101.4802948999995</v>
      </c>
      <c r="AI122" s="186">
        <f t="shared" si="173"/>
        <v>1867.0561219799997</v>
      </c>
      <c r="AJ122" s="186">
        <f t="shared" si="173"/>
        <v>1946.04619538</v>
      </c>
      <c r="AK122" s="186">
        <f t="shared" si="173"/>
        <v>1870.8960621399999</v>
      </c>
      <c r="AL122" s="186">
        <f t="shared" si="173"/>
        <v>1894.9895997199999</v>
      </c>
      <c r="AM122" s="186">
        <f t="shared" si="173"/>
        <v>1737.4059684799997</v>
      </c>
      <c r="AN122" s="186">
        <f t="shared" si="173"/>
        <v>2148.4256502799999</v>
      </c>
      <c r="AO122" s="186">
        <f t="shared" si="173"/>
        <v>1247.980552</v>
      </c>
      <c r="AP122" s="186">
        <f t="shared" si="173"/>
        <v>2271.95068184</v>
      </c>
      <c r="AQ122" s="186">
        <f t="shared" si="173"/>
        <v>3805.2346138800003</v>
      </c>
      <c r="AR122" s="186">
        <f>SUM(G122:R122)</f>
        <v>23973.87</v>
      </c>
      <c r="AS122" s="186">
        <f>SUM(T122:AE122)</f>
        <v>24501.295140000002</v>
      </c>
      <c r="AT122" s="186">
        <f>SUM(AF122:AQ122)</f>
        <v>25015.822337940001</v>
      </c>
      <c r="AU122" s="171"/>
      <c r="AV122" s="171"/>
    </row>
    <row r="123" spans="1:48">
      <c r="A123" s="15" t="s">
        <v>1020</v>
      </c>
      <c r="B123" s="250">
        <v>732</v>
      </c>
      <c r="C123" s="212"/>
      <c r="D123" s="102"/>
      <c r="E123" s="102" t="s">
        <v>170</v>
      </c>
      <c r="F123" s="102"/>
      <c r="G123" s="131">
        <f t="shared" ref="G123:AE123" si="174">SUM(G121:G122)</f>
        <v>94619.810000000012</v>
      </c>
      <c r="H123" s="131">
        <f t="shared" si="174"/>
        <v>100664.14000000001</v>
      </c>
      <c r="I123" s="131">
        <f t="shared" si="174"/>
        <v>90690.44</v>
      </c>
      <c r="J123" s="131">
        <f t="shared" si="174"/>
        <v>87556.469999999987</v>
      </c>
      <c r="K123" s="131">
        <f t="shared" si="174"/>
        <v>88008.780000000013</v>
      </c>
      <c r="L123" s="131">
        <f t="shared" si="174"/>
        <v>90933.61</v>
      </c>
      <c r="M123" s="131">
        <f t="shared" si="174"/>
        <v>89158.55</v>
      </c>
      <c r="N123" s="131">
        <f t="shared" si="174"/>
        <v>82977.89</v>
      </c>
      <c r="O123" s="131">
        <f t="shared" si="174"/>
        <v>94107.680000000008</v>
      </c>
      <c r="P123" s="131">
        <f t="shared" si="174"/>
        <v>73918.11</v>
      </c>
      <c r="Q123" s="131">
        <f t="shared" si="174"/>
        <v>102081.45000000001</v>
      </c>
      <c r="R123" s="131">
        <f t="shared" si="174"/>
        <v>152458.15999999997</v>
      </c>
      <c r="S123" s="620"/>
      <c r="T123" s="131">
        <f t="shared" ref="T123:Y123" si="175">SUM(T121:T122)</f>
        <v>92096.728485399246</v>
      </c>
      <c r="U123" s="131">
        <f t="shared" si="175"/>
        <v>98615.908589296028</v>
      </c>
      <c r="V123" s="131">
        <f t="shared" si="175"/>
        <v>88726.160954818435</v>
      </c>
      <c r="W123" s="131">
        <f t="shared" si="175"/>
        <v>85500.173739319929</v>
      </c>
      <c r="X123" s="131">
        <f t="shared" si="175"/>
        <v>86814.205548789105</v>
      </c>
      <c r="Y123" s="131">
        <f t="shared" si="175"/>
        <v>88758.873445217658</v>
      </c>
      <c r="Z123" s="131">
        <f t="shared" si="174"/>
        <v>87645.537395478488</v>
      </c>
      <c r="AA123" s="131">
        <f t="shared" si="174"/>
        <v>80877.08758685326</v>
      </c>
      <c r="AB123" s="131">
        <f t="shared" si="174"/>
        <v>91998.14529845347</v>
      </c>
      <c r="AC123" s="131">
        <f t="shared" si="174"/>
        <v>73222.769764809374</v>
      </c>
      <c r="AD123" s="131">
        <f t="shared" si="174"/>
        <v>99713.632710417733</v>
      </c>
      <c r="AE123" s="131">
        <f t="shared" si="174"/>
        <v>151533.7529767447</v>
      </c>
      <c r="AF123" s="131">
        <f t="shared" ref="AF123:AQ123" si="176">SUM(AF121:AF122)</f>
        <v>93219.264329670405</v>
      </c>
      <c r="AG123" s="131">
        <f t="shared" si="176"/>
        <v>99935.596273720046</v>
      </c>
      <c r="AH123" s="131">
        <f t="shared" si="176"/>
        <v>89891.627900693202</v>
      </c>
      <c r="AI123" s="131">
        <f t="shared" si="176"/>
        <v>86593.829318858407</v>
      </c>
      <c r="AJ123" s="131">
        <f t="shared" si="176"/>
        <v>88085.564529503841</v>
      </c>
      <c r="AK123" s="131">
        <f t="shared" si="176"/>
        <v>89886.995355061925</v>
      </c>
      <c r="AL123" s="131">
        <f t="shared" si="176"/>
        <v>88873.777805239515</v>
      </c>
      <c r="AM123" s="131">
        <f t="shared" si="176"/>
        <v>81883.566542015542</v>
      </c>
      <c r="AN123" s="131">
        <f t="shared" si="176"/>
        <v>93193.476373828686</v>
      </c>
      <c r="AO123" s="131">
        <f t="shared" si="176"/>
        <v>74351.320088159904</v>
      </c>
      <c r="AP123" s="131">
        <f t="shared" si="176"/>
        <v>100994.55651999674</v>
      </c>
      <c r="AQ123" s="131">
        <f t="shared" si="176"/>
        <v>153961.95842113858</v>
      </c>
      <c r="AR123" s="131">
        <f>SUM(G123:R123)</f>
        <v>1147175.0900000001</v>
      </c>
      <c r="AS123" s="131">
        <f>SUM(T123:AE123)</f>
        <v>1125502.9764955975</v>
      </c>
      <c r="AT123" s="131">
        <f>SUM(AF123:AQ123)</f>
        <v>1140871.5334578869</v>
      </c>
      <c r="AU123" s="621"/>
      <c r="AV123" s="621"/>
    </row>
    <row r="124" spans="1:48">
      <c r="B124" s="250">
        <v>733</v>
      </c>
      <c r="C124" s="212"/>
      <c r="D124" s="102"/>
      <c r="E124" s="102"/>
      <c r="F124" s="102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71"/>
      <c r="AV124" s="171"/>
    </row>
    <row r="125" spans="1:48">
      <c r="B125" s="250">
        <v>734</v>
      </c>
      <c r="C125" s="212">
        <v>902</v>
      </c>
      <c r="D125" s="102" t="s">
        <v>403</v>
      </c>
      <c r="E125" s="102"/>
      <c r="F125" s="102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71"/>
      <c r="AV125" s="171"/>
    </row>
    <row r="126" spans="1:48">
      <c r="B126" s="250">
        <v>735</v>
      </c>
      <c r="C126" s="212"/>
      <c r="D126" s="102"/>
      <c r="E126" s="102" t="s">
        <v>14</v>
      </c>
      <c r="F126" s="102"/>
      <c r="G126" s="186">
        <f t="shared" ref="G126:AE127" si="177">G380+G634</f>
        <v>178920.48</v>
      </c>
      <c r="H126" s="186">
        <f t="shared" si="177"/>
        <v>212593.27000000002</v>
      </c>
      <c r="I126" s="186">
        <f t="shared" si="177"/>
        <v>183657.63</v>
      </c>
      <c r="J126" s="186">
        <f t="shared" si="177"/>
        <v>155594.16</v>
      </c>
      <c r="K126" s="186">
        <f t="shared" si="177"/>
        <v>168809.19999999998</v>
      </c>
      <c r="L126" s="186">
        <f t="shared" si="177"/>
        <v>147871.55000000002</v>
      </c>
      <c r="M126" s="186">
        <f t="shared" si="177"/>
        <v>134618.15</v>
      </c>
      <c r="N126" s="186">
        <f t="shared" si="177"/>
        <v>137159.18</v>
      </c>
      <c r="O126" s="186">
        <f t="shared" si="177"/>
        <v>139528.54</v>
      </c>
      <c r="P126" s="186">
        <f t="shared" si="177"/>
        <v>153243.79</v>
      </c>
      <c r="Q126" s="186">
        <f t="shared" si="177"/>
        <v>175115.62</v>
      </c>
      <c r="R126" s="186">
        <f t="shared" si="177"/>
        <v>144459.84</v>
      </c>
      <c r="S126" s="186"/>
      <c r="T126" s="186">
        <f t="shared" ref="T126:Y126" si="178">T380+T634</f>
        <v>170826.87146764391</v>
      </c>
      <c r="U126" s="186">
        <f t="shared" si="178"/>
        <v>202361.65932644659</v>
      </c>
      <c r="V126" s="186">
        <f t="shared" si="178"/>
        <v>175116.86953339441</v>
      </c>
      <c r="W126" s="186">
        <f t="shared" si="178"/>
        <v>149753.470838337</v>
      </c>
      <c r="X126" s="186">
        <f t="shared" si="178"/>
        <v>160896.91884838752</v>
      </c>
      <c r="Y126" s="186">
        <f t="shared" si="178"/>
        <v>141521.1165783513</v>
      </c>
      <c r="Z126" s="186">
        <f t="shared" si="177"/>
        <v>128299.46816298868</v>
      </c>
      <c r="AA126" s="186">
        <f t="shared" si="177"/>
        <v>131008.05702109598</v>
      </c>
      <c r="AB126" s="186">
        <f t="shared" si="177"/>
        <v>132599.69096385108</v>
      </c>
      <c r="AC126" s="186">
        <f t="shared" si="177"/>
        <v>145996.13818341517</v>
      </c>
      <c r="AD126" s="186">
        <f t="shared" si="177"/>
        <v>166397.54478673646</v>
      </c>
      <c r="AE126" s="186">
        <f t="shared" si="177"/>
        <v>137705.56005634306</v>
      </c>
      <c r="AF126" s="186">
        <f t="shared" ref="AF126:AQ126" si="179">AF380+AF634</f>
        <v>172085.47690167659</v>
      </c>
      <c r="AG126" s="186">
        <f t="shared" si="179"/>
        <v>203793.33066939001</v>
      </c>
      <c r="AH126" s="186">
        <f t="shared" si="179"/>
        <v>176384.6313456092</v>
      </c>
      <c r="AI126" s="186">
        <f t="shared" si="179"/>
        <v>150972.29101259104</v>
      </c>
      <c r="AJ126" s="186">
        <f t="shared" si="179"/>
        <v>162055.7468066657</v>
      </c>
      <c r="AK126" s="186">
        <f t="shared" si="179"/>
        <v>142596.45590927053</v>
      </c>
      <c r="AL126" s="186">
        <f t="shared" si="179"/>
        <v>129222.65274069377</v>
      </c>
      <c r="AM126" s="186">
        <f t="shared" si="179"/>
        <v>131978.43495686265</v>
      </c>
      <c r="AN126" s="186">
        <f t="shared" si="179"/>
        <v>133517.14594630647</v>
      </c>
      <c r="AO126" s="186">
        <f t="shared" si="179"/>
        <v>147041.37447551469</v>
      </c>
      <c r="AP126" s="186">
        <f t="shared" si="179"/>
        <v>167546.7148878304</v>
      </c>
      <c r="AQ126" s="186">
        <f t="shared" si="179"/>
        <v>138698.97155584631</v>
      </c>
      <c r="AR126" s="186">
        <f>SUM(G126:R126)</f>
        <v>1931571.41</v>
      </c>
      <c r="AS126" s="186">
        <f>SUM(T126:AE126)</f>
        <v>1842483.3657669909</v>
      </c>
      <c r="AT126" s="186">
        <f>SUM(AF126:AQ126)</f>
        <v>1855893.2272082572</v>
      </c>
      <c r="AU126" s="171"/>
      <c r="AV126" s="171"/>
    </row>
    <row r="127" spans="1:48">
      <c r="B127" s="250">
        <v>736</v>
      </c>
      <c r="C127" s="212"/>
      <c r="D127" s="102"/>
      <c r="E127" s="102" t="s">
        <v>24</v>
      </c>
      <c r="F127" s="102"/>
      <c r="G127" s="186">
        <f t="shared" si="177"/>
        <v>6100.4000000000005</v>
      </c>
      <c r="H127" s="186">
        <f t="shared" si="177"/>
        <v>7744.6</v>
      </c>
      <c r="I127" s="186">
        <f t="shared" si="177"/>
        <v>6755.18</v>
      </c>
      <c r="J127" s="186">
        <f t="shared" si="177"/>
        <v>5248.22</v>
      </c>
      <c r="K127" s="186">
        <f t="shared" si="177"/>
        <v>5588.12</v>
      </c>
      <c r="L127" s="186">
        <f t="shared" si="177"/>
        <v>5685.72</v>
      </c>
      <c r="M127" s="186">
        <f t="shared" si="177"/>
        <v>4646.46</v>
      </c>
      <c r="N127" s="186">
        <f t="shared" si="177"/>
        <v>4503.21</v>
      </c>
      <c r="O127" s="186">
        <f t="shared" si="177"/>
        <v>4574.8500000000004</v>
      </c>
      <c r="P127" s="186">
        <f t="shared" si="177"/>
        <v>5044.0300000000007</v>
      </c>
      <c r="Q127" s="186">
        <f t="shared" si="177"/>
        <v>5735.4</v>
      </c>
      <c r="R127" s="186">
        <f t="shared" si="177"/>
        <v>5176.78</v>
      </c>
      <c r="S127" s="186"/>
      <c r="T127" s="186">
        <f t="shared" ref="T127:Y127" si="180">T381+T635</f>
        <v>6159.6224349376644</v>
      </c>
      <c r="U127" s="186">
        <f t="shared" si="180"/>
        <v>7787.8885055624387</v>
      </c>
      <c r="V127" s="186">
        <f t="shared" si="180"/>
        <v>6827.2083759611733</v>
      </c>
      <c r="W127" s="186">
        <f t="shared" si="180"/>
        <v>5321.596824997986</v>
      </c>
      <c r="X127" s="186">
        <f t="shared" si="180"/>
        <v>5660.1693523914619</v>
      </c>
      <c r="Y127" s="186">
        <f t="shared" si="180"/>
        <v>5705.0474495672524</v>
      </c>
      <c r="Z127" s="186">
        <f t="shared" si="177"/>
        <v>4702.7119555860427</v>
      </c>
      <c r="AA127" s="186">
        <f t="shared" si="177"/>
        <v>4566.2549399999998</v>
      </c>
      <c r="AB127" s="186">
        <f t="shared" si="177"/>
        <v>4636.1969632292994</v>
      </c>
      <c r="AC127" s="186">
        <f t="shared" si="177"/>
        <v>5109.4095001116148</v>
      </c>
      <c r="AD127" s="186">
        <f t="shared" si="177"/>
        <v>5815.6956</v>
      </c>
      <c r="AE127" s="186">
        <f t="shared" si="177"/>
        <v>5197.7047518628615</v>
      </c>
      <c r="AF127" s="186">
        <f t="shared" ref="AF127:AQ127" si="181">AF381+AF635</f>
        <v>6237.3205879965253</v>
      </c>
      <c r="AG127" s="186">
        <f t="shared" si="181"/>
        <v>7883.2179428399577</v>
      </c>
      <c r="AH127" s="186">
        <f t="shared" si="181"/>
        <v>6913.9155008724019</v>
      </c>
      <c r="AI127" s="186">
        <f t="shared" si="181"/>
        <v>5390.76866401803</v>
      </c>
      <c r="AJ127" s="186">
        <f t="shared" si="181"/>
        <v>5733.1901334206841</v>
      </c>
      <c r="AK127" s="186">
        <f t="shared" si="181"/>
        <v>5773.7414459571673</v>
      </c>
      <c r="AL127" s="186">
        <f t="shared" si="181"/>
        <v>4763.0484742198059</v>
      </c>
      <c r="AM127" s="186">
        <f t="shared" si="181"/>
        <v>4625.6162542199991</v>
      </c>
      <c r="AN127" s="186">
        <f t="shared" si="181"/>
        <v>4696.2223295267258</v>
      </c>
      <c r="AO127" s="186">
        <f t="shared" si="181"/>
        <v>5175.3564098510651</v>
      </c>
      <c r="AP127" s="186">
        <f t="shared" si="181"/>
        <v>5891.2996427999997</v>
      </c>
      <c r="AQ127" s="186">
        <f t="shared" si="181"/>
        <v>5260.5951285939382</v>
      </c>
      <c r="AR127" s="186">
        <f>SUM(G127:R127)</f>
        <v>66802.97</v>
      </c>
      <c r="AS127" s="186">
        <f>SUM(T127:AE127)</f>
        <v>67489.506654207784</v>
      </c>
      <c r="AT127" s="186">
        <f>SUM(AF127:AQ127)</f>
        <v>68344.292514316301</v>
      </c>
      <c r="AU127" s="171"/>
      <c r="AV127" s="171"/>
    </row>
    <row r="128" spans="1:48">
      <c r="A128" s="15" t="s">
        <v>1021</v>
      </c>
      <c r="B128" s="250">
        <v>737</v>
      </c>
      <c r="C128" s="212"/>
      <c r="D128" s="102"/>
      <c r="E128" s="102" t="s">
        <v>170</v>
      </c>
      <c r="F128" s="102"/>
      <c r="G128" s="131">
        <f t="shared" ref="G128:AE128" si="182">SUM(G126:G127)</f>
        <v>185020.88</v>
      </c>
      <c r="H128" s="131">
        <f t="shared" si="182"/>
        <v>220337.87000000002</v>
      </c>
      <c r="I128" s="131">
        <f t="shared" si="182"/>
        <v>190412.81</v>
      </c>
      <c r="J128" s="131">
        <f t="shared" si="182"/>
        <v>160842.38</v>
      </c>
      <c r="K128" s="131">
        <f t="shared" si="182"/>
        <v>174397.31999999998</v>
      </c>
      <c r="L128" s="131">
        <f t="shared" si="182"/>
        <v>153557.27000000002</v>
      </c>
      <c r="M128" s="131">
        <f t="shared" si="182"/>
        <v>139264.60999999999</v>
      </c>
      <c r="N128" s="131">
        <f t="shared" si="182"/>
        <v>141662.38999999998</v>
      </c>
      <c r="O128" s="131">
        <f t="shared" si="182"/>
        <v>144103.39000000001</v>
      </c>
      <c r="P128" s="131">
        <f t="shared" si="182"/>
        <v>158287.82</v>
      </c>
      <c r="Q128" s="131">
        <f t="shared" si="182"/>
        <v>180851.02</v>
      </c>
      <c r="R128" s="131">
        <f t="shared" si="182"/>
        <v>149636.62</v>
      </c>
      <c r="S128" s="620"/>
      <c r="T128" s="131">
        <f t="shared" ref="T128:Y128" si="183">SUM(T126:T127)</f>
        <v>176986.49390258157</v>
      </c>
      <c r="U128" s="131">
        <f t="shared" si="183"/>
        <v>210149.54783200903</v>
      </c>
      <c r="V128" s="131">
        <f t="shared" si="183"/>
        <v>181944.07790935558</v>
      </c>
      <c r="W128" s="131">
        <f t="shared" si="183"/>
        <v>155075.06766333498</v>
      </c>
      <c r="X128" s="131">
        <f t="shared" si="183"/>
        <v>166557.08820077899</v>
      </c>
      <c r="Y128" s="131">
        <f t="shared" si="183"/>
        <v>147226.16402791854</v>
      </c>
      <c r="Z128" s="131">
        <f t="shared" si="182"/>
        <v>133002.18011857473</v>
      </c>
      <c r="AA128" s="131">
        <f t="shared" si="182"/>
        <v>135574.31196109598</v>
      </c>
      <c r="AB128" s="131">
        <f t="shared" si="182"/>
        <v>137235.88792708039</v>
      </c>
      <c r="AC128" s="131">
        <f t="shared" si="182"/>
        <v>151105.54768352679</v>
      </c>
      <c r="AD128" s="131">
        <f t="shared" si="182"/>
        <v>172213.24038673646</v>
      </c>
      <c r="AE128" s="131">
        <f t="shared" si="182"/>
        <v>142903.26480820592</v>
      </c>
      <c r="AF128" s="131">
        <f t="shared" ref="AF128:AQ128" si="184">SUM(AF126:AF127)</f>
        <v>178322.79748967313</v>
      </c>
      <c r="AG128" s="131">
        <f t="shared" si="184"/>
        <v>211676.54861222996</v>
      </c>
      <c r="AH128" s="131">
        <f t="shared" si="184"/>
        <v>183298.54684648159</v>
      </c>
      <c r="AI128" s="131">
        <f t="shared" si="184"/>
        <v>156363.05967660906</v>
      </c>
      <c r="AJ128" s="131">
        <f t="shared" si="184"/>
        <v>167788.93694008639</v>
      </c>
      <c r="AK128" s="131">
        <f t="shared" si="184"/>
        <v>148370.19735522769</v>
      </c>
      <c r="AL128" s="131">
        <f t="shared" si="184"/>
        <v>133985.70121491357</v>
      </c>
      <c r="AM128" s="131">
        <f t="shared" si="184"/>
        <v>136604.05121108264</v>
      </c>
      <c r="AN128" s="131">
        <f t="shared" si="184"/>
        <v>138213.3682758332</v>
      </c>
      <c r="AO128" s="131">
        <f t="shared" si="184"/>
        <v>152216.73088536575</v>
      </c>
      <c r="AP128" s="131">
        <f t="shared" si="184"/>
        <v>173438.0145306304</v>
      </c>
      <c r="AQ128" s="131">
        <f t="shared" si="184"/>
        <v>143959.56668444024</v>
      </c>
      <c r="AR128" s="131">
        <f>SUM(G128:R128)</f>
        <v>1998374.38</v>
      </c>
      <c r="AS128" s="131">
        <f>SUM(T128:AE128)</f>
        <v>1909972.872421199</v>
      </c>
      <c r="AT128" s="131">
        <f>SUM(AF128:AQ128)</f>
        <v>1924237.5197225737</v>
      </c>
      <c r="AU128" s="621"/>
      <c r="AV128" s="621"/>
    </row>
    <row r="129" spans="1:48">
      <c r="B129" s="250">
        <v>738</v>
      </c>
      <c r="C129" s="212"/>
      <c r="D129" s="102"/>
      <c r="E129" s="102"/>
      <c r="F129" s="102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71"/>
      <c r="AV129" s="171"/>
    </row>
    <row r="130" spans="1:48">
      <c r="B130" s="250">
        <v>739</v>
      </c>
      <c r="C130" s="212">
        <v>9031</v>
      </c>
      <c r="D130" s="102" t="s">
        <v>404</v>
      </c>
      <c r="E130" s="102"/>
      <c r="F130" s="102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71"/>
      <c r="AV130" s="171"/>
    </row>
    <row r="131" spans="1:48">
      <c r="B131" s="250">
        <v>740</v>
      </c>
      <c r="C131" s="212"/>
      <c r="D131" s="102"/>
      <c r="E131" s="102" t="s">
        <v>14</v>
      </c>
      <c r="F131" s="102"/>
      <c r="G131" s="186">
        <f t="shared" ref="G131:AE132" si="185">G385+G639</f>
        <v>1301420.0899999999</v>
      </c>
      <c r="H131" s="186">
        <f t="shared" si="185"/>
        <v>902309.06</v>
      </c>
      <c r="I131" s="186">
        <f t="shared" si="185"/>
        <v>1050515.02</v>
      </c>
      <c r="J131" s="186">
        <f t="shared" si="185"/>
        <v>1177063.1200000001</v>
      </c>
      <c r="K131" s="186">
        <f t="shared" si="185"/>
        <v>1054472.44</v>
      </c>
      <c r="L131" s="186">
        <f t="shared" si="185"/>
        <v>974445.69</v>
      </c>
      <c r="M131" s="186">
        <f t="shared" si="185"/>
        <v>1130120.8</v>
      </c>
      <c r="N131" s="186">
        <f t="shared" si="185"/>
        <v>1240314.43</v>
      </c>
      <c r="O131" s="186">
        <f t="shared" si="185"/>
        <v>933888.54</v>
      </c>
      <c r="P131" s="186">
        <f t="shared" si="185"/>
        <v>1011238.6000000001</v>
      </c>
      <c r="Q131" s="186">
        <f t="shared" si="185"/>
        <v>1154717.3700000001</v>
      </c>
      <c r="R131" s="186">
        <f t="shared" si="185"/>
        <v>1232635.08</v>
      </c>
      <c r="S131" s="186"/>
      <c r="T131" s="186">
        <f t="shared" ref="T131:Y131" si="186">T385+T639</f>
        <v>1274926.7853668286</v>
      </c>
      <c r="U131" s="186">
        <f t="shared" si="186"/>
        <v>865358.07400384312</v>
      </c>
      <c r="V131" s="186">
        <f t="shared" si="186"/>
        <v>1015309.753672217</v>
      </c>
      <c r="W131" s="186">
        <f t="shared" si="186"/>
        <v>1148457.0357099618</v>
      </c>
      <c r="X131" s="186">
        <f t="shared" si="186"/>
        <v>1019566.8498792078</v>
      </c>
      <c r="Y131" s="186">
        <f t="shared" si="186"/>
        <v>944116.9451106526</v>
      </c>
      <c r="Z131" s="186">
        <f t="shared" si="185"/>
        <v>1104274.6944363504</v>
      </c>
      <c r="AA131" s="186">
        <f t="shared" si="185"/>
        <v>1209194.1751147259</v>
      </c>
      <c r="AB131" s="186">
        <f t="shared" si="185"/>
        <v>906455.23128364421</v>
      </c>
      <c r="AC131" s="186">
        <f t="shared" si="185"/>
        <v>985375.61525651719</v>
      </c>
      <c r="AD131" s="186">
        <f t="shared" si="185"/>
        <v>1116434.1020504418</v>
      </c>
      <c r="AE131" s="186">
        <f t="shared" si="185"/>
        <v>1199293.7516838063</v>
      </c>
      <c r="AF131" s="186">
        <f t="shared" ref="AF131:AQ131" si="187">AF385+AF639</f>
        <v>1291784.5332378461</v>
      </c>
      <c r="AG131" s="186">
        <f t="shared" si="187"/>
        <v>873457.78416263009</v>
      </c>
      <c r="AH131" s="186">
        <f t="shared" si="187"/>
        <v>1026248.904470089</v>
      </c>
      <c r="AI131" s="186">
        <f t="shared" si="187"/>
        <v>1162807.1374537298</v>
      </c>
      <c r="AJ131" s="186">
        <f t="shared" si="187"/>
        <v>1030630.6852550011</v>
      </c>
      <c r="AK131" s="186">
        <f t="shared" si="187"/>
        <v>954713.36140780407</v>
      </c>
      <c r="AL131" s="186">
        <f t="shared" si="187"/>
        <v>1118365.1524269006</v>
      </c>
      <c r="AM131" s="186">
        <f t="shared" si="187"/>
        <v>1224126.7505714241</v>
      </c>
      <c r="AN131" s="186">
        <f t="shared" si="187"/>
        <v>916925.96907879319</v>
      </c>
      <c r="AO131" s="186">
        <f t="shared" si="187"/>
        <v>997455.57589506428</v>
      </c>
      <c r="AP131" s="186">
        <f t="shared" si="187"/>
        <v>1128538.2807155924</v>
      </c>
      <c r="AQ131" s="186">
        <f t="shared" si="187"/>
        <v>1213667.7851857906</v>
      </c>
      <c r="AR131" s="186">
        <f>SUM(G131:R131)</f>
        <v>13163140.24</v>
      </c>
      <c r="AS131" s="186">
        <f>SUM(T131:AE131)</f>
        <v>12788763.013568198</v>
      </c>
      <c r="AT131" s="186">
        <f>SUM(AF131:AQ131)</f>
        <v>12938721.919860665</v>
      </c>
      <c r="AU131" s="171"/>
      <c r="AV131" s="171"/>
    </row>
    <row r="132" spans="1:48">
      <c r="B132" s="250">
        <v>741</v>
      </c>
      <c r="C132" s="212"/>
      <c r="D132" s="102"/>
      <c r="E132" s="102" t="s">
        <v>24</v>
      </c>
      <c r="F132" s="102"/>
      <c r="G132" s="186">
        <f t="shared" si="185"/>
        <v>47956.780000000006</v>
      </c>
      <c r="H132" s="186">
        <f t="shared" si="185"/>
        <v>34331.980000000003</v>
      </c>
      <c r="I132" s="186">
        <f t="shared" si="185"/>
        <v>43513.91</v>
      </c>
      <c r="J132" s="186">
        <f t="shared" si="185"/>
        <v>47137.57</v>
      </c>
      <c r="K132" s="186">
        <f t="shared" si="185"/>
        <v>43888.85</v>
      </c>
      <c r="L132" s="186">
        <f t="shared" si="185"/>
        <v>42248.05</v>
      </c>
      <c r="M132" s="186">
        <f t="shared" si="185"/>
        <v>44733.26</v>
      </c>
      <c r="N132" s="186">
        <f t="shared" si="185"/>
        <v>49088.06</v>
      </c>
      <c r="O132" s="186">
        <f t="shared" si="185"/>
        <v>43131.270000000004</v>
      </c>
      <c r="P132" s="186">
        <f t="shared" si="185"/>
        <v>42293.36</v>
      </c>
      <c r="Q132" s="186">
        <f t="shared" si="185"/>
        <v>56077.710000000006</v>
      </c>
      <c r="R132" s="186">
        <f t="shared" si="185"/>
        <v>55790.640000000007</v>
      </c>
      <c r="S132" s="186"/>
      <c r="T132" s="186">
        <f t="shared" ref="T132:Y132" si="188">T386+T640</f>
        <v>48340.389694299884</v>
      </c>
      <c r="U132" s="186">
        <f t="shared" si="188"/>
        <v>34495.663721068937</v>
      </c>
      <c r="V132" s="186">
        <f t="shared" si="188"/>
        <v>43587.874953891122</v>
      </c>
      <c r="W132" s="186">
        <f t="shared" si="188"/>
        <v>47399.555060253682</v>
      </c>
      <c r="X132" s="186">
        <f t="shared" si="188"/>
        <v>43891.536222631425</v>
      </c>
      <c r="Y132" s="186">
        <f t="shared" si="188"/>
        <v>42271.870692191973</v>
      </c>
      <c r="Z132" s="186">
        <f t="shared" si="185"/>
        <v>44963.906091762881</v>
      </c>
      <c r="AA132" s="186">
        <f t="shared" si="185"/>
        <v>49268.950991062899</v>
      </c>
      <c r="AB132" s="186">
        <f t="shared" si="185"/>
        <v>43068.920224918009</v>
      </c>
      <c r="AC132" s="186">
        <f t="shared" si="185"/>
        <v>42346.593059207131</v>
      </c>
      <c r="AD132" s="186">
        <f t="shared" si="185"/>
        <v>55656.551613315911</v>
      </c>
      <c r="AE132" s="186">
        <f t="shared" si="185"/>
        <v>55658.496218371482</v>
      </c>
      <c r="AF132" s="186">
        <f t="shared" ref="AF132:AQ132" si="189">AF386+AF640</f>
        <v>49224.178204417381</v>
      </c>
      <c r="AG132" s="186">
        <f t="shared" si="189"/>
        <v>35106.940592425206</v>
      </c>
      <c r="AH132" s="186">
        <f t="shared" si="189"/>
        <v>44336.857531533089</v>
      </c>
      <c r="AI132" s="186">
        <f t="shared" si="189"/>
        <v>48246.026507563285</v>
      </c>
      <c r="AJ132" s="186">
        <f t="shared" si="189"/>
        <v>44633.085701676784</v>
      </c>
      <c r="AK132" s="186">
        <f t="shared" si="189"/>
        <v>42989.797471514583</v>
      </c>
      <c r="AL132" s="186">
        <f t="shared" si="189"/>
        <v>45763.731093196999</v>
      </c>
      <c r="AM132" s="186">
        <f t="shared" si="189"/>
        <v>50132.696027741462</v>
      </c>
      <c r="AN132" s="186">
        <f t="shared" si="189"/>
        <v>43785.120293461616</v>
      </c>
      <c r="AO132" s="186">
        <f t="shared" si="189"/>
        <v>43070.964293511344</v>
      </c>
      <c r="AP132" s="186">
        <f t="shared" si="189"/>
        <v>56522.05801199477</v>
      </c>
      <c r="AQ132" s="186">
        <f t="shared" si="189"/>
        <v>56574.963400452951</v>
      </c>
      <c r="AR132" s="186">
        <f>SUM(G132:R132)</f>
        <v>550191.44000000006</v>
      </c>
      <c r="AS132" s="186">
        <f>SUM(T132:AE132)</f>
        <v>550950.30854297534</v>
      </c>
      <c r="AT132" s="186">
        <f>SUM(AF132:AQ132)</f>
        <v>560386.41912948946</v>
      </c>
      <c r="AU132" s="171"/>
      <c r="AV132" s="171"/>
    </row>
    <row r="133" spans="1:48">
      <c r="A133" s="15" t="s">
        <v>1022</v>
      </c>
      <c r="B133" s="250">
        <v>742</v>
      </c>
      <c r="C133" s="212"/>
      <c r="D133" s="102"/>
      <c r="E133" s="102" t="s">
        <v>170</v>
      </c>
      <c r="F133" s="102"/>
      <c r="G133" s="131">
        <f t="shared" ref="G133:AE133" si="190">SUM(G131:G132)</f>
        <v>1349376.8699999999</v>
      </c>
      <c r="H133" s="131">
        <f t="shared" si="190"/>
        <v>936641.04</v>
      </c>
      <c r="I133" s="131">
        <f t="shared" si="190"/>
        <v>1094028.93</v>
      </c>
      <c r="J133" s="131">
        <f t="shared" si="190"/>
        <v>1224200.6900000002</v>
      </c>
      <c r="K133" s="131">
        <f t="shared" si="190"/>
        <v>1098361.29</v>
      </c>
      <c r="L133" s="131">
        <f t="shared" si="190"/>
        <v>1016693.74</v>
      </c>
      <c r="M133" s="131">
        <f t="shared" si="190"/>
        <v>1174854.06</v>
      </c>
      <c r="N133" s="131">
        <f t="shared" si="190"/>
        <v>1289402.49</v>
      </c>
      <c r="O133" s="131">
        <f t="shared" si="190"/>
        <v>977019.81</v>
      </c>
      <c r="P133" s="131">
        <f t="shared" si="190"/>
        <v>1053531.9600000002</v>
      </c>
      <c r="Q133" s="131">
        <f t="shared" si="190"/>
        <v>1210795.08</v>
      </c>
      <c r="R133" s="131">
        <f t="shared" si="190"/>
        <v>1288425.72</v>
      </c>
      <c r="S133" s="620"/>
      <c r="T133" s="131">
        <f t="shared" ref="T133:Y133" si="191">SUM(T131:T132)</f>
        <v>1323267.1750611283</v>
      </c>
      <c r="U133" s="131">
        <f t="shared" si="191"/>
        <v>899853.73772491212</v>
      </c>
      <c r="V133" s="131">
        <f t="shared" si="191"/>
        <v>1058897.6286261082</v>
      </c>
      <c r="W133" s="131">
        <f t="shared" si="191"/>
        <v>1195856.5907702155</v>
      </c>
      <c r="X133" s="131">
        <f t="shared" si="191"/>
        <v>1063458.3861018391</v>
      </c>
      <c r="Y133" s="131">
        <f t="shared" si="191"/>
        <v>986388.81580284459</v>
      </c>
      <c r="Z133" s="131">
        <f t="shared" si="190"/>
        <v>1149238.6005281133</v>
      </c>
      <c r="AA133" s="131">
        <f t="shared" si="190"/>
        <v>1258463.1261057889</v>
      </c>
      <c r="AB133" s="131">
        <f t="shared" si="190"/>
        <v>949524.15150856227</v>
      </c>
      <c r="AC133" s="131">
        <f t="shared" si="190"/>
        <v>1027722.2083157243</v>
      </c>
      <c r="AD133" s="131">
        <f t="shared" si="190"/>
        <v>1172090.6536637577</v>
      </c>
      <c r="AE133" s="131">
        <f t="shared" si="190"/>
        <v>1254952.2479021777</v>
      </c>
      <c r="AF133" s="131">
        <f t="shared" ref="AF133:AQ133" si="192">SUM(AF131:AF132)</f>
        <v>1341008.7114422636</v>
      </c>
      <c r="AG133" s="131">
        <f t="shared" si="192"/>
        <v>908564.72475505527</v>
      </c>
      <c r="AH133" s="131">
        <f t="shared" si="192"/>
        <v>1070585.762001622</v>
      </c>
      <c r="AI133" s="131">
        <f t="shared" si="192"/>
        <v>1211053.1639612929</v>
      </c>
      <c r="AJ133" s="131">
        <f t="shared" si="192"/>
        <v>1075263.7709566779</v>
      </c>
      <c r="AK133" s="131">
        <f t="shared" si="192"/>
        <v>997703.15887931862</v>
      </c>
      <c r="AL133" s="131">
        <f t="shared" si="192"/>
        <v>1164128.8835200975</v>
      </c>
      <c r="AM133" s="131">
        <f t="shared" si="192"/>
        <v>1274259.4465991657</v>
      </c>
      <c r="AN133" s="131">
        <f t="shared" si="192"/>
        <v>960711.08937225479</v>
      </c>
      <c r="AO133" s="131">
        <f t="shared" si="192"/>
        <v>1040526.5401885756</v>
      </c>
      <c r="AP133" s="131">
        <f t="shared" si="192"/>
        <v>1185060.3387275871</v>
      </c>
      <c r="AQ133" s="131">
        <f t="shared" si="192"/>
        <v>1270242.7485862435</v>
      </c>
      <c r="AR133" s="131">
        <f>SUM(G133:R133)</f>
        <v>13713331.680000003</v>
      </c>
      <c r="AS133" s="131">
        <f>SUM(T133:AE133)</f>
        <v>13339713.322111173</v>
      </c>
      <c r="AT133" s="131">
        <f>SUM(AF133:AQ133)</f>
        <v>13499108.338990154</v>
      </c>
      <c r="AU133" s="621"/>
      <c r="AV133" s="621"/>
    </row>
    <row r="134" spans="1:48">
      <c r="B134" s="250">
        <v>743</v>
      </c>
      <c r="C134" s="212"/>
      <c r="D134" s="102"/>
      <c r="E134" s="102"/>
      <c r="F134" s="102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71"/>
      <c r="AV134" s="171"/>
    </row>
    <row r="135" spans="1:48">
      <c r="B135" s="250">
        <v>744</v>
      </c>
      <c r="C135" s="212">
        <v>9032</v>
      </c>
      <c r="D135" s="102" t="s">
        <v>405</v>
      </c>
      <c r="E135" s="102"/>
      <c r="F135" s="102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71"/>
      <c r="AV135" s="171"/>
    </row>
    <row r="136" spans="1:48">
      <c r="B136" s="250">
        <v>745</v>
      </c>
      <c r="C136" s="212"/>
      <c r="D136" s="102"/>
      <c r="E136" s="102" t="s">
        <v>14</v>
      </c>
      <c r="F136" s="102"/>
      <c r="G136" s="186">
        <f t="shared" ref="G136:AE137" si="193">G390+G644</f>
        <v>-65689.450000000012</v>
      </c>
      <c r="H136" s="186">
        <f t="shared" si="193"/>
        <v>-96532.09</v>
      </c>
      <c r="I136" s="186">
        <f t="shared" si="193"/>
        <v>-103131.08000000003</v>
      </c>
      <c r="J136" s="186">
        <f t="shared" si="193"/>
        <v>37845.74</v>
      </c>
      <c r="K136" s="186">
        <f t="shared" si="193"/>
        <v>-56311.76</v>
      </c>
      <c r="L136" s="186">
        <f t="shared" si="193"/>
        <v>38906.79</v>
      </c>
      <c r="M136" s="186">
        <f t="shared" si="193"/>
        <v>52585.24</v>
      </c>
      <c r="N136" s="186">
        <f t="shared" si="193"/>
        <v>29275.530000000002</v>
      </c>
      <c r="O136" s="186">
        <f t="shared" si="193"/>
        <v>89068.48000000001</v>
      </c>
      <c r="P136" s="186">
        <f t="shared" si="193"/>
        <v>60882.83</v>
      </c>
      <c r="Q136" s="186">
        <f t="shared" si="193"/>
        <v>40626.380000000005</v>
      </c>
      <c r="R136" s="186">
        <f t="shared" si="193"/>
        <v>111771.41</v>
      </c>
      <c r="S136" s="186"/>
      <c r="T136" s="186">
        <f t="shared" ref="T136:Y136" si="194">T390+T644</f>
        <v>-69179.882875511306</v>
      </c>
      <c r="U136" s="186">
        <f t="shared" si="194"/>
        <v>-100938.42394328257</v>
      </c>
      <c r="V136" s="186">
        <f t="shared" si="194"/>
        <v>-107458.73050802479</v>
      </c>
      <c r="W136" s="186">
        <f t="shared" si="194"/>
        <v>36258.921680082582</v>
      </c>
      <c r="X136" s="186">
        <f t="shared" si="194"/>
        <v>-60088.425391683006</v>
      </c>
      <c r="Y136" s="186">
        <f t="shared" si="194"/>
        <v>37309.971776232858</v>
      </c>
      <c r="Z136" s="186">
        <f t="shared" si="193"/>
        <v>51392.248232541635</v>
      </c>
      <c r="AA136" s="186">
        <f t="shared" si="193"/>
        <v>26912.335463586154</v>
      </c>
      <c r="AB136" s="186">
        <f t="shared" si="193"/>
        <v>88197.343595455633</v>
      </c>
      <c r="AC136" s="186">
        <f t="shared" si="193"/>
        <v>59457.477303961452</v>
      </c>
      <c r="AD136" s="186">
        <f t="shared" si="193"/>
        <v>38272.354780672671</v>
      </c>
      <c r="AE136" s="186">
        <f t="shared" si="193"/>
        <v>110253.52945372072</v>
      </c>
      <c r="AF136" s="186">
        <f t="shared" ref="AF136:AQ136" si="195">AF390+AF644</f>
        <v>-70962.991511965665</v>
      </c>
      <c r="AG136" s="186">
        <f t="shared" si="195"/>
        <v>-103419.145164812</v>
      </c>
      <c r="AH136" s="186">
        <f t="shared" si="195"/>
        <v>-110035.67728937787</v>
      </c>
      <c r="AI136" s="186">
        <f t="shared" si="195"/>
        <v>36591.509734826854</v>
      </c>
      <c r="AJ136" s="186">
        <f t="shared" si="195"/>
        <v>-61768.469202924418</v>
      </c>
      <c r="AK136" s="186">
        <f t="shared" si="195"/>
        <v>37658.543927833409</v>
      </c>
      <c r="AL136" s="186">
        <f t="shared" si="195"/>
        <v>52049.748428177947</v>
      </c>
      <c r="AM136" s="186">
        <f t="shared" si="195"/>
        <v>26950.306223842759</v>
      </c>
      <c r="AN136" s="186">
        <f t="shared" si="195"/>
        <v>89532.985508789992</v>
      </c>
      <c r="AO136" s="186">
        <f t="shared" si="195"/>
        <v>60210.208057350363</v>
      </c>
      <c r="AP136" s="186">
        <f t="shared" si="195"/>
        <v>38503.746814041267</v>
      </c>
      <c r="AQ136" s="186">
        <f t="shared" si="195"/>
        <v>111847.60943403086</v>
      </c>
      <c r="AR136" s="186">
        <f>SUM(G136:R136)</f>
        <v>139298.01999999996</v>
      </c>
      <c r="AS136" s="186">
        <f>SUM(T136:AE136)</f>
        <v>110388.71956775202</v>
      </c>
      <c r="AT136" s="186">
        <f>SUM(AF136:AQ136)</f>
        <v>107158.37495981358</v>
      </c>
      <c r="AU136" s="171"/>
      <c r="AV136" s="171"/>
    </row>
    <row r="137" spans="1:48">
      <c r="B137" s="250">
        <v>746</v>
      </c>
      <c r="C137" s="212"/>
      <c r="D137" s="102"/>
      <c r="E137" s="102" t="s">
        <v>24</v>
      </c>
      <c r="F137" s="102"/>
      <c r="G137" s="186">
        <f t="shared" si="193"/>
        <v>2457.42</v>
      </c>
      <c r="H137" s="186">
        <f t="shared" si="193"/>
        <v>1054.42</v>
      </c>
      <c r="I137" s="186">
        <f t="shared" si="193"/>
        <v>1061.3900000000003</v>
      </c>
      <c r="J137" s="186">
        <f t="shared" si="193"/>
        <v>4742.88</v>
      </c>
      <c r="K137" s="186">
        <f t="shared" si="193"/>
        <v>85.710000000000036</v>
      </c>
      <c r="L137" s="186">
        <f t="shared" si="193"/>
        <v>2649.21</v>
      </c>
      <c r="M137" s="186">
        <f t="shared" si="193"/>
        <v>2922.55</v>
      </c>
      <c r="N137" s="186">
        <f t="shared" si="193"/>
        <v>2555.25</v>
      </c>
      <c r="O137" s="186">
        <f t="shared" si="193"/>
        <v>5023.34</v>
      </c>
      <c r="P137" s="186">
        <f t="shared" si="193"/>
        <v>3879.67</v>
      </c>
      <c r="Q137" s="186">
        <f t="shared" si="193"/>
        <v>2870.96</v>
      </c>
      <c r="R137" s="186">
        <f t="shared" si="193"/>
        <v>5215.05</v>
      </c>
      <c r="S137" s="186"/>
      <c r="T137" s="186">
        <f t="shared" ref="T137:Y137" si="196">T391+T645</f>
        <v>2309.8301259101522</v>
      </c>
      <c r="U137" s="186">
        <f t="shared" si="196"/>
        <v>966.77966486392984</v>
      </c>
      <c r="V137" s="186">
        <f t="shared" si="196"/>
        <v>905.7189569711104</v>
      </c>
      <c r="W137" s="186">
        <f t="shared" si="196"/>
        <v>4706.5472097534921</v>
      </c>
      <c r="X137" s="186">
        <f t="shared" si="196"/>
        <v>17.653408356527848</v>
      </c>
      <c r="Y137" s="186">
        <f t="shared" si="196"/>
        <v>2621.4743760171968</v>
      </c>
      <c r="Z137" s="186">
        <f t="shared" si="193"/>
        <v>2904.3647116180564</v>
      </c>
      <c r="AA137" s="186">
        <f t="shared" si="193"/>
        <v>2491.143803372981</v>
      </c>
      <c r="AB137" s="186">
        <f t="shared" si="193"/>
        <v>4962.6916694752672</v>
      </c>
      <c r="AC137" s="186">
        <f t="shared" si="193"/>
        <v>3831.1939116077283</v>
      </c>
      <c r="AD137" s="186">
        <f t="shared" si="193"/>
        <v>2847.0447511233629</v>
      </c>
      <c r="AE137" s="186">
        <f t="shared" si="193"/>
        <v>5202.2396724904766</v>
      </c>
      <c r="AF137" s="186">
        <f t="shared" ref="AF137:AQ137" si="197">AF391+AF645</f>
        <v>2322.8227372239439</v>
      </c>
      <c r="AG137" s="186">
        <f t="shared" si="197"/>
        <v>967.65971295052702</v>
      </c>
      <c r="AH137" s="186">
        <f t="shared" si="197"/>
        <v>893.58018749452594</v>
      </c>
      <c r="AI137" s="186">
        <f t="shared" si="197"/>
        <v>4779.6114918307912</v>
      </c>
      <c r="AJ137" s="186">
        <f t="shared" si="197"/>
        <v>5.9590594036001221</v>
      </c>
      <c r="AK137" s="186">
        <f t="shared" si="197"/>
        <v>2660.8486722031157</v>
      </c>
      <c r="AL137" s="186">
        <f t="shared" si="197"/>
        <v>2950.1982892618444</v>
      </c>
      <c r="AM137" s="186">
        <f t="shared" si="197"/>
        <v>2521.9086192000486</v>
      </c>
      <c r="AN137" s="186">
        <f t="shared" si="197"/>
        <v>5035.7960622279325</v>
      </c>
      <c r="AO137" s="186">
        <f t="shared" si="197"/>
        <v>3887.3387011130617</v>
      </c>
      <c r="AP137" s="186">
        <f t="shared" si="197"/>
        <v>2890.9008336678958</v>
      </c>
      <c r="AQ137" s="186">
        <f t="shared" si="197"/>
        <v>5287.8183043020636</v>
      </c>
      <c r="AR137" s="186">
        <f>SUM(G137:R137)</f>
        <v>34517.85</v>
      </c>
      <c r="AS137" s="186">
        <f>SUM(T137:AE137)</f>
        <v>33766.68226156028</v>
      </c>
      <c r="AT137" s="186">
        <f>SUM(AF137:AQ137)</f>
        <v>34204.442670879354</v>
      </c>
      <c r="AU137" s="171"/>
      <c r="AV137" s="171"/>
    </row>
    <row r="138" spans="1:48">
      <c r="A138" s="15" t="s">
        <v>1023</v>
      </c>
      <c r="B138" s="250">
        <v>747</v>
      </c>
      <c r="C138" s="212"/>
      <c r="D138" s="102"/>
      <c r="E138" s="102" t="s">
        <v>170</v>
      </c>
      <c r="F138" s="102"/>
      <c r="G138" s="131">
        <f t="shared" ref="G138:AE138" si="198">SUM(G136:G137)</f>
        <v>-63232.030000000013</v>
      </c>
      <c r="H138" s="131">
        <f t="shared" si="198"/>
        <v>-95477.67</v>
      </c>
      <c r="I138" s="131">
        <f t="shared" si="198"/>
        <v>-102069.69000000003</v>
      </c>
      <c r="J138" s="131">
        <f t="shared" si="198"/>
        <v>42588.619999999995</v>
      </c>
      <c r="K138" s="131">
        <f t="shared" si="198"/>
        <v>-56226.05</v>
      </c>
      <c r="L138" s="131">
        <f t="shared" si="198"/>
        <v>41556</v>
      </c>
      <c r="M138" s="131">
        <f t="shared" si="198"/>
        <v>55507.79</v>
      </c>
      <c r="N138" s="131">
        <f t="shared" si="198"/>
        <v>31830.780000000002</v>
      </c>
      <c r="O138" s="131">
        <f t="shared" si="198"/>
        <v>94091.82</v>
      </c>
      <c r="P138" s="131">
        <f t="shared" si="198"/>
        <v>64762.5</v>
      </c>
      <c r="Q138" s="131">
        <f t="shared" si="198"/>
        <v>43497.340000000004</v>
      </c>
      <c r="R138" s="131">
        <f t="shared" si="198"/>
        <v>116986.46</v>
      </c>
      <c r="S138" s="620"/>
      <c r="T138" s="131">
        <f t="shared" ref="T138:Y138" si="199">SUM(T136:T137)</f>
        <v>-66870.052749601149</v>
      </c>
      <c r="U138" s="131">
        <f t="shared" si="199"/>
        <v>-99971.644278418637</v>
      </c>
      <c r="V138" s="131">
        <f t="shared" si="199"/>
        <v>-106553.01155105369</v>
      </c>
      <c r="W138" s="131">
        <f t="shared" si="199"/>
        <v>40965.468889836076</v>
      </c>
      <c r="X138" s="131">
        <f t="shared" si="199"/>
        <v>-60070.771983326478</v>
      </c>
      <c r="Y138" s="131">
        <f t="shared" si="199"/>
        <v>39931.446152250057</v>
      </c>
      <c r="Z138" s="131">
        <f t="shared" si="198"/>
        <v>54296.612944159693</v>
      </c>
      <c r="AA138" s="131">
        <f t="shared" si="198"/>
        <v>29403.479266959133</v>
      </c>
      <c r="AB138" s="131">
        <f t="shared" si="198"/>
        <v>93160.035264930906</v>
      </c>
      <c r="AC138" s="131">
        <f t="shared" si="198"/>
        <v>63288.671215569178</v>
      </c>
      <c r="AD138" s="131">
        <f t="shared" si="198"/>
        <v>41119.399531796036</v>
      </c>
      <c r="AE138" s="131">
        <f t="shared" si="198"/>
        <v>115455.76912621121</v>
      </c>
      <c r="AF138" s="131">
        <f t="shared" ref="AF138:AQ138" si="200">SUM(AF136:AF137)</f>
        <v>-68640.168774741716</v>
      </c>
      <c r="AG138" s="131">
        <f t="shared" si="200"/>
        <v>-102451.48545186147</v>
      </c>
      <c r="AH138" s="131">
        <f t="shared" si="200"/>
        <v>-109142.09710188334</v>
      </c>
      <c r="AI138" s="131">
        <f t="shared" si="200"/>
        <v>41371.121226657648</v>
      </c>
      <c r="AJ138" s="131">
        <f t="shared" si="200"/>
        <v>-61762.51014352082</v>
      </c>
      <c r="AK138" s="131">
        <f t="shared" si="200"/>
        <v>40319.392600036525</v>
      </c>
      <c r="AL138" s="131">
        <f t="shared" si="200"/>
        <v>54999.946717439794</v>
      </c>
      <c r="AM138" s="131">
        <f t="shared" si="200"/>
        <v>29472.214843042806</v>
      </c>
      <c r="AN138" s="131">
        <f t="shared" si="200"/>
        <v>94568.781571017927</v>
      </c>
      <c r="AO138" s="131">
        <f t="shared" si="200"/>
        <v>64097.546758463424</v>
      </c>
      <c r="AP138" s="131">
        <f t="shared" si="200"/>
        <v>41394.647647709164</v>
      </c>
      <c r="AQ138" s="131">
        <f t="shared" si="200"/>
        <v>117135.42773833293</v>
      </c>
      <c r="AR138" s="131">
        <f>SUM(G138:R138)</f>
        <v>173815.86999999997</v>
      </c>
      <c r="AS138" s="131">
        <f>SUM(T138:AE138)</f>
        <v>144155.40182931226</v>
      </c>
      <c r="AT138" s="131">
        <f>SUM(AF138:AQ138)</f>
        <v>141362.81763069285</v>
      </c>
      <c r="AU138" s="621"/>
      <c r="AV138" s="621"/>
    </row>
    <row r="139" spans="1:48">
      <c r="B139" s="250">
        <v>748</v>
      </c>
      <c r="C139" s="212"/>
      <c r="D139" s="102"/>
      <c r="E139" s="102"/>
      <c r="F139" s="102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71"/>
      <c r="AV139" s="171"/>
    </row>
    <row r="140" spans="1:48">
      <c r="B140" s="250">
        <v>749</v>
      </c>
      <c r="C140" s="212">
        <v>9033</v>
      </c>
      <c r="D140" s="102" t="s">
        <v>406</v>
      </c>
      <c r="E140" s="102"/>
      <c r="F140" s="102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71"/>
      <c r="AV140" s="171"/>
    </row>
    <row r="141" spans="1:48">
      <c r="B141" s="250">
        <v>750</v>
      </c>
      <c r="C141" s="212"/>
      <c r="D141" s="102"/>
      <c r="E141" s="102" t="s">
        <v>14</v>
      </c>
      <c r="F141" s="102"/>
      <c r="G141" s="186">
        <f t="shared" ref="G141:AE142" si="201">G395+G649</f>
        <v>24374.18</v>
      </c>
      <c r="H141" s="186">
        <f t="shared" si="201"/>
        <v>23358.53</v>
      </c>
      <c r="I141" s="186">
        <f t="shared" si="201"/>
        <v>21680.41</v>
      </c>
      <c r="J141" s="186">
        <f t="shared" si="201"/>
        <v>24078.13</v>
      </c>
      <c r="K141" s="186">
        <f t="shared" si="201"/>
        <v>24275.68</v>
      </c>
      <c r="L141" s="186">
        <f t="shared" si="201"/>
        <v>24610.95</v>
      </c>
      <c r="M141" s="186">
        <f t="shared" si="201"/>
        <v>24303.68</v>
      </c>
      <c r="N141" s="186">
        <f t="shared" si="201"/>
        <v>24744.720000000001</v>
      </c>
      <c r="O141" s="186">
        <f t="shared" si="201"/>
        <v>18425.780000000002</v>
      </c>
      <c r="P141" s="186">
        <f t="shared" si="201"/>
        <v>24965.58</v>
      </c>
      <c r="Q141" s="186">
        <f t="shared" si="201"/>
        <v>21776.47</v>
      </c>
      <c r="R141" s="186">
        <f t="shared" si="201"/>
        <v>17133.96</v>
      </c>
      <c r="S141" s="186"/>
      <c r="T141" s="186">
        <f t="shared" ref="T141:Y141" si="202">T395+T649</f>
        <v>24812.915240000002</v>
      </c>
      <c r="U141" s="186">
        <f t="shared" si="202"/>
        <v>23778.983539999997</v>
      </c>
      <c r="V141" s="186">
        <f t="shared" si="202"/>
        <v>22070.657380000001</v>
      </c>
      <c r="W141" s="186">
        <f t="shared" si="202"/>
        <v>24511.536340000002</v>
      </c>
      <c r="X141" s="186">
        <f t="shared" si="202"/>
        <v>24712.642240000001</v>
      </c>
      <c r="Y141" s="186">
        <f t="shared" si="202"/>
        <v>25053.947100000001</v>
      </c>
      <c r="Z141" s="186">
        <f t="shared" si="201"/>
        <v>24741.146240000002</v>
      </c>
      <c r="AA141" s="186">
        <f t="shared" si="201"/>
        <v>25190.124960000001</v>
      </c>
      <c r="AB141" s="186">
        <f t="shared" si="201"/>
        <v>18757.444040000002</v>
      </c>
      <c r="AC141" s="186">
        <f t="shared" si="201"/>
        <v>25414.960440000003</v>
      </c>
      <c r="AD141" s="186">
        <f t="shared" si="201"/>
        <v>22168.446460000003</v>
      </c>
      <c r="AE141" s="186">
        <f t="shared" si="201"/>
        <v>17442.371279999999</v>
      </c>
      <c r="AF141" s="186">
        <f t="shared" ref="AF141:AQ141" si="203">AF395+AF649</f>
        <v>25309.173544800004</v>
      </c>
      <c r="AG141" s="186">
        <f t="shared" si="203"/>
        <v>24254.563210799999</v>
      </c>
      <c r="AH141" s="186">
        <f t="shared" si="203"/>
        <v>22512.070527600001</v>
      </c>
      <c r="AI141" s="186">
        <f t="shared" si="203"/>
        <v>25001.767066800003</v>
      </c>
      <c r="AJ141" s="186">
        <f t="shared" si="203"/>
        <v>25206.895084800002</v>
      </c>
      <c r="AK141" s="186">
        <f t="shared" si="203"/>
        <v>25555.026042000001</v>
      </c>
      <c r="AL141" s="186">
        <f t="shared" si="203"/>
        <v>25235.969164800001</v>
      </c>
      <c r="AM141" s="186">
        <f t="shared" si="203"/>
        <v>25693.9274592</v>
      </c>
      <c r="AN141" s="186">
        <f t="shared" si="203"/>
        <v>19132.592920800002</v>
      </c>
      <c r="AO141" s="186">
        <f t="shared" si="203"/>
        <v>25923.259648800002</v>
      </c>
      <c r="AP141" s="186">
        <f t="shared" si="203"/>
        <v>22611.815389200005</v>
      </c>
      <c r="AQ141" s="186">
        <f t="shared" si="203"/>
        <v>17791.2187056</v>
      </c>
      <c r="AR141" s="186">
        <f>SUM(G141:R141)</f>
        <v>273728.07</v>
      </c>
      <c r="AS141" s="186">
        <f>SUM(T141:AE141)</f>
        <v>278655.17525999999</v>
      </c>
      <c r="AT141" s="186">
        <f>SUM(AF141:AQ141)</f>
        <v>284228.27876520006</v>
      </c>
      <c r="AU141" s="171"/>
      <c r="AV141" s="171"/>
    </row>
    <row r="142" spans="1:48">
      <c r="B142" s="250">
        <v>751</v>
      </c>
      <c r="C142" s="212"/>
      <c r="D142" s="102"/>
      <c r="E142" s="102" t="s">
        <v>24</v>
      </c>
      <c r="F142" s="102"/>
      <c r="G142" s="186">
        <f t="shared" si="201"/>
        <v>473.71000000000004</v>
      </c>
      <c r="H142" s="186">
        <f t="shared" si="201"/>
        <v>450.66</v>
      </c>
      <c r="I142" s="186">
        <f t="shared" si="201"/>
        <v>419.62</v>
      </c>
      <c r="J142" s="186">
        <f t="shared" si="201"/>
        <v>462.09000000000003</v>
      </c>
      <c r="K142" s="186">
        <f t="shared" si="201"/>
        <v>457.81</v>
      </c>
      <c r="L142" s="186">
        <f t="shared" si="201"/>
        <v>446.62</v>
      </c>
      <c r="M142" s="186">
        <f t="shared" si="201"/>
        <v>413.27</v>
      </c>
      <c r="N142" s="186">
        <f t="shared" si="201"/>
        <v>429.41</v>
      </c>
      <c r="O142" s="186">
        <f t="shared" si="201"/>
        <v>338.03000000000003</v>
      </c>
      <c r="P142" s="186">
        <f t="shared" si="201"/>
        <v>437.68</v>
      </c>
      <c r="Q142" s="186">
        <f t="shared" si="201"/>
        <v>434.38</v>
      </c>
      <c r="R142" s="186">
        <f t="shared" si="201"/>
        <v>371.83</v>
      </c>
      <c r="S142" s="186"/>
      <c r="T142" s="186">
        <f t="shared" ref="T142:Y142" si="204">T396+T650</f>
        <v>482.23678000000007</v>
      </c>
      <c r="U142" s="186">
        <f t="shared" si="204"/>
        <v>458.77188000000001</v>
      </c>
      <c r="V142" s="186">
        <f t="shared" si="204"/>
        <v>427.17316</v>
      </c>
      <c r="W142" s="186">
        <f t="shared" si="204"/>
        <v>470.40762000000007</v>
      </c>
      <c r="X142" s="186">
        <f t="shared" si="204"/>
        <v>466.05058000000002</v>
      </c>
      <c r="Y142" s="186">
        <f t="shared" si="204"/>
        <v>454.65915999999999</v>
      </c>
      <c r="Z142" s="186">
        <f t="shared" si="201"/>
        <v>420.70886000000002</v>
      </c>
      <c r="AA142" s="186">
        <f t="shared" si="201"/>
        <v>437.13938000000002</v>
      </c>
      <c r="AB142" s="186">
        <f t="shared" si="201"/>
        <v>344.11454000000003</v>
      </c>
      <c r="AC142" s="186">
        <f t="shared" si="201"/>
        <v>445.55824000000001</v>
      </c>
      <c r="AD142" s="186">
        <f t="shared" si="201"/>
        <v>442.19884000000002</v>
      </c>
      <c r="AE142" s="186">
        <f t="shared" si="201"/>
        <v>378.52294000000001</v>
      </c>
      <c r="AF142" s="186">
        <f t="shared" ref="AF142:AQ142" si="205">AF396+AF650</f>
        <v>491.88151560000006</v>
      </c>
      <c r="AG142" s="186">
        <f t="shared" si="205"/>
        <v>467.94731760000002</v>
      </c>
      <c r="AH142" s="186">
        <f t="shared" si="205"/>
        <v>435.71662320000002</v>
      </c>
      <c r="AI142" s="186">
        <f t="shared" si="205"/>
        <v>479.81577240000007</v>
      </c>
      <c r="AJ142" s="186">
        <f t="shared" si="205"/>
        <v>475.37159160000004</v>
      </c>
      <c r="AK142" s="186">
        <f t="shared" si="205"/>
        <v>463.75234319999998</v>
      </c>
      <c r="AL142" s="186">
        <f t="shared" si="205"/>
        <v>429.1230372</v>
      </c>
      <c r="AM142" s="186">
        <f t="shared" si="205"/>
        <v>445.8821676</v>
      </c>
      <c r="AN142" s="186">
        <f t="shared" si="205"/>
        <v>350.99683080000005</v>
      </c>
      <c r="AO142" s="186">
        <f t="shared" si="205"/>
        <v>454.46940480000001</v>
      </c>
      <c r="AP142" s="186">
        <f t="shared" si="205"/>
        <v>451.04281680000003</v>
      </c>
      <c r="AQ142" s="186">
        <f t="shared" si="205"/>
        <v>386.09339879999999</v>
      </c>
      <c r="AR142" s="186">
        <f>SUM(G142:R142)</f>
        <v>5135.1100000000006</v>
      </c>
      <c r="AS142" s="186">
        <f>SUM(T142:AE142)</f>
        <v>5227.5419800000009</v>
      </c>
      <c r="AT142" s="186">
        <f>SUM(AF142:AQ142)</f>
        <v>5332.0928195999995</v>
      </c>
      <c r="AU142" s="171"/>
      <c r="AV142" s="171"/>
    </row>
    <row r="143" spans="1:48">
      <c r="A143" s="15" t="s">
        <v>1024</v>
      </c>
      <c r="B143" s="250">
        <v>752</v>
      </c>
      <c r="C143" s="212"/>
      <c r="D143" s="102"/>
      <c r="E143" s="102" t="s">
        <v>170</v>
      </c>
      <c r="F143" s="102"/>
      <c r="G143" s="131">
        <f t="shared" ref="G143:AE143" si="206">SUM(G141:G142)</f>
        <v>24847.89</v>
      </c>
      <c r="H143" s="131">
        <f t="shared" si="206"/>
        <v>23809.19</v>
      </c>
      <c r="I143" s="131">
        <f t="shared" si="206"/>
        <v>22100.03</v>
      </c>
      <c r="J143" s="131">
        <f t="shared" si="206"/>
        <v>24540.22</v>
      </c>
      <c r="K143" s="131">
        <f t="shared" si="206"/>
        <v>24733.49</v>
      </c>
      <c r="L143" s="131">
        <f t="shared" si="206"/>
        <v>25057.57</v>
      </c>
      <c r="M143" s="131">
        <f t="shared" si="206"/>
        <v>24716.95</v>
      </c>
      <c r="N143" s="131">
        <f t="shared" si="206"/>
        <v>25174.13</v>
      </c>
      <c r="O143" s="131">
        <f t="shared" si="206"/>
        <v>18763.810000000001</v>
      </c>
      <c r="P143" s="131">
        <f t="shared" si="206"/>
        <v>25403.260000000002</v>
      </c>
      <c r="Q143" s="131">
        <f t="shared" si="206"/>
        <v>22210.850000000002</v>
      </c>
      <c r="R143" s="131">
        <f t="shared" si="206"/>
        <v>17505.79</v>
      </c>
      <c r="S143" s="620"/>
      <c r="T143" s="131">
        <f t="shared" ref="T143:Y143" si="207">SUM(T141:T142)</f>
        <v>25295.152020000001</v>
      </c>
      <c r="U143" s="131">
        <f t="shared" si="207"/>
        <v>24237.755419999998</v>
      </c>
      <c r="V143" s="131">
        <f t="shared" si="207"/>
        <v>22497.830539999999</v>
      </c>
      <c r="W143" s="131">
        <f t="shared" si="207"/>
        <v>24981.943960000004</v>
      </c>
      <c r="X143" s="131">
        <f t="shared" si="207"/>
        <v>25178.69282</v>
      </c>
      <c r="Y143" s="131">
        <f t="shared" si="207"/>
        <v>25508.60626</v>
      </c>
      <c r="Z143" s="131">
        <f t="shared" si="206"/>
        <v>25161.855100000001</v>
      </c>
      <c r="AA143" s="131">
        <f t="shared" si="206"/>
        <v>25627.264340000002</v>
      </c>
      <c r="AB143" s="131">
        <f t="shared" si="206"/>
        <v>19101.558580000001</v>
      </c>
      <c r="AC143" s="131">
        <f t="shared" si="206"/>
        <v>25860.518680000001</v>
      </c>
      <c r="AD143" s="131">
        <f t="shared" si="206"/>
        <v>22610.645300000004</v>
      </c>
      <c r="AE143" s="131">
        <f t="shared" si="206"/>
        <v>17820.894219999998</v>
      </c>
      <c r="AF143" s="131">
        <f t="shared" ref="AF143:AQ143" si="208">SUM(AF141:AF142)</f>
        <v>25801.055060400002</v>
      </c>
      <c r="AG143" s="131">
        <f t="shared" si="208"/>
        <v>24722.510528399998</v>
      </c>
      <c r="AH143" s="131">
        <f t="shared" si="208"/>
        <v>22947.787150800003</v>
      </c>
      <c r="AI143" s="131">
        <f t="shared" si="208"/>
        <v>25481.582839200004</v>
      </c>
      <c r="AJ143" s="131">
        <f t="shared" si="208"/>
        <v>25682.266676400002</v>
      </c>
      <c r="AK143" s="131">
        <f t="shared" si="208"/>
        <v>26018.778385200003</v>
      </c>
      <c r="AL143" s="131">
        <f t="shared" si="208"/>
        <v>25665.092202</v>
      </c>
      <c r="AM143" s="131">
        <f t="shared" si="208"/>
        <v>26139.809626800001</v>
      </c>
      <c r="AN143" s="131">
        <f t="shared" si="208"/>
        <v>19483.5897516</v>
      </c>
      <c r="AO143" s="131">
        <f t="shared" si="208"/>
        <v>26377.7290536</v>
      </c>
      <c r="AP143" s="131">
        <f t="shared" si="208"/>
        <v>23062.858206000004</v>
      </c>
      <c r="AQ143" s="131">
        <f t="shared" si="208"/>
        <v>18177.3121044</v>
      </c>
      <c r="AR143" s="131">
        <f>SUM(G143:R143)</f>
        <v>278863.18000000005</v>
      </c>
      <c r="AS143" s="131">
        <f>SUM(T143:AE143)</f>
        <v>283882.71724000003</v>
      </c>
      <c r="AT143" s="131">
        <f>SUM(AF143:AQ143)</f>
        <v>289560.37158480007</v>
      </c>
      <c r="AU143" s="621"/>
      <c r="AV143" s="621"/>
    </row>
    <row r="144" spans="1:48">
      <c r="B144" s="250"/>
      <c r="C144" s="212"/>
      <c r="D144" s="102"/>
      <c r="E144" s="102"/>
      <c r="F144" s="102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71"/>
      <c r="AV144" s="171"/>
    </row>
    <row r="145" spans="1:48">
      <c r="B145" s="250">
        <v>754</v>
      </c>
      <c r="C145" s="212">
        <v>904</v>
      </c>
      <c r="D145" s="119" t="s">
        <v>21</v>
      </c>
      <c r="E145" s="102"/>
      <c r="F145" s="102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71"/>
      <c r="AV145" s="171"/>
    </row>
    <row r="146" spans="1:48">
      <c r="B146" s="250">
        <v>755</v>
      </c>
      <c r="C146" s="212"/>
      <c r="D146" s="102"/>
      <c r="E146" s="102" t="s">
        <v>14</v>
      </c>
      <c r="F146" s="102"/>
      <c r="G146" s="186">
        <f t="shared" ref="G146:AE147" si="209">G400+G654</f>
        <v>127890.43</v>
      </c>
      <c r="H146" s="186">
        <f t="shared" si="209"/>
        <v>114698.68000000001</v>
      </c>
      <c r="I146" s="186">
        <f t="shared" si="209"/>
        <v>84928.78</v>
      </c>
      <c r="J146" s="186">
        <f t="shared" si="209"/>
        <v>51978.189999999995</v>
      </c>
      <c r="K146" s="186">
        <f t="shared" si="209"/>
        <v>39087.64</v>
      </c>
      <c r="L146" s="186">
        <f t="shared" si="209"/>
        <v>30649.18</v>
      </c>
      <c r="M146" s="186">
        <f t="shared" si="209"/>
        <v>28529.48</v>
      </c>
      <c r="N146" s="186">
        <f t="shared" si="209"/>
        <v>28115.68</v>
      </c>
      <c r="O146" s="186">
        <f t="shared" si="209"/>
        <v>30323.280000000002</v>
      </c>
      <c r="P146" s="186">
        <f t="shared" si="209"/>
        <v>45896.649999999994</v>
      </c>
      <c r="Q146" s="186">
        <f t="shared" si="209"/>
        <v>89621.950000000012</v>
      </c>
      <c r="R146" s="186">
        <f t="shared" si="209"/>
        <v>-15636.410000000002</v>
      </c>
      <c r="S146" s="186"/>
      <c r="T146" s="186">
        <f t="shared" ref="T146:Y146" si="210">T400+T654</f>
        <v>127890.43</v>
      </c>
      <c r="U146" s="186">
        <f t="shared" si="210"/>
        <v>114698.68000000001</v>
      </c>
      <c r="V146" s="186">
        <f t="shared" si="210"/>
        <v>84928.78</v>
      </c>
      <c r="W146" s="186">
        <f t="shared" si="210"/>
        <v>51978.189999999995</v>
      </c>
      <c r="X146" s="186">
        <f t="shared" si="210"/>
        <v>39087.64</v>
      </c>
      <c r="Y146" s="186">
        <f t="shared" si="210"/>
        <v>30649.18</v>
      </c>
      <c r="Z146" s="186">
        <f t="shared" si="209"/>
        <v>28529.48</v>
      </c>
      <c r="AA146" s="186">
        <f t="shared" si="209"/>
        <v>28115.68</v>
      </c>
      <c r="AB146" s="186">
        <f t="shared" si="209"/>
        <v>30323.280000000002</v>
      </c>
      <c r="AC146" s="186">
        <f t="shared" si="209"/>
        <v>45896.649999999994</v>
      </c>
      <c r="AD146" s="186">
        <f t="shared" si="209"/>
        <v>89621.950000000012</v>
      </c>
      <c r="AE146" s="186">
        <f t="shared" si="209"/>
        <v>-15636.410000000002</v>
      </c>
      <c r="AF146" s="186">
        <f t="shared" ref="AF146:AQ146" si="211">AF400+AF654</f>
        <v>127890.43</v>
      </c>
      <c r="AG146" s="186">
        <f t="shared" si="211"/>
        <v>114698.68000000001</v>
      </c>
      <c r="AH146" s="186">
        <f t="shared" si="211"/>
        <v>84928.78</v>
      </c>
      <c r="AI146" s="186">
        <f t="shared" si="211"/>
        <v>51978.189999999995</v>
      </c>
      <c r="AJ146" s="186">
        <f t="shared" si="211"/>
        <v>39087.64</v>
      </c>
      <c r="AK146" s="186">
        <f t="shared" si="211"/>
        <v>30649.18</v>
      </c>
      <c r="AL146" s="186">
        <f t="shared" si="211"/>
        <v>28529.48</v>
      </c>
      <c r="AM146" s="186">
        <f t="shared" si="211"/>
        <v>28115.68</v>
      </c>
      <c r="AN146" s="186">
        <f t="shared" si="211"/>
        <v>30323.280000000002</v>
      </c>
      <c r="AO146" s="186">
        <f t="shared" si="211"/>
        <v>45896.649999999994</v>
      </c>
      <c r="AP146" s="186">
        <f t="shared" si="211"/>
        <v>89621.950000000012</v>
      </c>
      <c r="AQ146" s="186">
        <f t="shared" si="211"/>
        <v>-15636.410000000002</v>
      </c>
      <c r="AR146" s="186">
        <f>SUM(G146:R146)</f>
        <v>656083.52999999991</v>
      </c>
      <c r="AS146" s="186">
        <f>SUM(T146:AE146)</f>
        <v>656083.52999999991</v>
      </c>
      <c r="AT146" s="186">
        <f>SUM(AF146:AQ146)</f>
        <v>656083.52999999991</v>
      </c>
      <c r="AU146" s="171"/>
      <c r="AV146" s="171"/>
    </row>
    <row r="147" spans="1:48">
      <c r="B147" s="250">
        <v>756</v>
      </c>
      <c r="C147" s="212"/>
      <c r="D147" s="102"/>
      <c r="E147" s="102" t="s">
        <v>24</v>
      </c>
      <c r="F147" s="102"/>
      <c r="G147" s="186">
        <f t="shared" si="209"/>
        <v>12885.29</v>
      </c>
      <c r="H147" s="186">
        <f t="shared" si="209"/>
        <v>10129.780000000001</v>
      </c>
      <c r="I147" s="186">
        <f t="shared" si="209"/>
        <v>8065.68</v>
      </c>
      <c r="J147" s="186">
        <f t="shared" si="209"/>
        <v>7013.37</v>
      </c>
      <c r="K147" s="186">
        <f t="shared" si="209"/>
        <v>4602.53</v>
      </c>
      <c r="L147" s="186">
        <f t="shared" si="209"/>
        <v>2140.11</v>
      </c>
      <c r="M147" s="186">
        <f t="shared" si="209"/>
        <v>2316.52</v>
      </c>
      <c r="N147" s="186">
        <f t="shared" si="209"/>
        <v>2101.4700000000003</v>
      </c>
      <c r="O147" s="186">
        <f t="shared" si="209"/>
        <v>2571.23</v>
      </c>
      <c r="P147" s="186">
        <f t="shared" si="209"/>
        <v>6587.41</v>
      </c>
      <c r="Q147" s="186">
        <f t="shared" si="209"/>
        <v>8810.57</v>
      </c>
      <c r="R147" s="186">
        <f t="shared" si="209"/>
        <v>-3422.76</v>
      </c>
      <c r="S147" s="186"/>
      <c r="T147" s="186">
        <f t="shared" ref="T147:Y147" si="212">T401+T655</f>
        <v>12885.29</v>
      </c>
      <c r="U147" s="186">
        <f t="shared" si="212"/>
        <v>10129.780000000001</v>
      </c>
      <c r="V147" s="186">
        <f t="shared" si="212"/>
        <v>8065.68</v>
      </c>
      <c r="W147" s="186">
        <f t="shared" si="212"/>
        <v>7013.37</v>
      </c>
      <c r="X147" s="186">
        <f t="shared" si="212"/>
        <v>4602.53</v>
      </c>
      <c r="Y147" s="186">
        <f t="shared" si="212"/>
        <v>2140.11</v>
      </c>
      <c r="Z147" s="186">
        <f t="shared" si="209"/>
        <v>2316.52</v>
      </c>
      <c r="AA147" s="186">
        <f t="shared" si="209"/>
        <v>2101.4700000000003</v>
      </c>
      <c r="AB147" s="186">
        <f t="shared" si="209"/>
        <v>2571.23</v>
      </c>
      <c r="AC147" s="186">
        <f t="shared" si="209"/>
        <v>6587.41</v>
      </c>
      <c r="AD147" s="186">
        <f t="shared" si="209"/>
        <v>8810.57</v>
      </c>
      <c r="AE147" s="186">
        <f t="shared" si="209"/>
        <v>-3422.76</v>
      </c>
      <c r="AF147" s="186">
        <f t="shared" ref="AF147:AQ147" si="213">AF401+AF655</f>
        <v>12885.29</v>
      </c>
      <c r="AG147" s="186">
        <f t="shared" si="213"/>
        <v>10129.780000000001</v>
      </c>
      <c r="AH147" s="186">
        <f t="shared" si="213"/>
        <v>8065.68</v>
      </c>
      <c r="AI147" s="186">
        <f t="shared" si="213"/>
        <v>7013.37</v>
      </c>
      <c r="AJ147" s="186">
        <f t="shared" si="213"/>
        <v>4602.53</v>
      </c>
      <c r="AK147" s="186">
        <f t="shared" si="213"/>
        <v>2140.11</v>
      </c>
      <c r="AL147" s="186">
        <f t="shared" si="213"/>
        <v>2316.52</v>
      </c>
      <c r="AM147" s="186">
        <f t="shared" si="213"/>
        <v>2101.4700000000003</v>
      </c>
      <c r="AN147" s="186">
        <f t="shared" si="213"/>
        <v>2571.23</v>
      </c>
      <c r="AO147" s="186">
        <f t="shared" si="213"/>
        <v>6587.41</v>
      </c>
      <c r="AP147" s="186">
        <f t="shared" si="213"/>
        <v>8810.57</v>
      </c>
      <c r="AQ147" s="186">
        <f t="shared" si="213"/>
        <v>-3422.76</v>
      </c>
      <c r="AR147" s="186">
        <f>SUM(G147:R147)</f>
        <v>63801.19999999999</v>
      </c>
      <c r="AS147" s="186">
        <f>SUM(T147:AE147)</f>
        <v>63801.19999999999</v>
      </c>
      <c r="AT147" s="186">
        <f>SUM(AF147:AQ147)</f>
        <v>63801.19999999999</v>
      </c>
      <c r="AU147" s="171"/>
      <c r="AV147" s="171"/>
    </row>
    <row r="148" spans="1:48">
      <c r="A148" s="15" t="s">
        <v>1025</v>
      </c>
      <c r="B148" s="250">
        <v>757</v>
      </c>
      <c r="C148" s="212"/>
      <c r="D148" s="102"/>
      <c r="E148" s="102" t="s">
        <v>170</v>
      </c>
      <c r="F148" s="102"/>
      <c r="G148" s="131">
        <f t="shared" ref="G148:AE148" si="214">SUM(G146:G147)</f>
        <v>140775.72</v>
      </c>
      <c r="H148" s="131">
        <f t="shared" si="214"/>
        <v>124828.46</v>
      </c>
      <c r="I148" s="131">
        <f t="shared" si="214"/>
        <v>92994.459999999992</v>
      </c>
      <c r="J148" s="131">
        <f t="shared" si="214"/>
        <v>58991.56</v>
      </c>
      <c r="K148" s="131">
        <f t="shared" si="214"/>
        <v>43690.17</v>
      </c>
      <c r="L148" s="131">
        <f t="shared" si="214"/>
        <v>32789.29</v>
      </c>
      <c r="M148" s="131">
        <f t="shared" si="214"/>
        <v>30846</v>
      </c>
      <c r="N148" s="131">
        <f t="shared" si="214"/>
        <v>30217.15</v>
      </c>
      <c r="O148" s="131">
        <f t="shared" si="214"/>
        <v>32894.51</v>
      </c>
      <c r="P148" s="131">
        <f t="shared" si="214"/>
        <v>52484.06</v>
      </c>
      <c r="Q148" s="131">
        <f t="shared" si="214"/>
        <v>98432.520000000019</v>
      </c>
      <c r="R148" s="131">
        <f t="shared" si="214"/>
        <v>-19059.170000000002</v>
      </c>
      <c r="S148" s="620"/>
      <c r="T148" s="131">
        <f t="shared" ref="T148:Y148" si="215">SUM(T146:T147)</f>
        <v>140775.72</v>
      </c>
      <c r="U148" s="131">
        <f t="shared" si="215"/>
        <v>124828.46</v>
      </c>
      <c r="V148" s="131">
        <f t="shared" si="215"/>
        <v>92994.459999999992</v>
      </c>
      <c r="W148" s="131">
        <f t="shared" si="215"/>
        <v>58991.56</v>
      </c>
      <c r="X148" s="131">
        <f t="shared" si="215"/>
        <v>43690.17</v>
      </c>
      <c r="Y148" s="131">
        <f t="shared" si="215"/>
        <v>32789.29</v>
      </c>
      <c r="Z148" s="131">
        <f t="shared" si="214"/>
        <v>30846</v>
      </c>
      <c r="AA148" s="131">
        <f t="shared" si="214"/>
        <v>30217.15</v>
      </c>
      <c r="AB148" s="131">
        <f t="shared" si="214"/>
        <v>32894.51</v>
      </c>
      <c r="AC148" s="131">
        <f t="shared" si="214"/>
        <v>52484.06</v>
      </c>
      <c r="AD148" s="131">
        <f t="shared" si="214"/>
        <v>98432.520000000019</v>
      </c>
      <c r="AE148" s="131">
        <f t="shared" si="214"/>
        <v>-19059.170000000002</v>
      </c>
      <c r="AF148" s="131">
        <f t="shared" ref="AF148:AQ148" si="216">SUM(AF146:AF147)</f>
        <v>140775.72</v>
      </c>
      <c r="AG148" s="131">
        <f t="shared" si="216"/>
        <v>124828.46</v>
      </c>
      <c r="AH148" s="131">
        <f t="shared" si="216"/>
        <v>92994.459999999992</v>
      </c>
      <c r="AI148" s="131">
        <f t="shared" si="216"/>
        <v>58991.56</v>
      </c>
      <c r="AJ148" s="131">
        <f t="shared" si="216"/>
        <v>43690.17</v>
      </c>
      <c r="AK148" s="131">
        <f t="shared" si="216"/>
        <v>32789.29</v>
      </c>
      <c r="AL148" s="131">
        <f t="shared" si="216"/>
        <v>30846</v>
      </c>
      <c r="AM148" s="131">
        <f t="shared" si="216"/>
        <v>30217.15</v>
      </c>
      <c r="AN148" s="131">
        <f t="shared" si="216"/>
        <v>32894.51</v>
      </c>
      <c r="AO148" s="131">
        <f t="shared" si="216"/>
        <v>52484.06</v>
      </c>
      <c r="AP148" s="131">
        <f t="shared" si="216"/>
        <v>98432.520000000019</v>
      </c>
      <c r="AQ148" s="131">
        <f t="shared" si="216"/>
        <v>-19059.170000000002</v>
      </c>
      <c r="AR148" s="131">
        <f>SUM(G148:R148)</f>
        <v>719884.72999999986</v>
      </c>
      <c r="AS148" s="131">
        <f>SUM(T148:AE148)</f>
        <v>719884.72999999986</v>
      </c>
      <c r="AT148" s="131">
        <f>SUM(AF148:AQ148)</f>
        <v>719884.72999999986</v>
      </c>
      <c r="AU148" s="621"/>
      <c r="AV148" s="621"/>
    </row>
    <row r="149" spans="1:48">
      <c r="B149" s="250"/>
      <c r="C149" s="212"/>
      <c r="D149" s="102"/>
      <c r="E149" s="102"/>
      <c r="F149" s="102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71"/>
      <c r="AV149" s="171"/>
    </row>
    <row r="150" spans="1:48">
      <c r="B150" s="250">
        <v>754</v>
      </c>
      <c r="C150" s="212">
        <v>904</v>
      </c>
      <c r="D150" s="119" t="s">
        <v>22</v>
      </c>
      <c r="E150" s="102"/>
      <c r="F150" s="102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71"/>
      <c r="AV150" s="171"/>
    </row>
    <row r="151" spans="1:48">
      <c r="B151" s="250">
        <v>755</v>
      </c>
      <c r="C151" s="212"/>
      <c r="D151" s="102"/>
      <c r="E151" s="102" t="s">
        <v>14</v>
      </c>
      <c r="F151" s="102"/>
      <c r="G151" s="186">
        <f t="shared" ref="G151:AE152" si="217">G405+G659</f>
        <v>60508.31</v>
      </c>
      <c r="H151" s="186">
        <f t="shared" si="217"/>
        <v>41482.379999999997</v>
      </c>
      <c r="I151" s="186">
        <f t="shared" si="217"/>
        <v>28788.05</v>
      </c>
      <c r="J151" s="186">
        <f t="shared" si="217"/>
        <v>10828.68</v>
      </c>
      <c r="K151" s="186">
        <f t="shared" si="217"/>
        <v>6003.92</v>
      </c>
      <c r="L151" s="186">
        <f t="shared" si="217"/>
        <v>3852.98</v>
      </c>
      <c r="M151" s="186">
        <f t="shared" si="217"/>
        <v>3833.02</v>
      </c>
      <c r="N151" s="186">
        <f t="shared" si="217"/>
        <v>3521.5</v>
      </c>
      <c r="O151" s="186">
        <f t="shared" si="217"/>
        <v>4442.3900000000003</v>
      </c>
      <c r="P151" s="186">
        <f t="shared" si="217"/>
        <v>10989.86</v>
      </c>
      <c r="Q151" s="186">
        <f t="shared" si="217"/>
        <v>29604.53</v>
      </c>
      <c r="R151" s="186">
        <f t="shared" si="217"/>
        <v>8461.4500000000007</v>
      </c>
      <c r="S151" s="186"/>
      <c r="T151" s="186">
        <f t="shared" ref="T151:Y151" si="218">T405+T659</f>
        <v>60508.31</v>
      </c>
      <c r="U151" s="186">
        <f t="shared" si="218"/>
        <v>41482.379999999997</v>
      </c>
      <c r="V151" s="186">
        <f t="shared" si="218"/>
        <v>28788.05</v>
      </c>
      <c r="W151" s="186">
        <f t="shared" si="218"/>
        <v>10828.68</v>
      </c>
      <c r="X151" s="186">
        <f t="shared" si="218"/>
        <v>6003.92</v>
      </c>
      <c r="Y151" s="186">
        <f t="shared" si="218"/>
        <v>3852.98</v>
      </c>
      <c r="Z151" s="186">
        <f t="shared" si="217"/>
        <v>3833.02</v>
      </c>
      <c r="AA151" s="186">
        <f t="shared" si="217"/>
        <v>3521.5</v>
      </c>
      <c r="AB151" s="186">
        <f t="shared" si="217"/>
        <v>4442.3900000000003</v>
      </c>
      <c r="AC151" s="186">
        <f t="shared" si="217"/>
        <v>10989.86</v>
      </c>
      <c r="AD151" s="186">
        <f t="shared" si="217"/>
        <v>29604.53</v>
      </c>
      <c r="AE151" s="186">
        <f t="shared" si="217"/>
        <v>8461.4500000000007</v>
      </c>
      <c r="AF151" s="186">
        <f t="shared" ref="AF151:AQ151" si="219">AF405+AF659</f>
        <v>60508.31</v>
      </c>
      <c r="AG151" s="186">
        <f t="shared" si="219"/>
        <v>41482.379999999997</v>
      </c>
      <c r="AH151" s="186">
        <f t="shared" si="219"/>
        <v>28788.05</v>
      </c>
      <c r="AI151" s="186">
        <f t="shared" si="219"/>
        <v>10828.68</v>
      </c>
      <c r="AJ151" s="186">
        <f t="shared" si="219"/>
        <v>6003.92</v>
      </c>
      <c r="AK151" s="186">
        <f t="shared" si="219"/>
        <v>3852.98</v>
      </c>
      <c r="AL151" s="186">
        <f t="shared" si="219"/>
        <v>3833.02</v>
      </c>
      <c r="AM151" s="186">
        <f t="shared" si="219"/>
        <v>3521.5</v>
      </c>
      <c r="AN151" s="186">
        <f t="shared" si="219"/>
        <v>4442.3900000000003</v>
      </c>
      <c r="AO151" s="186">
        <f t="shared" si="219"/>
        <v>10989.86</v>
      </c>
      <c r="AP151" s="186">
        <f t="shared" si="219"/>
        <v>29604.53</v>
      </c>
      <c r="AQ151" s="186">
        <f t="shared" si="219"/>
        <v>8461.4500000000007</v>
      </c>
      <c r="AR151" s="186">
        <f>SUM(G151:R151)</f>
        <v>212317.07000000004</v>
      </c>
      <c r="AS151" s="186">
        <f>SUM(T151:AE151)</f>
        <v>212317.07000000004</v>
      </c>
      <c r="AT151" s="186">
        <f>SUM(AF151:AQ151)</f>
        <v>212317.07000000004</v>
      </c>
      <c r="AU151" s="171"/>
      <c r="AV151" s="171"/>
    </row>
    <row r="152" spans="1:48">
      <c r="B152" s="250">
        <v>756</v>
      </c>
      <c r="C152" s="212"/>
      <c r="D152" s="102"/>
      <c r="E152" s="102" t="s">
        <v>24</v>
      </c>
      <c r="F152" s="102"/>
      <c r="G152" s="186">
        <f t="shared" si="217"/>
        <v>0</v>
      </c>
      <c r="H152" s="186">
        <f t="shared" si="217"/>
        <v>0</v>
      </c>
      <c r="I152" s="186">
        <f t="shared" si="217"/>
        <v>0</v>
      </c>
      <c r="J152" s="186">
        <f t="shared" si="217"/>
        <v>0</v>
      </c>
      <c r="K152" s="186">
        <f t="shared" si="217"/>
        <v>0</v>
      </c>
      <c r="L152" s="186">
        <f t="shared" si="217"/>
        <v>0</v>
      </c>
      <c r="M152" s="186">
        <f t="shared" si="217"/>
        <v>0</v>
      </c>
      <c r="N152" s="186">
        <f t="shared" si="217"/>
        <v>0</v>
      </c>
      <c r="O152" s="186">
        <f t="shared" si="217"/>
        <v>0</v>
      </c>
      <c r="P152" s="186">
        <f t="shared" si="217"/>
        <v>0</v>
      </c>
      <c r="Q152" s="186">
        <f t="shared" si="217"/>
        <v>0</v>
      </c>
      <c r="R152" s="186">
        <f t="shared" si="217"/>
        <v>0</v>
      </c>
      <c r="S152" s="186"/>
      <c r="T152" s="186">
        <f t="shared" ref="T152:Y152" si="220">T406+T660</f>
        <v>0</v>
      </c>
      <c r="U152" s="186">
        <f t="shared" si="220"/>
        <v>0</v>
      </c>
      <c r="V152" s="186">
        <f t="shared" si="220"/>
        <v>0</v>
      </c>
      <c r="W152" s="186">
        <f t="shared" si="220"/>
        <v>0</v>
      </c>
      <c r="X152" s="186">
        <f t="shared" si="220"/>
        <v>0</v>
      </c>
      <c r="Y152" s="186">
        <f t="shared" si="220"/>
        <v>0</v>
      </c>
      <c r="Z152" s="186">
        <f t="shared" si="217"/>
        <v>0</v>
      </c>
      <c r="AA152" s="186">
        <f t="shared" si="217"/>
        <v>0</v>
      </c>
      <c r="AB152" s="186">
        <f t="shared" si="217"/>
        <v>0</v>
      </c>
      <c r="AC152" s="186">
        <f t="shared" si="217"/>
        <v>0</v>
      </c>
      <c r="AD152" s="186">
        <f t="shared" si="217"/>
        <v>0</v>
      </c>
      <c r="AE152" s="186">
        <f t="shared" si="217"/>
        <v>0</v>
      </c>
      <c r="AF152" s="186">
        <f t="shared" ref="AF152:AQ152" si="221">AF406+AF660</f>
        <v>0</v>
      </c>
      <c r="AG152" s="186">
        <f t="shared" si="221"/>
        <v>0</v>
      </c>
      <c r="AH152" s="186">
        <f t="shared" si="221"/>
        <v>0</v>
      </c>
      <c r="AI152" s="186">
        <f t="shared" si="221"/>
        <v>0</v>
      </c>
      <c r="AJ152" s="186">
        <f t="shared" si="221"/>
        <v>0</v>
      </c>
      <c r="AK152" s="186">
        <f t="shared" si="221"/>
        <v>0</v>
      </c>
      <c r="AL152" s="186">
        <f t="shared" si="221"/>
        <v>0</v>
      </c>
      <c r="AM152" s="186">
        <f t="shared" si="221"/>
        <v>0</v>
      </c>
      <c r="AN152" s="186">
        <f t="shared" si="221"/>
        <v>0</v>
      </c>
      <c r="AO152" s="186">
        <f t="shared" si="221"/>
        <v>0</v>
      </c>
      <c r="AP152" s="186">
        <f t="shared" si="221"/>
        <v>0</v>
      </c>
      <c r="AQ152" s="186">
        <f t="shared" si="221"/>
        <v>0</v>
      </c>
      <c r="AR152" s="186">
        <f>SUM(G152:R152)</f>
        <v>0</v>
      </c>
      <c r="AS152" s="186">
        <f>SUM(T152:AE152)</f>
        <v>0</v>
      </c>
      <c r="AT152" s="186">
        <f>SUM(AF152:AQ152)</f>
        <v>0</v>
      </c>
      <c r="AU152" s="171"/>
      <c r="AV152" s="171"/>
    </row>
    <row r="153" spans="1:48">
      <c r="A153" s="15" t="s">
        <v>1026</v>
      </c>
      <c r="B153" s="250">
        <v>757</v>
      </c>
      <c r="C153" s="212"/>
      <c r="D153" s="102"/>
      <c r="E153" s="102" t="s">
        <v>170</v>
      </c>
      <c r="F153" s="102"/>
      <c r="G153" s="131">
        <f t="shared" ref="G153:AE153" si="222">SUM(G151:G152)</f>
        <v>60508.31</v>
      </c>
      <c r="H153" s="131">
        <f t="shared" si="222"/>
        <v>41482.379999999997</v>
      </c>
      <c r="I153" s="131">
        <f t="shared" si="222"/>
        <v>28788.05</v>
      </c>
      <c r="J153" s="131">
        <f t="shared" si="222"/>
        <v>10828.68</v>
      </c>
      <c r="K153" s="131">
        <f t="shared" si="222"/>
        <v>6003.92</v>
      </c>
      <c r="L153" s="131">
        <f t="shared" si="222"/>
        <v>3852.98</v>
      </c>
      <c r="M153" s="131">
        <f t="shared" si="222"/>
        <v>3833.02</v>
      </c>
      <c r="N153" s="131">
        <f t="shared" si="222"/>
        <v>3521.5</v>
      </c>
      <c r="O153" s="131">
        <f t="shared" si="222"/>
        <v>4442.3900000000003</v>
      </c>
      <c r="P153" s="131">
        <f t="shared" si="222"/>
        <v>10989.86</v>
      </c>
      <c r="Q153" s="131">
        <f t="shared" si="222"/>
        <v>29604.53</v>
      </c>
      <c r="R153" s="131">
        <f t="shared" si="222"/>
        <v>8461.4500000000007</v>
      </c>
      <c r="S153" s="620"/>
      <c r="T153" s="131">
        <f t="shared" ref="T153:Y153" si="223">SUM(T151:T152)</f>
        <v>60508.31</v>
      </c>
      <c r="U153" s="131">
        <f t="shared" si="223"/>
        <v>41482.379999999997</v>
      </c>
      <c r="V153" s="131">
        <f t="shared" si="223"/>
        <v>28788.05</v>
      </c>
      <c r="W153" s="131">
        <f t="shared" si="223"/>
        <v>10828.68</v>
      </c>
      <c r="X153" s="131">
        <f t="shared" si="223"/>
        <v>6003.92</v>
      </c>
      <c r="Y153" s="131">
        <f t="shared" si="223"/>
        <v>3852.98</v>
      </c>
      <c r="Z153" s="131">
        <f t="shared" si="222"/>
        <v>3833.02</v>
      </c>
      <c r="AA153" s="131">
        <f t="shared" si="222"/>
        <v>3521.5</v>
      </c>
      <c r="AB153" s="131">
        <f t="shared" si="222"/>
        <v>4442.3900000000003</v>
      </c>
      <c r="AC153" s="131">
        <f t="shared" si="222"/>
        <v>10989.86</v>
      </c>
      <c r="AD153" s="131">
        <f t="shared" si="222"/>
        <v>29604.53</v>
      </c>
      <c r="AE153" s="131">
        <f t="shared" si="222"/>
        <v>8461.4500000000007</v>
      </c>
      <c r="AF153" s="131">
        <f t="shared" ref="AF153:AQ153" si="224">SUM(AF151:AF152)</f>
        <v>60508.31</v>
      </c>
      <c r="AG153" s="131">
        <f t="shared" si="224"/>
        <v>41482.379999999997</v>
      </c>
      <c r="AH153" s="131">
        <f t="shared" si="224"/>
        <v>28788.05</v>
      </c>
      <c r="AI153" s="131">
        <f t="shared" si="224"/>
        <v>10828.68</v>
      </c>
      <c r="AJ153" s="131">
        <f t="shared" si="224"/>
        <v>6003.92</v>
      </c>
      <c r="AK153" s="131">
        <f t="shared" si="224"/>
        <v>3852.98</v>
      </c>
      <c r="AL153" s="131">
        <f t="shared" si="224"/>
        <v>3833.02</v>
      </c>
      <c r="AM153" s="131">
        <f t="shared" si="224"/>
        <v>3521.5</v>
      </c>
      <c r="AN153" s="131">
        <f t="shared" si="224"/>
        <v>4442.3900000000003</v>
      </c>
      <c r="AO153" s="131">
        <f t="shared" si="224"/>
        <v>10989.86</v>
      </c>
      <c r="AP153" s="131">
        <f t="shared" si="224"/>
        <v>29604.53</v>
      </c>
      <c r="AQ153" s="131">
        <f t="shared" si="224"/>
        <v>8461.4500000000007</v>
      </c>
      <c r="AR153" s="131">
        <f>SUM(G153:R153)</f>
        <v>212317.07000000004</v>
      </c>
      <c r="AS153" s="131">
        <f>SUM(T153:AE153)</f>
        <v>212317.07000000004</v>
      </c>
      <c r="AT153" s="131">
        <f>SUM(AF153:AQ153)</f>
        <v>212317.07000000004</v>
      </c>
      <c r="AU153" s="621"/>
      <c r="AV153" s="621"/>
    </row>
    <row r="154" spans="1:48">
      <c r="B154" s="250">
        <v>753</v>
      </c>
      <c r="C154" s="212"/>
      <c r="D154" s="102"/>
      <c r="E154" s="102"/>
      <c r="F154" s="102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71"/>
      <c r="AV154" s="171"/>
    </row>
    <row r="155" spans="1:48">
      <c r="B155" s="250">
        <v>754</v>
      </c>
      <c r="C155" s="212">
        <v>904</v>
      </c>
      <c r="D155" s="119" t="s">
        <v>23</v>
      </c>
      <c r="E155" s="102"/>
      <c r="F155" s="102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71"/>
      <c r="AV155" s="171"/>
    </row>
    <row r="156" spans="1:48">
      <c r="B156" s="250">
        <v>755</v>
      </c>
      <c r="C156" s="212"/>
      <c r="D156" s="102"/>
      <c r="E156" s="102" t="s">
        <v>14</v>
      </c>
      <c r="F156" s="102"/>
      <c r="G156" s="186">
        <f t="shared" ref="G156:AE157" si="225">G410+G664</f>
        <v>203440.57</v>
      </c>
      <c r="H156" s="186">
        <f t="shared" si="225"/>
        <v>139523.70000000001</v>
      </c>
      <c r="I156" s="186">
        <f t="shared" si="225"/>
        <v>96983.5</v>
      </c>
      <c r="J156" s="186">
        <f t="shared" si="225"/>
        <v>79246.740000000005</v>
      </c>
      <c r="K156" s="186">
        <f t="shared" si="225"/>
        <v>43080.66</v>
      </c>
      <c r="L156" s="186">
        <f t="shared" si="225"/>
        <v>26511.08</v>
      </c>
      <c r="M156" s="186">
        <f t="shared" si="225"/>
        <v>26100.420000000002</v>
      </c>
      <c r="N156" s="186">
        <f t="shared" si="225"/>
        <v>23973.59</v>
      </c>
      <c r="O156" s="186">
        <f t="shared" si="225"/>
        <v>30214.5</v>
      </c>
      <c r="P156" s="186">
        <f t="shared" si="225"/>
        <v>74638.95</v>
      </c>
      <c r="Q156" s="186">
        <f t="shared" si="225"/>
        <v>101999.85</v>
      </c>
      <c r="R156" s="186">
        <f t="shared" si="225"/>
        <v>-3895.59</v>
      </c>
      <c r="S156" s="186"/>
      <c r="T156" s="186">
        <f t="shared" ref="T156:Y156" si="226">T410+T664</f>
        <v>203440.57</v>
      </c>
      <c r="U156" s="186">
        <f t="shared" si="226"/>
        <v>139523.70000000001</v>
      </c>
      <c r="V156" s="186">
        <f t="shared" si="226"/>
        <v>96983.5</v>
      </c>
      <c r="W156" s="186">
        <f t="shared" si="226"/>
        <v>79246.740000000005</v>
      </c>
      <c r="X156" s="186">
        <f t="shared" si="226"/>
        <v>43080.66</v>
      </c>
      <c r="Y156" s="186">
        <f t="shared" si="226"/>
        <v>26511.08</v>
      </c>
      <c r="Z156" s="186">
        <f t="shared" si="225"/>
        <v>26100.420000000002</v>
      </c>
      <c r="AA156" s="186">
        <f t="shared" si="225"/>
        <v>23973.59</v>
      </c>
      <c r="AB156" s="186">
        <f t="shared" si="225"/>
        <v>30214.5</v>
      </c>
      <c r="AC156" s="186">
        <f t="shared" si="225"/>
        <v>74638.95</v>
      </c>
      <c r="AD156" s="186">
        <f t="shared" si="225"/>
        <v>101999.85</v>
      </c>
      <c r="AE156" s="186">
        <f t="shared" si="225"/>
        <v>-3895.59</v>
      </c>
      <c r="AF156" s="186">
        <f t="shared" ref="AF156:AQ156" si="227">AF410+AF664</f>
        <v>203440.57</v>
      </c>
      <c r="AG156" s="186">
        <f t="shared" si="227"/>
        <v>139523.70000000001</v>
      </c>
      <c r="AH156" s="186">
        <f t="shared" si="227"/>
        <v>96983.5</v>
      </c>
      <c r="AI156" s="186">
        <f t="shared" si="227"/>
        <v>79246.740000000005</v>
      </c>
      <c r="AJ156" s="186">
        <f t="shared" si="227"/>
        <v>43080.66</v>
      </c>
      <c r="AK156" s="186">
        <f t="shared" si="227"/>
        <v>26511.08</v>
      </c>
      <c r="AL156" s="186">
        <f t="shared" si="227"/>
        <v>26100.420000000002</v>
      </c>
      <c r="AM156" s="186">
        <f t="shared" si="227"/>
        <v>23973.59</v>
      </c>
      <c r="AN156" s="186">
        <f t="shared" si="227"/>
        <v>30214.5</v>
      </c>
      <c r="AO156" s="186">
        <f t="shared" si="227"/>
        <v>74638.95</v>
      </c>
      <c r="AP156" s="186">
        <f t="shared" si="227"/>
        <v>101999.85</v>
      </c>
      <c r="AQ156" s="186">
        <f t="shared" si="227"/>
        <v>-3895.59</v>
      </c>
      <c r="AR156" s="186">
        <f>SUM(G156:R156)</f>
        <v>841817.97</v>
      </c>
      <c r="AS156" s="186">
        <f>SUM(T156:AE156)</f>
        <v>841817.97</v>
      </c>
      <c r="AT156" s="186">
        <f>SUM(AF156:AQ156)</f>
        <v>841817.97</v>
      </c>
      <c r="AU156" s="171"/>
      <c r="AV156" s="171"/>
    </row>
    <row r="157" spans="1:48">
      <c r="B157" s="250">
        <v>756</v>
      </c>
      <c r="C157" s="212"/>
      <c r="D157" s="102"/>
      <c r="E157" s="102" t="s">
        <v>24</v>
      </c>
      <c r="F157" s="102"/>
      <c r="G157" s="186">
        <f t="shared" si="225"/>
        <v>0</v>
      </c>
      <c r="H157" s="186">
        <f t="shared" si="225"/>
        <v>0</v>
      </c>
      <c r="I157" s="186">
        <f t="shared" si="225"/>
        <v>0</v>
      </c>
      <c r="J157" s="186">
        <f t="shared" si="225"/>
        <v>0</v>
      </c>
      <c r="K157" s="186">
        <f t="shared" si="225"/>
        <v>0</v>
      </c>
      <c r="L157" s="186">
        <f t="shared" si="225"/>
        <v>0</v>
      </c>
      <c r="M157" s="186">
        <f t="shared" si="225"/>
        <v>0</v>
      </c>
      <c r="N157" s="186">
        <f t="shared" si="225"/>
        <v>0</v>
      </c>
      <c r="O157" s="186">
        <f t="shared" si="225"/>
        <v>0</v>
      </c>
      <c r="P157" s="186">
        <f t="shared" si="225"/>
        <v>0</v>
      </c>
      <c r="Q157" s="186">
        <f t="shared" si="225"/>
        <v>0</v>
      </c>
      <c r="R157" s="186">
        <f t="shared" si="225"/>
        <v>0</v>
      </c>
      <c r="S157" s="186"/>
      <c r="T157" s="186">
        <f t="shared" ref="T157:Y157" si="228">T411+T665</f>
        <v>0</v>
      </c>
      <c r="U157" s="186">
        <f t="shared" si="228"/>
        <v>0</v>
      </c>
      <c r="V157" s="186">
        <f t="shared" si="228"/>
        <v>0</v>
      </c>
      <c r="W157" s="186">
        <f t="shared" si="228"/>
        <v>0</v>
      </c>
      <c r="X157" s="186">
        <f t="shared" si="228"/>
        <v>0</v>
      </c>
      <c r="Y157" s="186">
        <f t="shared" si="228"/>
        <v>0</v>
      </c>
      <c r="Z157" s="186">
        <f t="shared" si="225"/>
        <v>0</v>
      </c>
      <c r="AA157" s="186">
        <f t="shared" si="225"/>
        <v>0</v>
      </c>
      <c r="AB157" s="186">
        <f t="shared" si="225"/>
        <v>0</v>
      </c>
      <c r="AC157" s="186">
        <f t="shared" si="225"/>
        <v>0</v>
      </c>
      <c r="AD157" s="186">
        <f t="shared" si="225"/>
        <v>0</v>
      </c>
      <c r="AE157" s="186">
        <f t="shared" si="225"/>
        <v>0</v>
      </c>
      <c r="AF157" s="186">
        <f t="shared" ref="AF157:AQ157" si="229">AF411+AF665</f>
        <v>0</v>
      </c>
      <c r="AG157" s="186">
        <f t="shared" si="229"/>
        <v>0</v>
      </c>
      <c r="AH157" s="186">
        <f t="shared" si="229"/>
        <v>0</v>
      </c>
      <c r="AI157" s="186">
        <f t="shared" si="229"/>
        <v>0</v>
      </c>
      <c r="AJ157" s="186">
        <f t="shared" si="229"/>
        <v>0</v>
      </c>
      <c r="AK157" s="186">
        <f t="shared" si="229"/>
        <v>0</v>
      </c>
      <c r="AL157" s="186">
        <f t="shared" si="229"/>
        <v>0</v>
      </c>
      <c r="AM157" s="186">
        <f t="shared" si="229"/>
        <v>0</v>
      </c>
      <c r="AN157" s="186">
        <f t="shared" si="229"/>
        <v>0</v>
      </c>
      <c r="AO157" s="186">
        <f t="shared" si="229"/>
        <v>0</v>
      </c>
      <c r="AP157" s="186">
        <f t="shared" si="229"/>
        <v>0</v>
      </c>
      <c r="AQ157" s="186">
        <f t="shared" si="229"/>
        <v>0</v>
      </c>
      <c r="AR157" s="186">
        <f>SUM(G157:R157)</f>
        <v>0</v>
      </c>
      <c r="AS157" s="186">
        <f>SUM(T157:AE157)</f>
        <v>0</v>
      </c>
      <c r="AT157" s="186">
        <f>SUM(AF157:AQ157)</f>
        <v>0</v>
      </c>
      <c r="AU157" s="171"/>
      <c r="AV157" s="171"/>
    </row>
    <row r="158" spans="1:48">
      <c r="A158" s="15" t="s">
        <v>1027</v>
      </c>
      <c r="B158" s="250">
        <v>757</v>
      </c>
      <c r="C158" s="212"/>
      <c r="D158" s="102"/>
      <c r="E158" s="102" t="s">
        <v>170</v>
      </c>
      <c r="F158" s="102"/>
      <c r="G158" s="131">
        <f t="shared" ref="G158:AE158" si="230">SUM(G156:G157)</f>
        <v>203440.57</v>
      </c>
      <c r="H158" s="131">
        <f t="shared" si="230"/>
        <v>139523.70000000001</v>
      </c>
      <c r="I158" s="131">
        <f t="shared" si="230"/>
        <v>96983.5</v>
      </c>
      <c r="J158" s="131">
        <f t="shared" si="230"/>
        <v>79246.740000000005</v>
      </c>
      <c r="K158" s="131">
        <f t="shared" si="230"/>
        <v>43080.66</v>
      </c>
      <c r="L158" s="131">
        <f t="shared" si="230"/>
        <v>26511.08</v>
      </c>
      <c r="M158" s="131">
        <f t="shared" si="230"/>
        <v>26100.420000000002</v>
      </c>
      <c r="N158" s="131">
        <f t="shared" si="230"/>
        <v>23973.59</v>
      </c>
      <c r="O158" s="131">
        <f t="shared" si="230"/>
        <v>30214.5</v>
      </c>
      <c r="P158" s="131">
        <f t="shared" si="230"/>
        <v>74638.95</v>
      </c>
      <c r="Q158" s="131">
        <f t="shared" si="230"/>
        <v>101999.85</v>
      </c>
      <c r="R158" s="131">
        <f t="shared" si="230"/>
        <v>-3895.59</v>
      </c>
      <c r="S158" s="620"/>
      <c r="T158" s="131">
        <f t="shared" ref="T158:Y158" si="231">SUM(T156:T157)</f>
        <v>203440.57</v>
      </c>
      <c r="U158" s="131">
        <f t="shared" si="231"/>
        <v>139523.70000000001</v>
      </c>
      <c r="V158" s="131">
        <f t="shared" si="231"/>
        <v>96983.5</v>
      </c>
      <c r="W158" s="131">
        <f t="shared" si="231"/>
        <v>79246.740000000005</v>
      </c>
      <c r="X158" s="131">
        <f t="shared" si="231"/>
        <v>43080.66</v>
      </c>
      <c r="Y158" s="131">
        <f t="shared" si="231"/>
        <v>26511.08</v>
      </c>
      <c r="Z158" s="131">
        <f t="shared" si="230"/>
        <v>26100.420000000002</v>
      </c>
      <c r="AA158" s="131">
        <f t="shared" si="230"/>
        <v>23973.59</v>
      </c>
      <c r="AB158" s="131">
        <f t="shared" si="230"/>
        <v>30214.5</v>
      </c>
      <c r="AC158" s="131">
        <f t="shared" si="230"/>
        <v>74638.95</v>
      </c>
      <c r="AD158" s="131">
        <f t="shared" si="230"/>
        <v>101999.85</v>
      </c>
      <c r="AE158" s="131">
        <f t="shared" si="230"/>
        <v>-3895.59</v>
      </c>
      <c r="AF158" s="131">
        <f t="shared" ref="AF158:AQ158" si="232">SUM(AF156:AF157)</f>
        <v>203440.57</v>
      </c>
      <c r="AG158" s="131">
        <f t="shared" si="232"/>
        <v>139523.70000000001</v>
      </c>
      <c r="AH158" s="131">
        <f t="shared" si="232"/>
        <v>96983.5</v>
      </c>
      <c r="AI158" s="131">
        <f t="shared" si="232"/>
        <v>79246.740000000005</v>
      </c>
      <c r="AJ158" s="131">
        <f t="shared" si="232"/>
        <v>43080.66</v>
      </c>
      <c r="AK158" s="131">
        <f t="shared" si="232"/>
        <v>26511.08</v>
      </c>
      <c r="AL158" s="131">
        <f t="shared" si="232"/>
        <v>26100.420000000002</v>
      </c>
      <c r="AM158" s="131">
        <f t="shared" si="232"/>
        <v>23973.59</v>
      </c>
      <c r="AN158" s="131">
        <f t="shared" si="232"/>
        <v>30214.5</v>
      </c>
      <c r="AO158" s="131">
        <f t="shared" si="232"/>
        <v>74638.95</v>
      </c>
      <c r="AP158" s="131">
        <f t="shared" si="232"/>
        <v>101999.85</v>
      </c>
      <c r="AQ158" s="131">
        <f t="shared" si="232"/>
        <v>-3895.59</v>
      </c>
      <c r="AR158" s="131">
        <f>SUM(G158:R158)</f>
        <v>841817.97</v>
      </c>
      <c r="AS158" s="131">
        <f>SUM(T158:AE158)</f>
        <v>841817.97</v>
      </c>
      <c r="AT158" s="131">
        <f>SUM(AF158:AQ158)</f>
        <v>841817.97</v>
      </c>
      <c r="AU158" s="621"/>
      <c r="AV158" s="621"/>
    </row>
    <row r="159" spans="1:48">
      <c r="A159" s="209"/>
      <c r="B159" s="250">
        <v>758</v>
      </c>
      <c r="C159" s="212"/>
      <c r="D159" s="102"/>
      <c r="E159" s="102"/>
      <c r="F159" s="102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71"/>
      <c r="AV159" s="171"/>
    </row>
    <row r="160" spans="1:48">
      <c r="B160" s="250">
        <v>759</v>
      </c>
      <c r="C160" s="212">
        <v>905</v>
      </c>
      <c r="D160" s="102" t="s">
        <v>408</v>
      </c>
      <c r="E160" s="102"/>
      <c r="F160" s="102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71"/>
      <c r="AV160" s="171"/>
    </row>
    <row r="161" spans="1:48">
      <c r="B161" s="250">
        <v>760</v>
      </c>
      <c r="C161" s="208"/>
      <c r="D161" s="102"/>
      <c r="E161" s="102" t="s">
        <v>14</v>
      </c>
      <c r="F161" s="102"/>
      <c r="G161" s="186">
        <f t="shared" ref="G161:AE162" si="233">G415+G669</f>
        <v>0</v>
      </c>
      <c r="H161" s="186">
        <f t="shared" si="233"/>
        <v>0</v>
      </c>
      <c r="I161" s="186">
        <f t="shared" si="233"/>
        <v>0</v>
      </c>
      <c r="J161" s="186">
        <f t="shared" si="233"/>
        <v>0</v>
      </c>
      <c r="K161" s="186">
        <f t="shared" si="233"/>
        <v>0</v>
      </c>
      <c r="L161" s="186">
        <f t="shared" si="233"/>
        <v>0</v>
      </c>
      <c r="M161" s="186">
        <f t="shared" si="233"/>
        <v>0</v>
      </c>
      <c r="N161" s="186">
        <f t="shared" si="233"/>
        <v>0</v>
      </c>
      <c r="O161" s="186">
        <f t="shared" si="233"/>
        <v>0</v>
      </c>
      <c r="P161" s="186">
        <f t="shared" si="233"/>
        <v>0</v>
      </c>
      <c r="Q161" s="186">
        <f t="shared" si="233"/>
        <v>0</v>
      </c>
      <c r="R161" s="186">
        <f t="shared" si="233"/>
        <v>0</v>
      </c>
      <c r="S161" s="186"/>
      <c r="T161" s="186">
        <f t="shared" ref="T161:Y161" si="234">T415+T669</f>
        <v>0</v>
      </c>
      <c r="U161" s="186">
        <f t="shared" si="234"/>
        <v>0</v>
      </c>
      <c r="V161" s="186">
        <f t="shared" si="234"/>
        <v>0</v>
      </c>
      <c r="W161" s="186">
        <f t="shared" si="234"/>
        <v>0</v>
      </c>
      <c r="X161" s="186">
        <f t="shared" si="234"/>
        <v>0</v>
      </c>
      <c r="Y161" s="186">
        <f t="shared" si="234"/>
        <v>0</v>
      </c>
      <c r="Z161" s="186">
        <f t="shared" si="233"/>
        <v>0</v>
      </c>
      <c r="AA161" s="186">
        <f t="shared" si="233"/>
        <v>0</v>
      </c>
      <c r="AB161" s="186">
        <f t="shared" si="233"/>
        <v>0</v>
      </c>
      <c r="AC161" s="186">
        <f t="shared" si="233"/>
        <v>0</v>
      </c>
      <c r="AD161" s="186">
        <f t="shared" si="233"/>
        <v>0</v>
      </c>
      <c r="AE161" s="186">
        <f t="shared" si="233"/>
        <v>0</v>
      </c>
      <c r="AF161" s="186">
        <f t="shared" ref="AF161:AQ161" si="235">AF415+AF669</f>
        <v>0</v>
      </c>
      <c r="AG161" s="186">
        <f t="shared" si="235"/>
        <v>0</v>
      </c>
      <c r="AH161" s="186">
        <f t="shared" si="235"/>
        <v>0</v>
      </c>
      <c r="AI161" s="186">
        <f t="shared" si="235"/>
        <v>0</v>
      </c>
      <c r="AJ161" s="186">
        <f t="shared" si="235"/>
        <v>0</v>
      </c>
      <c r="AK161" s="186">
        <f t="shared" si="235"/>
        <v>0</v>
      </c>
      <c r="AL161" s="186">
        <f t="shared" si="235"/>
        <v>0</v>
      </c>
      <c r="AM161" s="186">
        <f t="shared" si="235"/>
        <v>0</v>
      </c>
      <c r="AN161" s="186">
        <f t="shared" si="235"/>
        <v>0</v>
      </c>
      <c r="AO161" s="186">
        <f t="shared" si="235"/>
        <v>0</v>
      </c>
      <c r="AP161" s="186">
        <f t="shared" si="235"/>
        <v>0</v>
      </c>
      <c r="AQ161" s="186">
        <f t="shared" si="235"/>
        <v>0</v>
      </c>
      <c r="AR161" s="186">
        <f>SUM(G161:R161)</f>
        <v>0</v>
      </c>
      <c r="AS161" s="186">
        <f>SUM(T161:AE161)</f>
        <v>0</v>
      </c>
      <c r="AT161" s="186">
        <f>SUM(AF161:AQ161)</f>
        <v>0</v>
      </c>
      <c r="AU161" s="171"/>
      <c r="AV161" s="171"/>
    </row>
    <row r="162" spans="1:48">
      <c r="B162" s="250">
        <v>761</v>
      </c>
      <c r="C162" s="208"/>
      <c r="D162" s="102"/>
      <c r="E162" s="102" t="s">
        <v>24</v>
      </c>
      <c r="F162" s="102"/>
      <c r="G162" s="186">
        <f t="shared" si="233"/>
        <v>0</v>
      </c>
      <c r="H162" s="186">
        <f t="shared" si="233"/>
        <v>0</v>
      </c>
      <c r="I162" s="186">
        <f t="shared" si="233"/>
        <v>0</v>
      </c>
      <c r="J162" s="186">
        <f t="shared" si="233"/>
        <v>0</v>
      </c>
      <c r="K162" s="186">
        <f t="shared" si="233"/>
        <v>0</v>
      </c>
      <c r="L162" s="186">
        <f t="shared" si="233"/>
        <v>0</v>
      </c>
      <c r="M162" s="186">
        <f t="shared" si="233"/>
        <v>0</v>
      </c>
      <c r="N162" s="186">
        <f t="shared" si="233"/>
        <v>0</v>
      </c>
      <c r="O162" s="186">
        <f t="shared" si="233"/>
        <v>0</v>
      </c>
      <c r="P162" s="186">
        <f t="shared" si="233"/>
        <v>0</v>
      </c>
      <c r="Q162" s="186">
        <f t="shared" si="233"/>
        <v>0</v>
      </c>
      <c r="R162" s="186">
        <f t="shared" si="233"/>
        <v>0</v>
      </c>
      <c r="S162" s="186"/>
      <c r="T162" s="186">
        <f t="shared" ref="T162:Y162" si="236">T416+T670</f>
        <v>0</v>
      </c>
      <c r="U162" s="186">
        <f t="shared" si="236"/>
        <v>0</v>
      </c>
      <c r="V162" s="186">
        <f t="shared" si="236"/>
        <v>0</v>
      </c>
      <c r="W162" s="186">
        <f t="shared" si="236"/>
        <v>0</v>
      </c>
      <c r="X162" s="186">
        <f t="shared" si="236"/>
        <v>0</v>
      </c>
      <c r="Y162" s="186">
        <f t="shared" si="236"/>
        <v>0</v>
      </c>
      <c r="Z162" s="186">
        <f t="shared" si="233"/>
        <v>0</v>
      </c>
      <c r="AA162" s="186">
        <f t="shared" si="233"/>
        <v>0</v>
      </c>
      <c r="AB162" s="186">
        <f t="shared" si="233"/>
        <v>0</v>
      </c>
      <c r="AC162" s="186">
        <f t="shared" si="233"/>
        <v>0</v>
      </c>
      <c r="AD162" s="186">
        <f t="shared" si="233"/>
        <v>0</v>
      </c>
      <c r="AE162" s="186">
        <f t="shared" si="233"/>
        <v>0</v>
      </c>
      <c r="AF162" s="186">
        <f t="shared" ref="AF162:AQ162" si="237">AF416+AF670</f>
        <v>0</v>
      </c>
      <c r="AG162" s="186">
        <f t="shared" si="237"/>
        <v>0</v>
      </c>
      <c r="AH162" s="186">
        <f t="shared" si="237"/>
        <v>0</v>
      </c>
      <c r="AI162" s="186">
        <f t="shared" si="237"/>
        <v>0</v>
      </c>
      <c r="AJ162" s="186">
        <f t="shared" si="237"/>
        <v>0</v>
      </c>
      <c r="AK162" s="186">
        <f t="shared" si="237"/>
        <v>0</v>
      </c>
      <c r="AL162" s="186">
        <f t="shared" si="237"/>
        <v>0</v>
      </c>
      <c r="AM162" s="186">
        <f t="shared" si="237"/>
        <v>0</v>
      </c>
      <c r="AN162" s="186">
        <f t="shared" si="237"/>
        <v>0</v>
      </c>
      <c r="AO162" s="186">
        <f t="shared" si="237"/>
        <v>0</v>
      </c>
      <c r="AP162" s="186">
        <f t="shared" si="237"/>
        <v>0</v>
      </c>
      <c r="AQ162" s="186">
        <f t="shared" si="237"/>
        <v>0</v>
      </c>
      <c r="AR162" s="186">
        <f>SUM(G162:R162)</f>
        <v>0</v>
      </c>
      <c r="AS162" s="186">
        <f>SUM(T162:AE162)</f>
        <v>0</v>
      </c>
      <c r="AT162" s="186">
        <f>SUM(AF162:AQ162)</f>
        <v>0</v>
      </c>
      <c r="AU162" s="171"/>
      <c r="AV162" s="171"/>
    </row>
    <row r="163" spans="1:48">
      <c r="A163" s="15" t="s">
        <v>1028</v>
      </c>
      <c r="B163" s="250">
        <v>762</v>
      </c>
      <c r="C163" s="208"/>
      <c r="D163" s="102"/>
      <c r="E163" s="102" t="s">
        <v>170</v>
      </c>
      <c r="F163" s="102"/>
      <c r="G163" s="131">
        <f t="shared" ref="G163:AE163" si="238">SUM(G161:G162)</f>
        <v>0</v>
      </c>
      <c r="H163" s="131">
        <f t="shared" si="238"/>
        <v>0</v>
      </c>
      <c r="I163" s="131">
        <f t="shared" si="238"/>
        <v>0</v>
      </c>
      <c r="J163" s="131">
        <f t="shared" si="238"/>
        <v>0</v>
      </c>
      <c r="K163" s="131">
        <f t="shared" si="238"/>
        <v>0</v>
      </c>
      <c r="L163" s="131">
        <f t="shared" si="238"/>
        <v>0</v>
      </c>
      <c r="M163" s="131">
        <f t="shared" si="238"/>
        <v>0</v>
      </c>
      <c r="N163" s="131">
        <f t="shared" si="238"/>
        <v>0</v>
      </c>
      <c r="O163" s="131">
        <f t="shared" si="238"/>
        <v>0</v>
      </c>
      <c r="P163" s="131">
        <f t="shared" si="238"/>
        <v>0</v>
      </c>
      <c r="Q163" s="131">
        <f t="shared" si="238"/>
        <v>0</v>
      </c>
      <c r="R163" s="131">
        <f t="shared" si="238"/>
        <v>0</v>
      </c>
      <c r="S163" s="620"/>
      <c r="T163" s="131">
        <f t="shared" ref="T163:Y163" si="239">SUM(T161:T162)</f>
        <v>0</v>
      </c>
      <c r="U163" s="131">
        <f t="shared" si="239"/>
        <v>0</v>
      </c>
      <c r="V163" s="131">
        <f t="shared" si="239"/>
        <v>0</v>
      </c>
      <c r="W163" s="131">
        <f t="shared" si="239"/>
        <v>0</v>
      </c>
      <c r="X163" s="131">
        <f t="shared" si="239"/>
        <v>0</v>
      </c>
      <c r="Y163" s="131">
        <f t="shared" si="239"/>
        <v>0</v>
      </c>
      <c r="Z163" s="131">
        <f t="shared" si="238"/>
        <v>0</v>
      </c>
      <c r="AA163" s="131">
        <f t="shared" si="238"/>
        <v>0</v>
      </c>
      <c r="AB163" s="131">
        <f t="shared" si="238"/>
        <v>0</v>
      </c>
      <c r="AC163" s="131">
        <f t="shared" si="238"/>
        <v>0</v>
      </c>
      <c r="AD163" s="131">
        <f t="shared" si="238"/>
        <v>0</v>
      </c>
      <c r="AE163" s="131">
        <f t="shared" si="238"/>
        <v>0</v>
      </c>
      <c r="AF163" s="131">
        <f t="shared" ref="AF163:AQ163" si="240">SUM(AF161:AF162)</f>
        <v>0</v>
      </c>
      <c r="AG163" s="131">
        <f t="shared" si="240"/>
        <v>0</v>
      </c>
      <c r="AH163" s="131">
        <f t="shared" si="240"/>
        <v>0</v>
      </c>
      <c r="AI163" s="131">
        <f t="shared" si="240"/>
        <v>0</v>
      </c>
      <c r="AJ163" s="131">
        <f t="shared" si="240"/>
        <v>0</v>
      </c>
      <c r="AK163" s="131">
        <f t="shared" si="240"/>
        <v>0</v>
      </c>
      <c r="AL163" s="131">
        <f t="shared" si="240"/>
        <v>0</v>
      </c>
      <c r="AM163" s="131">
        <f t="shared" si="240"/>
        <v>0</v>
      </c>
      <c r="AN163" s="131">
        <f t="shared" si="240"/>
        <v>0</v>
      </c>
      <c r="AO163" s="131">
        <f t="shared" si="240"/>
        <v>0</v>
      </c>
      <c r="AP163" s="131">
        <f t="shared" si="240"/>
        <v>0</v>
      </c>
      <c r="AQ163" s="131">
        <f t="shared" si="240"/>
        <v>0</v>
      </c>
      <c r="AR163" s="131">
        <f>SUM(G163:R163)</f>
        <v>0</v>
      </c>
      <c r="AS163" s="131">
        <f>SUM(T163:AE163)</f>
        <v>0</v>
      </c>
      <c r="AT163" s="131">
        <f>SUM(AF163:AQ163)</f>
        <v>0</v>
      </c>
      <c r="AU163" s="621"/>
      <c r="AV163" s="621"/>
    </row>
    <row r="164" spans="1:48" ht="13.5" thickBot="1">
      <c r="B164" s="250">
        <v>763</v>
      </c>
      <c r="C164" s="208"/>
      <c r="D164" s="102"/>
      <c r="E164" s="102"/>
      <c r="F164" s="102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622"/>
      <c r="AV164" s="622"/>
    </row>
    <row r="165" spans="1:48" ht="13.5" thickTop="1">
      <c r="B165" s="250">
        <v>764</v>
      </c>
      <c r="C165" s="49" t="s">
        <v>646</v>
      </c>
      <c r="D165" s="102"/>
      <c r="E165" s="102"/>
      <c r="F165" s="102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71"/>
      <c r="AV165" s="171"/>
    </row>
    <row r="166" spans="1:48">
      <c r="B166" s="250">
        <v>765</v>
      </c>
      <c r="C166" s="208"/>
      <c r="D166" s="102" t="s">
        <v>647</v>
      </c>
      <c r="E166" s="102"/>
      <c r="F166" s="102"/>
      <c r="G166" s="102">
        <f t="shared" ref="G166:AE167" si="241">G161+G156+G151+G146+G141+G136+G131+G126+G121</f>
        <v>1923493.0999999999</v>
      </c>
      <c r="H166" s="102">
        <f t="shared" si="241"/>
        <v>1436136.42</v>
      </c>
      <c r="I166" s="102">
        <f t="shared" si="241"/>
        <v>1452098.8</v>
      </c>
      <c r="J166" s="102">
        <f t="shared" si="241"/>
        <v>1622401.94</v>
      </c>
      <c r="K166" s="102">
        <f t="shared" si="241"/>
        <v>1365561.5699999998</v>
      </c>
      <c r="L166" s="102">
        <f t="shared" si="241"/>
        <v>1335988.8599999999</v>
      </c>
      <c r="M166" s="102">
        <f t="shared" si="241"/>
        <v>1487433.28</v>
      </c>
      <c r="N166" s="102">
        <f t="shared" si="241"/>
        <v>1568417.48</v>
      </c>
      <c r="O166" s="102">
        <f t="shared" si="241"/>
        <v>1337940.25</v>
      </c>
      <c r="P166" s="102">
        <f t="shared" si="241"/>
        <v>1454578.3700000003</v>
      </c>
      <c r="Q166" s="102">
        <f t="shared" si="241"/>
        <v>1713366.3000000003</v>
      </c>
      <c r="R166" s="102">
        <f t="shared" si="241"/>
        <v>1643741.1600000001</v>
      </c>
      <c r="S166" s="102"/>
      <c r="T166" s="102">
        <f t="shared" ref="T166:Y166" si="242">T161+T156+T151+T146+T141+T136+T131+T126+T121</f>
        <v>1883287.5986443604</v>
      </c>
      <c r="U166" s="102">
        <f t="shared" si="242"/>
        <v>1382876.564016303</v>
      </c>
      <c r="V166" s="102">
        <f t="shared" si="242"/>
        <v>1402406.7841324052</v>
      </c>
      <c r="W166" s="102">
        <f t="shared" si="242"/>
        <v>1584706.0939277012</v>
      </c>
      <c r="X166" s="102">
        <f t="shared" si="242"/>
        <v>1318168.3913447014</v>
      </c>
      <c r="Y166" s="102">
        <f t="shared" si="242"/>
        <v>1295941.6786704543</v>
      </c>
      <c r="Z166" s="102">
        <f t="shared" si="241"/>
        <v>1452960.0011473594</v>
      </c>
      <c r="AA166" s="102">
        <f t="shared" si="241"/>
        <v>1527090.8792662614</v>
      </c>
      <c r="AB166" s="102">
        <f t="shared" si="241"/>
        <v>1300883.7885014045</v>
      </c>
      <c r="AC166" s="102">
        <f t="shared" si="241"/>
        <v>1419770.1089487029</v>
      </c>
      <c r="AD166" s="102">
        <f t="shared" si="241"/>
        <v>1661987.1897482686</v>
      </c>
      <c r="AE166" s="102">
        <f t="shared" si="241"/>
        <v>1601431.4471706147</v>
      </c>
      <c r="AF166" s="102">
        <f t="shared" ref="AF166:AQ166" si="243">AF161+AF156+AF151+AF146+AF141+AF136+AF131+AF126+AF121</f>
        <v>1901196.8997521873</v>
      </c>
      <c r="AG166" s="102">
        <f t="shared" si="243"/>
        <v>1391680.3993042284</v>
      </c>
      <c r="AH166" s="102">
        <f t="shared" si="243"/>
        <v>1413600.4066597135</v>
      </c>
      <c r="AI166" s="102">
        <f t="shared" si="243"/>
        <v>1602153.0884648261</v>
      </c>
      <c r="AJ166" s="102">
        <f t="shared" si="243"/>
        <v>1330436.5962776663</v>
      </c>
      <c r="AK166" s="102">
        <f t="shared" si="243"/>
        <v>1309552.7265798298</v>
      </c>
      <c r="AL166" s="102">
        <f t="shared" si="243"/>
        <v>1470315.2309660919</v>
      </c>
      <c r="AM166" s="102">
        <f t="shared" si="243"/>
        <v>1544506.349784865</v>
      </c>
      <c r="AN166" s="102">
        <f t="shared" si="243"/>
        <v>1315133.9141782383</v>
      </c>
      <c r="AO166" s="102">
        <f t="shared" si="243"/>
        <v>1435259.2176128894</v>
      </c>
      <c r="AP166" s="102">
        <f t="shared" si="243"/>
        <v>1677149.493644821</v>
      </c>
      <c r="AQ166" s="102">
        <f t="shared" si="243"/>
        <v>1621091.7586885262</v>
      </c>
      <c r="AR166" s="102">
        <f>SUM(G166:R166)</f>
        <v>18341157.530000001</v>
      </c>
      <c r="AS166" s="102">
        <f>SUM(T166:AE166)</f>
        <v>17831510.525518537</v>
      </c>
      <c r="AT166" s="102">
        <f>SUM(AF166:AQ166)</f>
        <v>18012076.081913881</v>
      </c>
      <c r="AU166" s="199"/>
      <c r="AV166" s="199"/>
    </row>
    <row r="167" spans="1:48">
      <c r="B167" s="250">
        <v>766</v>
      </c>
      <c r="C167" s="208"/>
      <c r="D167" s="102" t="s">
        <v>649</v>
      </c>
      <c r="E167" s="102"/>
      <c r="F167" s="102"/>
      <c r="G167" s="102">
        <f t="shared" si="241"/>
        <v>71864.920000000013</v>
      </c>
      <c r="H167" s="102">
        <f t="shared" si="241"/>
        <v>55672.69</v>
      </c>
      <c r="I167" s="102">
        <f t="shared" si="241"/>
        <v>61829.73</v>
      </c>
      <c r="J167" s="102">
        <f t="shared" si="241"/>
        <v>66393.42</v>
      </c>
      <c r="K167" s="102">
        <f t="shared" si="241"/>
        <v>56488.01</v>
      </c>
      <c r="L167" s="102">
        <f t="shared" si="241"/>
        <v>54962.680000000008</v>
      </c>
      <c r="M167" s="102">
        <f t="shared" si="241"/>
        <v>56848.12</v>
      </c>
      <c r="N167" s="102">
        <f t="shared" si="241"/>
        <v>60342.439999999995</v>
      </c>
      <c r="O167" s="102">
        <f t="shared" si="241"/>
        <v>57697.66</v>
      </c>
      <c r="P167" s="102">
        <f t="shared" si="241"/>
        <v>59438.15</v>
      </c>
      <c r="Q167" s="102">
        <f t="shared" si="241"/>
        <v>76106.340000000011</v>
      </c>
      <c r="R167" s="102">
        <f t="shared" si="241"/>
        <v>66778.280000000013</v>
      </c>
      <c r="S167" s="102"/>
      <c r="T167" s="102">
        <f t="shared" ref="T167:Y167" si="244">T162+T157+T152+T147+T142+T137+T132+T127+T122</f>
        <v>72212.498075147698</v>
      </c>
      <c r="U167" s="102">
        <f t="shared" si="244"/>
        <v>55843.281271495311</v>
      </c>
      <c r="V167" s="102">
        <f t="shared" si="244"/>
        <v>61871.912346823403</v>
      </c>
      <c r="W167" s="102">
        <f t="shared" si="244"/>
        <v>66740.131095005156</v>
      </c>
      <c r="X167" s="102">
        <f t="shared" si="244"/>
        <v>56543.959343379422</v>
      </c>
      <c r="Y167" s="102">
        <f t="shared" si="244"/>
        <v>55025.577017776421</v>
      </c>
      <c r="Z167" s="102">
        <f t="shared" si="241"/>
        <v>57164.224938966974</v>
      </c>
      <c r="AA167" s="102">
        <f t="shared" si="241"/>
        <v>60566.629994435876</v>
      </c>
      <c r="AB167" s="102">
        <f t="shared" si="241"/>
        <v>57687.390077622571</v>
      </c>
      <c r="AC167" s="102">
        <f t="shared" si="241"/>
        <v>59542.476710926472</v>
      </c>
      <c r="AD167" s="102">
        <f t="shared" si="241"/>
        <v>75797.281844439291</v>
      </c>
      <c r="AE167" s="102">
        <f t="shared" si="241"/>
        <v>66741.171862724819</v>
      </c>
      <c r="AF167" s="102">
        <f t="shared" ref="AF167:AQ167" si="245">AF162+AF157+AF152+AF147+AF142+AF137+AF132+AF127+AF122</f>
        <v>73239.359795077849</v>
      </c>
      <c r="AG167" s="102">
        <f t="shared" si="245"/>
        <v>56602.035413315687</v>
      </c>
      <c r="AH167" s="102">
        <f t="shared" si="245"/>
        <v>62747.230138000021</v>
      </c>
      <c r="AI167" s="102">
        <f t="shared" si="245"/>
        <v>67776.648557792112</v>
      </c>
      <c r="AJ167" s="102">
        <f t="shared" si="245"/>
        <v>57396.182681481063</v>
      </c>
      <c r="AK167" s="102">
        <f t="shared" si="245"/>
        <v>55899.145995014864</v>
      </c>
      <c r="AL167" s="102">
        <f t="shared" si="245"/>
        <v>58117.610493598644</v>
      </c>
      <c r="AM167" s="102">
        <f t="shared" si="245"/>
        <v>61564.979037241508</v>
      </c>
      <c r="AN167" s="102">
        <f t="shared" si="245"/>
        <v>58587.791166296272</v>
      </c>
      <c r="AO167" s="102">
        <f t="shared" si="245"/>
        <v>60423.519361275474</v>
      </c>
      <c r="AP167" s="102">
        <f t="shared" si="245"/>
        <v>76837.821987102667</v>
      </c>
      <c r="AQ167" s="102">
        <f t="shared" si="245"/>
        <v>67891.944846028957</v>
      </c>
      <c r="AR167" s="102">
        <f>SUM(G167:R167)</f>
        <v>744422.44000000006</v>
      </c>
      <c r="AS167" s="102">
        <f>SUM(T167:AE167)</f>
        <v>745736.53457874351</v>
      </c>
      <c r="AT167" s="102">
        <f>SUM(AF167:AQ167)</f>
        <v>757084.26947222499</v>
      </c>
      <c r="AU167" s="199"/>
      <c r="AV167" s="199"/>
    </row>
    <row r="168" spans="1:48" ht="13.5" thickBot="1">
      <c r="B168" s="250">
        <v>767</v>
      </c>
      <c r="C168" s="208"/>
      <c r="D168" s="102"/>
      <c r="E168" s="102"/>
      <c r="F168" s="102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623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409"/>
      <c r="AV168" s="409"/>
    </row>
    <row r="169" spans="1:48">
      <c r="B169" s="250">
        <v>768</v>
      </c>
      <c r="C169" s="208"/>
      <c r="D169" s="49" t="s">
        <v>646</v>
      </c>
      <c r="E169" s="102"/>
      <c r="F169" s="102"/>
      <c r="G169" s="116">
        <f t="shared" ref="G169:AE169" si="246">G123+G128+G133+G138+G143++G148+G153+G158+G163</f>
        <v>1995358.0199999998</v>
      </c>
      <c r="H169" s="116">
        <f t="shared" si="246"/>
        <v>1491809.1099999999</v>
      </c>
      <c r="I169" s="116">
        <f t="shared" si="246"/>
        <v>1513928.53</v>
      </c>
      <c r="J169" s="116">
        <f t="shared" si="246"/>
        <v>1688795.36</v>
      </c>
      <c r="K169" s="116">
        <f t="shared" si="246"/>
        <v>1422049.5799999998</v>
      </c>
      <c r="L169" s="116">
        <f t="shared" si="246"/>
        <v>1390951.5400000003</v>
      </c>
      <c r="M169" s="116">
        <f t="shared" si="246"/>
        <v>1544281.4</v>
      </c>
      <c r="N169" s="116">
        <f t="shared" si="246"/>
        <v>1628759.92</v>
      </c>
      <c r="O169" s="116">
        <f t="shared" si="246"/>
        <v>1395637.9100000001</v>
      </c>
      <c r="P169" s="116">
        <f t="shared" si="246"/>
        <v>1514016.5200000003</v>
      </c>
      <c r="Q169" s="116">
        <f t="shared" si="246"/>
        <v>1789472.6400000004</v>
      </c>
      <c r="R169" s="116">
        <f t="shared" si="246"/>
        <v>1710519.44</v>
      </c>
      <c r="S169" s="116"/>
      <c r="T169" s="116">
        <f t="shared" ref="T169:Y169" si="247">T123+T128+T133+T138+T143++T148+T153+T158+T163</f>
        <v>1955500.0967195081</v>
      </c>
      <c r="U169" s="116">
        <f t="shared" si="247"/>
        <v>1438719.8452877984</v>
      </c>
      <c r="V169" s="116">
        <f t="shared" si="247"/>
        <v>1464278.6964792286</v>
      </c>
      <c r="W169" s="116">
        <f t="shared" si="247"/>
        <v>1651446.2250227064</v>
      </c>
      <c r="X169" s="116">
        <f t="shared" si="247"/>
        <v>1374712.3506880805</v>
      </c>
      <c r="Y169" s="116">
        <f t="shared" si="247"/>
        <v>1350967.255688231</v>
      </c>
      <c r="Z169" s="116">
        <f t="shared" si="246"/>
        <v>1510124.2260863262</v>
      </c>
      <c r="AA169" s="116">
        <f t="shared" si="246"/>
        <v>1587657.5092606973</v>
      </c>
      <c r="AB169" s="116">
        <f t="shared" si="246"/>
        <v>1358571.1785790268</v>
      </c>
      <c r="AC169" s="116">
        <f t="shared" si="246"/>
        <v>1479312.5856596297</v>
      </c>
      <c r="AD169" s="116">
        <f t="shared" si="246"/>
        <v>1737784.4715927083</v>
      </c>
      <c r="AE169" s="116">
        <f t="shared" si="246"/>
        <v>1668172.6190333394</v>
      </c>
      <c r="AF169" s="116">
        <f t="shared" ref="AF169:AQ169" si="248">AF123+AF128+AF133+AF138+AF143++AF148+AF153+AF158+AF163</f>
        <v>1974436.2595472655</v>
      </c>
      <c r="AG169" s="116">
        <f t="shared" si="248"/>
        <v>1448282.4347175437</v>
      </c>
      <c r="AH169" s="116">
        <f t="shared" si="248"/>
        <v>1476347.6367977136</v>
      </c>
      <c r="AI169" s="116">
        <f t="shared" si="248"/>
        <v>1669929.7370226181</v>
      </c>
      <c r="AJ169" s="116">
        <f t="shared" si="248"/>
        <v>1387832.7789591472</v>
      </c>
      <c r="AK169" s="116">
        <f t="shared" si="248"/>
        <v>1365451.8725748449</v>
      </c>
      <c r="AL169" s="116">
        <f t="shared" si="248"/>
        <v>1528432.8414596904</v>
      </c>
      <c r="AM169" s="116">
        <f t="shared" si="248"/>
        <v>1606071.3288221068</v>
      </c>
      <c r="AN169" s="116">
        <f t="shared" si="248"/>
        <v>1373721.7053445347</v>
      </c>
      <c r="AO169" s="116">
        <f t="shared" si="248"/>
        <v>1495682.7369741648</v>
      </c>
      <c r="AP169" s="116">
        <f t="shared" si="248"/>
        <v>1753987.3156319235</v>
      </c>
      <c r="AQ169" s="116">
        <f t="shared" si="248"/>
        <v>1688983.7035345552</v>
      </c>
      <c r="AR169" s="116">
        <f>SUM(G169:R169)</f>
        <v>19085579.970000003</v>
      </c>
      <c r="AS169" s="116">
        <f>SUM(T169:AE169)</f>
        <v>18577247.060097281</v>
      </c>
      <c r="AT169" s="116">
        <f>SUM(AF169:AQ169)</f>
        <v>18769160.351386108</v>
      </c>
      <c r="AU169" s="171"/>
      <c r="AV169" s="171"/>
    </row>
    <row r="170" spans="1:48">
      <c r="B170" s="250">
        <v>769</v>
      </c>
      <c r="C170" s="208"/>
      <c r="D170" s="102"/>
      <c r="E170" s="102"/>
      <c r="F170" s="102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71"/>
      <c r="AV170" s="171"/>
    </row>
    <row r="171" spans="1:48">
      <c r="B171" s="250">
        <v>770</v>
      </c>
      <c r="C171" s="49" t="s">
        <v>409</v>
      </c>
      <c r="D171" s="102"/>
      <c r="E171" s="102"/>
      <c r="F171" s="102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71"/>
      <c r="AV171" s="171"/>
    </row>
    <row r="172" spans="1:48">
      <c r="B172" s="250">
        <v>771</v>
      </c>
      <c r="C172" s="208"/>
      <c r="D172" s="102"/>
      <c r="E172" s="102"/>
      <c r="F172" s="102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71"/>
      <c r="AV172" s="171"/>
    </row>
    <row r="173" spans="1:48">
      <c r="B173" s="250">
        <v>772</v>
      </c>
      <c r="C173" s="212">
        <v>907</v>
      </c>
      <c r="D173" s="102" t="s">
        <v>402</v>
      </c>
      <c r="E173" s="102"/>
      <c r="F173" s="102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71"/>
      <c r="AV173" s="171"/>
    </row>
    <row r="174" spans="1:48">
      <c r="B174" s="250">
        <v>773</v>
      </c>
      <c r="C174" s="212"/>
      <c r="D174" s="102"/>
      <c r="E174" s="102" t="s">
        <v>14</v>
      </c>
      <c r="F174" s="102"/>
      <c r="G174" s="186">
        <f t="shared" ref="G174:AE175" si="249">G428+G682</f>
        <v>37500.870000000003</v>
      </c>
      <c r="H174" s="186">
        <f t="shared" si="249"/>
        <v>26424.6</v>
      </c>
      <c r="I174" s="186">
        <f t="shared" si="249"/>
        <v>22988.03</v>
      </c>
      <c r="J174" s="186">
        <f t="shared" si="249"/>
        <v>42504.930000000008</v>
      </c>
      <c r="K174" s="186">
        <f t="shared" si="249"/>
        <v>33944.14</v>
      </c>
      <c r="L174" s="186">
        <f t="shared" si="249"/>
        <v>34048.07</v>
      </c>
      <c r="M174" s="186">
        <f t="shared" si="249"/>
        <v>35543.67</v>
      </c>
      <c r="N174" s="186">
        <f t="shared" si="249"/>
        <v>21560.370000000003</v>
      </c>
      <c r="O174" s="186">
        <f t="shared" si="249"/>
        <v>30110.089999999997</v>
      </c>
      <c r="P174" s="186">
        <f t="shared" si="249"/>
        <v>16432.27</v>
      </c>
      <c r="Q174" s="186">
        <f t="shared" si="249"/>
        <v>37345.550000000003</v>
      </c>
      <c r="R174" s="186">
        <f t="shared" si="249"/>
        <v>31903.22</v>
      </c>
      <c r="S174" s="186"/>
      <c r="T174" s="186">
        <f t="shared" ref="T174:Y174" si="250">T428+T682</f>
        <v>36043.419162318271</v>
      </c>
      <c r="U174" s="186">
        <f t="shared" si="250"/>
        <v>26173.178404020116</v>
      </c>
      <c r="V174" s="186">
        <f t="shared" si="250"/>
        <v>22127.939788604366</v>
      </c>
      <c r="W174" s="186">
        <f t="shared" si="250"/>
        <v>40778.080629479606</v>
      </c>
      <c r="X174" s="186">
        <f t="shared" si="250"/>
        <v>32616.241377610786</v>
      </c>
      <c r="Y174" s="186">
        <f t="shared" si="250"/>
        <v>32715.615557594076</v>
      </c>
      <c r="Z174" s="186">
        <f t="shared" si="249"/>
        <v>34083.276947218757</v>
      </c>
      <c r="AA174" s="186">
        <f t="shared" si="249"/>
        <v>20957.218803667161</v>
      </c>
      <c r="AB174" s="186">
        <f t="shared" si="249"/>
        <v>29785.180460147363</v>
      </c>
      <c r="AC174" s="186">
        <f t="shared" si="249"/>
        <v>16794.040621063206</v>
      </c>
      <c r="AD174" s="186">
        <f t="shared" si="249"/>
        <v>36942.894975668023</v>
      </c>
      <c r="AE174" s="186">
        <f t="shared" si="249"/>
        <v>31468.479950569243</v>
      </c>
      <c r="AF174" s="186">
        <f t="shared" ref="AF174:AQ174" si="251">AF428+AF682</f>
        <v>36398.088247962398</v>
      </c>
      <c r="AG174" s="186">
        <f t="shared" si="251"/>
        <v>26576.056256520915</v>
      </c>
      <c r="AH174" s="186">
        <f t="shared" si="251"/>
        <v>22351.925039916736</v>
      </c>
      <c r="AI174" s="186">
        <f t="shared" si="251"/>
        <v>41165.299957422823</v>
      </c>
      <c r="AJ174" s="186">
        <f t="shared" si="251"/>
        <v>32935.56064838414</v>
      </c>
      <c r="AK174" s="186">
        <f t="shared" si="251"/>
        <v>33035.815862048752</v>
      </c>
      <c r="AL174" s="186">
        <f t="shared" si="251"/>
        <v>34403.852774911065</v>
      </c>
      <c r="AM174" s="186">
        <f t="shared" si="251"/>
        <v>21207.434783512159</v>
      </c>
      <c r="AN174" s="186">
        <f t="shared" si="251"/>
        <v>30236.670504251408</v>
      </c>
      <c r="AO174" s="186">
        <f t="shared" si="251"/>
        <v>17146.761414275654</v>
      </c>
      <c r="AP174" s="186">
        <f t="shared" si="251"/>
        <v>37502.943310530027</v>
      </c>
      <c r="AQ174" s="186">
        <f t="shared" si="251"/>
        <v>31929.011582331754</v>
      </c>
      <c r="AR174" s="186">
        <f>SUM(G174:R174)</f>
        <v>370305.81000000006</v>
      </c>
      <c r="AS174" s="186">
        <f>SUM(T174:AE174)</f>
        <v>360485.56667796092</v>
      </c>
      <c r="AT174" s="186">
        <f>SUM(AF174:AQ174)</f>
        <v>364889.42038206785</v>
      </c>
      <c r="AU174" s="171"/>
      <c r="AV174" s="171"/>
    </row>
    <row r="175" spans="1:48">
      <c r="B175" s="250">
        <v>774</v>
      </c>
      <c r="C175" s="212"/>
      <c r="D175" s="102"/>
      <c r="E175" s="102" t="s">
        <v>24</v>
      </c>
      <c r="F175" s="102"/>
      <c r="G175" s="186">
        <f t="shared" si="249"/>
        <v>1013.72</v>
      </c>
      <c r="H175" s="186">
        <f t="shared" si="249"/>
        <v>647.69000000000005</v>
      </c>
      <c r="I175" s="186">
        <f t="shared" si="249"/>
        <v>615.13</v>
      </c>
      <c r="J175" s="186">
        <f t="shared" si="249"/>
        <v>1184.74</v>
      </c>
      <c r="K175" s="186">
        <f t="shared" si="249"/>
        <v>910.05000000000007</v>
      </c>
      <c r="L175" s="186">
        <f t="shared" si="249"/>
        <v>896.19</v>
      </c>
      <c r="M175" s="186">
        <f t="shared" si="249"/>
        <v>946.94</v>
      </c>
      <c r="N175" s="186">
        <f t="shared" si="249"/>
        <v>575.93000000000006</v>
      </c>
      <c r="O175" s="186">
        <f t="shared" si="249"/>
        <v>791.33</v>
      </c>
      <c r="P175" s="186">
        <f t="shared" si="249"/>
        <v>304.01</v>
      </c>
      <c r="Q175" s="186">
        <f t="shared" si="249"/>
        <v>987.29000000000008</v>
      </c>
      <c r="R175" s="186">
        <f t="shared" si="249"/>
        <v>806.81000000000006</v>
      </c>
      <c r="S175" s="186"/>
      <c r="T175" s="186">
        <f t="shared" ref="T175:Y175" si="252">T429+T683</f>
        <v>1036.0218400000001</v>
      </c>
      <c r="U175" s="186">
        <f t="shared" si="252"/>
        <v>661.93918000000008</v>
      </c>
      <c r="V175" s="186">
        <f t="shared" si="252"/>
        <v>628.66286000000002</v>
      </c>
      <c r="W175" s="186">
        <f t="shared" si="252"/>
        <v>1210.8042800000001</v>
      </c>
      <c r="X175" s="186">
        <f t="shared" si="252"/>
        <v>930.07110000000011</v>
      </c>
      <c r="Y175" s="186">
        <f t="shared" si="252"/>
        <v>915.90618000000006</v>
      </c>
      <c r="Z175" s="186">
        <f t="shared" si="249"/>
        <v>967.77268000000004</v>
      </c>
      <c r="AA175" s="186">
        <f t="shared" si="249"/>
        <v>588.60046000000011</v>
      </c>
      <c r="AB175" s="186">
        <f t="shared" si="249"/>
        <v>808.73926000000006</v>
      </c>
      <c r="AC175" s="186">
        <f t="shared" si="249"/>
        <v>310.69821999999999</v>
      </c>
      <c r="AD175" s="186">
        <f t="shared" si="249"/>
        <v>1009.0103800000001</v>
      </c>
      <c r="AE175" s="186">
        <f t="shared" si="249"/>
        <v>824.55982000000006</v>
      </c>
      <c r="AF175" s="186">
        <f t="shared" ref="AF175:AQ175" si="253">AF429+AF683</f>
        <v>1057.77829864</v>
      </c>
      <c r="AG175" s="186">
        <f t="shared" si="253"/>
        <v>675.83990277999999</v>
      </c>
      <c r="AH175" s="186">
        <f t="shared" si="253"/>
        <v>641.86478005999993</v>
      </c>
      <c r="AI175" s="186">
        <f t="shared" si="253"/>
        <v>1236.2311698799999</v>
      </c>
      <c r="AJ175" s="186">
        <f t="shared" si="253"/>
        <v>949.60259310000004</v>
      </c>
      <c r="AK175" s="186">
        <f t="shared" si="253"/>
        <v>935.14020977999996</v>
      </c>
      <c r="AL175" s="186">
        <f t="shared" si="253"/>
        <v>988.09590627999989</v>
      </c>
      <c r="AM175" s="186">
        <f t="shared" si="253"/>
        <v>600.96106966000002</v>
      </c>
      <c r="AN175" s="186">
        <f t="shared" si="253"/>
        <v>825.72278445999996</v>
      </c>
      <c r="AO175" s="186">
        <f t="shared" si="253"/>
        <v>317.22288261999995</v>
      </c>
      <c r="AP175" s="186">
        <f t="shared" si="253"/>
        <v>1030.1995979799999</v>
      </c>
      <c r="AQ175" s="186">
        <f t="shared" si="253"/>
        <v>841.87557621999997</v>
      </c>
      <c r="AR175" s="186">
        <f>SUM(G175:R175)</f>
        <v>9679.8300000000017</v>
      </c>
      <c r="AS175" s="186">
        <f>SUM(T175:AE175)</f>
        <v>9892.7862600000008</v>
      </c>
      <c r="AT175" s="186">
        <f>SUM(AF175:AQ175)</f>
        <v>10100.534771459999</v>
      </c>
      <c r="AU175" s="171"/>
      <c r="AV175" s="171"/>
    </row>
    <row r="176" spans="1:48">
      <c r="A176" s="15" t="s">
        <v>1029</v>
      </c>
      <c r="B176" s="250">
        <v>775</v>
      </c>
      <c r="C176" s="212"/>
      <c r="D176" s="102"/>
      <c r="E176" s="102" t="s">
        <v>170</v>
      </c>
      <c r="F176" s="102"/>
      <c r="G176" s="131">
        <f t="shared" ref="G176:AE176" si="254">SUM(G174:G175)</f>
        <v>38514.590000000004</v>
      </c>
      <c r="H176" s="131">
        <f t="shared" si="254"/>
        <v>27072.289999999997</v>
      </c>
      <c r="I176" s="131">
        <f t="shared" si="254"/>
        <v>23603.16</v>
      </c>
      <c r="J176" s="131">
        <f t="shared" si="254"/>
        <v>43689.670000000006</v>
      </c>
      <c r="K176" s="131">
        <f t="shared" si="254"/>
        <v>34854.19</v>
      </c>
      <c r="L176" s="131">
        <f t="shared" si="254"/>
        <v>34944.26</v>
      </c>
      <c r="M176" s="131">
        <f t="shared" si="254"/>
        <v>36490.61</v>
      </c>
      <c r="N176" s="131">
        <f t="shared" si="254"/>
        <v>22136.300000000003</v>
      </c>
      <c r="O176" s="131">
        <f t="shared" si="254"/>
        <v>30901.42</v>
      </c>
      <c r="P176" s="131">
        <f t="shared" si="254"/>
        <v>16736.28</v>
      </c>
      <c r="Q176" s="131">
        <f t="shared" si="254"/>
        <v>38332.840000000004</v>
      </c>
      <c r="R176" s="131">
        <f t="shared" si="254"/>
        <v>32710.030000000002</v>
      </c>
      <c r="S176" s="620"/>
      <c r="T176" s="131">
        <f t="shared" ref="T176:Y176" si="255">SUM(T174:T175)</f>
        <v>37079.441002318272</v>
      </c>
      <c r="U176" s="131">
        <f t="shared" si="255"/>
        <v>26835.117584020118</v>
      </c>
      <c r="V176" s="131">
        <f t="shared" si="255"/>
        <v>22756.602648604367</v>
      </c>
      <c r="W176" s="131">
        <f t="shared" si="255"/>
        <v>41988.884909479602</v>
      </c>
      <c r="X176" s="131">
        <f t="shared" si="255"/>
        <v>33546.312477610787</v>
      </c>
      <c r="Y176" s="131">
        <f t="shared" si="255"/>
        <v>33631.521737594077</v>
      </c>
      <c r="Z176" s="131">
        <f t="shared" si="254"/>
        <v>35051.049627218759</v>
      </c>
      <c r="AA176" s="131">
        <f t="shared" si="254"/>
        <v>21545.819263667163</v>
      </c>
      <c r="AB176" s="131">
        <f t="shared" si="254"/>
        <v>30593.919720147362</v>
      </c>
      <c r="AC176" s="131">
        <f t="shared" si="254"/>
        <v>17104.738841063205</v>
      </c>
      <c r="AD176" s="131">
        <f t="shared" si="254"/>
        <v>37951.905355668023</v>
      </c>
      <c r="AE176" s="131">
        <f t="shared" si="254"/>
        <v>32293.039770569241</v>
      </c>
      <c r="AF176" s="131">
        <f t="shared" ref="AF176:AQ176" si="256">SUM(AF174:AF175)</f>
        <v>37455.866546602396</v>
      </c>
      <c r="AG176" s="131">
        <f t="shared" si="256"/>
        <v>27251.896159300915</v>
      </c>
      <c r="AH176" s="131">
        <f t="shared" si="256"/>
        <v>22993.789819976737</v>
      </c>
      <c r="AI176" s="131">
        <f t="shared" si="256"/>
        <v>42401.53112730282</v>
      </c>
      <c r="AJ176" s="131">
        <f t="shared" si="256"/>
        <v>33885.163241484137</v>
      </c>
      <c r="AK176" s="131">
        <f t="shared" si="256"/>
        <v>33970.956071828754</v>
      </c>
      <c r="AL176" s="131">
        <f t="shared" si="256"/>
        <v>35391.948681191068</v>
      </c>
      <c r="AM176" s="131">
        <f t="shared" si="256"/>
        <v>21808.395853172158</v>
      </c>
      <c r="AN176" s="131">
        <f t="shared" si="256"/>
        <v>31062.393288711406</v>
      </c>
      <c r="AO176" s="131">
        <f t="shared" si="256"/>
        <v>17463.984296895655</v>
      </c>
      <c r="AP176" s="131">
        <f t="shared" si="256"/>
        <v>38533.142908510024</v>
      </c>
      <c r="AQ176" s="131">
        <f t="shared" si="256"/>
        <v>32770.887158551755</v>
      </c>
      <c r="AR176" s="131">
        <f>SUM(G176:R176)</f>
        <v>379985.64000000007</v>
      </c>
      <c r="AS176" s="131">
        <f>SUM(T176:AE176)</f>
        <v>370378.35293796106</v>
      </c>
      <c r="AT176" s="131">
        <f>SUM(AF176:AQ176)</f>
        <v>374989.95515352796</v>
      </c>
      <c r="AU176" s="621"/>
      <c r="AV176" s="621"/>
    </row>
    <row r="177" spans="1:48">
      <c r="B177" s="250">
        <v>776</v>
      </c>
      <c r="C177" s="212"/>
      <c r="D177" s="102"/>
      <c r="E177" s="102"/>
      <c r="F177" s="102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71"/>
      <c r="AV177" s="171"/>
    </row>
    <row r="178" spans="1:48">
      <c r="B178" s="250">
        <v>777</v>
      </c>
      <c r="C178" s="212">
        <v>908</v>
      </c>
      <c r="D178" s="102" t="s">
        <v>410</v>
      </c>
      <c r="E178" s="102"/>
      <c r="F178" s="102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71"/>
      <c r="AV178" s="171"/>
    </row>
    <row r="179" spans="1:48">
      <c r="B179" s="250">
        <v>778</v>
      </c>
      <c r="C179" s="212"/>
      <c r="D179" s="102"/>
      <c r="E179" s="102" t="s">
        <v>14</v>
      </c>
      <c r="F179" s="102"/>
      <c r="G179" s="186">
        <f t="shared" ref="G179:AE180" si="257">G433+G687</f>
        <v>3789352.36</v>
      </c>
      <c r="H179" s="186">
        <f t="shared" si="257"/>
        <v>3408692.11</v>
      </c>
      <c r="I179" s="186">
        <f t="shared" si="257"/>
        <v>2350843.1800000002</v>
      </c>
      <c r="J179" s="186">
        <f t="shared" si="257"/>
        <v>1720890.46</v>
      </c>
      <c r="K179" s="186">
        <f t="shared" si="257"/>
        <v>1122954.3</v>
      </c>
      <c r="L179" s="186">
        <f t="shared" si="257"/>
        <v>695254.37</v>
      </c>
      <c r="M179" s="186">
        <f t="shared" si="257"/>
        <v>608661.46</v>
      </c>
      <c r="N179" s="186">
        <f t="shared" si="257"/>
        <v>609012.38</v>
      </c>
      <c r="O179" s="186">
        <f t="shared" si="257"/>
        <v>686992.25</v>
      </c>
      <c r="P179" s="186">
        <f t="shared" si="257"/>
        <v>1406975.6400000001</v>
      </c>
      <c r="Q179" s="186">
        <f t="shared" si="257"/>
        <v>2773595.57</v>
      </c>
      <c r="R179" s="186">
        <f t="shared" si="257"/>
        <v>4096705.77</v>
      </c>
      <c r="S179" s="186"/>
      <c r="T179" s="186">
        <f t="shared" ref="T179:Y179" si="258">T433+T687</f>
        <v>3831824.6061687935</v>
      </c>
      <c r="U179" s="186">
        <f t="shared" si="258"/>
        <v>3444024.1326289242</v>
      </c>
      <c r="V179" s="186">
        <f t="shared" si="258"/>
        <v>2370821.0122942347</v>
      </c>
      <c r="W179" s="186">
        <f t="shared" si="258"/>
        <v>1731494.1042019576</v>
      </c>
      <c r="X179" s="186">
        <f t="shared" si="258"/>
        <v>1123504.1215145132</v>
      </c>
      <c r="Y179" s="186">
        <f t="shared" si="258"/>
        <v>692618.77437526151</v>
      </c>
      <c r="Z179" s="186">
        <f t="shared" si="257"/>
        <v>603971.88229302329</v>
      </c>
      <c r="AA179" s="186">
        <f t="shared" si="257"/>
        <v>603149.93572431174</v>
      </c>
      <c r="AB179" s="186">
        <f t="shared" si="257"/>
        <v>683758.37739869987</v>
      </c>
      <c r="AC179" s="186">
        <f t="shared" si="257"/>
        <v>1418000.7841042278</v>
      </c>
      <c r="AD179" s="186">
        <f t="shared" si="257"/>
        <v>2795752.0697744852</v>
      </c>
      <c r="AE179" s="186">
        <f t="shared" si="257"/>
        <v>4141789.3438349445</v>
      </c>
      <c r="AF179" s="186">
        <f t="shared" ref="AF179:AQ179" si="259">AF433+AF687</f>
        <v>3880351.9153311546</v>
      </c>
      <c r="AG179" s="186">
        <f t="shared" si="259"/>
        <v>3487381.97510606</v>
      </c>
      <c r="AH179" s="186">
        <f t="shared" si="259"/>
        <v>2400273.1932024956</v>
      </c>
      <c r="AI179" s="186">
        <f t="shared" si="259"/>
        <v>1752641.7594603891</v>
      </c>
      <c r="AJ179" s="186">
        <f t="shared" si="259"/>
        <v>1136650.7835863992</v>
      </c>
      <c r="AK179" s="186">
        <f t="shared" si="259"/>
        <v>700453.12518845941</v>
      </c>
      <c r="AL179" s="186">
        <f t="shared" si="259"/>
        <v>610586.2183309847</v>
      </c>
      <c r="AM179" s="186">
        <f t="shared" si="259"/>
        <v>609648.10515153757</v>
      </c>
      <c r="AN179" s="186">
        <f t="shared" si="259"/>
        <v>691435.07360152586</v>
      </c>
      <c r="AO179" s="186">
        <f t="shared" si="259"/>
        <v>1435532.3493365545</v>
      </c>
      <c r="AP179" s="186">
        <f t="shared" si="259"/>
        <v>2830355.663570859</v>
      </c>
      <c r="AQ179" s="186">
        <f t="shared" si="259"/>
        <v>4194167.2209028807</v>
      </c>
      <c r="AR179" s="186">
        <f>SUM(G179:R179)</f>
        <v>23269929.849999998</v>
      </c>
      <c r="AS179" s="186">
        <f>SUM(T179:AE179)</f>
        <v>23440709.14431338</v>
      </c>
      <c r="AT179" s="186">
        <f>SUM(AF179:AQ179)</f>
        <v>23729477.382769302</v>
      </c>
      <c r="AU179" s="171"/>
      <c r="AV179" s="171"/>
    </row>
    <row r="180" spans="1:48">
      <c r="B180" s="250">
        <v>779</v>
      </c>
      <c r="C180" s="212"/>
      <c r="D180" s="102"/>
      <c r="E180" s="102" t="s">
        <v>24</v>
      </c>
      <c r="F180" s="102"/>
      <c r="G180" s="186">
        <f t="shared" si="257"/>
        <v>33604.15</v>
      </c>
      <c r="H180" s="186">
        <f t="shared" si="257"/>
        <v>31437.02</v>
      </c>
      <c r="I180" s="186">
        <f t="shared" si="257"/>
        <v>25329.5</v>
      </c>
      <c r="J180" s="186">
        <f t="shared" si="257"/>
        <v>22005.87</v>
      </c>
      <c r="K180" s="186">
        <f t="shared" si="257"/>
        <v>15991.890000000001</v>
      </c>
      <c r="L180" s="186">
        <f t="shared" si="257"/>
        <v>8628.9500000000007</v>
      </c>
      <c r="M180" s="186">
        <f t="shared" si="257"/>
        <v>8566.9600000000009</v>
      </c>
      <c r="N180" s="186">
        <f t="shared" si="257"/>
        <v>9031.33</v>
      </c>
      <c r="O180" s="186">
        <f t="shared" si="257"/>
        <v>9160.61</v>
      </c>
      <c r="P180" s="186">
        <f t="shared" si="257"/>
        <v>16096.98</v>
      </c>
      <c r="Q180" s="186">
        <f t="shared" si="257"/>
        <v>26456.720000000001</v>
      </c>
      <c r="R180" s="186">
        <f t="shared" si="257"/>
        <v>30892.55</v>
      </c>
      <c r="S180" s="186"/>
      <c r="T180" s="186">
        <f t="shared" ref="T180:Y180" si="260">T434+T688</f>
        <v>34108.212249999997</v>
      </c>
      <c r="U180" s="186">
        <f t="shared" si="260"/>
        <v>31908.575299999997</v>
      </c>
      <c r="V180" s="186">
        <f t="shared" si="260"/>
        <v>25709.442499999997</v>
      </c>
      <c r="W180" s="186">
        <f t="shared" si="260"/>
        <v>22335.958049999997</v>
      </c>
      <c r="X180" s="186">
        <f t="shared" si="260"/>
        <v>16231.76835</v>
      </c>
      <c r="Y180" s="186">
        <f t="shared" si="260"/>
        <v>8758.3842499999992</v>
      </c>
      <c r="Z180" s="186">
        <f t="shared" si="257"/>
        <v>8695.4644000000008</v>
      </c>
      <c r="AA180" s="186">
        <f t="shared" si="257"/>
        <v>9166.7999499999987</v>
      </c>
      <c r="AB180" s="186">
        <f t="shared" si="257"/>
        <v>9298.0191500000001</v>
      </c>
      <c r="AC180" s="186">
        <f t="shared" si="257"/>
        <v>16338.434699999998</v>
      </c>
      <c r="AD180" s="186">
        <f t="shared" si="257"/>
        <v>26853.570799999998</v>
      </c>
      <c r="AE180" s="186">
        <f t="shared" si="257"/>
        <v>31355.938249999996</v>
      </c>
      <c r="AF180" s="186">
        <f t="shared" ref="AF180:AQ180" si="261">AF434+AF688</f>
        <v>34551.619009249996</v>
      </c>
      <c r="AG180" s="186">
        <f t="shared" si="261"/>
        <v>32323.386778899992</v>
      </c>
      <c r="AH180" s="186">
        <f t="shared" si="261"/>
        <v>26043.665252499995</v>
      </c>
      <c r="AI180" s="186">
        <f t="shared" si="261"/>
        <v>22626.325504649994</v>
      </c>
      <c r="AJ180" s="186">
        <f t="shared" si="261"/>
        <v>16442.781338549998</v>
      </c>
      <c r="AK180" s="186">
        <f t="shared" si="261"/>
        <v>8872.2432452499979</v>
      </c>
      <c r="AL180" s="186">
        <f t="shared" si="261"/>
        <v>8808.5054371999995</v>
      </c>
      <c r="AM180" s="186">
        <f t="shared" si="261"/>
        <v>9285.9683493499979</v>
      </c>
      <c r="AN180" s="186">
        <f t="shared" si="261"/>
        <v>9418.8933989499983</v>
      </c>
      <c r="AO180" s="186">
        <f t="shared" si="261"/>
        <v>16550.834351099995</v>
      </c>
      <c r="AP180" s="186">
        <f t="shared" si="261"/>
        <v>27202.667220399995</v>
      </c>
      <c r="AQ180" s="186">
        <f t="shared" si="261"/>
        <v>31763.565447249992</v>
      </c>
      <c r="AR180" s="186">
        <f>SUM(G180:R180)</f>
        <v>237202.52999999997</v>
      </c>
      <c r="AS180" s="186">
        <f>SUM(T180:AE180)</f>
        <v>240760.56794999994</v>
      </c>
      <c r="AT180" s="186">
        <f>SUM(AF180:AQ180)</f>
        <v>243890.45533334996</v>
      </c>
      <c r="AU180" s="171"/>
      <c r="AV180" s="171"/>
    </row>
    <row r="181" spans="1:48">
      <c r="A181" s="15" t="s">
        <v>1030</v>
      </c>
      <c r="B181" s="250">
        <v>780</v>
      </c>
      <c r="C181" s="212"/>
      <c r="D181" s="102"/>
      <c r="E181" s="102" t="s">
        <v>170</v>
      </c>
      <c r="F181" s="102"/>
      <c r="G181" s="131">
        <f t="shared" ref="G181:AE181" si="262">SUM(G179:G180)</f>
        <v>3822956.51</v>
      </c>
      <c r="H181" s="131">
        <f t="shared" si="262"/>
        <v>3440129.13</v>
      </c>
      <c r="I181" s="131">
        <f t="shared" si="262"/>
        <v>2376172.6800000002</v>
      </c>
      <c r="J181" s="131">
        <f t="shared" si="262"/>
        <v>1742896.33</v>
      </c>
      <c r="K181" s="131">
        <f t="shared" si="262"/>
        <v>1138946.19</v>
      </c>
      <c r="L181" s="131">
        <f t="shared" si="262"/>
        <v>703883.32</v>
      </c>
      <c r="M181" s="131">
        <f t="shared" si="262"/>
        <v>617228.41999999993</v>
      </c>
      <c r="N181" s="131">
        <f t="shared" si="262"/>
        <v>618043.71</v>
      </c>
      <c r="O181" s="131">
        <f t="shared" si="262"/>
        <v>696152.86</v>
      </c>
      <c r="P181" s="131">
        <f t="shared" si="262"/>
        <v>1423072.62</v>
      </c>
      <c r="Q181" s="131">
        <f t="shared" si="262"/>
        <v>2800052.29</v>
      </c>
      <c r="R181" s="131">
        <f t="shared" si="262"/>
        <v>4127598.32</v>
      </c>
      <c r="S181" s="620"/>
      <c r="T181" s="131">
        <f t="shared" ref="T181:Y181" si="263">SUM(T179:T180)</f>
        <v>3865932.8184187934</v>
      </c>
      <c r="U181" s="131">
        <f t="shared" si="263"/>
        <v>3475932.7079289244</v>
      </c>
      <c r="V181" s="131">
        <f t="shared" si="263"/>
        <v>2396530.4547942346</v>
      </c>
      <c r="W181" s="131">
        <f t="shared" si="263"/>
        <v>1753830.0622519576</v>
      </c>
      <c r="X181" s="131">
        <f t="shared" si="263"/>
        <v>1139735.8898645132</v>
      </c>
      <c r="Y181" s="131">
        <f t="shared" si="263"/>
        <v>701377.15862526151</v>
      </c>
      <c r="Z181" s="131">
        <f t="shared" si="262"/>
        <v>612667.34669302334</v>
      </c>
      <c r="AA181" s="131">
        <f t="shared" si="262"/>
        <v>612316.73567431176</v>
      </c>
      <c r="AB181" s="131">
        <f t="shared" si="262"/>
        <v>693056.39654869982</v>
      </c>
      <c r="AC181" s="131">
        <f t="shared" si="262"/>
        <v>1434339.2188042279</v>
      </c>
      <c r="AD181" s="131">
        <f t="shared" si="262"/>
        <v>2822605.6405744851</v>
      </c>
      <c r="AE181" s="131">
        <f t="shared" si="262"/>
        <v>4173145.2820849447</v>
      </c>
      <c r="AF181" s="131">
        <f t="shared" ref="AF181:AQ181" si="264">SUM(AF179:AF180)</f>
        <v>3914903.5343404044</v>
      </c>
      <c r="AG181" s="131">
        <f t="shared" si="264"/>
        <v>3519705.36188496</v>
      </c>
      <c r="AH181" s="131">
        <f t="shared" si="264"/>
        <v>2426316.8584549958</v>
      </c>
      <c r="AI181" s="131">
        <f t="shared" si="264"/>
        <v>1775268.084965039</v>
      </c>
      <c r="AJ181" s="131">
        <f t="shared" si="264"/>
        <v>1153093.5649249491</v>
      </c>
      <c r="AK181" s="131">
        <f t="shared" si="264"/>
        <v>709325.36843370937</v>
      </c>
      <c r="AL181" s="131">
        <f t="shared" si="264"/>
        <v>619394.72376818466</v>
      </c>
      <c r="AM181" s="131">
        <f t="shared" si="264"/>
        <v>618934.07350088761</v>
      </c>
      <c r="AN181" s="131">
        <f t="shared" si="264"/>
        <v>700853.96700047585</v>
      </c>
      <c r="AO181" s="131">
        <f t="shared" si="264"/>
        <v>1452083.1836876546</v>
      </c>
      <c r="AP181" s="131">
        <f t="shared" si="264"/>
        <v>2857558.3307912592</v>
      </c>
      <c r="AQ181" s="131">
        <f t="shared" si="264"/>
        <v>4225930.786350131</v>
      </c>
      <c r="AR181" s="131">
        <f>SUM(G181:R181)</f>
        <v>23507132.379999999</v>
      </c>
      <c r="AS181" s="131">
        <f>SUM(T181:AE181)</f>
        <v>23681469.712263379</v>
      </c>
      <c r="AT181" s="131">
        <f>SUM(AF181:AQ181)</f>
        <v>23973367.838102654</v>
      </c>
      <c r="AU181" s="621"/>
      <c r="AV181" s="621"/>
    </row>
    <row r="182" spans="1:48">
      <c r="B182" s="250">
        <v>781</v>
      </c>
      <c r="C182" s="212"/>
      <c r="D182" s="102"/>
      <c r="E182" s="102"/>
      <c r="F182" s="102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71"/>
      <c r="AV182" s="171"/>
    </row>
    <row r="183" spans="1:48">
      <c r="B183" s="250">
        <v>782</v>
      </c>
      <c r="C183" s="212">
        <v>909</v>
      </c>
      <c r="D183" s="102" t="s">
        <v>423</v>
      </c>
      <c r="E183" s="102"/>
      <c r="F183" s="102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71"/>
      <c r="AV183" s="171"/>
    </row>
    <row r="184" spans="1:48">
      <c r="B184" s="250">
        <v>783</v>
      </c>
      <c r="C184" s="212"/>
      <c r="D184" s="102"/>
      <c r="E184" s="102" t="s">
        <v>14</v>
      </c>
      <c r="F184" s="102"/>
      <c r="G184" s="186">
        <f t="shared" ref="G184:AE185" si="265">G438+G692</f>
        <v>11174</v>
      </c>
      <c r="H184" s="186">
        <f t="shared" si="265"/>
        <v>75557.22</v>
      </c>
      <c r="I184" s="186">
        <f t="shared" si="265"/>
        <v>73593.94</v>
      </c>
      <c r="J184" s="186">
        <f t="shared" si="265"/>
        <v>98871.33</v>
      </c>
      <c r="K184" s="186">
        <f t="shared" si="265"/>
        <v>57946.32</v>
      </c>
      <c r="L184" s="186">
        <f t="shared" si="265"/>
        <v>47731.29</v>
      </c>
      <c r="M184" s="186">
        <f t="shared" si="265"/>
        <v>34335.58</v>
      </c>
      <c r="N184" s="186">
        <f t="shared" si="265"/>
        <v>31880.950000000004</v>
      </c>
      <c r="O184" s="186">
        <f t="shared" si="265"/>
        <v>125165.25</v>
      </c>
      <c r="P184" s="186">
        <f t="shared" si="265"/>
        <v>102987.89</v>
      </c>
      <c r="Q184" s="186">
        <f t="shared" si="265"/>
        <v>153590.00000000003</v>
      </c>
      <c r="R184" s="186">
        <f t="shared" si="265"/>
        <v>-67346.25</v>
      </c>
      <c r="S184" s="186"/>
      <c r="T184" s="186">
        <f t="shared" ref="T184:Y184" si="266">T438+T692</f>
        <v>11274.565999999999</v>
      </c>
      <c r="U184" s="186">
        <f t="shared" si="266"/>
        <v>76237.234979999994</v>
      </c>
      <c r="V184" s="186">
        <f t="shared" si="266"/>
        <v>74256.285459999999</v>
      </c>
      <c r="W184" s="186">
        <f t="shared" si="266"/>
        <v>99761.171969999996</v>
      </c>
      <c r="X184" s="186">
        <f t="shared" si="266"/>
        <v>58467.836879999995</v>
      </c>
      <c r="Y184" s="186">
        <f t="shared" si="266"/>
        <v>48160.871609999995</v>
      </c>
      <c r="Z184" s="186">
        <f t="shared" si="265"/>
        <v>34644.60022</v>
      </c>
      <c r="AA184" s="186">
        <f t="shared" si="265"/>
        <v>32167.878550000001</v>
      </c>
      <c r="AB184" s="186">
        <f t="shared" si="265"/>
        <v>126291.73724999999</v>
      </c>
      <c r="AC184" s="186">
        <f t="shared" si="265"/>
        <v>103914.78100999999</v>
      </c>
      <c r="AD184" s="186">
        <f t="shared" si="265"/>
        <v>154972.31000000003</v>
      </c>
      <c r="AE184" s="186">
        <f t="shared" si="265"/>
        <v>-67952.366249999992</v>
      </c>
      <c r="AF184" s="186">
        <f t="shared" ref="AF184:AQ184" si="267">AF438+AF692</f>
        <v>11409.860791999999</v>
      </c>
      <c r="AG184" s="186">
        <f t="shared" si="267"/>
        <v>77152.081799759995</v>
      </c>
      <c r="AH184" s="186">
        <f t="shared" si="267"/>
        <v>75147.36088552</v>
      </c>
      <c r="AI184" s="186">
        <f t="shared" si="267"/>
        <v>100958.30603363999</v>
      </c>
      <c r="AJ184" s="186">
        <f t="shared" si="267"/>
        <v>59169.450922559998</v>
      </c>
      <c r="AK184" s="186">
        <f t="shared" si="267"/>
        <v>48738.802069319994</v>
      </c>
      <c r="AL184" s="186">
        <f t="shared" si="267"/>
        <v>35060.335422640004</v>
      </c>
      <c r="AM184" s="186">
        <f t="shared" si="267"/>
        <v>32553.893092600003</v>
      </c>
      <c r="AN184" s="186">
        <f t="shared" si="267"/>
        <v>127807.23809699999</v>
      </c>
      <c r="AO184" s="186">
        <f t="shared" si="267"/>
        <v>105161.75838212</v>
      </c>
      <c r="AP184" s="186">
        <f t="shared" si="267"/>
        <v>156831.97772000002</v>
      </c>
      <c r="AQ184" s="186">
        <f t="shared" si="267"/>
        <v>-68767.794644999987</v>
      </c>
      <c r="AR184" s="186">
        <f>SUM(G184:R184)</f>
        <v>745487.52</v>
      </c>
      <c r="AS184" s="186">
        <f>SUM(T184:AE184)</f>
        <v>752196.90768000006</v>
      </c>
      <c r="AT184" s="186">
        <f>SUM(AF184:AQ184)</f>
        <v>761223.27057216014</v>
      </c>
      <c r="AU184" s="171"/>
      <c r="AV184" s="171"/>
    </row>
    <row r="185" spans="1:48">
      <c r="B185" s="250">
        <v>784</v>
      </c>
      <c r="C185" s="212"/>
      <c r="D185" s="102"/>
      <c r="E185" s="102" t="s">
        <v>24</v>
      </c>
      <c r="F185" s="102"/>
      <c r="G185" s="186">
        <f t="shared" si="265"/>
        <v>358.67</v>
      </c>
      <c r="H185" s="186">
        <f t="shared" si="265"/>
        <v>1990.98</v>
      </c>
      <c r="I185" s="186">
        <f t="shared" si="265"/>
        <v>1175.08</v>
      </c>
      <c r="J185" s="186">
        <f t="shared" si="265"/>
        <v>3093.23</v>
      </c>
      <c r="K185" s="186">
        <f t="shared" si="265"/>
        <v>1597.54</v>
      </c>
      <c r="L185" s="186">
        <f t="shared" si="265"/>
        <v>1466.78</v>
      </c>
      <c r="M185" s="186">
        <f t="shared" si="265"/>
        <v>1118.53</v>
      </c>
      <c r="N185" s="186">
        <f t="shared" si="265"/>
        <v>1043.71</v>
      </c>
      <c r="O185" s="186">
        <f t="shared" si="265"/>
        <v>1722.67</v>
      </c>
      <c r="P185" s="186">
        <f t="shared" si="265"/>
        <v>3402.35</v>
      </c>
      <c r="Q185" s="186">
        <f t="shared" si="265"/>
        <v>5060.83</v>
      </c>
      <c r="R185" s="186">
        <f t="shared" si="265"/>
        <v>-1510.69</v>
      </c>
      <c r="S185" s="186"/>
      <c r="T185" s="186">
        <f t="shared" ref="T185:Y185" si="268">T439+T693</f>
        <v>361.89803000000001</v>
      </c>
      <c r="U185" s="186">
        <f t="shared" si="268"/>
        <v>2008.8988199999999</v>
      </c>
      <c r="V185" s="186">
        <f t="shared" si="268"/>
        <v>1185.6557199999997</v>
      </c>
      <c r="W185" s="186">
        <f t="shared" si="268"/>
        <v>3121.0690699999996</v>
      </c>
      <c r="X185" s="186">
        <f t="shared" si="268"/>
        <v>1611.9178599999998</v>
      </c>
      <c r="Y185" s="186">
        <f t="shared" si="268"/>
        <v>1479.9810199999997</v>
      </c>
      <c r="Z185" s="186">
        <f t="shared" si="265"/>
        <v>1128.5967699999999</v>
      </c>
      <c r="AA185" s="186">
        <f t="shared" si="265"/>
        <v>1053.10339</v>
      </c>
      <c r="AB185" s="186">
        <f t="shared" si="265"/>
        <v>1738.1740299999999</v>
      </c>
      <c r="AC185" s="186">
        <f t="shared" si="265"/>
        <v>3432.9711499999994</v>
      </c>
      <c r="AD185" s="186">
        <f t="shared" si="265"/>
        <v>5106.3774699999994</v>
      </c>
      <c r="AE185" s="186">
        <f t="shared" si="265"/>
        <v>-1524.28621</v>
      </c>
      <c r="AF185" s="186">
        <f t="shared" ref="AF185:AQ185" si="269">AF439+AF693</f>
        <v>366.24080636000002</v>
      </c>
      <c r="AG185" s="186">
        <f t="shared" si="269"/>
        <v>2033.0056058399998</v>
      </c>
      <c r="AH185" s="186">
        <f t="shared" si="269"/>
        <v>1199.8835886399997</v>
      </c>
      <c r="AI185" s="186">
        <f t="shared" si="269"/>
        <v>3158.5218988399997</v>
      </c>
      <c r="AJ185" s="186">
        <f t="shared" si="269"/>
        <v>1631.2608743199999</v>
      </c>
      <c r="AK185" s="186">
        <f t="shared" si="269"/>
        <v>1497.7407922399998</v>
      </c>
      <c r="AL185" s="186">
        <f t="shared" si="269"/>
        <v>1142.1399312399999</v>
      </c>
      <c r="AM185" s="186">
        <f t="shared" si="269"/>
        <v>1065.7406306800001</v>
      </c>
      <c r="AN185" s="186">
        <f t="shared" si="269"/>
        <v>1759.0321183599999</v>
      </c>
      <c r="AO185" s="186">
        <f t="shared" si="269"/>
        <v>3474.1668037999993</v>
      </c>
      <c r="AP185" s="186">
        <f t="shared" si="269"/>
        <v>5167.6539996399997</v>
      </c>
      <c r="AQ185" s="186">
        <f t="shared" si="269"/>
        <v>-1542.5776445199999</v>
      </c>
      <c r="AR185" s="186">
        <f>SUM(G185:R185)</f>
        <v>20519.680000000004</v>
      </c>
      <c r="AS185" s="186">
        <f>SUM(T185:AE185)</f>
        <v>20704.357120000001</v>
      </c>
      <c r="AT185" s="186">
        <f>SUM(AF185:AQ185)</f>
        <v>20952.809405439995</v>
      </c>
      <c r="AU185" s="171"/>
      <c r="AV185" s="171"/>
    </row>
    <row r="186" spans="1:48">
      <c r="A186" s="15" t="s">
        <v>1031</v>
      </c>
      <c r="B186" s="250">
        <v>785</v>
      </c>
      <c r="C186" s="212"/>
      <c r="D186" s="102"/>
      <c r="E186" s="102" t="s">
        <v>170</v>
      </c>
      <c r="F186" s="102"/>
      <c r="G186" s="131">
        <f t="shared" ref="G186:AE186" si="270">SUM(G184:G185)</f>
        <v>11532.67</v>
      </c>
      <c r="H186" s="131">
        <f t="shared" si="270"/>
        <v>77548.2</v>
      </c>
      <c r="I186" s="131">
        <f t="shared" si="270"/>
        <v>74769.02</v>
      </c>
      <c r="J186" s="131">
        <f t="shared" si="270"/>
        <v>101964.56</v>
      </c>
      <c r="K186" s="131">
        <f t="shared" si="270"/>
        <v>59543.86</v>
      </c>
      <c r="L186" s="131">
        <f t="shared" si="270"/>
        <v>49198.07</v>
      </c>
      <c r="M186" s="131">
        <f t="shared" si="270"/>
        <v>35454.11</v>
      </c>
      <c r="N186" s="131">
        <f t="shared" si="270"/>
        <v>32924.660000000003</v>
      </c>
      <c r="O186" s="131">
        <f t="shared" si="270"/>
        <v>126887.92</v>
      </c>
      <c r="P186" s="131">
        <f t="shared" si="270"/>
        <v>106390.24</v>
      </c>
      <c r="Q186" s="131">
        <f t="shared" si="270"/>
        <v>158650.83000000002</v>
      </c>
      <c r="R186" s="131">
        <f t="shared" si="270"/>
        <v>-68856.94</v>
      </c>
      <c r="S186" s="620"/>
      <c r="T186" s="131">
        <f t="shared" ref="T186:Y186" si="271">SUM(T184:T185)</f>
        <v>11636.464029999999</v>
      </c>
      <c r="U186" s="131">
        <f t="shared" si="271"/>
        <v>78246.133799999996</v>
      </c>
      <c r="V186" s="131">
        <f t="shared" si="271"/>
        <v>75441.941179999994</v>
      </c>
      <c r="W186" s="131">
        <f t="shared" si="271"/>
        <v>102882.24103999999</v>
      </c>
      <c r="X186" s="131">
        <f t="shared" si="271"/>
        <v>60079.754739999997</v>
      </c>
      <c r="Y186" s="131">
        <f t="shared" si="271"/>
        <v>49640.852629999994</v>
      </c>
      <c r="Z186" s="131">
        <f t="shared" si="270"/>
        <v>35773.196989999997</v>
      </c>
      <c r="AA186" s="131">
        <f t="shared" si="270"/>
        <v>33220.981939999998</v>
      </c>
      <c r="AB186" s="131">
        <f t="shared" si="270"/>
        <v>128029.91127999999</v>
      </c>
      <c r="AC186" s="131">
        <f t="shared" si="270"/>
        <v>107347.75215999999</v>
      </c>
      <c r="AD186" s="131">
        <f t="shared" si="270"/>
        <v>160078.68747000003</v>
      </c>
      <c r="AE186" s="131">
        <f t="shared" si="270"/>
        <v>-69476.652459999998</v>
      </c>
      <c r="AF186" s="131">
        <f t="shared" ref="AF186:AQ186" si="272">SUM(AF184:AF185)</f>
        <v>11776.101598359999</v>
      </c>
      <c r="AG186" s="131">
        <f t="shared" si="272"/>
        <v>79185.087405599988</v>
      </c>
      <c r="AH186" s="131">
        <f t="shared" si="272"/>
        <v>76347.244474160005</v>
      </c>
      <c r="AI186" s="131">
        <f t="shared" si="272"/>
        <v>104116.82793248</v>
      </c>
      <c r="AJ186" s="131">
        <f t="shared" si="272"/>
        <v>60800.711796880001</v>
      </c>
      <c r="AK186" s="131">
        <f t="shared" si="272"/>
        <v>50236.542861559996</v>
      </c>
      <c r="AL186" s="131">
        <f t="shared" si="272"/>
        <v>36202.475353880007</v>
      </c>
      <c r="AM186" s="131">
        <f t="shared" si="272"/>
        <v>33619.63372328</v>
      </c>
      <c r="AN186" s="131">
        <f t="shared" si="272"/>
        <v>129566.27021536</v>
      </c>
      <c r="AO186" s="131">
        <f t="shared" si="272"/>
        <v>108635.92518592</v>
      </c>
      <c r="AP186" s="131">
        <f t="shared" si="272"/>
        <v>161999.63171964002</v>
      </c>
      <c r="AQ186" s="131">
        <f t="shared" si="272"/>
        <v>-70310.37228951999</v>
      </c>
      <c r="AR186" s="131">
        <f>SUM(G186:R186)</f>
        <v>766007.20000000019</v>
      </c>
      <c r="AS186" s="131">
        <f>SUM(T186:AE186)</f>
        <v>772901.2648</v>
      </c>
      <c r="AT186" s="131">
        <f>SUM(AF186:AQ186)</f>
        <v>782176.07997760002</v>
      </c>
      <c r="AU186" s="621"/>
      <c r="AV186" s="621"/>
    </row>
    <row r="187" spans="1:48">
      <c r="B187" s="250">
        <v>786</v>
      </c>
      <c r="C187" s="212"/>
      <c r="D187" s="102"/>
      <c r="E187" s="102"/>
      <c r="F187" s="102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71"/>
      <c r="AV187" s="171"/>
    </row>
    <row r="188" spans="1:48">
      <c r="B188" s="250">
        <v>787</v>
      </c>
      <c r="C188" s="212">
        <v>910</v>
      </c>
      <c r="D188" s="102" t="s">
        <v>424</v>
      </c>
      <c r="E188" s="102"/>
      <c r="F188" s="102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71"/>
      <c r="AV188" s="171"/>
    </row>
    <row r="189" spans="1:48">
      <c r="B189" s="250">
        <v>788</v>
      </c>
      <c r="C189" s="208"/>
      <c r="D189" s="102"/>
      <c r="E189" s="102" t="s">
        <v>14</v>
      </c>
      <c r="F189" s="102"/>
      <c r="G189" s="186">
        <f t="shared" ref="G189:AE190" si="273">G443+G697</f>
        <v>0</v>
      </c>
      <c r="H189" s="186">
        <f t="shared" si="273"/>
        <v>0</v>
      </c>
      <c r="I189" s="186">
        <f t="shared" si="273"/>
        <v>0</v>
      </c>
      <c r="J189" s="186">
        <f t="shared" si="273"/>
        <v>0</v>
      </c>
      <c r="K189" s="186">
        <f t="shared" si="273"/>
        <v>0</v>
      </c>
      <c r="L189" s="186">
        <f t="shared" si="273"/>
        <v>0</v>
      </c>
      <c r="M189" s="186">
        <f t="shared" si="273"/>
        <v>0</v>
      </c>
      <c r="N189" s="186">
        <f t="shared" si="273"/>
        <v>0</v>
      </c>
      <c r="O189" s="186">
        <f t="shared" si="273"/>
        <v>0</v>
      </c>
      <c r="P189" s="186">
        <f t="shared" si="273"/>
        <v>0</v>
      </c>
      <c r="Q189" s="186">
        <f t="shared" si="273"/>
        <v>0</v>
      </c>
      <c r="R189" s="186">
        <f t="shared" si="273"/>
        <v>0</v>
      </c>
      <c r="S189" s="186"/>
      <c r="T189" s="186">
        <f t="shared" ref="T189:Y189" si="274">T443+T697</f>
        <v>0</v>
      </c>
      <c r="U189" s="186">
        <f t="shared" si="274"/>
        <v>0</v>
      </c>
      <c r="V189" s="186">
        <f t="shared" si="274"/>
        <v>0</v>
      </c>
      <c r="W189" s="186">
        <f t="shared" si="274"/>
        <v>0</v>
      </c>
      <c r="X189" s="186">
        <f t="shared" si="274"/>
        <v>0</v>
      </c>
      <c r="Y189" s="186">
        <f t="shared" si="274"/>
        <v>0</v>
      </c>
      <c r="Z189" s="186">
        <f t="shared" si="273"/>
        <v>0</v>
      </c>
      <c r="AA189" s="186">
        <f t="shared" si="273"/>
        <v>0</v>
      </c>
      <c r="AB189" s="186">
        <f t="shared" si="273"/>
        <v>0</v>
      </c>
      <c r="AC189" s="186">
        <f t="shared" si="273"/>
        <v>0</v>
      </c>
      <c r="AD189" s="186">
        <f t="shared" si="273"/>
        <v>0</v>
      </c>
      <c r="AE189" s="186">
        <f t="shared" si="273"/>
        <v>0</v>
      </c>
      <c r="AF189" s="186">
        <f t="shared" ref="AF189:AQ189" si="275">AF443+AF697</f>
        <v>0</v>
      </c>
      <c r="AG189" s="186">
        <f t="shared" si="275"/>
        <v>0</v>
      </c>
      <c r="AH189" s="186">
        <f t="shared" si="275"/>
        <v>0</v>
      </c>
      <c r="AI189" s="186">
        <f t="shared" si="275"/>
        <v>0</v>
      </c>
      <c r="AJ189" s="186">
        <f t="shared" si="275"/>
        <v>0</v>
      </c>
      <c r="AK189" s="186">
        <f t="shared" si="275"/>
        <v>0</v>
      </c>
      <c r="AL189" s="186">
        <f t="shared" si="275"/>
        <v>0</v>
      </c>
      <c r="AM189" s="186">
        <f t="shared" si="275"/>
        <v>0</v>
      </c>
      <c r="AN189" s="186">
        <f t="shared" si="275"/>
        <v>0</v>
      </c>
      <c r="AO189" s="186">
        <f t="shared" si="275"/>
        <v>0</v>
      </c>
      <c r="AP189" s="186">
        <f t="shared" si="275"/>
        <v>0</v>
      </c>
      <c r="AQ189" s="186">
        <f t="shared" si="275"/>
        <v>0</v>
      </c>
      <c r="AR189" s="186">
        <f>SUM(G189:R189)</f>
        <v>0</v>
      </c>
      <c r="AS189" s="186">
        <f>SUM(T189:AE189)</f>
        <v>0</v>
      </c>
      <c r="AT189" s="186">
        <f>SUM(AF189:AQ189)</f>
        <v>0</v>
      </c>
      <c r="AU189" s="171"/>
      <c r="AV189" s="171"/>
    </row>
    <row r="190" spans="1:48">
      <c r="B190" s="250">
        <v>789</v>
      </c>
      <c r="C190" s="208"/>
      <c r="D190" s="102"/>
      <c r="E190" s="102" t="s">
        <v>24</v>
      </c>
      <c r="F190" s="102"/>
      <c r="G190" s="186">
        <f t="shared" si="273"/>
        <v>0</v>
      </c>
      <c r="H190" s="186">
        <f t="shared" si="273"/>
        <v>0</v>
      </c>
      <c r="I190" s="186">
        <f t="shared" si="273"/>
        <v>0</v>
      </c>
      <c r="J190" s="186">
        <f t="shared" si="273"/>
        <v>0</v>
      </c>
      <c r="K190" s="186">
        <f t="shared" si="273"/>
        <v>0</v>
      </c>
      <c r="L190" s="186">
        <f t="shared" si="273"/>
        <v>0</v>
      </c>
      <c r="M190" s="186">
        <f t="shared" si="273"/>
        <v>0</v>
      </c>
      <c r="N190" s="186">
        <f t="shared" si="273"/>
        <v>0</v>
      </c>
      <c r="O190" s="186">
        <f t="shared" si="273"/>
        <v>0</v>
      </c>
      <c r="P190" s="186">
        <f t="shared" si="273"/>
        <v>0</v>
      </c>
      <c r="Q190" s="186">
        <f t="shared" si="273"/>
        <v>0</v>
      </c>
      <c r="R190" s="186">
        <f t="shared" si="273"/>
        <v>0</v>
      </c>
      <c r="S190" s="186"/>
      <c r="T190" s="186">
        <f t="shared" ref="T190:Y190" si="276">T444+T698</f>
        <v>0</v>
      </c>
      <c r="U190" s="186">
        <f t="shared" si="276"/>
        <v>0</v>
      </c>
      <c r="V190" s="186">
        <f t="shared" si="276"/>
        <v>0</v>
      </c>
      <c r="W190" s="186">
        <f t="shared" si="276"/>
        <v>0</v>
      </c>
      <c r="X190" s="186">
        <f t="shared" si="276"/>
        <v>0</v>
      </c>
      <c r="Y190" s="186">
        <f t="shared" si="276"/>
        <v>0</v>
      </c>
      <c r="Z190" s="186">
        <f t="shared" si="273"/>
        <v>0</v>
      </c>
      <c r="AA190" s="186">
        <f t="shared" si="273"/>
        <v>0</v>
      </c>
      <c r="AB190" s="186">
        <f t="shared" si="273"/>
        <v>0</v>
      </c>
      <c r="AC190" s="186">
        <f t="shared" si="273"/>
        <v>0</v>
      </c>
      <c r="AD190" s="186">
        <f t="shared" si="273"/>
        <v>0</v>
      </c>
      <c r="AE190" s="186">
        <f t="shared" si="273"/>
        <v>0</v>
      </c>
      <c r="AF190" s="186">
        <f t="shared" ref="AF190:AQ190" si="277">AF444+AF698</f>
        <v>0</v>
      </c>
      <c r="AG190" s="186">
        <f t="shared" si="277"/>
        <v>0</v>
      </c>
      <c r="AH190" s="186">
        <f t="shared" si="277"/>
        <v>0</v>
      </c>
      <c r="AI190" s="186">
        <f t="shared" si="277"/>
        <v>0</v>
      </c>
      <c r="AJ190" s="186">
        <f t="shared" si="277"/>
        <v>0</v>
      </c>
      <c r="AK190" s="186">
        <f t="shared" si="277"/>
        <v>0</v>
      </c>
      <c r="AL190" s="186">
        <f t="shared" si="277"/>
        <v>0</v>
      </c>
      <c r="AM190" s="186">
        <f t="shared" si="277"/>
        <v>0</v>
      </c>
      <c r="AN190" s="186">
        <f t="shared" si="277"/>
        <v>0</v>
      </c>
      <c r="AO190" s="186">
        <f t="shared" si="277"/>
        <v>0</v>
      </c>
      <c r="AP190" s="186">
        <f t="shared" si="277"/>
        <v>0</v>
      </c>
      <c r="AQ190" s="186">
        <f t="shared" si="277"/>
        <v>0</v>
      </c>
      <c r="AR190" s="186">
        <f>SUM(G190:R190)</f>
        <v>0</v>
      </c>
      <c r="AS190" s="186">
        <f>SUM(T190:AE190)</f>
        <v>0</v>
      </c>
      <c r="AT190" s="186">
        <f>SUM(AF190:AQ190)</f>
        <v>0</v>
      </c>
      <c r="AU190" s="171"/>
      <c r="AV190" s="171"/>
    </row>
    <row r="191" spans="1:48">
      <c r="A191" s="15" t="s">
        <v>1032</v>
      </c>
      <c r="B191" s="250">
        <v>790</v>
      </c>
      <c r="C191" s="208"/>
      <c r="D191" s="102"/>
      <c r="E191" s="102" t="s">
        <v>170</v>
      </c>
      <c r="F191" s="102"/>
      <c r="G191" s="131">
        <f t="shared" ref="G191:AE191" si="278">SUM(G189:G190)</f>
        <v>0</v>
      </c>
      <c r="H191" s="131">
        <f t="shared" si="278"/>
        <v>0</v>
      </c>
      <c r="I191" s="131">
        <f t="shared" si="278"/>
        <v>0</v>
      </c>
      <c r="J191" s="131">
        <f t="shared" si="278"/>
        <v>0</v>
      </c>
      <c r="K191" s="131">
        <f t="shared" si="278"/>
        <v>0</v>
      </c>
      <c r="L191" s="131">
        <f t="shared" si="278"/>
        <v>0</v>
      </c>
      <c r="M191" s="131">
        <f t="shared" si="278"/>
        <v>0</v>
      </c>
      <c r="N191" s="131">
        <f t="shared" si="278"/>
        <v>0</v>
      </c>
      <c r="O191" s="131">
        <f t="shared" si="278"/>
        <v>0</v>
      </c>
      <c r="P191" s="131">
        <f t="shared" si="278"/>
        <v>0</v>
      </c>
      <c r="Q191" s="131">
        <f t="shared" si="278"/>
        <v>0</v>
      </c>
      <c r="R191" s="131">
        <f t="shared" si="278"/>
        <v>0</v>
      </c>
      <c r="S191" s="620"/>
      <c r="T191" s="131">
        <f t="shared" ref="T191:Y191" si="279">SUM(T189:T190)</f>
        <v>0</v>
      </c>
      <c r="U191" s="131">
        <f t="shared" si="279"/>
        <v>0</v>
      </c>
      <c r="V191" s="131">
        <f t="shared" si="279"/>
        <v>0</v>
      </c>
      <c r="W191" s="131">
        <f t="shared" si="279"/>
        <v>0</v>
      </c>
      <c r="X191" s="131">
        <f t="shared" si="279"/>
        <v>0</v>
      </c>
      <c r="Y191" s="131">
        <f t="shared" si="279"/>
        <v>0</v>
      </c>
      <c r="Z191" s="131">
        <f t="shared" si="278"/>
        <v>0</v>
      </c>
      <c r="AA191" s="131">
        <f t="shared" si="278"/>
        <v>0</v>
      </c>
      <c r="AB191" s="131">
        <f t="shared" si="278"/>
        <v>0</v>
      </c>
      <c r="AC191" s="131">
        <f t="shared" si="278"/>
        <v>0</v>
      </c>
      <c r="AD191" s="131">
        <f t="shared" si="278"/>
        <v>0</v>
      </c>
      <c r="AE191" s="131">
        <f t="shared" si="278"/>
        <v>0</v>
      </c>
      <c r="AF191" s="131">
        <f t="shared" ref="AF191:AQ191" si="280">SUM(AF189:AF190)</f>
        <v>0</v>
      </c>
      <c r="AG191" s="131">
        <f t="shared" si="280"/>
        <v>0</v>
      </c>
      <c r="AH191" s="131">
        <f t="shared" si="280"/>
        <v>0</v>
      </c>
      <c r="AI191" s="131">
        <f t="shared" si="280"/>
        <v>0</v>
      </c>
      <c r="AJ191" s="131">
        <f t="shared" si="280"/>
        <v>0</v>
      </c>
      <c r="AK191" s="131">
        <f t="shared" si="280"/>
        <v>0</v>
      </c>
      <c r="AL191" s="131">
        <f t="shared" si="280"/>
        <v>0</v>
      </c>
      <c r="AM191" s="131">
        <f t="shared" si="280"/>
        <v>0</v>
      </c>
      <c r="AN191" s="131">
        <f t="shared" si="280"/>
        <v>0</v>
      </c>
      <c r="AO191" s="131">
        <f t="shared" si="280"/>
        <v>0</v>
      </c>
      <c r="AP191" s="131">
        <f t="shared" si="280"/>
        <v>0</v>
      </c>
      <c r="AQ191" s="131">
        <f t="shared" si="280"/>
        <v>0</v>
      </c>
      <c r="AR191" s="131">
        <f>SUM(G191:R191)</f>
        <v>0</v>
      </c>
      <c r="AS191" s="131">
        <f>SUM(T191:AE191)</f>
        <v>0</v>
      </c>
      <c r="AT191" s="131">
        <f>SUM(AF191:AQ191)</f>
        <v>0</v>
      </c>
      <c r="AU191" s="621"/>
      <c r="AV191" s="621"/>
    </row>
    <row r="192" spans="1:48" ht="13.5" thickBot="1">
      <c r="B192" s="250">
        <v>791</v>
      </c>
      <c r="C192" s="208"/>
      <c r="D192" s="102"/>
      <c r="E192" s="102"/>
      <c r="F192" s="102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622"/>
      <c r="AV192" s="622"/>
    </row>
    <row r="193" spans="1:48" ht="13.5" thickTop="1">
      <c r="B193" s="250">
        <v>792</v>
      </c>
      <c r="C193" s="49" t="s">
        <v>650</v>
      </c>
      <c r="D193" s="102"/>
      <c r="E193" s="102"/>
      <c r="F193" s="102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71"/>
      <c r="AV193" s="171"/>
    </row>
    <row r="194" spans="1:48">
      <c r="B194" s="250">
        <v>793</v>
      </c>
      <c r="C194" s="208"/>
      <c r="D194" s="208" t="s">
        <v>651</v>
      </c>
      <c r="E194" s="102"/>
      <c r="F194" s="102"/>
      <c r="G194" s="116">
        <f t="shared" ref="G194:AE195" si="281">G174+G179+G184+G189</f>
        <v>3838027.23</v>
      </c>
      <c r="H194" s="116">
        <f t="shared" si="281"/>
        <v>3510673.93</v>
      </c>
      <c r="I194" s="116">
        <f t="shared" si="281"/>
        <v>2447425.15</v>
      </c>
      <c r="J194" s="116">
        <f t="shared" si="281"/>
        <v>1862266.72</v>
      </c>
      <c r="K194" s="116">
        <f t="shared" si="281"/>
        <v>1214844.76</v>
      </c>
      <c r="L194" s="116">
        <f t="shared" si="281"/>
        <v>777033.73</v>
      </c>
      <c r="M194" s="116">
        <f t="shared" si="281"/>
        <v>678540.71</v>
      </c>
      <c r="N194" s="116">
        <f t="shared" si="281"/>
        <v>662453.69999999995</v>
      </c>
      <c r="O194" s="116">
        <f t="shared" si="281"/>
        <v>842267.59</v>
      </c>
      <c r="P194" s="116">
        <f t="shared" si="281"/>
        <v>1526395.8</v>
      </c>
      <c r="Q194" s="116">
        <f t="shared" si="281"/>
        <v>2964531.1199999996</v>
      </c>
      <c r="R194" s="116">
        <f t="shared" si="281"/>
        <v>4061262.74</v>
      </c>
      <c r="S194" s="116"/>
      <c r="T194" s="116">
        <f t="shared" ref="T194:Y194" si="282">T174+T179+T184+T189</f>
        <v>3879142.5913311117</v>
      </c>
      <c r="U194" s="116">
        <f t="shared" si="282"/>
        <v>3546434.5460129445</v>
      </c>
      <c r="V194" s="116">
        <f t="shared" si="282"/>
        <v>2467205.2375428388</v>
      </c>
      <c r="W194" s="116">
        <f t="shared" si="282"/>
        <v>1872033.3568014372</v>
      </c>
      <c r="X194" s="116">
        <f t="shared" si="282"/>
        <v>1214588.1997721239</v>
      </c>
      <c r="Y194" s="116">
        <f t="shared" si="282"/>
        <v>773495.26154285565</v>
      </c>
      <c r="Z194" s="116">
        <f t="shared" si="281"/>
        <v>672699.75946024212</v>
      </c>
      <c r="AA194" s="116">
        <f t="shared" si="281"/>
        <v>656275.03307797888</v>
      </c>
      <c r="AB194" s="116">
        <f t="shared" si="281"/>
        <v>839835.2951088472</v>
      </c>
      <c r="AC194" s="116">
        <f t="shared" si="281"/>
        <v>1538709.605735291</v>
      </c>
      <c r="AD194" s="116">
        <f t="shared" si="281"/>
        <v>2987667.2747501531</v>
      </c>
      <c r="AE194" s="116">
        <f t="shared" si="281"/>
        <v>4105305.4575355137</v>
      </c>
      <c r="AF194" s="116">
        <f t="shared" ref="AF194:AQ194" si="283">AF174+AF179+AF184+AF189</f>
        <v>3928159.8643711167</v>
      </c>
      <c r="AG194" s="116">
        <f t="shared" si="283"/>
        <v>3591110.1131623411</v>
      </c>
      <c r="AH194" s="116">
        <f t="shared" si="283"/>
        <v>2497772.4791279323</v>
      </c>
      <c r="AI194" s="116">
        <f t="shared" si="283"/>
        <v>1894765.3654514519</v>
      </c>
      <c r="AJ194" s="116">
        <f t="shared" si="283"/>
        <v>1228755.7951573431</v>
      </c>
      <c r="AK194" s="116">
        <f t="shared" si="283"/>
        <v>782227.74311982817</v>
      </c>
      <c r="AL194" s="116">
        <f t="shared" si="283"/>
        <v>680050.40652853576</v>
      </c>
      <c r="AM194" s="116">
        <f t="shared" si="283"/>
        <v>663409.43302764976</v>
      </c>
      <c r="AN194" s="116">
        <f t="shared" si="283"/>
        <v>849478.98220277717</v>
      </c>
      <c r="AO194" s="116">
        <f t="shared" si="283"/>
        <v>1557840.8691329502</v>
      </c>
      <c r="AP194" s="116">
        <f t="shared" si="283"/>
        <v>3024690.5846013888</v>
      </c>
      <c r="AQ194" s="116">
        <f t="shared" si="283"/>
        <v>4157328.4378402126</v>
      </c>
      <c r="AR194" s="116">
        <f>SUM(G194:R194)</f>
        <v>24385723.18</v>
      </c>
      <c r="AS194" s="116">
        <f>SUM(T194:AE194)</f>
        <v>24553391.618671339</v>
      </c>
      <c r="AT194" s="116">
        <f>SUM(AF194:AQ194)</f>
        <v>24855590.073723525</v>
      </c>
      <c r="AU194" s="171"/>
      <c r="AV194" s="171"/>
    </row>
    <row r="195" spans="1:48">
      <c r="B195" s="250">
        <v>794</v>
      </c>
      <c r="C195" s="208"/>
      <c r="D195" s="208" t="s">
        <v>652</v>
      </c>
      <c r="E195" s="102"/>
      <c r="F195" s="102"/>
      <c r="G195" s="116">
        <f t="shared" si="281"/>
        <v>34976.54</v>
      </c>
      <c r="H195" s="116">
        <f t="shared" si="281"/>
        <v>34075.69</v>
      </c>
      <c r="I195" s="116">
        <f t="shared" si="281"/>
        <v>27119.71</v>
      </c>
      <c r="J195" s="116">
        <f t="shared" si="281"/>
        <v>26283.84</v>
      </c>
      <c r="K195" s="116">
        <f t="shared" si="281"/>
        <v>18499.480000000003</v>
      </c>
      <c r="L195" s="116">
        <f t="shared" si="281"/>
        <v>10991.920000000002</v>
      </c>
      <c r="M195" s="116">
        <f t="shared" si="281"/>
        <v>10632.430000000002</v>
      </c>
      <c r="N195" s="116">
        <f t="shared" si="281"/>
        <v>10650.970000000001</v>
      </c>
      <c r="O195" s="116">
        <f t="shared" si="281"/>
        <v>11674.61</v>
      </c>
      <c r="P195" s="116">
        <f t="shared" si="281"/>
        <v>19803.339999999997</v>
      </c>
      <c r="Q195" s="116">
        <f t="shared" si="281"/>
        <v>32504.840000000004</v>
      </c>
      <c r="R195" s="116">
        <f t="shared" si="281"/>
        <v>30188.670000000002</v>
      </c>
      <c r="S195" s="116"/>
      <c r="T195" s="116">
        <f t="shared" ref="T195:Y195" si="284">T175+T180+T185+T190</f>
        <v>35506.132119999995</v>
      </c>
      <c r="U195" s="116">
        <f t="shared" si="284"/>
        <v>34579.4133</v>
      </c>
      <c r="V195" s="116">
        <f t="shared" si="284"/>
        <v>27523.761079999997</v>
      </c>
      <c r="W195" s="116">
        <f t="shared" si="284"/>
        <v>26667.831399999995</v>
      </c>
      <c r="X195" s="116">
        <f t="shared" si="284"/>
        <v>18773.757310000001</v>
      </c>
      <c r="Y195" s="116">
        <f t="shared" si="284"/>
        <v>11154.271449999998</v>
      </c>
      <c r="Z195" s="116">
        <f t="shared" si="281"/>
        <v>10791.833850000001</v>
      </c>
      <c r="AA195" s="116">
        <f t="shared" si="281"/>
        <v>10808.503799999999</v>
      </c>
      <c r="AB195" s="116">
        <f t="shared" si="281"/>
        <v>11844.93244</v>
      </c>
      <c r="AC195" s="116">
        <f t="shared" si="281"/>
        <v>20082.104069999994</v>
      </c>
      <c r="AD195" s="116">
        <f t="shared" si="281"/>
        <v>32968.95865</v>
      </c>
      <c r="AE195" s="116">
        <f t="shared" si="281"/>
        <v>30656.211859999996</v>
      </c>
      <c r="AF195" s="116">
        <f t="shared" ref="AF195:AQ195" si="285">AF175+AF180+AF185+AF190</f>
        <v>35975.638114249996</v>
      </c>
      <c r="AG195" s="116">
        <f t="shared" si="285"/>
        <v>35032.23228751999</v>
      </c>
      <c r="AH195" s="116">
        <f t="shared" si="285"/>
        <v>27885.413621199998</v>
      </c>
      <c r="AI195" s="116">
        <f t="shared" si="285"/>
        <v>27021.078573369996</v>
      </c>
      <c r="AJ195" s="116">
        <f t="shared" si="285"/>
        <v>19023.644805969998</v>
      </c>
      <c r="AK195" s="116">
        <f t="shared" si="285"/>
        <v>11305.124247269998</v>
      </c>
      <c r="AL195" s="116">
        <f t="shared" si="285"/>
        <v>10938.74127472</v>
      </c>
      <c r="AM195" s="116">
        <f t="shared" si="285"/>
        <v>10952.670049689998</v>
      </c>
      <c r="AN195" s="116">
        <f t="shared" si="285"/>
        <v>12003.648301769997</v>
      </c>
      <c r="AO195" s="116">
        <f t="shared" si="285"/>
        <v>20342.224037519994</v>
      </c>
      <c r="AP195" s="116">
        <f t="shared" si="285"/>
        <v>33400.520818019999</v>
      </c>
      <c r="AQ195" s="116">
        <f t="shared" si="285"/>
        <v>31062.863378949995</v>
      </c>
      <c r="AR195" s="116">
        <f>SUM(G195:R195)</f>
        <v>267402.03999999998</v>
      </c>
      <c r="AS195" s="116">
        <f>SUM(T195:AE195)</f>
        <v>271357.71132999996</v>
      </c>
      <c r="AT195" s="116">
        <f>SUM(AF195:AQ195)</f>
        <v>274943.79951024998</v>
      </c>
      <c r="AU195" s="171"/>
      <c r="AV195" s="171"/>
    </row>
    <row r="196" spans="1:48" ht="13.5" thickBot="1">
      <c r="B196" s="250">
        <v>795</v>
      </c>
      <c r="C196" s="208"/>
      <c r="D196" s="102"/>
      <c r="E196" s="102"/>
      <c r="F196" s="102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623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409"/>
      <c r="AV196" s="409"/>
    </row>
    <row r="197" spans="1:48">
      <c r="B197" s="250">
        <v>796</v>
      </c>
      <c r="C197" s="208"/>
      <c r="D197" s="49" t="s">
        <v>650</v>
      </c>
      <c r="E197" s="102"/>
      <c r="F197" s="102"/>
      <c r="G197" s="116">
        <f t="shared" ref="G197:AE197" si="286">G176+G181+G186+G191</f>
        <v>3873003.7699999996</v>
      </c>
      <c r="H197" s="116">
        <f t="shared" si="286"/>
        <v>3544749.62</v>
      </c>
      <c r="I197" s="116">
        <f t="shared" si="286"/>
        <v>2474544.8600000003</v>
      </c>
      <c r="J197" s="116">
        <f t="shared" si="286"/>
        <v>1888550.56</v>
      </c>
      <c r="K197" s="116">
        <f t="shared" si="286"/>
        <v>1233344.24</v>
      </c>
      <c r="L197" s="116">
        <f t="shared" si="286"/>
        <v>788025.64999999991</v>
      </c>
      <c r="M197" s="116">
        <f t="shared" si="286"/>
        <v>689173.1399999999</v>
      </c>
      <c r="N197" s="116">
        <f t="shared" si="286"/>
        <v>673104.67</v>
      </c>
      <c r="O197" s="116">
        <f t="shared" si="286"/>
        <v>853942.20000000007</v>
      </c>
      <c r="P197" s="116">
        <f t="shared" si="286"/>
        <v>1546199.1400000001</v>
      </c>
      <c r="Q197" s="116">
        <f t="shared" si="286"/>
        <v>2997035.96</v>
      </c>
      <c r="R197" s="116">
        <f t="shared" si="286"/>
        <v>4091451.4099999997</v>
      </c>
      <c r="S197" s="116"/>
      <c r="T197" s="116">
        <f t="shared" ref="T197:Y197" si="287">T176+T181+T186+T191</f>
        <v>3914648.7234511115</v>
      </c>
      <c r="U197" s="116">
        <f t="shared" si="287"/>
        <v>3581013.9593129442</v>
      </c>
      <c r="V197" s="116">
        <f t="shared" si="287"/>
        <v>2494728.9986228389</v>
      </c>
      <c r="W197" s="116">
        <f t="shared" si="287"/>
        <v>1898701.1882014372</v>
      </c>
      <c r="X197" s="116">
        <f t="shared" si="287"/>
        <v>1233361.957082124</v>
      </c>
      <c r="Y197" s="116">
        <f t="shared" si="287"/>
        <v>784649.53299285553</v>
      </c>
      <c r="Z197" s="116">
        <f t="shared" si="286"/>
        <v>683491.59331024205</v>
      </c>
      <c r="AA197" s="116">
        <f t="shared" si="286"/>
        <v>667083.53687797894</v>
      </c>
      <c r="AB197" s="116">
        <f t="shared" si="286"/>
        <v>851680.22754884721</v>
      </c>
      <c r="AC197" s="116">
        <f t="shared" si="286"/>
        <v>1558791.7098052909</v>
      </c>
      <c r="AD197" s="116">
        <f t="shared" si="286"/>
        <v>3020636.2334001535</v>
      </c>
      <c r="AE197" s="116">
        <f t="shared" si="286"/>
        <v>4135961.6693955143</v>
      </c>
      <c r="AF197" s="116">
        <f t="shared" ref="AF197:AQ197" si="288">AF176+AF181+AF186+AF191</f>
        <v>3964135.502485367</v>
      </c>
      <c r="AG197" s="116">
        <f t="shared" si="288"/>
        <v>3626142.3454498611</v>
      </c>
      <c r="AH197" s="116">
        <f t="shared" si="288"/>
        <v>2525657.8927491326</v>
      </c>
      <c r="AI197" s="116">
        <f t="shared" si="288"/>
        <v>1921786.444024822</v>
      </c>
      <c r="AJ197" s="116">
        <f t="shared" si="288"/>
        <v>1247779.4399633133</v>
      </c>
      <c r="AK197" s="116">
        <f t="shared" si="288"/>
        <v>793532.86736709811</v>
      </c>
      <c r="AL197" s="116">
        <f t="shared" si="288"/>
        <v>690989.14780325571</v>
      </c>
      <c r="AM197" s="116">
        <f t="shared" si="288"/>
        <v>674362.10307733982</v>
      </c>
      <c r="AN197" s="116">
        <f t="shared" si="288"/>
        <v>861482.63050454727</v>
      </c>
      <c r="AO197" s="116">
        <f t="shared" si="288"/>
        <v>1578183.0931704701</v>
      </c>
      <c r="AP197" s="116">
        <f t="shared" si="288"/>
        <v>3058091.105419409</v>
      </c>
      <c r="AQ197" s="116">
        <f t="shared" si="288"/>
        <v>4188391.3012191635</v>
      </c>
      <c r="AR197" s="116">
        <f>SUM(G197:R197)</f>
        <v>24653125.220000003</v>
      </c>
      <c r="AS197" s="116">
        <f>SUM(T197:AE197)</f>
        <v>24824749.330001336</v>
      </c>
      <c r="AT197" s="116">
        <f>SUM(AF197:AQ197)</f>
        <v>25130533.87323378</v>
      </c>
      <c r="AU197" s="171"/>
      <c r="AV197" s="171"/>
    </row>
    <row r="198" spans="1:48">
      <c r="B198" s="250">
        <v>797</v>
      </c>
      <c r="C198" s="208"/>
      <c r="D198" s="102"/>
      <c r="E198" s="102"/>
      <c r="F198" s="102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71"/>
      <c r="AV198" s="171"/>
    </row>
    <row r="199" spans="1:48">
      <c r="B199" s="250">
        <v>798</v>
      </c>
      <c r="C199" s="49" t="s">
        <v>425</v>
      </c>
      <c r="D199" s="102"/>
      <c r="E199" s="102"/>
      <c r="F199" s="102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71"/>
      <c r="AV199" s="171"/>
    </row>
    <row r="200" spans="1:48">
      <c r="B200" s="250">
        <v>799</v>
      </c>
      <c r="C200" s="208"/>
      <c r="D200" s="102"/>
      <c r="E200" s="102"/>
      <c r="F200" s="102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71"/>
      <c r="AV200" s="171"/>
    </row>
    <row r="201" spans="1:48">
      <c r="B201" s="250">
        <v>800</v>
      </c>
      <c r="C201" s="212">
        <v>920</v>
      </c>
      <c r="D201" s="102" t="s">
        <v>426</v>
      </c>
      <c r="E201" s="102"/>
      <c r="F201" s="102"/>
      <c r="AU201" s="199"/>
      <c r="AV201" s="199"/>
    </row>
    <row r="202" spans="1:48">
      <c r="B202" s="250">
        <f>+B201+1</f>
        <v>801</v>
      </c>
      <c r="C202" s="212"/>
      <c r="D202" s="102"/>
      <c r="E202" s="102" t="s">
        <v>14</v>
      </c>
      <c r="F202" s="102"/>
      <c r="G202" s="186">
        <f t="shared" ref="G202:AE203" si="289">G456+G710</f>
        <v>539421.17000000004</v>
      </c>
      <c r="H202" s="186">
        <f t="shared" si="289"/>
        <v>523413.20000000007</v>
      </c>
      <c r="I202" s="186">
        <f t="shared" si="289"/>
        <v>-163688.68000000002</v>
      </c>
      <c r="J202" s="186">
        <f t="shared" si="289"/>
        <v>532211.47</v>
      </c>
      <c r="K202" s="186">
        <f t="shared" si="289"/>
        <v>491354.74</v>
      </c>
      <c r="L202" s="186">
        <f t="shared" si="289"/>
        <v>-11829.36</v>
      </c>
      <c r="M202" s="186">
        <f t="shared" si="289"/>
        <v>503706.26</v>
      </c>
      <c r="N202" s="186">
        <f t="shared" si="289"/>
        <v>521758.43</v>
      </c>
      <c r="O202" s="186">
        <f t="shared" si="289"/>
        <v>-39936.750000000007</v>
      </c>
      <c r="P202" s="186">
        <f t="shared" si="289"/>
        <v>502870.89</v>
      </c>
      <c r="Q202" s="186">
        <f t="shared" si="289"/>
        <v>499316.12</v>
      </c>
      <c r="R202" s="186">
        <f t="shared" si="289"/>
        <v>508127.09</v>
      </c>
      <c r="S202" s="186"/>
      <c r="T202" s="186">
        <f t="shared" ref="T202:Y202" si="290">T456+T710</f>
        <v>508286.33050778334</v>
      </c>
      <c r="U202" s="186">
        <f t="shared" si="290"/>
        <v>493202.32420121093</v>
      </c>
      <c r="V202" s="186">
        <f t="shared" si="290"/>
        <v>-154240.73642282668</v>
      </c>
      <c r="W202" s="186">
        <f t="shared" si="290"/>
        <v>501492.7670348073</v>
      </c>
      <c r="X202" s="186">
        <f t="shared" si="290"/>
        <v>462994.24579907738</v>
      </c>
      <c r="Y202" s="186">
        <f t="shared" si="290"/>
        <v>-11146.581411803974</v>
      </c>
      <c r="Z202" s="186">
        <f t="shared" si="289"/>
        <v>474632.84866850782</v>
      </c>
      <c r="AA202" s="186">
        <f t="shared" si="289"/>
        <v>491643.0658370381</v>
      </c>
      <c r="AB202" s="186">
        <f t="shared" si="289"/>
        <v>-37631.64154255703</v>
      </c>
      <c r="AC202" s="186">
        <f t="shared" si="289"/>
        <v>473845.69537247333</v>
      </c>
      <c r="AD202" s="186">
        <f t="shared" si="289"/>
        <v>470496.10306948831</v>
      </c>
      <c r="AE202" s="186">
        <f t="shared" si="289"/>
        <v>478798.51287204423</v>
      </c>
      <c r="AF202" s="186">
        <f t="shared" ref="AF202:AQ202" si="291">AF456+AF710</f>
        <v>511382.02530873963</v>
      </c>
      <c r="AG202" s="186">
        <f t="shared" si="291"/>
        <v>496206.15054712893</v>
      </c>
      <c r="AH202" s="186">
        <f t="shared" si="291"/>
        <v>-155180.13261977499</v>
      </c>
      <c r="AI202" s="186">
        <f t="shared" si="291"/>
        <v>504547.08594611054</v>
      </c>
      <c r="AJ202" s="186">
        <f t="shared" si="291"/>
        <v>465814.09121605137</v>
      </c>
      <c r="AK202" s="186">
        <f t="shared" si="291"/>
        <v>-11214.469159425449</v>
      </c>
      <c r="AL202" s="186">
        <f t="shared" si="291"/>
        <v>477523.57846743497</v>
      </c>
      <c r="AM202" s="186">
        <f t="shared" si="291"/>
        <v>494637.39559073711</v>
      </c>
      <c r="AN202" s="186">
        <f t="shared" si="291"/>
        <v>-37860.835345503423</v>
      </c>
      <c r="AO202" s="186">
        <f t="shared" si="291"/>
        <v>476731.63105001685</v>
      </c>
      <c r="AP202" s="186">
        <f t="shared" si="291"/>
        <v>473361.63820730592</v>
      </c>
      <c r="AQ202" s="186">
        <f t="shared" si="291"/>
        <v>481714.61345952778</v>
      </c>
      <c r="AR202" s="186">
        <f>SUM(G202:R202)</f>
        <v>4406724.58</v>
      </c>
      <c r="AS202" s="186">
        <f>SUM(T202:AE202)</f>
        <v>4152372.9339852436</v>
      </c>
      <c r="AT202" s="186">
        <f>SUM(AF202:AQ202)</f>
        <v>4177662.7726683491</v>
      </c>
      <c r="AU202" s="171"/>
      <c r="AV202" s="171"/>
    </row>
    <row r="203" spans="1:48">
      <c r="B203" s="250">
        <f t="shared" ref="B203:B257" si="292">+B202+1</f>
        <v>802</v>
      </c>
      <c r="C203" s="212"/>
      <c r="D203" s="102"/>
      <c r="E203" s="102" t="s">
        <v>24</v>
      </c>
      <c r="F203" s="102"/>
      <c r="G203" s="186">
        <f t="shared" si="289"/>
        <v>19525.27</v>
      </c>
      <c r="H203" s="186">
        <f t="shared" si="289"/>
        <v>16913.599999999999</v>
      </c>
      <c r="I203" s="186">
        <f t="shared" si="289"/>
        <v>-5915.3</v>
      </c>
      <c r="J203" s="186">
        <f t="shared" si="289"/>
        <v>18703.420000000002</v>
      </c>
      <c r="K203" s="186">
        <f t="shared" si="289"/>
        <v>18827.320000000003</v>
      </c>
      <c r="L203" s="186">
        <f t="shared" si="289"/>
        <v>323.85000000000002</v>
      </c>
      <c r="M203" s="186">
        <f t="shared" si="289"/>
        <v>15975</v>
      </c>
      <c r="N203" s="186">
        <f t="shared" si="289"/>
        <v>17391.71</v>
      </c>
      <c r="O203" s="186">
        <f t="shared" si="289"/>
        <v>-558.59</v>
      </c>
      <c r="P203" s="186">
        <f t="shared" si="289"/>
        <v>15684.06</v>
      </c>
      <c r="Q203" s="186">
        <f t="shared" si="289"/>
        <v>15240.06</v>
      </c>
      <c r="R203" s="186">
        <f t="shared" si="289"/>
        <v>-16107.43</v>
      </c>
      <c r="S203" s="186"/>
      <c r="T203" s="186">
        <f t="shared" ref="T203:Y203" si="293">T457+T711</f>
        <v>18398.291339721996</v>
      </c>
      <c r="U203" s="186">
        <f t="shared" si="293"/>
        <v>15937.364267102166</v>
      </c>
      <c r="V203" s="186">
        <f t="shared" si="293"/>
        <v>-5573.8749201346518</v>
      </c>
      <c r="W203" s="186">
        <f t="shared" si="293"/>
        <v>17623.877683083676</v>
      </c>
      <c r="X203" s="186">
        <f t="shared" si="293"/>
        <v>17740.62630151464</v>
      </c>
      <c r="Y203" s="186">
        <f t="shared" si="293"/>
        <v>305.1577084654383</v>
      </c>
      <c r="Z203" s="186">
        <f t="shared" si="289"/>
        <v>15052.939301328937</v>
      </c>
      <c r="AA203" s="186">
        <f t="shared" si="289"/>
        <v>16387.878245778746</v>
      </c>
      <c r="AB203" s="186">
        <f t="shared" si="289"/>
        <v>-526.34875520058415</v>
      </c>
      <c r="AC203" s="186">
        <f t="shared" si="289"/>
        <v>14778.792061245767</v>
      </c>
      <c r="AD203" s="186">
        <f t="shared" si="289"/>
        <v>14360.419288175968</v>
      </c>
      <c r="AE203" s="186">
        <f t="shared" si="289"/>
        <v>-15177.725576864148</v>
      </c>
      <c r="AF203" s="186">
        <f t="shared" ref="AF203:AQ203" si="294">AF457+AF711</f>
        <v>18510.345297163578</v>
      </c>
      <c r="AG203" s="186">
        <f t="shared" si="294"/>
        <v>16034.430060025077</v>
      </c>
      <c r="AH203" s="186">
        <f t="shared" si="294"/>
        <v>-5607.8223520756283</v>
      </c>
      <c r="AI203" s="186">
        <f t="shared" si="294"/>
        <v>17731.215109336528</v>
      </c>
      <c r="AJ203" s="186">
        <f t="shared" si="294"/>
        <v>17848.674779923338</v>
      </c>
      <c r="AK203" s="186">
        <f t="shared" si="294"/>
        <v>307.01625762339904</v>
      </c>
      <c r="AL203" s="186">
        <f t="shared" si="294"/>
        <v>15144.618544183417</v>
      </c>
      <c r="AM203" s="186">
        <f t="shared" si="294"/>
        <v>16487.687873618786</v>
      </c>
      <c r="AN203" s="186">
        <f t="shared" si="294"/>
        <v>-529.55445837842979</v>
      </c>
      <c r="AO203" s="186">
        <f t="shared" si="294"/>
        <v>14868.801622790945</v>
      </c>
      <c r="AP203" s="186">
        <f t="shared" si="294"/>
        <v>14447.880769356365</v>
      </c>
      <c r="AQ203" s="186">
        <f t="shared" si="294"/>
        <v>-15270.164824859861</v>
      </c>
      <c r="AR203" s="186">
        <f>SUM(G203:R203)</f>
        <v>116002.97</v>
      </c>
      <c r="AS203" s="186">
        <f>SUM(T203:AE203)</f>
        <v>109307.39694421795</v>
      </c>
      <c r="AT203" s="186">
        <f>SUM(AF203:AQ203)</f>
        <v>109973.12867870751</v>
      </c>
      <c r="AU203" s="618"/>
      <c r="AV203" s="618"/>
    </row>
    <row r="204" spans="1:48">
      <c r="A204" s="15" t="s">
        <v>1033</v>
      </c>
      <c r="B204" s="250">
        <f t="shared" si="292"/>
        <v>803</v>
      </c>
      <c r="C204" s="212"/>
      <c r="D204" s="102"/>
      <c r="E204" s="102" t="s">
        <v>170</v>
      </c>
      <c r="F204" s="102"/>
      <c r="G204" s="131">
        <f t="shared" ref="G204:AE204" si="295">SUM(G202:G203)</f>
        <v>558946.44000000006</v>
      </c>
      <c r="H204" s="131">
        <f t="shared" si="295"/>
        <v>540326.80000000005</v>
      </c>
      <c r="I204" s="131">
        <f t="shared" si="295"/>
        <v>-169603.98</v>
      </c>
      <c r="J204" s="131">
        <f t="shared" si="295"/>
        <v>550914.89</v>
      </c>
      <c r="K204" s="131">
        <f t="shared" si="295"/>
        <v>510182.06</v>
      </c>
      <c r="L204" s="131">
        <f t="shared" si="295"/>
        <v>-11505.51</v>
      </c>
      <c r="M204" s="131">
        <f t="shared" si="295"/>
        <v>519681.26</v>
      </c>
      <c r="N204" s="131">
        <f t="shared" si="295"/>
        <v>539150.14</v>
      </c>
      <c r="O204" s="131">
        <f t="shared" si="295"/>
        <v>-40495.340000000004</v>
      </c>
      <c r="P204" s="131">
        <f t="shared" si="295"/>
        <v>518554.95</v>
      </c>
      <c r="Q204" s="131">
        <f t="shared" si="295"/>
        <v>514556.18</v>
      </c>
      <c r="R204" s="131">
        <f t="shared" si="295"/>
        <v>492019.66000000003</v>
      </c>
      <c r="S204" s="620"/>
      <c r="T204" s="131">
        <f t="shared" ref="T204:Y204" si="296">SUM(T202:T203)</f>
        <v>526684.62184750533</v>
      </c>
      <c r="U204" s="131">
        <f t="shared" si="296"/>
        <v>509139.68846831308</v>
      </c>
      <c r="V204" s="131">
        <f t="shared" si="296"/>
        <v>-159814.61134296135</v>
      </c>
      <c r="W204" s="131">
        <f t="shared" si="296"/>
        <v>519116.644717891</v>
      </c>
      <c r="X204" s="131">
        <f t="shared" si="296"/>
        <v>480734.87210059201</v>
      </c>
      <c r="Y204" s="131">
        <f t="shared" si="296"/>
        <v>-10841.423703338536</v>
      </c>
      <c r="Z204" s="131">
        <f t="shared" si="295"/>
        <v>489685.78796983673</v>
      </c>
      <c r="AA204" s="131">
        <f t="shared" si="295"/>
        <v>508030.94408281683</v>
      </c>
      <c r="AB204" s="131">
        <f t="shared" si="295"/>
        <v>-38157.990297757613</v>
      </c>
      <c r="AC204" s="131">
        <f t="shared" si="295"/>
        <v>488624.4874337191</v>
      </c>
      <c r="AD204" s="131">
        <f t="shared" si="295"/>
        <v>484856.5223576643</v>
      </c>
      <c r="AE204" s="131">
        <f t="shared" si="295"/>
        <v>463620.78729518008</v>
      </c>
      <c r="AF204" s="131">
        <f t="shared" ref="AF204:AQ204" si="297">SUM(AF202:AF203)</f>
        <v>529892.37060590321</v>
      </c>
      <c r="AG204" s="131">
        <f t="shared" si="297"/>
        <v>512240.580607154</v>
      </c>
      <c r="AH204" s="131">
        <f t="shared" si="297"/>
        <v>-160787.95497185062</v>
      </c>
      <c r="AI204" s="131">
        <f t="shared" si="297"/>
        <v>522278.30105544708</v>
      </c>
      <c r="AJ204" s="131">
        <f t="shared" si="297"/>
        <v>483662.76599597471</v>
      </c>
      <c r="AK204" s="131">
        <f t="shared" si="297"/>
        <v>-10907.452901802049</v>
      </c>
      <c r="AL204" s="131">
        <f t="shared" si="297"/>
        <v>492668.19701161841</v>
      </c>
      <c r="AM204" s="131">
        <f t="shared" si="297"/>
        <v>511125.08346435591</v>
      </c>
      <c r="AN204" s="131">
        <f t="shared" si="297"/>
        <v>-38390.389803881852</v>
      </c>
      <c r="AO204" s="131">
        <f t="shared" si="297"/>
        <v>491600.43267280777</v>
      </c>
      <c r="AP204" s="131">
        <f t="shared" si="297"/>
        <v>487809.51897666231</v>
      </c>
      <c r="AQ204" s="131">
        <f t="shared" si="297"/>
        <v>466444.4486346679</v>
      </c>
      <c r="AR204" s="131">
        <f>SUM(G204:R204)</f>
        <v>4522727.5500000007</v>
      </c>
      <c r="AS204" s="131">
        <f>SUM(T204:AE204)</f>
        <v>4261680.3309294609</v>
      </c>
      <c r="AT204" s="131">
        <f>SUM(AF204:AQ204)</f>
        <v>4287635.901347057</v>
      </c>
      <c r="AU204" s="621"/>
      <c r="AV204" s="621"/>
    </row>
    <row r="205" spans="1:48">
      <c r="B205" s="250">
        <f t="shared" si="292"/>
        <v>804</v>
      </c>
      <c r="C205" s="212">
        <v>921</v>
      </c>
      <c r="D205" s="102" t="s">
        <v>427</v>
      </c>
      <c r="E205" s="102"/>
      <c r="F205" s="102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AU205" s="199"/>
      <c r="AV205" s="199"/>
    </row>
    <row r="206" spans="1:48">
      <c r="B206" s="250">
        <f t="shared" si="292"/>
        <v>805</v>
      </c>
      <c r="C206" s="212"/>
      <c r="D206" s="102"/>
      <c r="E206" s="102" t="s">
        <v>14</v>
      </c>
      <c r="F206" s="102"/>
      <c r="G206" s="186">
        <f t="shared" ref="G206:AE207" si="298">G460+G714</f>
        <v>2932782.4000000004</v>
      </c>
      <c r="H206" s="186">
        <f t="shared" si="298"/>
        <v>2926011.98</v>
      </c>
      <c r="I206" s="186">
        <f t="shared" si="298"/>
        <v>3069380.2699999996</v>
      </c>
      <c r="J206" s="186">
        <f t="shared" si="298"/>
        <v>1836818.6199999999</v>
      </c>
      <c r="K206" s="186">
        <f t="shared" si="298"/>
        <v>3495539.3099999996</v>
      </c>
      <c r="L206" s="186">
        <f t="shared" si="298"/>
        <v>2355743.1800000002</v>
      </c>
      <c r="M206" s="186">
        <f t="shared" si="298"/>
        <v>2489261.7600000002</v>
      </c>
      <c r="N206" s="186">
        <f t="shared" si="298"/>
        <v>2561192.9300000002</v>
      </c>
      <c r="O206" s="186">
        <f t="shared" si="298"/>
        <v>2876070.31</v>
      </c>
      <c r="P206" s="186">
        <f t="shared" si="298"/>
        <v>2399297</v>
      </c>
      <c r="Q206" s="186">
        <f t="shared" si="298"/>
        <v>2852592.4</v>
      </c>
      <c r="R206" s="186">
        <f t="shared" si="298"/>
        <v>2899139.91</v>
      </c>
      <c r="S206" s="186"/>
      <c r="T206" s="186">
        <f t="shared" ref="T206:Y206" si="299">T460+T714</f>
        <v>2833176.3706284743</v>
      </c>
      <c r="U206" s="186">
        <f t="shared" si="299"/>
        <v>2808559.7510873894</v>
      </c>
      <c r="V206" s="186">
        <f t="shared" si="299"/>
        <v>3020798.3709971895</v>
      </c>
      <c r="W206" s="186">
        <f t="shared" si="299"/>
        <v>1757563.6472864072</v>
      </c>
      <c r="X206" s="186">
        <f t="shared" si="299"/>
        <v>3394134.5228278125</v>
      </c>
      <c r="Y206" s="186">
        <f t="shared" si="299"/>
        <v>2294154.647548636</v>
      </c>
      <c r="Z206" s="186">
        <f t="shared" si="298"/>
        <v>2410878.1114880797</v>
      </c>
      <c r="AA206" s="186">
        <f t="shared" si="298"/>
        <v>2491797.3819589461</v>
      </c>
      <c r="AB206" s="186">
        <f t="shared" si="298"/>
        <v>2777941.8886604048</v>
      </c>
      <c r="AC206" s="186">
        <f t="shared" si="298"/>
        <v>2335994.5160927419</v>
      </c>
      <c r="AD206" s="186">
        <f t="shared" si="298"/>
        <v>2775101.0584968384</v>
      </c>
      <c r="AE206" s="186">
        <f t="shared" si="298"/>
        <v>2795188.5394690656</v>
      </c>
      <c r="AF206" s="186">
        <f t="shared" ref="AF206:AQ206" si="300">AF460+AF714</f>
        <v>2858123.4133585342</v>
      </c>
      <c r="AG206" s="186">
        <f t="shared" si="300"/>
        <v>2831343.5013530231</v>
      </c>
      <c r="AH206" s="186">
        <f t="shared" si="300"/>
        <v>3053391.6173204212</v>
      </c>
      <c r="AI206" s="186">
        <f t="shared" si="300"/>
        <v>1771222.7950428852</v>
      </c>
      <c r="AJ206" s="186">
        <f t="shared" si="300"/>
        <v>3425885.4641421326</v>
      </c>
      <c r="AK206" s="186">
        <f t="shared" si="300"/>
        <v>2316338.9403951094</v>
      </c>
      <c r="AL206" s="186">
        <f t="shared" si="300"/>
        <v>2432769.9246195992</v>
      </c>
      <c r="AM206" s="186">
        <f t="shared" si="300"/>
        <v>2515632.6769490084</v>
      </c>
      <c r="AN206" s="186">
        <f t="shared" si="300"/>
        <v>2802354.2765050139</v>
      </c>
      <c r="AO206" s="186">
        <f t="shared" si="300"/>
        <v>2358521.9452407658</v>
      </c>
      <c r="AP206" s="186">
        <f t="shared" si="300"/>
        <v>2801624.8761687349</v>
      </c>
      <c r="AQ206" s="186">
        <f t="shared" si="300"/>
        <v>2819210.116382564</v>
      </c>
      <c r="AR206" s="186">
        <f>SUM(G206:R206)</f>
        <v>32693830.069999997</v>
      </c>
      <c r="AS206" s="186">
        <f>SUM(T206:AE206)</f>
        <v>31695288.80654199</v>
      </c>
      <c r="AT206" s="186">
        <f>SUM(AF206:AQ206)</f>
        <v>31986419.547477793</v>
      </c>
      <c r="AU206" s="171"/>
      <c r="AV206" s="171"/>
    </row>
    <row r="207" spans="1:48">
      <c r="B207" s="250">
        <f t="shared" si="292"/>
        <v>806</v>
      </c>
      <c r="C207" s="212"/>
      <c r="D207" s="102"/>
      <c r="E207" s="102" t="s">
        <v>24</v>
      </c>
      <c r="F207" s="102"/>
      <c r="G207" s="186">
        <f t="shared" si="298"/>
        <v>121974.73</v>
      </c>
      <c r="H207" s="186">
        <f t="shared" si="298"/>
        <v>152798.78</v>
      </c>
      <c r="I207" s="186">
        <f t="shared" si="298"/>
        <v>148815.05000000002</v>
      </c>
      <c r="J207" s="186">
        <f t="shared" si="298"/>
        <v>102002.58</v>
      </c>
      <c r="K207" s="186">
        <f t="shared" si="298"/>
        <v>153375.59</v>
      </c>
      <c r="L207" s="186">
        <f t="shared" si="298"/>
        <v>98017.13</v>
      </c>
      <c r="M207" s="186">
        <f t="shared" si="298"/>
        <v>115758.22</v>
      </c>
      <c r="N207" s="186">
        <f t="shared" si="298"/>
        <v>113071.1</v>
      </c>
      <c r="O207" s="186">
        <f t="shared" si="298"/>
        <v>140078.28</v>
      </c>
      <c r="P207" s="186">
        <f t="shared" si="298"/>
        <v>115762.81999999999</v>
      </c>
      <c r="Q207" s="186">
        <f t="shared" si="298"/>
        <v>126461.29</v>
      </c>
      <c r="R207" s="186">
        <f t="shared" si="298"/>
        <v>100784.8</v>
      </c>
      <c r="S207" s="186"/>
      <c r="T207" s="186">
        <f t="shared" ref="T207:Y207" si="301">T461+T715</f>
        <v>123804.35094999998</v>
      </c>
      <c r="U207" s="186">
        <f t="shared" si="301"/>
        <v>155090.76169999997</v>
      </c>
      <c r="V207" s="186">
        <f t="shared" si="301"/>
        <v>151047.27575</v>
      </c>
      <c r="W207" s="186">
        <f t="shared" si="301"/>
        <v>103532.61869999999</v>
      </c>
      <c r="X207" s="186">
        <f t="shared" si="301"/>
        <v>155676.22384999998</v>
      </c>
      <c r="Y207" s="186">
        <f t="shared" si="301"/>
        <v>99487.38695</v>
      </c>
      <c r="Z207" s="186">
        <f t="shared" si="298"/>
        <v>117494.59329999999</v>
      </c>
      <c r="AA207" s="186">
        <f t="shared" si="298"/>
        <v>114767.16649999999</v>
      </c>
      <c r="AB207" s="186">
        <f t="shared" si="298"/>
        <v>142179.45419999998</v>
      </c>
      <c r="AC207" s="186">
        <f t="shared" si="298"/>
        <v>117499.26229999999</v>
      </c>
      <c r="AD207" s="186">
        <f t="shared" si="298"/>
        <v>128358.20934999998</v>
      </c>
      <c r="AE207" s="186">
        <f t="shared" si="298"/>
        <v>102296.572</v>
      </c>
      <c r="AF207" s="186">
        <f t="shared" ref="AF207:AQ207" si="302">AF461+AF715</f>
        <v>125537.61186329999</v>
      </c>
      <c r="AG207" s="186">
        <f t="shared" si="302"/>
        <v>157262.03236379998</v>
      </c>
      <c r="AH207" s="186">
        <f t="shared" si="302"/>
        <v>153161.9376105</v>
      </c>
      <c r="AI207" s="186">
        <f t="shared" si="302"/>
        <v>104982.07536179999</v>
      </c>
      <c r="AJ207" s="186">
        <f t="shared" si="302"/>
        <v>157855.69098389999</v>
      </c>
      <c r="AK207" s="186">
        <f t="shared" si="302"/>
        <v>100880.21036729999</v>
      </c>
      <c r="AL207" s="186">
        <f t="shared" si="302"/>
        <v>119139.5176062</v>
      </c>
      <c r="AM207" s="186">
        <f t="shared" si="302"/>
        <v>116373.906831</v>
      </c>
      <c r="AN207" s="186">
        <f t="shared" si="302"/>
        <v>144169.96655879999</v>
      </c>
      <c r="AO207" s="186">
        <f t="shared" si="302"/>
        <v>119144.25197219999</v>
      </c>
      <c r="AP207" s="186">
        <f t="shared" si="302"/>
        <v>130155.22428089997</v>
      </c>
      <c r="AQ207" s="186">
        <f t="shared" si="302"/>
        <v>103728.724008</v>
      </c>
      <c r="AR207" s="186">
        <f>SUM(G207:R207)</f>
        <v>1488900.37</v>
      </c>
      <c r="AS207" s="186">
        <f>SUM(T207:AE207)</f>
        <v>1511233.8755499998</v>
      </c>
      <c r="AT207" s="186">
        <f>SUM(AF207:AQ207)</f>
        <v>1532391.1498077</v>
      </c>
      <c r="AU207" s="171"/>
      <c r="AV207" s="171"/>
    </row>
    <row r="208" spans="1:48">
      <c r="A208" s="15" t="s">
        <v>1034</v>
      </c>
      <c r="B208" s="250">
        <f t="shared" si="292"/>
        <v>807</v>
      </c>
      <c r="C208" s="212"/>
      <c r="D208" s="102"/>
      <c r="E208" s="102" t="s">
        <v>170</v>
      </c>
      <c r="F208" s="102"/>
      <c r="G208" s="131">
        <f t="shared" ref="G208:AE208" si="303">SUM(G206:G207)</f>
        <v>3054757.1300000004</v>
      </c>
      <c r="H208" s="131">
        <f t="shared" si="303"/>
        <v>3078810.76</v>
      </c>
      <c r="I208" s="131">
        <f t="shared" si="303"/>
        <v>3218195.3199999994</v>
      </c>
      <c r="J208" s="131">
        <f t="shared" si="303"/>
        <v>1938821.2</v>
      </c>
      <c r="K208" s="131">
        <f t="shared" si="303"/>
        <v>3648914.8999999994</v>
      </c>
      <c r="L208" s="131">
        <f t="shared" si="303"/>
        <v>2453760.31</v>
      </c>
      <c r="M208" s="131">
        <f t="shared" si="303"/>
        <v>2605019.9800000004</v>
      </c>
      <c r="N208" s="131">
        <f t="shared" si="303"/>
        <v>2674264.0300000003</v>
      </c>
      <c r="O208" s="131">
        <f t="shared" si="303"/>
        <v>3016148.59</v>
      </c>
      <c r="P208" s="131">
        <f t="shared" si="303"/>
        <v>2515059.8199999998</v>
      </c>
      <c r="Q208" s="131">
        <f t="shared" si="303"/>
        <v>2979053.69</v>
      </c>
      <c r="R208" s="131">
        <f t="shared" si="303"/>
        <v>2999924.71</v>
      </c>
      <c r="S208" s="620"/>
      <c r="T208" s="131">
        <f t="shared" ref="T208:Y208" si="304">SUM(T206:T207)</f>
        <v>2956980.7215784742</v>
      </c>
      <c r="U208" s="131">
        <f t="shared" si="304"/>
        <v>2963650.5127873896</v>
      </c>
      <c r="V208" s="131">
        <f t="shared" si="304"/>
        <v>3171845.6467471896</v>
      </c>
      <c r="W208" s="131">
        <f t="shared" si="304"/>
        <v>1861096.2659864072</v>
      </c>
      <c r="X208" s="131">
        <f t="shared" si="304"/>
        <v>3549810.7466778127</v>
      </c>
      <c r="Y208" s="131">
        <f t="shared" si="304"/>
        <v>2393642.0344986361</v>
      </c>
      <c r="Z208" s="131">
        <f t="shared" si="303"/>
        <v>2528372.7047880795</v>
      </c>
      <c r="AA208" s="131">
        <f t="shared" si="303"/>
        <v>2606564.5484589459</v>
      </c>
      <c r="AB208" s="131">
        <f t="shared" si="303"/>
        <v>2920121.3428604049</v>
      </c>
      <c r="AC208" s="131">
        <f t="shared" si="303"/>
        <v>2453493.7783927419</v>
      </c>
      <c r="AD208" s="131">
        <f t="shared" si="303"/>
        <v>2903459.2678468386</v>
      </c>
      <c r="AE208" s="131">
        <f t="shared" si="303"/>
        <v>2897485.1114690658</v>
      </c>
      <c r="AF208" s="131">
        <f t="shared" ref="AF208:AQ208" si="305">SUM(AF206:AF207)</f>
        <v>2983661.0252218344</v>
      </c>
      <c r="AG208" s="131">
        <f t="shared" si="305"/>
        <v>2988605.533716823</v>
      </c>
      <c r="AH208" s="131">
        <f t="shared" si="305"/>
        <v>3206553.5549309212</v>
      </c>
      <c r="AI208" s="131">
        <f t="shared" si="305"/>
        <v>1876204.8704046851</v>
      </c>
      <c r="AJ208" s="131">
        <f t="shared" si="305"/>
        <v>3583741.1551260324</v>
      </c>
      <c r="AK208" s="131">
        <f t="shared" si="305"/>
        <v>2417219.1507624094</v>
      </c>
      <c r="AL208" s="131">
        <f t="shared" si="305"/>
        <v>2551909.4422257994</v>
      </c>
      <c r="AM208" s="131">
        <f t="shared" si="305"/>
        <v>2632006.5837800084</v>
      </c>
      <c r="AN208" s="131">
        <f t="shared" si="305"/>
        <v>2946524.243063814</v>
      </c>
      <c r="AO208" s="131">
        <f t="shared" si="305"/>
        <v>2477666.1972129657</v>
      </c>
      <c r="AP208" s="131">
        <f t="shared" si="305"/>
        <v>2931780.1004496347</v>
      </c>
      <c r="AQ208" s="131">
        <f t="shared" si="305"/>
        <v>2922938.8403905639</v>
      </c>
      <c r="AR208" s="131">
        <f>SUM(G208:R208)</f>
        <v>34182730.439999998</v>
      </c>
      <c r="AS208" s="131">
        <f>SUM(T208:AE208)</f>
        <v>33206522.682091981</v>
      </c>
      <c r="AT208" s="131">
        <f>SUM(AF208:AQ208)</f>
        <v>33518810.697285488</v>
      </c>
      <c r="AU208" s="621"/>
      <c r="AV208" s="621"/>
    </row>
    <row r="209" spans="1:48">
      <c r="B209" s="250">
        <f t="shared" si="292"/>
        <v>808</v>
      </c>
      <c r="C209" s="212">
        <v>922</v>
      </c>
      <c r="D209" s="102" t="s">
        <v>428</v>
      </c>
      <c r="E209" s="102"/>
      <c r="F209" s="102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AU209" s="199"/>
      <c r="AV209" s="199"/>
    </row>
    <row r="210" spans="1:48">
      <c r="B210" s="250">
        <f t="shared" si="292"/>
        <v>809</v>
      </c>
      <c r="C210" s="212"/>
      <c r="D210" s="102"/>
      <c r="E210" s="102" t="s">
        <v>14</v>
      </c>
      <c r="F210" s="102"/>
      <c r="G210" s="186">
        <f t="shared" ref="G210:AE211" si="306">G464+G718</f>
        <v>-280696.39</v>
      </c>
      <c r="H210" s="186">
        <f t="shared" si="306"/>
        <v>-280528.98</v>
      </c>
      <c r="I210" s="186">
        <f t="shared" si="306"/>
        <v>-280092.39</v>
      </c>
      <c r="J210" s="186">
        <f t="shared" si="306"/>
        <v>-318719.01</v>
      </c>
      <c r="K210" s="186">
        <f t="shared" si="306"/>
        <v>-318674.53999999998</v>
      </c>
      <c r="L210" s="186">
        <f t="shared" si="306"/>
        <v>-318566.14</v>
      </c>
      <c r="M210" s="186">
        <f t="shared" si="306"/>
        <v>-255408.15000000002</v>
      </c>
      <c r="N210" s="186">
        <f t="shared" si="306"/>
        <v>-255377.88</v>
      </c>
      <c r="O210" s="186">
        <f t="shared" si="306"/>
        <v>-496322.93</v>
      </c>
      <c r="P210" s="186">
        <f t="shared" si="306"/>
        <v>-317097.49</v>
      </c>
      <c r="Q210" s="186">
        <f t="shared" si="306"/>
        <v>-316173</v>
      </c>
      <c r="R210" s="186">
        <f t="shared" si="306"/>
        <v>-365249.99</v>
      </c>
      <c r="S210" s="186"/>
      <c r="T210" s="186">
        <f t="shared" ref="T210:Y210" si="307">T464+T718</f>
        <v>-280696.39</v>
      </c>
      <c r="U210" s="186">
        <f t="shared" si="307"/>
        <v>-280528.98</v>
      </c>
      <c r="V210" s="186">
        <f t="shared" si="307"/>
        <v>-280092.39</v>
      </c>
      <c r="W210" s="186">
        <f t="shared" si="307"/>
        <v>-318719.01</v>
      </c>
      <c r="X210" s="186">
        <f t="shared" si="307"/>
        <v>-318674.53999999998</v>
      </c>
      <c r="Y210" s="186">
        <f t="shared" si="307"/>
        <v>-318566.14</v>
      </c>
      <c r="Z210" s="186">
        <f t="shared" si="306"/>
        <v>-255408.15000000002</v>
      </c>
      <c r="AA210" s="186">
        <f t="shared" si="306"/>
        <v>-255377.88</v>
      </c>
      <c r="AB210" s="186">
        <f t="shared" si="306"/>
        <v>-496322.93</v>
      </c>
      <c r="AC210" s="186">
        <f t="shared" si="306"/>
        <v>-317097.49</v>
      </c>
      <c r="AD210" s="186">
        <f t="shared" si="306"/>
        <v>-316173</v>
      </c>
      <c r="AE210" s="186">
        <f t="shared" si="306"/>
        <v>-365249.99</v>
      </c>
      <c r="AF210" s="186">
        <f t="shared" ref="AF210:AQ210" si="308">AF464+AF718</f>
        <v>-280696.39</v>
      </c>
      <c r="AG210" s="186">
        <f t="shared" si="308"/>
        <v>-280528.98</v>
      </c>
      <c r="AH210" s="186">
        <f t="shared" si="308"/>
        <v>-280092.39</v>
      </c>
      <c r="AI210" s="186">
        <f t="shared" si="308"/>
        <v>-318719.01</v>
      </c>
      <c r="AJ210" s="186">
        <f t="shared" si="308"/>
        <v>-318674.53999999998</v>
      </c>
      <c r="AK210" s="186">
        <f t="shared" si="308"/>
        <v>-318566.14</v>
      </c>
      <c r="AL210" s="186">
        <f t="shared" si="308"/>
        <v>-255408.15000000002</v>
      </c>
      <c r="AM210" s="186">
        <f t="shared" si="308"/>
        <v>-255377.88</v>
      </c>
      <c r="AN210" s="186">
        <f t="shared" si="308"/>
        <v>-496322.93</v>
      </c>
      <c r="AO210" s="186">
        <f t="shared" si="308"/>
        <v>-317097.49</v>
      </c>
      <c r="AP210" s="186">
        <f t="shared" si="308"/>
        <v>-316173</v>
      </c>
      <c r="AQ210" s="186">
        <f t="shared" si="308"/>
        <v>-365249.99</v>
      </c>
      <c r="AR210" s="186">
        <f>SUM(G210:R210)</f>
        <v>-3802906.8900000006</v>
      </c>
      <c r="AS210" s="186">
        <f>SUM(T210:AE210)</f>
        <v>-3802906.8900000006</v>
      </c>
      <c r="AT210" s="186">
        <f>SUM(AF210:AQ210)</f>
        <v>-3802906.8900000006</v>
      </c>
      <c r="AU210" s="171"/>
      <c r="AV210" s="171"/>
    </row>
    <row r="211" spans="1:48">
      <c r="B211" s="250">
        <f t="shared" si="292"/>
        <v>810</v>
      </c>
      <c r="C211" s="212"/>
      <c r="D211" s="102"/>
      <c r="E211" s="102" t="s">
        <v>24</v>
      </c>
      <c r="F211" s="102"/>
      <c r="G211" s="186">
        <f t="shared" si="306"/>
        <v>-9009.86</v>
      </c>
      <c r="H211" s="186">
        <f t="shared" si="306"/>
        <v>-9064.27</v>
      </c>
      <c r="I211" s="186">
        <f t="shared" si="306"/>
        <v>-9378.86</v>
      </c>
      <c r="J211" s="186">
        <f t="shared" si="306"/>
        <v>-10638.24</v>
      </c>
      <c r="K211" s="186">
        <f t="shared" si="306"/>
        <v>-10568.710000000001</v>
      </c>
      <c r="L211" s="186">
        <f t="shared" si="306"/>
        <v>-10565.11</v>
      </c>
      <c r="M211" s="186">
        <f t="shared" si="306"/>
        <v>-8443.24</v>
      </c>
      <c r="N211" s="186">
        <f t="shared" si="306"/>
        <v>-8360.51</v>
      </c>
      <c r="O211" s="186">
        <f t="shared" si="306"/>
        <v>-16301.460000000001</v>
      </c>
      <c r="P211" s="186">
        <f t="shared" si="306"/>
        <v>-10414.9</v>
      </c>
      <c r="Q211" s="186">
        <f t="shared" si="306"/>
        <v>-10452</v>
      </c>
      <c r="R211" s="186">
        <f t="shared" si="306"/>
        <v>-12035.4</v>
      </c>
      <c r="S211" s="186"/>
      <c r="T211" s="186">
        <f t="shared" ref="T211:Y211" si="309">T465+T719</f>
        <v>-9009.86</v>
      </c>
      <c r="U211" s="186">
        <f t="shared" si="309"/>
        <v>-9064.27</v>
      </c>
      <c r="V211" s="186">
        <f t="shared" si="309"/>
        <v>-9378.86</v>
      </c>
      <c r="W211" s="186">
        <f t="shared" si="309"/>
        <v>-10638.24</v>
      </c>
      <c r="X211" s="186">
        <f t="shared" si="309"/>
        <v>-10568.710000000001</v>
      </c>
      <c r="Y211" s="186">
        <f t="shared" si="309"/>
        <v>-10565.11</v>
      </c>
      <c r="Z211" s="186">
        <f t="shared" si="306"/>
        <v>-8443.24</v>
      </c>
      <c r="AA211" s="186">
        <f t="shared" si="306"/>
        <v>-8360.51</v>
      </c>
      <c r="AB211" s="186">
        <f t="shared" si="306"/>
        <v>-16301.460000000001</v>
      </c>
      <c r="AC211" s="186">
        <f t="shared" si="306"/>
        <v>-10414.9</v>
      </c>
      <c r="AD211" s="186">
        <f t="shared" si="306"/>
        <v>-10452</v>
      </c>
      <c r="AE211" s="186">
        <f t="shared" si="306"/>
        <v>-12035.4</v>
      </c>
      <c r="AF211" s="186">
        <f t="shared" ref="AF211:AQ211" si="310">AF465+AF719</f>
        <v>-9009.86</v>
      </c>
      <c r="AG211" s="186">
        <f t="shared" si="310"/>
        <v>-9064.27</v>
      </c>
      <c r="AH211" s="186">
        <f t="shared" si="310"/>
        <v>-9378.86</v>
      </c>
      <c r="AI211" s="186">
        <f t="shared" si="310"/>
        <v>-10638.24</v>
      </c>
      <c r="AJ211" s="186">
        <f t="shared" si="310"/>
        <v>-10568.710000000001</v>
      </c>
      <c r="AK211" s="186">
        <f t="shared" si="310"/>
        <v>-10565.11</v>
      </c>
      <c r="AL211" s="186">
        <f t="shared" si="310"/>
        <v>-8443.24</v>
      </c>
      <c r="AM211" s="186">
        <f t="shared" si="310"/>
        <v>-8360.51</v>
      </c>
      <c r="AN211" s="186">
        <f t="shared" si="310"/>
        <v>-16301.460000000001</v>
      </c>
      <c r="AO211" s="186">
        <f t="shared" si="310"/>
        <v>-10414.9</v>
      </c>
      <c r="AP211" s="186">
        <f t="shared" si="310"/>
        <v>-10452</v>
      </c>
      <c r="AQ211" s="186">
        <f t="shared" si="310"/>
        <v>-12035.4</v>
      </c>
      <c r="AR211" s="186">
        <f>SUM(G211:R211)</f>
        <v>-125232.56</v>
      </c>
      <c r="AS211" s="186">
        <f>SUM(T211:AE211)</f>
        <v>-125232.56</v>
      </c>
      <c r="AT211" s="186">
        <f>SUM(AF211:AQ211)</f>
        <v>-125232.56</v>
      </c>
      <c r="AU211" s="171"/>
      <c r="AV211" s="171"/>
    </row>
    <row r="212" spans="1:48">
      <c r="A212" s="15" t="s">
        <v>1035</v>
      </c>
      <c r="B212" s="250">
        <f t="shared" si="292"/>
        <v>811</v>
      </c>
      <c r="C212" s="212"/>
      <c r="D212" s="102"/>
      <c r="E212" s="102" t="s">
        <v>170</v>
      </c>
      <c r="F212" s="102"/>
      <c r="G212" s="131">
        <f t="shared" ref="G212:AE212" si="311">SUM(G210:G211)</f>
        <v>-289706.25</v>
      </c>
      <c r="H212" s="131">
        <f t="shared" si="311"/>
        <v>-289593.25</v>
      </c>
      <c r="I212" s="131">
        <f t="shared" si="311"/>
        <v>-289471.25</v>
      </c>
      <c r="J212" s="131">
        <f t="shared" si="311"/>
        <v>-329357.25</v>
      </c>
      <c r="K212" s="131">
        <f t="shared" si="311"/>
        <v>-329243.25</v>
      </c>
      <c r="L212" s="131">
        <f t="shared" si="311"/>
        <v>-329131.25</v>
      </c>
      <c r="M212" s="131">
        <f t="shared" si="311"/>
        <v>-263851.39</v>
      </c>
      <c r="N212" s="131">
        <f t="shared" si="311"/>
        <v>-263738.39</v>
      </c>
      <c r="O212" s="131">
        <f t="shared" si="311"/>
        <v>-512624.39</v>
      </c>
      <c r="P212" s="131">
        <f t="shared" si="311"/>
        <v>-327512.39</v>
      </c>
      <c r="Q212" s="131">
        <f t="shared" si="311"/>
        <v>-326625</v>
      </c>
      <c r="R212" s="131">
        <f t="shared" si="311"/>
        <v>-377285.39</v>
      </c>
      <c r="S212" s="620"/>
      <c r="T212" s="131">
        <f t="shared" ref="T212:Y212" si="312">SUM(T210:T211)</f>
        <v>-289706.25</v>
      </c>
      <c r="U212" s="131">
        <f t="shared" si="312"/>
        <v>-289593.25</v>
      </c>
      <c r="V212" s="131">
        <f t="shared" si="312"/>
        <v>-289471.25</v>
      </c>
      <c r="W212" s="131">
        <f t="shared" si="312"/>
        <v>-329357.25</v>
      </c>
      <c r="X212" s="131">
        <f t="shared" si="312"/>
        <v>-329243.25</v>
      </c>
      <c r="Y212" s="131">
        <f t="shared" si="312"/>
        <v>-329131.25</v>
      </c>
      <c r="Z212" s="131">
        <f t="shared" si="311"/>
        <v>-263851.39</v>
      </c>
      <c r="AA212" s="131">
        <f t="shared" si="311"/>
        <v>-263738.39</v>
      </c>
      <c r="AB212" s="131">
        <f t="shared" si="311"/>
        <v>-512624.39</v>
      </c>
      <c r="AC212" s="131">
        <f t="shared" si="311"/>
        <v>-327512.39</v>
      </c>
      <c r="AD212" s="131">
        <f t="shared" si="311"/>
        <v>-326625</v>
      </c>
      <c r="AE212" s="131">
        <f t="shared" si="311"/>
        <v>-377285.39</v>
      </c>
      <c r="AF212" s="131">
        <f t="shared" ref="AF212:AQ212" si="313">SUM(AF210:AF211)</f>
        <v>-289706.25</v>
      </c>
      <c r="AG212" s="131">
        <f t="shared" si="313"/>
        <v>-289593.25</v>
      </c>
      <c r="AH212" s="131">
        <f t="shared" si="313"/>
        <v>-289471.25</v>
      </c>
      <c r="AI212" s="131">
        <f t="shared" si="313"/>
        <v>-329357.25</v>
      </c>
      <c r="AJ212" s="131">
        <f t="shared" si="313"/>
        <v>-329243.25</v>
      </c>
      <c r="AK212" s="131">
        <f t="shared" si="313"/>
        <v>-329131.25</v>
      </c>
      <c r="AL212" s="131">
        <f t="shared" si="313"/>
        <v>-263851.39</v>
      </c>
      <c r="AM212" s="131">
        <f t="shared" si="313"/>
        <v>-263738.39</v>
      </c>
      <c r="AN212" s="131">
        <f t="shared" si="313"/>
        <v>-512624.39</v>
      </c>
      <c r="AO212" s="131">
        <f t="shared" si="313"/>
        <v>-327512.39</v>
      </c>
      <c r="AP212" s="131">
        <f t="shared" si="313"/>
        <v>-326625</v>
      </c>
      <c r="AQ212" s="131">
        <f t="shared" si="313"/>
        <v>-377285.39</v>
      </c>
      <c r="AR212" s="131">
        <f>SUM(G212:R212)</f>
        <v>-3928139.4500000007</v>
      </c>
      <c r="AS212" s="131">
        <f>SUM(T212:AE212)</f>
        <v>-3928139.4500000007</v>
      </c>
      <c r="AT212" s="131">
        <f>SUM(AF212:AQ212)</f>
        <v>-3928139.4500000007</v>
      </c>
      <c r="AU212" s="621"/>
      <c r="AV212" s="621"/>
    </row>
    <row r="213" spans="1:48">
      <c r="B213" s="250">
        <f t="shared" si="292"/>
        <v>812</v>
      </c>
      <c r="C213" s="212">
        <v>923</v>
      </c>
      <c r="D213" s="102" t="s">
        <v>429</v>
      </c>
      <c r="E213" s="102"/>
      <c r="F213" s="102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71"/>
      <c r="AV213" s="171"/>
    </row>
    <row r="214" spans="1:48">
      <c r="B214" s="250">
        <f t="shared" si="292"/>
        <v>813</v>
      </c>
      <c r="C214" s="212"/>
      <c r="D214" s="102"/>
      <c r="E214" s="102" t="s">
        <v>14</v>
      </c>
      <c r="F214" s="102"/>
      <c r="G214" s="186">
        <f t="shared" ref="G214:AE215" si="314">G468+G722</f>
        <v>-275530.63</v>
      </c>
      <c r="H214" s="186">
        <f t="shared" si="314"/>
        <v>413323.71</v>
      </c>
      <c r="I214" s="186">
        <f t="shared" si="314"/>
        <v>-20229.27</v>
      </c>
      <c r="J214" s="186">
        <f t="shared" si="314"/>
        <v>-113091.31000000001</v>
      </c>
      <c r="K214" s="186">
        <f t="shared" si="314"/>
        <v>231144.72000000003</v>
      </c>
      <c r="L214" s="186">
        <f t="shared" si="314"/>
        <v>162006.09000000003</v>
      </c>
      <c r="M214" s="186">
        <f t="shared" si="314"/>
        <v>44208.7</v>
      </c>
      <c r="N214" s="186">
        <f t="shared" si="314"/>
        <v>68628.84</v>
      </c>
      <c r="O214" s="186">
        <f t="shared" si="314"/>
        <v>155559.48000000001</v>
      </c>
      <c r="P214" s="186">
        <f t="shared" si="314"/>
        <v>220665.40000000002</v>
      </c>
      <c r="Q214" s="186">
        <f t="shared" si="314"/>
        <v>84492.590000000011</v>
      </c>
      <c r="R214" s="186">
        <f t="shared" si="314"/>
        <v>346826.51</v>
      </c>
      <c r="S214" s="186"/>
      <c r="T214" s="186">
        <f t="shared" ref="T214:Y214" si="315">T468+T722</f>
        <v>-278561.46693</v>
      </c>
      <c r="U214" s="186">
        <f t="shared" si="315"/>
        <v>417870.27080999996</v>
      </c>
      <c r="V214" s="186">
        <f t="shared" si="315"/>
        <v>-20451.791969999998</v>
      </c>
      <c r="W214" s="186">
        <f t="shared" si="315"/>
        <v>-114335.31441000001</v>
      </c>
      <c r="X214" s="186">
        <f t="shared" si="315"/>
        <v>233687.31192000001</v>
      </c>
      <c r="Y214" s="186">
        <f t="shared" si="315"/>
        <v>163788.15699000002</v>
      </c>
      <c r="Z214" s="186">
        <f t="shared" si="314"/>
        <v>44694.995699999992</v>
      </c>
      <c r="AA214" s="186">
        <f t="shared" si="314"/>
        <v>69383.757239999992</v>
      </c>
      <c r="AB214" s="186">
        <f t="shared" si="314"/>
        <v>157270.63428</v>
      </c>
      <c r="AC214" s="186">
        <f t="shared" si="314"/>
        <v>223092.7194</v>
      </c>
      <c r="AD214" s="186">
        <f t="shared" si="314"/>
        <v>85422.008490000007</v>
      </c>
      <c r="AE214" s="186">
        <f t="shared" si="314"/>
        <v>350641.60160999995</v>
      </c>
      <c r="AF214" s="186">
        <f t="shared" ref="AF214:AQ214" si="316">AF468+AF722</f>
        <v>-284968.38066938997</v>
      </c>
      <c r="AG214" s="186">
        <f t="shared" si="316"/>
        <v>427481.28703862993</v>
      </c>
      <c r="AH214" s="186">
        <f t="shared" si="316"/>
        <v>-20922.183185309997</v>
      </c>
      <c r="AI214" s="186">
        <f t="shared" si="316"/>
        <v>-116965.02664143</v>
      </c>
      <c r="AJ214" s="186">
        <f t="shared" si="316"/>
        <v>239062.12009416</v>
      </c>
      <c r="AK214" s="186">
        <f t="shared" si="316"/>
        <v>167555.28460077001</v>
      </c>
      <c r="AL214" s="186">
        <f t="shared" si="316"/>
        <v>45722.980601099989</v>
      </c>
      <c r="AM214" s="186">
        <f t="shared" si="316"/>
        <v>70979.583656519986</v>
      </c>
      <c r="AN214" s="186">
        <f t="shared" si="316"/>
        <v>160887.85886843997</v>
      </c>
      <c r="AO214" s="186">
        <f t="shared" si="316"/>
        <v>228223.85194619998</v>
      </c>
      <c r="AP214" s="186">
        <f t="shared" si="316"/>
        <v>87386.714685269995</v>
      </c>
      <c r="AQ214" s="186">
        <f t="shared" si="316"/>
        <v>358706.3584470299</v>
      </c>
      <c r="AR214" s="186">
        <f>SUM(G214:R214)</f>
        <v>1318004.83</v>
      </c>
      <c r="AS214" s="186">
        <f>SUM(T214:AE214)</f>
        <v>1332502.88313</v>
      </c>
      <c r="AT214" s="186">
        <f>SUM(AF214:AQ214)</f>
        <v>1363150.4494419899</v>
      </c>
      <c r="AU214" s="171"/>
      <c r="AV214" s="171"/>
    </row>
    <row r="215" spans="1:48">
      <c r="B215" s="250">
        <f t="shared" si="292"/>
        <v>814</v>
      </c>
      <c r="C215" s="212"/>
      <c r="D215" s="102"/>
      <c r="E215" s="102" t="s">
        <v>24</v>
      </c>
      <c r="F215" s="102"/>
      <c r="G215" s="186">
        <f t="shared" si="314"/>
        <v>-19835.12</v>
      </c>
      <c r="H215" s="186">
        <f t="shared" si="314"/>
        <v>33031.69</v>
      </c>
      <c r="I215" s="186">
        <f t="shared" si="314"/>
        <v>-4732.47</v>
      </c>
      <c r="J215" s="186">
        <f t="shared" si="314"/>
        <v>-7945.7</v>
      </c>
      <c r="K215" s="186">
        <f t="shared" si="314"/>
        <v>21641.39</v>
      </c>
      <c r="L215" s="186">
        <f t="shared" si="314"/>
        <v>12539.02</v>
      </c>
      <c r="M215" s="186">
        <f t="shared" si="314"/>
        <v>1620.19</v>
      </c>
      <c r="N215" s="186">
        <f t="shared" si="314"/>
        <v>5876.55</v>
      </c>
      <c r="O215" s="186">
        <f t="shared" si="314"/>
        <v>10145.58</v>
      </c>
      <c r="P215" s="186">
        <f t="shared" si="314"/>
        <v>10434.460000000001</v>
      </c>
      <c r="Q215" s="186">
        <f t="shared" si="314"/>
        <v>1841.31</v>
      </c>
      <c r="R215" s="186">
        <f t="shared" si="314"/>
        <v>17035.370000000003</v>
      </c>
      <c r="S215" s="186"/>
      <c r="T215" s="186">
        <f t="shared" ref="T215:Y215" si="317">T469+T723</f>
        <v>-20053.306319999996</v>
      </c>
      <c r="U215" s="186">
        <f t="shared" si="317"/>
        <v>33395.038589999996</v>
      </c>
      <c r="V215" s="186">
        <f t="shared" si="317"/>
        <v>-4784.5271699999994</v>
      </c>
      <c r="W215" s="186">
        <f t="shared" si="317"/>
        <v>-8033.1026999999995</v>
      </c>
      <c r="X215" s="186">
        <f t="shared" si="317"/>
        <v>21879.445289999996</v>
      </c>
      <c r="Y215" s="186">
        <f t="shared" si="317"/>
        <v>12676.949219999999</v>
      </c>
      <c r="Z215" s="186">
        <f t="shared" si="314"/>
        <v>1638.0120899999999</v>
      </c>
      <c r="AA215" s="186">
        <f t="shared" si="314"/>
        <v>5941.1920499999997</v>
      </c>
      <c r="AB215" s="186">
        <f t="shared" si="314"/>
        <v>10257.181379999998</v>
      </c>
      <c r="AC215" s="186">
        <f t="shared" si="314"/>
        <v>10549.23906</v>
      </c>
      <c r="AD215" s="186">
        <f t="shared" si="314"/>
        <v>1861.5644099999997</v>
      </c>
      <c r="AE215" s="186">
        <f t="shared" si="314"/>
        <v>17222.75907</v>
      </c>
      <c r="AF215" s="186">
        <f t="shared" ref="AF215:AQ215" si="318">AF469+AF723</f>
        <v>-20514.532365359995</v>
      </c>
      <c r="AG215" s="186">
        <f t="shared" si="318"/>
        <v>34163.124477569996</v>
      </c>
      <c r="AH215" s="186">
        <f t="shared" si="318"/>
        <v>-4894.5712949099989</v>
      </c>
      <c r="AI215" s="186">
        <f t="shared" si="318"/>
        <v>-8217.8640620999995</v>
      </c>
      <c r="AJ215" s="186">
        <f t="shared" si="318"/>
        <v>22382.672531669992</v>
      </c>
      <c r="AK215" s="186">
        <f t="shared" si="318"/>
        <v>12968.519052059997</v>
      </c>
      <c r="AL215" s="186">
        <f t="shared" si="318"/>
        <v>1675.6863680699998</v>
      </c>
      <c r="AM215" s="186">
        <f t="shared" si="318"/>
        <v>6077.8394671499991</v>
      </c>
      <c r="AN215" s="186">
        <f t="shared" si="318"/>
        <v>10493.096551739996</v>
      </c>
      <c r="AO215" s="186">
        <f t="shared" si="318"/>
        <v>10791.871558379999</v>
      </c>
      <c r="AP215" s="186">
        <f t="shared" si="318"/>
        <v>1904.3803914299995</v>
      </c>
      <c r="AQ215" s="186">
        <f t="shared" si="318"/>
        <v>17618.88252861</v>
      </c>
      <c r="AR215" s="186">
        <f>SUM(G215:R215)</f>
        <v>81652.27</v>
      </c>
      <c r="AS215" s="186">
        <f>SUM(T215:AE215)</f>
        <v>82550.444969999997</v>
      </c>
      <c r="AT215" s="186">
        <f>SUM(AF215:AQ215)</f>
        <v>84449.105204309992</v>
      </c>
      <c r="AU215" s="171"/>
      <c r="AV215" s="171"/>
    </row>
    <row r="216" spans="1:48">
      <c r="A216" s="15" t="s">
        <v>1036</v>
      </c>
      <c r="B216" s="250">
        <f t="shared" si="292"/>
        <v>815</v>
      </c>
      <c r="C216" s="212"/>
      <c r="D216" s="102"/>
      <c r="E216" s="102" t="s">
        <v>170</v>
      </c>
      <c r="F216" s="102"/>
      <c r="G216" s="131">
        <f t="shared" ref="G216:AE216" si="319">SUM(G214:G215)</f>
        <v>-295365.75</v>
      </c>
      <c r="H216" s="131">
        <f t="shared" si="319"/>
        <v>446355.4</v>
      </c>
      <c r="I216" s="131">
        <f t="shared" si="319"/>
        <v>-24961.74</v>
      </c>
      <c r="J216" s="131">
        <f t="shared" si="319"/>
        <v>-121037.01000000001</v>
      </c>
      <c r="K216" s="131">
        <f t="shared" si="319"/>
        <v>252786.11000000004</v>
      </c>
      <c r="L216" s="131">
        <f t="shared" si="319"/>
        <v>174545.11000000002</v>
      </c>
      <c r="M216" s="131">
        <f t="shared" si="319"/>
        <v>45828.89</v>
      </c>
      <c r="N216" s="131">
        <f t="shared" si="319"/>
        <v>74505.39</v>
      </c>
      <c r="O216" s="131">
        <f t="shared" si="319"/>
        <v>165705.06</v>
      </c>
      <c r="P216" s="131">
        <f t="shared" si="319"/>
        <v>231099.86000000002</v>
      </c>
      <c r="Q216" s="131">
        <f t="shared" si="319"/>
        <v>86333.900000000009</v>
      </c>
      <c r="R216" s="131">
        <f t="shared" si="319"/>
        <v>363861.88</v>
      </c>
      <c r="S216" s="620"/>
      <c r="T216" s="131">
        <f t="shared" ref="T216:Y216" si="320">SUM(T214:T215)</f>
        <v>-298614.77324999997</v>
      </c>
      <c r="U216" s="131">
        <f t="shared" si="320"/>
        <v>451265.30939999997</v>
      </c>
      <c r="V216" s="131">
        <f t="shared" si="320"/>
        <v>-25236.31914</v>
      </c>
      <c r="W216" s="131">
        <f t="shared" si="320"/>
        <v>-122368.41711000001</v>
      </c>
      <c r="X216" s="131">
        <f t="shared" si="320"/>
        <v>255566.75721000001</v>
      </c>
      <c r="Y216" s="131">
        <f t="shared" si="320"/>
        <v>176465.10621000003</v>
      </c>
      <c r="Z216" s="131">
        <f t="shared" si="319"/>
        <v>46333.007789999989</v>
      </c>
      <c r="AA216" s="131">
        <f t="shared" si="319"/>
        <v>75324.94928999999</v>
      </c>
      <c r="AB216" s="131">
        <f t="shared" si="319"/>
        <v>167527.81565999999</v>
      </c>
      <c r="AC216" s="131">
        <f t="shared" si="319"/>
        <v>233641.95845999999</v>
      </c>
      <c r="AD216" s="131">
        <f t="shared" si="319"/>
        <v>87283.572900000014</v>
      </c>
      <c r="AE216" s="131">
        <f t="shared" si="319"/>
        <v>367864.36067999993</v>
      </c>
      <c r="AF216" s="131">
        <f t="shared" ref="AF216:AQ216" si="321">SUM(AF214:AF215)</f>
        <v>-305482.91303474997</v>
      </c>
      <c r="AG216" s="131">
        <f t="shared" si="321"/>
        <v>461644.41151619994</v>
      </c>
      <c r="AH216" s="131">
        <f t="shared" si="321"/>
        <v>-25816.754480219995</v>
      </c>
      <c r="AI216" s="131">
        <f t="shared" si="321"/>
        <v>-125182.89070352999</v>
      </c>
      <c r="AJ216" s="131">
        <f t="shared" si="321"/>
        <v>261444.79262582998</v>
      </c>
      <c r="AK216" s="131">
        <f t="shared" si="321"/>
        <v>180523.80365283001</v>
      </c>
      <c r="AL216" s="131">
        <f t="shared" si="321"/>
        <v>47398.666969169986</v>
      </c>
      <c r="AM216" s="131">
        <f t="shared" si="321"/>
        <v>77057.423123669985</v>
      </c>
      <c r="AN216" s="131">
        <f t="shared" si="321"/>
        <v>171380.95542017996</v>
      </c>
      <c r="AO216" s="131">
        <f t="shared" si="321"/>
        <v>239015.72350457998</v>
      </c>
      <c r="AP216" s="131">
        <f t="shared" si="321"/>
        <v>89291.095076699989</v>
      </c>
      <c r="AQ216" s="131">
        <f t="shared" si="321"/>
        <v>376325.2409756399</v>
      </c>
      <c r="AR216" s="131">
        <f>SUM(G216:R216)</f>
        <v>1399657.1</v>
      </c>
      <c r="AS216" s="131">
        <f>SUM(T216:AE216)</f>
        <v>1415053.3281</v>
      </c>
      <c r="AT216" s="131">
        <f>SUM(AF216:AQ216)</f>
        <v>1447599.5546462997</v>
      </c>
      <c r="AU216" s="621"/>
      <c r="AV216" s="621"/>
    </row>
    <row r="217" spans="1:48">
      <c r="B217" s="250">
        <f t="shared" si="292"/>
        <v>816</v>
      </c>
      <c r="C217" s="212">
        <v>924</v>
      </c>
      <c r="D217" s="102" t="s">
        <v>430</v>
      </c>
      <c r="E217" s="102"/>
      <c r="F217" s="102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71"/>
      <c r="AV217" s="171"/>
    </row>
    <row r="218" spans="1:48">
      <c r="B218" s="250">
        <f t="shared" si="292"/>
        <v>817</v>
      </c>
      <c r="C218" s="212"/>
      <c r="D218" s="102"/>
      <c r="E218" s="102" t="s">
        <v>14</v>
      </c>
      <c r="F218" s="102"/>
      <c r="G218" s="186">
        <f t="shared" ref="G218:AE219" si="322">G472+G726</f>
        <v>32529.91</v>
      </c>
      <c r="H218" s="186">
        <f t="shared" si="322"/>
        <v>63101.19</v>
      </c>
      <c r="I218" s="186">
        <f t="shared" si="322"/>
        <v>38808.549999999996</v>
      </c>
      <c r="J218" s="186">
        <f t="shared" si="322"/>
        <v>52546.11</v>
      </c>
      <c r="K218" s="186">
        <f t="shared" si="322"/>
        <v>79905.95</v>
      </c>
      <c r="L218" s="186">
        <f t="shared" si="322"/>
        <v>52556.97</v>
      </c>
      <c r="M218" s="186">
        <f t="shared" si="322"/>
        <v>52562.400000000001</v>
      </c>
      <c r="N218" s="186">
        <f t="shared" si="322"/>
        <v>79938.97</v>
      </c>
      <c r="O218" s="186">
        <f t="shared" si="322"/>
        <v>-195774.57</v>
      </c>
      <c r="P218" s="186">
        <f t="shared" si="322"/>
        <v>2931.27</v>
      </c>
      <c r="Q218" s="186">
        <f t="shared" si="322"/>
        <v>1139.6499999999999</v>
      </c>
      <c r="R218" s="186">
        <f t="shared" si="322"/>
        <v>44351.6</v>
      </c>
      <c r="S218" s="186"/>
      <c r="T218" s="186">
        <f t="shared" ref="T218:Y218" si="323">T472+T726</f>
        <v>33245.568019999999</v>
      </c>
      <c r="U218" s="186">
        <f t="shared" si="323"/>
        <v>64489.41618</v>
      </c>
      <c r="V218" s="186">
        <f t="shared" si="323"/>
        <v>39662.338099999994</v>
      </c>
      <c r="W218" s="186">
        <f t="shared" si="323"/>
        <v>53702.12442</v>
      </c>
      <c r="X218" s="186">
        <f t="shared" si="323"/>
        <v>81663.880900000004</v>
      </c>
      <c r="Y218" s="186">
        <f t="shared" si="323"/>
        <v>53713.223340000004</v>
      </c>
      <c r="Z218" s="186">
        <f t="shared" si="322"/>
        <v>53718.772800000006</v>
      </c>
      <c r="AA218" s="186">
        <f t="shared" si="322"/>
        <v>81697.627340000006</v>
      </c>
      <c r="AB218" s="186">
        <f t="shared" si="322"/>
        <v>-200081.61054000002</v>
      </c>
      <c r="AC218" s="186">
        <f t="shared" si="322"/>
        <v>2995.75794</v>
      </c>
      <c r="AD218" s="186">
        <f t="shared" si="322"/>
        <v>1164.7222999999999</v>
      </c>
      <c r="AE218" s="186">
        <f t="shared" si="322"/>
        <v>45327.335200000001</v>
      </c>
      <c r="AF218" s="186">
        <f t="shared" ref="AF218:AQ218" si="324">AF472+AF726</f>
        <v>34010.216084459993</v>
      </c>
      <c r="AG218" s="186">
        <f t="shared" si="324"/>
        <v>65972.672752139988</v>
      </c>
      <c r="AH218" s="186">
        <f t="shared" si="324"/>
        <v>40574.57187629999</v>
      </c>
      <c r="AI218" s="186">
        <f t="shared" si="324"/>
        <v>54937.273281659996</v>
      </c>
      <c r="AJ218" s="186">
        <f t="shared" si="324"/>
        <v>83542.150160699995</v>
      </c>
      <c r="AK218" s="186">
        <f t="shared" si="324"/>
        <v>54948.627476820002</v>
      </c>
      <c r="AL218" s="186">
        <f t="shared" si="324"/>
        <v>54954.304574400005</v>
      </c>
      <c r="AM218" s="186">
        <f t="shared" si="324"/>
        <v>83576.672768820004</v>
      </c>
      <c r="AN218" s="186">
        <f t="shared" si="324"/>
        <v>-204683.48758242</v>
      </c>
      <c r="AO218" s="186">
        <f t="shared" si="324"/>
        <v>3064.6603726199996</v>
      </c>
      <c r="AP218" s="186">
        <f t="shared" si="324"/>
        <v>1191.5109128999998</v>
      </c>
      <c r="AQ218" s="186">
        <f t="shared" si="324"/>
        <v>46369.863909599997</v>
      </c>
      <c r="AR218" s="186">
        <f>SUM(G218:R218)</f>
        <v>304598</v>
      </c>
      <c r="AS218" s="186">
        <f>SUM(T218:AE218)</f>
        <v>311299.15600000008</v>
      </c>
      <c r="AT218" s="186">
        <f>SUM(AF218:AQ218)</f>
        <v>318459.03658799996</v>
      </c>
      <c r="AU218" s="171"/>
      <c r="AV218" s="171"/>
    </row>
    <row r="219" spans="1:48">
      <c r="B219" s="250">
        <f t="shared" si="292"/>
        <v>818</v>
      </c>
      <c r="C219" s="212"/>
      <c r="D219" s="102"/>
      <c r="E219" s="102" t="s">
        <v>24</v>
      </c>
      <c r="F219" s="102"/>
      <c r="G219" s="186">
        <f t="shared" si="322"/>
        <v>1044.1600000000001</v>
      </c>
      <c r="H219" s="186">
        <f t="shared" si="322"/>
        <v>2038.88</v>
      </c>
      <c r="I219" s="186">
        <f t="shared" si="322"/>
        <v>1299.51</v>
      </c>
      <c r="J219" s="186">
        <f t="shared" si="322"/>
        <v>1753.89</v>
      </c>
      <c r="K219" s="186">
        <f t="shared" si="322"/>
        <v>2650.05</v>
      </c>
      <c r="L219" s="186">
        <f t="shared" si="322"/>
        <v>1743.03</v>
      </c>
      <c r="M219" s="186">
        <f t="shared" si="322"/>
        <v>1737.6000000000001</v>
      </c>
      <c r="N219" s="186">
        <f t="shared" si="322"/>
        <v>2617.0300000000002</v>
      </c>
      <c r="O219" s="186">
        <f t="shared" si="322"/>
        <v>-6430.1100000000006</v>
      </c>
      <c r="P219" s="186">
        <f t="shared" si="322"/>
        <v>96.28</v>
      </c>
      <c r="Q219" s="186">
        <f t="shared" si="322"/>
        <v>37.68</v>
      </c>
      <c r="R219" s="186">
        <f t="shared" si="322"/>
        <v>1461.43</v>
      </c>
      <c r="S219" s="186"/>
      <c r="T219" s="186">
        <f t="shared" ref="T219:Y219" si="325">T473+T727</f>
        <v>1067.1315200000001</v>
      </c>
      <c r="U219" s="186">
        <f t="shared" si="325"/>
        <v>2083.7353600000001</v>
      </c>
      <c r="V219" s="186">
        <f t="shared" si="325"/>
        <v>1328.0992200000001</v>
      </c>
      <c r="W219" s="186">
        <f t="shared" si="325"/>
        <v>1792.47558</v>
      </c>
      <c r="X219" s="186">
        <f t="shared" si="325"/>
        <v>2708.3511000000003</v>
      </c>
      <c r="Y219" s="186">
        <f t="shared" si="325"/>
        <v>1781.3766599999999</v>
      </c>
      <c r="Z219" s="186">
        <f t="shared" si="322"/>
        <v>1775.8272000000002</v>
      </c>
      <c r="AA219" s="186">
        <f t="shared" si="322"/>
        <v>2674.6046600000004</v>
      </c>
      <c r="AB219" s="186">
        <f t="shared" si="322"/>
        <v>-6571.5724200000004</v>
      </c>
      <c r="AC219" s="186">
        <f t="shared" si="322"/>
        <v>98.398160000000004</v>
      </c>
      <c r="AD219" s="186">
        <f t="shared" si="322"/>
        <v>38.508960000000002</v>
      </c>
      <c r="AE219" s="186">
        <f t="shared" si="322"/>
        <v>1493.5814600000001</v>
      </c>
      <c r="AF219" s="186">
        <f t="shared" ref="AF219:AQ219" si="326">AF473+AF727</f>
        <v>1091.67554496</v>
      </c>
      <c r="AG219" s="186">
        <f t="shared" si="326"/>
        <v>2131.6612732799999</v>
      </c>
      <c r="AH219" s="186">
        <f t="shared" si="326"/>
        <v>1358.6455020599999</v>
      </c>
      <c r="AI219" s="186">
        <f t="shared" si="326"/>
        <v>1833.7025183399999</v>
      </c>
      <c r="AJ219" s="186">
        <f t="shared" si="326"/>
        <v>2770.6431753000002</v>
      </c>
      <c r="AK219" s="186">
        <f t="shared" si="326"/>
        <v>1822.3483231799996</v>
      </c>
      <c r="AL219" s="186">
        <f t="shared" si="326"/>
        <v>1816.6712256000001</v>
      </c>
      <c r="AM219" s="186">
        <f t="shared" si="326"/>
        <v>2736.1205671800003</v>
      </c>
      <c r="AN219" s="186">
        <f t="shared" si="326"/>
        <v>-6722.7185856599999</v>
      </c>
      <c r="AO219" s="186">
        <f t="shared" si="326"/>
        <v>100.66131768</v>
      </c>
      <c r="AP219" s="186">
        <f t="shared" si="326"/>
        <v>39.39466608</v>
      </c>
      <c r="AQ219" s="186">
        <f t="shared" si="326"/>
        <v>1527.9338335800001</v>
      </c>
      <c r="AR219" s="186">
        <f>SUM(G219:R219)</f>
        <v>10049.430000000004</v>
      </c>
      <c r="AS219" s="186">
        <f>SUM(T219:AE219)</f>
        <v>10270.517460000001</v>
      </c>
      <c r="AT219" s="186">
        <f>SUM(AF219:AQ219)</f>
        <v>10506.739361579999</v>
      </c>
      <c r="AU219" s="171"/>
      <c r="AV219" s="171"/>
    </row>
    <row r="220" spans="1:48">
      <c r="A220" s="15" t="s">
        <v>1037</v>
      </c>
      <c r="B220" s="250">
        <f t="shared" si="292"/>
        <v>819</v>
      </c>
      <c r="C220" s="212"/>
      <c r="D220" s="102"/>
      <c r="E220" s="102" t="s">
        <v>170</v>
      </c>
      <c r="F220" s="102"/>
      <c r="G220" s="131">
        <f t="shared" ref="G220:AE220" si="327">SUM(G218:G219)</f>
        <v>33574.07</v>
      </c>
      <c r="H220" s="131">
        <f t="shared" si="327"/>
        <v>65140.07</v>
      </c>
      <c r="I220" s="131">
        <f t="shared" si="327"/>
        <v>40108.06</v>
      </c>
      <c r="J220" s="131">
        <f t="shared" si="327"/>
        <v>54300</v>
      </c>
      <c r="K220" s="131">
        <f t="shared" si="327"/>
        <v>82556</v>
      </c>
      <c r="L220" s="131">
        <f t="shared" si="327"/>
        <v>54300</v>
      </c>
      <c r="M220" s="131">
        <f t="shared" si="327"/>
        <v>54300</v>
      </c>
      <c r="N220" s="131">
        <f t="shared" si="327"/>
        <v>82556</v>
      </c>
      <c r="O220" s="131">
        <f t="shared" si="327"/>
        <v>-202204.68</v>
      </c>
      <c r="P220" s="131">
        <f t="shared" si="327"/>
        <v>3027.55</v>
      </c>
      <c r="Q220" s="131">
        <f t="shared" si="327"/>
        <v>1177.33</v>
      </c>
      <c r="R220" s="131">
        <f t="shared" si="327"/>
        <v>45813.03</v>
      </c>
      <c r="S220" s="620"/>
      <c r="T220" s="131">
        <f t="shared" ref="T220:Y220" si="328">SUM(T218:T219)</f>
        <v>34312.699540000001</v>
      </c>
      <c r="U220" s="131">
        <f t="shared" si="328"/>
        <v>66573.151540000006</v>
      </c>
      <c r="V220" s="131">
        <f t="shared" si="328"/>
        <v>40990.437319999997</v>
      </c>
      <c r="W220" s="131">
        <f t="shared" si="328"/>
        <v>55494.6</v>
      </c>
      <c r="X220" s="131">
        <f t="shared" si="328"/>
        <v>84372.232000000004</v>
      </c>
      <c r="Y220" s="131">
        <f t="shared" si="328"/>
        <v>55494.600000000006</v>
      </c>
      <c r="Z220" s="131">
        <f t="shared" si="327"/>
        <v>55494.600000000006</v>
      </c>
      <c r="AA220" s="131">
        <f t="shared" si="327"/>
        <v>84372.232000000004</v>
      </c>
      <c r="AB220" s="131">
        <f t="shared" si="327"/>
        <v>-206653.18296000003</v>
      </c>
      <c r="AC220" s="131">
        <f t="shared" si="327"/>
        <v>3094.1561000000002</v>
      </c>
      <c r="AD220" s="131">
        <f t="shared" si="327"/>
        <v>1203.23126</v>
      </c>
      <c r="AE220" s="131">
        <f t="shared" si="327"/>
        <v>46820.916660000003</v>
      </c>
      <c r="AF220" s="131">
        <f t="shared" ref="AF220:AQ220" si="329">SUM(AF218:AF219)</f>
        <v>35101.891629419995</v>
      </c>
      <c r="AG220" s="131">
        <f t="shared" si="329"/>
        <v>68104.334025419987</v>
      </c>
      <c r="AH220" s="131">
        <f t="shared" si="329"/>
        <v>41933.217378359986</v>
      </c>
      <c r="AI220" s="131">
        <f t="shared" si="329"/>
        <v>56770.975799999993</v>
      </c>
      <c r="AJ220" s="131">
        <f t="shared" si="329"/>
        <v>86312.793336000002</v>
      </c>
      <c r="AK220" s="131">
        <f t="shared" si="329"/>
        <v>56770.9758</v>
      </c>
      <c r="AL220" s="131">
        <f t="shared" si="329"/>
        <v>56770.975800000007</v>
      </c>
      <c r="AM220" s="131">
        <f t="shared" si="329"/>
        <v>86312.793336000002</v>
      </c>
      <c r="AN220" s="131">
        <f t="shared" si="329"/>
        <v>-211406.20616808001</v>
      </c>
      <c r="AO220" s="131">
        <f t="shared" si="329"/>
        <v>3165.3216902999998</v>
      </c>
      <c r="AP220" s="131">
        <f t="shared" si="329"/>
        <v>1230.9055789799997</v>
      </c>
      <c r="AQ220" s="131">
        <f t="shared" si="329"/>
        <v>47897.797743179995</v>
      </c>
      <c r="AR220" s="131">
        <f>SUM(G220:R220)</f>
        <v>314647.43000000005</v>
      </c>
      <c r="AS220" s="131">
        <f>SUM(T220:AE220)</f>
        <v>321569.6734599999</v>
      </c>
      <c r="AT220" s="131">
        <f>SUM(AF220:AQ220)</f>
        <v>328965.77594957995</v>
      </c>
      <c r="AU220" s="621"/>
      <c r="AV220" s="621"/>
    </row>
    <row r="221" spans="1:48">
      <c r="B221" s="250">
        <f t="shared" si="292"/>
        <v>820</v>
      </c>
      <c r="C221" s="212">
        <v>925</v>
      </c>
      <c r="D221" s="102" t="s">
        <v>431</v>
      </c>
      <c r="E221" s="102"/>
      <c r="F221" s="102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71"/>
      <c r="AV221" s="171"/>
    </row>
    <row r="222" spans="1:48">
      <c r="B222" s="250">
        <f t="shared" si="292"/>
        <v>821</v>
      </c>
      <c r="C222" s="212"/>
      <c r="D222" s="102"/>
      <c r="E222" s="102" t="s">
        <v>14</v>
      </c>
      <c r="F222" s="102"/>
      <c r="G222" s="186">
        <f t="shared" ref="G222:AE223" si="330">G476+G730</f>
        <v>1713.98</v>
      </c>
      <c r="H222" s="186">
        <f t="shared" si="330"/>
        <v>1486.29</v>
      </c>
      <c r="I222" s="186">
        <f t="shared" si="330"/>
        <v>2558.7200000000003</v>
      </c>
      <c r="J222" s="186">
        <f t="shared" si="330"/>
        <v>-1259.18</v>
      </c>
      <c r="K222" s="186">
        <f t="shared" si="330"/>
        <v>905.91</v>
      </c>
      <c r="L222" s="186">
        <f t="shared" si="330"/>
        <v>-55.85</v>
      </c>
      <c r="M222" s="186">
        <f t="shared" si="330"/>
        <v>778.53000000000009</v>
      </c>
      <c r="N222" s="186">
        <f t="shared" si="330"/>
        <v>576.61</v>
      </c>
      <c r="O222" s="186">
        <f t="shared" si="330"/>
        <v>550.26</v>
      </c>
      <c r="P222" s="186">
        <f t="shared" si="330"/>
        <v>2417.9499999999998</v>
      </c>
      <c r="Q222" s="186">
        <f t="shared" si="330"/>
        <v>396.8</v>
      </c>
      <c r="R222" s="186">
        <f t="shared" si="330"/>
        <v>1432.36</v>
      </c>
      <c r="S222" s="186"/>
      <c r="T222" s="186">
        <f t="shared" ref="T222:Y222" si="331">T476+T730</f>
        <v>1615.0508233922862</v>
      </c>
      <c r="U222" s="186">
        <f t="shared" si="331"/>
        <v>1400.502857851154</v>
      </c>
      <c r="V222" s="186">
        <f t="shared" si="331"/>
        <v>2411.033292588193</v>
      </c>
      <c r="W222" s="186">
        <f t="shared" si="331"/>
        <v>-1186.5014153018699</v>
      </c>
      <c r="X222" s="186">
        <f t="shared" si="331"/>
        <v>853.62179921545521</v>
      </c>
      <c r="Y222" s="186">
        <f t="shared" si="331"/>
        <v>-52.626394990874566</v>
      </c>
      <c r="Z222" s="186">
        <f t="shared" si="330"/>
        <v>733.59404283340336</v>
      </c>
      <c r="AA222" s="186">
        <f t="shared" si="330"/>
        <v>543.3286591886872</v>
      </c>
      <c r="AB222" s="186">
        <f t="shared" si="330"/>
        <v>518.49955430042326</v>
      </c>
      <c r="AC222" s="186">
        <f t="shared" si="330"/>
        <v>2278.3883933426168</v>
      </c>
      <c r="AD222" s="186">
        <f t="shared" si="330"/>
        <v>373.8971089056227</v>
      </c>
      <c r="AE222" s="186">
        <f t="shared" si="330"/>
        <v>1349.6856424195003</v>
      </c>
      <c r="AF222" s="186">
        <f t="shared" ref="AF222:AQ222" si="332">AF476+AF730</f>
        <v>1624.8872170491074</v>
      </c>
      <c r="AG222" s="186">
        <f t="shared" si="332"/>
        <v>1409.032556872261</v>
      </c>
      <c r="AH222" s="186">
        <f t="shared" si="332"/>
        <v>2425.7175813066037</v>
      </c>
      <c r="AI222" s="186">
        <f t="shared" si="332"/>
        <v>-1193.7277482607119</v>
      </c>
      <c r="AJ222" s="186">
        <f t="shared" si="332"/>
        <v>858.82074399757107</v>
      </c>
      <c r="AK222" s="186">
        <f t="shared" si="332"/>
        <v>-52.946913658381462</v>
      </c>
      <c r="AL222" s="186">
        <f t="shared" si="332"/>
        <v>738.06196401897444</v>
      </c>
      <c r="AM222" s="186">
        <f t="shared" si="332"/>
        <v>546.63777770025661</v>
      </c>
      <c r="AN222" s="186">
        <f t="shared" si="332"/>
        <v>521.65745227683044</v>
      </c>
      <c r="AO222" s="186">
        <f t="shared" si="332"/>
        <v>2292.2648143291576</v>
      </c>
      <c r="AP222" s="186">
        <f t="shared" si="332"/>
        <v>376.17431225865289</v>
      </c>
      <c r="AQ222" s="186">
        <f t="shared" si="332"/>
        <v>1357.905841499002</v>
      </c>
      <c r="AR222" s="186">
        <f>SUM(G222:R222)</f>
        <v>11502.379999999997</v>
      </c>
      <c r="AS222" s="186">
        <f>SUM(T222:AE222)</f>
        <v>10838.474363744597</v>
      </c>
      <c r="AT222" s="186">
        <f>SUM(AF222:AQ222)</f>
        <v>10904.485599389323</v>
      </c>
      <c r="AU222" s="171"/>
      <c r="AV222" s="171"/>
    </row>
    <row r="223" spans="1:48">
      <c r="B223" s="250">
        <f t="shared" si="292"/>
        <v>822</v>
      </c>
      <c r="C223" s="212"/>
      <c r="D223" s="102"/>
      <c r="E223" s="102" t="s">
        <v>24</v>
      </c>
      <c r="F223" s="102"/>
      <c r="G223" s="186">
        <f t="shared" si="330"/>
        <v>97.28</v>
      </c>
      <c r="H223" s="186">
        <f t="shared" si="330"/>
        <v>48</v>
      </c>
      <c r="I223" s="186">
        <f t="shared" si="330"/>
        <v>72.37</v>
      </c>
      <c r="J223" s="186">
        <f t="shared" si="330"/>
        <v>-58.78</v>
      </c>
      <c r="K223" s="186">
        <f t="shared" si="330"/>
        <v>81.489999999999995</v>
      </c>
      <c r="L223" s="186">
        <f t="shared" si="330"/>
        <v>-2.39</v>
      </c>
      <c r="M223" s="186">
        <f t="shared" si="330"/>
        <v>13.17</v>
      </c>
      <c r="N223" s="186">
        <f t="shared" si="330"/>
        <v>23.11</v>
      </c>
      <c r="O223" s="186">
        <f t="shared" si="330"/>
        <v>25.37</v>
      </c>
      <c r="P223" s="186">
        <f t="shared" si="330"/>
        <v>47.550000000000004</v>
      </c>
      <c r="Q223" s="186">
        <f t="shared" si="330"/>
        <v>-4.34</v>
      </c>
      <c r="R223" s="186">
        <f t="shared" si="330"/>
        <v>-104.35000000000001</v>
      </c>
      <c r="S223" s="186"/>
      <c r="T223" s="186">
        <f t="shared" ref="T223:Y223" si="333">T477+T731</f>
        <v>91.665097667184924</v>
      </c>
      <c r="U223" s="186">
        <f t="shared" si="333"/>
        <v>45.229488980518873</v>
      </c>
      <c r="V223" s="186">
        <f t="shared" si="333"/>
        <v>68.192877448336475</v>
      </c>
      <c r="W223" s="186">
        <f t="shared" si="333"/>
        <v>-55.387278380727068</v>
      </c>
      <c r="X223" s="186">
        <f t="shared" si="333"/>
        <v>76.78648035463506</v>
      </c>
      <c r="Y223" s="186">
        <f t="shared" si="333"/>
        <v>-2.2520516388216691</v>
      </c>
      <c r="Z223" s="186">
        <f t="shared" si="330"/>
        <v>12.409841039029866</v>
      </c>
      <c r="AA223" s="186">
        <f t="shared" si="330"/>
        <v>21.776114382078983</v>
      </c>
      <c r="AB223" s="186">
        <f t="shared" si="330"/>
        <v>23.905669488245081</v>
      </c>
      <c r="AC223" s="186">
        <f t="shared" si="330"/>
        <v>44.805462521326511</v>
      </c>
      <c r="AD223" s="186">
        <f t="shared" si="330"/>
        <v>-4.0894996286552479</v>
      </c>
      <c r="AE223" s="186">
        <f t="shared" si="330"/>
        <v>-98.327024481607182</v>
      </c>
      <c r="AF223" s="186">
        <f t="shared" ref="AF223:AQ223" si="334">AF477+AF731</f>
        <v>92.223379779540707</v>
      </c>
      <c r="AG223" s="186">
        <f t="shared" si="334"/>
        <v>45.504957128062848</v>
      </c>
      <c r="AH223" s="186">
        <f t="shared" si="334"/>
        <v>68.608203069956417</v>
      </c>
      <c r="AI223" s="186">
        <f t="shared" si="334"/>
        <v>-55.724612083073623</v>
      </c>
      <c r="AJ223" s="186">
        <f t="shared" si="334"/>
        <v>77.254144924288354</v>
      </c>
      <c r="AK223" s="186">
        <f t="shared" si="334"/>
        <v>-2.2657676570014629</v>
      </c>
      <c r="AL223" s="186">
        <f t="shared" si="334"/>
        <v>12.485422612012243</v>
      </c>
      <c r="AM223" s="186">
        <f t="shared" si="334"/>
        <v>21.908740817281927</v>
      </c>
      <c r="AN223" s="186">
        <f t="shared" si="334"/>
        <v>24.051265882061553</v>
      </c>
      <c r="AO223" s="186">
        <f t="shared" si="334"/>
        <v>45.07834815498726</v>
      </c>
      <c r="AP223" s="186">
        <f t="shared" si="334"/>
        <v>-4.1144065403290151</v>
      </c>
      <c r="AQ223" s="186">
        <f t="shared" si="334"/>
        <v>-98.925880756528301</v>
      </c>
      <c r="AR223" s="186">
        <f>SUM(G223:R223)</f>
        <v>238.48000000000002</v>
      </c>
      <c r="AS223" s="186">
        <f>SUM(T223:AE223)</f>
        <v>224.71517775154456</v>
      </c>
      <c r="AT223" s="186">
        <f>SUM(AF223:AQ223)</f>
        <v>226.08379533125893</v>
      </c>
      <c r="AU223" s="171"/>
      <c r="AV223" s="171"/>
    </row>
    <row r="224" spans="1:48">
      <c r="A224" s="15" t="s">
        <v>1038</v>
      </c>
      <c r="B224" s="250">
        <f t="shared" si="292"/>
        <v>823</v>
      </c>
      <c r="C224" s="212"/>
      <c r="D224" s="102"/>
      <c r="E224" s="102" t="s">
        <v>170</v>
      </c>
      <c r="F224" s="102"/>
      <c r="G224" s="131">
        <f t="shared" ref="G224:AE224" si="335">SUM(G222:G223)</f>
        <v>1811.26</v>
      </c>
      <c r="H224" s="131">
        <f t="shared" si="335"/>
        <v>1534.29</v>
      </c>
      <c r="I224" s="131">
        <f t="shared" si="335"/>
        <v>2631.09</v>
      </c>
      <c r="J224" s="131">
        <f t="shared" si="335"/>
        <v>-1317.96</v>
      </c>
      <c r="K224" s="131">
        <f t="shared" si="335"/>
        <v>987.4</v>
      </c>
      <c r="L224" s="131">
        <f t="shared" si="335"/>
        <v>-58.24</v>
      </c>
      <c r="M224" s="131">
        <f t="shared" si="335"/>
        <v>791.7</v>
      </c>
      <c r="N224" s="131">
        <f t="shared" si="335"/>
        <v>599.72</v>
      </c>
      <c r="O224" s="131">
        <f t="shared" si="335"/>
        <v>575.63</v>
      </c>
      <c r="P224" s="131">
        <f t="shared" si="335"/>
        <v>2465.5</v>
      </c>
      <c r="Q224" s="131">
        <f t="shared" si="335"/>
        <v>392.46000000000004</v>
      </c>
      <c r="R224" s="131">
        <f t="shared" si="335"/>
        <v>1328.01</v>
      </c>
      <c r="S224" s="620"/>
      <c r="T224" s="131">
        <f t="shared" ref="T224:Y224" si="336">SUM(T222:T223)</f>
        <v>1706.7159210594712</v>
      </c>
      <c r="U224" s="131">
        <f t="shared" si="336"/>
        <v>1445.7323468316729</v>
      </c>
      <c r="V224" s="131">
        <f t="shared" si="336"/>
        <v>2479.2261700365293</v>
      </c>
      <c r="W224" s="131">
        <f t="shared" si="336"/>
        <v>-1241.888693682597</v>
      </c>
      <c r="X224" s="131">
        <f t="shared" si="336"/>
        <v>930.40827957009026</v>
      </c>
      <c r="Y224" s="131">
        <f t="shared" si="336"/>
        <v>-54.878446629696235</v>
      </c>
      <c r="Z224" s="131">
        <f t="shared" si="335"/>
        <v>746.00388387243322</v>
      </c>
      <c r="AA224" s="131">
        <f t="shared" si="335"/>
        <v>565.10477357076616</v>
      </c>
      <c r="AB224" s="131">
        <f t="shared" si="335"/>
        <v>542.40522378866831</v>
      </c>
      <c r="AC224" s="131">
        <f t="shared" si="335"/>
        <v>2323.1938558639436</v>
      </c>
      <c r="AD224" s="131">
        <f t="shared" si="335"/>
        <v>369.80760927696747</v>
      </c>
      <c r="AE224" s="131">
        <f t="shared" si="335"/>
        <v>1251.3586179378931</v>
      </c>
      <c r="AF224" s="131">
        <f t="shared" ref="AF224:AQ224" si="337">SUM(AF222:AF223)</f>
        <v>1717.1105968286481</v>
      </c>
      <c r="AG224" s="131">
        <f t="shared" si="337"/>
        <v>1454.5375140003239</v>
      </c>
      <c r="AH224" s="131">
        <f t="shared" si="337"/>
        <v>2494.32578437656</v>
      </c>
      <c r="AI224" s="131">
        <f t="shared" si="337"/>
        <v>-1249.4523603437856</v>
      </c>
      <c r="AJ224" s="131">
        <f t="shared" si="337"/>
        <v>936.07488892185938</v>
      </c>
      <c r="AK224" s="131">
        <f t="shared" si="337"/>
        <v>-55.212681315382923</v>
      </c>
      <c r="AL224" s="131">
        <f t="shared" si="337"/>
        <v>750.54738663098669</v>
      </c>
      <c r="AM224" s="131">
        <f t="shared" si="337"/>
        <v>568.54651851753852</v>
      </c>
      <c r="AN224" s="131">
        <f t="shared" si="337"/>
        <v>545.708718158892</v>
      </c>
      <c r="AO224" s="131">
        <f t="shared" si="337"/>
        <v>2337.3431624841451</v>
      </c>
      <c r="AP224" s="131">
        <f t="shared" si="337"/>
        <v>372.05990571832388</v>
      </c>
      <c r="AQ224" s="131">
        <f t="shared" si="337"/>
        <v>1258.9799607424736</v>
      </c>
      <c r="AR224" s="131">
        <f>SUM(G224:R224)</f>
        <v>11740.859999999999</v>
      </c>
      <c r="AS224" s="131">
        <f>SUM(T224:AE224)</f>
        <v>11063.189541496142</v>
      </c>
      <c r="AT224" s="131">
        <f>SUM(AF224:AQ224)</f>
        <v>11130.569394720584</v>
      </c>
      <c r="AU224" s="621"/>
      <c r="AV224" s="621"/>
    </row>
    <row r="225" spans="1:48">
      <c r="B225" s="250">
        <f t="shared" si="292"/>
        <v>824</v>
      </c>
      <c r="C225" s="212">
        <v>926</v>
      </c>
      <c r="D225" s="102" t="s">
        <v>432</v>
      </c>
      <c r="E225" s="102"/>
      <c r="F225" s="102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71"/>
      <c r="AV225" s="171"/>
    </row>
    <row r="226" spans="1:48">
      <c r="B226" s="250">
        <f t="shared" si="292"/>
        <v>825</v>
      </c>
      <c r="C226" s="212"/>
      <c r="D226" s="102"/>
      <c r="E226" s="102" t="s">
        <v>14</v>
      </c>
      <c r="F226" s="102"/>
      <c r="G226" s="186">
        <f t="shared" ref="G226:AE227" si="338">G480+G734</f>
        <v>20499.18</v>
      </c>
      <c r="H226" s="186">
        <f t="shared" si="338"/>
        <v>14870.1</v>
      </c>
      <c r="I226" s="186">
        <f t="shared" si="338"/>
        <v>13522.210000000001</v>
      </c>
      <c r="J226" s="186">
        <f t="shared" si="338"/>
        <v>17291.399999999998</v>
      </c>
      <c r="K226" s="186">
        <f t="shared" si="338"/>
        <v>9301.4600000000009</v>
      </c>
      <c r="L226" s="186">
        <f t="shared" si="338"/>
        <v>12926.88</v>
      </c>
      <c r="M226" s="186">
        <f t="shared" si="338"/>
        <v>9102.39</v>
      </c>
      <c r="N226" s="186">
        <f t="shared" si="338"/>
        <v>14626.9</v>
      </c>
      <c r="O226" s="186">
        <f t="shared" si="338"/>
        <v>15088.04</v>
      </c>
      <c r="P226" s="186">
        <f t="shared" si="338"/>
        <v>2114.08</v>
      </c>
      <c r="Q226" s="186">
        <f t="shared" si="338"/>
        <v>20016.060000000001</v>
      </c>
      <c r="R226" s="186">
        <f t="shared" si="338"/>
        <v>13413.29</v>
      </c>
      <c r="S226" s="186"/>
      <c r="T226" s="186">
        <f t="shared" ref="T226:Y226" si="339">T480+T734</f>
        <v>19315.988248326517</v>
      </c>
      <c r="U226" s="186">
        <f t="shared" si="339"/>
        <v>14011.81300185862</v>
      </c>
      <c r="V226" s="186">
        <f t="shared" si="339"/>
        <v>12741.721837234629</v>
      </c>
      <c r="W226" s="186">
        <f t="shared" si="339"/>
        <v>16293.358036619666</v>
      </c>
      <c r="X226" s="186">
        <f t="shared" si="339"/>
        <v>8764.5892202653558</v>
      </c>
      <c r="Y226" s="186">
        <f t="shared" si="339"/>
        <v>12180.753677343537</v>
      </c>
      <c r="Z226" s="186">
        <f t="shared" si="338"/>
        <v>8577.0093375288579</v>
      </c>
      <c r="AA226" s="186">
        <f t="shared" si="338"/>
        <v>13782.650257690657</v>
      </c>
      <c r="AB226" s="186">
        <f t="shared" si="338"/>
        <v>14217.173727450583</v>
      </c>
      <c r="AC226" s="186">
        <f t="shared" si="338"/>
        <v>1992.0574596653196</v>
      </c>
      <c r="AD226" s="186">
        <f t="shared" si="338"/>
        <v>18860.753441737597</v>
      </c>
      <c r="AE226" s="186">
        <f t="shared" si="338"/>
        <v>12639.088588489667</v>
      </c>
      <c r="AF226" s="186">
        <f t="shared" ref="AF226:AQ226" si="340">AF480+AF734</f>
        <v>19433.631397092569</v>
      </c>
      <c r="AG226" s="186">
        <f t="shared" si="340"/>
        <v>14097.15131229182</v>
      </c>
      <c r="AH226" s="186">
        <f t="shared" si="340"/>
        <v>12819.324715138808</v>
      </c>
      <c r="AI226" s="186">
        <f t="shared" si="340"/>
        <v>16392.591993420538</v>
      </c>
      <c r="AJ226" s="186">
        <f t="shared" si="340"/>
        <v>8817.9695526748219</v>
      </c>
      <c r="AK226" s="186">
        <f t="shared" si="340"/>
        <v>12254.940004158605</v>
      </c>
      <c r="AL226" s="186">
        <f t="shared" si="340"/>
        <v>8629.2472231855827</v>
      </c>
      <c r="AM226" s="186">
        <f t="shared" si="340"/>
        <v>13866.592862842968</v>
      </c>
      <c r="AN226" s="186">
        <f t="shared" si="340"/>
        <v>14303.762778052029</v>
      </c>
      <c r="AO226" s="186">
        <f t="shared" si="340"/>
        <v>2004.1899951103146</v>
      </c>
      <c r="AP226" s="186">
        <f t="shared" si="340"/>
        <v>18975.624003598619</v>
      </c>
      <c r="AQ226" s="186">
        <f t="shared" si="340"/>
        <v>12716.066383255711</v>
      </c>
      <c r="AR226" s="186">
        <f>SUM(G226:R226)</f>
        <v>162771.99000000002</v>
      </c>
      <c r="AS226" s="186">
        <f>SUM(T226:AE226)</f>
        <v>153376.95683421099</v>
      </c>
      <c r="AT226" s="186">
        <f>SUM(AF226:AQ226)</f>
        <v>154311.09222082238</v>
      </c>
      <c r="AU226" s="171"/>
      <c r="AV226" s="171"/>
    </row>
    <row r="227" spans="1:48">
      <c r="B227" s="250">
        <f t="shared" si="292"/>
        <v>826</v>
      </c>
      <c r="C227" s="212"/>
      <c r="D227" s="102"/>
      <c r="E227" s="102" t="s">
        <v>24</v>
      </c>
      <c r="F227" s="102"/>
      <c r="G227" s="186">
        <f t="shared" si="338"/>
        <v>1163.51</v>
      </c>
      <c r="H227" s="186">
        <f t="shared" si="338"/>
        <v>480.18</v>
      </c>
      <c r="I227" s="186">
        <f t="shared" si="338"/>
        <v>382.38</v>
      </c>
      <c r="J227" s="186">
        <f t="shared" si="338"/>
        <v>807.06000000000006</v>
      </c>
      <c r="K227" s="186">
        <f t="shared" si="338"/>
        <v>950.09</v>
      </c>
      <c r="L227" s="186">
        <f t="shared" si="338"/>
        <v>553.27</v>
      </c>
      <c r="M227" s="186">
        <f t="shared" si="338"/>
        <v>154.01</v>
      </c>
      <c r="N227" s="186">
        <f t="shared" si="338"/>
        <v>586.44000000000005</v>
      </c>
      <c r="O227" s="186">
        <f t="shared" si="338"/>
        <v>695.56000000000006</v>
      </c>
      <c r="P227" s="186">
        <f t="shared" si="338"/>
        <v>41.59</v>
      </c>
      <c r="Q227" s="186">
        <f t="shared" si="338"/>
        <v>-218.95000000000002</v>
      </c>
      <c r="R227" s="186">
        <f t="shared" si="338"/>
        <v>-976.45</v>
      </c>
      <c r="S227" s="186"/>
      <c r="T227" s="186">
        <f t="shared" ref="T227:Y227" si="341">T481+T735</f>
        <v>1096.3533900775733</v>
      </c>
      <c r="U227" s="186">
        <f t="shared" si="341"/>
        <v>452.4645003888657</v>
      </c>
      <c r="V227" s="186">
        <f t="shared" si="341"/>
        <v>360.30941659105849</v>
      </c>
      <c r="W227" s="186">
        <f t="shared" si="341"/>
        <v>760.47732034619924</v>
      </c>
      <c r="X227" s="186">
        <f t="shared" si="341"/>
        <v>895.25177469794119</v>
      </c>
      <c r="Y227" s="186">
        <f t="shared" si="341"/>
        <v>521.33582017190997</v>
      </c>
      <c r="Z227" s="186">
        <f t="shared" si="338"/>
        <v>145.12069995603565</v>
      </c>
      <c r="AA227" s="186">
        <f t="shared" si="338"/>
        <v>552.59128161948934</v>
      </c>
      <c r="AB227" s="186">
        <f t="shared" si="338"/>
        <v>655.41298656853564</v>
      </c>
      <c r="AC227" s="186">
        <f t="shared" si="338"/>
        <v>39.189467639578751</v>
      </c>
      <c r="AD227" s="186">
        <f t="shared" si="338"/>
        <v>-206.31242942259601</v>
      </c>
      <c r="AE227" s="186">
        <f t="shared" si="338"/>
        <v>-920.09030239640947</v>
      </c>
      <c r="AF227" s="186">
        <f t="shared" ref="AF227:AQ227" si="342">AF481+AF735</f>
        <v>1103.0306805848418</v>
      </c>
      <c r="AG227" s="186">
        <f t="shared" si="342"/>
        <v>455.22021486985875</v>
      </c>
      <c r="AH227" s="186">
        <f t="shared" si="342"/>
        <v>362.50386472143066</v>
      </c>
      <c r="AI227" s="186">
        <f t="shared" si="342"/>
        <v>765.1089729119667</v>
      </c>
      <c r="AJ227" s="186">
        <f t="shared" si="342"/>
        <v>900.70426495419235</v>
      </c>
      <c r="AK227" s="186">
        <f t="shared" si="342"/>
        <v>524.51099229673605</v>
      </c>
      <c r="AL227" s="186">
        <f t="shared" si="342"/>
        <v>146.00455098526996</v>
      </c>
      <c r="AM227" s="186">
        <f t="shared" si="342"/>
        <v>555.95681371210787</v>
      </c>
      <c r="AN227" s="186">
        <f t="shared" si="342"/>
        <v>659.40474958323739</v>
      </c>
      <c r="AO227" s="186">
        <f t="shared" si="342"/>
        <v>39.428149311586125</v>
      </c>
      <c r="AP227" s="186">
        <f t="shared" si="342"/>
        <v>-207.56896589977836</v>
      </c>
      <c r="AQ227" s="186">
        <f t="shared" si="342"/>
        <v>-925.69407057702017</v>
      </c>
      <c r="AR227" s="186">
        <f>SUM(G227:R227)</f>
        <v>4618.6900000000014</v>
      </c>
      <c r="AS227" s="186">
        <f>SUM(T227:AE227)</f>
        <v>4352.103926238181</v>
      </c>
      <c r="AT227" s="186">
        <f>SUM(AF227:AQ227)</f>
        <v>4378.6102174544285</v>
      </c>
      <c r="AU227" s="171"/>
      <c r="AV227" s="171"/>
    </row>
    <row r="228" spans="1:48">
      <c r="A228" s="15" t="s">
        <v>1039</v>
      </c>
      <c r="B228" s="250">
        <f t="shared" si="292"/>
        <v>827</v>
      </c>
      <c r="C228" s="212"/>
      <c r="D228" s="102"/>
      <c r="E228" s="102" t="s">
        <v>170</v>
      </c>
      <c r="F228" s="102"/>
      <c r="G228" s="131">
        <f t="shared" ref="G228:AE228" si="343">SUM(G226:G227)</f>
        <v>21662.69</v>
      </c>
      <c r="H228" s="131">
        <f t="shared" si="343"/>
        <v>15350.28</v>
      </c>
      <c r="I228" s="131">
        <f t="shared" si="343"/>
        <v>13904.59</v>
      </c>
      <c r="J228" s="131">
        <f t="shared" si="343"/>
        <v>18098.46</v>
      </c>
      <c r="K228" s="131">
        <f t="shared" si="343"/>
        <v>10251.550000000001</v>
      </c>
      <c r="L228" s="131">
        <f t="shared" si="343"/>
        <v>13480.15</v>
      </c>
      <c r="M228" s="131">
        <f t="shared" si="343"/>
        <v>9256.4</v>
      </c>
      <c r="N228" s="131">
        <f t="shared" si="343"/>
        <v>15213.34</v>
      </c>
      <c r="O228" s="131">
        <f t="shared" si="343"/>
        <v>15783.6</v>
      </c>
      <c r="P228" s="131">
        <f t="shared" si="343"/>
        <v>2155.67</v>
      </c>
      <c r="Q228" s="131">
        <f t="shared" si="343"/>
        <v>19797.11</v>
      </c>
      <c r="R228" s="131">
        <f t="shared" si="343"/>
        <v>12436.84</v>
      </c>
      <c r="S228" s="620"/>
      <c r="T228" s="131">
        <f t="shared" ref="T228:Y228" si="344">SUM(T226:T227)</f>
        <v>20412.34163840409</v>
      </c>
      <c r="U228" s="131">
        <f t="shared" si="344"/>
        <v>14464.277502247485</v>
      </c>
      <c r="V228" s="131">
        <f t="shared" si="344"/>
        <v>13102.031253825688</v>
      </c>
      <c r="W228" s="131">
        <f t="shared" si="344"/>
        <v>17053.835356965865</v>
      </c>
      <c r="X228" s="131">
        <f t="shared" si="344"/>
        <v>9659.8409949632969</v>
      </c>
      <c r="Y228" s="131">
        <f t="shared" si="344"/>
        <v>12702.089497515446</v>
      </c>
      <c r="Z228" s="131">
        <f t="shared" si="343"/>
        <v>8722.1300374848943</v>
      </c>
      <c r="AA228" s="131">
        <f t="shared" si="343"/>
        <v>14335.241539310146</v>
      </c>
      <c r="AB228" s="131">
        <f t="shared" si="343"/>
        <v>14872.586714019119</v>
      </c>
      <c r="AC228" s="131">
        <f t="shared" si="343"/>
        <v>2031.2469273048982</v>
      </c>
      <c r="AD228" s="131">
        <f t="shared" si="343"/>
        <v>18654.441012315001</v>
      </c>
      <c r="AE228" s="131">
        <f t="shared" si="343"/>
        <v>11718.998286093258</v>
      </c>
      <c r="AF228" s="131">
        <f t="shared" ref="AF228:AQ228" si="345">SUM(AF226:AF227)</f>
        <v>20536.662077677411</v>
      </c>
      <c r="AG228" s="131">
        <f t="shared" si="345"/>
        <v>14552.371527161678</v>
      </c>
      <c r="AH228" s="131">
        <f t="shared" si="345"/>
        <v>13181.828579860239</v>
      </c>
      <c r="AI228" s="131">
        <f t="shared" si="345"/>
        <v>17157.700966332504</v>
      </c>
      <c r="AJ228" s="131">
        <f t="shared" si="345"/>
        <v>9718.6738176290146</v>
      </c>
      <c r="AK228" s="131">
        <f t="shared" si="345"/>
        <v>12779.450996455342</v>
      </c>
      <c r="AL228" s="131">
        <f t="shared" si="345"/>
        <v>8775.2517741708525</v>
      </c>
      <c r="AM228" s="131">
        <f t="shared" si="345"/>
        <v>14422.549676555076</v>
      </c>
      <c r="AN228" s="131">
        <f t="shared" si="345"/>
        <v>14963.167527635265</v>
      </c>
      <c r="AO228" s="131">
        <f t="shared" si="345"/>
        <v>2043.6181444219008</v>
      </c>
      <c r="AP228" s="131">
        <f t="shared" si="345"/>
        <v>18768.055037698839</v>
      </c>
      <c r="AQ228" s="131">
        <f t="shared" si="345"/>
        <v>11790.372312678692</v>
      </c>
      <c r="AR228" s="131">
        <f>SUM(G228:R228)</f>
        <v>167390.67999999996</v>
      </c>
      <c r="AS228" s="131">
        <f>SUM(T228:AE228)</f>
        <v>157729.06076044918</v>
      </c>
      <c r="AT228" s="131">
        <f>SUM(AF228:AQ228)</f>
        <v>158689.70243827681</v>
      </c>
      <c r="AU228" s="621"/>
      <c r="AV228" s="621"/>
    </row>
    <row r="229" spans="1:48">
      <c r="B229" s="250">
        <f t="shared" si="292"/>
        <v>828</v>
      </c>
      <c r="C229" s="212">
        <v>928</v>
      </c>
      <c r="D229" s="102" t="s">
        <v>1040</v>
      </c>
      <c r="E229" s="102"/>
      <c r="F229" s="102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71"/>
      <c r="AV229" s="171"/>
    </row>
    <row r="230" spans="1:48">
      <c r="B230" s="250">
        <f t="shared" si="292"/>
        <v>829</v>
      </c>
      <c r="C230" s="212"/>
      <c r="D230" s="102"/>
      <c r="E230" s="102" t="s">
        <v>14</v>
      </c>
      <c r="F230" s="102"/>
      <c r="G230" s="186">
        <f t="shared" ref="G230:AE231" si="346">G484+G738</f>
        <v>0</v>
      </c>
      <c r="H230" s="186">
        <f t="shared" si="346"/>
        <v>0</v>
      </c>
      <c r="I230" s="186">
        <f t="shared" si="346"/>
        <v>0</v>
      </c>
      <c r="J230" s="186">
        <f t="shared" si="346"/>
        <v>0</v>
      </c>
      <c r="K230" s="186">
        <f t="shared" si="346"/>
        <v>0</v>
      </c>
      <c r="L230" s="186">
        <f t="shared" si="346"/>
        <v>0</v>
      </c>
      <c r="M230" s="186">
        <f t="shared" si="346"/>
        <v>0</v>
      </c>
      <c r="N230" s="186">
        <f t="shared" si="346"/>
        <v>0</v>
      </c>
      <c r="O230" s="186">
        <f t="shared" si="346"/>
        <v>0</v>
      </c>
      <c r="P230" s="186">
        <f t="shared" si="346"/>
        <v>0</v>
      </c>
      <c r="Q230" s="186">
        <f t="shared" si="346"/>
        <v>0</v>
      </c>
      <c r="R230" s="186">
        <f t="shared" si="346"/>
        <v>0</v>
      </c>
      <c r="S230" s="186"/>
      <c r="T230" s="186">
        <f t="shared" ref="T230:Y230" si="347">T484+T738</f>
        <v>0</v>
      </c>
      <c r="U230" s="186">
        <f t="shared" si="347"/>
        <v>0</v>
      </c>
      <c r="V230" s="186">
        <f t="shared" si="347"/>
        <v>0</v>
      </c>
      <c r="W230" s="186">
        <f t="shared" si="347"/>
        <v>0</v>
      </c>
      <c r="X230" s="186">
        <f t="shared" si="347"/>
        <v>0</v>
      </c>
      <c r="Y230" s="186">
        <f t="shared" si="347"/>
        <v>0</v>
      </c>
      <c r="Z230" s="186">
        <f t="shared" si="346"/>
        <v>0</v>
      </c>
      <c r="AA230" s="186">
        <f t="shared" si="346"/>
        <v>0</v>
      </c>
      <c r="AB230" s="186">
        <f t="shared" si="346"/>
        <v>0</v>
      </c>
      <c r="AC230" s="186">
        <f t="shared" si="346"/>
        <v>0</v>
      </c>
      <c r="AD230" s="186">
        <f t="shared" si="346"/>
        <v>0</v>
      </c>
      <c r="AE230" s="186">
        <f t="shared" si="346"/>
        <v>0</v>
      </c>
      <c r="AF230" s="186">
        <f t="shared" ref="AF230:AQ230" si="348">AF484+AF738</f>
        <v>0</v>
      </c>
      <c r="AG230" s="186">
        <f t="shared" si="348"/>
        <v>0</v>
      </c>
      <c r="AH230" s="186">
        <f t="shared" si="348"/>
        <v>0</v>
      </c>
      <c r="AI230" s="186">
        <f t="shared" si="348"/>
        <v>0</v>
      </c>
      <c r="AJ230" s="186">
        <f t="shared" si="348"/>
        <v>0</v>
      </c>
      <c r="AK230" s="186">
        <f t="shared" si="348"/>
        <v>0</v>
      </c>
      <c r="AL230" s="186">
        <f t="shared" si="348"/>
        <v>0</v>
      </c>
      <c r="AM230" s="186">
        <f t="shared" si="348"/>
        <v>0</v>
      </c>
      <c r="AN230" s="186">
        <f t="shared" si="348"/>
        <v>0</v>
      </c>
      <c r="AO230" s="186">
        <f t="shared" si="348"/>
        <v>0</v>
      </c>
      <c r="AP230" s="186">
        <f t="shared" si="348"/>
        <v>0</v>
      </c>
      <c r="AQ230" s="186">
        <f t="shared" si="348"/>
        <v>0</v>
      </c>
      <c r="AR230" s="186">
        <f>SUM(G230:R230)</f>
        <v>0</v>
      </c>
      <c r="AS230" s="186">
        <f>SUM(T230:AE230)</f>
        <v>0</v>
      </c>
      <c r="AT230" s="186">
        <f>SUM(AF230:AQ230)</f>
        <v>0</v>
      </c>
      <c r="AU230" s="171"/>
      <c r="AV230" s="171"/>
    </row>
    <row r="231" spans="1:48">
      <c r="B231" s="250">
        <f t="shared" si="292"/>
        <v>830</v>
      </c>
      <c r="C231" s="212"/>
      <c r="D231" s="102"/>
      <c r="E231" s="102" t="s">
        <v>24</v>
      </c>
      <c r="F231" s="102"/>
      <c r="G231" s="186">
        <f t="shared" si="346"/>
        <v>0</v>
      </c>
      <c r="H231" s="186">
        <f t="shared" si="346"/>
        <v>0</v>
      </c>
      <c r="I231" s="186">
        <f t="shared" si="346"/>
        <v>0</v>
      </c>
      <c r="J231" s="186">
        <f t="shared" si="346"/>
        <v>0</v>
      </c>
      <c r="K231" s="186">
        <f t="shared" si="346"/>
        <v>0</v>
      </c>
      <c r="L231" s="186">
        <f t="shared" si="346"/>
        <v>0</v>
      </c>
      <c r="M231" s="186">
        <f t="shared" si="346"/>
        <v>0</v>
      </c>
      <c r="N231" s="186">
        <f t="shared" si="346"/>
        <v>0</v>
      </c>
      <c r="O231" s="186">
        <f t="shared" si="346"/>
        <v>0</v>
      </c>
      <c r="P231" s="186">
        <f t="shared" si="346"/>
        <v>0</v>
      </c>
      <c r="Q231" s="186">
        <f t="shared" si="346"/>
        <v>0</v>
      </c>
      <c r="R231" s="186">
        <f t="shared" si="346"/>
        <v>0</v>
      </c>
      <c r="S231" s="186"/>
      <c r="T231" s="186">
        <f t="shared" ref="T231:Y231" si="349">T485+T739</f>
        <v>0</v>
      </c>
      <c r="U231" s="186">
        <f t="shared" si="349"/>
        <v>0</v>
      </c>
      <c r="V231" s="186">
        <f t="shared" si="349"/>
        <v>0</v>
      </c>
      <c r="W231" s="186">
        <f t="shared" si="349"/>
        <v>0</v>
      </c>
      <c r="X231" s="186">
        <f t="shared" si="349"/>
        <v>0</v>
      </c>
      <c r="Y231" s="186">
        <f t="shared" si="349"/>
        <v>0</v>
      </c>
      <c r="Z231" s="186">
        <f t="shared" si="346"/>
        <v>0</v>
      </c>
      <c r="AA231" s="186">
        <f t="shared" si="346"/>
        <v>0</v>
      </c>
      <c r="AB231" s="186">
        <f t="shared" si="346"/>
        <v>0</v>
      </c>
      <c r="AC231" s="186">
        <f t="shared" si="346"/>
        <v>0</v>
      </c>
      <c r="AD231" s="186">
        <f t="shared" si="346"/>
        <v>0</v>
      </c>
      <c r="AE231" s="186">
        <f t="shared" si="346"/>
        <v>0</v>
      </c>
      <c r="AF231" s="186">
        <f t="shared" ref="AF231:AQ231" si="350">AF485+AF739</f>
        <v>0</v>
      </c>
      <c r="AG231" s="186">
        <f t="shared" si="350"/>
        <v>0</v>
      </c>
      <c r="AH231" s="186">
        <f t="shared" si="350"/>
        <v>0</v>
      </c>
      <c r="AI231" s="186">
        <f t="shared" si="350"/>
        <v>0</v>
      </c>
      <c r="AJ231" s="186">
        <f t="shared" si="350"/>
        <v>0</v>
      </c>
      <c r="AK231" s="186">
        <f t="shared" si="350"/>
        <v>0</v>
      </c>
      <c r="AL231" s="186">
        <f t="shared" si="350"/>
        <v>0</v>
      </c>
      <c r="AM231" s="186">
        <f t="shared" si="350"/>
        <v>0</v>
      </c>
      <c r="AN231" s="186">
        <f t="shared" si="350"/>
        <v>0</v>
      </c>
      <c r="AO231" s="186">
        <f t="shared" si="350"/>
        <v>0</v>
      </c>
      <c r="AP231" s="186">
        <f t="shared" si="350"/>
        <v>0</v>
      </c>
      <c r="AQ231" s="186">
        <f t="shared" si="350"/>
        <v>0</v>
      </c>
      <c r="AR231" s="186">
        <f>SUM(G231:R231)</f>
        <v>0</v>
      </c>
      <c r="AS231" s="186">
        <f>SUM(T231:AE231)</f>
        <v>0</v>
      </c>
      <c r="AT231" s="186">
        <f>SUM(AF231:AQ231)</f>
        <v>0</v>
      </c>
      <c r="AU231" s="171"/>
      <c r="AV231" s="171"/>
    </row>
    <row r="232" spans="1:48">
      <c r="A232" s="15" t="s">
        <v>1041</v>
      </c>
      <c r="B232" s="250">
        <f t="shared" si="292"/>
        <v>831</v>
      </c>
      <c r="C232" s="212"/>
      <c r="D232" s="102"/>
      <c r="E232" s="102" t="s">
        <v>170</v>
      </c>
      <c r="F232" s="102"/>
      <c r="G232" s="131">
        <f t="shared" ref="G232:AE232" si="351">SUM(G230:G231)</f>
        <v>0</v>
      </c>
      <c r="H232" s="131">
        <f t="shared" si="351"/>
        <v>0</v>
      </c>
      <c r="I232" s="131">
        <f t="shared" si="351"/>
        <v>0</v>
      </c>
      <c r="J232" s="131">
        <f t="shared" si="351"/>
        <v>0</v>
      </c>
      <c r="K232" s="131">
        <f t="shared" si="351"/>
        <v>0</v>
      </c>
      <c r="L232" s="131">
        <f t="shared" si="351"/>
        <v>0</v>
      </c>
      <c r="M232" s="131">
        <f t="shared" si="351"/>
        <v>0</v>
      </c>
      <c r="N232" s="131">
        <f t="shared" si="351"/>
        <v>0</v>
      </c>
      <c r="O232" s="131">
        <f t="shared" si="351"/>
        <v>0</v>
      </c>
      <c r="P232" s="131">
        <f t="shared" si="351"/>
        <v>0</v>
      </c>
      <c r="Q232" s="131">
        <f t="shared" si="351"/>
        <v>0</v>
      </c>
      <c r="R232" s="131">
        <f t="shared" si="351"/>
        <v>0</v>
      </c>
      <c r="S232" s="620"/>
      <c r="T232" s="131">
        <f t="shared" ref="T232:Y232" si="352">SUM(T230:T231)</f>
        <v>0</v>
      </c>
      <c r="U232" s="131">
        <f t="shared" si="352"/>
        <v>0</v>
      </c>
      <c r="V232" s="131">
        <f t="shared" si="352"/>
        <v>0</v>
      </c>
      <c r="W232" s="131">
        <f t="shared" si="352"/>
        <v>0</v>
      </c>
      <c r="X232" s="131">
        <f t="shared" si="352"/>
        <v>0</v>
      </c>
      <c r="Y232" s="131">
        <f t="shared" si="352"/>
        <v>0</v>
      </c>
      <c r="Z232" s="131">
        <f t="shared" si="351"/>
        <v>0</v>
      </c>
      <c r="AA232" s="131">
        <f t="shared" si="351"/>
        <v>0</v>
      </c>
      <c r="AB232" s="131">
        <f t="shared" si="351"/>
        <v>0</v>
      </c>
      <c r="AC232" s="131">
        <f t="shared" si="351"/>
        <v>0</v>
      </c>
      <c r="AD232" s="131">
        <f t="shared" si="351"/>
        <v>0</v>
      </c>
      <c r="AE232" s="131">
        <f t="shared" si="351"/>
        <v>0</v>
      </c>
      <c r="AF232" s="131">
        <f t="shared" ref="AF232:AQ232" si="353">SUM(AF230:AF231)</f>
        <v>0</v>
      </c>
      <c r="AG232" s="131">
        <f t="shared" si="353"/>
        <v>0</v>
      </c>
      <c r="AH232" s="131">
        <f t="shared" si="353"/>
        <v>0</v>
      </c>
      <c r="AI232" s="131">
        <f t="shared" si="353"/>
        <v>0</v>
      </c>
      <c r="AJ232" s="131">
        <f t="shared" si="353"/>
        <v>0</v>
      </c>
      <c r="AK232" s="131">
        <f t="shared" si="353"/>
        <v>0</v>
      </c>
      <c r="AL232" s="131">
        <f t="shared" si="353"/>
        <v>0</v>
      </c>
      <c r="AM232" s="131">
        <f t="shared" si="353"/>
        <v>0</v>
      </c>
      <c r="AN232" s="131">
        <f t="shared" si="353"/>
        <v>0</v>
      </c>
      <c r="AO232" s="131">
        <f t="shared" si="353"/>
        <v>0</v>
      </c>
      <c r="AP232" s="131">
        <f t="shared" si="353"/>
        <v>0</v>
      </c>
      <c r="AQ232" s="131">
        <f t="shared" si="353"/>
        <v>0</v>
      </c>
      <c r="AR232" s="131">
        <f>SUM(G232:R232)</f>
        <v>0</v>
      </c>
      <c r="AS232" s="131">
        <f>SUM(T232:AE232)</f>
        <v>0</v>
      </c>
      <c r="AT232" s="131">
        <f>SUM(AF232:AQ232)</f>
        <v>0</v>
      </c>
      <c r="AU232" s="621"/>
      <c r="AV232" s="621"/>
    </row>
    <row r="233" spans="1:48">
      <c r="B233" s="250">
        <f t="shared" si="292"/>
        <v>832</v>
      </c>
      <c r="C233" s="212">
        <v>9301</v>
      </c>
      <c r="D233" s="102" t="s">
        <v>433</v>
      </c>
      <c r="E233" s="102"/>
      <c r="F233" s="102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71"/>
      <c r="AV233" s="171"/>
    </row>
    <row r="234" spans="1:48">
      <c r="B234" s="250">
        <f t="shared" si="292"/>
        <v>833</v>
      </c>
      <c r="C234" s="212"/>
      <c r="D234" s="102"/>
      <c r="E234" s="102" t="s">
        <v>14</v>
      </c>
      <c r="F234" s="102"/>
      <c r="G234" s="186">
        <f t="shared" ref="G234:AE235" si="354">G488+G742</f>
        <v>0</v>
      </c>
      <c r="H234" s="186">
        <f t="shared" si="354"/>
        <v>0</v>
      </c>
      <c r="I234" s="186">
        <f t="shared" si="354"/>
        <v>0</v>
      </c>
      <c r="J234" s="186">
        <f t="shared" si="354"/>
        <v>0</v>
      </c>
      <c r="K234" s="186">
        <f t="shared" si="354"/>
        <v>0</v>
      </c>
      <c r="L234" s="186">
        <f t="shared" si="354"/>
        <v>0</v>
      </c>
      <c r="M234" s="186">
        <f t="shared" si="354"/>
        <v>0</v>
      </c>
      <c r="N234" s="186">
        <f t="shared" si="354"/>
        <v>0</v>
      </c>
      <c r="O234" s="186">
        <f t="shared" si="354"/>
        <v>0</v>
      </c>
      <c r="P234" s="186">
        <f t="shared" si="354"/>
        <v>0</v>
      </c>
      <c r="Q234" s="186">
        <f t="shared" si="354"/>
        <v>0</v>
      </c>
      <c r="R234" s="186">
        <f t="shared" si="354"/>
        <v>0</v>
      </c>
      <c r="S234" s="186"/>
      <c r="T234" s="186">
        <f t="shared" ref="T234:Y234" si="355">T488+T742</f>
        <v>0</v>
      </c>
      <c r="U234" s="186">
        <f t="shared" si="355"/>
        <v>0</v>
      </c>
      <c r="V234" s="186">
        <f t="shared" si="355"/>
        <v>0</v>
      </c>
      <c r="W234" s="186">
        <f t="shared" si="355"/>
        <v>0</v>
      </c>
      <c r="X234" s="186">
        <f t="shared" si="355"/>
        <v>0</v>
      </c>
      <c r="Y234" s="186">
        <f t="shared" si="355"/>
        <v>0</v>
      </c>
      <c r="Z234" s="186">
        <f t="shared" si="354"/>
        <v>0</v>
      </c>
      <c r="AA234" s="186">
        <f t="shared" si="354"/>
        <v>0</v>
      </c>
      <c r="AB234" s="186">
        <f t="shared" si="354"/>
        <v>0</v>
      </c>
      <c r="AC234" s="186">
        <f t="shared" si="354"/>
        <v>0</v>
      </c>
      <c r="AD234" s="186">
        <f t="shared" si="354"/>
        <v>0</v>
      </c>
      <c r="AE234" s="186">
        <f t="shared" si="354"/>
        <v>0</v>
      </c>
      <c r="AF234" s="186">
        <f t="shared" ref="AF234:AQ234" si="356">AF488+AF742</f>
        <v>0</v>
      </c>
      <c r="AG234" s="186">
        <f t="shared" si="356"/>
        <v>0</v>
      </c>
      <c r="AH234" s="186">
        <f t="shared" si="356"/>
        <v>0</v>
      </c>
      <c r="AI234" s="186">
        <f t="shared" si="356"/>
        <v>0</v>
      </c>
      <c r="AJ234" s="186">
        <f t="shared" si="356"/>
        <v>0</v>
      </c>
      <c r="AK234" s="186">
        <f t="shared" si="356"/>
        <v>0</v>
      </c>
      <c r="AL234" s="186">
        <f t="shared" si="356"/>
        <v>0</v>
      </c>
      <c r="AM234" s="186">
        <f t="shared" si="356"/>
        <v>0</v>
      </c>
      <c r="AN234" s="186">
        <f t="shared" si="356"/>
        <v>0</v>
      </c>
      <c r="AO234" s="186">
        <f t="shared" si="356"/>
        <v>0</v>
      </c>
      <c r="AP234" s="186">
        <f t="shared" si="356"/>
        <v>0</v>
      </c>
      <c r="AQ234" s="186">
        <f t="shared" si="356"/>
        <v>0</v>
      </c>
      <c r="AR234" s="186">
        <f>SUM(G234:R234)</f>
        <v>0</v>
      </c>
      <c r="AS234" s="186">
        <f>SUM(T234:AE234)</f>
        <v>0</v>
      </c>
      <c r="AT234" s="186">
        <f>SUM(AF234:AQ234)</f>
        <v>0</v>
      </c>
      <c r="AU234" s="171"/>
      <c r="AV234" s="171"/>
    </row>
    <row r="235" spans="1:48">
      <c r="B235" s="250">
        <f t="shared" si="292"/>
        <v>834</v>
      </c>
      <c r="C235" s="212"/>
      <c r="D235" s="102"/>
      <c r="E235" s="102" t="s">
        <v>24</v>
      </c>
      <c r="F235" s="102"/>
      <c r="G235" s="186">
        <f t="shared" si="354"/>
        <v>0</v>
      </c>
      <c r="H235" s="186">
        <f t="shared" si="354"/>
        <v>0</v>
      </c>
      <c r="I235" s="186">
        <f t="shared" si="354"/>
        <v>0</v>
      </c>
      <c r="J235" s="186">
        <f t="shared" si="354"/>
        <v>0</v>
      </c>
      <c r="K235" s="186">
        <f t="shared" si="354"/>
        <v>0</v>
      </c>
      <c r="L235" s="186">
        <f t="shared" si="354"/>
        <v>0</v>
      </c>
      <c r="M235" s="186">
        <f t="shared" si="354"/>
        <v>0</v>
      </c>
      <c r="N235" s="186">
        <f t="shared" si="354"/>
        <v>0</v>
      </c>
      <c r="O235" s="186">
        <f t="shared" si="354"/>
        <v>0</v>
      </c>
      <c r="P235" s="186">
        <f t="shared" si="354"/>
        <v>0</v>
      </c>
      <c r="Q235" s="186">
        <f t="shared" si="354"/>
        <v>0</v>
      </c>
      <c r="R235" s="186">
        <f t="shared" si="354"/>
        <v>0</v>
      </c>
      <c r="S235" s="186"/>
      <c r="T235" s="186">
        <f t="shared" ref="T235:Y235" si="357">T489+T743</f>
        <v>0</v>
      </c>
      <c r="U235" s="186">
        <f t="shared" si="357"/>
        <v>0</v>
      </c>
      <c r="V235" s="186">
        <f t="shared" si="357"/>
        <v>0</v>
      </c>
      <c r="W235" s="186">
        <f t="shared" si="357"/>
        <v>0</v>
      </c>
      <c r="X235" s="186">
        <f t="shared" si="357"/>
        <v>0</v>
      </c>
      <c r="Y235" s="186">
        <f t="shared" si="357"/>
        <v>0</v>
      </c>
      <c r="Z235" s="186">
        <f t="shared" si="354"/>
        <v>0</v>
      </c>
      <c r="AA235" s="186">
        <f t="shared" si="354"/>
        <v>0</v>
      </c>
      <c r="AB235" s="186">
        <f t="shared" si="354"/>
        <v>0</v>
      </c>
      <c r="AC235" s="186">
        <f t="shared" si="354"/>
        <v>0</v>
      </c>
      <c r="AD235" s="186">
        <f t="shared" si="354"/>
        <v>0</v>
      </c>
      <c r="AE235" s="186">
        <f t="shared" si="354"/>
        <v>0</v>
      </c>
      <c r="AF235" s="186">
        <f t="shared" ref="AF235:AQ235" si="358">AF489+AF743</f>
        <v>0</v>
      </c>
      <c r="AG235" s="186">
        <f t="shared" si="358"/>
        <v>0</v>
      </c>
      <c r="AH235" s="186">
        <f t="shared" si="358"/>
        <v>0</v>
      </c>
      <c r="AI235" s="186">
        <f t="shared" si="358"/>
        <v>0</v>
      </c>
      <c r="AJ235" s="186">
        <f t="shared" si="358"/>
        <v>0</v>
      </c>
      <c r="AK235" s="186">
        <f t="shared" si="358"/>
        <v>0</v>
      </c>
      <c r="AL235" s="186">
        <f t="shared" si="358"/>
        <v>0</v>
      </c>
      <c r="AM235" s="186">
        <f t="shared" si="358"/>
        <v>0</v>
      </c>
      <c r="AN235" s="186">
        <f t="shared" si="358"/>
        <v>0</v>
      </c>
      <c r="AO235" s="186">
        <f t="shared" si="358"/>
        <v>0</v>
      </c>
      <c r="AP235" s="186">
        <f t="shared" si="358"/>
        <v>0</v>
      </c>
      <c r="AQ235" s="186">
        <f t="shared" si="358"/>
        <v>0</v>
      </c>
      <c r="AR235" s="186">
        <f>SUM(G235:R235)</f>
        <v>0</v>
      </c>
      <c r="AS235" s="186">
        <f>SUM(T235:AE235)</f>
        <v>0</v>
      </c>
      <c r="AT235" s="186">
        <f>SUM(AF235:AQ235)</f>
        <v>0</v>
      </c>
      <c r="AU235" s="171"/>
      <c r="AV235" s="171"/>
    </row>
    <row r="236" spans="1:48">
      <c r="A236" s="15" t="s">
        <v>1042</v>
      </c>
      <c r="B236" s="250">
        <f t="shared" si="292"/>
        <v>835</v>
      </c>
      <c r="C236" s="212"/>
      <c r="D236" s="102"/>
      <c r="E236" s="102" t="s">
        <v>170</v>
      </c>
      <c r="F236" s="102"/>
      <c r="G236" s="131">
        <f t="shared" ref="G236:AE236" si="359">SUM(G234:G235)</f>
        <v>0</v>
      </c>
      <c r="H236" s="131">
        <f t="shared" si="359"/>
        <v>0</v>
      </c>
      <c r="I236" s="131">
        <f t="shared" si="359"/>
        <v>0</v>
      </c>
      <c r="J236" s="131">
        <f t="shared" si="359"/>
        <v>0</v>
      </c>
      <c r="K236" s="131">
        <f t="shared" si="359"/>
        <v>0</v>
      </c>
      <c r="L236" s="131">
        <f t="shared" si="359"/>
        <v>0</v>
      </c>
      <c r="M236" s="131">
        <f t="shared" si="359"/>
        <v>0</v>
      </c>
      <c r="N236" s="131">
        <f t="shared" si="359"/>
        <v>0</v>
      </c>
      <c r="O236" s="131">
        <f t="shared" si="359"/>
        <v>0</v>
      </c>
      <c r="P236" s="131">
        <f t="shared" si="359"/>
        <v>0</v>
      </c>
      <c r="Q236" s="131">
        <f t="shared" si="359"/>
        <v>0</v>
      </c>
      <c r="R236" s="131">
        <f t="shared" si="359"/>
        <v>0</v>
      </c>
      <c r="S236" s="620"/>
      <c r="T236" s="131">
        <f t="shared" ref="T236:Y236" si="360">SUM(T234:T235)</f>
        <v>0</v>
      </c>
      <c r="U236" s="131">
        <f t="shared" si="360"/>
        <v>0</v>
      </c>
      <c r="V236" s="131">
        <f t="shared" si="360"/>
        <v>0</v>
      </c>
      <c r="W236" s="131">
        <f t="shared" si="360"/>
        <v>0</v>
      </c>
      <c r="X236" s="131">
        <f t="shared" si="360"/>
        <v>0</v>
      </c>
      <c r="Y236" s="131">
        <f t="shared" si="360"/>
        <v>0</v>
      </c>
      <c r="Z236" s="131">
        <f t="shared" si="359"/>
        <v>0</v>
      </c>
      <c r="AA236" s="131">
        <f t="shared" si="359"/>
        <v>0</v>
      </c>
      <c r="AB236" s="131">
        <f t="shared" si="359"/>
        <v>0</v>
      </c>
      <c r="AC236" s="131">
        <f t="shared" si="359"/>
        <v>0</v>
      </c>
      <c r="AD236" s="131">
        <f t="shared" si="359"/>
        <v>0</v>
      </c>
      <c r="AE236" s="131">
        <f t="shared" si="359"/>
        <v>0</v>
      </c>
      <c r="AF236" s="131">
        <f t="shared" ref="AF236:AQ236" si="361">SUM(AF234:AF235)</f>
        <v>0</v>
      </c>
      <c r="AG236" s="131">
        <f t="shared" si="361"/>
        <v>0</v>
      </c>
      <c r="AH236" s="131">
        <f t="shared" si="361"/>
        <v>0</v>
      </c>
      <c r="AI236" s="131">
        <f t="shared" si="361"/>
        <v>0</v>
      </c>
      <c r="AJ236" s="131">
        <f t="shared" si="361"/>
        <v>0</v>
      </c>
      <c r="AK236" s="131">
        <f t="shared" si="361"/>
        <v>0</v>
      </c>
      <c r="AL236" s="131">
        <f t="shared" si="361"/>
        <v>0</v>
      </c>
      <c r="AM236" s="131">
        <f t="shared" si="361"/>
        <v>0</v>
      </c>
      <c r="AN236" s="131">
        <f t="shared" si="361"/>
        <v>0</v>
      </c>
      <c r="AO236" s="131">
        <f t="shared" si="361"/>
        <v>0</v>
      </c>
      <c r="AP236" s="131">
        <f t="shared" si="361"/>
        <v>0</v>
      </c>
      <c r="AQ236" s="131">
        <f t="shared" si="361"/>
        <v>0</v>
      </c>
      <c r="AR236" s="131">
        <f>SUM(G236:R236)</f>
        <v>0</v>
      </c>
      <c r="AS236" s="131">
        <f>SUM(T236:AE236)</f>
        <v>0</v>
      </c>
      <c r="AT236" s="131">
        <f>SUM(AF236:AQ236)</f>
        <v>0</v>
      </c>
      <c r="AU236" s="621"/>
      <c r="AV236" s="621"/>
    </row>
    <row r="237" spans="1:48">
      <c r="B237" s="250">
        <f t="shared" si="292"/>
        <v>836</v>
      </c>
      <c r="C237" s="212">
        <v>9302</v>
      </c>
      <c r="D237" s="102" t="s">
        <v>435</v>
      </c>
      <c r="E237" s="102"/>
      <c r="F237" s="102"/>
      <c r="G237" s="186">
        <v>0</v>
      </c>
      <c r="H237" s="186">
        <v>0</v>
      </c>
      <c r="I237" s="186">
        <v>0</v>
      </c>
      <c r="J237" s="186">
        <v>0</v>
      </c>
      <c r="K237" s="186">
        <v>0</v>
      </c>
      <c r="L237" s="186">
        <v>0</v>
      </c>
      <c r="M237" s="186">
        <v>0</v>
      </c>
      <c r="N237" s="186">
        <v>0</v>
      </c>
      <c r="O237" s="186">
        <v>0</v>
      </c>
      <c r="P237" s="186">
        <v>0</v>
      </c>
      <c r="Q237" s="186">
        <v>0</v>
      </c>
      <c r="R237" s="186">
        <v>0</v>
      </c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71"/>
      <c r="AV237" s="171"/>
    </row>
    <row r="238" spans="1:48">
      <c r="B238" s="250">
        <f t="shared" si="292"/>
        <v>837</v>
      </c>
      <c r="C238" s="212"/>
      <c r="D238" s="102"/>
      <c r="E238" s="102" t="s">
        <v>14</v>
      </c>
      <c r="F238" s="102"/>
      <c r="G238" s="186">
        <f t="shared" ref="G238:AE239" si="362">G492+G746</f>
        <v>165542.40000000002</v>
      </c>
      <c r="H238" s="186">
        <f t="shared" si="362"/>
        <v>168230.75</v>
      </c>
      <c r="I238" s="186">
        <f t="shared" si="362"/>
        <v>173176.02000000002</v>
      </c>
      <c r="J238" s="186">
        <f t="shared" si="362"/>
        <v>170589.38999999998</v>
      </c>
      <c r="K238" s="186">
        <f t="shared" si="362"/>
        <v>169262.44</v>
      </c>
      <c r="L238" s="186">
        <f t="shared" si="362"/>
        <v>161172.63</v>
      </c>
      <c r="M238" s="186">
        <f t="shared" si="362"/>
        <v>168195.1</v>
      </c>
      <c r="N238" s="186">
        <f t="shared" si="362"/>
        <v>169098.40000000002</v>
      </c>
      <c r="O238" s="186">
        <f t="shared" si="362"/>
        <v>165386.26</v>
      </c>
      <c r="P238" s="186">
        <f t="shared" si="362"/>
        <v>172206.33000000002</v>
      </c>
      <c r="Q238" s="186">
        <f t="shared" si="362"/>
        <v>165365.32</v>
      </c>
      <c r="R238" s="186">
        <f t="shared" si="362"/>
        <v>213926.74</v>
      </c>
      <c r="S238" s="186"/>
      <c r="T238" s="186">
        <f t="shared" ref="T238:Y238" si="363">T492+T746</f>
        <v>166849.93625177754</v>
      </c>
      <c r="U238" s="186">
        <f t="shared" si="363"/>
        <v>169421.15164092954</v>
      </c>
      <c r="V238" s="186">
        <f t="shared" si="363"/>
        <v>174110.85429648857</v>
      </c>
      <c r="W238" s="186">
        <f t="shared" si="363"/>
        <v>171715.50188033766</v>
      </c>
      <c r="X238" s="186">
        <f t="shared" si="363"/>
        <v>170186.12953631877</v>
      </c>
      <c r="Y238" s="186">
        <f t="shared" si="363"/>
        <v>162608.34524492812</v>
      </c>
      <c r="Z238" s="186">
        <f t="shared" si="362"/>
        <v>169184.50538870116</v>
      </c>
      <c r="AA238" s="186">
        <f t="shared" si="362"/>
        <v>169995.36043126608</v>
      </c>
      <c r="AB238" s="186">
        <f t="shared" si="362"/>
        <v>166545.5536999224</v>
      </c>
      <c r="AC238" s="186">
        <f t="shared" si="362"/>
        <v>172919.42875708031</v>
      </c>
      <c r="AD238" s="186">
        <f t="shared" si="362"/>
        <v>166568.12805610057</v>
      </c>
      <c r="AE238" s="186">
        <f t="shared" si="362"/>
        <v>216038.72183329539</v>
      </c>
      <c r="AF238" s="186">
        <f t="shared" ref="AF238:AQ238" si="364">AF492+AF746</f>
        <v>168913.73069123519</v>
      </c>
      <c r="AG238" s="186">
        <f t="shared" si="364"/>
        <v>171504.27405892964</v>
      </c>
      <c r="AH238" s="186">
        <f t="shared" si="364"/>
        <v>176225.41973251957</v>
      </c>
      <c r="AI238" s="186">
        <f t="shared" si="364"/>
        <v>173819.52717497328</v>
      </c>
      <c r="AJ238" s="186">
        <f t="shared" si="364"/>
        <v>172253.93163530028</v>
      </c>
      <c r="AK238" s="186">
        <f t="shared" si="364"/>
        <v>164634.34379072944</v>
      </c>
      <c r="AL238" s="186">
        <f t="shared" si="364"/>
        <v>171246.60352674313</v>
      </c>
      <c r="AM238" s="186">
        <f t="shared" si="364"/>
        <v>172058.5097047826</v>
      </c>
      <c r="AN238" s="186">
        <f t="shared" si="364"/>
        <v>168592.32829089055</v>
      </c>
      <c r="AO238" s="186">
        <f t="shared" si="364"/>
        <v>174999.95534424676</v>
      </c>
      <c r="AP238" s="186">
        <f t="shared" si="364"/>
        <v>168619.12019790194</v>
      </c>
      <c r="AQ238" s="186">
        <f t="shared" si="364"/>
        <v>218749.01496877219</v>
      </c>
      <c r="AR238" s="186">
        <f>SUM(G238:R238)</f>
        <v>2062151.78</v>
      </c>
      <c r="AS238" s="186">
        <f>SUM(T238:AE238)</f>
        <v>2076143.6170171464</v>
      </c>
      <c r="AT238" s="186">
        <f>SUM(AF238:AQ238)</f>
        <v>2101616.759117024</v>
      </c>
      <c r="AU238" s="171"/>
      <c r="AV238" s="171"/>
    </row>
    <row r="239" spans="1:48">
      <c r="B239" s="250">
        <f t="shared" si="292"/>
        <v>838</v>
      </c>
      <c r="C239" s="212"/>
      <c r="D239" s="102"/>
      <c r="E239" s="102" t="s">
        <v>24</v>
      </c>
      <c r="F239" s="102"/>
      <c r="G239" s="186">
        <f t="shared" si="362"/>
        <v>3279.08</v>
      </c>
      <c r="H239" s="186">
        <f t="shared" si="362"/>
        <v>3482.01</v>
      </c>
      <c r="I239" s="186">
        <f t="shared" si="362"/>
        <v>3929.27</v>
      </c>
      <c r="J239" s="186">
        <f t="shared" si="362"/>
        <v>3566.48</v>
      </c>
      <c r="K239" s="186">
        <f t="shared" si="362"/>
        <v>3757.59</v>
      </c>
      <c r="L239" s="186">
        <f t="shared" si="362"/>
        <v>3203.53</v>
      </c>
      <c r="M239" s="186">
        <f t="shared" si="362"/>
        <v>3783.57</v>
      </c>
      <c r="N239" s="186">
        <f t="shared" si="362"/>
        <v>3842.86</v>
      </c>
      <c r="O239" s="186">
        <f t="shared" si="362"/>
        <v>3363.29</v>
      </c>
      <c r="P239" s="186">
        <f t="shared" si="362"/>
        <v>4234.3999999999996</v>
      </c>
      <c r="Q239" s="186">
        <f t="shared" si="362"/>
        <v>3392.02</v>
      </c>
      <c r="R239" s="186">
        <f t="shared" si="362"/>
        <v>2706.03</v>
      </c>
      <c r="S239" s="186"/>
      <c r="T239" s="186">
        <f t="shared" ref="T239:Y239" si="365">T493+T747</f>
        <v>3328.2661999999996</v>
      </c>
      <c r="U239" s="186">
        <f t="shared" si="365"/>
        <v>3534.2401500000001</v>
      </c>
      <c r="V239" s="186">
        <f t="shared" si="365"/>
        <v>3988.2090499999995</v>
      </c>
      <c r="W239" s="186">
        <f t="shared" si="365"/>
        <v>3619.9771999999998</v>
      </c>
      <c r="X239" s="186">
        <f t="shared" si="365"/>
        <v>3813.9538499999999</v>
      </c>
      <c r="Y239" s="186">
        <f t="shared" si="365"/>
        <v>3251.58295</v>
      </c>
      <c r="Z239" s="186">
        <f t="shared" si="362"/>
        <v>3840.3235499999996</v>
      </c>
      <c r="AA239" s="186">
        <f t="shared" si="362"/>
        <v>3900.5029</v>
      </c>
      <c r="AB239" s="186">
        <f t="shared" si="362"/>
        <v>3413.7393499999998</v>
      </c>
      <c r="AC239" s="186">
        <f t="shared" si="362"/>
        <v>4297.9159999999993</v>
      </c>
      <c r="AD239" s="186">
        <f t="shared" si="362"/>
        <v>3442.9002999999998</v>
      </c>
      <c r="AE239" s="186">
        <f t="shared" si="362"/>
        <v>2746.6204499999999</v>
      </c>
      <c r="AF239" s="186">
        <f t="shared" ref="AF239:AQ239" si="366">AF493+AF747</f>
        <v>3371.5336605999992</v>
      </c>
      <c r="AG239" s="186">
        <f t="shared" si="366"/>
        <v>3580.1852719499998</v>
      </c>
      <c r="AH239" s="186">
        <f t="shared" si="366"/>
        <v>4040.0557676499989</v>
      </c>
      <c r="AI239" s="186">
        <f t="shared" si="366"/>
        <v>3667.0369035999993</v>
      </c>
      <c r="AJ239" s="186">
        <f t="shared" si="366"/>
        <v>3863.5352500499994</v>
      </c>
      <c r="AK239" s="186">
        <f t="shared" si="366"/>
        <v>3293.8535283499996</v>
      </c>
      <c r="AL239" s="186">
        <f t="shared" si="366"/>
        <v>3890.2477561499991</v>
      </c>
      <c r="AM239" s="186">
        <f t="shared" si="366"/>
        <v>3951.2094376999994</v>
      </c>
      <c r="AN239" s="186">
        <f t="shared" si="366"/>
        <v>3458.1179615499996</v>
      </c>
      <c r="AO239" s="186">
        <f t="shared" si="366"/>
        <v>4353.7889079999986</v>
      </c>
      <c r="AP239" s="186">
        <f t="shared" si="366"/>
        <v>3487.6580038999996</v>
      </c>
      <c r="AQ239" s="186">
        <f t="shared" si="366"/>
        <v>2782.3265158499994</v>
      </c>
      <c r="AR239" s="186">
        <f>SUM(G239:R239)</f>
        <v>42540.13</v>
      </c>
      <c r="AS239" s="186">
        <f>SUM(T239:AE239)</f>
        <v>43178.231950000001</v>
      </c>
      <c r="AT239" s="186">
        <f>SUM(AF239:AQ239)</f>
        <v>43739.548965349983</v>
      </c>
      <c r="AU239" s="171"/>
      <c r="AV239" s="171"/>
    </row>
    <row r="240" spans="1:48">
      <c r="A240" s="15" t="s">
        <v>1043</v>
      </c>
      <c r="B240" s="250">
        <f t="shared" si="292"/>
        <v>839</v>
      </c>
      <c r="C240" s="212"/>
      <c r="D240" s="102"/>
      <c r="E240" s="102" t="s">
        <v>170</v>
      </c>
      <c r="F240" s="102"/>
      <c r="G240" s="131">
        <f t="shared" ref="G240:AE240" si="367">SUM(G238:G239)</f>
        <v>168821.48</v>
      </c>
      <c r="H240" s="131">
        <f t="shared" si="367"/>
        <v>171712.76</v>
      </c>
      <c r="I240" s="131">
        <f t="shared" si="367"/>
        <v>177105.29</v>
      </c>
      <c r="J240" s="131">
        <f t="shared" si="367"/>
        <v>174155.87</v>
      </c>
      <c r="K240" s="131">
        <f t="shared" si="367"/>
        <v>173020.03</v>
      </c>
      <c r="L240" s="131">
        <f t="shared" si="367"/>
        <v>164376.16</v>
      </c>
      <c r="M240" s="131">
        <f t="shared" si="367"/>
        <v>171978.67</v>
      </c>
      <c r="N240" s="131">
        <f t="shared" si="367"/>
        <v>172941.26</v>
      </c>
      <c r="O240" s="131">
        <f t="shared" si="367"/>
        <v>168749.55000000002</v>
      </c>
      <c r="P240" s="131">
        <f t="shared" si="367"/>
        <v>176440.73</v>
      </c>
      <c r="Q240" s="131">
        <f t="shared" si="367"/>
        <v>168757.34</v>
      </c>
      <c r="R240" s="131">
        <f t="shared" si="367"/>
        <v>216632.77</v>
      </c>
      <c r="S240" s="620"/>
      <c r="T240" s="131">
        <f t="shared" ref="T240:Y240" si="368">SUM(T238:T239)</f>
        <v>170178.20245177756</v>
      </c>
      <c r="U240" s="131">
        <f t="shared" si="368"/>
        <v>172955.39179092954</v>
      </c>
      <c r="V240" s="131">
        <f t="shared" si="368"/>
        <v>178099.06334648858</v>
      </c>
      <c r="W240" s="131">
        <f t="shared" si="368"/>
        <v>175335.47908033765</v>
      </c>
      <c r="X240" s="131">
        <f t="shared" si="368"/>
        <v>174000.08338631876</v>
      </c>
      <c r="Y240" s="131">
        <f t="shared" si="368"/>
        <v>165859.92819492813</v>
      </c>
      <c r="Z240" s="131">
        <f t="shared" si="367"/>
        <v>173024.82893870116</v>
      </c>
      <c r="AA240" s="131">
        <f t="shared" si="367"/>
        <v>173895.86333126607</v>
      </c>
      <c r="AB240" s="131">
        <f t="shared" si="367"/>
        <v>169959.29304992239</v>
      </c>
      <c r="AC240" s="131">
        <f t="shared" si="367"/>
        <v>177217.34475708031</v>
      </c>
      <c r="AD240" s="131">
        <f t="shared" si="367"/>
        <v>170011.02835610058</v>
      </c>
      <c r="AE240" s="131">
        <f t="shared" si="367"/>
        <v>218785.34228329538</v>
      </c>
      <c r="AF240" s="131">
        <f t="shared" ref="AF240:AQ240" si="369">SUM(AF238:AF239)</f>
        <v>172285.26435183518</v>
      </c>
      <c r="AG240" s="131">
        <f t="shared" si="369"/>
        <v>175084.45933087965</v>
      </c>
      <c r="AH240" s="131">
        <f t="shared" si="369"/>
        <v>180265.47550016956</v>
      </c>
      <c r="AI240" s="131">
        <f t="shared" si="369"/>
        <v>177486.56407857328</v>
      </c>
      <c r="AJ240" s="131">
        <f t="shared" si="369"/>
        <v>176117.46688535027</v>
      </c>
      <c r="AK240" s="131">
        <f t="shared" si="369"/>
        <v>167928.19731907945</v>
      </c>
      <c r="AL240" s="131">
        <f t="shared" si="369"/>
        <v>175136.85128289313</v>
      </c>
      <c r="AM240" s="131">
        <f t="shared" si="369"/>
        <v>176009.71914248259</v>
      </c>
      <c r="AN240" s="131">
        <f t="shared" si="369"/>
        <v>172050.44625244054</v>
      </c>
      <c r="AO240" s="131">
        <f t="shared" si="369"/>
        <v>179353.74425224675</v>
      </c>
      <c r="AP240" s="131">
        <f t="shared" si="369"/>
        <v>172106.77820180194</v>
      </c>
      <c r="AQ240" s="131">
        <f t="shared" si="369"/>
        <v>221531.34148462219</v>
      </c>
      <c r="AR240" s="131">
        <f>SUM(G240:R240)</f>
        <v>2104691.91</v>
      </c>
      <c r="AS240" s="131">
        <f>SUM(T240:AE240)</f>
        <v>2119321.8489671461</v>
      </c>
      <c r="AT240" s="131">
        <f>SUM(AF240:AQ240)</f>
        <v>2145356.3080823747</v>
      </c>
      <c r="AU240" s="621"/>
      <c r="AV240" s="621"/>
    </row>
    <row r="241" spans="1:49" ht="15" customHeight="1">
      <c r="B241" s="250">
        <f t="shared" si="292"/>
        <v>840</v>
      </c>
      <c r="C241" s="212">
        <v>931</v>
      </c>
      <c r="D241" s="102" t="s">
        <v>385</v>
      </c>
      <c r="E241" s="102"/>
      <c r="F241" s="102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71"/>
      <c r="AV241" s="171"/>
    </row>
    <row r="242" spans="1:49" ht="15" customHeight="1">
      <c r="B242" s="250">
        <f t="shared" si="292"/>
        <v>841</v>
      </c>
      <c r="C242" s="212"/>
      <c r="D242" s="102"/>
      <c r="E242" s="102" t="s">
        <v>14</v>
      </c>
      <c r="F242" s="102"/>
      <c r="G242" s="186">
        <f t="shared" ref="G242:AE243" si="370">G496+G750</f>
        <v>70304.45</v>
      </c>
      <c r="H242" s="186">
        <f t="shared" si="370"/>
        <v>69226.37000000001</v>
      </c>
      <c r="I242" s="186">
        <f t="shared" si="370"/>
        <v>72066.459999999992</v>
      </c>
      <c r="J242" s="186">
        <f t="shared" si="370"/>
        <v>68412.92</v>
      </c>
      <c r="K242" s="186">
        <f t="shared" si="370"/>
        <v>70549.040000000008</v>
      </c>
      <c r="L242" s="186">
        <f t="shared" si="370"/>
        <v>70565.310000000012</v>
      </c>
      <c r="M242" s="186">
        <f t="shared" si="370"/>
        <v>72818.8</v>
      </c>
      <c r="N242" s="186">
        <f t="shared" si="370"/>
        <v>70958.45</v>
      </c>
      <c r="O242" s="186">
        <f t="shared" si="370"/>
        <v>71587.64</v>
      </c>
      <c r="P242" s="186">
        <f t="shared" si="370"/>
        <v>69928.44</v>
      </c>
      <c r="Q242" s="186">
        <f t="shared" si="370"/>
        <v>67875.08</v>
      </c>
      <c r="R242" s="186">
        <f t="shared" si="370"/>
        <v>75291.12000000001</v>
      </c>
      <c r="S242" s="186"/>
      <c r="T242" s="186">
        <f t="shared" ref="T242:Y242" si="371">T496+T750</f>
        <v>71007.494500000001</v>
      </c>
      <c r="U242" s="186">
        <f t="shared" si="371"/>
        <v>69918.633700000006</v>
      </c>
      <c r="V242" s="186">
        <f t="shared" si="371"/>
        <v>72787.124599999996</v>
      </c>
      <c r="W242" s="186">
        <f t="shared" si="371"/>
        <v>69097.049199999994</v>
      </c>
      <c r="X242" s="186">
        <f t="shared" si="371"/>
        <v>71254.530400000003</v>
      </c>
      <c r="Y242" s="186">
        <f t="shared" si="371"/>
        <v>71270.963100000008</v>
      </c>
      <c r="Z242" s="186">
        <f t="shared" si="370"/>
        <v>73546.987999999998</v>
      </c>
      <c r="AA242" s="186">
        <f t="shared" si="370"/>
        <v>71668.034499999994</v>
      </c>
      <c r="AB242" s="186">
        <f t="shared" si="370"/>
        <v>72303.516399999993</v>
      </c>
      <c r="AC242" s="186">
        <f t="shared" si="370"/>
        <v>70627.724400000006</v>
      </c>
      <c r="AD242" s="186">
        <f t="shared" si="370"/>
        <v>68553.830799999996</v>
      </c>
      <c r="AE242" s="186">
        <f t="shared" si="370"/>
        <v>76044.031200000012</v>
      </c>
      <c r="AF242" s="186">
        <f t="shared" ref="AF242:AQ242" si="372">AF496+AF750</f>
        <v>72143.614411999995</v>
      </c>
      <c r="AG242" s="186">
        <f t="shared" si="372"/>
        <v>71037.331839200007</v>
      </c>
      <c r="AH242" s="186">
        <f t="shared" si="372"/>
        <v>73951.718593600002</v>
      </c>
      <c r="AI242" s="186">
        <f t="shared" si="372"/>
        <v>70202.601987199989</v>
      </c>
      <c r="AJ242" s="186">
        <f t="shared" si="372"/>
        <v>72394.602886400011</v>
      </c>
      <c r="AK242" s="186">
        <f t="shared" si="372"/>
        <v>72411.298509600005</v>
      </c>
      <c r="AL242" s="186">
        <f t="shared" si="372"/>
        <v>74723.739807999998</v>
      </c>
      <c r="AM242" s="186">
        <f t="shared" si="372"/>
        <v>72814.723052000001</v>
      </c>
      <c r="AN242" s="186">
        <f t="shared" si="372"/>
        <v>73460.372662399997</v>
      </c>
      <c r="AO242" s="186">
        <f t="shared" si="372"/>
        <v>71757.767990400011</v>
      </c>
      <c r="AP242" s="186">
        <f t="shared" si="372"/>
        <v>69650.692092800004</v>
      </c>
      <c r="AQ242" s="186">
        <f t="shared" si="372"/>
        <v>77260.735699200013</v>
      </c>
      <c r="AR242" s="186">
        <f>SUM(G242:R242)</f>
        <v>849584.07999999984</v>
      </c>
      <c r="AS242" s="186">
        <f>SUM(T242:AE242)</f>
        <v>858079.92079999996</v>
      </c>
      <c r="AT242" s="186">
        <f>SUM(AF242:AQ242)</f>
        <v>871809.19953280012</v>
      </c>
      <c r="AU242" s="171"/>
      <c r="AV242" s="171"/>
    </row>
    <row r="243" spans="1:49" ht="15" customHeight="1">
      <c r="B243" s="250">
        <f t="shared" si="292"/>
        <v>842</v>
      </c>
      <c r="C243" s="212"/>
      <c r="D243" s="102"/>
      <c r="E243" s="102" t="s">
        <v>24</v>
      </c>
      <c r="F243" s="102"/>
      <c r="G243" s="186">
        <f t="shared" si="370"/>
        <v>2245.7400000000002</v>
      </c>
      <c r="H243" s="186">
        <f t="shared" si="370"/>
        <v>2222.59</v>
      </c>
      <c r="I243" s="186">
        <f t="shared" si="370"/>
        <v>2398.41</v>
      </c>
      <c r="J243" s="186">
        <f t="shared" si="370"/>
        <v>2268.81</v>
      </c>
      <c r="K243" s="186">
        <f t="shared" si="370"/>
        <v>2325.14</v>
      </c>
      <c r="L243" s="186">
        <f t="shared" si="370"/>
        <v>2325.6799999999998</v>
      </c>
      <c r="M243" s="186">
        <f t="shared" si="370"/>
        <v>2392.69</v>
      </c>
      <c r="N243" s="186">
        <f t="shared" si="370"/>
        <v>2308.61</v>
      </c>
      <c r="O243" s="186">
        <f t="shared" si="370"/>
        <v>2336.81</v>
      </c>
      <c r="P243" s="186">
        <f t="shared" si="370"/>
        <v>2282.31</v>
      </c>
      <c r="Q243" s="186">
        <f t="shared" si="370"/>
        <v>2229.2600000000002</v>
      </c>
      <c r="R243" s="186">
        <f t="shared" si="370"/>
        <v>2466.4299999999998</v>
      </c>
      <c r="S243" s="186"/>
      <c r="T243" s="186">
        <f t="shared" ref="T243:Y243" si="373">T497+T751</f>
        <v>2268.1974000000005</v>
      </c>
      <c r="U243" s="186">
        <f t="shared" si="373"/>
        <v>2244.8159000000001</v>
      </c>
      <c r="V243" s="186">
        <f t="shared" si="373"/>
        <v>2422.3941</v>
      </c>
      <c r="W243" s="186">
        <f t="shared" si="373"/>
        <v>2291.4980999999998</v>
      </c>
      <c r="X243" s="186">
        <f t="shared" si="373"/>
        <v>2348.3914</v>
      </c>
      <c r="Y243" s="186">
        <f t="shared" si="373"/>
        <v>2348.9367999999999</v>
      </c>
      <c r="Z243" s="186">
        <f t="shared" si="370"/>
        <v>2416.6169</v>
      </c>
      <c r="AA243" s="186">
        <f t="shared" si="370"/>
        <v>2331.6961000000001</v>
      </c>
      <c r="AB243" s="186">
        <f t="shared" si="370"/>
        <v>2360.1781000000001</v>
      </c>
      <c r="AC243" s="186">
        <f t="shared" si="370"/>
        <v>2305.1331</v>
      </c>
      <c r="AD243" s="186">
        <f t="shared" si="370"/>
        <v>2251.5526000000004</v>
      </c>
      <c r="AE243" s="186">
        <f t="shared" si="370"/>
        <v>2491.0942999999997</v>
      </c>
      <c r="AF243" s="186">
        <f t="shared" ref="AF243:AQ243" si="374">AF497+AF751</f>
        <v>2304.4885584000003</v>
      </c>
      <c r="AG243" s="186">
        <f t="shared" si="374"/>
        <v>2280.7329543999999</v>
      </c>
      <c r="AH243" s="186">
        <f t="shared" si="374"/>
        <v>2461.1524055999998</v>
      </c>
      <c r="AI243" s="186">
        <f t="shared" si="374"/>
        <v>2328.1620696</v>
      </c>
      <c r="AJ243" s="186">
        <f t="shared" si="374"/>
        <v>2385.9656623999999</v>
      </c>
      <c r="AK243" s="186">
        <f t="shared" si="374"/>
        <v>2386.5197887999998</v>
      </c>
      <c r="AL243" s="186">
        <f t="shared" si="374"/>
        <v>2455.2827704000001</v>
      </c>
      <c r="AM243" s="186">
        <f t="shared" si="374"/>
        <v>2369.0032376000004</v>
      </c>
      <c r="AN243" s="186">
        <f t="shared" si="374"/>
        <v>2397.9409496000003</v>
      </c>
      <c r="AO243" s="186">
        <f t="shared" si="374"/>
        <v>2342.0152296000001</v>
      </c>
      <c r="AP243" s="186">
        <f t="shared" si="374"/>
        <v>2287.5774416000004</v>
      </c>
      <c r="AQ243" s="186">
        <f t="shared" si="374"/>
        <v>2530.9518088</v>
      </c>
      <c r="AR243" s="186">
        <f>SUM(G243:R243)</f>
        <v>27802.480000000003</v>
      </c>
      <c r="AS243" s="186">
        <f>SUM(T243:AE243)</f>
        <v>28080.504800000002</v>
      </c>
      <c r="AT243" s="186">
        <f>SUM(AF243:AQ243)</f>
        <v>28529.792876800002</v>
      </c>
      <c r="AU243" s="171"/>
      <c r="AV243" s="171"/>
    </row>
    <row r="244" spans="1:49" ht="15" customHeight="1">
      <c r="A244" s="15" t="s">
        <v>1044</v>
      </c>
      <c r="B244" s="250">
        <f t="shared" si="292"/>
        <v>843</v>
      </c>
      <c r="C244" s="212"/>
      <c r="D244" s="102"/>
      <c r="E244" s="102" t="s">
        <v>170</v>
      </c>
      <c r="F244" s="102"/>
      <c r="G244" s="131">
        <f t="shared" ref="G244:AE244" si="375">SUM(G242:G243)</f>
        <v>72550.19</v>
      </c>
      <c r="H244" s="131">
        <f t="shared" si="375"/>
        <v>71448.960000000006</v>
      </c>
      <c r="I244" s="131">
        <f t="shared" si="375"/>
        <v>74464.87</v>
      </c>
      <c r="J244" s="131">
        <f t="shared" si="375"/>
        <v>70681.73</v>
      </c>
      <c r="K244" s="131">
        <f t="shared" si="375"/>
        <v>72874.180000000008</v>
      </c>
      <c r="L244" s="131">
        <f t="shared" si="375"/>
        <v>72890.990000000005</v>
      </c>
      <c r="M244" s="131">
        <f t="shared" si="375"/>
        <v>75211.490000000005</v>
      </c>
      <c r="N244" s="131">
        <f t="shared" si="375"/>
        <v>73267.06</v>
      </c>
      <c r="O244" s="131">
        <f t="shared" si="375"/>
        <v>73924.45</v>
      </c>
      <c r="P244" s="131">
        <f t="shared" si="375"/>
        <v>72210.75</v>
      </c>
      <c r="Q244" s="131">
        <f t="shared" si="375"/>
        <v>70104.34</v>
      </c>
      <c r="R244" s="131">
        <f t="shared" si="375"/>
        <v>77757.55</v>
      </c>
      <c r="S244" s="620"/>
      <c r="T244" s="131">
        <f t="shared" ref="T244:Y244" si="376">SUM(T242:T243)</f>
        <v>73275.691900000005</v>
      </c>
      <c r="U244" s="131">
        <f t="shared" si="376"/>
        <v>72163.449600000007</v>
      </c>
      <c r="V244" s="131">
        <f t="shared" si="376"/>
        <v>75209.518700000001</v>
      </c>
      <c r="W244" s="131">
        <f t="shared" si="376"/>
        <v>71388.547299999991</v>
      </c>
      <c r="X244" s="131">
        <f t="shared" si="376"/>
        <v>73602.921799999996</v>
      </c>
      <c r="Y244" s="131">
        <f t="shared" si="376"/>
        <v>73619.899900000004</v>
      </c>
      <c r="Z244" s="131">
        <f t="shared" si="375"/>
        <v>75963.604899999991</v>
      </c>
      <c r="AA244" s="131">
        <f t="shared" si="375"/>
        <v>73999.730599999995</v>
      </c>
      <c r="AB244" s="131">
        <f t="shared" si="375"/>
        <v>74663.694499999998</v>
      </c>
      <c r="AC244" s="131">
        <f t="shared" si="375"/>
        <v>72932.857500000013</v>
      </c>
      <c r="AD244" s="131">
        <f t="shared" si="375"/>
        <v>70805.383399999992</v>
      </c>
      <c r="AE244" s="131">
        <f t="shared" si="375"/>
        <v>78535.125500000009</v>
      </c>
      <c r="AF244" s="131">
        <f t="shared" ref="AF244:AQ244" si="377">SUM(AF242:AF243)</f>
        <v>74448.102970399996</v>
      </c>
      <c r="AG244" s="131">
        <f t="shared" si="377"/>
        <v>73318.064793600002</v>
      </c>
      <c r="AH244" s="131">
        <f t="shared" si="377"/>
        <v>76412.870999200008</v>
      </c>
      <c r="AI244" s="131">
        <f t="shared" si="377"/>
        <v>72530.764056799992</v>
      </c>
      <c r="AJ244" s="131">
        <f t="shared" si="377"/>
        <v>74780.568548800016</v>
      </c>
      <c r="AK244" s="131">
        <f t="shared" si="377"/>
        <v>74797.818298400001</v>
      </c>
      <c r="AL244" s="131">
        <f t="shared" si="377"/>
        <v>77179.022578399992</v>
      </c>
      <c r="AM244" s="131">
        <f t="shared" si="377"/>
        <v>75183.726289600003</v>
      </c>
      <c r="AN244" s="131">
        <f t="shared" si="377"/>
        <v>75858.313611999998</v>
      </c>
      <c r="AO244" s="131">
        <f t="shared" si="377"/>
        <v>74099.783220000012</v>
      </c>
      <c r="AP244" s="131">
        <f t="shared" si="377"/>
        <v>71938.269534400009</v>
      </c>
      <c r="AQ244" s="131">
        <f t="shared" si="377"/>
        <v>79791.687508000017</v>
      </c>
      <c r="AR244" s="131">
        <f>SUM(G244:R244)</f>
        <v>877386.55999999994</v>
      </c>
      <c r="AS244" s="131">
        <f>SUM(T244:AE244)</f>
        <v>886160.42560000008</v>
      </c>
      <c r="AT244" s="131">
        <f>SUM(AF244:AQ244)</f>
        <v>900338.99240959994</v>
      </c>
      <c r="AU244" s="621"/>
      <c r="AV244" s="621"/>
    </row>
    <row r="245" spans="1:49">
      <c r="B245" s="250">
        <f t="shared" si="292"/>
        <v>844</v>
      </c>
      <c r="C245" s="212">
        <v>935</v>
      </c>
      <c r="D245" s="102" t="s">
        <v>436</v>
      </c>
      <c r="E245" s="102"/>
      <c r="F245" s="102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71"/>
      <c r="AV245" s="171"/>
    </row>
    <row r="246" spans="1:49">
      <c r="B246" s="250">
        <f t="shared" si="292"/>
        <v>845</v>
      </c>
      <c r="C246" s="212"/>
      <c r="D246" s="102"/>
      <c r="E246" s="102" t="s">
        <v>14</v>
      </c>
      <c r="F246" s="102"/>
      <c r="G246" s="186">
        <f t="shared" ref="G246:AE247" si="378">G500+G754</f>
        <v>0</v>
      </c>
      <c r="H246" s="186">
        <f t="shared" si="378"/>
        <v>0</v>
      </c>
      <c r="I246" s="186">
        <f t="shared" si="378"/>
        <v>0</v>
      </c>
      <c r="J246" s="186">
        <f t="shared" si="378"/>
        <v>0</v>
      </c>
      <c r="K246" s="186">
        <f t="shared" si="378"/>
        <v>0</v>
      </c>
      <c r="L246" s="186">
        <f t="shared" si="378"/>
        <v>0</v>
      </c>
      <c r="M246" s="186">
        <f t="shared" si="378"/>
        <v>0</v>
      </c>
      <c r="N246" s="186">
        <f t="shared" si="378"/>
        <v>0</v>
      </c>
      <c r="O246" s="186">
        <f t="shared" si="378"/>
        <v>0</v>
      </c>
      <c r="P246" s="186">
        <f t="shared" si="378"/>
        <v>0</v>
      </c>
      <c r="Q246" s="186">
        <f t="shared" si="378"/>
        <v>0</v>
      </c>
      <c r="R246" s="186">
        <f t="shared" si="378"/>
        <v>0</v>
      </c>
      <c r="S246" s="186"/>
      <c r="T246" s="186">
        <f t="shared" ref="T246:Y246" si="379">T500+T754</f>
        <v>0</v>
      </c>
      <c r="U246" s="186">
        <f t="shared" si="379"/>
        <v>0</v>
      </c>
      <c r="V246" s="186">
        <f t="shared" si="379"/>
        <v>0</v>
      </c>
      <c r="W246" s="186">
        <f t="shared" si="379"/>
        <v>0</v>
      </c>
      <c r="X246" s="186">
        <f t="shared" si="379"/>
        <v>0</v>
      </c>
      <c r="Y246" s="186">
        <f t="shared" si="379"/>
        <v>0</v>
      </c>
      <c r="Z246" s="186">
        <f t="shared" si="378"/>
        <v>0</v>
      </c>
      <c r="AA246" s="186">
        <f t="shared" si="378"/>
        <v>0</v>
      </c>
      <c r="AB246" s="186">
        <f t="shared" si="378"/>
        <v>0</v>
      </c>
      <c r="AC246" s="186">
        <f t="shared" si="378"/>
        <v>0</v>
      </c>
      <c r="AD246" s="186">
        <f t="shared" si="378"/>
        <v>0</v>
      </c>
      <c r="AE246" s="186">
        <f t="shared" si="378"/>
        <v>0</v>
      </c>
      <c r="AF246" s="186">
        <f t="shared" ref="AF246:AQ246" si="380">AF500+AF754</f>
        <v>0</v>
      </c>
      <c r="AG246" s="186">
        <f t="shared" si="380"/>
        <v>0</v>
      </c>
      <c r="AH246" s="186">
        <f t="shared" si="380"/>
        <v>0</v>
      </c>
      <c r="AI246" s="186">
        <f t="shared" si="380"/>
        <v>0</v>
      </c>
      <c r="AJ246" s="186">
        <f t="shared" si="380"/>
        <v>0</v>
      </c>
      <c r="AK246" s="186">
        <f t="shared" si="380"/>
        <v>0</v>
      </c>
      <c r="AL246" s="186">
        <f t="shared" si="380"/>
        <v>0</v>
      </c>
      <c r="AM246" s="186">
        <f t="shared" si="380"/>
        <v>0</v>
      </c>
      <c r="AN246" s="186">
        <f t="shared" si="380"/>
        <v>0</v>
      </c>
      <c r="AO246" s="186">
        <f t="shared" si="380"/>
        <v>0</v>
      </c>
      <c r="AP246" s="186">
        <f t="shared" si="380"/>
        <v>0</v>
      </c>
      <c r="AQ246" s="186">
        <f t="shared" si="380"/>
        <v>0</v>
      </c>
      <c r="AR246" s="186">
        <f>SUM(G246:R246)</f>
        <v>0</v>
      </c>
      <c r="AS246" s="186">
        <f>SUM(T246:AE246)</f>
        <v>0</v>
      </c>
      <c r="AT246" s="186">
        <f>SUM(AF246:AQ246)</f>
        <v>0</v>
      </c>
      <c r="AU246" s="171"/>
      <c r="AV246" s="171"/>
    </row>
    <row r="247" spans="1:49">
      <c r="B247" s="250">
        <f t="shared" si="292"/>
        <v>846</v>
      </c>
      <c r="C247" s="212"/>
      <c r="D247" s="102"/>
      <c r="E247" s="102" t="s">
        <v>24</v>
      </c>
      <c r="F247" s="102"/>
      <c r="G247" s="186">
        <f t="shared" si="378"/>
        <v>0</v>
      </c>
      <c r="H247" s="186">
        <f t="shared" si="378"/>
        <v>0</v>
      </c>
      <c r="I247" s="186">
        <f t="shared" si="378"/>
        <v>0</v>
      </c>
      <c r="J247" s="186">
        <f t="shared" si="378"/>
        <v>0</v>
      </c>
      <c r="K247" s="186">
        <f t="shared" si="378"/>
        <v>0</v>
      </c>
      <c r="L247" s="186">
        <f t="shared" si="378"/>
        <v>0</v>
      </c>
      <c r="M247" s="186">
        <f t="shared" si="378"/>
        <v>0</v>
      </c>
      <c r="N247" s="186">
        <f t="shared" si="378"/>
        <v>0</v>
      </c>
      <c r="O247" s="186">
        <f t="shared" si="378"/>
        <v>0</v>
      </c>
      <c r="P247" s="186">
        <f t="shared" si="378"/>
        <v>0</v>
      </c>
      <c r="Q247" s="186">
        <f t="shared" si="378"/>
        <v>0</v>
      </c>
      <c r="R247" s="186">
        <f t="shared" si="378"/>
        <v>0</v>
      </c>
      <c r="S247" s="186"/>
      <c r="T247" s="186">
        <f t="shared" ref="T247:Y247" si="381">T501+T755</f>
        <v>0</v>
      </c>
      <c r="U247" s="186">
        <f t="shared" si="381"/>
        <v>0</v>
      </c>
      <c r="V247" s="186">
        <f t="shared" si="381"/>
        <v>0</v>
      </c>
      <c r="W247" s="186">
        <f t="shared" si="381"/>
        <v>0</v>
      </c>
      <c r="X247" s="186">
        <f t="shared" si="381"/>
        <v>0</v>
      </c>
      <c r="Y247" s="186">
        <f t="shared" si="381"/>
        <v>0</v>
      </c>
      <c r="Z247" s="186">
        <f t="shared" si="378"/>
        <v>0</v>
      </c>
      <c r="AA247" s="186">
        <f t="shared" si="378"/>
        <v>0</v>
      </c>
      <c r="AB247" s="186">
        <f t="shared" si="378"/>
        <v>0</v>
      </c>
      <c r="AC247" s="186">
        <f t="shared" si="378"/>
        <v>0</v>
      </c>
      <c r="AD247" s="186">
        <f t="shared" si="378"/>
        <v>0</v>
      </c>
      <c r="AE247" s="186">
        <f t="shared" si="378"/>
        <v>0</v>
      </c>
      <c r="AF247" s="186">
        <f t="shared" ref="AF247:AQ247" si="382">AF501+AF755</f>
        <v>0</v>
      </c>
      <c r="AG247" s="186">
        <f t="shared" si="382"/>
        <v>0</v>
      </c>
      <c r="AH247" s="186">
        <f t="shared" si="382"/>
        <v>0</v>
      </c>
      <c r="AI247" s="186">
        <f t="shared" si="382"/>
        <v>0</v>
      </c>
      <c r="AJ247" s="186">
        <f t="shared" si="382"/>
        <v>0</v>
      </c>
      <c r="AK247" s="186">
        <f t="shared" si="382"/>
        <v>0</v>
      </c>
      <c r="AL247" s="186">
        <f t="shared" si="382"/>
        <v>0</v>
      </c>
      <c r="AM247" s="186">
        <f t="shared" si="382"/>
        <v>0</v>
      </c>
      <c r="AN247" s="186">
        <f t="shared" si="382"/>
        <v>0</v>
      </c>
      <c r="AO247" s="186">
        <f t="shared" si="382"/>
        <v>0</v>
      </c>
      <c r="AP247" s="186">
        <f t="shared" si="382"/>
        <v>0</v>
      </c>
      <c r="AQ247" s="186">
        <f t="shared" si="382"/>
        <v>0</v>
      </c>
      <c r="AR247" s="186">
        <f>SUM(G247:R247)</f>
        <v>0</v>
      </c>
      <c r="AS247" s="186">
        <f>SUM(T247:AE247)</f>
        <v>0</v>
      </c>
      <c r="AT247" s="186">
        <f>SUM(AF247:AQ247)</f>
        <v>0</v>
      </c>
      <c r="AU247" s="171"/>
      <c r="AV247" s="171"/>
    </row>
    <row r="248" spans="1:49">
      <c r="A248" s="15" t="s">
        <v>1045</v>
      </c>
      <c r="B248" s="250">
        <f t="shared" si="292"/>
        <v>847</v>
      </c>
      <c r="C248" s="212"/>
      <c r="D248" s="102"/>
      <c r="E248" s="102" t="s">
        <v>170</v>
      </c>
      <c r="F248" s="102"/>
      <c r="G248" s="131">
        <f t="shared" ref="G248:AE248" si="383">SUM(G246:G247)</f>
        <v>0</v>
      </c>
      <c r="H248" s="131">
        <f t="shared" si="383"/>
        <v>0</v>
      </c>
      <c r="I248" s="131">
        <f t="shared" si="383"/>
        <v>0</v>
      </c>
      <c r="J248" s="131">
        <f t="shared" si="383"/>
        <v>0</v>
      </c>
      <c r="K248" s="131">
        <f t="shared" si="383"/>
        <v>0</v>
      </c>
      <c r="L248" s="131">
        <f t="shared" si="383"/>
        <v>0</v>
      </c>
      <c r="M248" s="131">
        <f t="shared" si="383"/>
        <v>0</v>
      </c>
      <c r="N248" s="131">
        <f t="shared" si="383"/>
        <v>0</v>
      </c>
      <c r="O248" s="131">
        <f t="shared" si="383"/>
        <v>0</v>
      </c>
      <c r="P248" s="131">
        <f t="shared" si="383"/>
        <v>0</v>
      </c>
      <c r="Q248" s="131">
        <f t="shared" si="383"/>
        <v>0</v>
      </c>
      <c r="R248" s="131">
        <f t="shared" si="383"/>
        <v>0</v>
      </c>
      <c r="S248" s="620"/>
      <c r="T248" s="131">
        <f t="shared" ref="T248:Y248" si="384">SUM(T246:T247)</f>
        <v>0</v>
      </c>
      <c r="U248" s="131">
        <f t="shared" si="384"/>
        <v>0</v>
      </c>
      <c r="V248" s="131">
        <f t="shared" si="384"/>
        <v>0</v>
      </c>
      <c r="W248" s="131">
        <f t="shared" si="384"/>
        <v>0</v>
      </c>
      <c r="X248" s="131">
        <f t="shared" si="384"/>
        <v>0</v>
      </c>
      <c r="Y248" s="131">
        <f t="shared" si="384"/>
        <v>0</v>
      </c>
      <c r="Z248" s="131">
        <f t="shared" si="383"/>
        <v>0</v>
      </c>
      <c r="AA248" s="131">
        <f t="shared" si="383"/>
        <v>0</v>
      </c>
      <c r="AB248" s="131">
        <f t="shared" si="383"/>
        <v>0</v>
      </c>
      <c r="AC248" s="131">
        <f t="shared" si="383"/>
        <v>0</v>
      </c>
      <c r="AD248" s="131">
        <f t="shared" si="383"/>
        <v>0</v>
      </c>
      <c r="AE248" s="131">
        <f t="shared" si="383"/>
        <v>0</v>
      </c>
      <c r="AF248" s="131">
        <f t="shared" ref="AF248:AQ248" si="385">SUM(AF246:AF247)</f>
        <v>0</v>
      </c>
      <c r="AG248" s="131">
        <f t="shared" si="385"/>
        <v>0</v>
      </c>
      <c r="AH248" s="131">
        <f t="shared" si="385"/>
        <v>0</v>
      </c>
      <c r="AI248" s="131">
        <f t="shared" si="385"/>
        <v>0</v>
      </c>
      <c r="AJ248" s="131">
        <f t="shared" si="385"/>
        <v>0</v>
      </c>
      <c r="AK248" s="131">
        <f t="shared" si="385"/>
        <v>0</v>
      </c>
      <c r="AL248" s="131">
        <f t="shared" si="385"/>
        <v>0</v>
      </c>
      <c r="AM248" s="131">
        <f t="shared" si="385"/>
        <v>0</v>
      </c>
      <c r="AN248" s="131">
        <f t="shared" si="385"/>
        <v>0</v>
      </c>
      <c r="AO248" s="131">
        <f t="shared" si="385"/>
        <v>0</v>
      </c>
      <c r="AP248" s="131">
        <f t="shared" si="385"/>
        <v>0</v>
      </c>
      <c r="AQ248" s="131">
        <f t="shared" si="385"/>
        <v>0</v>
      </c>
      <c r="AR248" s="131">
        <f>SUM(G248:R248)</f>
        <v>0</v>
      </c>
      <c r="AS248" s="131">
        <f>SUM(T248:AE248)</f>
        <v>0</v>
      </c>
      <c r="AT248" s="131">
        <f>SUM(AF248:AQ248)</f>
        <v>0</v>
      </c>
      <c r="AU248" s="621"/>
      <c r="AV248" s="621"/>
    </row>
    <row r="249" spans="1:49">
      <c r="B249" s="250">
        <f>+B248+1</f>
        <v>848</v>
      </c>
      <c r="C249" s="212"/>
      <c r="D249" s="102"/>
      <c r="E249" s="102"/>
      <c r="F249" s="102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71"/>
      <c r="AV249" s="171"/>
    </row>
    <row r="250" spans="1:49" ht="13.5" thickBot="1">
      <c r="B250" s="250">
        <f t="shared" si="292"/>
        <v>849</v>
      </c>
      <c r="C250" s="208"/>
      <c r="D250" s="102"/>
      <c r="E250" s="102"/>
      <c r="F250" s="102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623"/>
      <c r="T250" s="236"/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  <c r="AS250" s="236"/>
      <c r="AT250" s="236"/>
      <c r="AU250" s="409"/>
      <c r="AV250" s="409"/>
    </row>
    <row r="251" spans="1:49">
      <c r="B251" s="250">
        <f t="shared" si="292"/>
        <v>850</v>
      </c>
      <c r="C251" s="102"/>
      <c r="D251" s="49" t="s">
        <v>437</v>
      </c>
      <c r="E251" s="102"/>
      <c r="F251" s="102"/>
      <c r="G251" s="116">
        <f t="shared" ref="G251:AE251" si="386">SUM(G202:G248)/2</f>
        <v>3327051.2600000016</v>
      </c>
      <c r="H251" s="116">
        <f t="shared" si="386"/>
        <v>4101086.07</v>
      </c>
      <c r="I251" s="116">
        <f t="shared" si="386"/>
        <v>3042372.2499999986</v>
      </c>
      <c r="J251" s="116">
        <f t="shared" si="386"/>
        <v>2355259.9300000002</v>
      </c>
      <c r="K251" s="116">
        <f t="shared" si="386"/>
        <v>4422328.9799999986</v>
      </c>
      <c r="L251" s="116">
        <f t="shared" si="386"/>
        <v>2592657.7199999997</v>
      </c>
      <c r="M251" s="116">
        <f t="shared" si="386"/>
        <v>3218217.0000000005</v>
      </c>
      <c r="N251" s="116">
        <f t="shared" si="386"/>
        <v>3368758.5500000007</v>
      </c>
      <c r="O251" s="116">
        <f t="shared" si="386"/>
        <v>2685562.4699999993</v>
      </c>
      <c r="P251" s="116">
        <f t="shared" si="386"/>
        <v>3193502.44</v>
      </c>
      <c r="Q251" s="116">
        <f t="shared" si="386"/>
        <v>3513547.3499999996</v>
      </c>
      <c r="R251" s="116">
        <f>SUM(R202:R248)/2</f>
        <v>3832489.0599999996</v>
      </c>
      <c r="S251" s="116"/>
      <c r="T251" s="116">
        <f t="shared" ref="T251:Y251" si="387">SUM(T202:T248)/2</f>
        <v>3195229.9716272205</v>
      </c>
      <c r="U251" s="116">
        <f t="shared" si="387"/>
        <v>3962064.2634357107</v>
      </c>
      <c r="V251" s="116">
        <f t="shared" si="387"/>
        <v>3007203.743054579</v>
      </c>
      <c r="W251" s="116">
        <f t="shared" si="387"/>
        <v>2246517.8166379188</v>
      </c>
      <c r="X251" s="116">
        <f t="shared" si="387"/>
        <v>4299434.6124492576</v>
      </c>
      <c r="Y251" s="116">
        <f t="shared" si="387"/>
        <v>2537756.1061511114</v>
      </c>
      <c r="Z251" s="116">
        <f t="shared" si="386"/>
        <v>3114491.2783079743</v>
      </c>
      <c r="AA251" s="116">
        <f t="shared" si="386"/>
        <v>3273350.2240759102</v>
      </c>
      <c r="AB251" s="116">
        <f t="shared" si="386"/>
        <v>2590251.5747503783</v>
      </c>
      <c r="AC251" s="116">
        <f t="shared" si="386"/>
        <v>3105846.63342671</v>
      </c>
      <c r="AD251" s="116">
        <f t="shared" si="386"/>
        <v>3410018.2547421949</v>
      </c>
      <c r="AE251" s="116">
        <f t="shared" si="386"/>
        <v>3708796.6107915724</v>
      </c>
      <c r="AF251" s="116">
        <f t="shared" ref="AF251:AQ251" si="388">SUM(AF202:AF248)/2</f>
        <v>3222453.2644191501</v>
      </c>
      <c r="AG251" s="116">
        <f t="shared" si="388"/>
        <v>4005411.043031239</v>
      </c>
      <c r="AH251" s="116">
        <f t="shared" si="388"/>
        <v>3044765.3137208163</v>
      </c>
      <c r="AI251" s="116">
        <f t="shared" si="388"/>
        <v>2266639.5832979642</v>
      </c>
      <c r="AJ251" s="116">
        <f t="shared" si="388"/>
        <v>4347471.0412245383</v>
      </c>
      <c r="AK251" s="116">
        <f t="shared" si="388"/>
        <v>2569925.481246057</v>
      </c>
      <c r="AL251" s="116">
        <f t="shared" si="388"/>
        <v>3146737.5650286819</v>
      </c>
      <c r="AM251" s="116">
        <f t="shared" si="388"/>
        <v>3308948.0353311901</v>
      </c>
      <c r="AN251" s="116">
        <f t="shared" si="388"/>
        <v>2618901.8486222681</v>
      </c>
      <c r="AO251" s="116">
        <f t="shared" si="388"/>
        <v>3141769.7738598059</v>
      </c>
      <c r="AP251" s="116">
        <f t="shared" si="388"/>
        <v>3446671.7827615957</v>
      </c>
      <c r="AQ251" s="116">
        <f t="shared" si="388"/>
        <v>3750693.3190100957</v>
      </c>
      <c r="AR251" s="116">
        <f>SUM(G251:R251)</f>
        <v>39652833.079999998</v>
      </c>
      <c r="AS251" s="116">
        <f>SUM(T251:AE251)</f>
        <v>38450961.089450538</v>
      </c>
      <c r="AT251" s="116">
        <f>SUM(AF251:AQ251)</f>
        <v>38870388.051553406</v>
      </c>
      <c r="AU251" s="171"/>
      <c r="AV251" s="171"/>
    </row>
    <row r="252" spans="1:49" ht="13.5" thickBot="1">
      <c r="B252" s="250">
        <f t="shared" si="292"/>
        <v>851</v>
      </c>
      <c r="C252" s="208"/>
      <c r="D252" s="14" t="s">
        <v>1046</v>
      </c>
      <c r="E252" s="14"/>
      <c r="F252" s="102"/>
      <c r="G252" s="235">
        <f t="shared" ref="G252:AE253" si="389">+G246+G242+G238+G234+G230+G226+G222+G218+G214+G210+G206+G202</f>
        <v>3206566.47</v>
      </c>
      <c r="H252" s="235">
        <f t="shared" si="389"/>
        <v>3899134.6100000003</v>
      </c>
      <c r="I252" s="235">
        <f t="shared" si="389"/>
        <v>2905501.8899999992</v>
      </c>
      <c r="J252" s="235">
        <f t="shared" si="389"/>
        <v>2244800.41</v>
      </c>
      <c r="K252" s="235">
        <f t="shared" si="389"/>
        <v>4229289.0299999993</v>
      </c>
      <c r="L252" s="235">
        <f t="shared" si="389"/>
        <v>2484519.7100000004</v>
      </c>
      <c r="M252" s="235">
        <f t="shared" si="389"/>
        <v>3085225.79</v>
      </c>
      <c r="N252" s="235">
        <f t="shared" si="389"/>
        <v>3231401.6500000004</v>
      </c>
      <c r="O252" s="235">
        <f t="shared" si="389"/>
        <v>2552207.7400000002</v>
      </c>
      <c r="P252" s="235">
        <f t="shared" si="389"/>
        <v>3055333.87</v>
      </c>
      <c r="Q252" s="235">
        <f t="shared" si="389"/>
        <v>3375021.02</v>
      </c>
      <c r="R252" s="235">
        <f t="shared" si="389"/>
        <v>3737258.63</v>
      </c>
      <c r="S252" s="235"/>
      <c r="T252" s="235">
        <f t="shared" ref="T252:Y252" si="390">+T246+T242+T238+T234+T230+T226+T222+T218+T214+T210+T206+T202</f>
        <v>3074238.8820497538</v>
      </c>
      <c r="U252" s="235">
        <f t="shared" si="390"/>
        <v>3758344.8834792399</v>
      </c>
      <c r="V252" s="235">
        <f t="shared" si="390"/>
        <v>2867726.5247306745</v>
      </c>
      <c r="W252" s="235">
        <f t="shared" si="390"/>
        <v>2135623.6220328701</v>
      </c>
      <c r="X252" s="235">
        <f t="shared" si="390"/>
        <v>4104864.2924026893</v>
      </c>
      <c r="Y252" s="235">
        <f t="shared" si="390"/>
        <v>2427950.7420941126</v>
      </c>
      <c r="Z252" s="235">
        <f t="shared" si="389"/>
        <v>2980558.675425651</v>
      </c>
      <c r="AA252" s="235">
        <f t="shared" si="389"/>
        <v>3135133.3262241296</v>
      </c>
      <c r="AB252" s="235">
        <f t="shared" si="389"/>
        <v>2454761.0842395211</v>
      </c>
      <c r="AC252" s="235">
        <f t="shared" si="389"/>
        <v>2966648.7978153033</v>
      </c>
      <c r="AD252" s="235">
        <f t="shared" si="389"/>
        <v>3270367.5017630705</v>
      </c>
      <c r="AE252" s="235">
        <f t="shared" si="389"/>
        <v>3610777.5264153145</v>
      </c>
      <c r="AF252" s="235">
        <f t="shared" ref="AF252:AQ252" si="391">+AF246+AF242+AF238+AF234+AF230+AF226+AF222+AF218+AF214+AF210+AF206+AF202</f>
        <v>3099966.7477997206</v>
      </c>
      <c r="AG252" s="235">
        <f t="shared" si="391"/>
        <v>3798522.4214582159</v>
      </c>
      <c r="AH252" s="235">
        <f t="shared" si="391"/>
        <v>2903193.6640142011</v>
      </c>
      <c r="AI252" s="235">
        <f t="shared" si="391"/>
        <v>2154244.1110365586</v>
      </c>
      <c r="AJ252" s="235">
        <f t="shared" si="391"/>
        <v>4149954.6104314169</v>
      </c>
      <c r="AK252" s="235">
        <f t="shared" si="391"/>
        <v>2458309.8787041036</v>
      </c>
      <c r="AL252" s="235">
        <f t="shared" si="391"/>
        <v>3010900.2907844819</v>
      </c>
      <c r="AM252" s="235">
        <f t="shared" si="391"/>
        <v>3168734.9123624112</v>
      </c>
      <c r="AN252" s="235">
        <f t="shared" si="391"/>
        <v>2481253.0036291499</v>
      </c>
      <c r="AO252" s="235">
        <f t="shared" si="391"/>
        <v>3000498.7767536887</v>
      </c>
      <c r="AP252" s="235">
        <f t="shared" si="391"/>
        <v>3305013.3505807696</v>
      </c>
      <c r="AQ252" s="235">
        <f t="shared" si="391"/>
        <v>3650834.6850914485</v>
      </c>
      <c r="AR252" s="235">
        <f>SUM(G252:R252)</f>
        <v>38006260.82</v>
      </c>
      <c r="AS252" s="235">
        <f>SUM(T252:AE252)</f>
        <v>36786995.858672336</v>
      </c>
      <c r="AT252" s="235">
        <f>SUM(AF252:AQ252)</f>
        <v>37181426.452646174</v>
      </c>
      <c r="AU252" s="622"/>
      <c r="AV252" s="622"/>
    </row>
    <row r="253" spans="1:49" ht="14.25" thickTop="1" thickBot="1">
      <c r="B253" s="250">
        <f t="shared" si="292"/>
        <v>852</v>
      </c>
      <c r="C253" s="208"/>
      <c r="D253" s="14" t="s">
        <v>1047</v>
      </c>
      <c r="E253" s="14"/>
      <c r="F253" s="102"/>
      <c r="G253" s="235">
        <f t="shared" si="389"/>
        <v>120484.79</v>
      </c>
      <c r="H253" s="235">
        <f t="shared" si="389"/>
        <v>201951.46000000002</v>
      </c>
      <c r="I253" s="235">
        <f t="shared" si="389"/>
        <v>136870.36000000002</v>
      </c>
      <c r="J253" s="235">
        <f t="shared" si="389"/>
        <v>110459.52</v>
      </c>
      <c r="K253" s="235">
        <f t="shared" si="389"/>
        <v>193039.95</v>
      </c>
      <c r="L253" s="235">
        <f t="shared" si="389"/>
        <v>108138.01000000001</v>
      </c>
      <c r="M253" s="235">
        <f t="shared" si="389"/>
        <v>132991.21000000002</v>
      </c>
      <c r="N253" s="235">
        <f t="shared" si="389"/>
        <v>137356.9</v>
      </c>
      <c r="O253" s="235">
        <f t="shared" si="389"/>
        <v>133354.73000000001</v>
      </c>
      <c r="P253" s="235">
        <f t="shared" si="389"/>
        <v>138168.57</v>
      </c>
      <c r="Q253" s="235">
        <f t="shared" si="389"/>
        <v>138526.32999999999</v>
      </c>
      <c r="R253" s="235">
        <f t="shared" si="389"/>
        <v>95230.43</v>
      </c>
      <c r="S253" s="235"/>
      <c r="T253" s="235">
        <f t="shared" ref="T253:Y253" si="392">+T247+T243+T239+T235+T231+T227+T223+T219+T215+T211+T207+T203</f>
        <v>120991.08957746674</v>
      </c>
      <c r="U253" s="235">
        <f t="shared" si="392"/>
        <v>203719.3799564715</v>
      </c>
      <c r="V253" s="235">
        <f t="shared" si="392"/>
        <v>139477.21832390473</v>
      </c>
      <c r="W253" s="235">
        <f t="shared" si="392"/>
        <v>110894.19460504914</v>
      </c>
      <c r="X253" s="235">
        <f t="shared" si="392"/>
        <v>194570.32004656718</v>
      </c>
      <c r="Y253" s="235">
        <f t="shared" si="392"/>
        <v>109805.36405699853</v>
      </c>
      <c r="Z253" s="235">
        <f t="shared" si="389"/>
        <v>133932.60288232399</v>
      </c>
      <c r="AA253" s="235">
        <f t="shared" si="389"/>
        <v>138216.89785178029</v>
      </c>
      <c r="AB253" s="235">
        <f t="shared" si="389"/>
        <v>135490.49051085615</v>
      </c>
      <c r="AC253" s="235">
        <f t="shared" si="389"/>
        <v>139197.83561140666</v>
      </c>
      <c r="AD253" s="235">
        <f t="shared" si="389"/>
        <v>139650.75297912469</v>
      </c>
      <c r="AE253" s="235">
        <f t="shared" si="389"/>
        <v>98019.08437625783</v>
      </c>
      <c r="AF253" s="235">
        <f t="shared" ref="AF253:AQ253" si="393">+AF247+AF243+AF239+AF235+AF231+AF227+AF223+AF219+AF215+AF211+AF207+AF203</f>
        <v>122486.51661942794</v>
      </c>
      <c r="AG253" s="235">
        <f t="shared" si="393"/>
        <v>206888.62157302297</v>
      </c>
      <c r="AH253" s="235">
        <f t="shared" si="393"/>
        <v>141571.64970661575</v>
      </c>
      <c r="AI253" s="235">
        <f t="shared" si="393"/>
        <v>112395.4722614054</v>
      </c>
      <c r="AJ253" s="235">
        <f t="shared" si="393"/>
        <v>197516.43079312181</v>
      </c>
      <c r="AK253" s="235">
        <f t="shared" si="393"/>
        <v>111615.60254195312</v>
      </c>
      <c r="AL253" s="235">
        <f t="shared" si="393"/>
        <v>135837.2742442007</v>
      </c>
      <c r="AM253" s="235">
        <f t="shared" si="393"/>
        <v>140213.12296877819</v>
      </c>
      <c r="AN253" s="235">
        <f t="shared" si="393"/>
        <v>137648.84499311686</v>
      </c>
      <c r="AO253" s="235">
        <f t="shared" si="393"/>
        <v>141270.99710611752</v>
      </c>
      <c r="AP253" s="235">
        <f t="shared" si="393"/>
        <v>141658.43218082623</v>
      </c>
      <c r="AQ253" s="235">
        <f t="shared" si="393"/>
        <v>99858.633918646592</v>
      </c>
      <c r="AR253" s="235">
        <f>SUM(G253:R253)</f>
        <v>1646572.26</v>
      </c>
      <c r="AS253" s="235">
        <f>SUM(T253:AE253)</f>
        <v>1663965.2307782078</v>
      </c>
      <c r="AT253" s="235">
        <f>SUM(AF253:AQ253)</f>
        <v>1688961.598907233</v>
      </c>
      <c r="AU253" s="622"/>
      <c r="AV253" s="622"/>
    </row>
    <row r="254" spans="1:49" ht="13.5" thickTop="1">
      <c r="B254" s="250">
        <f t="shared" si="292"/>
        <v>853</v>
      </c>
      <c r="C254" s="102"/>
      <c r="D254" s="49" t="s">
        <v>653</v>
      </c>
      <c r="E254" s="102"/>
      <c r="F254" s="102"/>
      <c r="G254" s="116">
        <f t="shared" ref="G254:AE254" si="394">G13+G116+G169+G197+G251</f>
        <v>15544546.710000001</v>
      </c>
      <c r="H254" s="116">
        <f t="shared" si="394"/>
        <v>12822300.949999999</v>
      </c>
      <c r="I254" s="116">
        <f t="shared" si="394"/>
        <v>11573243.569999998</v>
      </c>
      <c r="J254" s="116">
        <f t="shared" si="394"/>
        <v>10359672.209999999</v>
      </c>
      <c r="K254" s="116">
        <f t="shared" si="394"/>
        <v>11370934.75</v>
      </c>
      <c r="L254" s="116">
        <f t="shared" si="394"/>
        <v>9343151.0899999999</v>
      </c>
      <c r="M254" s="116">
        <f t="shared" si="394"/>
        <v>9385162.25</v>
      </c>
      <c r="N254" s="116">
        <f t="shared" si="394"/>
        <v>10104541.16</v>
      </c>
      <c r="O254" s="116">
        <f t="shared" si="394"/>
        <v>9208390.879999999</v>
      </c>
      <c r="P254" s="116">
        <f t="shared" si="394"/>
        <v>10671146.98</v>
      </c>
      <c r="Q254" s="116">
        <f t="shared" si="394"/>
        <v>12501508.039999999</v>
      </c>
      <c r="R254" s="116">
        <f t="shared" si="394"/>
        <v>14549498.879999999</v>
      </c>
      <c r="S254" s="116"/>
      <c r="T254" s="116">
        <f t="shared" ref="T254:Y254" si="395">T13+T116+T169+T197+T251</f>
        <v>15239262.341175288</v>
      </c>
      <c r="U254" s="116">
        <f t="shared" si="395"/>
        <v>12581654.333808398</v>
      </c>
      <c r="V254" s="116">
        <f t="shared" si="395"/>
        <v>11448548.82264322</v>
      </c>
      <c r="W254" s="116">
        <f t="shared" si="395"/>
        <v>10164856.843147626</v>
      </c>
      <c r="X254" s="116">
        <f t="shared" si="395"/>
        <v>11136929.96631375</v>
      </c>
      <c r="Y254" s="116">
        <f t="shared" si="395"/>
        <v>9187165.2556267828</v>
      </c>
      <c r="Z254" s="116">
        <f t="shared" si="394"/>
        <v>9186903.1767280679</v>
      </c>
      <c r="AA254" s="116">
        <f t="shared" si="394"/>
        <v>9893529.6546141785</v>
      </c>
      <c r="AB254" s="116">
        <f t="shared" si="394"/>
        <v>9015748.8215653356</v>
      </c>
      <c r="AC254" s="116">
        <f t="shared" si="394"/>
        <v>10522034.252418425</v>
      </c>
      <c r="AD254" s="116">
        <f t="shared" si="394"/>
        <v>12296816.077018064</v>
      </c>
      <c r="AE254" s="116">
        <f t="shared" si="394"/>
        <v>14359297.165294278</v>
      </c>
      <c r="AF254" s="116">
        <f t="shared" ref="AF254:AQ254" si="396">AF13+AF116+AF169+AF197+AF251</f>
        <v>15403046.168927046</v>
      </c>
      <c r="AG254" s="116">
        <f t="shared" si="396"/>
        <v>12718856.312645562</v>
      </c>
      <c r="AH254" s="116">
        <f t="shared" si="396"/>
        <v>11586197.345320802</v>
      </c>
      <c r="AI254" s="116">
        <f t="shared" si="396"/>
        <v>10280225.834916629</v>
      </c>
      <c r="AJ254" s="116">
        <f t="shared" si="396"/>
        <v>11263264.056690101</v>
      </c>
      <c r="AK254" s="116">
        <f t="shared" si="396"/>
        <v>9299537.913072478</v>
      </c>
      <c r="AL254" s="116">
        <f t="shared" si="396"/>
        <v>9293556.6905528232</v>
      </c>
      <c r="AM254" s="116">
        <f t="shared" si="396"/>
        <v>10008398.699108735</v>
      </c>
      <c r="AN254" s="116">
        <f t="shared" si="396"/>
        <v>9121593.259799242</v>
      </c>
      <c r="AO254" s="116">
        <f t="shared" si="396"/>
        <v>10651478.181740034</v>
      </c>
      <c r="AP254" s="116">
        <f t="shared" si="396"/>
        <v>12435353.263210289</v>
      </c>
      <c r="AQ254" s="116">
        <f t="shared" si="396"/>
        <v>14535754.147756128</v>
      </c>
      <c r="AR254" s="116">
        <f>SUM(G254:R254)</f>
        <v>137434097.47</v>
      </c>
      <c r="AS254" s="116">
        <f>SUM(T254:AE254)</f>
        <v>135032746.71035343</v>
      </c>
      <c r="AT254" s="116">
        <f>SUM(AF254:AQ254)</f>
        <v>136597261.87373987</v>
      </c>
      <c r="AU254" s="171"/>
      <c r="AV254" s="171"/>
      <c r="AW254" s="30"/>
    </row>
    <row r="255" spans="1:49">
      <c r="B255" s="250"/>
      <c r="C255" s="208"/>
      <c r="D255" s="102"/>
      <c r="E255" s="102"/>
      <c r="F255" s="102"/>
      <c r="G255" s="186">
        <v>0</v>
      </c>
      <c r="H255" s="186">
        <v>0</v>
      </c>
      <c r="I255" s="186">
        <v>0</v>
      </c>
      <c r="J255" s="186">
        <v>0</v>
      </c>
      <c r="K255" s="186">
        <v>0</v>
      </c>
      <c r="L255" s="186">
        <v>0</v>
      </c>
      <c r="M255" s="186">
        <v>0</v>
      </c>
      <c r="N255" s="186">
        <v>0</v>
      </c>
      <c r="O255" s="186">
        <v>0</v>
      </c>
      <c r="P255" s="186">
        <v>0</v>
      </c>
      <c r="Q255" s="186">
        <v>0</v>
      </c>
      <c r="R255" s="186">
        <v>0</v>
      </c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71"/>
      <c r="AT255" s="213"/>
      <c r="AU255" s="171"/>
      <c r="AV255" s="171"/>
    </row>
    <row r="256" spans="1:49">
      <c r="B256" s="250">
        <f t="shared" si="292"/>
        <v>1</v>
      </c>
      <c r="C256" s="208"/>
      <c r="D256" s="102"/>
      <c r="E256" s="102"/>
      <c r="F256" s="102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71"/>
      <c r="AV256" s="171"/>
    </row>
    <row r="257" spans="2:48">
      <c r="B257" s="250">
        <f t="shared" si="292"/>
        <v>2</v>
      </c>
      <c r="C257" s="49" t="s">
        <v>438</v>
      </c>
      <c r="D257" s="102"/>
      <c r="E257" s="102"/>
      <c r="F257" s="102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71"/>
      <c r="AU257" s="171"/>
      <c r="AV257" s="171"/>
    </row>
    <row r="258" spans="2:48">
      <c r="B258" s="118"/>
      <c r="C258" s="208"/>
      <c r="D258" s="102"/>
      <c r="E258" s="102"/>
      <c r="F258" s="102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86"/>
      <c r="AT258" s="194"/>
      <c r="AU258" s="171"/>
      <c r="AV258" s="171"/>
    </row>
    <row r="259" spans="2:48">
      <c r="B259" s="250"/>
      <c r="C259" s="624" t="s">
        <v>1048</v>
      </c>
      <c r="D259" s="624"/>
      <c r="E259" s="624"/>
      <c r="F259" s="616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86"/>
      <c r="AT259" s="194"/>
      <c r="AU259" s="171"/>
      <c r="AV259" s="171"/>
    </row>
    <row r="260" spans="2:48">
      <c r="B260" s="250">
        <v>615</v>
      </c>
      <c r="C260" s="49" t="s">
        <v>1049</v>
      </c>
      <c r="D260" s="102"/>
      <c r="E260" s="102"/>
      <c r="F260" s="102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71"/>
      <c r="AV260" s="171"/>
    </row>
    <row r="261" spans="2:48">
      <c r="B261" s="250">
        <v>616</v>
      </c>
      <c r="C261" s="208"/>
      <c r="D261" s="102"/>
      <c r="E261" s="102"/>
      <c r="F261" s="102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71"/>
      <c r="AV261" s="171"/>
    </row>
    <row r="262" spans="2:48">
      <c r="B262" s="250">
        <v>617</v>
      </c>
      <c r="C262" s="49" t="s">
        <v>368</v>
      </c>
      <c r="D262" s="102"/>
      <c r="E262" s="102"/>
      <c r="F262" s="102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71"/>
      <c r="AV262" s="171"/>
    </row>
    <row r="263" spans="2:48">
      <c r="B263" s="250">
        <v>618</v>
      </c>
      <c r="C263" s="208"/>
      <c r="D263" s="102"/>
      <c r="E263" s="102"/>
      <c r="F263" s="102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71"/>
      <c r="AV263" s="171"/>
    </row>
    <row r="264" spans="2:48">
      <c r="B264" s="250">
        <v>619</v>
      </c>
      <c r="C264" s="212">
        <v>810</v>
      </c>
      <c r="D264" s="102" t="s">
        <v>369</v>
      </c>
      <c r="E264" s="102"/>
      <c r="F264" s="102"/>
      <c r="G264" s="186">
        <v>0</v>
      </c>
      <c r="H264" s="186">
        <v>0</v>
      </c>
      <c r="I264" s="186">
        <v>0</v>
      </c>
      <c r="J264" s="186">
        <v>0</v>
      </c>
      <c r="K264" s="186">
        <v>0</v>
      </c>
      <c r="L264" s="186">
        <v>0</v>
      </c>
      <c r="M264" s="186">
        <v>0</v>
      </c>
      <c r="N264" s="186">
        <v>0</v>
      </c>
      <c r="O264" s="186">
        <v>0</v>
      </c>
      <c r="P264" s="186">
        <v>0</v>
      </c>
      <c r="Q264" s="186">
        <v>0</v>
      </c>
      <c r="R264" s="186">
        <v>0</v>
      </c>
      <c r="S264" s="186"/>
      <c r="T264" s="186">
        <f t="shared" ref="T264:W265" si="397">G264*(1+$AU$264)</f>
        <v>0</v>
      </c>
      <c r="U264" s="186">
        <f t="shared" si="397"/>
        <v>0</v>
      </c>
      <c r="V264" s="186">
        <f t="shared" si="397"/>
        <v>0</v>
      </c>
      <c r="W264" s="186">
        <f t="shared" si="397"/>
        <v>0</v>
      </c>
      <c r="X264" s="186">
        <f t="shared" ref="X264:AE265" si="398">K264*(1+$AU$264)</f>
        <v>0</v>
      </c>
      <c r="Y264" s="186">
        <f t="shared" si="398"/>
        <v>0</v>
      </c>
      <c r="Z264" s="186">
        <f t="shared" si="398"/>
        <v>0</v>
      </c>
      <c r="AA264" s="186">
        <f t="shared" si="398"/>
        <v>0</v>
      </c>
      <c r="AB264" s="186">
        <f t="shared" si="398"/>
        <v>0</v>
      </c>
      <c r="AC264" s="186">
        <f t="shared" si="398"/>
        <v>0</v>
      </c>
      <c r="AD264" s="186">
        <f t="shared" si="398"/>
        <v>0</v>
      </c>
      <c r="AE264" s="186">
        <f t="shared" si="398"/>
        <v>0</v>
      </c>
      <c r="AF264" s="186">
        <f t="shared" ref="AF264:AQ265" si="399">T264*(1+$AV$264)</f>
        <v>0</v>
      </c>
      <c r="AG264" s="186">
        <f t="shared" si="399"/>
        <v>0</v>
      </c>
      <c r="AH264" s="186">
        <f t="shared" si="399"/>
        <v>0</v>
      </c>
      <c r="AI264" s="186">
        <f t="shared" si="399"/>
        <v>0</v>
      </c>
      <c r="AJ264" s="186">
        <f t="shared" si="399"/>
        <v>0</v>
      </c>
      <c r="AK264" s="186">
        <f t="shared" si="399"/>
        <v>0</v>
      </c>
      <c r="AL264" s="186">
        <f t="shared" si="399"/>
        <v>0</v>
      </c>
      <c r="AM264" s="186">
        <f t="shared" si="399"/>
        <v>0</v>
      </c>
      <c r="AN264" s="186">
        <f t="shared" si="399"/>
        <v>0</v>
      </c>
      <c r="AO264" s="186">
        <f t="shared" si="399"/>
        <v>0</v>
      </c>
      <c r="AP264" s="186">
        <f t="shared" si="399"/>
        <v>0</v>
      </c>
      <c r="AQ264" s="186">
        <f t="shared" si="399"/>
        <v>0</v>
      </c>
      <c r="AR264" s="186">
        <f>SUM(G264:R264)</f>
        <v>0</v>
      </c>
      <c r="AS264" s="186">
        <f>SUM(T264:AE264)</f>
        <v>0</v>
      </c>
      <c r="AT264" s="186">
        <f>SUM(AF264:AQ264)</f>
        <v>0</v>
      </c>
      <c r="AU264" s="171">
        <f>'Labor Forecast'!G14</f>
        <v>-5.7718979572523491E-2</v>
      </c>
      <c r="AV264" s="171">
        <f>'Labor Forecast'!H14</f>
        <v>6.090454563009105E-3</v>
      </c>
    </row>
    <row r="265" spans="2:48">
      <c r="B265" s="250">
        <v>620</v>
      </c>
      <c r="C265" s="212">
        <v>812</v>
      </c>
      <c r="D265" s="102" t="s">
        <v>372</v>
      </c>
      <c r="E265" s="102"/>
      <c r="F265" s="102"/>
      <c r="G265" s="949">
        <v>0</v>
      </c>
      <c r="H265" s="949">
        <v>0</v>
      </c>
      <c r="I265" s="949">
        <v>0</v>
      </c>
      <c r="J265" s="949">
        <v>0</v>
      </c>
      <c r="K265" s="949">
        <v>0</v>
      </c>
      <c r="L265" s="949">
        <v>0</v>
      </c>
      <c r="M265" s="949">
        <v>0</v>
      </c>
      <c r="N265" s="949">
        <v>0</v>
      </c>
      <c r="O265" s="949">
        <v>0</v>
      </c>
      <c r="P265" s="949">
        <v>0</v>
      </c>
      <c r="Q265" s="949">
        <v>0</v>
      </c>
      <c r="R265" s="949">
        <v>0</v>
      </c>
      <c r="S265" s="617"/>
      <c r="T265" s="204">
        <f t="shared" si="397"/>
        <v>0</v>
      </c>
      <c r="U265" s="204">
        <f t="shared" si="397"/>
        <v>0</v>
      </c>
      <c r="V265" s="204">
        <f t="shared" si="397"/>
        <v>0</v>
      </c>
      <c r="W265" s="204">
        <f t="shared" si="397"/>
        <v>0</v>
      </c>
      <c r="X265" s="204">
        <f t="shared" si="398"/>
        <v>0</v>
      </c>
      <c r="Y265" s="204">
        <f t="shared" si="398"/>
        <v>0</v>
      </c>
      <c r="Z265" s="204">
        <f t="shared" si="398"/>
        <v>0</v>
      </c>
      <c r="AA265" s="204">
        <f t="shared" si="398"/>
        <v>0</v>
      </c>
      <c r="AB265" s="204">
        <f t="shared" si="398"/>
        <v>0</v>
      </c>
      <c r="AC265" s="204">
        <f t="shared" si="398"/>
        <v>0</v>
      </c>
      <c r="AD265" s="204">
        <f t="shared" si="398"/>
        <v>0</v>
      </c>
      <c r="AE265" s="204">
        <f t="shared" si="398"/>
        <v>0</v>
      </c>
      <c r="AF265" s="204">
        <f t="shared" si="399"/>
        <v>0</v>
      </c>
      <c r="AG265" s="204">
        <f t="shared" si="399"/>
        <v>0</v>
      </c>
      <c r="AH265" s="204">
        <f t="shared" si="399"/>
        <v>0</v>
      </c>
      <c r="AI265" s="204">
        <f t="shared" si="399"/>
        <v>0</v>
      </c>
      <c r="AJ265" s="204">
        <f t="shared" si="399"/>
        <v>0</v>
      </c>
      <c r="AK265" s="204">
        <f t="shared" si="399"/>
        <v>0</v>
      </c>
      <c r="AL265" s="204">
        <f t="shared" si="399"/>
        <v>0</v>
      </c>
      <c r="AM265" s="204">
        <f t="shared" si="399"/>
        <v>0</v>
      </c>
      <c r="AN265" s="204">
        <f t="shared" si="399"/>
        <v>0</v>
      </c>
      <c r="AO265" s="204">
        <f t="shared" si="399"/>
        <v>0</v>
      </c>
      <c r="AP265" s="204">
        <f t="shared" si="399"/>
        <v>0</v>
      </c>
      <c r="AQ265" s="204">
        <f t="shared" si="399"/>
        <v>0</v>
      </c>
      <c r="AR265" s="204">
        <f>SUM(G265:R265)</f>
        <v>0</v>
      </c>
      <c r="AS265" s="204">
        <f>SUM(T265:AE265)</f>
        <v>0</v>
      </c>
      <c r="AT265" s="204">
        <f>SUM(AF265:AQ265)</f>
        <v>0</v>
      </c>
      <c r="AU265" s="618"/>
      <c r="AV265" s="618"/>
    </row>
    <row r="266" spans="2:48">
      <c r="B266" s="250">
        <v>621</v>
      </c>
      <c r="C266" s="208"/>
      <c r="D266" s="102"/>
      <c r="E266" s="102"/>
      <c r="F266" s="102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71"/>
      <c r="AV266" s="171"/>
    </row>
    <row r="267" spans="2:48">
      <c r="B267" s="250">
        <v>622</v>
      </c>
      <c r="C267" s="102"/>
      <c r="D267" s="49" t="s">
        <v>373</v>
      </c>
      <c r="E267" s="102"/>
      <c r="F267" s="102"/>
      <c r="G267" s="1215">
        <f t="shared" ref="G267:Q267" si="400">SUM(G264:G265)</f>
        <v>0</v>
      </c>
      <c r="H267" s="1215">
        <f t="shared" si="400"/>
        <v>0</v>
      </c>
      <c r="I267" s="1215">
        <f t="shared" si="400"/>
        <v>0</v>
      </c>
      <c r="J267" s="1215">
        <f t="shared" si="400"/>
        <v>0</v>
      </c>
      <c r="K267" s="1215">
        <f t="shared" si="400"/>
        <v>0</v>
      </c>
      <c r="L267" s="1215">
        <f t="shared" si="400"/>
        <v>0</v>
      </c>
      <c r="M267" s="1215">
        <f t="shared" si="400"/>
        <v>0</v>
      </c>
      <c r="N267" s="1215">
        <f t="shared" si="400"/>
        <v>0</v>
      </c>
      <c r="O267" s="1215">
        <f t="shared" si="400"/>
        <v>0</v>
      </c>
      <c r="P267" s="1215">
        <f t="shared" si="400"/>
        <v>0</v>
      </c>
      <c r="Q267" s="1215">
        <f t="shared" si="400"/>
        <v>0</v>
      </c>
      <c r="R267" s="1215">
        <f>SUM(R264:R265)</f>
        <v>0</v>
      </c>
      <c r="S267" s="116"/>
      <c r="T267" s="116">
        <f t="shared" ref="T267:Y267" si="401">SUM(T264:T266)</f>
        <v>0</v>
      </c>
      <c r="U267" s="116">
        <f t="shared" si="401"/>
        <v>0</v>
      </c>
      <c r="V267" s="116">
        <f t="shared" si="401"/>
        <v>0</v>
      </c>
      <c r="W267" s="116">
        <f t="shared" si="401"/>
        <v>0</v>
      </c>
      <c r="X267" s="116">
        <f t="shared" si="401"/>
        <v>0</v>
      </c>
      <c r="Y267" s="116">
        <f t="shared" si="401"/>
        <v>0</v>
      </c>
      <c r="Z267" s="116">
        <f t="shared" ref="Z267:AE267" si="402">SUM(Z264:Z266)</f>
        <v>0</v>
      </c>
      <c r="AA267" s="116">
        <f t="shared" si="402"/>
        <v>0</v>
      </c>
      <c r="AB267" s="116">
        <f t="shared" si="402"/>
        <v>0</v>
      </c>
      <c r="AC267" s="116">
        <f t="shared" si="402"/>
        <v>0</v>
      </c>
      <c r="AD267" s="116">
        <f t="shared" si="402"/>
        <v>0</v>
      </c>
      <c r="AE267" s="116">
        <f t="shared" si="402"/>
        <v>0</v>
      </c>
      <c r="AF267" s="116">
        <f t="shared" ref="AF267:AQ267" si="403">SUM(AF264:AF266)</f>
        <v>0</v>
      </c>
      <c r="AG267" s="116">
        <f t="shared" si="403"/>
        <v>0</v>
      </c>
      <c r="AH267" s="116">
        <f t="shared" si="403"/>
        <v>0</v>
      </c>
      <c r="AI267" s="116">
        <f t="shared" si="403"/>
        <v>0</v>
      </c>
      <c r="AJ267" s="116">
        <f t="shared" si="403"/>
        <v>0</v>
      </c>
      <c r="AK267" s="116">
        <f t="shared" si="403"/>
        <v>0</v>
      </c>
      <c r="AL267" s="116">
        <f t="shared" si="403"/>
        <v>0</v>
      </c>
      <c r="AM267" s="116">
        <f t="shared" si="403"/>
        <v>0</v>
      </c>
      <c r="AN267" s="116">
        <f t="shared" si="403"/>
        <v>0</v>
      </c>
      <c r="AO267" s="116">
        <f t="shared" si="403"/>
        <v>0</v>
      </c>
      <c r="AP267" s="116">
        <f t="shared" si="403"/>
        <v>0</v>
      </c>
      <c r="AQ267" s="116">
        <f t="shared" si="403"/>
        <v>0</v>
      </c>
      <c r="AR267" s="116">
        <f>SUM(G267:R267)</f>
        <v>0</v>
      </c>
      <c r="AS267" s="116">
        <f>SUM(T267:AE267)</f>
        <v>0</v>
      </c>
      <c r="AT267" s="116">
        <f>SUM(AF267:AQ267)</f>
        <v>0</v>
      </c>
      <c r="AU267" s="171"/>
      <c r="AV267" s="171"/>
    </row>
    <row r="268" spans="2:48">
      <c r="B268" s="250">
        <v>623</v>
      </c>
      <c r="C268" s="208"/>
      <c r="D268" s="102"/>
      <c r="E268" s="102"/>
      <c r="F268" s="102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71"/>
      <c r="AV268" s="171"/>
    </row>
    <row r="269" spans="2:48">
      <c r="B269" s="250">
        <v>624</v>
      </c>
      <c r="C269" s="49" t="s">
        <v>374</v>
      </c>
      <c r="D269" s="102"/>
      <c r="E269" s="102"/>
      <c r="F269" s="102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71"/>
      <c r="AV269" s="171"/>
    </row>
    <row r="270" spans="2:48">
      <c r="B270" s="250">
        <v>625</v>
      </c>
      <c r="C270" s="208"/>
      <c r="D270" s="102" t="s">
        <v>838</v>
      </c>
      <c r="E270" s="102"/>
      <c r="F270" s="102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71"/>
      <c r="AV270" s="171"/>
    </row>
    <row r="271" spans="2:48">
      <c r="B271" s="250">
        <v>626</v>
      </c>
      <c r="C271" s="212">
        <v>870</v>
      </c>
      <c r="D271" s="102" t="s">
        <v>375</v>
      </c>
      <c r="E271" s="102"/>
      <c r="F271" s="102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71"/>
      <c r="AV271" s="171"/>
    </row>
    <row r="272" spans="2:48">
      <c r="B272" s="250">
        <v>627</v>
      </c>
      <c r="C272" s="212"/>
      <c r="D272" s="102"/>
      <c r="E272" s="102" t="s">
        <v>14</v>
      </c>
      <c r="F272" s="102"/>
      <c r="G272" s="186">
        <v>2082767.0400000003</v>
      </c>
      <c r="H272" s="186">
        <v>596091.6</v>
      </c>
      <c r="I272" s="186">
        <v>564820.67999999993</v>
      </c>
      <c r="J272" s="186">
        <v>607262.83000000007</v>
      </c>
      <c r="K272" s="186">
        <v>530883.79</v>
      </c>
      <c r="L272" s="186">
        <v>531601.11</v>
      </c>
      <c r="M272" s="186">
        <v>491225.03</v>
      </c>
      <c r="N272" s="186">
        <v>514273.62</v>
      </c>
      <c r="O272" s="186">
        <v>531308.44000000006</v>
      </c>
      <c r="P272" s="186">
        <v>211359.94</v>
      </c>
      <c r="Q272" s="186">
        <v>446859.03</v>
      </c>
      <c r="R272" s="186">
        <v>523584.33</v>
      </c>
      <c r="S272" s="186"/>
      <c r="T272" s="186">
        <f t="shared" ref="T272:W273" si="404">G272*(1+$AU$264)</f>
        <v>1962551.851763915</v>
      </c>
      <c r="U272" s="186">
        <f>H272*(1+$AU$264)</f>
        <v>561685.8011162472</v>
      </c>
      <c r="V272" s="186">
        <f t="shared" si="404"/>
        <v>532219.80670894112</v>
      </c>
      <c r="W272" s="186">
        <f t="shared" si="404"/>
        <v>572212.23912007723</v>
      </c>
      <c r="X272" s="186">
        <f t="shared" ref="X272:AE273" si="405">K272*(1+$AU$264)</f>
        <v>500241.71936960617</v>
      </c>
      <c r="Y272" s="186">
        <f t="shared" si="405"/>
        <v>500917.63639117917</v>
      </c>
      <c r="Z272" s="186">
        <f t="shared" si="405"/>
        <v>462872.02252791781</v>
      </c>
      <c r="AA272" s="186">
        <f t="shared" si="405"/>
        <v>484590.27143253229</v>
      </c>
      <c r="AB272" s="186">
        <f t="shared" si="405"/>
        <v>500641.85900493077</v>
      </c>
      <c r="AC272" s="186">
        <f t="shared" si="405"/>
        <v>199160.45994069023</v>
      </c>
      <c r="AD272" s="186">
        <f t="shared" si="405"/>
        <v>421066.7827756324</v>
      </c>
      <c r="AE272" s="186">
        <f t="shared" si="405"/>
        <v>493363.57675223664</v>
      </c>
      <c r="AF272" s="186">
        <f t="shared" ref="AF272:AQ273" si="406">T272*(1+$AV$264)</f>
        <v>1974504.6846446327</v>
      </c>
      <c r="AG272" s="186">
        <f t="shared" si="406"/>
        <v>565106.72296663316</v>
      </c>
      <c r="AH272" s="186">
        <f t="shared" si="406"/>
        <v>535461.26725923549</v>
      </c>
      <c r="AI272" s="186">
        <f t="shared" si="406"/>
        <v>575697.27176283579</v>
      </c>
      <c r="AJ272" s="186">
        <f t="shared" si="406"/>
        <v>503288.41883194837</v>
      </c>
      <c r="AK272" s="186">
        <f t="shared" si="406"/>
        <v>503968.45249542961</v>
      </c>
      <c r="AL272" s="186">
        <f t="shared" si="406"/>
        <v>465691.12354961224</v>
      </c>
      <c r="AM272" s="186">
        <f t="shared" si="406"/>
        <v>487541.64646236843</v>
      </c>
      <c r="AN272" s="186">
        <f t="shared" si="406"/>
        <v>503690.99549954076</v>
      </c>
      <c r="AO272" s="186">
        <f>AC272*(1+$AV$264)</f>
        <v>200373.43767270702</v>
      </c>
      <c r="AP272" s="186">
        <f t="shared" si="406"/>
        <v>423631.27088411985</v>
      </c>
      <c r="AQ272" s="186">
        <f t="shared" si="406"/>
        <v>496368.38519948983</v>
      </c>
      <c r="AR272" s="186">
        <f>SUM(G272:R272)</f>
        <v>7632037.4400000023</v>
      </c>
      <c r="AS272" s="186">
        <f>SUM(T272:AE272)</f>
        <v>7191524.0269039059</v>
      </c>
      <c r="AT272" s="186">
        <f>SUM(AF272:AQ272)</f>
        <v>7235323.6772285542</v>
      </c>
      <c r="AU272" s="171"/>
      <c r="AV272" s="171"/>
    </row>
    <row r="273" spans="2:48">
      <c r="B273" s="250">
        <v>628</v>
      </c>
      <c r="C273" s="212"/>
      <c r="D273" s="102"/>
      <c r="E273" s="102" t="s">
        <v>24</v>
      </c>
      <c r="F273" s="102"/>
      <c r="G273" s="186">
        <v>17649.14</v>
      </c>
      <c r="H273" s="186">
        <v>21252.760000000002</v>
      </c>
      <c r="I273" s="186">
        <v>26396.15</v>
      </c>
      <c r="J273" s="186">
        <v>25207.61</v>
      </c>
      <c r="K273" s="186">
        <v>24246.74</v>
      </c>
      <c r="L273" s="186">
        <v>20431.61</v>
      </c>
      <c r="M273" s="186">
        <v>17158.510000000002</v>
      </c>
      <c r="N273" s="186">
        <v>22916.52</v>
      </c>
      <c r="O273" s="186">
        <v>22302.73</v>
      </c>
      <c r="P273" s="186">
        <v>18129.43</v>
      </c>
      <c r="Q273" s="186">
        <v>26282.61</v>
      </c>
      <c r="R273" s="186">
        <v>43108.18</v>
      </c>
      <c r="S273" s="186"/>
      <c r="T273" s="186">
        <f t="shared" si="404"/>
        <v>16630.449648867394</v>
      </c>
      <c r="U273" s="186">
        <f t="shared" si="404"/>
        <v>20026.072379700257</v>
      </c>
      <c r="V273" s="186">
        <f t="shared" si="404"/>
        <v>24872.591157356735</v>
      </c>
      <c r="W273" s="186">
        <f t="shared" si="404"/>
        <v>23752.652473337861</v>
      </c>
      <c r="X273" s="186">
        <f t="shared" si="405"/>
        <v>22847.242909239714</v>
      </c>
      <c r="Y273" s="186">
        <f t="shared" si="405"/>
        <v>19252.318319776234</v>
      </c>
      <c r="Z273" s="186">
        <f t="shared" si="405"/>
        <v>16168.138311815062</v>
      </c>
      <c r="AA273" s="186">
        <f t="shared" si="405"/>
        <v>21593.801850246673</v>
      </c>
      <c r="AB273" s="186">
        <f t="shared" si="405"/>
        <v>21015.439182718492</v>
      </c>
      <c r="AC273" s="186">
        <f t="shared" si="405"/>
        <v>17083.017800168505</v>
      </c>
      <c r="AD273" s="186">
        <f t="shared" si="405"/>
        <v>24765.604570297401</v>
      </c>
      <c r="AE273" s="186">
        <f t="shared" si="405"/>
        <v>40620.019839171335</v>
      </c>
      <c r="AF273" s="186">
        <f t="shared" si="406"/>
        <v>16731.736646816233</v>
      </c>
      <c r="AG273" s="186">
        <f t="shared" si="406"/>
        <v>20148.040263604355</v>
      </c>
      <c r="AH273" s="186">
        <f t="shared" si="406"/>
        <v>25024.07654366492</v>
      </c>
      <c r="AI273" s="186">
        <f t="shared" si="406"/>
        <v>23897.316923977673</v>
      </c>
      <c r="AJ273" s="186">
        <f t="shared" si="406"/>
        <v>22986.393004068472</v>
      </c>
      <c r="AK273" s="186">
        <f t="shared" si="406"/>
        <v>19369.573689735418</v>
      </c>
      <c r="AL273" s="186">
        <f t="shared" si="406"/>
        <v>16266.60962357162</v>
      </c>
      <c r="AM273" s="186">
        <f t="shared" si="406"/>
        <v>21725.317919258225</v>
      </c>
      <c r="AN273" s="186">
        <f t="shared" si="406"/>
        <v>21143.432760182521</v>
      </c>
      <c r="AO273" s="186">
        <f t="shared" si="406"/>
        <v>17187.061143879509</v>
      </c>
      <c r="AP273" s="186">
        <f t="shared" si="406"/>
        <v>24916.438359658248</v>
      </c>
      <c r="AQ273" s="186">
        <f t="shared" si="406"/>
        <v>40867.414224350337</v>
      </c>
      <c r="AR273" s="186">
        <f>SUM(G273:R273)</f>
        <v>285081.99</v>
      </c>
      <c r="AS273" s="186">
        <f>SUM(T273:AE273)</f>
        <v>268627.34844269569</v>
      </c>
      <c r="AT273" s="186">
        <f>SUM(AF273:AQ273)</f>
        <v>270263.41110276757</v>
      </c>
      <c r="AU273" s="171"/>
      <c r="AV273" s="171"/>
    </row>
    <row r="274" spans="2:48">
      <c r="B274" s="250">
        <v>629</v>
      </c>
      <c r="C274" s="212"/>
      <c r="D274" s="102"/>
      <c r="E274" s="102" t="s">
        <v>170</v>
      </c>
      <c r="F274" s="102"/>
      <c r="G274" s="1216">
        <v>2100416.1800000002</v>
      </c>
      <c r="H274" s="1216">
        <v>617344.36</v>
      </c>
      <c r="I274" s="1216">
        <v>591216.82999999996</v>
      </c>
      <c r="J274" s="1216">
        <v>632470.44000000006</v>
      </c>
      <c r="K274" s="1216">
        <v>555130.53</v>
      </c>
      <c r="L274" s="1216">
        <v>552032.72</v>
      </c>
      <c r="M274" s="1216">
        <v>508383.54000000004</v>
      </c>
      <c r="N274" s="1216">
        <v>537190.14</v>
      </c>
      <c r="O274" s="1216">
        <v>553611.17000000004</v>
      </c>
      <c r="P274" s="1216">
        <v>229489.37</v>
      </c>
      <c r="Q274" s="1216">
        <v>473141.64</v>
      </c>
      <c r="R274" s="1216">
        <v>566692.51</v>
      </c>
      <c r="S274" s="620"/>
      <c r="T274" s="131">
        <f t="shared" ref="T274:Y274" si="407">SUM(T272:T273)</f>
        <v>1979182.3014127824</v>
      </c>
      <c r="U274" s="131">
        <f t="shared" si="407"/>
        <v>581711.87349594745</v>
      </c>
      <c r="V274" s="131">
        <f t="shared" si="407"/>
        <v>557092.39786629786</v>
      </c>
      <c r="W274" s="131">
        <f t="shared" si="407"/>
        <v>595964.89159341506</v>
      </c>
      <c r="X274" s="131">
        <f t="shared" si="407"/>
        <v>523088.96227884589</v>
      </c>
      <c r="Y274" s="131">
        <f t="shared" si="407"/>
        <v>520169.95471095538</v>
      </c>
      <c r="Z274" s="131">
        <f t="shared" ref="Z274:AE274" si="408">SUM(Z272:Z273)</f>
        <v>479040.16083973285</v>
      </c>
      <c r="AA274" s="131">
        <f t="shared" si="408"/>
        <v>506184.07328277896</v>
      </c>
      <c r="AB274" s="131">
        <f t="shared" si="408"/>
        <v>521657.29818764928</v>
      </c>
      <c r="AC274" s="131">
        <f t="shared" si="408"/>
        <v>216243.47774085874</v>
      </c>
      <c r="AD274" s="131">
        <f t="shared" si="408"/>
        <v>445832.3873459298</v>
      </c>
      <c r="AE274" s="131">
        <f t="shared" si="408"/>
        <v>533983.59659140802</v>
      </c>
      <c r="AF274" s="131">
        <f t="shared" ref="AF274:AQ274" si="409">SUM(AF272:AF273)</f>
        <v>1991236.4212914489</v>
      </c>
      <c r="AG274" s="131">
        <f t="shared" si="409"/>
        <v>585254.76323023753</v>
      </c>
      <c r="AH274" s="131">
        <f t="shared" si="409"/>
        <v>560485.3438029004</v>
      </c>
      <c r="AI274" s="131">
        <f t="shared" si="409"/>
        <v>599594.58868681348</v>
      </c>
      <c r="AJ274" s="131">
        <f t="shared" si="409"/>
        <v>526274.81183601683</v>
      </c>
      <c r="AK274" s="131">
        <f t="shared" si="409"/>
        <v>523338.02618516504</v>
      </c>
      <c r="AL274" s="131">
        <f t="shared" si="409"/>
        <v>481957.73317318386</v>
      </c>
      <c r="AM274" s="131">
        <f t="shared" si="409"/>
        <v>509266.96438162663</v>
      </c>
      <c r="AN274" s="131">
        <f t="shared" si="409"/>
        <v>524834.42825972324</v>
      </c>
      <c r="AO274" s="131">
        <f t="shared" si="409"/>
        <v>217560.49881658654</v>
      </c>
      <c r="AP274" s="131">
        <f t="shared" si="409"/>
        <v>448547.70924377808</v>
      </c>
      <c r="AQ274" s="131">
        <f t="shared" si="409"/>
        <v>537235.79942384013</v>
      </c>
      <c r="AR274" s="131">
        <f>SUM(G274:R274)</f>
        <v>7917119.4299999988</v>
      </c>
      <c r="AS274" s="131">
        <f>SUM(T274:AE274)</f>
        <v>7460151.3753466019</v>
      </c>
      <c r="AT274" s="131">
        <f>SUM(AF274:AQ274)</f>
        <v>7505587.0883313203</v>
      </c>
      <c r="AU274" s="621"/>
      <c r="AV274" s="621"/>
    </row>
    <row r="275" spans="2:48">
      <c r="B275" s="250">
        <v>630</v>
      </c>
      <c r="C275" s="212"/>
      <c r="D275" s="102"/>
      <c r="E275" s="102"/>
      <c r="F275" s="102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71"/>
      <c r="AV275" s="171"/>
    </row>
    <row r="276" spans="2:48">
      <c r="B276" s="250">
        <v>631</v>
      </c>
      <c r="C276" s="212">
        <v>871</v>
      </c>
      <c r="D276" s="102" t="s">
        <v>376</v>
      </c>
      <c r="E276" s="102"/>
      <c r="F276" s="102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71"/>
      <c r="AV276" s="171"/>
    </row>
    <row r="277" spans="2:48">
      <c r="B277" s="250">
        <v>632</v>
      </c>
      <c r="C277" s="212"/>
      <c r="D277" s="102"/>
      <c r="E277" s="102" t="s">
        <v>14</v>
      </c>
      <c r="F277" s="102"/>
      <c r="G277" s="186">
        <v>144030.6</v>
      </c>
      <c r="H277" s="186">
        <v>107875.48</v>
      </c>
      <c r="I277" s="186">
        <v>152736.89000000001</v>
      </c>
      <c r="J277" s="186">
        <v>107590</v>
      </c>
      <c r="K277" s="186">
        <v>126140.52</v>
      </c>
      <c r="L277" s="186">
        <v>129440.65000000001</v>
      </c>
      <c r="M277" s="186">
        <v>111572.64</v>
      </c>
      <c r="N277" s="186">
        <v>132742.47</v>
      </c>
      <c r="O277" s="186">
        <v>126648.71</v>
      </c>
      <c r="P277" s="186">
        <v>126855.2</v>
      </c>
      <c r="Q277" s="186">
        <v>118110.13</v>
      </c>
      <c r="R277" s="186">
        <v>147126.93</v>
      </c>
      <c r="S277" s="186"/>
      <c r="T277" s="186">
        <f t="shared" ref="T277:W278" si="410">G277*(1+$AU$264)</f>
        <v>135717.30074078171</v>
      </c>
      <c r="U277" s="186">
        <f t="shared" si="410"/>
        <v>101649.01737350383</v>
      </c>
      <c r="V277" s="186">
        <f t="shared" si="410"/>
        <v>143921.07256611926</v>
      </c>
      <c r="W277" s="186">
        <f t="shared" si="410"/>
        <v>101380.01498779219</v>
      </c>
      <c r="X277" s="186">
        <f t="shared" ref="X277:AE278" si="411">K277*(1+$AU$264)</f>
        <v>118859.81790285252</v>
      </c>
      <c r="Y277" s="186">
        <f t="shared" si="411"/>
        <v>121969.46776679585</v>
      </c>
      <c r="Z277" s="186">
        <f t="shared" si="411"/>
        <v>105132.78107098749</v>
      </c>
      <c r="AA277" s="186">
        <f t="shared" si="411"/>
        <v>125080.7100856637</v>
      </c>
      <c r="AB277" s="186">
        <f t="shared" si="411"/>
        <v>119338.67569462355</v>
      </c>
      <c r="AC277" s="186">
        <f t="shared" si="411"/>
        <v>119533.24730253161</v>
      </c>
      <c r="AD277" s="186">
        <f t="shared" si="411"/>
        <v>111292.93381922191</v>
      </c>
      <c r="AE277" s="186">
        <f t="shared" si="411"/>
        <v>138634.9137327619</v>
      </c>
      <c r="AF277" s="186">
        <f t="shared" ref="AF277:AQ278" si="412">T277*(1+$AV$264)</f>
        <v>136543.88079435768</v>
      </c>
      <c r="AG277" s="186">
        <f t="shared" si="412"/>
        <v>102268.10609519167</v>
      </c>
      <c r="AH277" s="186">
        <f t="shared" si="412"/>
        <v>144797.61731924274</v>
      </c>
      <c r="AI277" s="186">
        <f t="shared" si="412"/>
        <v>101997.46536267253</v>
      </c>
      <c r="AJ277" s="186">
        <f t="shared" si="412"/>
        <v>119583.72822315739</v>
      </c>
      <c r="AK277" s="186">
        <f t="shared" si="412"/>
        <v>122712.31726830393</v>
      </c>
      <c r="AL277" s="186">
        <f t="shared" si="412"/>
        <v>105773.08749718314</v>
      </c>
      <c r="AM277" s="186">
        <f t="shared" si="412"/>
        <v>125842.50846714935</v>
      </c>
      <c r="AN277" s="186">
        <f t="shared" si="412"/>
        <v>120065.50247655135</v>
      </c>
      <c r="AO277" s="186">
        <f t="shared" si="412"/>
        <v>120261.25911399662</v>
      </c>
      <c r="AP277" s="186">
        <f t="shared" si="412"/>
        <v>111970.75837583187</v>
      </c>
      <c r="AQ277" s="186">
        <f t="shared" si="412"/>
        <v>139479.26337569798</v>
      </c>
      <c r="AR277" s="186">
        <f>SUM(G277:R277)</f>
        <v>1530870.22</v>
      </c>
      <c r="AS277" s="186">
        <f>SUM(T277:AE277)</f>
        <v>1442509.9530436355</v>
      </c>
      <c r="AT277" s="186">
        <f>SUM(AF277:AQ277)</f>
        <v>1451295.4943693362</v>
      </c>
      <c r="AU277" s="171"/>
      <c r="AV277" s="171"/>
    </row>
    <row r="278" spans="2:48">
      <c r="B278" s="250">
        <v>633</v>
      </c>
      <c r="C278" s="212"/>
      <c r="D278" s="102"/>
      <c r="E278" s="102" t="s">
        <v>24</v>
      </c>
      <c r="F278" s="102"/>
      <c r="G278" s="186">
        <v>0</v>
      </c>
      <c r="H278" s="186">
        <v>0</v>
      </c>
      <c r="I278" s="186">
        <v>0</v>
      </c>
      <c r="J278" s="186">
        <v>0</v>
      </c>
      <c r="K278" s="186">
        <v>0</v>
      </c>
      <c r="L278" s="186">
        <v>0</v>
      </c>
      <c r="M278" s="186">
        <v>0</v>
      </c>
      <c r="N278" s="186">
        <v>0</v>
      </c>
      <c r="O278" s="186">
        <v>0</v>
      </c>
      <c r="P278" s="186">
        <v>0</v>
      </c>
      <c r="Q278" s="186">
        <v>0</v>
      </c>
      <c r="R278" s="186">
        <v>0</v>
      </c>
      <c r="S278" s="186"/>
      <c r="T278" s="186">
        <f t="shared" si="410"/>
        <v>0</v>
      </c>
      <c r="U278" s="186">
        <f t="shared" si="410"/>
        <v>0</v>
      </c>
      <c r="V278" s="186">
        <f t="shared" si="410"/>
        <v>0</v>
      </c>
      <c r="W278" s="186">
        <f t="shared" si="410"/>
        <v>0</v>
      </c>
      <c r="X278" s="186">
        <f t="shared" si="411"/>
        <v>0</v>
      </c>
      <c r="Y278" s="186">
        <f t="shared" si="411"/>
        <v>0</v>
      </c>
      <c r="Z278" s="186">
        <f t="shared" si="411"/>
        <v>0</v>
      </c>
      <c r="AA278" s="186">
        <f t="shared" si="411"/>
        <v>0</v>
      </c>
      <c r="AB278" s="186">
        <f t="shared" si="411"/>
        <v>0</v>
      </c>
      <c r="AC278" s="186">
        <f t="shared" si="411"/>
        <v>0</v>
      </c>
      <c r="AD278" s="186">
        <f t="shared" si="411"/>
        <v>0</v>
      </c>
      <c r="AE278" s="186">
        <f t="shared" si="411"/>
        <v>0</v>
      </c>
      <c r="AF278" s="186">
        <f t="shared" si="412"/>
        <v>0</v>
      </c>
      <c r="AG278" s="186">
        <f t="shared" si="412"/>
        <v>0</v>
      </c>
      <c r="AH278" s="186">
        <f t="shared" si="412"/>
        <v>0</v>
      </c>
      <c r="AI278" s="186">
        <f t="shared" si="412"/>
        <v>0</v>
      </c>
      <c r="AJ278" s="186">
        <f t="shared" si="412"/>
        <v>0</v>
      </c>
      <c r="AK278" s="186">
        <f t="shared" si="412"/>
        <v>0</v>
      </c>
      <c r="AL278" s="186">
        <f t="shared" si="412"/>
        <v>0</v>
      </c>
      <c r="AM278" s="186">
        <f t="shared" si="412"/>
        <v>0</v>
      </c>
      <c r="AN278" s="186">
        <f t="shared" si="412"/>
        <v>0</v>
      </c>
      <c r="AO278" s="186">
        <f t="shared" si="412"/>
        <v>0</v>
      </c>
      <c r="AP278" s="186">
        <f t="shared" si="412"/>
        <v>0</v>
      </c>
      <c r="AQ278" s="186">
        <f t="shared" si="412"/>
        <v>0</v>
      </c>
      <c r="AR278" s="186">
        <f>SUM(G278:R278)</f>
        <v>0</v>
      </c>
      <c r="AS278" s="186">
        <f>SUM(T278:AE278)</f>
        <v>0</v>
      </c>
      <c r="AT278" s="186">
        <f>SUM(AF278:AQ278)</f>
        <v>0</v>
      </c>
      <c r="AU278" s="171"/>
      <c r="AV278" s="171"/>
    </row>
    <row r="279" spans="2:48">
      <c r="B279" s="250">
        <v>634</v>
      </c>
      <c r="C279" s="212"/>
      <c r="D279" s="102"/>
      <c r="E279" s="102" t="s">
        <v>170</v>
      </c>
      <c r="F279" s="102"/>
      <c r="G279" s="1216">
        <v>144030.6</v>
      </c>
      <c r="H279" s="1216">
        <v>107875.48</v>
      </c>
      <c r="I279" s="1216">
        <v>152736.89000000001</v>
      </c>
      <c r="J279" s="1216">
        <v>107590</v>
      </c>
      <c r="K279" s="1216">
        <v>126140.52</v>
      </c>
      <c r="L279" s="1216">
        <v>129440.65000000001</v>
      </c>
      <c r="M279" s="1216">
        <v>111572.64</v>
      </c>
      <c r="N279" s="1216">
        <v>132742.47</v>
      </c>
      <c r="O279" s="1216">
        <v>126648.71</v>
      </c>
      <c r="P279" s="1216">
        <v>126855.2</v>
      </c>
      <c r="Q279" s="1216">
        <v>118110.13</v>
      </c>
      <c r="R279" s="1216">
        <v>147126.93</v>
      </c>
      <c r="S279" s="620"/>
      <c r="T279" s="131">
        <f t="shared" ref="T279:Y279" si="413">SUM(T277:T278)</f>
        <v>135717.30074078171</v>
      </c>
      <c r="U279" s="131">
        <f t="shared" si="413"/>
        <v>101649.01737350383</v>
      </c>
      <c r="V279" s="131">
        <f t="shared" si="413"/>
        <v>143921.07256611926</v>
      </c>
      <c r="W279" s="131">
        <f t="shared" si="413"/>
        <v>101380.01498779219</v>
      </c>
      <c r="X279" s="131">
        <f t="shared" si="413"/>
        <v>118859.81790285252</v>
      </c>
      <c r="Y279" s="131">
        <f t="shared" si="413"/>
        <v>121969.46776679585</v>
      </c>
      <c r="Z279" s="131">
        <f t="shared" ref="Z279:AE279" si="414">SUM(Z277:Z278)</f>
        <v>105132.78107098749</v>
      </c>
      <c r="AA279" s="131">
        <f t="shared" si="414"/>
        <v>125080.7100856637</v>
      </c>
      <c r="AB279" s="131">
        <f t="shared" si="414"/>
        <v>119338.67569462355</v>
      </c>
      <c r="AC279" s="131">
        <f t="shared" si="414"/>
        <v>119533.24730253161</v>
      </c>
      <c r="AD279" s="131">
        <f t="shared" si="414"/>
        <v>111292.93381922191</v>
      </c>
      <c r="AE279" s="131">
        <f t="shared" si="414"/>
        <v>138634.9137327619</v>
      </c>
      <c r="AF279" s="131">
        <f t="shared" ref="AF279:AQ279" si="415">SUM(AF277:AF278)</f>
        <v>136543.88079435768</v>
      </c>
      <c r="AG279" s="131">
        <f t="shared" si="415"/>
        <v>102268.10609519167</v>
      </c>
      <c r="AH279" s="131">
        <f t="shared" si="415"/>
        <v>144797.61731924274</v>
      </c>
      <c r="AI279" s="131">
        <f t="shared" si="415"/>
        <v>101997.46536267253</v>
      </c>
      <c r="AJ279" s="131">
        <f t="shared" si="415"/>
        <v>119583.72822315739</v>
      </c>
      <c r="AK279" s="131">
        <f t="shared" si="415"/>
        <v>122712.31726830393</v>
      </c>
      <c r="AL279" s="131">
        <f t="shared" si="415"/>
        <v>105773.08749718314</v>
      </c>
      <c r="AM279" s="131">
        <f t="shared" si="415"/>
        <v>125842.50846714935</v>
      </c>
      <c r="AN279" s="131">
        <f t="shared" si="415"/>
        <v>120065.50247655135</v>
      </c>
      <c r="AO279" s="131">
        <f t="shared" si="415"/>
        <v>120261.25911399662</v>
      </c>
      <c r="AP279" s="131">
        <f t="shared" si="415"/>
        <v>111970.75837583187</v>
      </c>
      <c r="AQ279" s="131">
        <f t="shared" si="415"/>
        <v>139479.26337569798</v>
      </c>
      <c r="AR279" s="131">
        <f>SUM(G279:R279)</f>
        <v>1530870.22</v>
      </c>
      <c r="AS279" s="131">
        <f>SUM(T279:AE279)</f>
        <v>1442509.9530436355</v>
      </c>
      <c r="AT279" s="131">
        <f>SUM(AF279:AQ279)</f>
        <v>1451295.4943693362</v>
      </c>
      <c r="AU279" s="621"/>
      <c r="AV279" s="621"/>
    </row>
    <row r="280" spans="2:48">
      <c r="B280" s="250">
        <v>635</v>
      </c>
      <c r="C280" s="212"/>
      <c r="D280" s="102"/>
      <c r="E280" s="102"/>
      <c r="F280" s="102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71"/>
      <c r="AV280" s="171"/>
    </row>
    <row r="281" spans="2:48">
      <c r="B281" s="250">
        <v>636</v>
      </c>
      <c r="C281" s="212">
        <v>872</v>
      </c>
      <c r="D281" s="102" t="s">
        <v>378</v>
      </c>
      <c r="E281" s="102"/>
      <c r="F281" s="102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71"/>
      <c r="AV281" s="171"/>
    </row>
    <row r="282" spans="2:48">
      <c r="B282" s="250">
        <v>637</v>
      </c>
      <c r="C282" s="212"/>
      <c r="D282" s="102"/>
      <c r="E282" s="102" t="s">
        <v>14</v>
      </c>
      <c r="F282" s="102"/>
      <c r="G282" s="186">
        <v>0</v>
      </c>
      <c r="H282" s="186">
        <v>0</v>
      </c>
      <c r="I282" s="186">
        <v>0</v>
      </c>
      <c r="J282" s="186">
        <v>0</v>
      </c>
      <c r="K282" s="186">
        <v>0</v>
      </c>
      <c r="L282" s="186">
        <v>0</v>
      </c>
      <c r="M282" s="186">
        <v>0</v>
      </c>
      <c r="N282" s="186">
        <v>0</v>
      </c>
      <c r="O282" s="186">
        <v>0</v>
      </c>
      <c r="P282" s="186">
        <v>0</v>
      </c>
      <c r="Q282" s="186">
        <v>0</v>
      </c>
      <c r="R282" s="186">
        <v>0</v>
      </c>
      <c r="S282" s="186"/>
      <c r="T282" s="186">
        <f t="shared" ref="T282:W283" si="416">G282*(1+$AU$264)</f>
        <v>0</v>
      </c>
      <c r="U282" s="186">
        <f t="shared" si="416"/>
        <v>0</v>
      </c>
      <c r="V282" s="186">
        <f t="shared" si="416"/>
        <v>0</v>
      </c>
      <c r="W282" s="186">
        <f t="shared" si="416"/>
        <v>0</v>
      </c>
      <c r="X282" s="186">
        <f t="shared" ref="X282:AE283" si="417">K282*(1+$AU$264)</f>
        <v>0</v>
      </c>
      <c r="Y282" s="186">
        <f t="shared" si="417"/>
        <v>0</v>
      </c>
      <c r="Z282" s="186">
        <f t="shared" si="417"/>
        <v>0</v>
      </c>
      <c r="AA282" s="186">
        <f t="shared" si="417"/>
        <v>0</v>
      </c>
      <c r="AB282" s="186">
        <f t="shared" si="417"/>
        <v>0</v>
      </c>
      <c r="AC282" s="186">
        <f t="shared" si="417"/>
        <v>0</v>
      </c>
      <c r="AD282" s="186">
        <f t="shared" si="417"/>
        <v>0</v>
      </c>
      <c r="AE282" s="186">
        <f t="shared" si="417"/>
        <v>0</v>
      </c>
      <c r="AF282" s="186">
        <f t="shared" ref="AF282:AQ283" si="418">T282*(1+$AV$264)</f>
        <v>0</v>
      </c>
      <c r="AG282" s="186">
        <f t="shared" si="418"/>
        <v>0</v>
      </c>
      <c r="AH282" s="186">
        <f t="shared" si="418"/>
        <v>0</v>
      </c>
      <c r="AI282" s="186">
        <f t="shared" si="418"/>
        <v>0</v>
      </c>
      <c r="AJ282" s="186">
        <f t="shared" si="418"/>
        <v>0</v>
      </c>
      <c r="AK282" s="186">
        <f t="shared" si="418"/>
        <v>0</v>
      </c>
      <c r="AL282" s="186">
        <f t="shared" si="418"/>
        <v>0</v>
      </c>
      <c r="AM282" s="186">
        <f t="shared" si="418"/>
        <v>0</v>
      </c>
      <c r="AN282" s="186">
        <f t="shared" si="418"/>
        <v>0</v>
      </c>
      <c r="AO282" s="186">
        <f t="shared" si="418"/>
        <v>0</v>
      </c>
      <c r="AP282" s="186">
        <f t="shared" si="418"/>
        <v>0</v>
      </c>
      <c r="AQ282" s="186">
        <f t="shared" si="418"/>
        <v>0</v>
      </c>
      <c r="AR282" s="186">
        <f>SUM(G282:R282)</f>
        <v>0</v>
      </c>
      <c r="AS282" s="186">
        <f>SUM(T282:AE282)</f>
        <v>0</v>
      </c>
      <c r="AT282" s="186">
        <f>SUM(AF282:AQ282)</f>
        <v>0</v>
      </c>
      <c r="AU282" s="171"/>
      <c r="AV282" s="171"/>
    </row>
    <row r="283" spans="2:48">
      <c r="B283" s="250">
        <v>638</v>
      </c>
      <c r="C283" s="212"/>
      <c r="D283" s="102"/>
      <c r="E283" s="102" t="s">
        <v>24</v>
      </c>
      <c r="F283" s="102"/>
      <c r="G283" s="186">
        <v>0</v>
      </c>
      <c r="H283" s="186">
        <v>0</v>
      </c>
      <c r="I283" s="186">
        <v>0</v>
      </c>
      <c r="J283" s="186">
        <v>0</v>
      </c>
      <c r="K283" s="186">
        <v>0</v>
      </c>
      <c r="L283" s="186">
        <v>0</v>
      </c>
      <c r="M283" s="186">
        <v>0</v>
      </c>
      <c r="N283" s="186">
        <v>0</v>
      </c>
      <c r="O283" s="186">
        <v>0</v>
      </c>
      <c r="P283" s="186">
        <v>0</v>
      </c>
      <c r="Q283" s="186">
        <v>0</v>
      </c>
      <c r="R283" s="186">
        <v>0</v>
      </c>
      <c r="S283" s="186"/>
      <c r="T283" s="186">
        <f t="shared" si="416"/>
        <v>0</v>
      </c>
      <c r="U283" s="186">
        <f t="shared" si="416"/>
        <v>0</v>
      </c>
      <c r="V283" s="186">
        <f t="shared" si="416"/>
        <v>0</v>
      </c>
      <c r="W283" s="186">
        <f t="shared" si="416"/>
        <v>0</v>
      </c>
      <c r="X283" s="186">
        <f t="shared" si="417"/>
        <v>0</v>
      </c>
      <c r="Y283" s="186">
        <f t="shared" si="417"/>
        <v>0</v>
      </c>
      <c r="Z283" s="186">
        <f t="shared" si="417"/>
        <v>0</v>
      </c>
      <c r="AA283" s="186">
        <f t="shared" si="417"/>
        <v>0</v>
      </c>
      <c r="AB283" s="186">
        <f t="shared" si="417"/>
        <v>0</v>
      </c>
      <c r="AC283" s="186">
        <f t="shared" si="417"/>
        <v>0</v>
      </c>
      <c r="AD283" s="186">
        <f t="shared" si="417"/>
        <v>0</v>
      </c>
      <c r="AE283" s="186">
        <f t="shared" si="417"/>
        <v>0</v>
      </c>
      <c r="AF283" s="186">
        <f t="shared" si="418"/>
        <v>0</v>
      </c>
      <c r="AG283" s="186">
        <f t="shared" si="418"/>
        <v>0</v>
      </c>
      <c r="AH283" s="186">
        <f t="shared" si="418"/>
        <v>0</v>
      </c>
      <c r="AI283" s="186">
        <f t="shared" si="418"/>
        <v>0</v>
      </c>
      <c r="AJ283" s="186">
        <f t="shared" si="418"/>
        <v>0</v>
      </c>
      <c r="AK283" s="186">
        <f t="shared" si="418"/>
        <v>0</v>
      </c>
      <c r="AL283" s="186">
        <f t="shared" si="418"/>
        <v>0</v>
      </c>
      <c r="AM283" s="186">
        <f t="shared" si="418"/>
        <v>0</v>
      </c>
      <c r="AN283" s="186">
        <f t="shared" si="418"/>
        <v>0</v>
      </c>
      <c r="AO283" s="186">
        <f t="shared" si="418"/>
        <v>0</v>
      </c>
      <c r="AP283" s="186">
        <f t="shared" si="418"/>
        <v>0</v>
      </c>
      <c r="AQ283" s="186">
        <f t="shared" si="418"/>
        <v>0</v>
      </c>
      <c r="AR283" s="186">
        <f>SUM(G283:R283)</f>
        <v>0</v>
      </c>
      <c r="AS283" s="186">
        <f>SUM(T283:AE283)</f>
        <v>0</v>
      </c>
      <c r="AT283" s="186">
        <f>SUM(AF283:AQ283)</f>
        <v>0</v>
      </c>
      <c r="AU283" s="171"/>
      <c r="AV283" s="171"/>
    </row>
    <row r="284" spans="2:48">
      <c r="B284" s="250">
        <v>639</v>
      </c>
      <c r="C284" s="212"/>
      <c r="D284" s="102"/>
      <c r="E284" s="102" t="s">
        <v>170</v>
      </c>
      <c r="F284" s="102"/>
      <c r="G284" s="1216">
        <v>0</v>
      </c>
      <c r="H284" s="1216">
        <v>0</v>
      </c>
      <c r="I284" s="1216">
        <v>0</v>
      </c>
      <c r="J284" s="1216">
        <v>0</v>
      </c>
      <c r="K284" s="1216">
        <v>0</v>
      </c>
      <c r="L284" s="1216">
        <v>0</v>
      </c>
      <c r="M284" s="1216">
        <v>0</v>
      </c>
      <c r="N284" s="1216">
        <v>0</v>
      </c>
      <c r="O284" s="1216">
        <v>0</v>
      </c>
      <c r="P284" s="1216">
        <v>0</v>
      </c>
      <c r="Q284" s="1216">
        <v>0</v>
      </c>
      <c r="R284" s="1216">
        <v>0</v>
      </c>
      <c r="S284" s="620"/>
      <c r="T284" s="131">
        <f t="shared" ref="T284:Y284" si="419">SUM(T282:T283)</f>
        <v>0</v>
      </c>
      <c r="U284" s="131">
        <f t="shared" si="419"/>
        <v>0</v>
      </c>
      <c r="V284" s="131">
        <f t="shared" si="419"/>
        <v>0</v>
      </c>
      <c r="W284" s="131">
        <f t="shared" si="419"/>
        <v>0</v>
      </c>
      <c r="X284" s="131">
        <f t="shared" si="419"/>
        <v>0</v>
      </c>
      <c r="Y284" s="131">
        <f t="shared" si="419"/>
        <v>0</v>
      </c>
      <c r="Z284" s="131">
        <f t="shared" ref="Z284:AE284" si="420">SUM(Z282:Z283)</f>
        <v>0</v>
      </c>
      <c r="AA284" s="131">
        <f t="shared" si="420"/>
        <v>0</v>
      </c>
      <c r="AB284" s="131">
        <f t="shared" si="420"/>
        <v>0</v>
      </c>
      <c r="AC284" s="131">
        <f t="shared" si="420"/>
        <v>0</v>
      </c>
      <c r="AD284" s="131">
        <f t="shared" si="420"/>
        <v>0</v>
      </c>
      <c r="AE284" s="131">
        <f t="shared" si="420"/>
        <v>0</v>
      </c>
      <c r="AF284" s="131">
        <f t="shared" ref="AF284:AQ284" si="421">SUM(AF282:AF283)</f>
        <v>0</v>
      </c>
      <c r="AG284" s="131">
        <f t="shared" si="421"/>
        <v>0</v>
      </c>
      <c r="AH284" s="131">
        <f t="shared" si="421"/>
        <v>0</v>
      </c>
      <c r="AI284" s="131">
        <f t="shared" si="421"/>
        <v>0</v>
      </c>
      <c r="AJ284" s="131">
        <f t="shared" si="421"/>
        <v>0</v>
      </c>
      <c r="AK284" s="131">
        <f t="shared" si="421"/>
        <v>0</v>
      </c>
      <c r="AL284" s="131">
        <f t="shared" si="421"/>
        <v>0</v>
      </c>
      <c r="AM284" s="131">
        <f t="shared" si="421"/>
        <v>0</v>
      </c>
      <c r="AN284" s="131">
        <f t="shared" si="421"/>
        <v>0</v>
      </c>
      <c r="AO284" s="131">
        <f t="shared" si="421"/>
        <v>0</v>
      </c>
      <c r="AP284" s="131">
        <f t="shared" si="421"/>
        <v>0</v>
      </c>
      <c r="AQ284" s="131">
        <f t="shared" si="421"/>
        <v>0</v>
      </c>
      <c r="AR284" s="131">
        <f>SUM(G284:R284)</f>
        <v>0</v>
      </c>
      <c r="AS284" s="131">
        <f>SUM(T284:AE284)</f>
        <v>0</v>
      </c>
      <c r="AT284" s="131">
        <f>SUM(AF284:AQ284)</f>
        <v>0</v>
      </c>
      <c r="AU284" s="621"/>
      <c r="AV284" s="621"/>
    </row>
    <row r="285" spans="2:48">
      <c r="B285" s="250">
        <v>640</v>
      </c>
      <c r="C285" s="212"/>
      <c r="D285" s="102"/>
      <c r="E285" s="102"/>
      <c r="F285" s="102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71"/>
      <c r="AV285" s="171"/>
    </row>
    <row r="286" spans="2:48">
      <c r="B286" s="250">
        <v>641</v>
      </c>
      <c r="C286" s="212">
        <v>873</v>
      </c>
      <c r="D286" s="102" t="s">
        <v>379</v>
      </c>
      <c r="E286" s="102"/>
      <c r="F286" s="102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71"/>
      <c r="AV286" s="171"/>
    </row>
    <row r="287" spans="2:48">
      <c r="B287" s="250">
        <v>642</v>
      </c>
      <c r="C287" s="212"/>
      <c r="D287" s="102"/>
      <c r="E287" s="102" t="s">
        <v>14</v>
      </c>
      <c r="F287" s="102"/>
      <c r="G287" s="186">
        <v>0</v>
      </c>
      <c r="H287" s="186">
        <v>0</v>
      </c>
      <c r="I287" s="186">
        <v>0</v>
      </c>
      <c r="J287" s="186">
        <v>0</v>
      </c>
      <c r="K287" s="186">
        <v>0</v>
      </c>
      <c r="L287" s="186">
        <v>0</v>
      </c>
      <c r="M287" s="186">
        <v>0</v>
      </c>
      <c r="N287" s="186">
        <v>0</v>
      </c>
      <c r="O287" s="186">
        <v>0</v>
      </c>
      <c r="P287" s="186">
        <v>0</v>
      </c>
      <c r="Q287" s="186">
        <v>0</v>
      </c>
      <c r="R287" s="186">
        <v>0</v>
      </c>
      <c r="S287" s="186"/>
      <c r="T287" s="186">
        <f t="shared" ref="T287:W288" si="422">G287*(1+$AU$264)</f>
        <v>0</v>
      </c>
      <c r="U287" s="186">
        <f t="shared" si="422"/>
        <v>0</v>
      </c>
      <c r="V287" s="186">
        <f t="shared" si="422"/>
        <v>0</v>
      </c>
      <c r="W287" s="186">
        <f t="shared" si="422"/>
        <v>0</v>
      </c>
      <c r="X287" s="186">
        <f t="shared" ref="X287:AE288" si="423">K287*(1+$AU$264)</f>
        <v>0</v>
      </c>
      <c r="Y287" s="186">
        <f t="shared" si="423"/>
        <v>0</v>
      </c>
      <c r="Z287" s="186">
        <f t="shared" si="423"/>
        <v>0</v>
      </c>
      <c r="AA287" s="186">
        <f t="shared" si="423"/>
        <v>0</v>
      </c>
      <c r="AB287" s="186">
        <f t="shared" si="423"/>
        <v>0</v>
      </c>
      <c r="AC287" s="186">
        <f t="shared" si="423"/>
        <v>0</v>
      </c>
      <c r="AD287" s="186">
        <f t="shared" si="423"/>
        <v>0</v>
      </c>
      <c r="AE287" s="186">
        <f t="shared" si="423"/>
        <v>0</v>
      </c>
      <c r="AF287" s="186">
        <f t="shared" ref="AF287:AQ288" si="424">T287*(1+$AV$264)</f>
        <v>0</v>
      </c>
      <c r="AG287" s="186">
        <f t="shared" si="424"/>
        <v>0</v>
      </c>
      <c r="AH287" s="186">
        <f t="shared" si="424"/>
        <v>0</v>
      </c>
      <c r="AI287" s="186">
        <f t="shared" si="424"/>
        <v>0</v>
      </c>
      <c r="AJ287" s="186">
        <f t="shared" si="424"/>
        <v>0</v>
      </c>
      <c r="AK287" s="186">
        <f t="shared" si="424"/>
        <v>0</v>
      </c>
      <c r="AL287" s="186">
        <f t="shared" si="424"/>
        <v>0</v>
      </c>
      <c r="AM287" s="186">
        <f t="shared" si="424"/>
        <v>0</v>
      </c>
      <c r="AN287" s="186">
        <f t="shared" si="424"/>
        <v>0</v>
      </c>
      <c r="AO287" s="186">
        <f t="shared" si="424"/>
        <v>0</v>
      </c>
      <c r="AP287" s="186">
        <f t="shared" si="424"/>
        <v>0</v>
      </c>
      <c r="AQ287" s="186">
        <f t="shared" si="424"/>
        <v>0</v>
      </c>
      <c r="AR287" s="186">
        <f>SUM(G287:R287)</f>
        <v>0</v>
      </c>
      <c r="AS287" s="186">
        <f>SUM(T287:AE287)</f>
        <v>0</v>
      </c>
      <c r="AT287" s="186">
        <f>SUM(AF287:AQ287)</f>
        <v>0</v>
      </c>
      <c r="AU287" s="171"/>
      <c r="AV287" s="171"/>
    </row>
    <row r="288" spans="2:48">
      <c r="B288" s="250">
        <v>643</v>
      </c>
      <c r="C288" s="212"/>
      <c r="D288" s="102"/>
      <c r="E288" s="102" t="s">
        <v>24</v>
      </c>
      <c r="F288" s="102"/>
      <c r="G288" s="186">
        <v>0</v>
      </c>
      <c r="H288" s="186">
        <v>0</v>
      </c>
      <c r="I288" s="186">
        <v>0</v>
      </c>
      <c r="J288" s="186">
        <v>0</v>
      </c>
      <c r="K288" s="186">
        <v>0</v>
      </c>
      <c r="L288" s="186">
        <v>0</v>
      </c>
      <c r="M288" s="186">
        <v>0</v>
      </c>
      <c r="N288" s="186">
        <v>0</v>
      </c>
      <c r="O288" s="186">
        <v>0</v>
      </c>
      <c r="P288" s="186">
        <v>0</v>
      </c>
      <c r="Q288" s="186">
        <v>0</v>
      </c>
      <c r="R288" s="186">
        <v>0</v>
      </c>
      <c r="S288" s="186"/>
      <c r="T288" s="186">
        <f t="shared" si="422"/>
        <v>0</v>
      </c>
      <c r="U288" s="186">
        <f t="shared" si="422"/>
        <v>0</v>
      </c>
      <c r="V288" s="186">
        <f t="shared" si="422"/>
        <v>0</v>
      </c>
      <c r="W288" s="186">
        <f t="shared" si="422"/>
        <v>0</v>
      </c>
      <c r="X288" s="186">
        <f t="shared" si="423"/>
        <v>0</v>
      </c>
      <c r="Y288" s="186">
        <f t="shared" si="423"/>
        <v>0</v>
      </c>
      <c r="Z288" s="186">
        <f t="shared" si="423"/>
        <v>0</v>
      </c>
      <c r="AA288" s="186">
        <f t="shared" si="423"/>
        <v>0</v>
      </c>
      <c r="AB288" s="186">
        <f t="shared" si="423"/>
        <v>0</v>
      </c>
      <c r="AC288" s="186">
        <f t="shared" si="423"/>
        <v>0</v>
      </c>
      <c r="AD288" s="186">
        <f t="shared" si="423"/>
        <v>0</v>
      </c>
      <c r="AE288" s="186">
        <f t="shared" si="423"/>
        <v>0</v>
      </c>
      <c r="AF288" s="186">
        <f t="shared" si="424"/>
        <v>0</v>
      </c>
      <c r="AG288" s="186">
        <f t="shared" si="424"/>
        <v>0</v>
      </c>
      <c r="AH288" s="186">
        <f t="shared" si="424"/>
        <v>0</v>
      </c>
      <c r="AI288" s="186">
        <f t="shared" si="424"/>
        <v>0</v>
      </c>
      <c r="AJ288" s="186">
        <f t="shared" si="424"/>
        <v>0</v>
      </c>
      <c r="AK288" s="186">
        <f t="shared" si="424"/>
        <v>0</v>
      </c>
      <c r="AL288" s="186">
        <f t="shared" si="424"/>
        <v>0</v>
      </c>
      <c r="AM288" s="186">
        <f t="shared" si="424"/>
        <v>0</v>
      </c>
      <c r="AN288" s="186">
        <f t="shared" si="424"/>
        <v>0</v>
      </c>
      <c r="AO288" s="186">
        <f t="shared" si="424"/>
        <v>0</v>
      </c>
      <c r="AP288" s="186">
        <f t="shared" si="424"/>
        <v>0</v>
      </c>
      <c r="AQ288" s="186">
        <f t="shared" si="424"/>
        <v>0</v>
      </c>
      <c r="AR288" s="186">
        <f>SUM(G288:R288)</f>
        <v>0</v>
      </c>
      <c r="AS288" s="186">
        <f>SUM(T288:AE288)</f>
        <v>0</v>
      </c>
      <c r="AT288" s="186">
        <f>SUM(AF288:AQ288)</f>
        <v>0</v>
      </c>
      <c r="AU288" s="171"/>
      <c r="AV288" s="171"/>
    </row>
    <row r="289" spans="2:48">
      <c r="B289" s="250">
        <v>644</v>
      </c>
      <c r="C289" s="212"/>
      <c r="D289" s="102"/>
      <c r="E289" s="102" t="s">
        <v>170</v>
      </c>
      <c r="F289" s="102"/>
      <c r="G289" s="1216">
        <v>0</v>
      </c>
      <c r="H289" s="1216">
        <v>0</v>
      </c>
      <c r="I289" s="1216">
        <v>0</v>
      </c>
      <c r="J289" s="1216">
        <v>0</v>
      </c>
      <c r="K289" s="1216">
        <v>0</v>
      </c>
      <c r="L289" s="1216">
        <v>0</v>
      </c>
      <c r="M289" s="1216">
        <v>0</v>
      </c>
      <c r="N289" s="1216">
        <v>0</v>
      </c>
      <c r="O289" s="1216">
        <v>0</v>
      </c>
      <c r="P289" s="1216">
        <v>0</v>
      </c>
      <c r="Q289" s="1216">
        <v>0</v>
      </c>
      <c r="R289" s="1216">
        <v>0</v>
      </c>
      <c r="S289" s="620"/>
      <c r="T289" s="131">
        <f t="shared" ref="T289:Y289" si="425">SUM(T287:T288)</f>
        <v>0</v>
      </c>
      <c r="U289" s="131">
        <f t="shared" si="425"/>
        <v>0</v>
      </c>
      <c r="V289" s="131">
        <f t="shared" si="425"/>
        <v>0</v>
      </c>
      <c r="W289" s="131">
        <f t="shared" si="425"/>
        <v>0</v>
      </c>
      <c r="X289" s="131">
        <f t="shared" si="425"/>
        <v>0</v>
      </c>
      <c r="Y289" s="131">
        <f t="shared" si="425"/>
        <v>0</v>
      </c>
      <c r="Z289" s="131">
        <f t="shared" ref="Z289:AE289" si="426">SUM(Z287:Z288)</f>
        <v>0</v>
      </c>
      <c r="AA289" s="131">
        <f t="shared" si="426"/>
        <v>0</v>
      </c>
      <c r="AB289" s="131">
        <f t="shared" si="426"/>
        <v>0</v>
      </c>
      <c r="AC289" s="131">
        <f t="shared" si="426"/>
        <v>0</v>
      </c>
      <c r="AD289" s="131">
        <f t="shared" si="426"/>
        <v>0</v>
      </c>
      <c r="AE289" s="131">
        <f t="shared" si="426"/>
        <v>0</v>
      </c>
      <c r="AF289" s="131">
        <f t="shared" ref="AF289:AQ289" si="427">SUM(AF287:AF288)</f>
        <v>0</v>
      </c>
      <c r="AG289" s="131">
        <f t="shared" si="427"/>
        <v>0</v>
      </c>
      <c r="AH289" s="131">
        <f t="shared" si="427"/>
        <v>0</v>
      </c>
      <c r="AI289" s="131">
        <f t="shared" si="427"/>
        <v>0</v>
      </c>
      <c r="AJ289" s="131">
        <f t="shared" si="427"/>
        <v>0</v>
      </c>
      <c r="AK289" s="131">
        <f t="shared" si="427"/>
        <v>0</v>
      </c>
      <c r="AL289" s="131">
        <f t="shared" si="427"/>
        <v>0</v>
      </c>
      <c r="AM289" s="131">
        <f t="shared" si="427"/>
        <v>0</v>
      </c>
      <c r="AN289" s="131">
        <f t="shared" si="427"/>
        <v>0</v>
      </c>
      <c r="AO289" s="131">
        <f t="shared" si="427"/>
        <v>0</v>
      </c>
      <c r="AP289" s="131">
        <f t="shared" si="427"/>
        <v>0</v>
      </c>
      <c r="AQ289" s="131">
        <f t="shared" si="427"/>
        <v>0</v>
      </c>
      <c r="AR289" s="131">
        <f>SUM(G289:R289)</f>
        <v>0</v>
      </c>
      <c r="AS289" s="131">
        <f>SUM(T289:AE289)</f>
        <v>0</v>
      </c>
      <c r="AT289" s="131">
        <f>SUM(AF289:AQ289)</f>
        <v>0</v>
      </c>
      <c r="AU289" s="621"/>
      <c r="AV289" s="621"/>
    </row>
    <row r="290" spans="2:48">
      <c r="B290" s="250">
        <v>645</v>
      </c>
      <c r="C290" s="212"/>
      <c r="D290" s="102"/>
      <c r="E290" s="102"/>
      <c r="F290" s="102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71"/>
      <c r="AV290" s="171"/>
    </row>
    <row r="291" spans="2:48">
      <c r="B291" s="250">
        <v>646</v>
      </c>
      <c r="C291" s="212">
        <v>874</v>
      </c>
      <c r="D291" s="102" t="s">
        <v>380</v>
      </c>
      <c r="E291" s="102"/>
      <c r="F291" s="102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71"/>
      <c r="AV291" s="171"/>
    </row>
    <row r="292" spans="2:48">
      <c r="B292" s="250">
        <v>647</v>
      </c>
      <c r="C292" s="212"/>
      <c r="D292" s="102"/>
      <c r="E292" s="102" t="s">
        <v>14</v>
      </c>
      <c r="F292" s="102"/>
      <c r="G292" s="186">
        <v>369869.18000000005</v>
      </c>
      <c r="H292" s="186">
        <v>217474.15000000002</v>
      </c>
      <c r="I292" s="186">
        <v>331211.09000000003</v>
      </c>
      <c r="J292" s="186">
        <v>251197.18</v>
      </c>
      <c r="K292" s="186">
        <v>316531.28000000003</v>
      </c>
      <c r="L292" s="186">
        <v>389937.01</v>
      </c>
      <c r="M292" s="186">
        <v>189983.33</v>
      </c>
      <c r="N292" s="186">
        <v>332173.81</v>
      </c>
      <c r="O292" s="186">
        <v>320675.90000000002</v>
      </c>
      <c r="P292" s="186">
        <v>478451.25</v>
      </c>
      <c r="Q292" s="186">
        <v>335730.88999999996</v>
      </c>
      <c r="R292" s="186">
        <v>194838.97</v>
      </c>
      <c r="S292" s="186"/>
      <c r="T292" s="186">
        <f t="shared" ref="T292:W293" si="428">G292*(1+$AU$264)</f>
        <v>348520.70835507405</v>
      </c>
      <c r="U292" s="186">
        <f t="shared" si="428"/>
        <v>204921.76397859812</v>
      </c>
      <c r="V292" s="186">
        <f t="shared" si="428"/>
        <v>312093.9238620968</v>
      </c>
      <c r="W292" s="186">
        <f t="shared" si="428"/>
        <v>236698.3350989045</v>
      </c>
      <c r="X292" s="186">
        <f t="shared" ref="X292:AE293" si="429">K292*(1+$AU$264)</f>
        <v>298261.41751561529</v>
      </c>
      <c r="Y292" s="186">
        <f t="shared" si="429"/>
        <v>367430.24368523911</v>
      </c>
      <c r="Z292" s="186">
        <f t="shared" si="429"/>
        <v>179017.68605660999</v>
      </c>
      <c r="AA292" s="186">
        <f t="shared" si="429"/>
        <v>313001.07664608269</v>
      </c>
      <c r="AB292" s="186">
        <f t="shared" si="429"/>
        <v>302166.81427849946</v>
      </c>
      <c r="AC292" s="186">
        <f t="shared" si="429"/>
        <v>450835.53207480168</v>
      </c>
      <c r="AD292" s="186">
        <f t="shared" si="429"/>
        <v>316352.84561822482</v>
      </c>
      <c r="AE292" s="186">
        <f t="shared" si="429"/>
        <v>183593.06347063847</v>
      </c>
      <c r="AF292" s="186">
        <f t="shared" ref="AF292:AQ293" si="430">T292*(1+$AV$264)</f>
        <v>350643.35789357842</v>
      </c>
      <c r="AG292" s="186">
        <f t="shared" si="430"/>
        <v>206169.83067108146</v>
      </c>
      <c r="AH292" s="186">
        <f t="shared" si="430"/>
        <v>313994.71772477013</v>
      </c>
      <c r="AI292" s="186">
        <f t="shared" si="430"/>
        <v>238139.93555396429</v>
      </c>
      <c r="AJ292" s="186">
        <f t="shared" si="430"/>
        <v>300077.96512689284</v>
      </c>
      <c r="AK292" s="186">
        <f t="shared" si="430"/>
        <v>369668.06088947947</v>
      </c>
      <c r="AL292" s="186">
        <f t="shared" si="430"/>
        <v>180107.98513951281</v>
      </c>
      <c r="AM292" s="186">
        <f t="shared" si="430"/>
        <v>314907.39548156859</v>
      </c>
      <c r="AN292" s="186">
        <f t="shared" si="430"/>
        <v>304007.1475313119</v>
      </c>
      <c r="AO292" s="186">
        <f t="shared" si="430"/>
        <v>453581.32539829332</v>
      </c>
      <c r="AP292" s="186">
        <f t="shared" si="430"/>
        <v>318279.57825034129</v>
      </c>
      <c r="AQ292" s="186">
        <f t="shared" si="430"/>
        <v>184711.22868179006</v>
      </c>
      <c r="AR292" s="186">
        <f>SUM(G292:R292)</f>
        <v>3728074.0400000005</v>
      </c>
      <c r="AS292" s="186">
        <f>SUM(T292:AE292)</f>
        <v>3512893.410640385</v>
      </c>
      <c r="AT292" s="186">
        <f>SUM(AF292:AQ292)</f>
        <v>3534288.5283425846</v>
      </c>
      <c r="AU292" s="171"/>
      <c r="AV292" s="171"/>
    </row>
    <row r="293" spans="2:48">
      <c r="B293" s="250">
        <v>648</v>
      </c>
      <c r="C293" s="212"/>
      <c r="D293" s="102"/>
      <c r="E293" s="102" t="s">
        <v>24</v>
      </c>
      <c r="F293" s="102"/>
      <c r="G293" s="186">
        <v>12915.67</v>
      </c>
      <c r="H293" s="186">
        <v>2093.2400000000002</v>
      </c>
      <c r="I293" s="186">
        <v>3081.92</v>
      </c>
      <c r="J293" s="186">
        <v>6336.4800000000005</v>
      </c>
      <c r="K293" s="186">
        <v>7804.24</v>
      </c>
      <c r="L293" s="186">
        <v>7745.07</v>
      </c>
      <c r="M293" s="186">
        <v>10237.450000000001</v>
      </c>
      <c r="N293" s="186">
        <v>8594.3700000000008</v>
      </c>
      <c r="O293" s="186">
        <v>9566.41</v>
      </c>
      <c r="P293" s="186">
        <v>5799.4000000000005</v>
      </c>
      <c r="Q293" s="186">
        <v>10899.9</v>
      </c>
      <c r="R293" s="186">
        <v>8687.15</v>
      </c>
      <c r="S293" s="186"/>
      <c r="T293" s="186">
        <f t="shared" si="428"/>
        <v>12170.190707104546</v>
      </c>
      <c r="U293" s="186">
        <f t="shared" si="428"/>
        <v>1972.4203231996112</v>
      </c>
      <c r="V293" s="186">
        <f t="shared" si="428"/>
        <v>2904.0347224758484</v>
      </c>
      <c r="W293" s="186">
        <f t="shared" si="428"/>
        <v>5970.7448403182971</v>
      </c>
      <c r="X293" s="186">
        <f t="shared" si="429"/>
        <v>7353.7872308609294</v>
      </c>
      <c r="Y293" s="186">
        <f t="shared" si="429"/>
        <v>7298.0324628822354</v>
      </c>
      <c r="Z293" s="186">
        <f t="shared" si="429"/>
        <v>9646.5548325752698</v>
      </c>
      <c r="AA293" s="186">
        <f t="shared" si="429"/>
        <v>8098.3117335312918</v>
      </c>
      <c r="AB293" s="186">
        <f t="shared" si="429"/>
        <v>9014.2465766276164</v>
      </c>
      <c r="AC293" s="186">
        <f t="shared" si="429"/>
        <v>5464.6645498671078</v>
      </c>
      <c r="AD293" s="186">
        <f t="shared" si="429"/>
        <v>10270.768894557452</v>
      </c>
      <c r="AE293" s="186">
        <f t="shared" si="429"/>
        <v>8185.7365666065525</v>
      </c>
      <c r="AF293" s="186">
        <f t="shared" si="430"/>
        <v>12244.312700629323</v>
      </c>
      <c r="AG293" s="186">
        <f t="shared" si="430"/>
        <v>1984.4332595572143</v>
      </c>
      <c r="AH293" s="186">
        <f t="shared" si="430"/>
        <v>2921.7216140024884</v>
      </c>
      <c r="AI293" s="186">
        <f t="shared" si="430"/>
        <v>6007.1093904755771</v>
      </c>
      <c r="AJ293" s="186">
        <f t="shared" si="430"/>
        <v>7398.5751378565246</v>
      </c>
      <c r="AK293" s="186">
        <f t="shared" si="430"/>
        <v>7342.4807979967854</v>
      </c>
      <c r="AL293" s="186">
        <f t="shared" si="430"/>
        <v>9705.3067364726467</v>
      </c>
      <c r="AM293" s="186">
        <f t="shared" si="430"/>
        <v>8147.6341331814483</v>
      </c>
      <c r="AN293" s="186">
        <f t="shared" si="430"/>
        <v>9069.1474358223277</v>
      </c>
      <c r="AO293" s="186">
        <f t="shared" si="430"/>
        <v>5497.9468410101599</v>
      </c>
      <c r="AP293" s="186">
        <f t="shared" si="430"/>
        <v>10333.322545836922</v>
      </c>
      <c r="AQ293" s="186">
        <f t="shared" si="430"/>
        <v>8235.591423230233</v>
      </c>
      <c r="AR293" s="186">
        <f>SUM(G293:R293)</f>
        <v>93761.299999999988</v>
      </c>
      <c r="AS293" s="186">
        <f>SUM(T293:AE293)</f>
        <v>88349.493440606748</v>
      </c>
      <c r="AT293" s="186">
        <f>SUM(AF293:AQ293)</f>
        <v>88887.582016071654</v>
      </c>
      <c r="AU293" s="171"/>
      <c r="AV293" s="171"/>
    </row>
    <row r="294" spans="2:48">
      <c r="B294" s="250">
        <v>649</v>
      </c>
      <c r="C294" s="212"/>
      <c r="D294" s="102"/>
      <c r="E294" s="102" t="s">
        <v>170</v>
      </c>
      <c r="F294" s="102"/>
      <c r="G294" s="1216">
        <v>382784.85000000003</v>
      </c>
      <c r="H294" s="1216">
        <v>219567.39</v>
      </c>
      <c r="I294" s="1216">
        <v>334293.01</v>
      </c>
      <c r="J294" s="1216">
        <v>257533.66</v>
      </c>
      <c r="K294" s="1216">
        <v>324335.52</v>
      </c>
      <c r="L294" s="1216">
        <v>397682.08</v>
      </c>
      <c r="M294" s="1216">
        <v>200220.78</v>
      </c>
      <c r="N294" s="1216">
        <v>340768.18</v>
      </c>
      <c r="O294" s="1216">
        <v>330242.31</v>
      </c>
      <c r="P294" s="1216">
        <v>484250.65</v>
      </c>
      <c r="Q294" s="1216">
        <v>346630.79</v>
      </c>
      <c r="R294" s="1216">
        <v>203526.12</v>
      </c>
      <c r="S294" s="620"/>
      <c r="T294" s="131">
        <f t="shared" ref="T294:Y294" si="431">SUM(T292:T293)</f>
        <v>360690.89906217862</v>
      </c>
      <c r="U294" s="131">
        <f t="shared" si="431"/>
        <v>206894.18430179774</v>
      </c>
      <c r="V294" s="131">
        <f t="shared" si="431"/>
        <v>314997.95858457265</v>
      </c>
      <c r="W294" s="131">
        <f t="shared" si="431"/>
        <v>242669.07993922281</v>
      </c>
      <c r="X294" s="131">
        <f t="shared" si="431"/>
        <v>305615.2047464762</v>
      </c>
      <c r="Y294" s="131">
        <f t="shared" si="431"/>
        <v>374728.27614812134</v>
      </c>
      <c r="Z294" s="131">
        <f t="shared" ref="Z294:AE294" si="432">SUM(Z292:Z293)</f>
        <v>188664.24088918525</v>
      </c>
      <c r="AA294" s="131">
        <f t="shared" si="432"/>
        <v>321099.38837961399</v>
      </c>
      <c r="AB294" s="131">
        <f t="shared" si="432"/>
        <v>311181.06085512706</v>
      </c>
      <c r="AC294" s="131">
        <f t="shared" si="432"/>
        <v>456300.19662466878</v>
      </c>
      <c r="AD294" s="131">
        <f t="shared" si="432"/>
        <v>326623.61451278225</v>
      </c>
      <c r="AE294" s="131">
        <f t="shared" si="432"/>
        <v>191778.80003724503</v>
      </c>
      <c r="AF294" s="131">
        <f t="shared" ref="AF294:AQ294" si="433">SUM(AF292:AF293)</f>
        <v>362887.67059420777</v>
      </c>
      <c r="AG294" s="131">
        <f t="shared" si="433"/>
        <v>208154.26393063867</v>
      </c>
      <c r="AH294" s="131">
        <f t="shared" si="433"/>
        <v>316916.43933877262</v>
      </c>
      <c r="AI294" s="131">
        <f t="shared" si="433"/>
        <v>244147.04494443987</v>
      </c>
      <c r="AJ294" s="131">
        <f t="shared" si="433"/>
        <v>307476.54026474938</v>
      </c>
      <c r="AK294" s="131">
        <f t="shared" si="433"/>
        <v>377010.54168747627</v>
      </c>
      <c r="AL294" s="131">
        <f t="shared" si="433"/>
        <v>189813.29187598545</v>
      </c>
      <c r="AM294" s="131">
        <f t="shared" si="433"/>
        <v>323055.02961475006</v>
      </c>
      <c r="AN294" s="131">
        <f t="shared" si="433"/>
        <v>313076.29496713425</v>
      </c>
      <c r="AO294" s="131">
        <f t="shared" si="433"/>
        <v>459079.27223930351</v>
      </c>
      <c r="AP294" s="131">
        <f t="shared" si="433"/>
        <v>328612.9007961782</v>
      </c>
      <c r="AQ294" s="131">
        <f t="shared" si="433"/>
        <v>192946.82010502031</v>
      </c>
      <c r="AR294" s="131">
        <f>SUM(G294:R294)</f>
        <v>3821835.3400000003</v>
      </c>
      <c r="AS294" s="131">
        <f>SUM(T294:AE294)</f>
        <v>3601242.9040809916</v>
      </c>
      <c r="AT294" s="131">
        <f>SUM(AF294:AQ294)</f>
        <v>3623176.1103586568</v>
      </c>
      <c r="AU294" s="621"/>
      <c r="AV294" s="621"/>
    </row>
    <row r="295" spans="2:48">
      <c r="B295" s="250">
        <v>650</v>
      </c>
      <c r="C295" s="212"/>
      <c r="D295" s="102"/>
      <c r="E295" s="102"/>
      <c r="F295" s="102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71"/>
      <c r="AV295" s="171"/>
    </row>
    <row r="296" spans="2:48">
      <c r="B296" s="250">
        <v>651</v>
      </c>
      <c r="C296" s="212">
        <v>875</v>
      </c>
      <c r="D296" s="102" t="s">
        <v>381</v>
      </c>
      <c r="E296" s="102"/>
      <c r="F296" s="102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71"/>
      <c r="AV296" s="171"/>
    </row>
    <row r="297" spans="2:48">
      <c r="B297" s="250">
        <v>652</v>
      </c>
      <c r="C297" s="212"/>
      <c r="D297" s="102"/>
      <c r="E297" s="102" t="s">
        <v>14</v>
      </c>
      <c r="F297" s="102"/>
      <c r="G297" s="186">
        <v>111537.29000000001</v>
      </c>
      <c r="H297" s="186">
        <v>127686.85</v>
      </c>
      <c r="I297" s="186">
        <v>119199.84</v>
      </c>
      <c r="J297" s="186">
        <v>93599.53</v>
      </c>
      <c r="K297" s="186">
        <v>100231.55</v>
      </c>
      <c r="L297" s="186">
        <v>98425.38</v>
      </c>
      <c r="M297" s="186">
        <v>108935.56000000001</v>
      </c>
      <c r="N297" s="186">
        <v>118749.88</v>
      </c>
      <c r="O297" s="186">
        <v>119231.63</v>
      </c>
      <c r="P297" s="186">
        <v>79019.14</v>
      </c>
      <c r="Q297" s="186">
        <v>141642.12</v>
      </c>
      <c r="R297" s="186">
        <v>116113.23000000001</v>
      </c>
      <c r="S297" s="186"/>
      <c r="T297" s="186">
        <f t="shared" ref="T297:W298" si="434">G297*(1+$AU$264)</f>
        <v>105099.47143691538</v>
      </c>
      <c r="U297" s="186">
        <f t="shared" si="434"/>
        <v>120316.89531317014</v>
      </c>
      <c r="V297" s="186">
        <f t="shared" si="434"/>
        <v>112319.74686999193</v>
      </c>
      <c r="W297" s="186">
        <f t="shared" si="434"/>
        <v>88197.060639932199</v>
      </c>
      <c r="X297" s="186">
        <f t="shared" ref="X297:AE298" si="435">K297*(1+$AU$264)</f>
        <v>94446.287213027637</v>
      </c>
      <c r="Y297" s="186">
        <f t="shared" si="435"/>
        <v>92744.367502362147</v>
      </c>
      <c r="Z297" s="186">
        <f t="shared" si="435"/>
        <v>102647.9106376386</v>
      </c>
      <c r="AA297" s="186">
        <f t="shared" si="435"/>
        <v>111895.75810204039</v>
      </c>
      <c r="AB297" s="186">
        <f t="shared" si="435"/>
        <v>112349.70198363133</v>
      </c>
      <c r="AC297" s="186">
        <f t="shared" si="435"/>
        <v>74458.235872501624</v>
      </c>
      <c r="AD297" s="186">
        <f t="shared" si="435"/>
        <v>133466.68136911109</v>
      </c>
      <c r="AE297" s="186">
        <f t="shared" si="435"/>
        <v>109411.29284953029</v>
      </c>
      <c r="AF297" s="186">
        <f t="shared" ref="AF297:AQ298" si="436">T297*(1+$AV$264)</f>
        <v>105739.57499229819</v>
      </c>
      <c r="AG297" s="186">
        <f t="shared" si="436"/>
        <v>121049.67989723734</v>
      </c>
      <c r="AH297" s="186">
        <f t="shared" si="436"/>
        <v>113003.8251848323</v>
      </c>
      <c r="AI297" s="186">
        <f t="shared" si="436"/>
        <v>88734.220830350663</v>
      </c>
      <c r="AJ297" s="186">
        <f t="shared" si="436"/>
        <v>95021.508033943494</v>
      </c>
      <c r="AK297" s="186">
        <f t="shared" si="436"/>
        <v>93309.222858610301</v>
      </c>
      <c r="AL297" s="186">
        <f t="shared" si="436"/>
        <v>103273.08307336496</v>
      </c>
      <c r="AM297" s="186">
        <f t="shared" si="436"/>
        <v>112577.25413255433</v>
      </c>
      <c r="AN297" s="186">
        <f t="shared" si="436"/>
        <v>113033.96273873026</v>
      </c>
      <c r="AO297" s="186">
        <f t="shared" si="436"/>
        <v>74911.720374924917</v>
      </c>
      <c r="AP297" s="186">
        <f t="shared" si="436"/>
        <v>134279.55412766527</v>
      </c>
      <c r="AQ297" s="186">
        <f t="shared" si="436"/>
        <v>110077.65735731044</v>
      </c>
      <c r="AR297" s="186">
        <f>SUM(G297:R297)</f>
        <v>1334372</v>
      </c>
      <c r="AS297" s="186">
        <f>SUM(T297:AE297)</f>
        <v>1257353.4097898528</v>
      </c>
      <c r="AT297" s="186">
        <f>SUM(AF297:AQ297)</f>
        <v>1265011.2636018223</v>
      </c>
      <c r="AU297" s="171"/>
      <c r="AV297" s="171"/>
    </row>
    <row r="298" spans="2:48">
      <c r="B298" s="250">
        <v>653</v>
      </c>
      <c r="C298" s="212"/>
      <c r="D298" s="102"/>
      <c r="E298" s="102" t="s">
        <v>24</v>
      </c>
      <c r="F298" s="102"/>
      <c r="G298" s="186">
        <v>5295.75</v>
      </c>
      <c r="H298" s="186">
        <v>4005.13</v>
      </c>
      <c r="I298" s="186">
        <v>6463.08</v>
      </c>
      <c r="J298" s="186">
        <v>3218.13</v>
      </c>
      <c r="K298" s="186">
        <v>1151.6100000000001</v>
      </c>
      <c r="L298" s="186">
        <v>7713.6500000000005</v>
      </c>
      <c r="M298" s="186">
        <v>3807.54</v>
      </c>
      <c r="N298" s="186">
        <v>2980.7000000000003</v>
      </c>
      <c r="O298" s="186">
        <v>10299.74</v>
      </c>
      <c r="P298" s="186">
        <v>2902.98</v>
      </c>
      <c r="Q298" s="186">
        <v>9262.01</v>
      </c>
      <c r="R298" s="186">
        <v>2682.48</v>
      </c>
      <c r="S298" s="186"/>
      <c r="T298" s="186">
        <f t="shared" si="434"/>
        <v>4990.0847139288089</v>
      </c>
      <c r="U298" s="186">
        <f t="shared" si="434"/>
        <v>3773.9579833446992</v>
      </c>
      <c r="V298" s="186">
        <f t="shared" si="434"/>
        <v>6090.0376175044148</v>
      </c>
      <c r="W298" s="186">
        <f t="shared" si="434"/>
        <v>3032.3828202682753</v>
      </c>
      <c r="X298" s="186">
        <f t="shared" si="435"/>
        <v>1085.1402459344863</v>
      </c>
      <c r="Y298" s="186">
        <f t="shared" si="435"/>
        <v>7268.425993220405</v>
      </c>
      <c r="Z298" s="186">
        <f t="shared" si="435"/>
        <v>3587.7726765184339</v>
      </c>
      <c r="AA298" s="186">
        <f t="shared" si="435"/>
        <v>2808.6570375881797</v>
      </c>
      <c r="AB298" s="186">
        <f t="shared" si="435"/>
        <v>9705.2495173376974</v>
      </c>
      <c r="AC298" s="186">
        <f t="shared" si="435"/>
        <v>2735.4229566805557</v>
      </c>
      <c r="AD298" s="186">
        <f t="shared" si="435"/>
        <v>8727.4162340094917</v>
      </c>
      <c r="AE298" s="186">
        <f t="shared" si="435"/>
        <v>2527.6499916762973</v>
      </c>
      <c r="AF298" s="186">
        <f t="shared" si="436"/>
        <v>5020.4765981445589</v>
      </c>
      <c r="AG298" s="186">
        <f t="shared" si="436"/>
        <v>3796.9431029649659</v>
      </c>
      <c r="AH298" s="186">
        <f t="shared" si="436"/>
        <v>6127.1287149008422</v>
      </c>
      <c r="AI298" s="186">
        <f t="shared" si="436"/>
        <v>3050.8514100527686</v>
      </c>
      <c r="AJ298" s="186">
        <f t="shared" si="436"/>
        <v>1091.7492432968429</v>
      </c>
      <c r="AK298" s="186">
        <f t="shared" si="436"/>
        <v>7312.6940114767085</v>
      </c>
      <c r="AL298" s="186">
        <f t="shared" si="436"/>
        <v>3609.6238429871751</v>
      </c>
      <c r="AM298" s="186">
        <f t="shared" si="436"/>
        <v>2825.7630356586865</v>
      </c>
      <c r="AN298" s="186">
        <f t="shared" si="436"/>
        <v>9764.35889854571</v>
      </c>
      <c r="AO298" s="186">
        <f t="shared" si="436"/>
        <v>2752.0829259088309</v>
      </c>
      <c r="AP298" s="186">
        <f t="shared" si="436"/>
        <v>8780.5701660351951</v>
      </c>
      <c r="AQ298" s="186">
        <f t="shared" si="436"/>
        <v>2543.0445291017923</v>
      </c>
      <c r="AR298" s="186">
        <f>SUM(G298:R298)</f>
        <v>59782.80000000001</v>
      </c>
      <c r="AS298" s="186">
        <f>SUM(T298:AE298)</f>
        <v>56332.197788011748</v>
      </c>
      <c r="AT298" s="186">
        <f>SUM(AF298:AQ298)</f>
        <v>56675.286479074064</v>
      </c>
      <c r="AU298" s="171"/>
      <c r="AV298" s="171"/>
    </row>
    <row r="299" spans="2:48">
      <c r="B299" s="250">
        <v>654</v>
      </c>
      <c r="C299" s="212"/>
      <c r="D299" s="102"/>
      <c r="E299" s="102" t="s">
        <v>170</v>
      </c>
      <c r="F299" s="102"/>
      <c r="G299" s="1216">
        <v>116833.04000000001</v>
      </c>
      <c r="H299" s="1216">
        <v>131691.98000000001</v>
      </c>
      <c r="I299" s="1216">
        <v>125662.92</v>
      </c>
      <c r="J299" s="1216">
        <v>96817.66</v>
      </c>
      <c r="K299" s="1216">
        <v>101383.16</v>
      </c>
      <c r="L299" s="1216">
        <v>106139.03</v>
      </c>
      <c r="M299" s="1216">
        <v>112743.1</v>
      </c>
      <c r="N299" s="1216">
        <v>121730.58</v>
      </c>
      <c r="O299" s="1216">
        <v>129531.37000000001</v>
      </c>
      <c r="P299" s="1216">
        <v>81922.12</v>
      </c>
      <c r="Q299" s="1216">
        <v>150904.13</v>
      </c>
      <c r="R299" s="1216">
        <v>118795.71</v>
      </c>
      <c r="S299" s="620"/>
      <c r="T299" s="131">
        <f t="shared" ref="T299:Y299" si="437">SUM(T297:T298)</f>
        <v>110089.55615084419</v>
      </c>
      <c r="U299" s="131">
        <f t="shared" si="437"/>
        <v>124090.85329651485</v>
      </c>
      <c r="V299" s="131">
        <f t="shared" si="437"/>
        <v>118409.78448749633</v>
      </c>
      <c r="W299" s="131">
        <f t="shared" si="437"/>
        <v>91229.443460200477</v>
      </c>
      <c r="X299" s="131">
        <f t="shared" si="437"/>
        <v>95531.42745896212</v>
      </c>
      <c r="Y299" s="131">
        <f t="shared" si="437"/>
        <v>100012.79349558255</v>
      </c>
      <c r="Z299" s="131">
        <f t="shared" ref="Z299:AE299" si="438">SUM(Z297:Z298)</f>
        <v>106235.68331415704</v>
      </c>
      <c r="AA299" s="131">
        <f t="shared" si="438"/>
        <v>114704.41513962857</v>
      </c>
      <c r="AB299" s="131">
        <f t="shared" si="438"/>
        <v>122054.95150096902</v>
      </c>
      <c r="AC299" s="131">
        <f t="shared" si="438"/>
        <v>77193.658829182183</v>
      </c>
      <c r="AD299" s="131">
        <f t="shared" si="438"/>
        <v>142194.09760312058</v>
      </c>
      <c r="AE299" s="131">
        <f t="shared" si="438"/>
        <v>111938.94284120659</v>
      </c>
      <c r="AF299" s="131">
        <f t="shared" ref="AF299:AQ299" si="439">SUM(AF297:AF298)</f>
        <v>110760.05159044274</v>
      </c>
      <c r="AG299" s="131">
        <f t="shared" si="439"/>
        <v>124846.62300020231</v>
      </c>
      <c r="AH299" s="131">
        <f t="shared" si="439"/>
        <v>119130.95389973314</v>
      </c>
      <c r="AI299" s="131">
        <f t="shared" si="439"/>
        <v>91785.072240403431</v>
      </c>
      <c r="AJ299" s="131">
        <f t="shared" si="439"/>
        <v>96113.257277240336</v>
      </c>
      <c r="AK299" s="131">
        <f t="shared" si="439"/>
        <v>100621.91687008701</v>
      </c>
      <c r="AL299" s="131">
        <f t="shared" si="439"/>
        <v>106882.70691635214</v>
      </c>
      <c r="AM299" s="131">
        <f t="shared" si="439"/>
        <v>115403.01716821302</v>
      </c>
      <c r="AN299" s="131">
        <f t="shared" si="439"/>
        <v>122798.32163727598</v>
      </c>
      <c r="AO299" s="131">
        <f t="shared" si="439"/>
        <v>77663.803300833752</v>
      </c>
      <c r="AP299" s="131">
        <f t="shared" si="439"/>
        <v>143060.12429370047</v>
      </c>
      <c r="AQ299" s="131">
        <f t="shared" si="439"/>
        <v>112620.70188641224</v>
      </c>
      <c r="AR299" s="131">
        <f>SUM(G299:R299)</f>
        <v>1394154.7999999998</v>
      </c>
      <c r="AS299" s="131">
        <f>SUM(T299:AE299)</f>
        <v>1313685.6075778645</v>
      </c>
      <c r="AT299" s="131">
        <f>SUM(AF299:AQ299)</f>
        <v>1321686.5500808968</v>
      </c>
      <c r="AU299" s="621"/>
      <c r="AV299" s="621"/>
    </row>
    <row r="300" spans="2:48">
      <c r="B300" s="250">
        <v>655</v>
      </c>
      <c r="C300" s="212"/>
      <c r="D300" s="102"/>
      <c r="E300" s="102"/>
      <c r="F300" s="102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71"/>
      <c r="AV300" s="171"/>
    </row>
    <row r="301" spans="2:48">
      <c r="B301" s="250">
        <v>656</v>
      </c>
      <c r="C301" s="212">
        <v>878</v>
      </c>
      <c r="D301" s="102" t="s">
        <v>382</v>
      </c>
      <c r="E301" s="102"/>
      <c r="F301" s="102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71"/>
      <c r="AV301" s="171"/>
    </row>
    <row r="302" spans="2:48">
      <c r="B302" s="250">
        <v>657</v>
      </c>
      <c r="C302" s="212"/>
      <c r="D302" s="102"/>
      <c r="E302" s="102" t="s">
        <v>14</v>
      </c>
      <c r="F302" s="102"/>
      <c r="G302" s="186">
        <v>154702.31999999998</v>
      </c>
      <c r="H302" s="186">
        <v>131240.1</v>
      </c>
      <c r="I302" s="186">
        <v>162568.19</v>
      </c>
      <c r="J302" s="186">
        <v>133800.02000000002</v>
      </c>
      <c r="K302" s="186">
        <v>153862.27000000002</v>
      </c>
      <c r="L302" s="186">
        <v>156045.37</v>
      </c>
      <c r="M302" s="186">
        <v>140202.70000000001</v>
      </c>
      <c r="N302" s="186">
        <v>171366.96000000002</v>
      </c>
      <c r="O302" s="186">
        <v>155781.77000000002</v>
      </c>
      <c r="P302" s="186">
        <v>203094.92</v>
      </c>
      <c r="Q302" s="186">
        <v>205401.71000000002</v>
      </c>
      <c r="R302" s="186">
        <v>194324.51</v>
      </c>
      <c r="S302" s="186"/>
      <c r="T302" s="186">
        <f t="shared" ref="T302:W303" si="440">G302*(1+$AU$264)</f>
        <v>145773.059952098</v>
      </c>
      <c r="U302" s="186">
        <f t="shared" si="440"/>
        <v>123665.05534900406</v>
      </c>
      <c r="V302" s="186">
        <f t="shared" si="440"/>
        <v>153184.91996224789</v>
      </c>
      <c r="W302" s="186">
        <f t="shared" si="440"/>
        <v>126077.21937881678</v>
      </c>
      <c r="X302" s="186">
        <f t="shared" ref="X302:AE303" si="441">K302*(1+$AU$264)</f>
        <v>144981.49678088792</v>
      </c>
      <c r="Y302" s="186">
        <f t="shared" si="441"/>
        <v>147038.59047658314</v>
      </c>
      <c r="Z302" s="186">
        <f t="shared" si="441"/>
        <v>132110.34322268737</v>
      </c>
      <c r="AA302" s="186">
        <f t="shared" si="441"/>
        <v>161475.83393635458</v>
      </c>
      <c r="AB302" s="186">
        <f t="shared" si="441"/>
        <v>146790.20519959848</v>
      </c>
      <c r="AC302" s="186">
        <f t="shared" si="441"/>
        <v>191372.48846123673</v>
      </c>
      <c r="AD302" s="186">
        <f t="shared" si="441"/>
        <v>193546.13289634863</v>
      </c>
      <c r="AE302" s="186">
        <f t="shared" si="441"/>
        <v>183108.29757686937</v>
      </c>
      <c r="AF302" s="186">
        <f t="shared" ref="AF302:AQ303" si="442">T302*(1+$AV$264)</f>
        <v>146660.88415024706</v>
      </c>
      <c r="AG302" s="186">
        <f t="shared" si="442"/>
        <v>124418.23174963919</v>
      </c>
      <c r="AH302" s="186">
        <f t="shared" si="442"/>
        <v>154117.88575701616</v>
      </c>
      <c r="AI302" s="186">
        <f t="shared" si="442"/>
        <v>126845.086954874</v>
      </c>
      <c r="AJ302" s="186">
        <f t="shared" si="442"/>
        <v>145864.49999950896</v>
      </c>
      <c r="AK302" s="186">
        <f t="shared" si="442"/>
        <v>147934.12233088969</v>
      </c>
      <c r="AL302" s="186">
        <f t="shared" si="442"/>
        <v>132914.95526538868</v>
      </c>
      <c r="AM302" s="186">
        <f t="shared" si="442"/>
        <v>162459.29516596795</v>
      </c>
      <c r="AN302" s="186">
        <f t="shared" si="442"/>
        <v>147684.22427466142</v>
      </c>
      <c r="AO302" s="186">
        <f t="shared" si="442"/>
        <v>192538.03390681988</v>
      </c>
      <c r="AP302" s="186">
        <f t="shared" si="442"/>
        <v>194724.91682459996</v>
      </c>
      <c r="AQ302" s="186">
        <f t="shared" si="442"/>
        <v>184223.51034337125</v>
      </c>
      <c r="AR302" s="186">
        <f>SUM(G302:R302)</f>
        <v>1962390.8399999999</v>
      </c>
      <c r="AS302" s="186">
        <f>SUM(T302:AE302)</f>
        <v>1849123.6431927329</v>
      </c>
      <c r="AT302" s="186">
        <f>SUM(AF302:AQ302)</f>
        <v>1860385.646722984</v>
      </c>
      <c r="AU302" s="171"/>
      <c r="AV302" s="171"/>
    </row>
    <row r="303" spans="2:48">
      <c r="B303" s="250">
        <v>658</v>
      </c>
      <c r="C303" s="212"/>
      <c r="D303" s="102"/>
      <c r="E303" s="102" t="s">
        <v>24</v>
      </c>
      <c r="F303" s="102"/>
      <c r="G303" s="186">
        <v>6606.7</v>
      </c>
      <c r="H303" s="186">
        <v>10309.51</v>
      </c>
      <c r="I303" s="186">
        <v>12051.58</v>
      </c>
      <c r="J303" s="186">
        <v>17170.740000000002</v>
      </c>
      <c r="K303" s="186">
        <v>8240.4600000000009</v>
      </c>
      <c r="L303" s="186">
        <v>9147.2800000000007</v>
      </c>
      <c r="M303" s="186">
        <v>19137.5</v>
      </c>
      <c r="N303" s="186">
        <v>10781.39</v>
      </c>
      <c r="O303" s="186">
        <v>10342.24</v>
      </c>
      <c r="P303" s="186">
        <v>12610.630000000001</v>
      </c>
      <c r="Q303" s="186">
        <v>16423.21</v>
      </c>
      <c r="R303" s="186">
        <v>26060.86</v>
      </c>
      <c r="S303" s="186"/>
      <c r="T303" s="186">
        <f t="shared" si="440"/>
        <v>6225.3680176582093</v>
      </c>
      <c r="U303" s="186">
        <f t="shared" si="440"/>
        <v>9714.4556029072737</v>
      </c>
      <c r="V303" s="186">
        <f t="shared" si="440"/>
        <v>11355.975100163367</v>
      </c>
      <c r="W303" s="186">
        <f t="shared" si="440"/>
        <v>16179.66240869489</v>
      </c>
      <c r="X303" s="186">
        <f t="shared" si="441"/>
        <v>7764.8290575918045</v>
      </c>
      <c r="Y303" s="186">
        <f t="shared" si="441"/>
        <v>8619.3083325358475</v>
      </c>
      <c r="Z303" s="186">
        <f t="shared" si="441"/>
        <v>18032.903028430832</v>
      </c>
      <c r="AA303" s="186">
        <f t="shared" si="441"/>
        <v>10159.09917082659</v>
      </c>
      <c r="AB303" s="186">
        <f t="shared" si="441"/>
        <v>9745.2964607058639</v>
      </c>
      <c r="AC303" s="186">
        <f t="shared" si="441"/>
        <v>11882.757304633349</v>
      </c>
      <c r="AD303" s="186">
        <f t="shared" si="441"/>
        <v>15475.279077494735</v>
      </c>
      <c r="AE303" s="186">
        <f t="shared" si="441"/>
        <v>24556.653754017607</v>
      </c>
      <c r="AF303" s="186">
        <f t="shared" si="442"/>
        <v>6263.2833387077671</v>
      </c>
      <c r="AG303" s="186">
        <f t="shared" si="442"/>
        <v>9773.6210533611502</v>
      </c>
      <c r="AH303" s="186">
        <f t="shared" si="442"/>
        <v>11425.138150529576</v>
      </c>
      <c r="AI303" s="186">
        <f t="shared" si="442"/>
        <v>16278.203907439874</v>
      </c>
      <c r="AJ303" s="186">
        <f t="shared" si="442"/>
        <v>7812.1203961566007</v>
      </c>
      <c r="AK303" s="186">
        <f t="shared" si="442"/>
        <v>8671.8038382997238</v>
      </c>
      <c r="AL303" s="186">
        <f t="shared" si="442"/>
        <v>18142.73160496464</v>
      </c>
      <c r="AM303" s="186">
        <f t="shared" si="442"/>
        <v>10220.972702727613</v>
      </c>
      <c r="AN303" s="186">
        <f t="shared" si="442"/>
        <v>9804.6497460028477</v>
      </c>
      <c r="AO303" s="186">
        <f t="shared" si="442"/>
        <v>11955.128698080483</v>
      </c>
      <c r="AP303" s="186">
        <f t="shared" si="442"/>
        <v>15569.530561566104</v>
      </c>
      <c r="AQ303" s="186">
        <f t="shared" si="442"/>
        <v>24706.214937926001</v>
      </c>
      <c r="AR303" s="186">
        <f>SUM(G303:R303)</f>
        <v>158882.09999999998</v>
      </c>
      <c r="AS303" s="186">
        <f>SUM(T303:AE303)</f>
        <v>149711.58731566038</v>
      </c>
      <c r="AT303" s="186">
        <f>SUM(AF303:AQ303)</f>
        <v>150623.39893576238</v>
      </c>
      <c r="AU303" s="171"/>
      <c r="AV303" s="171"/>
    </row>
    <row r="304" spans="2:48">
      <c r="B304" s="250">
        <v>659</v>
      </c>
      <c r="C304" s="212"/>
      <c r="D304" s="102"/>
      <c r="E304" s="102" t="s">
        <v>170</v>
      </c>
      <c r="F304" s="102"/>
      <c r="G304" s="1216">
        <v>161309.01999999999</v>
      </c>
      <c r="H304" s="1216">
        <v>141549.61000000002</v>
      </c>
      <c r="I304" s="1216">
        <v>174619.77</v>
      </c>
      <c r="J304" s="1216">
        <v>150970.76</v>
      </c>
      <c r="K304" s="1216">
        <v>162102.73000000001</v>
      </c>
      <c r="L304" s="1216">
        <v>165192.65</v>
      </c>
      <c r="M304" s="1216">
        <v>159340.20000000001</v>
      </c>
      <c r="N304" s="1216">
        <v>182148.35</v>
      </c>
      <c r="O304" s="1216">
        <v>166124.01</v>
      </c>
      <c r="P304" s="1216">
        <v>215705.55000000002</v>
      </c>
      <c r="Q304" s="1216">
        <v>221824.92</v>
      </c>
      <c r="R304" s="1216">
        <v>220385.37</v>
      </c>
      <c r="S304" s="620"/>
      <c r="T304" s="131">
        <f t="shared" ref="T304:Y304" si="443">SUM(T302:T303)</f>
        <v>151998.42796975622</v>
      </c>
      <c r="U304" s="131">
        <f t="shared" si="443"/>
        <v>133379.51095191133</v>
      </c>
      <c r="V304" s="131">
        <f t="shared" si="443"/>
        <v>164540.89506241126</v>
      </c>
      <c r="W304" s="131">
        <f t="shared" si="443"/>
        <v>142256.88178751167</v>
      </c>
      <c r="X304" s="131">
        <f t="shared" si="443"/>
        <v>152746.32583847971</v>
      </c>
      <c r="Y304" s="131">
        <f t="shared" si="443"/>
        <v>155657.89880911898</v>
      </c>
      <c r="Z304" s="131">
        <f t="shared" ref="Z304:AE304" si="444">SUM(Z302:Z303)</f>
        <v>150143.24625111819</v>
      </c>
      <c r="AA304" s="131">
        <f t="shared" si="444"/>
        <v>171634.93310718116</v>
      </c>
      <c r="AB304" s="131">
        <f t="shared" si="444"/>
        <v>156535.50166030435</v>
      </c>
      <c r="AC304" s="131">
        <f t="shared" si="444"/>
        <v>203255.24576587009</v>
      </c>
      <c r="AD304" s="131">
        <f t="shared" si="444"/>
        <v>209021.41197384335</v>
      </c>
      <c r="AE304" s="131">
        <f t="shared" si="444"/>
        <v>207664.95133088698</v>
      </c>
      <c r="AF304" s="131">
        <f t="shared" ref="AF304:AQ304" si="445">SUM(AF302:AF303)</f>
        <v>152924.16748895482</v>
      </c>
      <c r="AG304" s="131">
        <f t="shared" si="445"/>
        <v>134191.85280300034</v>
      </c>
      <c r="AH304" s="131">
        <f t="shared" si="445"/>
        <v>165543.02390754575</v>
      </c>
      <c r="AI304" s="131">
        <f t="shared" si="445"/>
        <v>143123.29086231388</v>
      </c>
      <c r="AJ304" s="131">
        <f t="shared" si="445"/>
        <v>153676.62039566555</v>
      </c>
      <c r="AK304" s="131">
        <f t="shared" si="445"/>
        <v>156605.92616918942</v>
      </c>
      <c r="AL304" s="131">
        <f t="shared" si="445"/>
        <v>151057.68687035333</v>
      </c>
      <c r="AM304" s="131">
        <f t="shared" si="445"/>
        <v>172680.26786869558</v>
      </c>
      <c r="AN304" s="131">
        <f t="shared" si="445"/>
        <v>157488.87402066425</v>
      </c>
      <c r="AO304" s="131">
        <f t="shared" si="445"/>
        <v>204493.16260490037</v>
      </c>
      <c r="AP304" s="131">
        <f t="shared" si="445"/>
        <v>210294.44738616605</v>
      </c>
      <c r="AQ304" s="131">
        <f t="shared" si="445"/>
        <v>208929.72528129726</v>
      </c>
      <c r="AR304" s="131">
        <f>SUM(G304:R304)</f>
        <v>2121272.94</v>
      </c>
      <c r="AS304" s="131">
        <f>SUM(T304:AE304)</f>
        <v>1998835.2305083934</v>
      </c>
      <c r="AT304" s="131">
        <f>SUM(AF304:AQ304)</f>
        <v>2011009.0456587465</v>
      </c>
      <c r="AU304" s="621"/>
      <c r="AV304" s="621"/>
    </row>
    <row r="305" spans="2:48">
      <c r="B305" s="250">
        <v>660</v>
      </c>
      <c r="C305" s="212"/>
      <c r="D305" s="102"/>
      <c r="E305" s="102"/>
      <c r="F305" s="102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71"/>
      <c r="AV305" s="171"/>
    </row>
    <row r="306" spans="2:48">
      <c r="B306" s="250">
        <v>661</v>
      </c>
      <c r="C306" s="212">
        <v>879</v>
      </c>
      <c r="D306" s="102" t="s">
        <v>383</v>
      </c>
      <c r="E306" s="102"/>
      <c r="F306" s="102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71"/>
      <c r="AV306" s="171"/>
    </row>
    <row r="307" spans="2:48">
      <c r="B307" s="250">
        <v>662</v>
      </c>
      <c r="C307" s="212"/>
      <c r="D307" s="102"/>
      <c r="E307" s="102" t="s">
        <v>14</v>
      </c>
      <c r="F307" s="102"/>
      <c r="G307" s="186">
        <v>245351.78000000003</v>
      </c>
      <c r="H307" s="186">
        <v>162278.66</v>
      </c>
      <c r="I307" s="186">
        <v>164152.04999999999</v>
      </c>
      <c r="J307" s="186">
        <v>157250.34</v>
      </c>
      <c r="K307" s="186">
        <v>166548.02000000002</v>
      </c>
      <c r="L307" s="186">
        <v>143096.16999999998</v>
      </c>
      <c r="M307" s="186">
        <v>171892.61</v>
      </c>
      <c r="N307" s="186">
        <v>154555.54</v>
      </c>
      <c r="O307" s="186">
        <v>153609.05000000002</v>
      </c>
      <c r="P307" s="186">
        <v>197221.05</v>
      </c>
      <c r="Q307" s="186">
        <v>230747.04</v>
      </c>
      <c r="R307" s="186">
        <v>243493.03999999998</v>
      </c>
      <c r="S307" s="186"/>
      <c r="T307" s="186">
        <f t="shared" ref="T307:W308" si="446">G307*(1+$AU$264)</f>
        <v>231190.32562209776</v>
      </c>
      <c r="U307" s="186">
        <f t="shared" si="446"/>
        <v>152912.10133840353</v>
      </c>
      <c r="V307" s="186">
        <f t="shared" si="446"/>
        <v>154677.36117926214</v>
      </c>
      <c r="W307" s="186">
        <f t="shared" si="446"/>
        <v>148174.01083776762</v>
      </c>
      <c r="X307" s="186">
        <f t="shared" ref="X307:AE308" si="447">K307*(1+$AU$264)</f>
        <v>156935.03823577578</v>
      </c>
      <c r="Y307" s="186">
        <f t="shared" si="447"/>
        <v>134836.80508686363</v>
      </c>
      <c r="Z307" s="186">
        <f t="shared" si="447"/>
        <v>161971.14395474223</v>
      </c>
      <c r="AA307" s="186">
        <f t="shared" si="447"/>
        <v>145634.75194391966</v>
      </c>
      <c r="AB307" s="186">
        <f t="shared" si="447"/>
        <v>144742.89238089527</v>
      </c>
      <c r="AC307" s="186">
        <f t="shared" si="447"/>
        <v>185837.65224377837</v>
      </c>
      <c r="AD307" s="186">
        <f t="shared" si="447"/>
        <v>217428.55631181976</v>
      </c>
      <c r="AE307" s="186">
        <f t="shared" si="447"/>
        <v>229438.87019818835</v>
      </c>
      <c r="AF307" s="186">
        <f t="shared" ref="AF307:AQ308" si="448">T307*(1+$AV$264)</f>
        <v>232598.37979570645</v>
      </c>
      <c r="AG307" s="186">
        <f t="shared" si="448"/>
        <v>153843.40554373933</v>
      </c>
      <c r="AH307" s="186">
        <f t="shared" si="448"/>
        <v>155619.41661945058</v>
      </c>
      <c r="AI307" s="186">
        <f t="shared" si="448"/>
        <v>149076.45791819386</v>
      </c>
      <c r="AJ307" s="186">
        <f t="shared" si="448"/>
        <v>157890.84395549487</v>
      </c>
      <c r="AK307" s="186">
        <f t="shared" si="448"/>
        <v>135658.02252166651</v>
      </c>
      <c r="AL307" s="186">
        <f t="shared" si="448"/>
        <v>162957.62184751721</v>
      </c>
      <c r="AM307" s="186">
        <f t="shared" si="448"/>
        <v>146521.73378342923</v>
      </c>
      <c r="AN307" s="186">
        <f t="shared" si="448"/>
        <v>145624.44239025965</v>
      </c>
      <c r="AO307" s="186">
        <f t="shared" si="448"/>
        <v>186969.48802086539</v>
      </c>
      <c r="AP307" s="186">
        <f t="shared" si="448"/>
        <v>218752.79505473757</v>
      </c>
      <c r="AQ307" s="186">
        <f t="shared" si="448"/>
        <v>230836.25721211857</v>
      </c>
      <c r="AR307" s="186">
        <f>SUM(G307:R307)</f>
        <v>2190195.35</v>
      </c>
      <c r="AS307" s="186">
        <f>SUM(T307:AE307)</f>
        <v>2063779.5093335139</v>
      </c>
      <c r="AT307" s="186">
        <f>SUM(AF307:AQ307)</f>
        <v>2076348.864663179</v>
      </c>
      <c r="AU307" s="171"/>
      <c r="AV307" s="171"/>
    </row>
    <row r="308" spans="2:48">
      <c r="B308" s="250">
        <v>663</v>
      </c>
      <c r="C308" s="212"/>
      <c r="D308" s="102"/>
      <c r="E308" s="102" t="s">
        <v>24</v>
      </c>
      <c r="F308" s="102"/>
      <c r="G308" s="186">
        <v>10710.710000000001</v>
      </c>
      <c r="H308" s="186">
        <v>8077.31</v>
      </c>
      <c r="I308" s="186">
        <v>9011.07</v>
      </c>
      <c r="J308" s="186">
        <v>3945.76</v>
      </c>
      <c r="K308" s="186">
        <v>3424.62</v>
      </c>
      <c r="L308" s="186">
        <v>2793.35</v>
      </c>
      <c r="M308" s="186">
        <v>3126.23</v>
      </c>
      <c r="N308" s="186">
        <v>4188.8599999999997</v>
      </c>
      <c r="O308" s="186">
        <v>3857.71</v>
      </c>
      <c r="P308" s="186">
        <v>8601.92</v>
      </c>
      <c r="Q308" s="186">
        <v>9365.25</v>
      </c>
      <c r="R308" s="186">
        <v>13639.92</v>
      </c>
      <c r="S308" s="186"/>
      <c r="T308" s="186">
        <f t="shared" si="446"/>
        <v>10092.498748302778</v>
      </c>
      <c r="U308" s="186">
        <f t="shared" si="446"/>
        <v>7611.0959091090608</v>
      </c>
      <c r="V308" s="186">
        <f t="shared" si="446"/>
        <v>8490.9602347434211</v>
      </c>
      <c r="W308" s="186">
        <f t="shared" si="446"/>
        <v>3718.0147591619198</v>
      </c>
      <c r="X308" s="186">
        <f t="shared" si="447"/>
        <v>3226.9544281763447</v>
      </c>
      <c r="Y308" s="186">
        <f t="shared" si="447"/>
        <v>2632.1206884110916</v>
      </c>
      <c r="Z308" s="186">
        <f t="shared" si="447"/>
        <v>2945.7871944909898</v>
      </c>
      <c r="AA308" s="186">
        <f t="shared" si="447"/>
        <v>3947.0832752278388</v>
      </c>
      <c r="AB308" s="186">
        <f t="shared" si="447"/>
        <v>3635.0469153132804</v>
      </c>
      <c r="AC308" s="186">
        <f t="shared" si="447"/>
        <v>8105.4259552355188</v>
      </c>
      <c r="AD308" s="186">
        <f t="shared" si="447"/>
        <v>8824.6973265584238</v>
      </c>
      <c r="AE308" s="186">
        <f t="shared" si="447"/>
        <v>12852.637736149145</v>
      </c>
      <c r="AF308" s="186">
        <f t="shared" si="448"/>
        <v>10153.966653356543</v>
      </c>
      <c r="AG308" s="186">
        <f t="shared" si="448"/>
        <v>7657.4509429181944</v>
      </c>
      <c r="AH308" s="186">
        <f t="shared" si="448"/>
        <v>8542.674042249444</v>
      </c>
      <c r="AI308" s="186">
        <f t="shared" si="448"/>
        <v>3740.6591591171928</v>
      </c>
      <c r="AJ308" s="186">
        <f t="shared" si="448"/>
        <v>3246.608047498054</v>
      </c>
      <c r="AK308" s="186">
        <f t="shared" si="448"/>
        <v>2648.1514998682155</v>
      </c>
      <c r="AL308" s="186">
        <f t="shared" si="448"/>
        <v>2963.7283775513315</v>
      </c>
      <c r="AM308" s="186">
        <f t="shared" si="448"/>
        <v>3971.1228065720275</v>
      </c>
      <c r="AN308" s="186">
        <f t="shared" si="448"/>
        <v>3657.1860033854023</v>
      </c>
      <c r="AO308" s="186">
        <f t="shared" si="448"/>
        <v>8154.7916837297162</v>
      </c>
      <c r="AP308" s="186">
        <f t="shared" si="448"/>
        <v>8878.443744658136</v>
      </c>
      <c r="AQ308" s="186">
        <f t="shared" si="448"/>
        <v>12930.916142295979</v>
      </c>
      <c r="AR308" s="186">
        <f>SUM(G308:R308)</f>
        <v>80742.710000000006</v>
      </c>
      <c r="AS308" s="186">
        <f>SUM(T308:AE308)</f>
        <v>76082.323170879812</v>
      </c>
      <c r="AT308" s="186">
        <f>SUM(AF308:AQ308)</f>
        <v>76545.699103200241</v>
      </c>
      <c r="AU308" s="171"/>
      <c r="AV308" s="171"/>
    </row>
    <row r="309" spans="2:48">
      <c r="B309" s="250">
        <v>664</v>
      </c>
      <c r="C309" s="212"/>
      <c r="D309" s="102"/>
      <c r="E309" s="102" t="s">
        <v>170</v>
      </c>
      <c r="F309" s="102"/>
      <c r="G309" s="1216">
        <v>256062.49000000002</v>
      </c>
      <c r="H309" s="1216">
        <v>170355.97</v>
      </c>
      <c r="I309" s="1216">
        <v>173163.12</v>
      </c>
      <c r="J309" s="1216">
        <v>161196.1</v>
      </c>
      <c r="K309" s="1216">
        <v>169972.64</v>
      </c>
      <c r="L309" s="1216">
        <v>145889.51999999999</v>
      </c>
      <c r="M309" s="1216">
        <v>175018.84</v>
      </c>
      <c r="N309" s="1216">
        <v>158744.4</v>
      </c>
      <c r="O309" s="1216">
        <v>157466.76</v>
      </c>
      <c r="P309" s="1216">
        <v>205822.97</v>
      </c>
      <c r="Q309" s="1216">
        <v>240112.29</v>
      </c>
      <c r="R309" s="1216">
        <v>257132.96</v>
      </c>
      <c r="S309" s="620"/>
      <c r="T309" s="131">
        <f t="shared" ref="T309:Y309" si="449">SUM(T307:T308)</f>
        <v>241282.82437040054</v>
      </c>
      <c r="U309" s="131">
        <f t="shared" si="449"/>
        <v>160523.19724751258</v>
      </c>
      <c r="V309" s="131">
        <f t="shared" si="449"/>
        <v>163168.32141400556</v>
      </c>
      <c r="W309" s="131">
        <f t="shared" si="449"/>
        <v>151892.02559692954</v>
      </c>
      <c r="X309" s="131">
        <f t="shared" si="449"/>
        <v>160161.99266395211</v>
      </c>
      <c r="Y309" s="131">
        <f t="shared" si="449"/>
        <v>137468.92577527472</v>
      </c>
      <c r="Z309" s="131">
        <f t="shared" ref="Z309:AE309" si="450">SUM(Z307:Z308)</f>
        <v>164916.93114923322</v>
      </c>
      <c r="AA309" s="131">
        <f t="shared" si="450"/>
        <v>149581.8352191475</v>
      </c>
      <c r="AB309" s="131">
        <f t="shared" si="450"/>
        <v>148377.93929620855</v>
      </c>
      <c r="AC309" s="131">
        <f t="shared" si="450"/>
        <v>193943.07819901389</v>
      </c>
      <c r="AD309" s="131">
        <f t="shared" si="450"/>
        <v>226253.25363837817</v>
      </c>
      <c r="AE309" s="131">
        <f t="shared" si="450"/>
        <v>242291.50793433748</v>
      </c>
      <c r="AF309" s="131">
        <f t="shared" ref="AF309:AQ309" si="451">SUM(AF307:AF308)</f>
        <v>242752.34644906298</v>
      </c>
      <c r="AG309" s="131">
        <f t="shared" si="451"/>
        <v>161500.85648665752</v>
      </c>
      <c r="AH309" s="131">
        <f t="shared" si="451"/>
        <v>164162.09066170003</v>
      </c>
      <c r="AI309" s="131">
        <f t="shared" si="451"/>
        <v>152817.11707731106</v>
      </c>
      <c r="AJ309" s="131">
        <f t="shared" si="451"/>
        <v>161137.45200299291</v>
      </c>
      <c r="AK309" s="131">
        <f t="shared" si="451"/>
        <v>138306.17402153474</v>
      </c>
      <c r="AL309" s="131">
        <f t="shared" si="451"/>
        <v>165921.35022506854</v>
      </c>
      <c r="AM309" s="131">
        <f t="shared" si="451"/>
        <v>150492.85659000126</v>
      </c>
      <c r="AN309" s="131">
        <f t="shared" si="451"/>
        <v>149281.62839364505</v>
      </c>
      <c r="AO309" s="131">
        <f t="shared" si="451"/>
        <v>195124.2797045951</v>
      </c>
      <c r="AP309" s="131">
        <f t="shared" si="451"/>
        <v>227631.23879939571</v>
      </c>
      <c r="AQ309" s="131">
        <f t="shared" si="451"/>
        <v>243767.17335441455</v>
      </c>
      <c r="AR309" s="131">
        <f>SUM(G309:R309)</f>
        <v>2270938.06</v>
      </c>
      <c r="AS309" s="131">
        <f>SUM(T309:AE309)</f>
        <v>2139861.8325043935</v>
      </c>
      <c r="AT309" s="131">
        <f>SUM(AF309:AQ309)</f>
        <v>2152894.5637663794</v>
      </c>
      <c r="AU309" s="621"/>
      <c r="AV309" s="621"/>
    </row>
    <row r="310" spans="2:48">
      <c r="B310" s="250">
        <v>665</v>
      </c>
      <c r="C310" s="212"/>
      <c r="D310" s="102"/>
      <c r="E310" s="102"/>
      <c r="F310" s="102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71"/>
      <c r="AV310" s="171"/>
    </row>
    <row r="311" spans="2:48">
      <c r="B311" s="250">
        <v>666</v>
      </c>
      <c r="C311" s="212">
        <v>880</v>
      </c>
      <c r="D311" s="102" t="s">
        <v>384</v>
      </c>
      <c r="E311" s="102"/>
      <c r="F311" s="102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71"/>
      <c r="AV311" s="171"/>
    </row>
    <row r="312" spans="2:48">
      <c r="B312" s="250">
        <v>667</v>
      </c>
      <c r="C312" s="212"/>
      <c r="D312" s="102"/>
      <c r="E312" s="102" t="s">
        <v>14</v>
      </c>
      <c r="F312" s="102"/>
      <c r="G312" s="186">
        <v>587994.96000000008</v>
      </c>
      <c r="H312" s="186">
        <v>535793.63</v>
      </c>
      <c r="I312" s="186">
        <v>336584.04</v>
      </c>
      <c r="J312" s="186">
        <v>471554.91000000003</v>
      </c>
      <c r="K312" s="186">
        <v>450111.58</v>
      </c>
      <c r="L312" s="186">
        <v>401914.49000000005</v>
      </c>
      <c r="M312" s="186">
        <v>408844.54</v>
      </c>
      <c r="N312" s="186">
        <v>458461.32000000007</v>
      </c>
      <c r="O312" s="186">
        <v>350152.19</v>
      </c>
      <c r="P312" s="186">
        <v>368108.22</v>
      </c>
      <c r="Q312" s="186">
        <v>421747.98</v>
      </c>
      <c r="R312" s="186">
        <v>513245.02999999997</v>
      </c>
      <c r="S312" s="186"/>
      <c r="T312" s="186">
        <f t="shared" ref="T312:W313" si="452">G312*(1+$AU$264)</f>
        <v>554056.49091501336</v>
      </c>
      <c r="U312" s="186">
        <f t="shared" si="452"/>
        <v>504868.16841494181</v>
      </c>
      <c r="V312" s="186">
        <f t="shared" si="452"/>
        <v>317156.75267080258</v>
      </c>
      <c r="W312" s="186">
        <f t="shared" si="452"/>
        <v>444337.2417823869</v>
      </c>
      <c r="X312" s="186">
        <f t="shared" ref="X312:AE313" si="453">K312*(1+$AU$264)</f>
        <v>424131.59890862374</v>
      </c>
      <c r="Y312" s="186">
        <f t="shared" si="453"/>
        <v>378716.39576178888</v>
      </c>
      <c r="Z312" s="186">
        <f t="shared" si="453"/>
        <v>385246.45034740225</v>
      </c>
      <c r="AA312" s="186">
        <f t="shared" si="453"/>
        <v>431999.40043612791</v>
      </c>
      <c r="AB312" s="186">
        <f t="shared" si="453"/>
        <v>329941.76289811562</v>
      </c>
      <c r="AC312" s="186">
        <f t="shared" si="453"/>
        <v>346861.389169342</v>
      </c>
      <c r="AD312" s="186">
        <f t="shared" si="453"/>
        <v>397405.11695762695</v>
      </c>
      <c r="AE312" s="186">
        <f t="shared" si="453"/>
        <v>483621.05059773079</v>
      </c>
      <c r="AF312" s="186">
        <f t="shared" ref="AF312:AQ313" si="454">T312*(1+$AV$264)</f>
        <v>557430.9467982715</v>
      </c>
      <c r="AG312" s="186">
        <f t="shared" si="454"/>
        <v>507943.04505498265</v>
      </c>
      <c r="AH312" s="186">
        <f t="shared" si="454"/>
        <v>319088.38146229566</v>
      </c>
      <c r="AI312" s="186">
        <f t="shared" si="454"/>
        <v>447043.45756411535</v>
      </c>
      <c r="AJ312" s="186">
        <f t="shared" si="454"/>
        <v>426714.75314051314</v>
      </c>
      <c r="AK312" s="186">
        <f t="shared" si="454"/>
        <v>381022.95076244266</v>
      </c>
      <c r="AL312" s="186">
        <f t="shared" si="454"/>
        <v>387592.77634880366</v>
      </c>
      <c r="AM312" s="186">
        <f t="shared" si="454"/>
        <v>434630.47315573134</v>
      </c>
      <c r="AN312" s="186">
        <f t="shared" si="454"/>
        <v>331951.25821348571</v>
      </c>
      <c r="AO312" s="186">
        <f t="shared" si="454"/>
        <v>348973.93269974011</v>
      </c>
      <c r="AP312" s="186">
        <f t="shared" si="454"/>
        <v>399825.49476556474</v>
      </c>
      <c r="AQ312" s="186">
        <f t="shared" si="454"/>
        <v>486566.52263211104</v>
      </c>
      <c r="AR312" s="186">
        <f>SUM(G312:R312)</f>
        <v>5304512.8900000015</v>
      </c>
      <c r="AS312" s="186">
        <f>SUM(T312:AE312)</f>
        <v>4998341.8188599031</v>
      </c>
      <c r="AT312" s="186">
        <f>SUM(AF312:AQ312)</f>
        <v>5028783.9925980568</v>
      </c>
      <c r="AU312" s="171"/>
      <c r="AV312" s="171"/>
    </row>
    <row r="313" spans="2:48">
      <c r="B313" s="250">
        <v>668</v>
      </c>
      <c r="C313" s="212"/>
      <c r="D313" s="102"/>
      <c r="E313" s="102" t="s">
        <v>24</v>
      </c>
      <c r="F313" s="102"/>
      <c r="G313" s="186">
        <v>24325.58</v>
      </c>
      <c r="H313" s="186">
        <v>50629.1</v>
      </c>
      <c r="I313" s="186">
        <v>34701.760000000002</v>
      </c>
      <c r="J313" s="186">
        <v>45070.18</v>
      </c>
      <c r="K313" s="186">
        <v>47333.82</v>
      </c>
      <c r="L313" s="186">
        <v>21855.66</v>
      </c>
      <c r="M313" s="186">
        <v>20169.96</v>
      </c>
      <c r="N313" s="186">
        <v>28030.78</v>
      </c>
      <c r="O313" s="186">
        <v>17948.900000000001</v>
      </c>
      <c r="P313" s="186">
        <v>31112.77</v>
      </c>
      <c r="Q313" s="186">
        <v>46620.63</v>
      </c>
      <c r="R313" s="186">
        <v>52735.700000000004</v>
      </c>
      <c r="S313" s="186"/>
      <c r="T313" s="186">
        <f t="shared" si="452"/>
        <v>22921.532344890216</v>
      </c>
      <c r="U313" s="186">
        <f t="shared" si="452"/>
        <v>47706.840011324748</v>
      </c>
      <c r="V313" s="186">
        <f t="shared" si="452"/>
        <v>32698.80982342939</v>
      </c>
      <c r="W313" s="186">
        <f t="shared" si="452"/>
        <v>42468.775201250042</v>
      </c>
      <c r="X313" s="186">
        <f t="shared" si="453"/>
        <v>44601.760210330496</v>
      </c>
      <c r="Y313" s="186">
        <f t="shared" si="453"/>
        <v>20594.173606915982</v>
      </c>
      <c r="Z313" s="186">
        <f t="shared" si="453"/>
        <v>19005.770490781382</v>
      </c>
      <c r="AA313" s="186">
        <f t="shared" si="453"/>
        <v>26412.871981778098</v>
      </c>
      <c r="AB313" s="186">
        <f t="shared" si="453"/>
        <v>16912.907807550735</v>
      </c>
      <c r="AC313" s="186">
        <f t="shared" si="453"/>
        <v>29316.972663925379</v>
      </c>
      <c r="AD313" s="186">
        <f t="shared" si="453"/>
        <v>43929.734809371825</v>
      </c>
      <c r="AE313" s="186">
        <f t="shared" si="453"/>
        <v>49691.849208957276</v>
      </c>
      <c r="AF313" s="186">
        <f t="shared" si="454"/>
        <v>23061.134896151314</v>
      </c>
      <c r="AG313" s="186">
        <f t="shared" si="454"/>
        <v>47997.396352758471</v>
      </c>
      <c r="AH313" s="186">
        <f t="shared" si="454"/>
        <v>32897.960438923466</v>
      </c>
      <c r="AI313" s="186">
        <f t="shared" si="454"/>
        <v>42727.429346959907</v>
      </c>
      <c r="AJ313" s="186">
        <f t="shared" si="454"/>
        <v>44873.405204321745</v>
      </c>
      <c r="AK313" s="186">
        <f t="shared" si="454"/>
        <v>20719.601485531624</v>
      </c>
      <c r="AL313" s="186">
        <f t="shared" si="454"/>
        <v>19121.524272390467</v>
      </c>
      <c r="AM313" s="186">
        <f t="shared" si="454"/>
        <v>26573.738378461694</v>
      </c>
      <c r="AN313" s="186">
        <f t="shared" si="454"/>
        <v>17015.915104080985</v>
      </c>
      <c r="AO313" s="186">
        <f t="shared" si="454"/>
        <v>29495.526353859997</v>
      </c>
      <c r="AP313" s="186">
        <f t="shared" si="454"/>
        <v>44197.286863193345</v>
      </c>
      <c r="AQ313" s="186">
        <f t="shared" si="454"/>
        <v>49994.49515871633</v>
      </c>
      <c r="AR313" s="186">
        <f>SUM(G313:R313)</f>
        <v>420534.84</v>
      </c>
      <c r="AS313" s="186">
        <f>SUM(T313:AE313)</f>
        <v>396261.99816050555</v>
      </c>
      <c r="AT313" s="186">
        <f>SUM(AF313:AQ313)</f>
        <v>398675.4138553493</v>
      </c>
      <c r="AU313" s="171"/>
      <c r="AV313" s="171"/>
    </row>
    <row r="314" spans="2:48">
      <c r="B314" s="250">
        <v>669</v>
      </c>
      <c r="C314" s="212"/>
      <c r="D314" s="102"/>
      <c r="E314" s="102" t="s">
        <v>170</v>
      </c>
      <c r="F314" s="102"/>
      <c r="G314" s="1216">
        <v>612320.54</v>
      </c>
      <c r="H314" s="1216">
        <v>586422.73</v>
      </c>
      <c r="I314" s="1216">
        <v>371285.8</v>
      </c>
      <c r="J314" s="1216">
        <v>516625.09</v>
      </c>
      <c r="K314" s="1216">
        <v>497445.4</v>
      </c>
      <c r="L314" s="1216">
        <v>423770.15</v>
      </c>
      <c r="M314" s="1216">
        <v>429014.5</v>
      </c>
      <c r="N314" s="1216">
        <v>486492.10000000003</v>
      </c>
      <c r="O314" s="1216">
        <v>368101.09</v>
      </c>
      <c r="P314" s="1216">
        <v>399220.99</v>
      </c>
      <c r="Q314" s="1216">
        <v>468368.61</v>
      </c>
      <c r="R314" s="1216">
        <v>565980.73</v>
      </c>
      <c r="S314" s="620"/>
      <c r="T314" s="131">
        <f t="shared" ref="T314:Y314" si="455">SUM(T312:T313)</f>
        <v>576978.02325990354</v>
      </c>
      <c r="U314" s="131">
        <f t="shared" si="455"/>
        <v>552575.00842626661</v>
      </c>
      <c r="V314" s="131">
        <f t="shared" si="455"/>
        <v>349855.56249423197</v>
      </c>
      <c r="W314" s="131">
        <f t="shared" si="455"/>
        <v>486806.01698363695</v>
      </c>
      <c r="X314" s="131">
        <f t="shared" si="455"/>
        <v>468733.35911895422</v>
      </c>
      <c r="Y314" s="131">
        <f t="shared" si="455"/>
        <v>399310.56936870486</v>
      </c>
      <c r="Z314" s="131">
        <f t="shared" ref="Z314:AE314" si="456">SUM(Z312:Z313)</f>
        <v>404252.22083818365</v>
      </c>
      <c r="AA314" s="131">
        <f t="shared" si="456"/>
        <v>458412.27241790603</v>
      </c>
      <c r="AB314" s="131">
        <f t="shared" si="456"/>
        <v>346854.67070566636</v>
      </c>
      <c r="AC314" s="131">
        <f t="shared" si="456"/>
        <v>376178.36183326738</v>
      </c>
      <c r="AD314" s="131">
        <f t="shared" si="456"/>
        <v>441334.85176699876</v>
      </c>
      <c r="AE314" s="131">
        <f t="shared" si="456"/>
        <v>533312.89980668807</v>
      </c>
      <c r="AF314" s="131">
        <f t="shared" ref="AF314:AQ314" si="457">SUM(AF312:AF313)</f>
        <v>580492.08169442276</v>
      </c>
      <c r="AG314" s="131">
        <f t="shared" si="457"/>
        <v>555940.44140774116</v>
      </c>
      <c r="AH314" s="131">
        <f t="shared" si="457"/>
        <v>351986.3419012191</v>
      </c>
      <c r="AI314" s="131">
        <f t="shared" si="457"/>
        <v>489770.88691107527</v>
      </c>
      <c r="AJ314" s="131">
        <f t="shared" si="457"/>
        <v>471588.15834483487</v>
      </c>
      <c r="AK314" s="131">
        <f t="shared" si="457"/>
        <v>401742.55224797426</v>
      </c>
      <c r="AL314" s="131">
        <f t="shared" si="457"/>
        <v>406714.30062119412</v>
      </c>
      <c r="AM314" s="131">
        <f t="shared" si="457"/>
        <v>461204.21153419302</v>
      </c>
      <c r="AN314" s="131">
        <f t="shared" si="457"/>
        <v>348967.17331756669</v>
      </c>
      <c r="AO314" s="131">
        <f t="shared" si="457"/>
        <v>378469.45905360009</v>
      </c>
      <c r="AP314" s="131">
        <f t="shared" si="457"/>
        <v>444022.78162875806</v>
      </c>
      <c r="AQ314" s="131">
        <f t="shared" si="457"/>
        <v>536561.01779082732</v>
      </c>
      <c r="AR314" s="131">
        <f>SUM(G314:R314)</f>
        <v>5725047.7300000004</v>
      </c>
      <c r="AS314" s="131">
        <f>SUM(T314:AE314)</f>
        <v>5394603.8170204088</v>
      </c>
      <c r="AT314" s="131">
        <f>SUM(AF314:AQ314)</f>
        <v>5427459.4064534055</v>
      </c>
      <c r="AU314" s="621"/>
      <c r="AV314" s="621"/>
    </row>
    <row r="315" spans="2:48">
      <c r="B315" s="250">
        <v>670</v>
      </c>
      <c r="C315" s="212"/>
      <c r="D315" s="102"/>
      <c r="E315" s="102"/>
      <c r="F315" s="102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71"/>
      <c r="AV315" s="171"/>
    </row>
    <row r="316" spans="2:48">
      <c r="B316" s="250">
        <v>671</v>
      </c>
      <c r="C316" s="212">
        <v>881</v>
      </c>
      <c r="D316" s="102" t="s">
        <v>385</v>
      </c>
      <c r="E316" s="102"/>
      <c r="F316" s="102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71"/>
      <c r="AV316" s="171"/>
    </row>
    <row r="317" spans="2:48">
      <c r="B317" s="250">
        <v>672</v>
      </c>
      <c r="C317" s="212"/>
      <c r="D317" s="102"/>
      <c r="E317" s="102" t="s">
        <v>14</v>
      </c>
      <c r="F317" s="102"/>
      <c r="G317" s="186">
        <v>0</v>
      </c>
      <c r="H317" s="186">
        <v>0</v>
      </c>
      <c r="I317" s="186">
        <v>0</v>
      </c>
      <c r="J317" s="186">
        <v>0</v>
      </c>
      <c r="K317" s="186">
        <v>0</v>
      </c>
      <c r="L317" s="186">
        <v>0</v>
      </c>
      <c r="M317" s="186">
        <v>0</v>
      </c>
      <c r="N317" s="186">
        <v>0</v>
      </c>
      <c r="O317" s="186">
        <v>0</v>
      </c>
      <c r="P317" s="186">
        <v>0</v>
      </c>
      <c r="Q317" s="186">
        <v>0</v>
      </c>
      <c r="R317" s="186">
        <v>0</v>
      </c>
      <c r="S317" s="186"/>
      <c r="T317" s="186">
        <f t="shared" ref="T317:W318" si="458">G317*(1+$AU$264)</f>
        <v>0</v>
      </c>
      <c r="U317" s="186">
        <f t="shared" si="458"/>
        <v>0</v>
      </c>
      <c r="V317" s="186">
        <f t="shared" si="458"/>
        <v>0</v>
      </c>
      <c r="W317" s="186">
        <f t="shared" si="458"/>
        <v>0</v>
      </c>
      <c r="X317" s="186">
        <f t="shared" ref="X317:AE318" si="459">K317*(1+$AU$264)</f>
        <v>0</v>
      </c>
      <c r="Y317" s="186">
        <f t="shared" si="459"/>
        <v>0</v>
      </c>
      <c r="Z317" s="186">
        <f t="shared" si="459"/>
        <v>0</v>
      </c>
      <c r="AA317" s="186">
        <f t="shared" si="459"/>
        <v>0</v>
      </c>
      <c r="AB317" s="186">
        <f t="shared" si="459"/>
        <v>0</v>
      </c>
      <c r="AC317" s="186">
        <f t="shared" si="459"/>
        <v>0</v>
      </c>
      <c r="AD317" s="186">
        <f t="shared" si="459"/>
        <v>0</v>
      </c>
      <c r="AE317" s="186">
        <f t="shared" si="459"/>
        <v>0</v>
      </c>
      <c r="AF317" s="186">
        <f t="shared" ref="AF317:AQ318" si="460">T317*(1+$AV$264)</f>
        <v>0</v>
      </c>
      <c r="AG317" s="186">
        <f t="shared" si="460"/>
        <v>0</v>
      </c>
      <c r="AH317" s="186">
        <f t="shared" si="460"/>
        <v>0</v>
      </c>
      <c r="AI317" s="186">
        <f t="shared" si="460"/>
        <v>0</v>
      </c>
      <c r="AJ317" s="186">
        <f t="shared" si="460"/>
        <v>0</v>
      </c>
      <c r="AK317" s="186">
        <f t="shared" si="460"/>
        <v>0</v>
      </c>
      <c r="AL317" s="186">
        <f t="shared" si="460"/>
        <v>0</v>
      </c>
      <c r="AM317" s="186">
        <f t="shared" si="460"/>
        <v>0</v>
      </c>
      <c r="AN317" s="186">
        <f t="shared" si="460"/>
        <v>0</v>
      </c>
      <c r="AO317" s="186">
        <f t="shared" si="460"/>
        <v>0</v>
      </c>
      <c r="AP317" s="186">
        <f t="shared" si="460"/>
        <v>0</v>
      </c>
      <c r="AQ317" s="186">
        <f t="shared" si="460"/>
        <v>0</v>
      </c>
      <c r="AR317" s="186">
        <f>SUM(G317:R317)</f>
        <v>0</v>
      </c>
      <c r="AS317" s="186">
        <f>SUM(T317:AE317)</f>
        <v>0</v>
      </c>
      <c r="AT317" s="186">
        <f>SUM(AF317:AQ317)</f>
        <v>0</v>
      </c>
      <c r="AU317" s="171"/>
      <c r="AV317" s="171"/>
    </row>
    <row r="318" spans="2:48">
      <c r="B318" s="250">
        <v>673</v>
      </c>
      <c r="C318" s="212"/>
      <c r="D318" s="102"/>
      <c r="E318" s="102" t="s">
        <v>24</v>
      </c>
      <c r="F318" s="102"/>
      <c r="G318" s="186">
        <v>0</v>
      </c>
      <c r="H318" s="186">
        <v>0</v>
      </c>
      <c r="I318" s="186">
        <v>0</v>
      </c>
      <c r="J318" s="186">
        <v>0</v>
      </c>
      <c r="K318" s="186">
        <v>0</v>
      </c>
      <c r="L318" s="186">
        <v>0</v>
      </c>
      <c r="M318" s="186">
        <v>0</v>
      </c>
      <c r="N318" s="186">
        <v>0</v>
      </c>
      <c r="O318" s="186">
        <v>0</v>
      </c>
      <c r="P318" s="186">
        <v>0</v>
      </c>
      <c r="Q318" s="186">
        <v>0</v>
      </c>
      <c r="R318" s="186">
        <v>0</v>
      </c>
      <c r="S318" s="186"/>
      <c r="T318" s="186">
        <f t="shared" si="458"/>
        <v>0</v>
      </c>
      <c r="U318" s="186">
        <f t="shared" si="458"/>
        <v>0</v>
      </c>
      <c r="V318" s="186">
        <f t="shared" si="458"/>
        <v>0</v>
      </c>
      <c r="W318" s="186">
        <f t="shared" si="458"/>
        <v>0</v>
      </c>
      <c r="X318" s="186">
        <f t="shared" si="459"/>
        <v>0</v>
      </c>
      <c r="Y318" s="186">
        <f t="shared" si="459"/>
        <v>0</v>
      </c>
      <c r="Z318" s="186">
        <f t="shared" si="459"/>
        <v>0</v>
      </c>
      <c r="AA318" s="186">
        <f t="shared" si="459"/>
        <v>0</v>
      </c>
      <c r="AB318" s="186">
        <f t="shared" si="459"/>
        <v>0</v>
      </c>
      <c r="AC318" s="186">
        <f t="shared" si="459"/>
        <v>0</v>
      </c>
      <c r="AD318" s="186">
        <f t="shared" si="459"/>
        <v>0</v>
      </c>
      <c r="AE318" s="186">
        <f t="shared" si="459"/>
        <v>0</v>
      </c>
      <c r="AF318" s="186">
        <f t="shared" si="460"/>
        <v>0</v>
      </c>
      <c r="AG318" s="186">
        <f t="shared" si="460"/>
        <v>0</v>
      </c>
      <c r="AH318" s="186">
        <f t="shared" si="460"/>
        <v>0</v>
      </c>
      <c r="AI318" s="186">
        <f t="shared" si="460"/>
        <v>0</v>
      </c>
      <c r="AJ318" s="186">
        <f t="shared" si="460"/>
        <v>0</v>
      </c>
      <c r="AK318" s="186">
        <f t="shared" si="460"/>
        <v>0</v>
      </c>
      <c r="AL318" s="186">
        <f t="shared" si="460"/>
        <v>0</v>
      </c>
      <c r="AM318" s="186">
        <f t="shared" si="460"/>
        <v>0</v>
      </c>
      <c r="AN318" s="186">
        <f t="shared" si="460"/>
        <v>0</v>
      </c>
      <c r="AO318" s="186">
        <f t="shared" si="460"/>
        <v>0</v>
      </c>
      <c r="AP318" s="186">
        <f t="shared" si="460"/>
        <v>0</v>
      </c>
      <c r="AQ318" s="186">
        <f t="shared" si="460"/>
        <v>0</v>
      </c>
      <c r="AR318" s="186">
        <f>SUM(G318:R318)</f>
        <v>0</v>
      </c>
      <c r="AS318" s="186">
        <f>SUM(T318:AE318)</f>
        <v>0</v>
      </c>
      <c r="AT318" s="186">
        <f>SUM(AF318:AQ318)</f>
        <v>0</v>
      </c>
      <c r="AU318" s="171"/>
      <c r="AV318" s="171"/>
    </row>
    <row r="319" spans="2:48">
      <c r="B319" s="250">
        <v>674</v>
      </c>
      <c r="C319" s="212"/>
      <c r="D319" s="102"/>
      <c r="E319" s="102" t="s">
        <v>170</v>
      </c>
      <c r="F319" s="102"/>
      <c r="G319" s="1216">
        <v>0</v>
      </c>
      <c r="H319" s="1216">
        <v>0</v>
      </c>
      <c r="I319" s="1216">
        <v>0</v>
      </c>
      <c r="J319" s="1216">
        <v>0</v>
      </c>
      <c r="K319" s="1216">
        <v>0</v>
      </c>
      <c r="L319" s="1216">
        <v>0</v>
      </c>
      <c r="M319" s="1216">
        <v>0</v>
      </c>
      <c r="N319" s="1216">
        <v>0</v>
      </c>
      <c r="O319" s="1216">
        <v>0</v>
      </c>
      <c r="P319" s="1216">
        <v>0</v>
      </c>
      <c r="Q319" s="1216">
        <v>0</v>
      </c>
      <c r="R319" s="1216">
        <v>0</v>
      </c>
      <c r="S319" s="620"/>
      <c r="T319" s="131">
        <f t="shared" ref="T319:Y319" si="461">SUM(T317:T318)</f>
        <v>0</v>
      </c>
      <c r="U319" s="131">
        <f t="shared" si="461"/>
        <v>0</v>
      </c>
      <c r="V319" s="131">
        <f t="shared" si="461"/>
        <v>0</v>
      </c>
      <c r="W319" s="131">
        <f t="shared" si="461"/>
        <v>0</v>
      </c>
      <c r="X319" s="131">
        <f t="shared" si="461"/>
        <v>0</v>
      </c>
      <c r="Y319" s="131">
        <f t="shared" si="461"/>
        <v>0</v>
      </c>
      <c r="Z319" s="131">
        <f t="shared" ref="Z319:AE319" si="462">SUM(Z317:Z318)</f>
        <v>0</v>
      </c>
      <c r="AA319" s="131">
        <f t="shared" si="462"/>
        <v>0</v>
      </c>
      <c r="AB319" s="131">
        <f t="shared" si="462"/>
        <v>0</v>
      </c>
      <c r="AC319" s="131">
        <f t="shared" si="462"/>
        <v>0</v>
      </c>
      <c r="AD319" s="131">
        <f t="shared" si="462"/>
        <v>0</v>
      </c>
      <c r="AE319" s="131">
        <f t="shared" si="462"/>
        <v>0</v>
      </c>
      <c r="AF319" s="131">
        <f t="shared" ref="AF319:AQ319" si="463">SUM(AF317:AF318)</f>
        <v>0</v>
      </c>
      <c r="AG319" s="131">
        <f t="shared" si="463"/>
        <v>0</v>
      </c>
      <c r="AH319" s="131">
        <f t="shared" si="463"/>
        <v>0</v>
      </c>
      <c r="AI319" s="131">
        <f t="shared" si="463"/>
        <v>0</v>
      </c>
      <c r="AJ319" s="131">
        <f t="shared" si="463"/>
        <v>0</v>
      </c>
      <c r="AK319" s="131">
        <f t="shared" si="463"/>
        <v>0</v>
      </c>
      <c r="AL319" s="131">
        <f t="shared" si="463"/>
        <v>0</v>
      </c>
      <c r="AM319" s="131">
        <f t="shared" si="463"/>
        <v>0</v>
      </c>
      <c r="AN319" s="131">
        <f t="shared" si="463"/>
        <v>0</v>
      </c>
      <c r="AO319" s="131">
        <f t="shared" si="463"/>
        <v>0</v>
      </c>
      <c r="AP319" s="131">
        <f t="shared" si="463"/>
        <v>0</v>
      </c>
      <c r="AQ319" s="131">
        <f t="shared" si="463"/>
        <v>0</v>
      </c>
      <c r="AR319" s="131">
        <f>SUM(G319:R319)</f>
        <v>0</v>
      </c>
      <c r="AS319" s="131">
        <f>SUM(T319:AE319)</f>
        <v>0</v>
      </c>
      <c r="AT319" s="131">
        <f>SUM(AF319:AQ319)</f>
        <v>0</v>
      </c>
      <c r="AU319" s="621"/>
      <c r="AV319" s="621"/>
    </row>
    <row r="320" spans="2:48">
      <c r="B320" s="250">
        <v>675</v>
      </c>
      <c r="C320" s="212"/>
      <c r="D320" s="102"/>
      <c r="E320" s="102"/>
      <c r="F320" s="102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171"/>
      <c r="AV320" s="171"/>
    </row>
    <row r="321" spans="2:48">
      <c r="B321" s="250">
        <v>676</v>
      </c>
      <c r="C321" s="212">
        <v>885</v>
      </c>
      <c r="D321" s="102" t="s">
        <v>386</v>
      </c>
      <c r="E321" s="102"/>
      <c r="F321" s="102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71"/>
      <c r="AV321" s="171"/>
    </row>
    <row r="322" spans="2:48">
      <c r="B322" s="250">
        <v>677</v>
      </c>
      <c r="C322" s="212"/>
      <c r="D322" s="102"/>
      <c r="E322" s="102" t="s">
        <v>14</v>
      </c>
      <c r="F322" s="102"/>
      <c r="G322" s="186">
        <v>0</v>
      </c>
      <c r="H322" s="186">
        <v>0</v>
      </c>
      <c r="I322" s="186">
        <v>0</v>
      </c>
      <c r="J322" s="186">
        <v>0</v>
      </c>
      <c r="K322" s="186">
        <v>0</v>
      </c>
      <c r="L322" s="186">
        <v>0</v>
      </c>
      <c r="M322" s="186">
        <v>0</v>
      </c>
      <c r="N322" s="186">
        <v>0</v>
      </c>
      <c r="O322" s="186">
        <v>0</v>
      </c>
      <c r="P322" s="186">
        <v>0</v>
      </c>
      <c r="Q322" s="186">
        <v>0</v>
      </c>
      <c r="R322" s="186">
        <v>0</v>
      </c>
      <c r="S322" s="186"/>
      <c r="T322" s="186">
        <f t="shared" ref="T322:W323" si="464">G322*(1+$AU$264)</f>
        <v>0</v>
      </c>
      <c r="U322" s="186">
        <f t="shared" si="464"/>
        <v>0</v>
      </c>
      <c r="V322" s="186">
        <f t="shared" si="464"/>
        <v>0</v>
      </c>
      <c r="W322" s="186">
        <f t="shared" si="464"/>
        <v>0</v>
      </c>
      <c r="X322" s="186">
        <f t="shared" ref="X322:AE323" si="465">K322*(1+$AU$264)</f>
        <v>0</v>
      </c>
      <c r="Y322" s="186">
        <f t="shared" si="465"/>
        <v>0</v>
      </c>
      <c r="Z322" s="186">
        <f t="shared" si="465"/>
        <v>0</v>
      </c>
      <c r="AA322" s="186">
        <f t="shared" si="465"/>
        <v>0</v>
      </c>
      <c r="AB322" s="186">
        <f t="shared" si="465"/>
        <v>0</v>
      </c>
      <c r="AC322" s="186">
        <f t="shared" si="465"/>
        <v>0</v>
      </c>
      <c r="AD322" s="186">
        <f t="shared" si="465"/>
        <v>0</v>
      </c>
      <c r="AE322" s="186">
        <f t="shared" si="465"/>
        <v>0</v>
      </c>
      <c r="AF322" s="186">
        <f t="shared" ref="AF322:AQ323" si="466">T322*(1+$AV$264)</f>
        <v>0</v>
      </c>
      <c r="AG322" s="186">
        <f t="shared" si="466"/>
        <v>0</v>
      </c>
      <c r="AH322" s="186">
        <f t="shared" si="466"/>
        <v>0</v>
      </c>
      <c r="AI322" s="186">
        <f t="shared" si="466"/>
        <v>0</v>
      </c>
      <c r="AJ322" s="186">
        <f t="shared" si="466"/>
        <v>0</v>
      </c>
      <c r="AK322" s="186">
        <f t="shared" si="466"/>
        <v>0</v>
      </c>
      <c r="AL322" s="186">
        <f t="shared" si="466"/>
        <v>0</v>
      </c>
      <c r="AM322" s="186">
        <f t="shared" si="466"/>
        <v>0</v>
      </c>
      <c r="AN322" s="186">
        <f t="shared" si="466"/>
        <v>0</v>
      </c>
      <c r="AO322" s="186">
        <f t="shared" si="466"/>
        <v>0</v>
      </c>
      <c r="AP322" s="186">
        <f t="shared" si="466"/>
        <v>0</v>
      </c>
      <c r="AQ322" s="186">
        <f t="shared" si="466"/>
        <v>0</v>
      </c>
      <c r="AR322" s="186">
        <f>SUM(G322:R322)</f>
        <v>0</v>
      </c>
      <c r="AS322" s="186">
        <f>SUM(T322:AE322)</f>
        <v>0</v>
      </c>
      <c r="AT322" s="186">
        <f>SUM(AF322:AQ322)</f>
        <v>0</v>
      </c>
      <c r="AU322" s="171"/>
      <c r="AV322" s="171"/>
    </row>
    <row r="323" spans="2:48">
      <c r="B323" s="250">
        <v>678</v>
      </c>
      <c r="C323" s="212"/>
      <c r="D323" s="102"/>
      <c r="E323" s="102" t="s">
        <v>24</v>
      </c>
      <c r="F323" s="102"/>
      <c r="G323" s="186">
        <v>0</v>
      </c>
      <c r="H323" s="186">
        <v>0</v>
      </c>
      <c r="I323" s="186">
        <v>0</v>
      </c>
      <c r="J323" s="186">
        <v>0</v>
      </c>
      <c r="K323" s="186">
        <v>0</v>
      </c>
      <c r="L323" s="186">
        <v>0</v>
      </c>
      <c r="M323" s="186">
        <v>0</v>
      </c>
      <c r="N323" s="186">
        <v>0</v>
      </c>
      <c r="O323" s="186">
        <v>0</v>
      </c>
      <c r="P323" s="186">
        <v>0</v>
      </c>
      <c r="Q323" s="186">
        <v>0</v>
      </c>
      <c r="R323" s="186">
        <v>0</v>
      </c>
      <c r="S323" s="186"/>
      <c r="T323" s="186">
        <f t="shared" si="464"/>
        <v>0</v>
      </c>
      <c r="U323" s="186">
        <f t="shared" si="464"/>
        <v>0</v>
      </c>
      <c r="V323" s="186">
        <f t="shared" si="464"/>
        <v>0</v>
      </c>
      <c r="W323" s="186">
        <f t="shared" si="464"/>
        <v>0</v>
      </c>
      <c r="X323" s="186">
        <f t="shared" si="465"/>
        <v>0</v>
      </c>
      <c r="Y323" s="186">
        <f t="shared" si="465"/>
        <v>0</v>
      </c>
      <c r="Z323" s="186">
        <f t="shared" si="465"/>
        <v>0</v>
      </c>
      <c r="AA323" s="186">
        <f t="shared" si="465"/>
        <v>0</v>
      </c>
      <c r="AB323" s="186">
        <f t="shared" si="465"/>
        <v>0</v>
      </c>
      <c r="AC323" s="186">
        <f t="shared" si="465"/>
        <v>0</v>
      </c>
      <c r="AD323" s="186">
        <f t="shared" si="465"/>
        <v>0</v>
      </c>
      <c r="AE323" s="186">
        <f t="shared" si="465"/>
        <v>0</v>
      </c>
      <c r="AF323" s="186">
        <f t="shared" si="466"/>
        <v>0</v>
      </c>
      <c r="AG323" s="186">
        <f t="shared" si="466"/>
        <v>0</v>
      </c>
      <c r="AH323" s="186">
        <f t="shared" si="466"/>
        <v>0</v>
      </c>
      <c r="AI323" s="186">
        <f t="shared" si="466"/>
        <v>0</v>
      </c>
      <c r="AJ323" s="186">
        <f t="shared" si="466"/>
        <v>0</v>
      </c>
      <c r="AK323" s="186">
        <f t="shared" si="466"/>
        <v>0</v>
      </c>
      <c r="AL323" s="186">
        <f t="shared" si="466"/>
        <v>0</v>
      </c>
      <c r="AM323" s="186">
        <f t="shared" si="466"/>
        <v>0</v>
      </c>
      <c r="AN323" s="186">
        <f t="shared" si="466"/>
        <v>0</v>
      </c>
      <c r="AO323" s="186">
        <f t="shared" si="466"/>
        <v>0</v>
      </c>
      <c r="AP323" s="186">
        <f t="shared" si="466"/>
        <v>0</v>
      </c>
      <c r="AQ323" s="186">
        <f t="shared" si="466"/>
        <v>0</v>
      </c>
      <c r="AR323" s="186">
        <f>SUM(G323:R323)</f>
        <v>0</v>
      </c>
      <c r="AS323" s="186">
        <f>SUM(T323:AE323)</f>
        <v>0</v>
      </c>
      <c r="AT323" s="186">
        <f>SUM(AF323:AQ323)</f>
        <v>0</v>
      </c>
      <c r="AU323" s="171"/>
      <c r="AV323" s="171"/>
    </row>
    <row r="324" spans="2:48">
      <c r="B324" s="250">
        <v>679</v>
      </c>
      <c r="C324" s="212"/>
      <c r="D324" s="102"/>
      <c r="E324" s="102" t="s">
        <v>170</v>
      </c>
      <c r="F324" s="102"/>
      <c r="G324" s="1216">
        <v>0</v>
      </c>
      <c r="H324" s="1216">
        <v>0</v>
      </c>
      <c r="I324" s="1216">
        <v>0</v>
      </c>
      <c r="J324" s="1216">
        <v>0</v>
      </c>
      <c r="K324" s="1216">
        <v>0</v>
      </c>
      <c r="L324" s="1216">
        <v>0</v>
      </c>
      <c r="M324" s="1216">
        <v>0</v>
      </c>
      <c r="N324" s="1216">
        <v>0</v>
      </c>
      <c r="O324" s="1216">
        <v>0</v>
      </c>
      <c r="P324" s="1216">
        <v>0</v>
      </c>
      <c r="Q324" s="1216">
        <v>0</v>
      </c>
      <c r="R324" s="1216">
        <v>0</v>
      </c>
      <c r="S324" s="620"/>
      <c r="T324" s="131">
        <f t="shared" ref="T324:Y324" si="467">SUM(T322:T323)</f>
        <v>0</v>
      </c>
      <c r="U324" s="131">
        <f t="shared" si="467"/>
        <v>0</v>
      </c>
      <c r="V324" s="131">
        <f t="shared" si="467"/>
        <v>0</v>
      </c>
      <c r="W324" s="131">
        <f t="shared" si="467"/>
        <v>0</v>
      </c>
      <c r="X324" s="131">
        <f t="shared" si="467"/>
        <v>0</v>
      </c>
      <c r="Y324" s="131">
        <f t="shared" si="467"/>
        <v>0</v>
      </c>
      <c r="Z324" s="131">
        <f t="shared" ref="Z324:AE324" si="468">SUM(Z322:Z323)</f>
        <v>0</v>
      </c>
      <c r="AA324" s="131">
        <f t="shared" si="468"/>
        <v>0</v>
      </c>
      <c r="AB324" s="131">
        <f t="shared" si="468"/>
        <v>0</v>
      </c>
      <c r="AC324" s="131">
        <f t="shared" si="468"/>
        <v>0</v>
      </c>
      <c r="AD324" s="131">
        <f t="shared" si="468"/>
        <v>0</v>
      </c>
      <c r="AE324" s="131">
        <f t="shared" si="468"/>
        <v>0</v>
      </c>
      <c r="AF324" s="131">
        <f t="shared" ref="AF324:AQ324" si="469">SUM(AF322:AF323)</f>
        <v>0</v>
      </c>
      <c r="AG324" s="131">
        <f t="shared" si="469"/>
        <v>0</v>
      </c>
      <c r="AH324" s="131">
        <f t="shared" si="469"/>
        <v>0</v>
      </c>
      <c r="AI324" s="131">
        <f t="shared" si="469"/>
        <v>0</v>
      </c>
      <c r="AJ324" s="131">
        <f t="shared" si="469"/>
        <v>0</v>
      </c>
      <c r="AK324" s="131">
        <f t="shared" si="469"/>
        <v>0</v>
      </c>
      <c r="AL324" s="131">
        <f t="shared" si="469"/>
        <v>0</v>
      </c>
      <c r="AM324" s="131">
        <f t="shared" si="469"/>
        <v>0</v>
      </c>
      <c r="AN324" s="131">
        <f t="shared" si="469"/>
        <v>0</v>
      </c>
      <c r="AO324" s="131">
        <f t="shared" si="469"/>
        <v>0</v>
      </c>
      <c r="AP324" s="131">
        <f t="shared" si="469"/>
        <v>0</v>
      </c>
      <c r="AQ324" s="131">
        <f t="shared" si="469"/>
        <v>0</v>
      </c>
      <c r="AR324" s="131">
        <f>SUM(G324:R324)</f>
        <v>0</v>
      </c>
      <c r="AS324" s="131">
        <f>SUM(T324:AE324)</f>
        <v>0</v>
      </c>
      <c r="AT324" s="131">
        <f>SUM(AF324:AQ324)</f>
        <v>0</v>
      </c>
      <c r="AU324" s="621"/>
      <c r="AV324" s="621"/>
    </row>
    <row r="325" spans="2:48">
      <c r="B325" s="250">
        <v>680</v>
      </c>
      <c r="C325" s="212"/>
      <c r="D325" s="102"/>
      <c r="E325" s="102"/>
      <c r="F325" s="102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71"/>
      <c r="AV325" s="171"/>
    </row>
    <row r="326" spans="2:48">
      <c r="B326" s="250">
        <v>681</v>
      </c>
      <c r="C326" s="212">
        <v>886</v>
      </c>
      <c r="D326" s="102" t="s">
        <v>387</v>
      </c>
      <c r="E326" s="102"/>
      <c r="F326" s="102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71"/>
      <c r="AV326" s="171"/>
    </row>
    <row r="327" spans="2:48">
      <c r="B327" s="250">
        <v>682</v>
      </c>
      <c r="C327" s="212"/>
      <c r="D327" s="102"/>
      <c r="E327" s="102" t="s">
        <v>14</v>
      </c>
      <c r="F327" s="102"/>
      <c r="G327" s="186">
        <v>0</v>
      </c>
      <c r="H327" s="186">
        <v>0</v>
      </c>
      <c r="I327" s="186">
        <v>0</v>
      </c>
      <c r="J327" s="186">
        <v>0</v>
      </c>
      <c r="K327" s="186">
        <v>0</v>
      </c>
      <c r="L327" s="186">
        <v>0</v>
      </c>
      <c r="M327" s="186">
        <v>0</v>
      </c>
      <c r="N327" s="186">
        <v>0</v>
      </c>
      <c r="O327" s="186">
        <v>0</v>
      </c>
      <c r="P327" s="186">
        <v>0</v>
      </c>
      <c r="Q327" s="186">
        <v>0</v>
      </c>
      <c r="R327" s="186">
        <v>0</v>
      </c>
      <c r="S327" s="186"/>
      <c r="T327" s="186">
        <f t="shared" ref="T327:W328" si="470">G327*(1+$AU$264)</f>
        <v>0</v>
      </c>
      <c r="U327" s="186">
        <f t="shared" si="470"/>
        <v>0</v>
      </c>
      <c r="V327" s="186">
        <f t="shared" si="470"/>
        <v>0</v>
      </c>
      <c r="W327" s="186">
        <f t="shared" si="470"/>
        <v>0</v>
      </c>
      <c r="X327" s="186">
        <f t="shared" ref="X327:AE328" si="471">K327*(1+$AU$264)</f>
        <v>0</v>
      </c>
      <c r="Y327" s="186">
        <f t="shared" si="471"/>
        <v>0</v>
      </c>
      <c r="Z327" s="186">
        <f t="shared" si="471"/>
        <v>0</v>
      </c>
      <c r="AA327" s="186">
        <f t="shared" si="471"/>
        <v>0</v>
      </c>
      <c r="AB327" s="186">
        <f t="shared" si="471"/>
        <v>0</v>
      </c>
      <c r="AC327" s="186">
        <f t="shared" si="471"/>
        <v>0</v>
      </c>
      <c r="AD327" s="186">
        <f t="shared" si="471"/>
        <v>0</v>
      </c>
      <c r="AE327" s="186">
        <f t="shared" si="471"/>
        <v>0</v>
      </c>
      <c r="AF327" s="186">
        <f t="shared" ref="AF327:AQ328" si="472">T327*(1+$AV$264)</f>
        <v>0</v>
      </c>
      <c r="AG327" s="186">
        <f t="shared" si="472"/>
        <v>0</v>
      </c>
      <c r="AH327" s="186">
        <f t="shared" si="472"/>
        <v>0</v>
      </c>
      <c r="AI327" s="186">
        <f t="shared" si="472"/>
        <v>0</v>
      </c>
      <c r="AJ327" s="186">
        <f t="shared" si="472"/>
        <v>0</v>
      </c>
      <c r="AK327" s="186">
        <f t="shared" si="472"/>
        <v>0</v>
      </c>
      <c r="AL327" s="186">
        <f t="shared" si="472"/>
        <v>0</v>
      </c>
      <c r="AM327" s="186">
        <f t="shared" si="472"/>
        <v>0</v>
      </c>
      <c r="AN327" s="186">
        <f t="shared" si="472"/>
        <v>0</v>
      </c>
      <c r="AO327" s="186">
        <f t="shared" si="472"/>
        <v>0</v>
      </c>
      <c r="AP327" s="186">
        <f t="shared" si="472"/>
        <v>0</v>
      </c>
      <c r="AQ327" s="186">
        <f t="shared" si="472"/>
        <v>0</v>
      </c>
      <c r="AR327" s="186">
        <f>SUM(G327:R327)</f>
        <v>0</v>
      </c>
      <c r="AS327" s="186">
        <f>SUM(T327:AE327)</f>
        <v>0</v>
      </c>
      <c r="AT327" s="186">
        <f>SUM(AF327:AQ327)</f>
        <v>0</v>
      </c>
      <c r="AU327" s="171"/>
      <c r="AV327" s="171"/>
    </row>
    <row r="328" spans="2:48">
      <c r="B328" s="250">
        <v>683</v>
      </c>
      <c r="C328" s="212"/>
      <c r="D328" s="102"/>
      <c r="E328" s="102" t="s">
        <v>24</v>
      </c>
      <c r="F328" s="102"/>
      <c r="G328" s="186">
        <v>0</v>
      </c>
      <c r="H328" s="186">
        <v>0</v>
      </c>
      <c r="I328" s="186">
        <v>0</v>
      </c>
      <c r="J328" s="186">
        <v>0</v>
      </c>
      <c r="K328" s="186">
        <v>0</v>
      </c>
      <c r="L328" s="186">
        <v>0</v>
      </c>
      <c r="M328" s="186">
        <v>0</v>
      </c>
      <c r="N328" s="186">
        <v>0</v>
      </c>
      <c r="O328" s="186">
        <v>0</v>
      </c>
      <c r="P328" s="186">
        <v>0</v>
      </c>
      <c r="Q328" s="186">
        <v>0</v>
      </c>
      <c r="R328" s="186">
        <v>0</v>
      </c>
      <c r="S328" s="186"/>
      <c r="T328" s="186">
        <f t="shared" si="470"/>
        <v>0</v>
      </c>
      <c r="U328" s="186">
        <f t="shared" si="470"/>
        <v>0</v>
      </c>
      <c r="V328" s="186">
        <f t="shared" si="470"/>
        <v>0</v>
      </c>
      <c r="W328" s="186">
        <f t="shared" si="470"/>
        <v>0</v>
      </c>
      <c r="X328" s="186">
        <f t="shared" si="471"/>
        <v>0</v>
      </c>
      <c r="Y328" s="186">
        <f t="shared" si="471"/>
        <v>0</v>
      </c>
      <c r="Z328" s="186">
        <f t="shared" si="471"/>
        <v>0</v>
      </c>
      <c r="AA328" s="186">
        <f t="shared" si="471"/>
        <v>0</v>
      </c>
      <c r="AB328" s="186">
        <f t="shared" si="471"/>
        <v>0</v>
      </c>
      <c r="AC328" s="186">
        <f t="shared" si="471"/>
        <v>0</v>
      </c>
      <c r="AD328" s="186">
        <f t="shared" si="471"/>
        <v>0</v>
      </c>
      <c r="AE328" s="186">
        <f t="shared" si="471"/>
        <v>0</v>
      </c>
      <c r="AF328" s="186">
        <f t="shared" si="472"/>
        <v>0</v>
      </c>
      <c r="AG328" s="186">
        <f t="shared" si="472"/>
        <v>0</v>
      </c>
      <c r="AH328" s="186">
        <f t="shared" si="472"/>
        <v>0</v>
      </c>
      <c r="AI328" s="186">
        <f t="shared" si="472"/>
        <v>0</v>
      </c>
      <c r="AJ328" s="186">
        <f t="shared" si="472"/>
        <v>0</v>
      </c>
      <c r="AK328" s="186">
        <f t="shared" si="472"/>
        <v>0</v>
      </c>
      <c r="AL328" s="186">
        <f t="shared" si="472"/>
        <v>0</v>
      </c>
      <c r="AM328" s="186">
        <f t="shared" si="472"/>
        <v>0</v>
      </c>
      <c r="AN328" s="186">
        <f t="shared" si="472"/>
        <v>0</v>
      </c>
      <c r="AO328" s="186">
        <f t="shared" si="472"/>
        <v>0</v>
      </c>
      <c r="AP328" s="186">
        <f t="shared" si="472"/>
        <v>0</v>
      </c>
      <c r="AQ328" s="186">
        <f t="shared" si="472"/>
        <v>0</v>
      </c>
      <c r="AR328" s="186">
        <f>SUM(G328:R328)</f>
        <v>0</v>
      </c>
      <c r="AS328" s="186">
        <f>SUM(T328:AE328)</f>
        <v>0</v>
      </c>
      <c r="AT328" s="186">
        <f>SUM(AF328:AQ328)</f>
        <v>0</v>
      </c>
      <c r="AU328" s="171"/>
      <c r="AV328" s="171"/>
    </row>
    <row r="329" spans="2:48">
      <c r="B329" s="250">
        <v>684</v>
      </c>
      <c r="C329" s="212"/>
      <c r="D329" s="102"/>
      <c r="E329" s="102" t="s">
        <v>170</v>
      </c>
      <c r="F329" s="102"/>
      <c r="G329" s="1216">
        <v>0</v>
      </c>
      <c r="H329" s="1216">
        <v>0</v>
      </c>
      <c r="I329" s="1216">
        <v>0</v>
      </c>
      <c r="J329" s="1216">
        <v>0</v>
      </c>
      <c r="K329" s="1216">
        <v>0</v>
      </c>
      <c r="L329" s="1216">
        <v>0</v>
      </c>
      <c r="M329" s="1216">
        <v>0</v>
      </c>
      <c r="N329" s="1216">
        <v>0</v>
      </c>
      <c r="O329" s="1216">
        <v>0</v>
      </c>
      <c r="P329" s="1216">
        <v>0</v>
      </c>
      <c r="Q329" s="1216">
        <v>0</v>
      </c>
      <c r="R329" s="1216">
        <v>0</v>
      </c>
      <c r="S329" s="620"/>
      <c r="T329" s="131">
        <f t="shared" ref="T329:Y329" si="473">SUM(T327:T328)</f>
        <v>0</v>
      </c>
      <c r="U329" s="131">
        <f t="shared" si="473"/>
        <v>0</v>
      </c>
      <c r="V329" s="131">
        <f t="shared" si="473"/>
        <v>0</v>
      </c>
      <c r="W329" s="131">
        <f t="shared" si="473"/>
        <v>0</v>
      </c>
      <c r="X329" s="131">
        <f t="shared" si="473"/>
        <v>0</v>
      </c>
      <c r="Y329" s="131">
        <f t="shared" si="473"/>
        <v>0</v>
      </c>
      <c r="Z329" s="131">
        <f t="shared" ref="Z329:AE329" si="474">SUM(Z327:Z328)</f>
        <v>0</v>
      </c>
      <c r="AA329" s="131">
        <f t="shared" si="474"/>
        <v>0</v>
      </c>
      <c r="AB329" s="131">
        <f t="shared" si="474"/>
        <v>0</v>
      </c>
      <c r="AC329" s="131">
        <f t="shared" si="474"/>
        <v>0</v>
      </c>
      <c r="AD329" s="131">
        <f t="shared" si="474"/>
        <v>0</v>
      </c>
      <c r="AE329" s="131">
        <f t="shared" si="474"/>
        <v>0</v>
      </c>
      <c r="AF329" s="131">
        <f t="shared" ref="AF329:AQ329" si="475">SUM(AF327:AF328)</f>
        <v>0</v>
      </c>
      <c r="AG329" s="131">
        <f t="shared" si="475"/>
        <v>0</v>
      </c>
      <c r="AH329" s="131">
        <f t="shared" si="475"/>
        <v>0</v>
      </c>
      <c r="AI329" s="131">
        <f t="shared" si="475"/>
        <v>0</v>
      </c>
      <c r="AJ329" s="131">
        <f t="shared" si="475"/>
        <v>0</v>
      </c>
      <c r="AK329" s="131">
        <f t="shared" si="475"/>
        <v>0</v>
      </c>
      <c r="AL329" s="131">
        <f t="shared" si="475"/>
        <v>0</v>
      </c>
      <c r="AM329" s="131">
        <f t="shared" si="475"/>
        <v>0</v>
      </c>
      <c r="AN329" s="131">
        <f t="shared" si="475"/>
        <v>0</v>
      </c>
      <c r="AO329" s="131">
        <f t="shared" si="475"/>
        <v>0</v>
      </c>
      <c r="AP329" s="131">
        <f t="shared" si="475"/>
        <v>0</v>
      </c>
      <c r="AQ329" s="131">
        <f t="shared" si="475"/>
        <v>0</v>
      </c>
      <c r="AR329" s="131">
        <f>SUM(G329:R329)</f>
        <v>0</v>
      </c>
      <c r="AS329" s="131">
        <f>SUM(T329:AE329)</f>
        <v>0</v>
      </c>
      <c r="AT329" s="131">
        <f>SUM(AF329:AQ329)</f>
        <v>0</v>
      </c>
      <c r="AU329" s="621"/>
      <c r="AV329" s="621"/>
    </row>
    <row r="330" spans="2:48">
      <c r="B330" s="250">
        <v>685</v>
      </c>
      <c r="C330" s="212"/>
      <c r="D330" s="102"/>
      <c r="E330" s="102"/>
      <c r="F330" s="102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71"/>
      <c r="AV330" s="171"/>
    </row>
    <row r="331" spans="2:48">
      <c r="B331" s="250">
        <v>686</v>
      </c>
      <c r="C331" s="212">
        <v>887</v>
      </c>
      <c r="D331" s="102" t="s">
        <v>388</v>
      </c>
      <c r="E331" s="102"/>
      <c r="F331" s="102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71"/>
      <c r="AV331" s="171"/>
    </row>
    <row r="332" spans="2:48">
      <c r="B332" s="250">
        <v>687</v>
      </c>
      <c r="C332" s="212"/>
      <c r="D332" s="102"/>
      <c r="E332" s="102" t="s">
        <v>14</v>
      </c>
      <c r="F332" s="102"/>
      <c r="G332" s="186">
        <v>146001.04</v>
      </c>
      <c r="H332" s="186">
        <v>128623.50000000001</v>
      </c>
      <c r="I332" s="186">
        <v>101435.1</v>
      </c>
      <c r="J332" s="186">
        <v>102575.41</v>
      </c>
      <c r="K332" s="186">
        <v>89107.72</v>
      </c>
      <c r="L332" s="186">
        <v>88358.260000000009</v>
      </c>
      <c r="M332" s="186">
        <v>95929.099999999991</v>
      </c>
      <c r="N332" s="186">
        <v>116430.47</v>
      </c>
      <c r="O332" s="186">
        <v>74655.66</v>
      </c>
      <c r="P332" s="186">
        <v>44972.380000000005</v>
      </c>
      <c r="Q332" s="186">
        <v>97453.47</v>
      </c>
      <c r="R332" s="186">
        <v>119973.74</v>
      </c>
      <c r="S332" s="186"/>
      <c r="T332" s="186">
        <f t="shared" ref="T332:W333" si="476">G332*(1+$AU$264)</f>
        <v>137574.00895467281</v>
      </c>
      <c r="U332" s="186">
        <f t="shared" si="476"/>
        <v>121199.48283095354</v>
      </c>
      <c r="V332" s="186">
        <f t="shared" si="476"/>
        <v>95580.369535163132</v>
      </c>
      <c r="W332" s="186">
        <f t="shared" si="476"/>
        <v>96654.862005566785</v>
      </c>
      <c r="X332" s="186">
        <f t="shared" ref="X332:AE333" si="477">K332*(1+$AU$264)</f>
        <v>83964.51332956586</v>
      </c>
      <c r="Y332" s="186">
        <f t="shared" si="477"/>
        <v>83258.311395996294</v>
      </c>
      <c r="Z332" s="186">
        <f t="shared" si="477"/>
        <v>90392.170236689431</v>
      </c>
      <c r="AA332" s="186">
        <f t="shared" si="477"/>
        <v>109710.22208045069</v>
      </c>
      <c r="AB332" s="186">
        <f t="shared" si="477"/>
        <v>70346.611485486748</v>
      </c>
      <c r="AC332" s="186">
        <f t="shared" si="477"/>
        <v>42376.620117452243</v>
      </c>
      <c r="AD332" s="186">
        <f t="shared" si="477"/>
        <v>91828.555155798473</v>
      </c>
      <c r="AE332" s="186">
        <f t="shared" si="477"/>
        <v>113048.97815170077</v>
      </c>
      <c r="AF332" s="186">
        <f t="shared" ref="AF332:AQ333" si="478">T332*(1+$AV$264)</f>
        <v>138411.89720526227</v>
      </c>
      <c r="AG332" s="186">
        <f t="shared" si="478"/>
        <v>121937.64277419567</v>
      </c>
      <c r="AH332" s="186">
        <f t="shared" si="478"/>
        <v>96162.497432932665</v>
      </c>
      <c r="AI332" s="186">
        <f t="shared" si="478"/>
        <v>97243.534050905611</v>
      </c>
      <c r="AJ332" s="186">
        <f t="shared" si="478"/>
        <v>84475.895382904753</v>
      </c>
      <c r="AK332" s="186">
        <f t="shared" si="478"/>
        <v>83765.39235854648</v>
      </c>
      <c r="AL332" s="186">
        <f t="shared" si="478"/>
        <v>90942.699642367777</v>
      </c>
      <c r="AM332" s="186">
        <f t="shared" si="478"/>
        <v>110378.40720312932</v>
      </c>
      <c r="AN332" s="186">
        <f t="shared" si="478"/>
        <v>70775.054326400757</v>
      </c>
      <c r="AO332" s="186">
        <f t="shared" si="478"/>
        <v>42634.712996811482</v>
      </c>
      <c r="AP332" s="186">
        <f t="shared" si="478"/>
        <v>92387.832798561649</v>
      </c>
      <c r="AQ332" s="186">
        <f t="shared" si="478"/>
        <v>113737.49781652831</v>
      </c>
      <c r="AR332" s="186">
        <f>SUM(G332:R332)</f>
        <v>1205515.8500000001</v>
      </c>
      <c r="AS332" s="186">
        <f>SUM(T332:AE332)</f>
        <v>1135934.7052794965</v>
      </c>
      <c r="AT332" s="186">
        <f>SUM(AF332:AQ332)</f>
        <v>1142853.0639885468</v>
      </c>
      <c r="AU332" s="171"/>
      <c r="AV332" s="171"/>
    </row>
    <row r="333" spans="2:48">
      <c r="B333" s="250">
        <v>688</v>
      </c>
      <c r="C333" s="212"/>
      <c r="D333" s="102"/>
      <c r="E333" s="102" t="s">
        <v>24</v>
      </c>
      <c r="F333" s="102"/>
      <c r="G333" s="186">
        <v>10658.5</v>
      </c>
      <c r="H333" s="186">
        <v>5257.51</v>
      </c>
      <c r="I333" s="186">
        <v>6448.89</v>
      </c>
      <c r="J333" s="186">
        <v>9483.15</v>
      </c>
      <c r="K333" s="186">
        <v>7806.2</v>
      </c>
      <c r="L333" s="186">
        <v>5122.82</v>
      </c>
      <c r="M333" s="186">
        <v>8872.74</v>
      </c>
      <c r="N333" s="186">
        <v>10942.54</v>
      </c>
      <c r="O333" s="186">
        <v>8118.64</v>
      </c>
      <c r="P333" s="186">
        <v>3454.02</v>
      </c>
      <c r="Q333" s="186">
        <v>5874.68</v>
      </c>
      <c r="R333" s="186">
        <v>14615.39</v>
      </c>
      <c r="S333" s="186"/>
      <c r="T333" s="186">
        <f t="shared" si="476"/>
        <v>10043.302256226258</v>
      </c>
      <c r="U333" s="186">
        <f t="shared" si="476"/>
        <v>4954.051887707662</v>
      </c>
      <c r="V333" s="186">
        <f t="shared" si="476"/>
        <v>6076.6666498245495</v>
      </c>
      <c r="W333" s="186">
        <f t="shared" si="476"/>
        <v>8935.7922588668243</v>
      </c>
      <c r="X333" s="186">
        <f t="shared" si="477"/>
        <v>7355.6341016609667</v>
      </c>
      <c r="Y333" s="186">
        <f t="shared" si="477"/>
        <v>4827.1360570662846</v>
      </c>
      <c r="Z333" s="186">
        <f t="shared" si="477"/>
        <v>8360.614501187687</v>
      </c>
      <c r="AA333" s="186">
        <f t="shared" si="477"/>
        <v>10310.947757268479</v>
      </c>
      <c r="AB333" s="186">
        <f t="shared" si="477"/>
        <v>7650.0403836833284</v>
      </c>
      <c r="AC333" s="186">
        <f t="shared" si="477"/>
        <v>3254.6574901769122</v>
      </c>
      <c r="AD333" s="186">
        <f t="shared" si="477"/>
        <v>5535.5994650848879</v>
      </c>
      <c r="AE333" s="186">
        <f t="shared" si="477"/>
        <v>13771.804603145536</v>
      </c>
      <c r="AF333" s="186">
        <f t="shared" si="478"/>
        <v>10104.470532280371</v>
      </c>
      <c r="AG333" s="186">
        <f t="shared" si="478"/>
        <v>4984.2243156325349</v>
      </c>
      <c r="AH333" s="186">
        <f t="shared" si="478"/>
        <v>6113.6763119498592</v>
      </c>
      <c r="AI333" s="186">
        <f t="shared" si="478"/>
        <v>8990.2152956039408</v>
      </c>
      <c r="AJ333" s="186">
        <f t="shared" si="478"/>
        <v>7400.4332569392536</v>
      </c>
      <c r="AK333" s="186">
        <f t="shared" si="478"/>
        <v>4856.5355098913096</v>
      </c>
      <c r="AL333" s="186">
        <f t="shared" si="478"/>
        <v>8411.5344439260061</v>
      </c>
      <c r="AM333" s="186">
        <f t="shared" si="478"/>
        <v>10373.746116085684</v>
      </c>
      <c r="AN333" s="186">
        <f t="shared" si="478"/>
        <v>7696.632607045337</v>
      </c>
      <c r="AO333" s="186">
        <f t="shared" si="478"/>
        <v>3274.4798337389921</v>
      </c>
      <c r="AP333" s="186">
        <f t="shared" si="478"/>
        <v>5569.3137821060054</v>
      </c>
      <c r="AQ333" s="186">
        <f t="shared" si="478"/>
        <v>13855.681153331634</v>
      </c>
      <c r="AR333" s="186">
        <f>SUM(G333:R333)</f>
        <v>96655.08</v>
      </c>
      <c r="AS333" s="186">
        <f>SUM(T333:AE333)</f>
        <v>91076.247411899356</v>
      </c>
      <c r="AT333" s="186">
        <f>SUM(AF333:AQ333)</f>
        <v>91630.94315853095</v>
      </c>
      <c r="AU333" s="171"/>
      <c r="AV333" s="171"/>
    </row>
    <row r="334" spans="2:48">
      <c r="B334" s="250">
        <v>689</v>
      </c>
      <c r="C334" s="212"/>
      <c r="D334" s="102"/>
      <c r="E334" s="102" t="s">
        <v>170</v>
      </c>
      <c r="F334" s="102"/>
      <c r="G334" s="1216">
        <v>156659.54</v>
      </c>
      <c r="H334" s="1216">
        <v>133881.01</v>
      </c>
      <c r="I334" s="1216">
        <v>107883.99</v>
      </c>
      <c r="J334" s="1216">
        <v>112058.56</v>
      </c>
      <c r="K334" s="1216">
        <v>96913.919999999998</v>
      </c>
      <c r="L334" s="1216">
        <v>93481.08</v>
      </c>
      <c r="M334" s="1216">
        <v>104801.84</v>
      </c>
      <c r="N334" s="1216">
        <v>127373.01000000001</v>
      </c>
      <c r="O334" s="1216">
        <v>82774.3</v>
      </c>
      <c r="P334" s="1216">
        <v>48426.400000000001</v>
      </c>
      <c r="Q334" s="1216">
        <v>103328.15000000001</v>
      </c>
      <c r="R334" s="1216">
        <v>134589.13</v>
      </c>
      <c r="S334" s="620"/>
      <c r="T334" s="131">
        <f t="shared" ref="T334:Y334" si="479">SUM(T332:T333)</f>
        <v>147617.31121089906</v>
      </c>
      <c r="U334" s="131">
        <f t="shared" si="479"/>
        <v>126153.53471866121</v>
      </c>
      <c r="V334" s="131">
        <f t="shared" si="479"/>
        <v>101657.03618498768</v>
      </c>
      <c r="W334" s="131">
        <f t="shared" si="479"/>
        <v>105590.65426443362</v>
      </c>
      <c r="X334" s="131">
        <f t="shared" si="479"/>
        <v>91320.147431226826</v>
      </c>
      <c r="Y334" s="131">
        <f t="shared" si="479"/>
        <v>88085.447453062574</v>
      </c>
      <c r="Z334" s="131">
        <f t="shared" ref="Z334:AE334" si="480">SUM(Z332:Z333)</f>
        <v>98752.784737877111</v>
      </c>
      <c r="AA334" s="131">
        <f t="shared" si="480"/>
        <v>120021.16983771918</v>
      </c>
      <c r="AB334" s="131">
        <f t="shared" si="480"/>
        <v>77996.651869170077</v>
      </c>
      <c r="AC334" s="131">
        <f t="shared" si="480"/>
        <v>45631.277607629156</v>
      </c>
      <c r="AD334" s="131">
        <f t="shared" si="480"/>
        <v>97364.154620883361</v>
      </c>
      <c r="AE334" s="131">
        <f t="shared" si="480"/>
        <v>126820.7827548463</v>
      </c>
      <c r="AF334" s="131">
        <f t="shared" ref="AF334:AQ334" si="481">SUM(AF332:AF333)</f>
        <v>148516.36773754263</v>
      </c>
      <c r="AG334" s="131">
        <f t="shared" si="481"/>
        <v>126921.86708982821</v>
      </c>
      <c r="AH334" s="131">
        <f t="shared" si="481"/>
        <v>102276.17374488253</v>
      </c>
      <c r="AI334" s="131">
        <f t="shared" si="481"/>
        <v>106233.74934650955</v>
      </c>
      <c r="AJ334" s="131">
        <f t="shared" si="481"/>
        <v>91876.32863984401</v>
      </c>
      <c r="AK334" s="131">
        <f t="shared" si="481"/>
        <v>88621.927868437793</v>
      </c>
      <c r="AL334" s="131">
        <f t="shared" si="481"/>
        <v>99354.234086293785</v>
      </c>
      <c r="AM334" s="131">
        <f t="shared" si="481"/>
        <v>120752.15331921499</v>
      </c>
      <c r="AN334" s="131">
        <f t="shared" si="481"/>
        <v>78471.686933446093</v>
      </c>
      <c r="AO334" s="131">
        <f t="shared" si="481"/>
        <v>45909.192830550477</v>
      </c>
      <c r="AP334" s="131">
        <f t="shared" si="481"/>
        <v>97957.146580667657</v>
      </c>
      <c r="AQ334" s="131">
        <f t="shared" si="481"/>
        <v>127593.17896985995</v>
      </c>
      <c r="AR334" s="131">
        <f>SUM(G334:R334)</f>
        <v>1302170.9299999997</v>
      </c>
      <c r="AS334" s="131">
        <f>SUM(T334:AE334)</f>
        <v>1227010.9526913962</v>
      </c>
      <c r="AT334" s="131">
        <f>SUM(AF334:AQ334)</f>
        <v>1234484.0071470775</v>
      </c>
      <c r="AU334" s="621"/>
      <c r="AV334" s="621"/>
    </row>
    <row r="335" spans="2:48">
      <c r="B335" s="250">
        <v>690</v>
      </c>
      <c r="C335" s="212"/>
      <c r="D335" s="102"/>
      <c r="E335" s="102"/>
      <c r="F335" s="102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71"/>
      <c r="AV335" s="171"/>
    </row>
    <row r="336" spans="2:48">
      <c r="B336" s="250">
        <v>691</v>
      </c>
      <c r="C336" s="212">
        <v>888</v>
      </c>
      <c r="D336" s="102" t="s">
        <v>389</v>
      </c>
      <c r="E336" s="102"/>
      <c r="F336" s="102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71"/>
      <c r="AV336" s="171"/>
    </row>
    <row r="337" spans="2:48">
      <c r="B337" s="250">
        <v>692</v>
      </c>
      <c r="C337" s="212"/>
      <c r="D337" s="102"/>
      <c r="E337" s="102" t="s">
        <v>14</v>
      </c>
      <c r="F337" s="102"/>
      <c r="G337" s="186">
        <v>137.09</v>
      </c>
      <c r="H337" s="186">
        <v>0</v>
      </c>
      <c r="I337" s="186">
        <v>0</v>
      </c>
      <c r="J337" s="186">
        <v>28.87</v>
      </c>
      <c r="K337" s="186">
        <v>165.37</v>
      </c>
      <c r="L337" s="186">
        <v>138.14000000000001</v>
      </c>
      <c r="M337" s="186">
        <v>0</v>
      </c>
      <c r="N337" s="186">
        <v>503.2</v>
      </c>
      <c r="O337" s="186">
        <v>0</v>
      </c>
      <c r="P337" s="186">
        <v>0</v>
      </c>
      <c r="Q337" s="186">
        <v>0</v>
      </c>
      <c r="R337" s="186">
        <v>120.76</v>
      </c>
      <c r="S337" s="186"/>
      <c r="T337" s="186">
        <f t="shared" ref="T337:W338" si="482">G337*(1+$AU$264)</f>
        <v>129.17730509040277</v>
      </c>
      <c r="U337" s="186">
        <f t="shared" si="482"/>
        <v>0</v>
      </c>
      <c r="V337" s="186">
        <f t="shared" si="482"/>
        <v>0</v>
      </c>
      <c r="W337" s="186">
        <f t="shared" si="482"/>
        <v>27.203653059741249</v>
      </c>
      <c r="X337" s="186">
        <f t="shared" ref="X337:AE338" si="483">K337*(1+$AU$264)</f>
        <v>155.8250123480918</v>
      </c>
      <c r="Y337" s="186">
        <f t="shared" si="483"/>
        <v>130.16670016185162</v>
      </c>
      <c r="Z337" s="186">
        <f t="shared" si="483"/>
        <v>0</v>
      </c>
      <c r="AA337" s="186">
        <f t="shared" si="483"/>
        <v>474.15580947910615</v>
      </c>
      <c r="AB337" s="186">
        <f t="shared" si="483"/>
        <v>0</v>
      </c>
      <c r="AC337" s="186">
        <f t="shared" si="483"/>
        <v>0</v>
      </c>
      <c r="AD337" s="186">
        <f t="shared" si="483"/>
        <v>0</v>
      </c>
      <c r="AE337" s="186">
        <f t="shared" si="483"/>
        <v>113.78985602682206</v>
      </c>
      <c r="AF337" s="186">
        <f t="shared" ref="AF337:AQ338" si="484">T337*(1+$AV$264)</f>
        <v>129.96405359762784</v>
      </c>
      <c r="AG337" s="186">
        <f t="shared" si="484"/>
        <v>0</v>
      </c>
      <c r="AH337" s="186">
        <f t="shared" si="484"/>
        <v>0</v>
      </c>
      <c r="AI337" s="186">
        <f t="shared" si="484"/>
        <v>27.36933567264947</v>
      </c>
      <c r="AJ337" s="186">
        <f t="shared" si="484"/>
        <v>156.77405750557818</v>
      </c>
      <c r="AK337" s="186">
        <f t="shared" si="484"/>
        <v>130.95947453480423</v>
      </c>
      <c r="AL337" s="186">
        <f t="shared" si="484"/>
        <v>0</v>
      </c>
      <c r="AM337" s="186">
        <f t="shared" si="484"/>
        <v>477.04363389252546</v>
      </c>
      <c r="AN337" s="186">
        <f t="shared" si="484"/>
        <v>0</v>
      </c>
      <c r="AO337" s="186">
        <f t="shared" si="484"/>
        <v>0</v>
      </c>
      <c r="AP337" s="186">
        <f t="shared" si="484"/>
        <v>0</v>
      </c>
      <c r="AQ337" s="186">
        <f t="shared" si="484"/>
        <v>114.48288797468479</v>
      </c>
      <c r="AR337" s="186">
        <f>SUM(G337:R337)</f>
        <v>1093.43</v>
      </c>
      <c r="AS337" s="186">
        <f>SUM(T337:AE337)</f>
        <v>1030.3183361660156</v>
      </c>
      <c r="AT337" s="186">
        <f>SUM(AF337:AQ337)</f>
        <v>1036.5934431778701</v>
      </c>
      <c r="AU337" s="171"/>
      <c r="AV337" s="171"/>
    </row>
    <row r="338" spans="2:48">
      <c r="B338" s="250">
        <v>693</v>
      </c>
      <c r="C338" s="212"/>
      <c r="D338" s="102"/>
      <c r="E338" s="102" t="s">
        <v>24</v>
      </c>
      <c r="F338" s="102"/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L338" s="186">
        <v>0</v>
      </c>
      <c r="M338" s="186">
        <v>0</v>
      </c>
      <c r="N338" s="186">
        <v>0</v>
      </c>
      <c r="O338" s="186">
        <v>0</v>
      </c>
      <c r="P338" s="186">
        <v>0</v>
      </c>
      <c r="Q338" s="186">
        <v>0</v>
      </c>
      <c r="R338" s="186">
        <v>0</v>
      </c>
      <c r="S338" s="186"/>
      <c r="T338" s="186">
        <f t="shared" si="482"/>
        <v>0</v>
      </c>
      <c r="U338" s="186">
        <f t="shared" si="482"/>
        <v>0</v>
      </c>
      <c r="V338" s="186">
        <f t="shared" si="482"/>
        <v>0</v>
      </c>
      <c r="W338" s="186">
        <f t="shared" si="482"/>
        <v>0</v>
      </c>
      <c r="X338" s="186">
        <f t="shared" si="483"/>
        <v>0</v>
      </c>
      <c r="Y338" s="186">
        <f t="shared" si="483"/>
        <v>0</v>
      </c>
      <c r="Z338" s="186">
        <f t="shared" si="483"/>
        <v>0</v>
      </c>
      <c r="AA338" s="186">
        <f t="shared" si="483"/>
        <v>0</v>
      </c>
      <c r="AB338" s="186">
        <f t="shared" si="483"/>
        <v>0</v>
      </c>
      <c r="AC338" s="186">
        <f t="shared" si="483"/>
        <v>0</v>
      </c>
      <c r="AD338" s="186">
        <f t="shared" si="483"/>
        <v>0</v>
      </c>
      <c r="AE338" s="186">
        <f t="shared" si="483"/>
        <v>0</v>
      </c>
      <c r="AF338" s="186">
        <f t="shared" si="484"/>
        <v>0</v>
      </c>
      <c r="AG338" s="186">
        <f t="shared" si="484"/>
        <v>0</v>
      </c>
      <c r="AH338" s="186">
        <f t="shared" si="484"/>
        <v>0</v>
      </c>
      <c r="AI338" s="186">
        <f t="shared" si="484"/>
        <v>0</v>
      </c>
      <c r="AJ338" s="186">
        <f t="shared" si="484"/>
        <v>0</v>
      </c>
      <c r="AK338" s="186">
        <f t="shared" si="484"/>
        <v>0</v>
      </c>
      <c r="AL338" s="186">
        <f t="shared" si="484"/>
        <v>0</v>
      </c>
      <c r="AM338" s="186">
        <f t="shared" si="484"/>
        <v>0</v>
      </c>
      <c r="AN338" s="186">
        <f t="shared" si="484"/>
        <v>0</v>
      </c>
      <c r="AO338" s="186">
        <f t="shared" si="484"/>
        <v>0</v>
      </c>
      <c r="AP338" s="186">
        <f t="shared" si="484"/>
        <v>0</v>
      </c>
      <c r="AQ338" s="186">
        <f t="shared" si="484"/>
        <v>0</v>
      </c>
      <c r="AR338" s="186">
        <f>SUM(G338:R338)</f>
        <v>0</v>
      </c>
      <c r="AS338" s="186">
        <f>SUM(T338:AE338)</f>
        <v>0</v>
      </c>
      <c r="AT338" s="186">
        <f>SUM(AF338:AQ338)</f>
        <v>0</v>
      </c>
      <c r="AU338" s="171"/>
      <c r="AV338" s="171"/>
    </row>
    <row r="339" spans="2:48">
      <c r="B339" s="250">
        <v>694</v>
      </c>
      <c r="C339" s="212"/>
      <c r="D339" s="102"/>
      <c r="E339" s="102" t="s">
        <v>170</v>
      </c>
      <c r="F339" s="102"/>
      <c r="G339" s="1216">
        <v>137.09</v>
      </c>
      <c r="H339" s="1216">
        <v>0</v>
      </c>
      <c r="I339" s="1216">
        <v>0</v>
      </c>
      <c r="J339" s="1216">
        <v>28.87</v>
      </c>
      <c r="K339" s="1216">
        <v>165.37</v>
      </c>
      <c r="L339" s="1216">
        <v>138.14000000000001</v>
      </c>
      <c r="M339" s="1216">
        <v>0</v>
      </c>
      <c r="N339" s="1216">
        <v>503.2</v>
      </c>
      <c r="O339" s="1216">
        <v>0</v>
      </c>
      <c r="P339" s="1216">
        <v>0</v>
      </c>
      <c r="Q339" s="1216">
        <v>0</v>
      </c>
      <c r="R339" s="1216">
        <v>120.76</v>
      </c>
      <c r="S339" s="620"/>
      <c r="T339" s="131">
        <f t="shared" ref="T339:Y339" si="485">SUM(T337:T338)</f>
        <v>129.17730509040277</v>
      </c>
      <c r="U339" s="131">
        <f t="shared" si="485"/>
        <v>0</v>
      </c>
      <c r="V339" s="131">
        <f t="shared" si="485"/>
        <v>0</v>
      </c>
      <c r="W339" s="131">
        <f t="shared" si="485"/>
        <v>27.203653059741249</v>
      </c>
      <c r="X339" s="131">
        <f t="shared" si="485"/>
        <v>155.8250123480918</v>
      </c>
      <c r="Y339" s="131">
        <f t="shared" si="485"/>
        <v>130.16670016185162</v>
      </c>
      <c r="Z339" s="131">
        <f t="shared" ref="Z339:AE339" si="486">SUM(Z337:Z338)</f>
        <v>0</v>
      </c>
      <c r="AA339" s="131">
        <f t="shared" si="486"/>
        <v>474.15580947910615</v>
      </c>
      <c r="AB339" s="131">
        <f t="shared" si="486"/>
        <v>0</v>
      </c>
      <c r="AC339" s="131">
        <f t="shared" si="486"/>
        <v>0</v>
      </c>
      <c r="AD339" s="131">
        <f t="shared" si="486"/>
        <v>0</v>
      </c>
      <c r="AE339" s="131">
        <f t="shared" si="486"/>
        <v>113.78985602682206</v>
      </c>
      <c r="AF339" s="131">
        <f t="shared" ref="AF339:AQ339" si="487">SUM(AF337:AF338)</f>
        <v>129.96405359762784</v>
      </c>
      <c r="AG339" s="131">
        <f t="shared" si="487"/>
        <v>0</v>
      </c>
      <c r="AH339" s="131">
        <f t="shared" si="487"/>
        <v>0</v>
      </c>
      <c r="AI339" s="131">
        <f t="shared" si="487"/>
        <v>27.36933567264947</v>
      </c>
      <c r="AJ339" s="131">
        <f t="shared" si="487"/>
        <v>156.77405750557818</v>
      </c>
      <c r="AK339" s="131">
        <f t="shared" si="487"/>
        <v>130.95947453480423</v>
      </c>
      <c r="AL339" s="131">
        <f t="shared" si="487"/>
        <v>0</v>
      </c>
      <c r="AM339" s="131">
        <f t="shared" si="487"/>
        <v>477.04363389252546</v>
      </c>
      <c r="AN339" s="131">
        <f t="shared" si="487"/>
        <v>0</v>
      </c>
      <c r="AO339" s="131">
        <f t="shared" si="487"/>
        <v>0</v>
      </c>
      <c r="AP339" s="131">
        <f t="shared" si="487"/>
        <v>0</v>
      </c>
      <c r="AQ339" s="131">
        <f t="shared" si="487"/>
        <v>114.48288797468479</v>
      </c>
      <c r="AR339" s="131">
        <f>SUM(G339:R339)</f>
        <v>1093.43</v>
      </c>
      <c r="AS339" s="131">
        <f>SUM(T339:AE339)</f>
        <v>1030.3183361660156</v>
      </c>
      <c r="AT339" s="131">
        <f>SUM(AF339:AQ339)</f>
        <v>1036.5934431778701</v>
      </c>
      <c r="AU339" s="621"/>
      <c r="AV339" s="621"/>
    </row>
    <row r="340" spans="2:48">
      <c r="B340" s="250">
        <v>695</v>
      </c>
      <c r="C340" s="212"/>
      <c r="D340" s="102"/>
      <c r="E340" s="102"/>
      <c r="F340" s="102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71"/>
      <c r="AV340" s="171"/>
    </row>
    <row r="341" spans="2:48">
      <c r="B341" s="250">
        <v>696</v>
      </c>
      <c r="C341" s="212">
        <v>889</v>
      </c>
      <c r="D341" s="102" t="s">
        <v>391</v>
      </c>
      <c r="E341" s="102"/>
      <c r="F341" s="102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71"/>
      <c r="AV341" s="171"/>
    </row>
    <row r="342" spans="2:48">
      <c r="B342" s="250">
        <v>697</v>
      </c>
      <c r="C342" s="212"/>
      <c r="D342" s="102"/>
      <c r="E342" s="102" t="s">
        <v>14</v>
      </c>
      <c r="F342" s="102"/>
      <c r="G342" s="186">
        <v>974.55000000000109</v>
      </c>
      <c r="H342" s="186">
        <v>1075.8100000000004</v>
      </c>
      <c r="I342" s="186">
        <v>1030.4100000000008</v>
      </c>
      <c r="J342" s="186">
        <v>787.81999999999971</v>
      </c>
      <c r="K342" s="186">
        <v>902.17999999999938</v>
      </c>
      <c r="L342" s="186">
        <v>776.75999999999976</v>
      </c>
      <c r="M342" s="186">
        <v>963.69000000000051</v>
      </c>
      <c r="N342" s="186">
        <v>3983.3100000000004</v>
      </c>
      <c r="O342" s="186">
        <v>-2936.119999999999</v>
      </c>
      <c r="P342" s="186">
        <v>870.51999999999953</v>
      </c>
      <c r="Q342" s="186">
        <v>1282.0400000000009</v>
      </c>
      <c r="R342" s="186">
        <v>1124.8800000000001</v>
      </c>
      <c r="S342" s="186"/>
      <c r="T342" s="186">
        <f t="shared" ref="T342:W343" si="488">G342*(1+$AU$264)</f>
        <v>918.29996845759831</v>
      </c>
      <c r="U342" s="186">
        <f t="shared" si="488"/>
        <v>1013.7153445860839</v>
      </c>
      <c r="V342" s="186">
        <f t="shared" si="488"/>
        <v>970.93578625867679</v>
      </c>
      <c r="W342" s="186">
        <f t="shared" si="488"/>
        <v>742.34783351317424</v>
      </c>
      <c r="X342" s="186">
        <f t="shared" ref="X342:AE343" si="489">K342*(1+$AU$264)</f>
        <v>850.10709100926022</v>
      </c>
      <c r="Y342" s="186">
        <f t="shared" si="489"/>
        <v>731.92620542724649</v>
      </c>
      <c r="Z342" s="186">
        <f t="shared" si="489"/>
        <v>908.06679657575535</v>
      </c>
      <c r="AA342" s="186">
        <f t="shared" si="489"/>
        <v>3753.3974114789717</v>
      </c>
      <c r="AB342" s="186">
        <f t="shared" si="489"/>
        <v>-2766.6501496975216</v>
      </c>
      <c r="AC342" s="186">
        <f t="shared" si="489"/>
        <v>820.27447390252644</v>
      </c>
      <c r="AD342" s="186">
        <f t="shared" si="489"/>
        <v>1208.0419594288428</v>
      </c>
      <c r="AE342" s="186">
        <f t="shared" si="489"/>
        <v>1059.95307425846</v>
      </c>
      <c r="AF342" s="186">
        <f t="shared" ref="AF342:AQ343" si="490">T342*(1+$AV$264)</f>
        <v>923.89283269070211</v>
      </c>
      <c r="AG342" s="186">
        <f t="shared" si="490"/>
        <v>1019.8893318321107</v>
      </c>
      <c r="AH342" s="186">
        <f t="shared" si="490"/>
        <v>976.84922654848481</v>
      </c>
      <c r="AI342" s="186">
        <f t="shared" si="490"/>
        <v>746.86906926313452</v>
      </c>
      <c r="AJ342" s="186">
        <f t="shared" si="490"/>
        <v>855.284629620744</v>
      </c>
      <c r="AK342" s="186">
        <f t="shared" si="490"/>
        <v>736.38396872487681</v>
      </c>
      <c r="AL342" s="186">
        <f t="shared" si="490"/>
        <v>913.5973361404773</v>
      </c>
      <c r="AM342" s="186">
        <f t="shared" si="490"/>
        <v>3776.2573078705004</v>
      </c>
      <c r="AN342" s="186">
        <f t="shared" si="490"/>
        <v>-2783.5003067259968</v>
      </c>
      <c r="AO342" s="186">
        <f t="shared" si="490"/>
        <v>825.27031831502597</v>
      </c>
      <c r="AP342" s="186">
        <f t="shared" si="490"/>
        <v>1215.3994840929527</v>
      </c>
      <c r="AQ342" s="186">
        <f t="shared" si="490"/>
        <v>1066.4086702961531</v>
      </c>
      <c r="AR342" s="186">
        <f>SUM(G342:R342)</f>
        <v>10835.850000000006</v>
      </c>
      <c r="AS342" s="186">
        <f>SUM(T342:AE342)</f>
        <v>10210.415795199075</v>
      </c>
      <c r="AT342" s="186">
        <f>SUM(AF342:AQ342)</f>
        <v>10272.601868669168</v>
      </c>
      <c r="AU342" s="171"/>
      <c r="AV342" s="171"/>
    </row>
    <row r="343" spans="2:48">
      <c r="B343" s="250">
        <v>698</v>
      </c>
      <c r="C343" s="212"/>
      <c r="D343" s="102"/>
      <c r="E343" s="102" t="s">
        <v>24</v>
      </c>
      <c r="F343" s="102"/>
      <c r="G343" s="186">
        <v>7448.33</v>
      </c>
      <c r="H343" s="186">
        <v>8011.38</v>
      </c>
      <c r="I343" s="186">
        <v>4673.24</v>
      </c>
      <c r="J343" s="186">
        <v>5417.92</v>
      </c>
      <c r="K343" s="186">
        <v>7519.29</v>
      </c>
      <c r="L343" s="186">
        <v>3275.09</v>
      </c>
      <c r="M343" s="186">
        <v>8339</v>
      </c>
      <c r="N343" s="186">
        <v>845.24</v>
      </c>
      <c r="O343" s="186">
        <v>9329.48</v>
      </c>
      <c r="P343" s="186">
        <v>3580.26</v>
      </c>
      <c r="Q343" s="186">
        <v>8363.06</v>
      </c>
      <c r="R343" s="186">
        <v>3983.51</v>
      </c>
      <c r="S343" s="186"/>
      <c r="T343" s="186">
        <f t="shared" si="488"/>
        <v>7018.4199928805865</v>
      </c>
      <c r="U343" s="186">
        <f t="shared" si="488"/>
        <v>7548.9713214322774</v>
      </c>
      <c r="V343" s="186">
        <f t="shared" si="488"/>
        <v>4403.5053559025</v>
      </c>
      <c r="W343" s="186">
        <f t="shared" si="488"/>
        <v>5105.2031861944333</v>
      </c>
      <c r="X343" s="186">
        <f t="shared" si="489"/>
        <v>7085.2842540901202</v>
      </c>
      <c r="Y343" s="186">
        <f t="shared" si="489"/>
        <v>3086.0551471918243</v>
      </c>
      <c r="Z343" s="186">
        <f t="shared" si="489"/>
        <v>7857.6814293447269</v>
      </c>
      <c r="AA343" s="186">
        <f t="shared" si="489"/>
        <v>796.45360970612023</v>
      </c>
      <c r="AB343" s="186">
        <f t="shared" si="489"/>
        <v>8790.9919344577338</v>
      </c>
      <c r="AC343" s="186">
        <f t="shared" si="489"/>
        <v>3373.6110461956773</v>
      </c>
      <c r="AD343" s="186">
        <f t="shared" si="489"/>
        <v>7880.352710696211</v>
      </c>
      <c r="AE343" s="186">
        <f t="shared" si="489"/>
        <v>3753.5858676830571</v>
      </c>
      <c r="AF343" s="186">
        <f t="shared" si="490"/>
        <v>7061.1653609513405</v>
      </c>
      <c r="AG343" s="186">
        <f t="shared" si="490"/>
        <v>7594.9479882629203</v>
      </c>
      <c r="AH343" s="186">
        <f t="shared" si="490"/>
        <v>4430.3247051905919</v>
      </c>
      <c r="AI343" s="186">
        <f t="shared" si="490"/>
        <v>5136.2961942348802</v>
      </c>
      <c r="AJ343" s="186">
        <f t="shared" si="490"/>
        <v>7128.4368559056602</v>
      </c>
      <c r="AK343" s="186">
        <f t="shared" si="490"/>
        <v>3104.8506258447364</v>
      </c>
      <c r="AL343" s="186">
        <f t="shared" si="490"/>
        <v>7905.5382810607516</v>
      </c>
      <c r="AM343" s="186">
        <f t="shared" si="490"/>
        <v>801.30437422757996</v>
      </c>
      <c r="AN343" s="186">
        <f t="shared" si="490"/>
        <v>8844.5330713983294</v>
      </c>
      <c r="AO343" s="186">
        <f t="shared" si="490"/>
        <v>3394.1578709857977</v>
      </c>
      <c r="AP343" s="186">
        <f t="shared" si="490"/>
        <v>7928.3476408211927</v>
      </c>
      <c r="AQ343" s="186">
        <f t="shared" si="490"/>
        <v>3776.4469118585339</v>
      </c>
      <c r="AR343" s="186">
        <f>SUM(G343:R343)</f>
        <v>70785.8</v>
      </c>
      <c r="AS343" s="186">
        <f>SUM(T343:AE343)</f>
        <v>66700.115855775264</v>
      </c>
      <c r="AT343" s="186">
        <f>SUM(AF343:AQ343)</f>
        <v>67106.349880742317</v>
      </c>
      <c r="AU343" s="171"/>
      <c r="AV343" s="171"/>
    </row>
    <row r="344" spans="2:48">
      <c r="B344" s="250">
        <v>699</v>
      </c>
      <c r="C344" s="212"/>
      <c r="D344" s="102"/>
      <c r="E344" s="102" t="s">
        <v>170</v>
      </c>
      <c r="F344" s="102"/>
      <c r="G344" s="1216">
        <v>8422.880000000001</v>
      </c>
      <c r="H344" s="1216">
        <v>9087.19</v>
      </c>
      <c r="I344" s="1216">
        <v>5703.6500000000005</v>
      </c>
      <c r="J344" s="1216">
        <v>6205.74</v>
      </c>
      <c r="K344" s="1216">
        <v>8421.4699999999993</v>
      </c>
      <c r="L344" s="1216">
        <v>4051.85</v>
      </c>
      <c r="M344" s="1216">
        <v>9302.69</v>
      </c>
      <c r="N344" s="1216">
        <v>4828.55</v>
      </c>
      <c r="O344" s="1216">
        <v>6393.3600000000006</v>
      </c>
      <c r="P344" s="1216">
        <v>4450.78</v>
      </c>
      <c r="Q344" s="1216">
        <v>9645.1</v>
      </c>
      <c r="R344" s="1216">
        <v>5108.3900000000003</v>
      </c>
      <c r="S344" s="620"/>
      <c r="T344" s="131">
        <f t="shared" ref="T344:Y344" si="491">SUM(T342:T343)</f>
        <v>7936.7199613381845</v>
      </c>
      <c r="U344" s="131">
        <f t="shared" si="491"/>
        <v>8562.6866660183605</v>
      </c>
      <c r="V344" s="131">
        <f t="shared" si="491"/>
        <v>5374.4411421611767</v>
      </c>
      <c r="W344" s="131">
        <f t="shared" si="491"/>
        <v>5847.5510197076073</v>
      </c>
      <c r="X344" s="131">
        <f t="shared" si="491"/>
        <v>7935.3913450993805</v>
      </c>
      <c r="Y344" s="131">
        <f t="shared" si="491"/>
        <v>3817.981352619071</v>
      </c>
      <c r="Z344" s="131">
        <f t="shared" ref="Z344:AE344" si="492">SUM(Z342:Z343)</f>
        <v>8765.7482259204826</v>
      </c>
      <c r="AA344" s="131">
        <f t="shared" si="492"/>
        <v>4549.8510211850917</v>
      </c>
      <c r="AB344" s="131">
        <f t="shared" si="492"/>
        <v>6024.3417847602122</v>
      </c>
      <c r="AC344" s="131">
        <f t="shared" si="492"/>
        <v>4193.8855200982034</v>
      </c>
      <c r="AD344" s="131">
        <f t="shared" si="492"/>
        <v>9088.3946701250534</v>
      </c>
      <c r="AE344" s="131">
        <f t="shared" si="492"/>
        <v>4813.5389419415169</v>
      </c>
      <c r="AF344" s="131">
        <f t="shared" ref="AF344:AQ344" si="493">SUM(AF342:AF343)</f>
        <v>7985.0581936420422</v>
      </c>
      <c r="AG344" s="131">
        <f t="shared" si="493"/>
        <v>8614.83732009503</v>
      </c>
      <c r="AH344" s="131">
        <f t="shared" si="493"/>
        <v>5407.1739317390766</v>
      </c>
      <c r="AI344" s="131">
        <f t="shared" si="493"/>
        <v>5883.1652634980146</v>
      </c>
      <c r="AJ344" s="131">
        <f t="shared" si="493"/>
        <v>7983.7214855264046</v>
      </c>
      <c r="AK344" s="131">
        <f t="shared" si="493"/>
        <v>3841.2345945696134</v>
      </c>
      <c r="AL344" s="131">
        <f t="shared" si="493"/>
        <v>8819.1356172012293</v>
      </c>
      <c r="AM344" s="131">
        <f t="shared" si="493"/>
        <v>4577.5616820980804</v>
      </c>
      <c r="AN344" s="131">
        <f t="shared" si="493"/>
        <v>6061.0327646723326</v>
      </c>
      <c r="AO344" s="131">
        <f t="shared" si="493"/>
        <v>4219.4281893008238</v>
      </c>
      <c r="AP344" s="131">
        <f t="shared" si="493"/>
        <v>9143.7471249141454</v>
      </c>
      <c r="AQ344" s="131">
        <f t="shared" si="493"/>
        <v>4842.855582154687</v>
      </c>
      <c r="AR344" s="131">
        <f>SUM(G344:R344)</f>
        <v>81621.650000000009</v>
      </c>
      <c r="AS344" s="131">
        <f>SUM(T344:AE344)</f>
        <v>76910.531650974342</v>
      </c>
      <c r="AT344" s="131">
        <f>SUM(AF344:AQ344)</f>
        <v>77378.951749411484</v>
      </c>
      <c r="AU344" s="621"/>
      <c r="AV344" s="621"/>
    </row>
    <row r="345" spans="2:48">
      <c r="B345" s="250">
        <v>700</v>
      </c>
      <c r="C345" s="212"/>
      <c r="D345" s="102"/>
      <c r="E345" s="102"/>
      <c r="F345" s="102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71"/>
      <c r="AV345" s="171"/>
    </row>
    <row r="346" spans="2:48">
      <c r="B346" s="250">
        <v>701</v>
      </c>
      <c r="C346" s="212">
        <v>892</v>
      </c>
      <c r="D346" s="102" t="s">
        <v>392</v>
      </c>
      <c r="E346" s="102"/>
      <c r="F346" s="102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6"/>
      <c r="AR346" s="186"/>
      <c r="AS346" s="186"/>
      <c r="AT346" s="186"/>
      <c r="AU346" s="171"/>
      <c r="AV346" s="171"/>
    </row>
    <row r="347" spans="2:48">
      <c r="B347" s="250">
        <v>702</v>
      </c>
      <c r="C347" s="212"/>
      <c r="D347" s="102"/>
      <c r="E347" s="102" t="s">
        <v>14</v>
      </c>
      <c r="F347" s="102"/>
      <c r="G347" s="186">
        <v>73716.239999999991</v>
      </c>
      <c r="H347" s="186">
        <v>48337.289999999994</v>
      </c>
      <c r="I347" s="186">
        <v>50762.17</v>
      </c>
      <c r="J347" s="186">
        <v>44813.560000000005</v>
      </c>
      <c r="K347" s="186">
        <v>39069.120000000003</v>
      </c>
      <c r="L347" s="186">
        <v>56835.53</v>
      </c>
      <c r="M347" s="186">
        <v>49725.77</v>
      </c>
      <c r="N347" s="186">
        <v>60183.29</v>
      </c>
      <c r="O347" s="186">
        <v>60537.430000000008</v>
      </c>
      <c r="P347" s="186">
        <v>30012.960000000003</v>
      </c>
      <c r="Q347" s="186">
        <v>40829.370000000003</v>
      </c>
      <c r="R347" s="186">
        <v>60518.450000000004</v>
      </c>
      <c r="S347" s="186"/>
      <c r="T347" s="186">
        <f t="shared" ref="T347:W348" si="494">G347*(1+$AU$264)</f>
        <v>69461.413849276752</v>
      </c>
      <c r="U347" s="186">
        <f t="shared" si="494"/>
        <v>45547.310945898847</v>
      </c>
      <c r="V347" s="186">
        <f t="shared" si="494"/>
        <v>47832.229346713037</v>
      </c>
      <c r="W347" s="186">
        <f t="shared" si="494"/>
        <v>42226.967045787947</v>
      </c>
      <c r="X347" s="186">
        <f t="shared" ref="X347:AE348" si="495">K347*(1+$AU$264)</f>
        <v>36814.090260803532</v>
      </c>
      <c r="Y347" s="186">
        <f t="shared" si="495"/>
        <v>53555.041204936453</v>
      </c>
      <c r="Z347" s="186">
        <f t="shared" si="495"/>
        <v>46855.649297141994</v>
      </c>
      <c r="AA347" s="186">
        <f t="shared" si="495"/>
        <v>56709.571913882741</v>
      </c>
      <c r="AB347" s="186">
        <f t="shared" si="495"/>
        <v>57043.271314456935</v>
      </c>
      <c r="AC347" s="186">
        <f t="shared" si="495"/>
        <v>28280.64257484904</v>
      </c>
      <c r="AD347" s="186">
        <f t="shared" si="495"/>
        <v>38472.740427010998</v>
      </c>
      <c r="AE347" s="186">
        <f t="shared" si="495"/>
        <v>57025.386820689222</v>
      </c>
      <c r="AF347" s="186">
        <f t="shared" ref="AF347:AQ348" si="496">T347*(1+$AV$264)</f>
        <v>69884.465434208149</v>
      </c>
      <c r="AG347" s="186">
        <f t="shared" si="496"/>
        <v>45824.714773682092</v>
      </c>
      <c r="AH347" s="186">
        <f t="shared" si="496"/>
        <v>48123.549366196625</v>
      </c>
      <c r="AI347" s="186">
        <f t="shared" si="496"/>
        <v>42484.148469914006</v>
      </c>
      <c r="AJ347" s="186">
        <f t="shared" si="496"/>
        <v>37038.304804815474</v>
      </c>
      <c r="AK347" s="186">
        <f t="shared" si="496"/>
        <v>53881.215750015203</v>
      </c>
      <c r="AL347" s="186">
        <f t="shared" si="496"/>
        <v>47141.021500206531</v>
      </c>
      <c r="AM347" s="186">
        <f t="shared" si="496"/>
        <v>57054.958984911944</v>
      </c>
      <c r="AN347" s="186">
        <f t="shared" si="496"/>
        <v>57390.690766523039</v>
      </c>
      <c r="AO347" s="186">
        <f t="shared" si="496"/>
        <v>28452.884543463861</v>
      </c>
      <c r="AP347" s="186">
        <f t="shared" si="496"/>
        <v>38707.056904496152</v>
      </c>
      <c r="AQ347" s="186">
        <f t="shared" si="496"/>
        <v>57372.697348058653</v>
      </c>
      <c r="AR347" s="186">
        <f>SUM(G347:R347)</f>
        <v>615341.17999999993</v>
      </c>
      <c r="AS347" s="186">
        <f>SUM(T347:AE347)</f>
        <v>579824.31500144745</v>
      </c>
      <c r="AT347" s="186">
        <f>SUM(AF347:AQ347)</f>
        <v>583355.70864649175</v>
      </c>
      <c r="AU347" s="171"/>
      <c r="AV347" s="171"/>
    </row>
    <row r="348" spans="2:48">
      <c r="B348" s="250">
        <v>703</v>
      </c>
      <c r="C348" s="212"/>
      <c r="D348" s="102"/>
      <c r="E348" s="102" t="s">
        <v>24</v>
      </c>
      <c r="F348" s="102"/>
      <c r="G348" s="186">
        <v>4997.1000000000004</v>
      </c>
      <c r="H348" s="186">
        <v>6789.02</v>
      </c>
      <c r="I348" s="186">
        <v>6049.82</v>
      </c>
      <c r="J348" s="186">
        <v>4941.53</v>
      </c>
      <c r="K348" s="186">
        <v>3521.53</v>
      </c>
      <c r="L348" s="186">
        <v>2991.37</v>
      </c>
      <c r="M348" s="186">
        <v>3847.01</v>
      </c>
      <c r="N348" s="186">
        <v>3657.62</v>
      </c>
      <c r="O348" s="186">
        <v>6669.2</v>
      </c>
      <c r="P348" s="186">
        <v>4369.59</v>
      </c>
      <c r="Q348" s="186">
        <v>5761.82</v>
      </c>
      <c r="R348" s="186">
        <v>6183.6500000000005</v>
      </c>
      <c r="S348" s="186"/>
      <c r="T348" s="186">
        <f t="shared" si="494"/>
        <v>4708.6724871781435</v>
      </c>
      <c r="U348" s="186">
        <f t="shared" si="494"/>
        <v>6397.1646933025468</v>
      </c>
      <c r="V348" s="186">
        <f t="shared" si="494"/>
        <v>5700.6305630025554</v>
      </c>
      <c r="W348" s="186">
        <f t="shared" si="494"/>
        <v>4656.3099308729879</v>
      </c>
      <c r="X348" s="186">
        <f t="shared" si="495"/>
        <v>3318.2708818659717</v>
      </c>
      <c r="Y348" s="186">
        <f t="shared" si="495"/>
        <v>2818.7111760761404</v>
      </c>
      <c r="Z348" s="186">
        <f t="shared" si="495"/>
        <v>3624.9645083947066</v>
      </c>
      <c r="AA348" s="186">
        <f t="shared" si="495"/>
        <v>3446.5059059359464</v>
      </c>
      <c r="AB348" s="186">
        <f t="shared" si="495"/>
        <v>6284.2605814349263</v>
      </c>
      <c r="AC348" s="186">
        <f t="shared" si="495"/>
        <v>4117.3817240496974</v>
      </c>
      <c r="AD348" s="186">
        <f t="shared" si="495"/>
        <v>5429.2536291194428</v>
      </c>
      <c r="AE348" s="186">
        <f t="shared" si="495"/>
        <v>5826.7360319663658</v>
      </c>
      <c r="AF348" s="186">
        <f t="shared" si="496"/>
        <v>4737.3504430133935</v>
      </c>
      <c r="AG348" s="186">
        <f t="shared" si="496"/>
        <v>6436.1263341991926</v>
      </c>
      <c r="AH348" s="186">
        <f t="shared" si="496"/>
        <v>5735.3499944270234</v>
      </c>
      <c r="AI348" s="186">
        <f t="shared" si="496"/>
        <v>4684.6689749382585</v>
      </c>
      <c r="AJ348" s="186">
        <f t="shared" si="496"/>
        <v>3338.4806598997329</v>
      </c>
      <c r="AK348" s="186">
        <f t="shared" si="496"/>
        <v>2835.8784084202784</v>
      </c>
      <c r="AL348" s="186">
        <f t="shared" si="496"/>
        <v>3647.0421900256056</v>
      </c>
      <c r="AM348" s="186">
        <f t="shared" si="496"/>
        <v>3467.496693557192</v>
      </c>
      <c r="AN348" s="186">
        <f t="shared" si="496"/>
        <v>6322.5345849682653</v>
      </c>
      <c r="AO348" s="186">
        <f t="shared" si="496"/>
        <v>4142.4584503585866</v>
      </c>
      <c r="AP348" s="186">
        <f t="shared" si="496"/>
        <v>5462.3202516586471</v>
      </c>
      <c r="AQ348" s="186">
        <f t="shared" si="496"/>
        <v>5862.2235030197053</v>
      </c>
      <c r="AR348" s="186">
        <f>SUM(G348:R348)</f>
        <v>59779.259999999995</v>
      </c>
      <c r="AS348" s="186">
        <f>SUM(T348:AE348)</f>
        <v>56328.862113199422</v>
      </c>
      <c r="AT348" s="186">
        <f>SUM(AF348:AQ348)</f>
        <v>56671.930488485872</v>
      </c>
      <c r="AU348" s="171"/>
      <c r="AV348" s="171"/>
    </row>
    <row r="349" spans="2:48">
      <c r="B349" s="250">
        <v>704</v>
      </c>
      <c r="C349" s="212"/>
      <c r="D349" s="102"/>
      <c r="E349" s="102" t="s">
        <v>170</v>
      </c>
      <c r="F349" s="102"/>
      <c r="G349" s="1216">
        <v>78713.34</v>
      </c>
      <c r="H349" s="1216">
        <v>55126.31</v>
      </c>
      <c r="I349" s="1216">
        <v>56811.99</v>
      </c>
      <c r="J349" s="1216">
        <v>49755.090000000004</v>
      </c>
      <c r="K349" s="1216">
        <v>42590.65</v>
      </c>
      <c r="L349" s="1216">
        <v>59826.9</v>
      </c>
      <c r="M349" s="1216">
        <v>53572.78</v>
      </c>
      <c r="N349" s="1216">
        <v>63840.91</v>
      </c>
      <c r="O349" s="1216">
        <v>67206.63</v>
      </c>
      <c r="P349" s="1216">
        <v>34382.550000000003</v>
      </c>
      <c r="Q349" s="1216">
        <v>46591.19</v>
      </c>
      <c r="R349" s="1216">
        <v>66702.100000000006</v>
      </c>
      <c r="S349" s="620"/>
      <c r="T349" s="131">
        <f t="shared" ref="T349:Y349" si="497">SUM(T347:T348)</f>
        <v>74170.0863364549</v>
      </c>
      <c r="U349" s="131">
        <f t="shared" si="497"/>
        <v>51944.475639201395</v>
      </c>
      <c r="V349" s="131">
        <f t="shared" si="497"/>
        <v>53532.859909715589</v>
      </c>
      <c r="W349" s="131">
        <f t="shared" si="497"/>
        <v>46883.276976660934</v>
      </c>
      <c r="X349" s="131">
        <f t="shared" si="497"/>
        <v>40132.361142669506</v>
      </c>
      <c r="Y349" s="131">
        <f t="shared" si="497"/>
        <v>56373.752381012593</v>
      </c>
      <c r="Z349" s="131">
        <f t="shared" ref="Z349:AE349" si="498">SUM(Z347:Z348)</f>
        <v>50480.613805536697</v>
      </c>
      <c r="AA349" s="131">
        <f t="shared" si="498"/>
        <v>60156.077819818689</v>
      </c>
      <c r="AB349" s="131">
        <f t="shared" si="498"/>
        <v>63327.531895891865</v>
      </c>
      <c r="AC349" s="131">
        <f t="shared" si="498"/>
        <v>32398.024298898737</v>
      </c>
      <c r="AD349" s="131">
        <f t="shared" si="498"/>
        <v>43901.994056130439</v>
      </c>
      <c r="AE349" s="131">
        <f t="shared" si="498"/>
        <v>62852.122852655586</v>
      </c>
      <c r="AF349" s="131">
        <f t="shared" ref="AF349:AQ349" si="499">SUM(AF347:AF348)</f>
        <v>74621.815877221539</v>
      </c>
      <c r="AG349" s="131">
        <f t="shared" si="499"/>
        <v>52260.841107881286</v>
      </c>
      <c r="AH349" s="131">
        <f t="shared" si="499"/>
        <v>53858.899360623647</v>
      </c>
      <c r="AI349" s="131">
        <f t="shared" si="499"/>
        <v>47168.817444852262</v>
      </c>
      <c r="AJ349" s="131">
        <f t="shared" si="499"/>
        <v>40376.785464715205</v>
      </c>
      <c r="AK349" s="131">
        <f t="shared" si="499"/>
        <v>56717.09415843548</v>
      </c>
      <c r="AL349" s="131">
        <f t="shared" si="499"/>
        <v>50788.063690232135</v>
      </c>
      <c r="AM349" s="131">
        <f t="shared" si="499"/>
        <v>60522.455678469138</v>
      </c>
      <c r="AN349" s="131">
        <f t="shared" si="499"/>
        <v>63713.225351491303</v>
      </c>
      <c r="AO349" s="131">
        <f t="shared" si="499"/>
        <v>32595.342993822447</v>
      </c>
      <c r="AP349" s="131">
        <f t="shared" si="499"/>
        <v>44169.377156154798</v>
      </c>
      <c r="AQ349" s="131">
        <f t="shared" si="499"/>
        <v>63234.920851078357</v>
      </c>
      <c r="AR349" s="131">
        <f>SUM(G349:R349)</f>
        <v>675120.44000000006</v>
      </c>
      <c r="AS349" s="131">
        <f>SUM(T349:AE349)</f>
        <v>636153.17711464688</v>
      </c>
      <c r="AT349" s="131">
        <f>SUM(AF349:AQ349)</f>
        <v>640027.63913497759</v>
      </c>
      <c r="AU349" s="621"/>
      <c r="AV349" s="621"/>
    </row>
    <row r="350" spans="2:48">
      <c r="B350" s="250">
        <v>705</v>
      </c>
      <c r="C350" s="212"/>
      <c r="D350" s="102"/>
      <c r="E350" s="102"/>
      <c r="F350" s="102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71"/>
      <c r="AV350" s="171"/>
    </row>
    <row r="351" spans="2:48">
      <c r="B351" s="250">
        <v>706</v>
      </c>
      <c r="C351" s="212">
        <v>893</v>
      </c>
      <c r="D351" s="102" t="s">
        <v>395</v>
      </c>
      <c r="E351" s="102"/>
      <c r="F351" s="102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6"/>
      <c r="W351" s="186"/>
      <c r="X351" s="186"/>
      <c r="Y351" s="186"/>
      <c r="Z351" s="186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6"/>
      <c r="AR351" s="186"/>
      <c r="AS351" s="186"/>
      <c r="AT351" s="186"/>
      <c r="AU351" s="171"/>
      <c r="AV351" s="171"/>
    </row>
    <row r="352" spans="2:48">
      <c r="B352" s="250">
        <v>707</v>
      </c>
      <c r="C352" s="212"/>
      <c r="D352" s="102"/>
      <c r="E352" s="102" t="s">
        <v>14</v>
      </c>
      <c r="F352" s="102"/>
      <c r="G352" s="186">
        <v>52838.07</v>
      </c>
      <c r="H352" s="186">
        <v>43107.63</v>
      </c>
      <c r="I352" s="186">
        <v>38540.879999999997</v>
      </c>
      <c r="J352" s="186">
        <v>30282.400000000001</v>
      </c>
      <c r="K352" s="186">
        <v>33555.370000000003</v>
      </c>
      <c r="L352" s="186">
        <v>37950.74</v>
      </c>
      <c r="M352" s="186">
        <v>26915.38</v>
      </c>
      <c r="N352" s="186">
        <v>38288.14</v>
      </c>
      <c r="O352" s="186">
        <v>39566.080000000002</v>
      </c>
      <c r="P352" s="186">
        <v>16881.53</v>
      </c>
      <c r="Q352" s="186">
        <v>36755.96</v>
      </c>
      <c r="R352" s="186">
        <v>44495.32</v>
      </c>
      <c r="S352" s="186"/>
      <c r="T352" s="186">
        <f t="shared" ref="T352:W353" si="500">G352*(1+$AU$264)</f>
        <v>49788.310517018435</v>
      </c>
      <c r="U352" s="186">
        <f t="shared" si="500"/>
        <v>40619.501584610094</v>
      </c>
      <c r="V352" s="186">
        <f t="shared" si="500"/>
        <v>36316.339734572917</v>
      </c>
      <c r="W352" s="186">
        <f t="shared" si="500"/>
        <v>28534.530772993017</v>
      </c>
      <c r="X352" s="186">
        <f t="shared" ref="X352:AE353" si="501">K352*(1+$AU$264)</f>
        <v>31618.588284421534</v>
      </c>
      <c r="Y352" s="186">
        <f t="shared" si="501"/>
        <v>35760.262013177846</v>
      </c>
      <c r="Z352" s="186">
        <f t="shared" si="501"/>
        <v>25361.851731593295</v>
      </c>
      <c r="AA352" s="186">
        <f t="shared" si="501"/>
        <v>36078.187629470078</v>
      </c>
      <c r="AB352" s="186">
        <f t="shared" si="501"/>
        <v>37282.36623671517</v>
      </c>
      <c r="AC352" s="186">
        <f t="shared" si="501"/>
        <v>15907.145314777057</v>
      </c>
      <c r="AD352" s="186">
        <f t="shared" si="501"/>
        <v>34634.443495591506</v>
      </c>
      <c r="AE352" s="186">
        <f t="shared" si="501"/>
        <v>41927.095533847103</v>
      </c>
      <c r="AF352" s="186">
        <f t="shared" ref="AF352:AQ353" si="502">T352*(1+$AV$264)</f>
        <v>50091.54395999133</v>
      </c>
      <c r="AG352" s="186">
        <f t="shared" si="502"/>
        <v>40866.892813383238</v>
      </c>
      <c r="AH352" s="186">
        <f t="shared" si="502"/>
        <v>36537.522751621138</v>
      </c>
      <c r="AI352" s="186">
        <f t="shared" si="502"/>
        <v>28708.319036142719</v>
      </c>
      <c r="AJ352" s="186">
        <f t="shared" si="502"/>
        <v>31811.159859714298</v>
      </c>
      <c r="AK352" s="186">
        <f t="shared" si="502"/>
        <v>35978.058264130406</v>
      </c>
      <c r="AL352" s="186">
        <f t="shared" si="502"/>
        <v>25516.316937198339</v>
      </c>
      <c r="AM352" s="186">
        <f t="shared" si="502"/>
        <v>36297.920191943085</v>
      </c>
      <c r="AN352" s="186">
        <f t="shared" si="502"/>
        <v>37509.432794281354</v>
      </c>
      <c r="AO352" s="186">
        <f t="shared" si="502"/>
        <v>16004.027060543891</v>
      </c>
      <c r="AP352" s="186">
        <f t="shared" si="502"/>
        <v>34845.383000016511</v>
      </c>
      <c r="AQ352" s="186">
        <f>AE352*(1+$AV$264)</f>
        <v>42182.450604154947</v>
      </c>
      <c r="AR352" s="186">
        <f>SUM(G352:R352)</f>
        <v>439177.5</v>
      </c>
      <c r="AS352" s="186">
        <f>SUM(T352:AE352)</f>
        <v>413828.62284878804</v>
      </c>
      <c r="AT352" s="186">
        <f>SUM(AF352:AQ352)</f>
        <v>416349.02727312123</v>
      </c>
      <c r="AU352" s="171"/>
      <c r="AV352" s="171"/>
    </row>
    <row r="353" spans="2:48">
      <c r="B353" s="250">
        <v>708</v>
      </c>
      <c r="C353" s="212"/>
      <c r="D353" s="102"/>
      <c r="E353" s="102" t="s">
        <v>24</v>
      </c>
      <c r="F353" s="102"/>
      <c r="G353" s="186">
        <v>0</v>
      </c>
      <c r="H353" s="186">
        <v>0</v>
      </c>
      <c r="I353" s="186">
        <v>0</v>
      </c>
      <c r="J353" s="186">
        <v>0</v>
      </c>
      <c r="K353" s="186">
        <v>0</v>
      </c>
      <c r="L353" s="186">
        <v>0</v>
      </c>
      <c r="M353" s="186">
        <v>0</v>
      </c>
      <c r="N353" s="186">
        <v>0</v>
      </c>
      <c r="O353" s="186">
        <v>0</v>
      </c>
      <c r="P353" s="186">
        <v>0</v>
      </c>
      <c r="Q353" s="186">
        <v>0</v>
      </c>
      <c r="R353" s="186">
        <v>0</v>
      </c>
      <c r="S353" s="186"/>
      <c r="T353" s="186">
        <f t="shared" si="500"/>
        <v>0</v>
      </c>
      <c r="U353" s="186">
        <f t="shared" si="500"/>
        <v>0</v>
      </c>
      <c r="V353" s="186">
        <f t="shared" si="500"/>
        <v>0</v>
      </c>
      <c r="W353" s="186">
        <f t="shared" si="500"/>
        <v>0</v>
      </c>
      <c r="X353" s="186">
        <f t="shared" si="501"/>
        <v>0</v>
      </c>
      <c r="Y353" s="186">
        <f t="shared" si="501"/>
        <v>0</v>
      </c>
      <c r="Z353" s="186">
        <f t="shared" si="501"/>
        <v>0</v>
      </c>
      <c r="AA353" s="186">
        <f t="shared" si="501"/>
        <v>0</v>
      </c>
      <c r="AB353" s="186">
        <f t="shared" si="501"/>
        <v>0</v>
      </c>
      <c r="AC353" s="186">
        <f t="shared" si="501"/>
        <v>0</v>
      </c>
      <c r="AD353" s="186">
        <f t="shared" si="501"/>
        <v>0</v>
      </c>
      <c r="AE353" s="186">
        <f t="shared" si="501"/>
        <v>0</v>
      </c>
      <c r="AF353" s="186">
        <f t="shared" si="502"/>
        <v>0</v>
      </c>
      <c r="AG353" s="186">
        <f t="shared" si="502"/>
        <v>0</v>
      </c>
      <c r="AH353" s="186">
        <f t="shared" si="502"/>
        <v>0</v>
      </c>
      <c r="AI353" s="186">
        <f t="shared" si="502"/>
        <v>0</v>
      </c>
      <c r="AJ353" s="186">
        <f t="shared" si="502"/>
        <v>0</v>
      </c>
      <c r="AK353" s="186">
        <f t="shared" si="502"/>
        <v>0</v>
      </c>
      <c r="AL353" s="186">
        <f t="shared" si="502"/>
        <v>0</v>
      </c>
      <c r="AM353" s="186">
        <f t="shared" si="502"/>
        <v>0</v>
      </c>
      <c r="AN353" s="186">
        <f t="shared" si="502"/>
        <v>0</v>
      </c>
      <c r="AO353" s="186">
        <f t="shared" si="502"/>
        <v>0</v>
      </c>
      <c r="AP353" s="186">
        <f t="shared" si="502"/>
        <v>0</v>
      </c>
      <c r="AQ353" s="186">
        <f t="shared" si="502"/>
        <v>0</v>
      </c>
      <c r="AR353" s="186">
        <f>SUM(G353:R353)</f>
        <v>0</v>
      </c>
      <c r="AS353" s="186">
        <f>SUM(T353:AE353)</f>
        <v>0</v>
      </c>
      <c r="AT353" s="186">
        <f>SUM(AF353:AQ353)</f>
        <v>0</v>
      </c>
      <c r="AU353" s="171"/>
      <c r="AV353" s="171"/>
    </row>
    <row r="354" spans="2:48">
      <c r="B354" s="250">
        <v>709</v>
      </c>
      <c r="C354" s="212"/>
      <c r="D354" s="102"/>
      <c r="E354" s="102" t="s">
        <v>170</v>
      </c>
      <c r="F354" s="102"/>
      <c r="G354" s="1216">
        <v>52838.07</v>
      </c>
      <c r="H354" s="1216">
        <v>43107.63</v>
      </c>
      <c r="I354" s="1216">
        <v>38540.879999999997</v>
      </c>
      <c r="J354" s="1216">
        <v>30282.400000000001</v>
      </c>
      <c r="K354" s="1216">
        <v>33555.370000000003</v>
      </c>
      <c r="L354" s="1216">
        <v>37950.74</v>
      </c>
      <c r="M354" s="1216">
        <v>26915.38</v>
      </c>
      <c r="N354" s="1216">
        <v>38288.14</v>
      </c>
      <c r="O354" s="1216">
        <v>39566.080000000002</v>
      </c>
      <c r="P354" s="1216">
        <v>16881.53</v>
      </c>
      <c r="Q354" s="1216">
        <v>36755.96</v>
      </c>
      <c r="R354" s="1216">
        <v>44495.32</v>
      </c>
      <c r="S354" s="620"/>
      <c r="T354" s="131">
        <f t="shared" ref="T354:Y354" si="503">SUM(T352:T353)</f>
        <v>49788.310517018435</v>
      </c>
      <c r="U354" s="131">
        <f t="shared" si="503"/>
        <v>40619.501584610094</v>
      </c>
      <c r="V354" s="131">
        <f t="shared" si="503"/>
        <v>36316.339734572917</v>
      </c>
      <c r="W354" s="131">
        <f t="shared" si="503"/>
        <v>28534.530772993017</v>
      </c>
      <c r="X354" s="131">
        <f t="shared" si="503"/>
        <v>31618.588284421534</v>
      </c>
      <c r="Y354" s="131">
        <f t="shared" si="503"/>
        <v>35760.262013177846</v>
      </c>
      <c r="Z354" s="131">
        <f t="shared" ref="Z354:AE354" si="504">SUM(Z352:Z353)</f>
        <v>25361.851731593295</v>
      </c>
      <c r="AA354" s="131">
        <f t="shared" si="504"/>
        <v>36078.187629470078</v>
      </c>
      <c r="AB354" s="131">
        <f t="shared" si="504"/>
        <v>37282.36623671517</v>
      </c>
      <c r="AC354" s="131">
        <f t="shared" si="504"/>
        <v>15907.145314777057</v>
      </c>
      <c r="AD354" s="131">
        <f t="shared" si="504"/>
        <v>34634.443495591506</v>
      </c>
      <c r="AE354" s="131">
        <f t="shared" si="504"/>
        <v>41927.095533847103</v>
      </c>
      <c r="AF354" s="131">
        <f t="shared" ref="AF354:AQ354" si="505">SUM(AF352:AF353)</f>
        <v>50091.54395999133</v>
      </c>
      <c r="AG354" s="131">
        <f t="shared" si="505"/>
        <v>40866.892813383238</v>
      </c>
      <c r="AH354" s="131">
        <f t="shared" si="505"/>
        <v>36537.522751621138</v>
      </c>
      <c r="AI354" s="131">
        <f t="shared" si="505"/>
        <v>28708.319036142719</v>
      </c>
      <c r="AJ354" s="131">
        <f t="shared" si="505"/>
        <v>31811.159859714298</v>
      </c>
      <c r="AK354" s="131">
        <f t="shared" si="505"/>
        <v>35978.058264130406</v>
      </c>
      <c r="AL354" s="131">
        <f t="shared" si="505"/>
        <v>25516.316937198339</v>
      </c>
      <c r="AM354" s="131">
        <f t="shared" si="505"/>
        <v>36297.920191943085</v>
      </c>
      <c r="AN354" s="131">
        <f t="shared" si="505"/>
        <v>37509.432794281354</v>
      </c>
      <c r="AO354" s="131">
        <f t="shared" si="505"/>
        <v>16004.027060543891</v>
      </c>
      <c r="AP354" s="131">
        <f t="shared" si="505"/>
        <v>34845.383000016511</v>
      </c>
      <c r="AQ354" s="131">
        <f t="shared" si="505"/>
        <v>42182.450604154947</v>
      </c>
      <c r="AR354" s="131">
        <f>SUM(G354:R354)</f>
        <v>439177.5</v>
      </c>
      <c r="AS354" s="131">
        <f>SUM(T354:AE354)</f>
        <v>413828.62284878804</v>
      </c>
      <c r="AT354" s="131">
        <f>SUM(AF354:AQ354)</f>
        <v>416349.02727312123</v>
      </c>
      <c r="AU354" s="621"/>
      <c r="AV354" s="621"/>
    </row>
    <row r="355" spans="2:48">
      <c r="B355" s="250">
        <v>710</v>
      </c>
      <c r="C355" s="212"/>
      <c r="D355" s="102"/>
      <c r="E355" s="102"/>
      <c r="F355" s="102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71"/>
      <c r="AV355" s="171"/>
    </row>
    <row r="356" spans="2:48">
      <c r="B356" s="250">
        <v>711</v>
      </c>
      <c r="C356" s="212">
        <v>8941</v>
      </c>
      <c r="D356" s="102" t="s">
        <v>397</v>
      </c>
      <c r="E356" s="102"/>
      <c r="F356" s="102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71"/>
      <c r="AV356" s="171"/>
    </row>
    <row r="357" spans="2:48">
      <c r="B357" s="250">
        <v>712</v>
      </c>
      <c r="C357" s="212"/>
      <c r="D357" s="102"/>
      <c r="E357" s="102" t="s">
        <v>14</v>
      </c>
      <c r="F357" s="102"/>
      <c r="G357" s="186">
        <v>0</v>
      </c>
      <c r="H357" s="186">
        <v>0</v>
      </c>
      <c r="I357" s="186">
        <v>0</v>
      </c>
      <c r="J357" s="186">
        <v>0</v>
      </c>
      <c r="K357" s="186">
        <v>0</v>
      </c>
      <c r="L357" s="186">
        <v>0</v>
      </c>
      <c r="M357" s="186">
        <v>0</v>
      </c>
      <c r="N357" s="186">
        <v>0</v>
      </c>
      <c r="O357" s="186">
        <v>0</v>
      </c>
      <c r="P357" s="186">
        <v>0</v>
      </c>
      <c r="Q357" s="186">
        <v>0</v>
      </c>
      <c r="R357" s="186">
        <v>0</v>
      </c>
      <c r="S357" s="186"/>
      <c r="T357" s="186">
        <f t="shared" ref="T357:W358" si="506">G357*(1+$AU$264)</f>
        <v>0</v>
      </c>
      <c r="U357" s="186">
        <f t="shared" si="506"/>
        <v>0</v>
      </c>
      <c r="V357" s="186">
        <f t="shared" si="506"/>
        <v>0</v>
      </c>
      <c r="W357" s="186">
        <f t="shared" si="506"/>
        <v>0</v>
      </c>
      <c r="X357" s="186">
        <f t="shared" ref="X357:AE358" si="507">K357*(1+$AU$264)</f>
        <v>0</v>
      </c>
      <c r="Y357" s="186">
        <f t="shared" si="507"/>
        <v>0</v>
      </c>
      <c r="Z357" s="186">
        <f t="shared" si="507"/>
        <v>0</v>
      </c>
      <c r="AA357" s="186">
        <f t="shared" si="507"/>
        <v>0</v>
      </c>
      <c r="AB357" s="186">
        <f t="shared" si="507"/>
        <v>0</v>
      </c>
      <c r="AC357" s="186">
        <f t="shared" si="507"/>
        <v>0</v>
      </c>
      <c r="AD357" s="186">
        <f t="shared" si="507"/>
        <v>0</v>
      </c>
      <c r="AE357" s="186">
        <f t="shared" si="507"/>
        <v>0</v>
      </c>
      <c r="AF357" s="186">
        <f t="shared" ref="AF357:AQ358" si="508">T357*(1+$AV$264)</f>
        <v>0</v>
      </c>
      <c r="AG357" s="186">
        <f t="shared" si="508"/>
        <v>0</v>
      </c>
      <c r="AH357" s="186">
        <f t="shared" si="508"/>
        <v>0</v>
      </c>
      <c r="AI357" s="186">
        <f t="shared" si="508"/>
        <v>0</v>
      </c>
      <c r="AJ357" s="186">
        <f t="shared" si="508"/>
        <v>0</v>
      </c>
      <c r="AK357" s="186">
        <f t="shared" si="508"/>
        <v>0</v>
      </c>
      <c r="AL357" s="186">
        <f t="shared" si="508"/>
        <v>0</v>
      </c>
      <c r="AM357" s="186">
        <f t="shared" si="508"/>
        <v>0</v>
      </c>
      <c r="AN357" s="186">
        <f t="shared" si="508"/>
        <v>0</v>
      </c>
      <c r="AO357" s="186">
        <f t="shared" si="508"/>
        <v>0</v>
      </c>
      <c r="AP357" s="186">
        <f t="shared" si="508"/>
        <v>0</v>
      </c>
      <c r="AQ357" s="186">
        <f t="shared" si="508"/>
        <v>0</v>
      </c>
      <c r="AR357" s="186">
        <f>SUM(G357:R357)</f>
        <v>0</v>
      </c>
      <c r="AS357" s="186">
        <f>SUM(T357:AE357)</f>
        <v>0</v>
      </c>
      <c r="AT357" s="186">
        <f>SUM(AF357:AQ357)</f>
        <v>0</v>
      </c>
      <c r="AU357" s="171"/>
      <c r="AV357" s="171"/>
    </row>
    <row r="358" spans="2:48">
      <c r="B358" s="250">
        <v>713</v>
      </c>
      <c r="C358" s="212"/>
      <c r="D358" s="102"/>
      <c r="E358" s="102" t="s">
        <v>24</v>
      </c>
      <c r="F358" s="102"/>
      <c r="G358" s="186">
        <v>0</v>
      </c>
      <c r="H358" s="186">
        <v>0</v>
      </c>
      <c r="I358" s="186">
        <v>0</v>
      </c>
      <c r="J358" s="186">
        <v>0</v>
      </c>
      <c r="K358" s="186">
        <v>0</v>
      </c>
      <c r="L358" s="186">
        <v>0</v>
      </c>
      <c r="M358" s="186">
        <v>0</v>
      </c>
      <c r="N358" s="186">
        <v>0</v>
      </c>
      <c r="O358" s="186">
        <v>0</v>
      </c>
      <c r="P358" s="186">
        <v>0</v>
      </c>
      <c r="Q358" s="186">
        <v>0</v>
      </c>
      <c r="R358" s="186">
        <v>0</v>
      </c>
      <c r="S358" s="186"/>
      <c r="T358" s="186">
        <f t="shared" si="506"/>
        <v>0</v>
      </c>
      <c r="U358" s="186">
        <f t="shared" si="506"/>
        <v>0</v>
      </c>
      <c r="V358" s="186">
        <f t="shared" si="506"/>
        <v>0</v>
      </c>
      <c r="W358" s="186">
        <f t="shared" si="506"/>
        <v>0</v>
      </c>
      <c r="X358" s="186">
        <f t="shared" si="507"/>
        <v>0</v>
      </c>
      <c r="Y358" s="186">
        <f t="shared" si="507"/>
        <v>0</v>
      </c>
      <c r="Z358" s="186">
        <f t="shared" si="507"/>
        <v>0</v>
      </c>
      <c r="AA358" s="186">
        <f t="shared" si="507"/>
        <v>0</v>
      </c>
      <c r="AB358" s="186">
        <f t="shared" si="507"/>
        <v>0</v>
      </c>
      <c r="AC358" s="186">
        <f t="shared" si="507"/>
        <v>0</v>
      </c>
      <c r="AD358" s="186">
        <f t="shared" si="507"/>
        <v>0</v>
      </c>
      <c r="AE358" s="186">
        <f t="shared" si="507"/>
        <v>0</v>
      </c>
      <c r="AF358" s="186">
        <f t="shared" si="508"/>
        <v>0</v>
      </c>
      <c r="AG358" s="186">
        <f t="shared" si="508"/>
        <v>0</v>
      </c>
      <c r="AH358" s="186">
        <f t="shared" si="508"/>
        <v>0</v>
      </c>
      <c r="AI358" s="186">
        <f t="shared" si="508"/>
        <v>0</v>
      </c>
      <c r="AJ358" s="186">
        <f t="shared" si="508"/>
        <v>0</v>
      </c>
      <c r="AK358" s="186">
        <f t="shared" si="508"/>
        <v>0</v>
      </c>
      <c r="AL358" s="186">
        <f t="shared" si="508"/>
        <v>0</v>
      </c>
      <c r="AM358" s="186">
        <f t="shared" si="508"/>
        <v>0</v>
      </c>
      <c r="AN358" s="186">
        <f t="shared" si="508"/>
        <v>0</v>
      </c>
      <c r="AO358" s="186">
        <f t="shared" si="508"/>
        <v>0</v>
      </c>
      <c r="AP358" s="186">
        <f t="shared" si="508"/>
        <v>0</v>
      </c>
      <c r="AQ358" s="186">
        <f t="shared" si="508"/>
        <v>0</v>
      </c>
      <c r="AR358" s="186">
        <f>SUM(G358:R358)</f>
        <v>0</v>
      </c>
      <c r="AS358" s="186">
        <f>SUM(T358:AE358)</f>
        <v>0</v>
      </c>
      <c r="AT358" s="186">
        <f>SUM(AF358:AQ358)</f>
        <v>0</v>
      </c>
      <c r="AU358" s="171"/>
      <c r="AV358" s="171"/>
    </row>
    <row r="359" spans="2:48">
      <c r="B359" s="250">
        <v>714</v>
      </c>
      <c r="C359" s="212"/>
      <c r="D359" s="102"/>
      <c r="E359" s="102" t="s">
        <v>170</v>
      </c>
      <c r="F359" s="102"/>
      <c r="G359" s="1216">
        <v>0</v>
      </c>
      <c r="H359" s="1216">
        <v>0</v>
      </c>
      <c r="I359" s="1216">
        <v>0</v>
      </c>
      <c r="J359" s="1216">
        <v>0</v>
      </c>
      <c r="K359" s="1216">
        <v>0</v>
      </c>
      <c r="L359" s="1216">
        <v>0</v>
      </c>
      <c r="M359" s="1216">
        <v>0</v>
      </c>
      <c r="N359" s="1216">
        <v>0</v>
      </c>
      <c r="O359" s="1216">
        <v>0</v>
      </c>
      <c r="P359" s="1216">
        <v>0</v>
      </c>
      <c r="Q359" s="1216">
        <v>0</v>
      </c>
      <c r="R359" s="1216">
        <v>0</v>
      </c>
      <c r="S359" s="620"/>
      <c r="T359" s="131">
        <f t="shared" ref="T359:Y359" si="509">SUM(T357:T358)</f>
        <v>0</v>
      </c>
      <c r="U359" s="131">
        <f t="shared" si="509"/>
        <v>0</v>
      </c>
      <c r="V359" s="131">
        <f t="shared" si="509"/>
        <v>0</v>
      </c>
      <c r="W359" s="131">
        <f t="shared" si="509"/>
        <v>0</v>
      </c>
      <c r="X359" s="131">
        <f t="shared" si="509"/>
        <v>0</v>
      </c>
      <c r="Y359" s="131">
        <f t="shared" si="509"/>
        <v>0</v>
      </c>
      <c r="Z359" s="131">
        <f t="shared" ref="Z359:AE359" si="510">SUM(Z357:Z358)</f>
        <v>0</v>
      </c>
      <c r="AA359" s="131">
        <f t="shared" si="510"/>
        <v>0</v>
      </c>
      <c r="AB359" s="131">
        <f t="shared" si="510"/>
        <v>0</v>
      </c>
      <c r="AC359" s="131">
        <f t="shared" si="510"/>
        <v>0</v>
      </c>
      <c r="AD359" s="131">
        <f t="shared" si="510"/>
        <v>0</v>
      </c>
      <c r="AE359" s="131">
        <f t="shared" si="510"/>
        <v>0</v>
      </c>
      <c r="AF359" s="131">
        <f t="shared" ref="AF359:AQ359" si="511">SUM(AF357:AF358)</f>
        <v>0</v>
      </c>
      <c r="AG359" s="131">
        <f t="shared" si="511"/>
        <v>0</v>
      </c>
      <c r="AH359" s="131">
        <f t="shared" si="511"/>
        <v>0</v>
      </c>
      <c r="AI359" s="131">
        <f t="shared" si="511"/>
        <v>0</v>
      </c>
      <c r="AJ359" s="131">
        <f t="shared" si="511"/>
        <v>0</v>
      </c>
      <c r="AK359" s="131">
        <f t="shared" si="511"/>
        <v>0</v>
      </c>
      <c r="AL359" s="131">
        <f t="shared" si="511"/>
        <v>0</v>
      </c>
      <c r="AM359" s="131">
        <f t="shared" si="511"/>
        <v>0</v>
      </c>
      <c r="AN359" s="131">
        <f t="shared" si="511"/>
        <v>0</v>
      </c>
      <c r="AO359" s="131">
        <f t="shared" si="511"/>
        <v>0</v>
      </c>
      <c r="AP359" s="131">
        <f t="shared" si="511"/>
        <v>0</v>
      </c>
      <c r="AQ359" s="131">
        <f t="shared" si="511"/>
        <v>0</v>
      </c>
      <c r="AR359" s="131">
        <f>SUM(G359:R359)</f>
        <v>0</v>
      </c>
      <c r="AS359" s="131">
        <f>SUM(T359:AE359)</f>
        <v>0</v>
      </c>
      <c r="AT359" s="131">
        <f>SUM(AF359:AQ359)</f>
        <v>0</v>
      </c>
      <c r="AU359" s="621"/>
      <c r="AV359" s="621"/>
    </row>
    <row r="360" spans="2:48">
      <c r="B360" s="250">
        <v>715</v>
      </c>
      <c r="C360" s="212"/>
      <c r="D360" s="102"/>
      <c r="E360" s="102"/>
      <c r="F360" s="102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71"/>
      <c r="AV360" s="171"/>
    </row>
    <row r="361" spans="2:48">
      <c r="B361" s="250">
        <v>716</v>
      </c>
      <c r="C361" s="212">
        <v>8942</v>
      </c>
      <c r="D361" s="102" t="s">
        <v>399</v>
      </c>
      <c r="E361" s="102"/>
      <c r="F361" s="102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71"/>
      <c r="AV361" s="171"/>
    </row>
    <row r="362" spans="2:48">
      <c r="B362" s="250">
        <v>717</v>
      </c>
      <c r="C362" s="208"/>
      <c r="D362" s="102"/>
      <c r="E362" s="102" t="s">
        <v>14</v>
      </c>
      <c r="F362" s="102"/>
      <c r="G362" s="186">
        <v>0</v>
      </c>
      <c r="H362" s="186">
        <v>0</v>
      </c>
      <c r="I362" s="186">
        <v>0</v>
      </c>
      <c r="J362" s="186">
        <v>0</v>
      </c>
      <c r="K362" s="186">
        <v>0</v>
      </c>
      <c r="L362" s="186">
        <v>0</v>
      </c>
      <c r="M362" s="186">
        <v>0</v>
      </c>
      <c r="N362" s="186">
        <v>0</v>
      </c>
      <c r="O362" s="186">
        <v>0</v>
      </c>
      <c r="P362" s="186">
        <v>0</v>
      </c>
      <c r="Q362" s="186">
        <v>0</v>
      </c>
      <c r="R362" s="186">
        <v>0</v>
      </c>
      <c r="S362" s="186"/>
      <c r="T362" s="186">
        <f t="shared" ref="T362:W363" si="512">G362*(1+$AU$264)</f>
        <v>0</v>
      </c>
      <c r="U362" s="186">
        <f t="shared" si="512"/>
        <v>0</v>
      </c>
      <c r="V362" s="186">
        <f t="shared" si="512"/>
        <v>0</v>
      </c>
      <c r="W362" s="186">
        <f t="shared" si="512"/>
        <v>0</v>
      </c>
      <c r="X362" s="186">
        <f t="shared" ref="X362:AE363" si="513">K362*(1+$AU$264)</f>
        <v>0</v>
      </c>
      <c r="Y362" s="186">
        <f t="shared" si="513"/>
        <v>0</v>
      </c>
      <c r="Z362" s="186">
        <f t="shared" si="513"/>
        <v>0</v>
      </c>
      <c r="AA362" s="186">
        <f t="shared" si="513"/>
        <v>0</v>
      </c>
      <c r="AB362" s="186">
        <f t="shared" si="513"/>
        <v>0</v>
      </c>
      <c r="AC362" s="186">
        <f t="shared" si="513"/>
        <v>0</v>
      </c>
      <c r="AD362" s="186">
        <f t="shared" si="513"/>
        <v>0</v>
      </c>
      <c r="AE362" s="186">
        <f t="shared" si="513"/>
        <v>0</v>
      </c>
      <c r="AF362" s="186">
        <f t="shared" ref="AF362:AQ363" si="514">T362*(1+$AV$264)</f>
        <v>0</v>
      </c>
      <c r="AG362" s="186">
        <f t="shared" si="514"/>
        <v>0</v>
      </c>
      <c r="AH362" s="186">
        <f t="shared" si="514"/>
        <v>0</v>
      </c>
      <c r="AI362" s="186">
        <f t="shared" si="514"/>
        <v>0</v>
      </c>
      <c r="AJ362" s="186">
        <f t="shared" si="514"/>
        <v>0</v>
      </c>
      <c r="AK362" s="186">
        <f t="shared" si="514"/>
        <v>0</v>
      </c>
      <c r="AL362" s="186">
        <f t="shared" si="514"/>
        <v>0</v>
      </c>
      <c r="AM362" s="186">
        <f t="shared" si="514"/>
        <v>0</v>
      </c>
      <c r="AN362" s="186">
        <f t="shared" si="514"/>
        <v>0</v>
      </c>
      <c r="AO362" s="186">
        <f t="shared" si="514"/>
        <v>0</v>
      </c>
      <c r="AP362" s="186">
        <f t="shared" si="514"/>
        <v>0</v>
      </c>
      <c r="AQ362" s="186">
        <f t="shared" si="514"/>
        <v>0</v>
      </c>
      <c r="AR362" s="186">
        <f>SUM(G362:R362)</f>
        <v>0</v>
      </c>
      <c r="AS362" s="186">
        <f>SUM(T362:AE362)</f>
        <v>0</v>
      </c>
      <c r="AT362" s="186">
        <f>SUM(AF362:AQ362)</f>
        <v>0</v>
      </c>
      <c r="AU362" s="171"/>
      <c r="AV362" s="171"/>
    </row>
    <row r="363" spans="2:48">
      <c r="B363" s="250">
        <v>718</v>
      </c>
      <c r="C363" s="208"/>
      <c r="D363" s="102"/>
      <c r="E363" s="102" t="s">
        <v>24</v>
      </c>
      <c r="F363" s="102"/>
      <c r="G363" s="186">
        <v>0</v>
      </c>
      <c r="H363" s="186">
        <v>0</v>
      </c>
      <c r="I363" s="186">
        <v>0</v>
      </c>
      <c r="J363" s="186">
        <v>0</v>
      </c>
      <c r="K363" s="186">
        <v>0</v>
      </c>
      <c r="L363" s="186">
        <v>0</v>
      </c>
      <c r="M363" s="186">
        <v>0</v>
      </c>
      <c r="N363" s="186">
        <v>0</v>
      </c>
      <c r="O363" s="186">
        <v>0</v>
      </c>
      <c r="P363" s="186">
        <v>0</v>
      </c>
      <c r="Q363" s="186">
        <v>0</v>
      </c>
      <c r="R363" s="186">
        <v>0</v>
      </c>
      <c r="S363" s="186"/>
      <c r="T363" s="186">
        <f t="shared" si="512"/>
        <v>0</v>
      </c>
      <c r="U363" s="186">
        <f t="shared" si="512"/>
        <v>0</v>
      </c>
      <c r="V363" s="186">
        <f t="shared" si="512"/>
        <v>0</v>
      </c>
      <c r="W363" s="186">
        <f t="shared" si="512"/>
        <v>0</v>
      </c>
      <c r="X363" s="186">
        <f t="shared" si="513"/>
        <v>0</v>
      </c>
      <c r="Y363" s="186">
        <f t="shared" si="513"/>
        <v>0</v>
      </c>
      <c r="Z363" s="186">
        <f t="shared" si="513"/>
        <v>0</v>
      </c>
      <c r="AA363" s="186">
        <f t="shared" si="513"/>
        <v>0</v>
      </c>
      <c r="AB363" s="186">
        <f t="shared" si="513"/>
        <v>0</v>
      </c>
      <c r="AC363" s="186">
        <f t="shared" si="513"/>
        <v>0</v>
      </c>
      <c r="AD363" s="186">
        <f t="shared" si="513"/>
        <v>0</v>
      </c>
      <c r="AE363" s="186">
        <f t="shared" si="513"/>
        <v>0</v>
      </c>
      <c r="AF363" s="186">
        <f t="shared" si="514"/>
        <v>0</v>
      </c>
      <c r="AG363" s="186">
        <f t="shared" si="514"/>
        <v>0</v>
      </c>
      <c r="AH363" s="186">
        <f t="shared" si="514"/>
        <v>0</v>
      </c>
      <c r="AI363" s="186">
        <f t="shared" si="514"/>
        <v>0</v>
      </c>
      <c r="AJ363" s="186">
        <f t="shared" si="514"/>
        <v>0</v>
      </c>
      <c r="AK363" s="186">
        <f t="shared" si="514"/>
        <v>0</v>
      </c>
      <c r="AL363" s="186">
        <f t="shared" si="514"/>
        <v>0</v>
      </c>
      <c r="AM363" s="186">
        <f t="shared" si="514"/>
        <v>0</v>
      </c>
      <c r="AN363" s="186">
        <f t="shared" si="514"/>
        <v>0</v>
      </c>
      <c r="AO363" s="186">
        <f t="shared" si="514"/>
        <v>0</v>
      </c>
      <c r="AP363" s="186">
        <f t="shared" si="514"/>
        <v>0</v>
      </c>
      <c r="AQ363" s="186">
        <f t="shared" si="514"/>
        <v>0</v>
      </c>
      <c r="AR363" s="186">
        <f>SUM(G363:R363)</f>
        <v>0</v>
      </c>
      <c r="AS363" s="186">
        <f>SUM(T363:AE363)</f>
        <v>0</v>
      </c>
      <c r="AT363" s="186">
        <f>SUM(AF363:AQ363)</f>
        <v>0</v>
      </c>
      <c r="AU363" s="171"/>
      <c r="AV363" s="171"/>
    </row>
    <row r="364" spans="2:48">
      <c r="B364" s="250">
        <v>719</v>
      </c>
      <c r="C364" s="208"/>
      <c r="D364" s="102"/>
      <c r="E364" s="102" t="s">
        <v>170</v>
      </c>
      <c r="F364" s="102"/>
      <c r="G364" s="1216">
        <v>0</v>
      </c>
      <c r="H364" s="1216">
        <v>0</v>
      </c>
      <c r="I364" s="1216">
        <v>0</v>
      </c>
      <c r="J364" s="1216">
        <v>0</v>
      </c>
      <c r="K364" s="1216">
        <v>0</v>
      </c>
      <c r="L364" s="1216">
        <v>0</v>
      </c>
      <c r="M364" s="1216">
        <v>0</v>
      </c>
      <c r="N364" s="1216">
        <v>0</v>
      </c>
      <c r="O364" s="1216">
        <v>0</v>
      </c>
      <c r="P364" s="1216">
        <v>0</v>
      </c>
      <c r="Q364" s="1216">
        <v>0</v>
      </c>
      <c r="R364" s="1216">
        <v>0</v>
      </c>
      <c r="S364" s="620"/>
      <c r="T364" s="131">
        <f t="shared" ref="T364:Y364" si="515">SUM(T362:T363)</f>
        <v>0</v>
      </c>
      <c r="U364" s="131">
        <f t="shared" si="515"/>
        <v>0</v>
      </c>
      <c r="V364" s="131">
        <f t="shared" si="515"/>
        <v>0</v>
      </c>
      <c r="W364" s="131">
        <f t="shared" si="515"/>
        <v>0</v>
      </c>
      <c r="X364" s="131">
        <f t="shared" si="515"/>
        <v>0</v>
      </c>
      <c r="Y364" s="131">
        <f t="shared" si="515"/>
        <v>0</v>
      </c>
      <c r="Z364" s="131">
        <f t="shared" ref="Z364:AE364" si="516">SUM(Z362:Z363)</f>
        <v>0</v>
      </c>
      <c r="AA364" s="131">
        <f t="shared" si="516"/>
        <v>0</v>
      </c>
      <c r="AB364" s="131">
        <f t="shared" si="516"/>
        <v>0</v>
      </c>
      <c r="AC364" s="131">
        <f t="shared" si="516"/>
        <v>0</v>
      </c>
      <c r="AD364" s="131">
        <f t="shared" si="516"/>
        <v>0</v>
      </c>
      <c r="AE364" s="131">
        <f t="shared" si="516"/>
        <v>0</v>
      </c>
      <c r="AF364" s="131">
        <f t="shared" ref="AF364:AQ364" si="517">SUM(AF362:AF363)</f>
        <v>0</v>
      </c>
      <c r="AG364" s="131">
        <f t="shared" si="517"/>
        <v>0</v>
      </c>
      <c r="AH364" s="131">
        <f t="shared" si="517"/>
        <v>0</v>
      </c>
      <c r="AI364" s="131">
        <f t="shared" si="517"/>
        <v>0</v>
      </c>
      <c r="AJ364" s="131">
        <f t="shared" si="517"/>
        <v>0</v>
      </c>
      <c r="AK364" s="131">
        <f t="shared" si="517"/>
        <v>0</v>
      </c>
      <c r="AL364" s="131">
        <f t="shared" si="517"/>
        <v>0</v>
      </c>
      <c r="AM364" s="131">
        <f t="shared" si="517"/>
        <v>0</v>
      </c>
      <c r="AN364" s="131">
        <f t="shared" si="517"/>
        <v>0</v>
      </c>
      <c r="AO364" s="131">
        <f t="shared" si="517"/>
        <v>0</v>
      </c>
      <c r="AP364" s="131">
        <f t="shared" si="517"/>
        <v>0</v>
      </c>
      <c r="AQ364" s="131">
        <f t="shared" si="517"/>
        <v>0</v>
      </c>
      <c r="AR364" s="131">
        <f>SUM(G364:R364)</f>
        <v>0</v>
      </c>
      <c r="AS364" s="131">
        <f>SUM(T364:AE364)</f>
        <v>0</v>
      </c>
      <c r="AT364" s="131">
        <f>SUM(AF364:AQ364)</f>
        <v>0</v>
      </c>
      <c r="AU364" s="621"/>
      <c r="AV364" s="621"/>
    </row>
    <row r="365" spans="2:48" ht="13.5" thickBot="1">
      <c r="B365" s="250">
        <v>720</v>
      </c>
      <c r="C365" s="208"/>
      <c r="D365" s="102"/>
      <c r="E365" s="102"/>
      <c r="F365" s="102"/>
      <c r="G365" s="1217"/>
      <c r="H365" s="1217"/>
      <c r="I365" s="1217"/>
      <c r="J365" s="1217"/>
      <c r="K365" s="1217"/>
      <c r="L365" s="1217"/>
      <c r="M365" s="1217"/>
      <c r="N365" s="1217"/>
      <c r="O365" s="1217"/>
      <c r="P365" s="1217"/>
      <c r="Q365" s="1217"/>
      <c r="R365" s="1217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  <c r="AE365" s="235"/>
      <c r="AF365" s="235"/>
      <c r="AG365" s="235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  <c r="AR365" s="235"/>
      <c r="AS365" s="235"/>
      <c r="AT365" s="235"/>
      <c r="AU365" s="622"/>
      <c r="AV365" s="622"/>
    </row>
    <row r="366" spans="2:48" ht="13.5" thickTop="1">
      <c r="B366" s="250">
        <v>721</v>
      </c>
      <c r="C366" s="49" t="s">
        <v>564</v>
      </c>
      <c r="D366" s="102"/>
      <c r="E366" s="102"/>
      <c r="F366" s="102"/>
      <c r="G366" s="1215"/>
      <c r="H366" s="1215"/>
      <c r="I366" s="1215"/>
      <c r="J366" s="1215"/>
      <c r="K366" s="1215"/>
      <c r="L366" s="1215"/>
      <c r="M366" s="1215"/>
      <c r="N366" s="1215"/>
      <c r="O366" s="1215"/>
      <c r="P366" s="1215"/>
      <c r="Q366" s="1215"/>
      <c r="R366" s="1215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71"/>
      <c r="AV366" s="171"/>
    </row>
    <row r="367" spans="2:48">
      <c r="B367" s="250">
        <v>722</v>
      </c>
      <c r="C367" s="208"/>
      <c r="D367" s="102" t="s">
        <v>562</v>
      </c>
      <c r="E367" s="102"/>
      <c r="F367" s="102"/>
      <c r="G367" s="1215">
        <v>3969920.1599999997</v>
      </c>
      <c r="H367" s="1215">
        <v>2099584.7000000002</v>
      </c>
      <c r="I367" s="1215">
        <v>2023041.3399999999</v>
      </c>
      <c r="J367" s="1215">
        <v>2000742.87</v>
      </c>
      <c r="K367" s="1215">
        <v>2007108.7700000005</v>
      </c>
      <c r="L367" s="1215">
        <v>2034519.6099999999</v>
      </c>
      <c r="M367" s="1215">
        <v>1796190.35</v>
      </c>
      <c r="N367" s="1215">
        <v>2101712.0099999998</v>
      </c>
      <c r="O367" s="1215">
        <v>1929230.74</v>
      </c>
      <c r="P367" s="1215">
        <v>1756847.11</v>
      </c>
      <c r="Q367" s="1215">
        <v>2076559.7400000002</v>
      </c>
      <c r="R367" s="1215">
        <v>2158959.19</v>
      </c>
      <c r="S367" s="116"/>
      <c r="T367" s="116">
        <f t="shared" ref="T367:Y367" si="518">T272+T277+T282+T287+T292+T297+T302+T307+T312+T317+T322+T327+T332+T337+T342+T347+T352+T357+T362</f>
        <v>3740780.419380411</v>
      </c>
      <c r="U367" s="116">
        <f t="shared" si="518"/>
        <v>1978398.8135899175</v>
      </c>
      <c r="V367" s="116">
        <f t="shared" si="518"/>
        <v>1906273.4582221694</v>
      </c>
      <c r="W367" s="116">
        <f t="shared" si="518"/>
        <v>1885262.0331565982</v>
      </c>
      <c r="X367" s="116">
        <f t="shared" si="518"/>
        <v>1891260.4999045369</v>
      </c>
      <c r="Y367" s="116">
        <f t="shared" si="518"/>
        <v>1917089.2141905115</v>
      </c>
      <c r="Z367" s="116">
        <f t="shared" ref="Z367:AE368" si="519">Z272+Z277+Z282+Z287+Z292+Z297+Z302+Z307+Z312+Z317+Z322+Z327+Z332+Z337+Z342+Z347+Z352+Z357+Z362</f>
        <v>1692516.0758799859</v>
      </c>
      <c r="AA367" s="116">
        <f t="shared" si="519"/>
        <v>1980403.3374274829</v>
      </c>
      <c r="AB367" s="116">
        <f t="shared" si="519"/>
        <v>1817877.5103272561</v>
      </c>
      <c r="AC367" s="116">
        <f t="shared" si="519"/>
        <v>1655443.6875458632</v>
      </c>
      <c r="AD367" s="116">
        <f t="shared" si="519"/>
        <v>1956702.8307858154</v>
      </c>
      <c r="AE367" s="116">
        <f t="shared" si="519"/>
        <v>2034346.2686144784</v>
      </c>
      <c r="AF367" s="116">
        <f t="shared" ref="AF367:AQ367" si="520">AF272+AF277+AF282+AF287+AF292+AF297+AF302+AF307+AF312+AF317+AF322+AF327+AF332+AF337+AF342+AF347+AF352+AF357+AF362</f>
        <v>3763563.4725548425</v>
      </c>
      <c r="AG367" s="116">
        <f t="shared" si="520"/>
        <v>1990448.1616715977</v>
      </c>
      <c r="AH367" s="116">
        <f t="shared" si="520"/>
        <v>1917883.5301041421</v>
      </c>
      <c r="AI367" s="116">
        <f t="shared" si="520"/>
        <v>1896744.1359089045</v>
      </c>
      <c r="AJ367" s="116">
        <f t="shared" si="520"/>
        <v>1902779.1360460198</v>
      </c>
      <c r="AK367" s="116">
        <f t="shared" si="520"/>
        <v>1928765.1589427737</v>
      </c>
      <c r="AL367" s="116">
        <f t="shared" si="520"/>
        <v>1702824.2681372957</v>
      </c>
      <c r="AM367" s="116">
        <f t="shared" si="520"/>
        <v>1992464.8939705165</v>
      </c>
      <c r="AN367" s="116">
        <f t="shared" si="520"/>
        <v>1828949.2107050202</v>
      </c>
      <c r="AO367" s="116">
        <f t="shared" si="520"/>
        <v>1665526.0921064815</v>
      </c>
      <c r="AP367" s="116">
        <f t="shared" si="520"/>
        <v>1968620.0404700276</v>
      </c>
      <c r="AQ367" s="116">
        <f t="shared" si="520"/>
        <v>2046736.362128902</v>
      </c>
      <c r="AR367" s="116">
        <f>SUM(G367:R367)</f>
        <v>25954416.59</v>
      </c>
      <c r="AS367" s="116">
        <f>SUM(T367:AE367)</f>
        <v>24456354.149025027</v>
      </c>
      <c r="AT367" s="116">
        <f>SUM(AF367:AQ367)</f>
        <v>24605304.462746523</v>
      </c>
      <c r="AU367" s="171"/>
      <c r="AV367" s="171"/>
    </row>
    <row r="368" spans="2:48">
      <c r="B368" s="250">
        <v>723</v>
      </c>
      <c r="C368" s="208"/>
      <c r="D368" s="102" t="s">
        <v>563</v>
      </c>
      <c r="E368" s="102"/>
      <c r="F368" s="102"/>
      <c r="G368" s="1215">
        <v>100607.48</v>
      </c>
      <c r="H368" s="1215">
        <v>116424.96000000001</v>
      </c>
      <c r="I368" s="1215">
        <v>108877.51000000001</v>
      </c>
      <c r="J368" s="1215">
        <v>120791.5</v>
      </c>
      <c r="K368" s="1215">
        <v>111048.51</v>
      </c>
      <c r="L368" s="1215">
        <v>81075.899999999994</v>
      </c>
      <c r="M368" s="1215">
        <v>94695.94</v>
      </c>
      <c r="N368" s="1215">
        <v>92938.02</v>
      </c>
      <c r="O368" s="1215">
        <v>98435.049999999988</v>
      </c>
      <c r="P368" s="1215">
        <v>90561</v>
      </c>
      <c r="Q368" s="1215">
        <v>138853.17000000001</v>
      </c>
      <c r="R368" s="1215">
        <v>171696.84</v>
      </c>
      <c r="S368" s="116"/>
      <c r="T368" s="116">
        <f t="shared" ref="T368:Y368" si="521">T273+T278+T283+T288+T293+T298+T303+T308+T313+T318+T323+T328+T333+T338+T343+T348+T353+T358+T363</f>
        <v>94800.518917036956</v>
      </c>
      <c r="U368" s="116">
        <f t="shared" si="521"/>
        <v>109705.03011202815</v>
      </c>
      <c r="V368" s="116">
        <f t="shared" si="521"/>
        <v>102593.21122440278</v>
      </c>
      <c r="W368" s="116">
        <f t="shared" si="521"/>
        <v>113819.53787896552</v>
      </c>
      <c r="X368" s="116">
        <f t="shared" si="521"/>
        <v>104638.90331975084</v>
      </c>
      <c r="Y368" s="116">
        <f t="shared" si="521"/>
        <v>76396.281784076054</v>
      </c>
      <c r="Z368" s="116">
        <f t="shared" si="519"/>
        <v>89230.186973539094</v>
      </c>
      <c r="AA368" s="116">
        <f t="shared" si="519"/>
        <v>87573.732322109223</v>
      </c>
      <c r="AB368" s="116">
        <f t="shared" si="519"/>
        <v>92753.479359829667</v>
      </c>
      <c r="AC368" s="116">
        <f t="shared" si="519"/>
        <v>85333.911490932689</v>
      </c>
      <c r="AD368" s="116">
        <f t="shared" si="519"/>
        <v>130838.70671718988</v>
      </c>
      <c r="AE368" s="116">
        <f t="shared" si="519"/>
        <v>161786.67359937317</v>
      </c>
      <c r="AF368" s="116">
        <f t="shared" ref="AF368:AQ368" si="522">AF273+AF278+AF283+AF288+AF293+AF298+AF303+AF308+AF313+AF318+AF323+AF328+AF333+AF338+AF343+AF348+AF353+AF358+AF363</f>
        <v>95377.897170050841</v>
      </c>
      <c r="AG368" s="116">
        <f t="shared" si="522"/>
        <v>110373.183613259</v>
      </c>
      <c r="AH368" s="116">
        <f t="shared" si="522"/>
        <v>103218.05051583823</v>
      </c>
      <c r="AI368" s="116">
        <f t="shared" si="522"/>
        <v>114512.75060280006</v>
      </c>
      <c r="AJ368" s="116">
        <f t="shared" si="522"/>
        <v>105276.2018059429</v>
      </c>
      <c r="AK368" s="116">
        <f t="shared" si="522"/>
        <v>76861.569867064798</v>
      </c>
      <c r="AL368" s="116">
        <f t="shared" si="522"/>
        <v>89773.639372950245</v>
      </c>
      <c r="AM368" s="116">
        <f t="shared" si="522"/>
        <v>88107.09615973015</v>
      </c>
      <c r="AN368" s="116">
        <f t="shared" si="522"/>
        <v>93318.390211431717</v>
      </c>
      <c r="AO368" s="116">
        <f t="shared" si="522"/>
        <v>85853.633801552089</v>
      </c>
      <c r="AP368" s="116">
        <f t="shared" si="522"/>
        <v>131635.57391553381</v>
      </c>
      <c r="AQ368" s="116">
        <f t="shared" si="522"/>
        <v>162772.02798383054</v>
      </c>
      <c r="AR368" s="116">
        <f>SUM(G368:R368)</f>
        <v>1326005.8800000001</v>
      </c>
      <c r="AS368" s="116">
        <f>SUM(T368:AE368)</f>
        <v>1249470.1736992339</v>
      </c>
      <c r="AT368" s="116">
        <f>SUM(AF368:AQ368)</f>
        <v>1257080.0150199845</v>
      </c>
      <c r="AU368" s="171"/>
      <c r="AV368" s="171"/>
    </row>
    <row r="369" spans="2:48" ht="13.5" thickBot="1">
      <c r="B369" s="250">
        <v>724</v>
      </c>
      <c r="C369" s="208"/>
      <c r="D369" s="102"/>
      <c r="E369" s="102"/>
      <c r="F369" s="102"/>
      <c r="G369" s="1218"/>
      <c r="H369" s="1218"/>
      <c r="I369" s="1218"/>
      <c r="J369" s="1218"/>
      <c r="K369" s="1218"/>
      <c r="L369" s="1218"/>
      <c r="M369" s="1218"/>
      <c r="N369" s="1218"/>
      <c r="O369" s="1218"/>
      <c r="P369" s="1218"/>
      <c r="Q369" s="1218"/>
      <c r="R369" s="1218"/>
      <c r="S369" s="623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409"/>
      <c r="AV369" s="409"/>
    </row>
    <row r="370" spans="2:48">
      <c r="B370" s="250">
        <v>725</v>
      </c>
      <c r="C370" s="208"/>
      <c r="D370" s="49" t="s">
        <v>564</v>
      </c>
      <c r="E370" s="102"/>
      <c r="F370" s="102"/>
      <c r="G370" s="1215">
        <v>4070527.64</v>
      </c>
      <c r="H370" s="1215">
        <v>2216009.66</v>
      </c>
      <c r="I370" s="1215">
        <v>2131918.85</v>
      </c>
      <c r="J370" s="1215">
        <v>2121534.3700000006</v>
      </c>
      <c r="K370" s="1215">
        <v>2118157.2799999998</v>
      </c>
      <c r="L370" s="1215">
        <v>2115595.5099999998</v>
      </c>
      <c r="M370" s="1215">
        <v>1890886.29</v>
      </c>
      <c r="N370" s="1215">
        <v>2194650.0300000003</v>
      </c>
      <c r="O370" s="1215">
        <v>2027665.7900000005</v>
      </c>
      <c r="P370" s="1215">
        <v>1847408.1099999999</v>
      </c>
      <c r="Q370" s="1215">
        <v>2215412.9099999997</v>
      </c>
      <c r="R370" s="1215">
        <v>2330656.0299999998</v>
      </c>
      <c r="S370" s="116"/>
      <c r="T370" s="116">
        <f t="shared" ref="T370:Y370" si="523">T274+T279+T284+T289+T294+T299+T304+T309+T314+T319+T324+T329+T334+T339+T344+T349+T354+T359+T364</f>
        <v>3835580.9382974482</v>
      </c>
      <c r="U370" s="116">
        <f t="shared" si="523"/>
        <v>2088103.8437019456</v>
      </c>
      <c r="V370" s="116">
        <f t="shared" si="523"/>
        <v>2008866.6694465722</v>
      </c>
      <c r="W370" s="116">
        <f t="shared" si="523"/>
        <v>1999081.5710355635</v>
      </c>
      <c r="X370" s="116">
        <f t="shared" si="523"/>
        <v>1995899.4032242883</v>
      </c>
      <c r="Y370" s="116">
        <f t="shared" si="523"/>
        <v>1993485.4959745875</v>
      </c>
      <c r="Z370" s="116">
        <f t="shared" ref="Z370:AE370" si="524">Z274+Z279+Z284+Z289+Z294+Z299+Z304+Z309+Z314+Z319+Z324+Z329+Z334+Z339+Z344+Z349+Z354+Z359+Z364</f>
        <v>1781746.2628535251</v>
      </c>
      <c r="AA370" s="116">
        <f t="shared" si="524"/>
        <v>2067977.0697495916</v>
      </c>
      <c r="AB370" s="116">
        <f t="shared" si="524"/>
        <v>1910630.9896870854</v>
      </c>
      <c r="AC370" s="116">
        <f t="shared" si="524"/>
        <v>1740777.5990367958</v>
      </c>
      <c r="AD370" s="116">
        <f t="shared" si="524"/>
        <v>2087541.5375030052</v>
      </c>
      <c r="AE370" s="116">
        <f t="shared" si="524"/>
        <v>2196132.942213851</v>
      </c>
      <c r="AF370" s="116">
        <f t="shared" ref="AF370:AQ370" si="525">AF274+AF279+AF284+AF289+AF294+AF299+AF304+AF309+AF314+AF319+AF324+AF329+AF334+AF339+AF344+AF349+AF354+AF359+AF364</f>
        <v>3858941.3697248939</v>
      </c>
      <c r="AG370" s="116">
        <f t="shared" si="525"/>
        <v>2100821.3452848569</v>
      </c>
      <c r="AH370" s="116">
        <f t="shared" si="525"/>
        <v>2021101.5806199801</v>
      </c>
      <c r="AI370" s="116">
        <f t="shared" si="525"/>
        <v>2011256.8865117047</v>
      </c>
      <c r="AJ370" s="116">
        <f t="shared" si="525"/>
        <v>2008055.3378519625</v>
      </c>
      <c r="AK370" s="116">
        <f t="shared" si="525"/>
        <v>2005626.7288098386</v>
      </c>
      <c r="AL370" s="116">
        <f t="shared" si="525"/>
        <v>1792597.9075102459</v>
      </c>
      <c r="AM370" s="116">
        <f t="shared" si="525"/>
        <v>2080571.9901302466</v>
      </c>
      <c r="AN370" s="116">
        <f t="shared" si="525"/>
        <v>1922267.6009164515</v>
      </c>
      <c r="AO370" s="116">
        <f t="shared" si="525"/>
        <v>1751379.7259080338</v>
      </c>
      <c r="AP370" s="116">
        <f t="shared" si="525"/>
        <v>2100255.6143855616</v>
      </c>
      <c r="AQ370" s="116">
        <f t="shared" si="525"/>
        <v>2209508.3901127321</v>
      </c>
      <c r="AR370" s="116">
        <f>SUM(G370:R370)</f>
        <v>27280422.470000003</v>
      </c>
      <c r="AS370" s="116">
        <f>SUM(T370:AE370)</f>
        <v>25705824.322724257</v>
      </c>
      <c r="AT370" s="116">
        <f>SUM(AF370:AQ370)</f>
        <v>25862384.477766506</v>
      </c>
      <c r="AU370" s="171"/>
      <c r="AV370" s="171"/>
    </row>
    <row r="371" spans="2:48">
      <c r="B371" s="250">
        <v>726</v>
      </c>
      <c r="C371" s="208"/>
      <c r="D371" s="102"/>
      <c r="E371" s="102"/>
      <c r="F371" s="102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71"/>
      <c r="AV371" s="171"/>
    </row>
    <row r="372" spans="2:48">
      <c r="B372" s="250">
        <v>727</v>
      </c>
      <c r="C372" s="49" t="s">
        <v>400</v>
      </c>
      <c r="D372" s="102"/>
      <c r="E372" s="102"/>
      <c r="F372" s="102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71"/>
      <c r="AV372" s="171"/>
    </row>
    <row r="373" spans="2:48">
      <c r="B373" s="250">
        <v>728</v>
      </c>
      <c r="C373" s="208"/>
      <c r="D373" s="102"/>
      <c r="E373" s="102"/>
      <c r="F373" s="102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71"/>
      <c r="AV373" s="171"/>
    </row>
    <row r="374" spans="2:48">
      <c r="B374" s="250">
        <v>729</v>
      </c>
      <c r="C374" s="212">
        <v>901</v>
      </c>
      <c r="D374" s="102" t="s">
        <v>402</v>
      </c>
      <c r="E374" s="102"/>
      <c r="F374" s="102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71"/>
      <c r="AV374" s="171"/>
    </row>
    <row r="375" spans="2:48">
      <c r="B375" s="250">
        <v>730</v>
      </c>
      <c r="C375" s="212"/>
      <c r="D375" s="102"/>
      <c r="E375" s="102" t="s">
        <v>14</v>
      </c>
      <c r="F375" s="102"/>
      <c r="G375" s="186">
        <v>57761.87</v>
      </c>
      <c r="H375" s="186">
        <v>53473.37</v>
      </c>
      <c r="I375" s="186">
        <v>49667.83</v>
      </c>
      <c r="J375" s="186">
        <v>49957.22</v>
      </c>
      <c r="K375" s="186">
        <v>39272.550000000003</v>
      </c>
      <c r="L375" s="186">
        <v>52374.93</v>
      </c>
      <c r="M375" s="186">
        <v>43584.36</v>
      </c>
      <c r="N375" s="186">
        <v>49251.96</v>
      </c>
      <c r="O375" s="186">
        <v>52432.98</v>
      </c>
      <c r="P375" s="186">
        <v>29121.53</v>
      </c>
      <c r="Q375" s="186">
        <v>57873.41</v>
      </c>
      <c r="R375" s="186">
        <v>53669.61</v>
      </c>
      <c r="S375" s="186"/>
      <c r="T375" s="186">
        <f t="shared" ref="T375:W376" si="526">G375*(1+$AU$264)</f>
        <v>54427.913805399243</v>
      </c>
      <c r="U375" s="186">
        <f t="shared" si="526"/>
        <v>50386.941649296015</v>
      </c>
      <c r="V375" s="186">
        <f t="shared" si="526"/>
        <v>46801.053534818435</v>
      </c>
      <c r="W375" s="186">
        <f t="shared" si="526"/>
        <v>47073.740239319937</v>
      </c>
      <c r="X375" s="186">
        <f t="shared" ref="X375:AE376" si="527">K375*(1+$AU$264)</f>
        <v>37005.778488789096</v>
      </c>
      <c r="Y375" s="186">
        <f t="shared" si="527"/>
        <v>49351.902485217652</v>
      </c>
      <c r="Z375" s="186">
        <f t="shared" si="527"/>
        <v>41068.715215478493</v>
      </c>
      <c r="AA375" s="186">
        <f t="shared" si="527"/>
        <v>46409.187126853256</v>
      </c>
      <c r="AB375" s="186">
        <f t="shared" si="527"/>
        <v>49406.601898453468</v>
      </c>
      <c r="AC375" s="186">
        <f t="shared" si="527"/>
        <v>27440.665004809369</v>
      </c>
      <c r="AD375" s="186">
        <f t="shared" si="527"/>
        <v>54533.015830417724</v>
      </c>
      <c r="AE375" s="186">
        <f t="shared" si="527"/>
        <v>50571.854876744699</v>
      </c>
      <c r="AF375" s="186">
        <f t="shared" ref="AF375:AQ376" si="528">T375*(1+$AV$264)</f>
        <v>54759.40454139041</v>
      </c>
      <c r="AG375" s="186">
        <f t="shared" si="528"/>
        <v>50693.821027980048</v>
      </c>
      <c r="AH375" s="186">
        <f t="shared" si="528"/>
        <v>47086.093224873206</v>
      </c>
      <c r="AI375" s="186">
        <f t="shared" si="528"/>
        <v>47360.440715358411</v>
      </c>
      <c r="AJ375" s="186">
        <f t="shared" si="528"/>
        <v>37231.160501243845</v>
      </c>
      <c r="AK375" s="186">
        <f t="shared" si="528"/>
        <v>49652.478004901932</v>
      </c>
      <c r="AL375" s="186">
        <f t="shared" si="528"/>
        <v>41318.84235945953</v>
      </c>
      <c r="AM375" s="186">
        <f t="shared" si="528"/>
        <v>46691.840172355543</v>
      </c>
      <c r="AN375" s="186">
        <f t="shared" si="528"/>
        <v>49707.510562428681</v>
      </c>
      <c r="AO375" s="186">
        <f t="shared" si="528"/>
        <v>27607.791128199915</v>
      </c>
      <c r="AP375" s="186">
        <f t="shared" si="528"/>
        <v>54865.146685516745</v>
      </c>
      <c r="AQ375" s="186">
        <f t="shared" si="528"/>
        <v>50879.860461038603</v>
      </c>
      <c r="AR375" s="186">
        <f>SUM(G375:R375)</f>
        <v>588441.62</v>
      </c>
      <c r="AS375" s="186">
        <f>SUM(T375:AE375)</f>
        <v>554477.37015559745</v>
      </c>
      <c r="AT375" s="186">
        <f>SUM(AF375:AQ375)</f>
        <v>557854.3893847469</v>
      </c>
      <c r="AU375" s="171"/>
      <c r="AV375" s="171"/>
    </row>
    <row r="376" spans="2:48">
      <c r="B376" s="250">
        <v>731</v>
      </c>
      <c r="C376" s="212"/>
      <c r="D376" s="102"/>
      <c r="E376" s="102" t="s">
        <v>24</v>
      </c>
      <c r="F376" s="102"/>
      <c r="G376" s="186">
        <v>0</v>
      </c>
      <c r="H376" s="186">
        <v>0</v>
      </c>
      <c r="I376" s="186">
        <v>0</v>
      </c>
      <c r="J376" s="186">
        <v>0</v>
      </c>
      <c r="K376" s="186">
        <v>0</v>
      </c>
      <c r="L376" s="186">
        <v>0</v>
      </c>
      <c r="M376" s="186">
        <v>0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/>
      <c r="T376" s="186">
        <f t="shared" si="526"/>
        <v>0</v>
      </c>
      <c r="U376" s="186">
        <f t="shared" si="526"/>
        <v>0</v>
      </c>
      <c r="V376" s="186">
        <f t="shared" si="526"/>
        <v>0</v>
      </c>
      <c r="W376" s="186">
        <f t="shared" si="526"/>
        <v>0</v>
      </c>
      <c r="X376" s="186">
        <f t="shared" si="527"/>
        <v>0</v>
      </c>
      <c r="Y376" s="186">
        <f t="shared" si="527"/>
        <v>0</v>
      </c>
      <c r="Z376" s="186">
        <f t="shared" si="527"/>
        <v>0</v>
      </c>
      <c r="AA376" s="186">
        <f t="shared" si="527"/>
        <v>0</v>
      </c>
      <c r="AB376" s="186">
        <f t="shared" si="527"/>
        <v>0</v>
      </c>
      <c r="AC376" s="186">
        <f t="shared" si="527"/>
        <v>0</v>
      </c>
      <c r="AD376" s="186">
        <f t="shared" si="527"/>
        <v>0</v>
      </c>
      <c r="AE376" s="186">
        <f t="shared" si="527"/>
        <v>0</v>
      </c>
      <c r="AF376" s="186">
        <f t="shared" si="528"/>
        <v>0</v>
      </c>
      <c r="AG376" s="186">
        <f t="shared" si="528"/>
        <v>0</v>
      </c>
      <c r="AH376" s="186">
        <f t="shared" si="528"/>
        <v>0</v>
      </c>
      <c r="AI376" s="186">
        <f t="shared" si="528"/>
        <v>0</v>
      </c>
      <c r="AJ376" s="186">
        <f t="shared" si="528"/>
        <v>0</v>
      </c>
      <c r="AK376" s="186">
        <f t="shared" si="528"/>
        <v>0</v>
      </c>
      <c r="AL376" s="186">
        <f t="shared" si="528"/>
        <v>0</v>
      </c>
      <c r="AM376" s="186">
        <f t="shared" si="528"/>
        <v>0</v>
      </c>
      <c r="AN376" s="186">
        <f t="shared" si="528"/>
        <v>0</v>
      </c>
      <c r="AO376" s="186">
        <f t="shared" si="528"/>
        <v>0</v>
      </c>
      <c r="AP376" s="186">
        <f t="shared" si="528"/>
        <v>0</v>
      </c>
      <c r="AQ376" s="186">
        <f t="shared" si="528"/>
        <v>0</v>
      </c>
      <c r="AR376" s="186">
        <f>SUM(G376:R376)</f>
        <v>0</v>
      </c>
      <c r="AS376" s="186">
        <f>SUM(T376:AE376)</f>
        <v>0</v>
      </c>
      <c r="AT376" s="186">
        <f>SUM(AF376:AQ376)</f>
        <v>0</v>
      </c>
      <c r="AU376" s="171"/>
      <c r="AV376" s="171"/>
    </row>
    <row r="377" spans="2:48">
      <c r="B377" s="250">
        <v>732</v>
      </c>
      <c r="C377" s="212"/>
      <c r="D377" s="102"/>
      <c r="E377" s="102" t="s">
        <v>170</v>
      </c>
      <c r="F377" s="102"/>
      <c r="G377" s="1216">
        <v>57761.87</v>
      </c>
      <c r="H377" s="1216">
        <v>53473.37</v>
      </c>
      <c r="I377" s="1216">
        <v>49667.83</v>
      </c>
      <c r="J377" s="1216">
        <v>49957.22</v>
      </c>
      <c r="K377" s="1216">
        <v>39272.550000000003</v>
      </c>
      <c r="L377" s="1216">
        <v>52374.93</v>
      </c>
      <c r="M377" s="1216">
        <v>43584.36</v>
      </c>
      <c r="N377" s="1216">
        <v>49251.96</v>
      </c>
      <c r="O377" s="1216">
        <v>52432.98</v>
      </c>
      <c r="P377" s="1216">
        <v>29121.53</v>
      </c>
      <c r="Q377" s="1216">
        <v>57873.41</v>
      </c>
      <c r="R377" s="1216">
        <v>53669.61</v>
      </c>
      <c r="S377" s="620"/>
      <c r="T377" s="131">
        <f t="shared" ref="T377:Y377" si="529">SUM(T375:T376)</f>
        <v>54427.913805399243</v>
      </c>
      <c r="U377" s="131">
        <f t="shared" si="529"/>
        <v>50386.941649296015</v>
      </c>
      <c r="V377" s="131">
        <f t="shared" si="529"/>
        <v>46801.053534818435</v>
      </c>
      <c r="W377" s="131">
        <f t="shared" si="529"/>
        <v>47073.740239319937</v>
      </c>
      <c r="X377" s="131">
        <f t="shared" si="529"/>
        <v>37005.778488789096</v>
      </c>
      <c r="Y377" s="131">
        <f t="shared" si="529"/>
        <v>49351.902485217652</v>
      </c>
      <c r="Z377" s="131">
        <f t="shared" ref="Z377:AE377" si="530">SUM(Z375:Z376)</f>
        <v>41068.715215478493</v>
      </c>
      <c r="AA377" s="131">
        <f t="shared" si="530"/>
        <v>46409.187126853256</v>
      </c>
      <c r="AB377" s="131">
        <f t="shared" si="530"/>
        <v>49406.601898453468</v>
      </c>
      <c r="AC377" s="131">
        <f t="shared" si="530"/>
        <v>27440.665004809369</v>
      </c>
      <c r="AD377" s="131">
        <f t="shared" si="530"/>
        <v>54533.015830417724</v>
      </c>
      <c r="AE377" s="131">
        <f t="shared" si="530"/>
        <v>50571.854876744699</v>
      </c>
      <c r="AF377" s="131">
        <f t="shared" ref="AF377:AQ377" si="531">SUM(AF375:AF376)</f>
        <v>54759.40454139041</v>
      </c>
      <c r="AG377" s="131">
        <f t="shared" si="531"/>
        <v>50693.821027980048</v>
      </c>
      <c r="AH377" s="131">
        <f t="shared" si="531"/>
        <v>47086.093224873206</v>
      </c>
      <c r="AI377" s="131">
        <f t="shared" si="531"/>
        <v>47360.440715358411</v>
      </c>
      <c r="AJ377" s="131">
        <f t="shared" si="531"/>
        <v>37231.160501243845</v>
      </c>
      <c r="AK377" s="131">
        <f t="shared" si="531"/>
        <v>49652.478004901932</v>
      </c>
      <c r="AL377" s="131">
        <f t="shared" si="531"/>
        <v>41318.84235945953</v>
      </c>
      <c r="AM377" s="131">
        <f t="shared" si="531"/>
        <v>46691.840172355543</v>
      </c>
      <c r="AN377" s="131">
        <f t="shared" si="531"/>
        <v>49707.510562428681</v>
      </c>
      <c r="AO377" s="131">
        <f t="shared" si="531"/>
        <v>27607.791128199915</v>
      </c>
      <c r="AP377" s="131">
        <f t="shared" si="531"/>
        <v>54865.146685516745</v>
      </c>
      <c r="AQ377" s="131">
        <f t="shared" si="531"/>
        <v>50879.860461038603</v>
      </c>
      <c r="AR377" s="131">
        <f>SUM(G377:R377)</f>
        <v>588441.62</v>
      </c>
      <c r="AS377" s="131">
        <f>SUM(T377:AE377)</f>
        <v>554477.37015559745</v>
      </c>
      <c r="AT377" s="131">
        <f>SUM(AF377:AQ377)</f>
        <v>557854.3893847469</v>
      </c>
      <c r="AU377" s="621"/>
      <c r="AV377" s="621"/>
    </row>
    <row r="378" spans="2:48">
      <c r="B378" s="250">
        <v>733</v>
      </c>
      <c r="C378" s="212"/>
      <c r="D378" s="102"/>
      <c r="E378" s="102"/>
      <c r="F378" s="102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71"/>
      <c r="AV378" s="171"/>
    </row>
    <row r="379" spans="2:48">
      <c r="B379" s="250">
        <v>734</v>
      </c>
      <c r="C379" s="212">
        <v>902</v>
      </c>
      <c r="D379" s="102" t="s">
        <v>403</v>
      </c>
      <c r="E379" s="102"/>
      <c r="F379" s="102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71"/>
      <c r="AV379" s="171"/>
    </row>
    <row r="380" spans="2:48">
      <c r="B380" s="250">
        <v>735</v>
      </c>
      <c r="C380" s="212"/>
      <c r="D380" s="102"/>
      <c r="E380" s="102" t="s">
        <v>14</v>
      </c>
      <c r="F380" s="102"/>
      <c r="G380" s="186">
        <v>147778.11000000002</v>
      </c>
      <c r="H380" s="186">
        <v>184162.08000000002</v>
      </c>
      <c r="I380" s="186">
        <v>154937.61000000002</v>
      </c>
      <c r="J380" s="186">
        <v>111811.51000000001</v>
      </c>
      <c r="K380" s="186">
        <v>143276.01999999999</v>
      </c>
      <c r="L380" s="186">
        <v>117411.53000000001</v>
      </c>
      <c r="M380" s="186">
        <v>114381.66</v>
      </c>
      <c r="N380" s="186">
        <v>112541.36</v>
      </c>
      <c r="O380" s="186">
        <v>123847.95</v>
      </c>
      <c r="P380" s="186">
        <v>130970.42</v>
      </c>
      <c r="Q380" s="186">
        <v>155742.51</v>
      </c>
      <c r="R380" s="186">
        <v>122376.5</v>
      </c>
      <c r="S380" s="186"/>
      <c r="T380" s="186">
        <f t="shared" ref="T380:W381" si="532">G380*(1+$AU$264)</f>
        <v>139248.5082876439</v>
      </c>
      <c r="U380" s="186">
        <f t="shared" si="532"/>
        <v>173532.43266644658</v>
      </c>
      <c r="V380" s="186">
        <f t="shared" si="532"/>
        <v>145994.76925339439</v>
      </c>
      <c r="W380" s="186">
        <f t="shared" si="532"/>
        <v>105357.86373833701</v>
      </c>
      <c r="X380" s="186">
        <f t="shared" ref="X380:AE381" si="533">K380*(1+$AU$264)</f>
        <v>135006.27432838752</v>
      </c>
      <c r="Y380" s="186">
        <f t="shared" si="533"/>
        <v>110634.65629835128</v>
      </c>
      <c r="Z380" s="186">
        <f t="shared" si="533"/>
        <v>107779.66730298867</v>
      </c>
      <c r="AA380" s="186">
        <f t="shared" si="533"/>
        <v>106045.58754109599</v>
      </c>
      <c r="AB380" s="186">
        <f t="shared" si="533"/>
        <v>116699.57270385108</v>
      </c>
      <c r="AC380" s="186">
        <f t="shared" si="533"/>
        <v>123410.94100341518</v>
      </c>
      <c r="AD380" s="186">
        <f t="shared" si="533"/>
        <v>146753.21124673646</v>
      </c>
      <c r="AE380" s="186">
        <f t="shared" si="533"/>
        <v>115313.05329634307</v>
      </c>
      <c r="AF380" s="186">
        <f t="shared" ref="AF380:AQ381" si="534">T380*(1+$AV$264)</f>
        <v>140096.59500033659</v>
      </c>
      <c r="AG380" s="186">
        <f t="shared" si="534"/>
        <v>174589.32406281002</v>
      </c>
      <c r="AH380" s="186">
        <f t="shared" si="534"/>
        <v>146883.94376196919</v>
      </c>
      <c r="AI380" s="186">
        <f t="shared" si="534"/>
        <v>105999.54102029106</v>
      </c>
      <c r="AJ380" s="186">
        <f t="shared" si="534"/>
        <v>135828.52390790571</v>
      </c>
      <c r="AK380" s="186">
        <f t="shared" si="534"/>
        <v>111308.47164563053</v>
      </c>
      <c r="AL380" s="186">
        <f t="shared" si="534"/>
        <v>108436.09446951377</v>
      </c>
      <c r="AM380" s="186">
        <f t="shared" si="534"/>
        <v>106691.45337362264</v>
      </c>
      <c r="AN380" s="186">
        <f t="shared" si="534"/>
        <v>117410.32614892647</v>
      </c>
      <c r="AO380" s="186">
        <f t="shared" si="534"/>
        <v>124162.56973217468</v>
      </c>
      <c r="AP380" s="186">
        <f t="shared" si="534"/>
        <v>147647.0050118104</v>
      </c>
      <c r="AQ380" s="186">
        <f t="shared" si="534"/>
        <v>116015.3622079663</v>
      </c>
      <c r="AR380" s="186">
        <f>SUM(G380:R380)</f>
        <v>1619237.26</v>
      </c>
      <c r="AS380" s="186">
        <f>SUM(T380:AE380)</f>
        <v>1525776.5376669909</v>
      </c>
      <c r="AT380" s="186">
        <f>SUM(AF380:AQ380)</f>
        <v>1535069.2103429574</v>
      </c>
      <c r="AU380" s="171"/>
      <c r="AV380" s="171"/>
    </row>
    <row r="381" spans="2:48">
      <c r="B381" s="250">
        <v>736</v>
      </c>
      <c r="C381" s="212"/>
      <c r="D381" s="102"/>
      <c r="E381" s="102" t="s">
        <v>24</v>
      </c>
      <c r="F381" s="102"/>
      <c r="G381" s="186">
        <v>365.08</v>
      </c>
      <c r="H381" s="186">
        <v>908.21</v>
      </c>
      <c r="I381" s="186">
        <v>314.34000000000003</v>
      </c>
      <c r="J381" s="186">
        <v>1.37</v>
      </c>
      <c r="K381" s="186">
        <v>86.23</v>
      </c>
      <c r="L381" s="186">
        <v>840.4</v>
      </c>
      <c r="M381" s="186">
        <v>122.68</v>
      </c>
      <c r="N381" s="186">
        <v>0</v>
      </c>
      <c r="O381" s="186">
        <v>37.660000000000004</v>
      </c>
      <c r="P381" s="186">
        <v>73.02</v>
      </c>
      <c r="Q381" s="186">
        <v>0</v>
      </c>
      <c r="R381" s="186">
        <v>718.78</v>
      </c>
      <c r="S381" s="186"/>
      <c r="T381" s="186">
        <f t="shared" si="532"/>
        <v>344.0079549376631</v>
      </c>
      <c r="U381" s="186">
        <f t="shared" si="532"/>
        <v>855.78904556243845</v>
      </c>
      <c r="V381" s="186">
        <f t="shared" si="532"/>
        <v>296.19661596117299</v>
      </c>
      <c r="W381" s="186">
        <f t="shared" si="532"/>
        <v>1.290924997985643</v>
      </c>
      <c r="X381" s="186">
        <f t="shared" si="533"/>
        <v>81.252892391461302</v>
      </c>
      <c r="Y381" s="186">
        <f t="shared" si="533"/>
        <v>791.89296956725127</v>
      </c>
      <c r="Z381" s="186">
        <f t="shared" si="533"/>
        <v>115.59903558604283</v>
      </c>
      <c r="AA381" s="186">
        <f t="shared" si="533"/>
        <v>0</v>
      </c>
      <c r="AB381" s="186">
        <f t="shared" si="533"/>
        <v>35.48630322929877</v>
      </c>
      <c r="AC381" s="186">
        <f t="shared" si="533"/>
        <v>68.805360111614334</v>
      </c>
      <c r="AD381" s="186">
        <f t="shared" si="533"/>
        <v>0</v>
      </c>
      <c r="AE381" s="186">
        <f t="shared" si="533"/>
        <v>677.29275186286156</v>
      </c>
      <c r="AF381" s="186">
        <f t="shared" si="534"/>
        <v>346.10311975652462</v>
      </c>
      <c r="AG381" s="186">
        <f t="shared" si="534"/>
        <v>861.00118985995744</v>
      </c>
      <c r="AH381" s="186">
        <f t="shared" si="534"/>
        <v>298.00058799240162</v>
      </c>
      <c r="AI381" s="186">
        <f t="shared" si="534"/>
        <v>1.2987873180301273</v>
      </c>
      <c r="AJ381" s="186">
        <f t="shared" si="534"/>
        <v>81.747759440684575</v>
      </c>
      <c r="AK381" s="186">
        <f t="shared" si="534"/>
        <v>796.71595771716704</v>
      </c>
      <c r="AL381" s="186">
        <f t="shared" si="534"/>
        <v>116.3030862598073</v>
      </c>
      <c r="AM381" s="186">
        <f t="shared" si="534"/>
        <v>0</v>
      </c>
      <c r="AN381" s="186">
        <f t="shared" si="534"/>
        <v>35.702430946725983</v>
      </c>
      <c r="AO381" s="186">
        <f t="shared" si="534"/>
        <v>69.224416031065601</v>
      </c>
      <c r="AP381" s="186">
        <f t="shared" si="534"/>
        <v>0</v>
      </c>
      <c r="AQ381" s="186">
        <f t="shared" si="534"/>
        <v>681.4177725939378</v>
      </c>
      <c r="AR381" s="186">
        <f>SUM(G381:R381)</f>
        <v>3467.7699999999995</v>
      </c>
      <c r="AS381" s="186">
        <f>SUM(T381:AE381)</f>
        <v>3267.6138542077902</v>
      </c>
      <c r="AT381" s="186">
        <f>SUM(AF381:AQ381)</f>
        <v>3287.5151079163024</v>
      </c>
      <c r="AU381" s="171"/>
      <c r="AV381" s="171"/>
    </row>
    <row r="382" spans="2:48">
      <c r="B382" s="250">
        <v>737</v>
      </c>
      <c r="C382" s="212"/>
      <c r="D382" s="102"/>
      <c r="E382" s="102" t="s">
        <v>170</v>
      </c>
      <c r="F382" s="102"/>
      <c r="G382" s="1216">
        <v>148143.19</v>
      </c>
      <c r="H382" s="1216">
        <v>185070.29</v>
      </c>
      <c r="I382" s="1216">
        <v>155251.95000000001</v>
      </c>
      <c r="J382" s="1216">
        <v>111812.88</v>
      </c>
      <c r="K382" s="1216">
        <v>143362.25</v>
      </c>
      <c r="L382" s="1216">
        <v>118251.93000000001</v>
      </c>
      <c r="M382" s="1216">
        <v>114504.34</v>
      </c>
      <c r="N382" s="1216">
        <v>112541.36</v>
      </c>
      <c r="O382" s="1216">
        <v>123885.61</v>
      </c>
      <c r="P382" s="1216">
        <v>131043.44</v>
      </c>
      <c r="Q382" s="1216">
        <v>155742.51</v>
      </c>
      <c r="R382" s="1216">
        <v>123095.28</v>
      </c>
      <c r="S382" s="620"/>
      <c r="T382" s="131">
        <f t="shared" ref="T382:Y382" si="535">SUM(T380:T381)</f>
        <v>139592.51624258157</v>
      </c>
      <c r="U382" s="131">
        <f t="shared" si="535"/>
        <v>174388.22171200902</v>
      </c>
      <c r="V382" s="131">
        <f t="shared" si="535"/>
        <v>146290.96586935557</v>
      </c>
      <c r="W382" s="131">
        <f t="shared" si="535"/>
        <v>105359.15466333499</v>
      </c>
      <c r="X382" s="131">
        <f t="shared" si="535"/>
        <v>135087.52722077898</v>
      </c>
      <c r="Y382" s="131">
        <f t="shared" si="535"/>
        <v>111426.54926791854</v>
      </c>
      <c r="Z382" s="131">
        <f t="shared" ref="Z382:AE382" si="536">SUM(Z380:Z381)</f>
        <v>107895.26633857471</v>
      </c>
      <c r="AA382" s="131">
        <f t="shared" si="536"/>
        <v>106045.58754109599</v>
      </c>
      <c r="AB382" s="131">
        <f t="shared" si="536"/>
        <v>116735.05900708037</v>
      </c>
      <c r="AC382" s="131">
        <f t="shared" si="536"/>
        <v>123479.74636352679</v>
      </c>
      <c r="AD382" s="131">
        <f t="shared" si="536"/>
        <v>146753.21124673646</v>
      </c>
      <c r="AE382" s="131">
        <f t="shared" si="536"/>
        <v>115990.34604820593</v>
      </c>
      <c r="AF382" s="131">
        <f t="shared" ref="AF382:AQ382" si="537">SUM(AF380:AF381)</f>
        <v>140442.69812009312</v>
      </c>
      <c r="AG382" s="131">
        <f t="shared" si="537"/>
        <v>175450.32525266998</v>
      </c>
      <c r="AH382" s="131">
        <f t="shared" si="537"/>
        <v>147181.94434996159</v>
      </c>
      <c r="AI382" s="131">
        <f t="shared" si="537"/>
        <v>106000.83980760908</v>
      </c>
      <c r="AJ382" s="131">
        <f t="shared" si="537"/>
        <v>135910.27166734639</v>
      </c>
      <c r="AK382" s="131">
        <f t="shared" si="537"/>
        <v>112105.1876033477</v>
      </c>
      <c r="AL382" s="131">
        <f t="shared" si="537"/>
        <v>108552.39755577358</v>
      </c>
      <c r="AM382" s="131">
        <f t="shared" si="537"/>
        <v>106691.45337362264</v>
      </c>
      <c r="AN382" s="131">
        <f t="shared" si="537"/>
        <v>117446.02857987319</v>
      </c>
      <c r="AO382" s="131">
        <f t="shared" si="537"/>
        <v>124231.79414820575</v>
      </c>
      <c r="AP382" s="131">
        <f t="shared" si="537"/>
        <v>147647.0050118104</v>
      </c>
      <c r="AQ382" s="131">
        <f t="shared" si="537"/>
        <v>116696.77998056024</v>
      </c>
      <c r="AR382" s="131">
        <f>SUM(G382:R382)</f>
        <v>1622705.0300000003</v>
      </c>
      <c r="AS382" s="131">
        <f>SUM(T382:AE382)</f>
        <v>1529044.1515211987</v>
      </c>
      <c r="AT382" s="131">
        <f>SUM(AF382:AQ382)</f>
        <v>1538356.7254508738</v>
      </c>
      <c r="AU382" s="621"/>
      <c r="AV382" s="621"/>
    </row>
    <row r="383" spans="2:48">
      <c r="B383" s="250">
        <v>738</v>
      </c>
      <c r="C383" s="212"/>
      <c r="D383" s="102"/>
      <c r="E383" s="102"/>
      <c r="F383" s="102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71"/>
      <c r="AV383" s="171"/>
    </row>
    <row r="384" spans="2:48">
      <c r="B384" s="250">
        <v>739</v>
      </c>
      <c r="C384" s="212">
        <v>9031</v>
      </c>
      <c r="D384" s="102" t="s">
        <v>404</v>
      </c>
      <c r="E384" s="102"/>
      <c r="F384" s="102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71"/>
      <c r="AV384" s="171"/>
    </row>
    <row r="385" spans="2:48">
      <c r="B385" s="250">
        <v>740</v>
      </c>
      <c r="C385" s="212"/>
      <c r="D385" s="102"/>
      <c r="E385" s="102" t="s">
        <v>14</v>
      </c>
      <c r="F385" s="102"/>
      <c r="G385" s="186">
        <v>659264.91</v>
      </c>
      <c r="H385" s="186">
        <v>702499.55</v>
      </c>
      <c r="I385" s="186">
        <v>714675.99</v>
      </c>
      <c r="J385" s="186">
        <v>657605.54</v>
      </c>
      <c r="K385" s="186">
        <v>711659.01</v>
      </c>
      <c r="L385" s="186">
        <v>632189.80999999994</v>
      </c>
      <c r="M385" s="186">
        <v>609996.07000000007</v>
      </c>
      <c r="N385" s="186">
        <v>705845.67999999993</v>
      </c>
      <c r="O385" s="186">
        <v>584309.28</v>
      </c>
      <c r="P385" s="186">
        <v>581958.18000000005</v>
      </c>
      <c r="Q385" s="186">
        <v>780097.42</v>
      </c>
      <c r="R385" s="186">
        <v>733353.25</v>
      </c>
      <c r="S385" s="186"/>
      <c r="T385" s="186">
        <f t="shared" ref="T385:W386" si="538">G385*(1+$AU$264)</f>
        <v>621212.81212682847</v>
      </c>
      <c r="U385" s="186">
        <f t="shared" si="538"/>
        <v>661951.99282384315</v>
      </c>
      <c r="V385" s="186">
        <f t="shared" si="538"/>
        <v>673425.621132217</v>
      </c>
      <c r="W385" s="186">
        <f t="shared" si="538"/>
        <v>619649.21926996182</v>
      </c>
      <c r="X385" s="186">
        <f t="shared" ref="X385:AE386" si="539">K385*(1+$AU$264)</f>
        <v>670582.77813920774</v>
      </c>
      <c r="Y385" s="186">
        <f t="shared" si="539"/>
        <v>595700.4592706525</v>
      </c>
      <c r="Z385" s="186">
        <f t="shared" si="539"/>
        <v>574787.71929635049</v>
      </c>
      <c r="AA385" s="186">
        <f t="shared" si="539"/>
        <v>665104.98761472595</v>
      </c>
      <c r="AB385" s="186">
        <f t="shared" si="539"/>
        <v>550583.54460364417</v>
      </c>
      <c r="AC385" s="186">
        <f t="shared" si="539"/>
        <v>548368.14769651706</v>
      </c>
      <c r="AD385" s="186">
        <f t="shared" si="539"/>
        <v>735070.99295044178</v>
      </c>
      <c r="AE385" s="186">
        <f t="shared" si="539"/>
        <v>691024.84874380624</v>
      </c>
      <c r="AF385" s="186">
        <f t="shared" ref="AF385:AQ386" si="540">T385*(1+$AV$264)</f>
        <v>624996.28053304611</v>
      </c>
      <c r="AG385" s="186">
        <f t="shared" si="540"/>
        <v>665983.5813590301</v>
      </c>
      <c r="AH385" s="186">
        <f t="shared" si="540"/>
        <v>677527.08927928901</v>
      </c>
      <c r="AI385" s="186">
        <f t="shared" si="540"/>
        <v>623423.16468492965</v>
      </c>
      <c r="AJ385" s="186">
        <f t="shared" si="540"/>
        <v>674666.93208020099</v>
      </c>
      <c r="AK385" s="186">
        <f t="shared" si="540"/>
        <v>599328.54585100408</v>
      </c>
      <c r="AL385" s="186">
        <f t="shared" si="540"/>
        <v>578288.43778410053</v>
      </c>
      <c r="AM385" s="186">
        <f t="shared" si="540"/>
        <v>669155.7793214242</v>
      </c>
      <c r="AN385" s="186">
        <f t="shared" si="540"/>
        <v>553936.84866519319</v>
      </c>
      <c r="AO385" s="186">
        <f t="shared" si="540"/>
        <v>551707.95898386417</v>
      </c>
      <c r="AP385" s="186">
        <f t="shared" si="540"/>
        <v>739547.90943359246</v>
      </c>
      <c r="AQ385" s="186">
        <f t="shared" si="540"/>
        <v>695233.50418699067</v>
      </c>
      <c r="AR385" s="186">
        <f>SUM(G385:R385)</f>
        <v>8073454.6899999995</v>
      </c>
      <c r="AS385" s="186">
        <f>SUM(T385:AE385)</f>
        <v>7607463.1236681966</v>
      </c>
      <c r="AT385" s="186">
        <f>SUM(AF385:AQ385)</f>
        <v>7653796.0321626654</v>
      </c>
      <c r="AU385" s="171"/>
      <c r="AV385" s="171"/>
    </row>
    <row r="386" spans="2:48">
      <c r="B386" s="250">
        <v>741</v>
      </c>
      <c r="C386" s="212"/>
      <c r="D386" s="102"/>
      <c r="E386" s="102" t="s">
        <v>24</v>
      </c>
      <c r="F386" s="102"/>
      <c r="G386" s="186">
        <v>6334.1100000000006</v>
      </c>
      <c r="H386" s="186">
        <v>5999.71</v>
      </c>
      <c r="I386" s="186">
        <v>9367.34</v>
      </c>
      <c r="J386" s="186">
        <v>7745.63</v>
      </c>
      <c r="K386" s="186">
        <v>10397.83</v>
      </c>
      <c r="L386" s="186">
        <v>9728.66</v>
      </c>
      <c r="M386" s="186">
        <v>7587.96</v>
      </c>
      <c r="N386" s="186">
        <v>9280.2900000000009</v>
      </c>
      <c r="O386" s="186">
        <v>11076.65</v>
      </c>
      <c r="P386" s="186">
        <v>9350.99</v>
      </c>
      <c r="Q386" s="186">
        <v>18892.98</v>
      </c>
      <c r="R386" s="186">
        <v>15007.800000000001</v>
      </c>
      <c r="S386" s="186"/>
      <c r="T386" s="186">
        <f t="shared" si="538"/>
        <v>5968.5116342998836</v>
      </c>
      <c r="U386" s="186">
        <f t="shared" si="538"/>
        <v>5653.4128610689349</v>
      </c>
      <c r="V386" s="186">
        <f t="shared" si="538"/>
        <v>8826.6666938911185</v>
      </c>
      <c r="W386" s="186">
        <f t="shared" si="538"/>
        <v>7298.5601402536749</v>
      </c>
      <c r="X386" s="186">
        <f t="shared" si="539"/>
        <v>9797.6778626314281</v>
      </c>
      <c r="Y386" s="186">
        <f t="shared" si="539"/>
        <v>9167.1316721919738</v>
      </c>
      <c r="Z386" s="186">
        <f t="shared" si="539"/>
        <v>7149.990691762875</v>
      </c>
      <c r="AA386" s="186">
        <f t="shared" si="539"/>
        <v>8744.6411310629064</v>
      </c>
      <c r="AB386" s="186">
        <f t="shared" si="539"/>
        <v>10437.317064918008</v>
      </c>
      <c r="AC386" s="186">
        <f t="shared" si="539"/>
        <v>8811.260399207129</v>
      </c>
      <c r="AD386" s="186">
        <f t="shared" si="539"/>
        <v>17802.496473315907</v>
      </c>
      <c r="AE386" s="186">
        <f t="shared" si="539"/>
        <v>14141.565098371484</v>
      </c>
      <c r="AF386" s="186">
        <f t="shared" si="540"/>
        <v>6004.8625832173784</v>
      </c>
      <c r="AG386" s="186">
        <f t="shared" si="540"/>
        <v>5687.8447152252065</v>
      </c>
      <c r="AH386" s="186">
        <f t="shared" si="540"/>
        <v>8880.4251063330885</v>
      </c>
      <c r="AI386" s="186">
        <f t="shared" si="540"/>
        <v>7343.0116891632797</v>
      </c>
      <c r="AJ386" s="186">
        <f t="shared" si="540"/>
        <v>9857.3501744767855</v>
      </c>
      <c r="AK386" s="186">
        <f t="shared" si="540"/>
        <v>9222.9636711145813</v>
      </c>
      <c r="AL386" s="186">
        <f t="shared" si="540"/>
        <v>7193.5373851969953</v>
      </c>
      <c r="AM386" s="186">
        <f t="shared" si="540"/>
        <v>8797.8999705414662</v>
      </c>
      <c r="AN386" s="186">
        <f t="shared" si="540"/>
        <v>10500.885070261611</v>
      </c>
      <c r="AO386" s="186">
        <f t="shared" si="540"/>
        <v>8864.9249803113416</v>
      </c>
      <c r="AP386" s="186">
        <f t="shared" si="540"/>
        <v>17910.921769194767</v>
      </c>
      <c r="AQ386" s="186">
        <f t="shared" si="540"/>
        <v>14227.693658052951</v>
      </c>
      <c r="AR386" s="186">
        <f>SUM(G386:R386)</f>
        <v>120769.95</v>
      </c>
      <c r="AS386" s="186">
        <f>SUM(T386:AE386)</f>
        <v>113799.23172297531</v>
      </c>
      <c r="AT386" s="186">
        <f>SUM(AF386:AQ386)</f>
        <v>114492.32077308945</v>
      </c>
      <c r="AU386" s="171"/>
      <c r="AV386" s="171"/>
    </row>
    <row r="387" spans="2:48">
      <c r="B387" s="250">
        <v>742</v>
      </c>
      <c r="C387" s="212"/>
      <c r="D387" s="102"/>
      <c r="E387" s="102" t="s">
        <v>170</v>
      </c>
      <c r="F387" s="102"/>
      <c r="G387" s="1216">
        <v>665599.02</v>
      </c>
      <c r="H387" s="1216">
        <v>708499.26</v>
      </c>
      <c r="I387" s="1216">
        <v>724043.33</v>
      </c>
      <c r="J387" s="1216">
        <v>665351.17000000004</v>
      </c>
      <c r="K387" s="1216">
        <v>722056.84</v>
      </c>
      <c r="L387" s="1216">
        <v>641918.47</v>
      </c>
      <c r="M387" s="1216">
        <v>617584.03</v>
      </c>
      <c r="N387" s="1216">
        <v>715125.97</v>
      </c>
      <c r="O387" s="1216">
        <v>595385.93000000005</v>
      </c>
      <c r="P387" s="1216">
        <v>591309.17000000004</v>
      </c>
      <c r="Q387" s="1216">
        <v>798990.4</v>
      </c>
      <c r="R387" s="1216">
        <v>748361.05</v>
      </c>
      <c r="S387" s="620"/>
      <c r="T387" s="131">
        <f t="shared" ref="T387:Y387" si="541">SUM(T385:T386)</f>
        <v>627181.32376112835</v>
      </c>
      <c r="U387" s="131">
        <f t="shared" si="541"/>
        <v>667605.40568491211</v>
      </c>
      <c r="V387" s="131">
        <f t="shared" si="541"/>
        <v>682252.28782610816</v>
      </c>
      <c r="W387" s="131">
        <f t="shared" si="541"/>
        <v>626947.77941021544</v>
      </c>
      <c r="X387" s="131">
        <f t="shared" si="541"/>
        <v>680380.45600183913</v>
      </c>
      <c r="Y387" s="131">
        <f t="shared" si="541"/>
        <v>604867.59094284452</v>
      </c>
      <c r="Z387" s="131">
        <f t="shared" ref="Z387:AE387" si="542">SUM(Z385:Z386)</f>
        <v>581937.70998811338</v>
      </c>
      <c r="AA387" s="131">
        <f t="shared" si="542"/>
        <v>673849.62874578882</v>
      </c>
      <c r="AB387" s="131">
        <f t="shared" si="542"/>
        <v>561020.86166856217</v>
      </c>
      <c r="AC387" s="131">
        <f t="shared" si="542"/>
        <v>557179.40809572418</v>
      </c>
      <c r="AD387" s="131">
        <f t="shared" si="542"/>
        <v>752873.48942375765</v>
      </c>
      <c r="AE387" s="131">
        <f t="shared" si="542"/>
        <v>705166.41384217772</v>
      </c>
      <c r="AF387" s="131">
        <f t="shared" ref="AF387:AQ387" si="543">SUM(AF385:AF386)</f>
        <v>631001.14311626344</v>
      </c>
      <c r="AG387" s="131">
        <f t="shared" si="543"/>
        <v>671671.42607425526</v>
      </c>
      <c r="AH387" s="131">
        <f t="shared" si="543"/>
        <v>686407.51438562211</v>
      </c>
      <c r="AI387" s="131">
        <f t="shared" si="543"/>
        <v>630766.17637409293</v>
      </c>
      <c r="AJ387" s="131">
        <f t="shared" si="543"/>
        <v>684524.28225467773</v>
      </c>
      <c r="AK387" s="131">
        <f t="shared" si="543"/>
        <v>608551.50952211861</v>
      </c>
      <c r="AL387" s="131">
        <f t="shared" si="543"/>
        <v>585481.97516929754</v>
      </c>
      <c r="AM387" s="131">
        <f t="shared" si="543"/>
        <v>677953.67929196567</v>
      </c>
      <c r="AN387" s="131">
        <f t="shared" si="543"/>
        <v>564437.73373545485</v>
      </c>
      <c r="AO387" s="131">
        <f t="shared" si="543"/>
        <v>560572.88396417547</v>
      </c>
      <c r="AP387" s="131">
        <f t="shared" si="543"/>
        <v>757458.83120278723</v>
      </c>
      <c r="AQ387" s="131">
        <f t="shared" si="543"/>
        <v>709461.19784504361</v>
      </c>
      <c r="AR387" s="131">
        <f>SUM(G387:R387)</f>
        <v>8194224.6399999997</v>
      </c>
      <c r="AS387" s="131">
        <f>SUM(T387:AE387)</f>
        <v>7721262.3553911718</v>
      </c>
      <c r="AT387" s="131">
        <f>SUM(AF387:AQ387)</f>
        <v>7768288.3529357547</v>
      </c>
      <c r="AU387" s="621"/>
      <c r="AV387" s="621"/>
    </row>
    <row r="388" spans="2:48">
      <c r="B388" s="250">
        <v>743</v>
      </c>
      <c r="C388" s="212"/>
      <c r="D388" s="102"/>
      <c r="E388" s="102"/>
      <c r="F388" s="102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6"/>
      <c r="AR388" s="186"/>
      <c r="AS388" s="186"/>
      <c r="AT388" s="186"/>
      <c r="AU388" s="171"/>
      <c r="AV388" s="171"/>
    </row>
    <row r="389" spans="2:48">
      <c r="B389" s="250">
        <v>744</v>
      </c>
      <c r="C389" s="212">
        <v>9032</v>
      </c>
      <c r="D389" s="102" t="s">
        <v>405</v>
      </c>
      <c r="E389" s="102"/>
      <c r="F389" s="102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71"/>
      <c r="AV389" s="171"/>
    </row>
    <row r="390" spans="2:48">
      <c r="B390" s="250">
        <v>745</v>
      </c>
      <c r="C390" s="212"/>
      <c r="D390" s="102"/>
      <c r="E390" s="102" t="s">
        <v>14</v>
      </c>
      <c r="F390" s="102"/>
      <c r="G390" s="186">
        <v>30481.43</v>
      </c>
      <c r="H390" s="186">
        <v>35245.54</v>
      </c>
      <c r="I390" s="186">
        <v>32637.67</v>
      </c>
      <c r="J390" s="186">
        <v>29953.41</v>
      </c>
      <c r="K390" s="186">
        <v>36490.9</v>
      </c>
      <c r="L390" s="186">
        <v>30337.71</v>
      </c>
      <c r="M390" s="186">
        <v>28256.14</v>
      </c>
      <c r="N390" s="186">
        <v>38169.480000000003</v>
      </c>
      <c r="O390" s="186">
        <v>32678.320000000003</v>
      </c>
      <c r="P390" s="186">
        <v>33297.380000000005</v>
      </c>
      <c r="Q390" s="186">
        <v>40746.720000000001</v>
      </c>
      <c r="R390" s="186">
        <v>46616.659999999996</v>
      </c>
      <c r="S390" s="186"/>
      <c r="T390" s="186">
        <f t="shared" ref="T390:W391" si="544">G390*(1+$AU$264)</f>
        <v>28722.072964488696</v>
      </c>
      <c r="U390" s="186">
        <f t="shared" si="544"/>
        <v>33211.203396717443</v>
      </c>
      <c r="V390" s="186">
        <f t="shared" si="544"/>
        <v>30753.856991975237</v>
      </c>
      <c r="W390" s="186">
        <f t="shared" si="544"/>
        <v>28224.52974008258</v>
      </c>
      <c r="X390" s="186">
        <f t="shared" ref="X390:AE391" si="545">K390*(1+$AU$264)</f>
        <v>34384.682488317005</v>
      </c>
      <c r="Y390" s="186">
        <f t="shared" si="545"/>
        <v>28586.648336232858</v>
      </c>
      <c r="Z390" s="186">
        <f t="shared" si="545"/>
        <v>26625.224432541636</v>
      </c>
      <c r="AA390" s="186">
        <f t="shared" si="545"/>
        <v>35966.376563586156</v>
      </c>
      <c r="AB390" s="186">
        <f t="shared" si="545"/>
        <v>30792.160715455619</v>
      </c>
      <c r="AC390" s="186">
        <f t="shared" si="545"/>
        <v>31375.489203961453</v>
      </c>
      <c r="AD390" s="186">
        <f t="shared" si="545"/>
        <v>38394.860900672669</v>
      </c>
      <c r="AE390" s="186">
        <f t="shared" si="545"/>
        <v>43925.993953720725</v>
      </c>
      <c r="AF390" s="186">
        <f t="shared" ref="AF390:AQ391" si="546">T390*(1+$AV$264)</f>
        <v>28897.003444834347</v>
      </c>
      <c r="AG390" s="186">
        <f t="shared" si="546"/>
        <v>33413.474721988008</v>
      </c>
      <c r="AH390" s="186">
        <f t="shared" si="546"/>
        <v>30941.161960622143</v>
      </c>
      <c r="AI390" s="186">
        <f t="shared" si="546"/>
        <v>28396.429956026856</v>
      </c>
      <c r="AJ390" s="186">
        <f t="shared" si="546"/>
        <v>34594.100834675599</v>
      </c>
      <c r="AK390" s="186">
        <f t="shared" si="546"/>
        <v>28760.754019033408</v>
      </c>
      <c r="AL390" s="186">
        <f t="shared" si="546"/>
        <v>26787.38415217795</v>
      </c>
      <c r="AM390" s="186">
        <f t="shared" si="546"/>
        <v>36185.428145842758</v>
      </c>
      <c r="AN390" s="186">
        <f t="shared" si="546"/>
        <v>30979.698971189977</v>
      </c>
      <c r="AO390" s="186">
        <f t="shared" si="546"/>
        <v>31566.580195350365</v>
      </c>
      <c r="AP390" s="186">
        <f t="shared" si="546"/>
        <v>38628.703056441271</v>
      </c>
      <c r="AQ390" s="186">
        <f t="shared" si="546"/>
        <v>44193.523224030876</v>
      </c>
      <c r="AR390" s="186">
        <f>SUM(G390:R390)</f>
        <v>414911.35999999993</v>
      </c>
      <c r="AS390" s="186">
        <f>SUM(T390:AE390)</f>
        <v>390963.09968775208</v>
      </c>
      <c r="AT390" s="186">
        <f>SUM(AF390:AQ390)</f>
        <v>393344.24268221349</v>
      </c>
      <c r="AU390" s="171"/>
      <c r="AV390" s="171"/>
    </row>
    <row r="391" spans="2:48">
      <c r="B391" s="250">
        <v>746</v>
      </c>
      <c r="C391" s="212"/>
      <c r="D391" s="102"/>
      <c r="E391" s="102" t="s">
        <v>24</v>
      </c>
      <c r="F391" s="102"/>
      <c r="G391" s="186">
        <v>2533.36</v>
      </c>
      <c r="H391" s="186">
        <v>1408.1000000000001</v>
      </c>
      <c r="I391" s="186">
        <v>2308.2200000000003</v>
      </c>
      <c r="J391" s="186">
        <v>1607.32</v>
      </c>
      <c r="K391" s="186">
        <v>919.18000000000006</v>
      </c>
      <c r="L391" s="186">
        <v>996.07</v>
      </c>
      <c r="M391" s="186">
        <v>934.92000000000007</v>
      </c>
      <c r="N391" s="186">
        <v>1454.07</v>
      </c>
      <c r="O391" s="186">
        <v>1995.1200000000001</v>
      </c>
      <c r="P391" s="186">
        <v>1562.49</v>
      </c>
      <c r="Q391" s="186">
        <v>998.33</v>
      </c>
      <c r="R391" s="186">
        <v>1408.91</v>
      </c>
      <c r="S391" s="186"/>
      <c r="T391" s="186">
        <f t="shared" si="544"/>
        <v>2387.1370459101522</v>
      </c>
      <c r="U391" s="186">
        <f t="shared" si="544"/>
        <v>1326.8259048639297</v>
      </c>
      <c r="V391" s="186">
        <f t="shared" si="544"/>
        <v>2174.9918969711102</v>
      </c>
      <c r="W391" s="186">
        <f t="shared" si="544"/>
        <v>1514.5471297534916</v>
      </c>
      <c r="X391" s="186">
        <f t="shared" si="545"/>
        <v>866.12586835652792</v>
      </c>
      <c r="Y391" s="186">
        <f t="shared" si="545"/>
        <v>938.57785601719661</v>
      </c>
      <c r="Z391" s="186">
        <f t="shared" si="545"/>
        <v>880.95737161805641</v>
      </c>
      <c r="AA391" s="186">
        <f t="shared" si="545"/>
        <v>1370.1425633729807</v>
      </c>
      <c r="AB391" s="186">
        <f t="shared" si="545"/>
        <v>1879.963709475267</v>
      </c>
      <c r="AC391" s="186">
        <f t="shared" si="545"/>
        <v>1472.3046716077279</v>
      </c>
      <c r="AD391" s="186">
        <f t="shared" si="545"/>
        <v>940.7074111233627</v>
      </c>
      <c r="AE391" s="186">
        <f t="shared" si="545"/>
        <v>1327.589152490476</v>
      </c>
      <c r="AF391" s="186">
        <f t="shared" si="546"/>
        <v>2401.6757956239439</v>
      </c>
      <c r="AG391" s="186">
        <f t="shared" si="546"/>
        <v>1334.906877750527</v>
      </c>
      <c r="AH391" s="186">
        <f t="shared" si="546"/>
        <v>2188.2385862945257</v>
      </c>
      <c r="AI391" s="186">
        <f t="shared" si="546"/>
        <v>1523.7714102307912</v>
      </c>
      <c r="AJ391" s="186">
        <f t="shared" si="546"/>
        <v>871.40096860360018</v>
      </c>
      <c r="AK391" s="186">
        <f t="shared" si="546"/>
        <v>944.29422180311587</v>
      </c>
      <c r="AL391" s="186">
        <f t="shared" si="546"/>
        <v>886.32280246184416</v>
      </c>
      <c r="AM391" s="186">
        <f t="shared" si="546"/>
        <v>1378.4873544000488</v>
      </c>
      <c r="AN391" s="186">
        <f t="shared" si="546"/>
        <v>1891.4135430279323</v>
      </c>
      <c r="AO391" s="186">
        <f t="shared" si="546"/>
        <v>1481.2716763130609</v>
      </c>
      <c r="AP391" s="186">
        <f t="shared" si="546"/>
        <v>946.43674686789552</v>
      </c>
      <c r="AQ391" s="186">
        <f t="shared" si="546"/>
        <v>1335.674773902063</v>
      </c>
      <c r="AR391" s="186">
        <f>SUM(G391:R391)</f>
        <v>18126.09</v>
      </c>
      <c r="AS391" s="186">
        <f>SUM(T391:AE391)</f>
        <v>17079.870581560281</v>
      </c>
      <c r="AT391" s="186">
        <f>SUM(AF391:AQ391)</f>
        <v>17183.894757279348</v>
      </c>
      <c r="AU391" s="171"/>
      <c r="AV391" s="171"/>
    </row>
    <row r="392" spans="2:48">
      <c r="B392" s="250">
        <v>747</v>
      </c>
      <c r="C392" s="212"/>
      <c r="D392" s="102"/>
      <c r="E392" s="102" t="s">
        <v>170</v>
      </c>
      <c r="F392" s="102"/>
      <c r="G392" s="1216">
        <v>33014.79</v>
      </c>
      <c r="H392" s="1216">
        <v>36653.64</v>
      </c>
      <c r="I392" s="1216">
        <v>34945.89</v>
      </c>
      <c r="J392" s="1216">
        <v>31560.73</v>
      </c>
      <c r="K392" s="1216">
        <v>37410.080000000002</v>
      </c>
      <c r="L392" s="1216">
        <v>31333.78</v>
      </c>
      <c r="M392" s="1216">
        <v>29191.06</v>
      </c>
      <c r="N392" s="1216">
        <v>39623.550000000003</v>
      </c>
      <c r="O392" s="1216">
        <v>34673.440000000002</v>
      </c>
      <c r="P392" s="1216">
        <v>34859.870000000003</v>
      </c>
      <c r="Q392" s="1216">
        <v>41745.050000000003</v>
      </c>
      <c r="R392" s="1216">
        <v>48025.57</v>
      </c>
      <c r="S392" s="620"/>
      <c r="T392" s="131">
        <f t="shared" ref="T392:Y392" si="547">SUM(T390:T391)</f>
        <v>31109.210010398849</v>
      </c>
      <c r="U392" s="131">
        <f t="shared" si="547"/>
        <v>34538.029301581373</v>
      </c>
      <c r="V392" s="131">
        <f t="shared" si="547"/>
        <v>32928.848888946348</v>
      </c>
      <c r="W392" s="131">
        <f t="shared" si="547"/>
        <v>29739.076869836073</v>
      </c>
      <c r="X392" s="131">
        <f t="shared" si="547"/>
        <v>35250.808356673529</v>
      </c>
      <c r="Y392" s="131">
        <f t="shared" si="547"/>
        <v>29525.226192250055</v>
      </c>
      <c r="Z392" s="131">
        <f t="shared" ref="Z392:AE392" si="548">SUM(Z390:Z391)</f>
        <v>27506.181804159693</v>
      </c>
      <c r="AA392" s="131">
        <f t="shared" si="548"/>
        <v>37336.519126959138</v>
      </c>
      <c r="AB392" s="131">
        <f t="shared" si="548"/>
        <v>32672.124424930887</v>
      </c>
      <c r="AC392" s="131">
        <f t="shared" si="548"/>
        <v>32847.793875569179</v>
      </c>
      <c r="AD392" s="131">
        <f t="shared" si="548"/>
        <v>39335.568311796029</v>
      </c>
      <c r="AE392" s="131">
        <f t="shared" si="548"/>
        <v>45253.583106211197</v>
      </c>
      <c r="AF392" s="131">
        <f t="shared" ref="AF392:AQ392" si="549">SUM(AF390:AF391)</f>
        <v>31298.679240458292</v>
      </c>
      <c r="AG392" s="131">
        <f t="shared" si="549"/>
        <v>34748.381599738532</v>
      </c>
      <c r="AH392" s="131">
        <f t="shared" si="549"/>
        <v>33129.400546916666</v>
      </c>
      <c r="AI392" s="131">
        <f t="shared" si="549"/>
        <v>29920.201366257646</v>
      </c>
      <c r="AJ392" s="131">
        <f t="shared" si="549"/>
        <v>35465.5018032792</v>
      </c>
      <c r="AK392" s="131">
        <f t="shared" si="549"/>
        <v>29705.048240836524</v>
      </c>
      <c r="AL392" s="131">
        <f t="shared" si="549"/>
        <v>27673.706954639794</v>
      </c>
      <c r="AM392" s="131">
        <f t="shared" si="549"/>
        <v>37563.915500242809</v>
      </c>
      <c r="AN392" s="131">
        <f t="shared" si="549"/>
        <v>32871.112514217908</v>
      </c>
      <c r="AO392" s="131">
        <f t="shared" si="549"/>
        <v>33047.851871663428</v>
      </c>
      <c r="AP392" s="131">
        <f t="shared" si="549"/>
        <v>39575.139803309168</v>
      </c>
      <c r="AQ392" s="131">
        <f t="shared" si="549"/>
        <v>45529.197997932941</v>
      </c>
      <c r="AR392" s="131">
        <f>SUM(G392:R392)</f>
        <v>433037.45</v>
      </c>
      <c r="AS392" s="131">
        <f>SUM(T392:AE392)</f>
        <v>408042.97026931244</v>
      </c>
      <c r="AT392" s="131">
        <f>SUM(AF392:AQ392)</f>
        <v>410528.13743949292</v>
      </c>
      <c r="AU392" s="621"/>
      <c r="AV392" s="621"/>
    </row>
    <row r="393" spans="2:48">
      <c r="B393" s="250">
        <v>748</v>
      </c>
      <c r="C393" s="212"/>
      <c r="D393" s="102"/>
      <c r="E393" s="102"/>
      <c r="F393" s="102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186"/>
      <c r="S393" s="186"/>
      <c r="T393" s="186"/>
      <c r="U393" s="186"/>
      <c r="V393" s="186"/>
      <c r="W393" s="186"/>
      <c r="X393" s="186"/>
      <c r="Y393" s="186"/>
      <c r="Z393" s="186"/>
      <c r="AA393" s="186"/>
      <c r="AB393" s="186"/>
      <c r="AC393" s="186"/>
      <c r="AD393" s="186"/>
      <c r="AE393" s="186"/>
      <c r="AF393" s="186"/>
      <c r="AG393" s="186"/>
      <c r="AH393" s="186"/>
      <c r="AI393" s="186"/>
      <c r="AJ393" s="186"/>
      <c r="AK393" s="186"/>
      <c r="AL393" s="186"/>
      <c r="AM393" s="186"/>
      <c r="AN393" s="186"/>
      <c r="AO393" s="186"/>
      <c r="AP393" s="186"/>
      <c r="AQ393" s="186"/>
      <c r="AR393" s="186"/>
      <c r="AS393" s="186"/>
      <c r="AT393" s="186"/>
      <c r="AU393" s="171"/>
      <c r="AV393" s="171"/>
    </row>
    <row r="394" spans="2:48">
      <c r="B394" s="250">
        <v>749</v>
      </c>
      <c r="C394" s="212">
        <v>9033</v>
      </c>
      <c r="D394" s="102" t="s">
        <v>406</v>
      </c>
      <c r="E394" s="102"/>
      <c r="F394" s="102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71"/>
      <c r="AV394" s="171"/>
    </row>
    <row r="395" spans="2:48">
      <c r="B395" s="250">
        <v>750</v>
      </c>
      <c r="C395" s="212"/>
      <c r="D395" s="102"/>
      <c r="E395" s="102" t="s">
        <v>14</v>
      </c>
      <c r="F395" s="102"/>
      <c r="G395" s="186">
        <v>0</v>
      </c>
      <c r="H395" s="186">
        <v>0</v>
      </c>
      <c r="I395" s="186">
        <v>0</v>
      </c>
      <c r="J395" s="186">
        <v>0</v>
      </c>
      <c r="K395" s="186">
        <v>0</v>
      </c>
      <c r="L395" s="186">
        <v>0</v>
      </c>
      <c r="M395" s="186">
        <v>0</v>
      </c>
      <c r="N395" s="186">
        <v>0</v>
      </c>
      <c r="O395" s="186">
        <v>0</v>
      </c>
      <c r="P395" s="186">
        <v>0</v>
      </c>
      <c r="Q395" s="186">
        <v>0</v>
      </c>
      <c r="R395" s="186">
        <v>0</v>
      </c>
      <c r="S395" s="186"/>
      <c r="T395" s="186">
        <f t="shared" ref="T395:W396" si="550">G395*(1+$AU$264)</f>
        <v>0</v>
      </c>
      <c r="U395" s="186">
        <f t="shared" si="550"/>
        <v>0</v>
      </c>
      <c r="V395" s="186">
        <f t="shared" si="550"/>
        <v>0</v>
      </c>
      <c r="W395" s="186">
        <f t="shared" si="550"/>
        <v>0</v>
      </c>
      <c r="X395" s="186">
        <f t="shared" ref="X395:AE396" si="551">K395*(1+$AU$264)</f>
        <v>0</v>
      </c>
      <c r="Y395" s="186">
        <f t="shared" si="551"/>
        <v>0</v>
      </c>
      <c r="Z395" s="186">
        <f t="shared" si="551"/>
        <v>0</v>
      </c>
      <c r="AA395" s="186">
        <f t="shared" si="551"/>
        <v>0</v>
      </c>
      <c r="AB395" s="186">
        <f t="shared" si="551"/>
        <v>0</v>
      </c>
      <c r="AC395" s="186">
        <f t="shared" si="551"/>
        <v>0</v>
      </c>
      <c r="AD395" s="186">
        <f t="shared" si="551"/>
        <v>0</v>
      </c>
      <c r="AE395" s="186">
        <f t="shared" si="551"/>
        <v>0</v>
      </c>
      <c r="AF395" s="186">
        <f t="shared" ref="AF395:AQ396" si="552">T395*(1+$AV$264)</f>
        <v>0</v>
      </c>
      <c r="AG395" s="186">
        <f t="shared" si="552"/>
        <v>0</v>
      </c>
      <c r="AH395" s="186">
        <f t="shared" si="552"/>
        <v>0</v>
      </c>
      <c r="AI395" s="186">
        <f t="shared" si="552"/>
        <v>0</v>
      </c>
      <c r="AJ395" s="186">
        <f t="shared" si="552"/>
        <v>0</v>
      </c>
      <c r="AK395" s="186">
        <f t="shared" si="552"/>
        <v>0</v>
      </c>
      <c r="AL395" s="186">
        <f t="shared" si="552"/>
        <v>0</v>
      </c>
      <c r="AM395" s="186">
        <f t="shared" si="552"/>
        <v>0</v>
      </c>
      <c r="AN395" s="186">
        <f t="shared" si="552"/>
        <v>0</v>
      </c>
      <c r="AO395" s="186">
        <f t="shared" si="552"/>
        <v>0</v>
      </c>
      <c r="AP395" s="186">
        <f t="shared" si="552"/>
        <v>0</v>
      </c>
      <c r="AQ395" s="186">
        <f t="shared" si="552"/>
        <v>0</v>
      </c>
      <c r="AR395" s="186">
        <f>SUM(G395:R395)</f>
        <v>0</v>
      </c>
      <c r="AS395" s="186">
        <f>SUM(T395:AE395)</f>
        <v>0</v>
      </c>
      <c r="AT395" s="186">
        <f>SUM(AF395:AQ395)</f>
        <v>0</v>
      </c>
      <c r="AU395" s="171"/>
      <c r="AV395" s="171"/>
    </row>
    <row r="396" spans="2:48">
      <c r="B396" s="250">
        <v>751</v>
      </c>
      <c r="C396" s="212"/>
      <c r="D396" s="102"/>
      <c r="E396" s="102" t="s">
        <v>24</v>
      </c>
      <c r="F396" s="102"/>
      <c r="G396" s="186">
        <v>0</v>
      </c>
      <c r="H396" s="186">
        <v>0</v>
      </c>
      <c r="I396" s="186">
        <v>0</v>
      </c>
      <c r="J396" s="186">
        <v>0</v>
      </c>
      <c r="K396" s="186">
        <v>0</v>
      </c>
      <c r="L396" s="186">
        <v>0</v>
      </c>
      <c r="M396" s="186">
        <v>0</v>
      </c>
      <c r="N396" s="186">
        <v>0</v>
      </c>
      <c r="O396" s="186">
        <v>0</v>
      </c>
      <c r="P396" s="186">
        <v>0</v>
      </c>
      <c r="Q396" s="186">
        <v>0</v>
      </c>
      <c r="R396" s="186">
        <v>0</v>
      </c>
      <c r="S396" s="186"/>
      <c r="T396" s="186">
        <f t="shared" si="550"/>
        <v>0</v>
      </c>
      <c r="U396" s="186">
        <f t="shared" si="550"/>
        <v>0</v>
      </c>
      <c r="V396" s="186">
        <f t="shared" si="550"/>
        <v>0</v>
      </c>
      <c r="W396" s="186">
        <f t="shared" si="550"/>
        <v>0</v>
      </c>
      <c r="X396" s="186">
        <f t="shared" si="551"/>
        <v>0</v>
      </c>
      <c r="Y396" s="186">
        <f t="shared" si="551"/>
        <v>0</v>
      </c>
      <c r="Z396" s="186">
        <f t="shared" si="551"/>
        <v>0</v>
      </c>
      <c r="AA396" s="186">
        <f t="shared" si="551"/>
        <v>0</v>
      </c>
      <c r="AB396" s="186">
        <f t="shared" si="551"/>
        <v>0</v>
      </c>
      <c r="AC396" s="186">
        <f t="shared" si="551"/>
        <v>0</v>
      </c>
      <c r="AD396" s="186">
        <f t="shared" si="551"/>
        <v>0</v>
      </c>
      <c r="AE396" s="186">
        <f t="shared" si="551"/>
        <v>0</v>
      </c>
      <c r="AF396" s="186">
        <f t="shared" si="552"/>
        <v>0</v>
      </c>
      <c r="AG396" s="186">
        <f t="shared" si="552"/>
        <v>0</v>
      </c>
      <c r="AH396" s="186">
        <f t="shared" si="552"/>
        <v>0</v>
      </c>
      <c r="AI396" s="186">
        <f t="shared" si="552"/>
        <v>0</v>
      </c>
      <c r="AJ396" s="186">
        <f t="shared" si="552"/>
        <v>0</v>
      </c>
      <c r="AK396" s="186">
        <f t="shared" si="552"/>
        <v>0</v>
      </c>
      <c r="AL396" s="186">
        <f t="shared" si="552"/>
        <v>0</v>
      </c>
      <c r="AM396" s="186">
        <f t="shared" si="552"/>
        <v>0</v>
      </c>
      <c r="AN396" s="186">
        <f t="shared" si="552"/>
        <v>0</v>
      </c>
      <c r="AO396" s="186">
        <f t="shared" si="552"/>
        <v>0</v>
      </c>
      <c r="AP396" s="186">
        <f t="shared" si="552"/>
        <v>0</v>
      </c>
      <c r="AQ396" s="186">
        <f t="shared" si="552"/>
        <v>0</v>
      </c>
      <c r="AR396" s="186">
        <f>SUM(G396:R396)</f>
        <v>0</v>
      </c>
      <c r="AS396" s="186">
        <f>SUM(T396:AE396)</f>
        <v>0</v>
      </c>
      <c r="AT396" s="186">
        <f>SUM(AF396:AQ396)</f>
        <v>0</v>
      </c>
      <c r="AU396" s="171"/>
      <c r="AV396" s="171"/>
    </row>
    <row r="397" spans="2:48">
      <c r="B397" s="250">
        <v>752</v>
      </c>
      <c r="C397" s="212"/>
      <c r="D397" s="102"/>
      <c r="E397" s="102" t="s">
        <v>170</v>
      </c>
      <c r="F397" s="102"/>
      <c r="G397" s="1216">
        <v>0</v>
      </c>
      <c r="H397" s="1216">
        <v>0</v>
      </c>
      <c r="I397" s="1216">
        <v>0</v>
      </c>
      <c r="J397" s="1216">
        <v>0</v>
      </c>
      <c r="K397" s="1216">
        <v>0</v>
      </c>
      <c r="L397" s="1216">
        <v>0</v>
      </c>
      <c r="M397" s="1216">
        <v>0</v>
      </c>
      <c r="N397" s="1216">
        <v>0</v>
      </c>
      <c r="O397" s="1216">
        <v>0</v>
      </c>
      <c r="P397" s="1216">
        <v>0</v>
      </c>
      <c r="Q397" s="1216">
        <v>0</v>
      </c>
      <c r="R397" s="1216">
        <v>0</v>
      </c>
      <c r="S397" s="620"/>
      <c r="T397" s="131">
        <f t="shared" ref="T397:Y397" si="553">SUM(T395:T396)</f>
        <v>0</v>
      </c>
      <c r="U397" s="131">
        <f t="shared" si="553"/>
        <v>0</v>
      </c>
      <c r="V397" s="131">
        <f t="shared" si="553"/>
        <v>0</v>
      </c>
      <c r="W397" s="131">
        <f t="shared" si="553"/>
        <v>0</v>
      </c>
      <c r="X397" s="131">
        <f t="shared" si="553"/>
        <v>0</v>
      </c>
      <c r="Y397" s="131">
        <f t="shared" si="553"/>
        <v>0</v>
      </c>
      <c r="Z397" s="131">
        <f t="shared" ref="Z397:AE397" si="554">SUM(Z395:Z396)</f>
        <v>0</v>
      </c>
      <c r="AA397" s="131">
        <f t="shared" si="554"/>
        <v>0</v>
      </c>
      <c r="AB397" s="131">
        <f t="shared" si="554"/>
        <v>0</v>
      </c>
      <c r="AC397" s="131">
        <f t="shared" si="554"/>
        <v>0</v>
      </c>
      <c r="AD397" s="131">
        <f t="shared" si="554"/>
        <v>0</v>
      </c>
      <c r="AE397" s="131">
        <f t="shared" si="554"/>
        <v>0</v>
      </c>
      <c r="AF397" s="131">
        <f t="shared" ref="AF397:AQ397" si="555">SUM(AF395:AF396)</f>
        <v>0</v>
      </c>
      <c r="AG397" s="131">
        <f t="shared" si="555"/>
        <v>0</v>
      </c>
      <c r="AH397" s="131">
        <f t="shared" si="555"/>
        <v>0</v>
      </c>
      <c r="AI397" s="131">
        <f t="shared" si="555"/>
        <v>0</v>
      </c>
      <c r="AJ397" s="131">
        <f t="shared" si="555"/>
        <v>0</v>
      </c>
      <c r="AK397" s="131">
        <f t="shared" si="555"/>
        <v>0</v>
      </c>
      <c r="AL397" s="131">
        <f t="shared" si="555"/>
        <v>0</v>
      </c>
      <c r="AM397" s="131">
        <f t="shared" si="555"/>
        <v>0</v>
      </c>
      <c r="AN397" s="131">
        <f t="shared" si="555"/>
        <v>0</v>
      </c>
      <c r="AO397" s="131">
        <f t="shared" si="555"/>
        <v>0</v>
      </c>
      <c r="AP397" s="131">
        <f t="shared" si="555"/>
        <v>0</v>
      </c>
      <c r="AQ397" s="131">
        <f t="shared" si="555"/>
        <v>0</v>
      </c>
      <c r="AR397" s="131">
        <f>SUM(G397:R397)</f>
        <v>0</v>
      </c>
      <c r="AS397" s="131">
        <f>SUM(T397:AE397)</f>
        <v>0</v>
      </c>
      <c r="AT397" s="131">
        <f>SUM(AF397:AQ397)</f>
        <v>0</v>
      </c>
      <c r="AU397" s="621"/>
      <c r="AV397" s="621"/>
    </row>
    <row r="398" spans="2:48">
      <c r="B398" s="250"/>
      <c r="C398" s="212"/>
      <c r="D398" s="102"/>
      <c r="E398" s="102"/>
      <c r="F398" s="102"/>
      <c r="G398" s="1215"/>
      <c r="H398" s="1215"/>
      <c r="I398" s="1215"/>
      <c r="J398" s="1215"/>
      <c r="K398" s="1215"/>
      <c r="L398" s="1215"/>
      <c r="M398" s="1215"/>
      <c r="N398" s="1215"/>
      <c r="O398" s="1215"/>
      <c r="P398" s="1215"/>
      <c r="Q398" s="1215"/>
      <c r="R398" s="1215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71"/>
      <c r="AV398" s="171"/>
    </row>
    <row r="399" spans="2:48">
      <c r="B399" s="250">
        <v>754</v>
      </c>
      <c r="C399" s="212">
        <v>904</v>
      </c>
      <c r="D399" s="119" t="s">
        <v>21</v>
      </c>
      <c r="E399" s="102"/>
      <c r="F399" s="102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71"/>
      <c r="AV399" s="171"/>
    </row>
    <row r="400" spans="2:48">
      <c r="B400" s="250">
        <v>755</v>
      </c>
      <c r="C400" s="212"/>
      <c r="D400" s="102"/>
      <c r="E400" s="102" t="s">
        <v>14</v>
      </c>
      <c r="F400" s="102"/>
      <c r="G400" s="186">
        <v>0</v>
      </c>
      <c r="H400" s="186">
        <v>0</v>
      </c>
      <c r="I400" s="186">
        <v>0</v>
      </c>
      <c r="J400" s="186">
        <v>0</v>
      </c>
      <c r="K400" s="186">
        <v>0</v>
      </c>
      <c r="L400" s="186">
        <v>0</v>
      </c>
      <c r="M400" s="186">
        <v>0</v>
      </c>
      <c r="N400" s="186">
        <v>0</v>
      </c>
      <c r="O400" s="186">
        <v>0</v>
      </c>
      <c r="P400" s="186">
        <v>0</v>
      </c>
      <c r="Q400" s="186">
        <v>0</v>
      </c>
      <c r="R400" s="186">
        <v>0</v>
      </c>
      <c r="S400" s="186"/>
      <c r="T400" s="186">
        <f t="shared" ref="T400:W401" si="556">G400*(1+$AU$264)</f>
        <v>0</v>
      </c>
      <c r="U400" s="186">
        <f t="shared" si="556"/>
        <v>0</v>
      </c>
      <c r="V400" s="186">
        <f t="shared" si="556"/>
        <v>0</v>
      </c>
      <c r="W400" s="186">
        <f t="shared" si="556"/>
        <v>0</v>
      </c>
      <c r="X400" s="186">
        <f t="shared" ref="X400:AE401" si="557">K400*(1+$AU$264)</f>
        <v>0</v>
      </c>
      <c r="Y400" s="186">
        <f t="shared" si="557"/>
        <v>0</v>
      </c>
      <c r="Z400" s="186">
        <f t="shared" si="557"/>
        <v>0</v>
      </c>
      <c r="AA400" s="186">
        <f t="shared" si="557"/>
        <v>0</v>
      </c>
      <c r="AB400" s="186">
        <f t="shared" si="557"/>
        <v>0</v>
      </c>
      <c r="AC400" s="186">
        <f t="shared" si="557"/>
        <v>0</v>
      </c>
      <c r="AD400" s="186">
        <f t="shared" si="557"/>
        <v>0</v>
      </c>
      <c r="AE400" s="186">
        <f t="shared" si="557"/>
        <v>0</v>
      </c>
      <c r="AF400" s="186">
        <f t="shared" ref="AF400:AQ401" si="558">T400*(1+$AV$264)</f>
        <v>0</v>
      </c>
      <c r="AG400" s="186">
        <f t="shared" si="558"/>
        <v>0</v>
      </c>
      <c r="AH400" s="186">
        <f t="shared" si="558"/>
        <v>0</v>
      </c>
      <c r="AI400" s="186">
        <f t="shared" si="558"/>
        <v>0</v>
      </c>
      <c r="AJ400" s="186">
        <f t="shared" si="558"/>
        <v>0</v>
      </c>
      <c r="AK400" s="186">
        <f t="shared" si="558"/>
        <v>0</v>
      </c>
      <c r="AL400" s="186">
        <f t="shared" si="558"/>
        <v>0</v>
      </c>
      <c r="AM400" s="186">
        <f t="shared" si="558"/>
        <v>0</v>
      </c>
      <c r="AN400" s="186">
        <f t="shared" si="558"/>
        <v>0</v>
      </c>
      <c r="AO400" s="186">
        <f t="shared" si="558"/>
        <v>0</v>
      </c>
      <c r="AP400" s="186">
        <f t="shared" si="558"/>
        <v>0</v>
      </c>
      <c r="AQ400" s="186">
        <f t="shared" si="558"/>
        <v>0</v>
      </c>
      <c r="AR400" s="186">
        <f>SUM(G400:R400)</f>
        <v>0</v>
      </c>
      <c r="AS400" s="186">
        <f>SUM(T400:AE400)</f>
        <v>0</v>
      </c>
      <c r="AT400" s="186">
        <f>SUM(AF400:AQ400)</f>
        <v>0</v>
      </c>
      <c r="AU400" s="171"/>
      <c r="AV400" s="171"/>
    </row>
    <row r="401" spans="2:48">
      <c r="B401" s="250">
        <v>756</v>
      </c>
      <c r="C401" s="212"/>
      <c r="D401" s="102"/>
      <c r="E401" s="102" t="s">
        <v>24</v>
      </c>
      <c r="F401" s="102"/>
      <c r="G401" s="186">
        <v>0</v>
      </c>
      <c r="H401" s="186">
        <v>0</v>
      </c>
      <c r="I401" s="186">
        <v>0</v>
      </c>
      <c r="J401" s="186">
        <v>0</v>
      </c>
      <c r="K401" s="186">
        <v>0</v>
      </c>
      <c r="L401" s="186">
        <v>0</v>
      </c>
      <c r="M401" s="186">
        <v>0</v>
      </c>
      <c r="N401" s="186">
        <v>0</v>
      </c>
      <c r="O401" s="186">
        <v>0</v>
      </c>
      <c r="P401" s="186">
        <v>0</v>
      </c>
      <c r="Q401" s="186">
        <v>0</v>
      </c>
      <c r="R401" s="186">
        <v>0</v>
      </c>
      <c r="S401" s="186"/>
      <c r="T401" s="186">
        <f t="shared" si="556"/>
        <v>0</v>
      </c>
      <c r="U401" s="186">
        <f t="shared" si="556"/>
        <v>0</v>
      </c>
      <c r="V401" s="186">
        <f t="shared" si="556"/>
        <v>0</v>
      </c>
      <c r="W401" s="186">
        <f t="shared" si="556"/>
        <v>0</v>
      </c>
      <c r="X401" s="186">
        <f t="shared" si="557"/>
        <v>0</v>
      </c>
      <c r="Y401" s="186">
        <f t="shared" si="557"/>
        <v>0</v>
      </c>
      <c r="Z401" s="186">
        <f t="shared" si="557"/>
        <v>0</v>
      </c>
      <c r="AA401" s="186">
        <f t="shared" si="557"/>
        <v>0</v>
      </c>
      <c r="AB401" s="186">
        <f t="shared" si="557"/>
        <v>0</v>
      </c>
      <c r="AC401" s="186">
        <f t="shared" si="557"/>
        <v>0</v>
      </c>
      <c r="AD401" s="186">
        <f t="shared" si="557"/>
        <v>0</v>
      </c>
      <c r="AE401" s="186">
        <f t="shared" si="557"/>
        <v>0</v>
      </c>
      <c r="AF401" s="186">
        <f t="shared" si="558"/>
        <v>0</v>
      </c>
      <c r="AG401" s="186">
        <f t="shared" si="558"/>
        <v>0</v>
      </c>
      <c r="AH401" s="186">
        <f t="shared" si="558"/>
        <v>0</v>
      </c>
      <c r="AI401" s="186">
        <f t="shared" si="558"/>
        <v>0</v>
      </c>
      <c r="AJ401" s="186">
        <f t="shared" si="558"/>
        <v>0</v>
      </c>
      <c r="AK401" s="186">
        <f t="shared" si="558"/>
        <v>0</v>
      </c>
      <c r="AL401" s="186">
        <f t="shared" si="558"/>
        <v>0</v>
      </c>
      <c r="AM401" s="186">
        <f t="shared" si="558"/>
        <v>0</v>
      </c>
      <c r="AN401" s="186">
        <f t="shared" si="558"/>
        <v>0</v>
      </c>
      <c r="AO401" s="186">
        <f t="shared" si="558"/>
        <v>0</v>
      </c>
      <c r="AP401" s="186">
        <f t="shared" si="558"/>
        <v>0</v>
      </c>
      <c r="AQ401" s="186">
        <f t="shared" si="558"/>
        <v>0</v>
      </c>
      <c r="AR401" s="186">
        <f>SUM(G401:R401)</f>
        <v>0</v>
      </c>
      <c r="AS401" s="186">
        <f>SUM(T401:AE401)</f>
        <v>0</v>
      </c>
      <c r="AT401" s="186">
        <f>SUM(AF401:AQ401)</f>
        <v>0</v>
      </c>
      <c r="AU401" s="171"/>
      <c r="AV401" s="171"/>
    </row>
    <row r="402" spans="2:48">
      <c r="B402" s="250">
        <v>757</v>
      </c>
      <c r="C402" s="212"/>
      <c r="D402" s="102"/>
      <c r="E402" s="102" t="s">
        <v>170</v>
      </c>
      <c r="F402" s="102"/>
      <c r="G402" s="1216">
        <v>0</v>
      </c>
      <c r="H402" s="1216">
        <v>0</v>
      </c>
      <c r="I402" s="1216">
        <v>0</v>
      </c>
      <c r="J402" s="1216">
        <v>0</v>
      </c>
      <c r="K402" s="1216">
        <v>0</v>
      </c>
      <c r="L402" s="1216">
        <v>0</v>
      </c>
      <c r="M402" s="1216">
        <v>0</v>
      </c>
      <c r="N402" s="1216">
        <v>0</v>
      </c>
      <c r="O402" s="1216">
        <v>0</v>
      </c>
      <c r="P402" s="1216">
        <v>0</v>
      </c>
      <c r="Q402" s="1216">
        <v>0</v>
      </c>
      <c r="R402" s="1216">
        <v>0</v>
      </c>
      <c r="S402" s="620"/>
      <c r="T402" s="131">
        <f t="shared" ref="T402:Y402" si="559">SUM(T400:T401)</f>
        <v>0</v>
      </c>
      <c r="U402" s="131">
        <f t="shared" si="559"/>
        <v>0</v>
      </c>
      <c r="V402" s="131">
        <f t="shared" si="559"/>
        <v>0</v>
      </c>
      <c r="W402" s="131">
        <f t="shared" si="559"/>
        <v>0</v>
      </c>
      <c r="X402" s="131">
        <f t="shared" si="559"/>
        <v>0</v>
      </c>
      <c r="Y402" s="131">
        <f t="shared" si="559"/>
        <v>0</v>
      </c>
      <c r="Z402" s="131">
        <f t="shared" ref="Z402:AE402" si="560">SUM(Z400:Z401)</f>
        <v>0</v>
      </c>
      <c r="AA402" s="131">
        <f t="shared" si="560"/>
        <v>0</v>
      </c>
      <c r="AB402" s="131">
        <f t="shared" si="560"/>
        <v>0</v>
      </c>
      <c r="AC402" s="131">
        <f t="shared" si="560"/>
        <v>0</v>
      </c>
      <c r="AD402" s="131">
        <f t="shared" si="560"/>
        <v>0</v>
      </c>
      <c r="AE402" s="131">
        <f t="shared" si="560"/>
        <v>0</v>
      </c>
      <c r="AF402" s="131">
        <f t="shared" ref="AF402:AQ402" si="561">SUM(AF400:AF401)</f>
        <v>0</v>
      </c>
      <c r="AG402" s="131">
        <f t="shared" si="561"/>
        <v>0</v>
      </c>
      <c r="AH402" s="131">
        <f t="shared" si="561"/>
        <v>0</v>
      </c>
      <c r="AI402" s="131">
        <f t="shared" si="561"/>
        <v>0</v>
      </c>
      <c r="AJ402" s="131">
        <f t="shared" si="561"/>
        <v>0</v>
      </c>
      <c r="AK402" s="131">
        <f t="shared" si="561"/>
        <v>0</v>
      </c>
      <c r="AL402" s="131">
        <f t="shared" si="561"/>
        <v>0</v>
      </c>
      <c r="AM402" s="131">
        <f t="shared" si="561"/>
        <v>0</v>
      </c>
      <c r="AN402" s="131">
        <f t="shared" si="561"/>
        <v>0</v>
      </c>
      <c r="AO402" s="131">
        <f t="shared" si="561"/>
        <v>0</v>
      </c>
      <c r="AP402" s="131">
        <f t="shared" si="561"/>
        <v>0</v>
      </c>
      <c r="AQ402" s="131">
        <f t="shared" si="561"/>
        <v>0</v>
      </c>
      <c r="AR402" s="131">
        <f>SUM(G402:R402)</f>
        <v>0</v>
      </c>
      <c r="AS402" s="131">
        <f>SUM(T402:AE402)</f>
        <v>0</v>
      </c>
      <c r="AT402" s="131">
        <f>SUM(AF402:AQ402)</f>
        <v>0</v>
      </c>
      <c r="AU402" s="621"/>
      <c r="AV402" s="621"/>
    </row>
    <row r="403" spans="2:48">
      <c r="B403" s="250"/>
      <c r="C403" s="212"/>
      <c r="D403" s="102"/>
      <c r="E403" s="102"/>
      <c r="F403" s="102"/>
      <c r="G403" s="1215"/>
      <c r="H403" s="1215"/>
      <c r="I403" s="1215"/>
      <c r="J403" s="1215"/>
      <c r="K403" s="1215"/>
      <c r="L403" s="1215"/>
      <c r="M403" s="1215"/>
      <c r="N403" s="1215"/>
      <c r="O403" s="1215"/>
      <c r="P403" s="1215"/>
      <c r="Q403" s="1215"/>
      <c r="R403" s="1215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71"/>
      <c r="AV403" s="171"/>
    </row>
    <row r="404" spans="2:48">
      <c r="B404" s="250">
        <v>754</v>
      </c>
      <c r="C404" s="212">
        <v>904</v>
      </c>
      <c r="D404" s="119" t="s">
        <v>22</v>
      </c>
      <c r="E404" s="102"/>
      <c r="F404" s="102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71"/>
      <c r="AV404" s="171"/>
    </row>
    <row r="405" spans="2:48">
      <c r="B405" s="250">
        <v>755</v>
      </c>
      <c r="C405" s="212"/>
      <c r="D405" s="102"/>
      <c r="E405" s="102" t="s">
        <v>14</v>
      </c>
      <c r="F405" s="102"/>
      <c r="G405" s="186">
        <v>0</v>
      </c>
      <c r="H405" s="186">
        <v>0</v>
      </c>
      <c r="I405" s="186">
        <v>0</v>
      </c>
      <c r="J405" s="186">
        <v>0</v>
      </c>
      <c r="K405" s="186">
        <v>0</v>
      </c>
      <c r="L405" s="186">
        <v>0</v>
      </c>
      <c r="M405" s="186">
        <v>0</v>
      </c>
      <c r="N405" s="186">
        <v>0</v>
      </c>
      <c r="O405" s="186">
        <v>0</v>
      </c>
      <c r="P405" s="186">
        <v>0</v>
      </c>
      <c r="Q405" s="186">
        <v>0</v>
      </c>
      <c r="R405" s="186">
        <v>0</v>
      </c>
      <c r="S405" s="186"/>
      <c r="T405" s="186">
        <f t="shared" ref="T405:W406" si="562">G405*(1+$AU$264)</f>
        <v>0</v>
      </c>
      <c r="U405" s="186">
        <f t="shared" si="562"/>
        <v>0</v>
      </c>
      <c r="V405" s="186">
        <f t="shared" si="562"/>
        <v>0</v>
      </c>
      <c r="W405" s="186">
        <f t="shared" si="562"/>
        <v>0</v>
      </c>
      <c r="X405" s="186">
        <f t="shared" ref="X405:AE406" si="563">K405*(1+$AU$264)</f>
        <v>0</v>
      </c>
      <c r="Y405" s="186">
        <f t="shared" si="563"/>
        <v>0</v>
      </c>
      <c r="Z405" s="186">
        <f t="shared" si="563"/>
        <v>0</v>
      </c>
      <c r="AA405" s="186">
        <f t="shared" si="563"/>
        <v>0</v>
      </c>
      <c r="AB405" s="186">
        <f t="shared" si="563"/>
        <v>0</v>
      </c>
      <c r="AC405" s="186">
        <f t="shared" si="563"/>
        <v>0</v>
      </c>
      <c r="AD405" s="186">
        <f t="shared" si="563"/>
        <v>0</v>
      </c>
      <c r="AE405" s="186">
        <f t="shared" si="563"/>
        <v>0</v>
      </c>
      <c r="AF405" s="186">
        <f t="shared" ref="AF405:AQ406" si="564">T405*(1+$AV$264)</f>
        <v>0</v>
      </c>
      <c r="AG405" s="186">
        <f t="shared" si="564"/>
        <v>0</v>
      </c>
      <c r="AH405" s="186">
        <f t="shared" si="564"/>
        <v>0</v>
      </c>
      <c r="AI405" s="186">
        <f t="shared" si="564"/>
        <v>0</v>
      </c>
      <c r="AJ405" s="186">
        <f t="shared" si="564"/>
        <v>0</v>
      </c>
      <c r="AK405" s="186">
        <f t="shared" si="564"/>
        <v>0</v>
      </c>
      <c r="AL405" s="186">
        <f t="shared" si="564"/>
        <v>0</v>
      </c>
      <c r="AM405" s="186">
        <f t="shared" si="564"/>
        <v>0</v>
      </c>
      <c r="AN405" s="186">
        <f t="shared" si="564"/>
        <v>0</v>
      </c>
      <c r="AO405" s="186">
        <f t="shared" si="564"/>
        <v>0</v>
      </c>
      <c r="AP405" s="186">
        <f t="shared" si="564"/>
        <v>0</v>
      </c>
      <c r="AQ405" s="186">
        <f t="shared" si="564"/>
        <v>0</v>
      </c>
      <c r="AR405" s="186">
        <f>SUM(G405:R405)</f>
        <v>0</v>
      </c>
      <c r="AS405" s="186">
        <f>SUM(T405:AE405)</f>
        <v>0</v>
      </c>
      <c r="AT405" s="186">
        <f>SUM(AF405:AQ405)</f>
        <v>0</v>
      </c>
      <c r="AU405" s="171"/>
      <c r="AV405" s="171"/>
    </row>
    <row r="406" spans="2:48">
      <c r="B406" s="250">
        <v>756</v>
      </c>
      <c r="C406" s="212"/>
      <c r="D406" s="102"/>
      <c r="E406" s="102" t="s">
        <v>24</v>
      </c>
      <c r="F406" s="102"/>
      <c r="G406" s="186">
        <v>0</v>
      </c>
      <c r="H406" s="186">
        <v>0</v>
      </c>
      <c r="I406" s="186">
        <v>0</v>
      </c>
      <c r="J406" s="186">
        <v>0</v>
      </c>
      <c r="K406" s="186">
        <v>0</v>
      </c>
      <c r="L406" s="186">
        <v>0</v>
      </c>
      <c r="M406" s="186">
        <v>0</v>
      </c>
      <c r="N406" s="186">
        <v>0</v>
      </c>
      <c r="O406" s="186">
        <v>0</v>
      </c>
      <c r="P406" s="186">
        <v>0</v>
      </c>
      <c r="Q406" s="186">
        <v>0</v>
      </c>
      <c r="R406" s="186">
        <v>0</v>
      </c>
      <c r="S406" s="186"/>
      <c r="T406" s="186">
        <f t="shared" si="562"/>
        <v>0</v>
      </c>
      <c r="U406" s="186">
        <f t="shared" si="562"/>
        <v>0</v>
      </c>
      <c r="V406" s="186">
        <f t="shared" si="562"/>
        <v>0</v>
      </c>
      <c r="W406" s="186">
        <f t="shared" si="562"/>
        <v>0</v>
      </c>
      <c r="X406" s="186">
        <f t="shared" si="563"/>
        <v>0</v>
      </c>
      <c r="Y406" s="186">
        <f t="shared" si="563"/>
        <v>0</v>
      </c>
      <c r="Z406" s="186">
        <f t="shared" si="563"/>
        <v>0</v>
      </c>
      <c r="AA406" s="186">
        <f t="shared" si="563"/>
        <v>0</v>
      </c>
      <c r="AB406" s="186">
        <f t="shared" si="563"/>
        <v>0</v>
      </c>
      <c r="AC406" s="186">
        <f t="shared" si="563"/>
        <v>0</v>
      </c>
      <c r="AD406" s="186">
        <f t="shared" si="563"/>
        <v>0</v>
      </c>
      <c r="AE406" s="186">
        <f t="shared" si="563"/>
        <v>0</v>
      </c>
      <c r="AF406" s="186">
        <f t="shared" si="564"/>
        <v>0</v>
      </c>
      <c r="AG406" s="186">
        <f t="shared" si="564"/>
        <v>0</v>
      </c>
      <c r="AH406" s="186">
        <f t="shared" si="564"/>
        <v>0</v>
      </c>
      <c r="AI406" s="186">
        <f t="shared" si="564"/>
        <v>0</v>
      </c>
      <c r="AJ406" s="186">
        <f t="shared" si="564"/>
        <v>0</v>
      </c>
      <c r="AK406" s="186">
        <f t="shared" si="564"/>
        <v>0</v>
      </c>
      <c r="AL406" s="186">
        <f t="shared" si="564"/>
        <v>0</v>
      </c>
      <c r="AM406" s="186">
        <f t="shared" si="564"/>
        <v>0</v>
      </c>
      <c r="AN406" s="186">
        <f t="shared" si="564"/>
        <v>0</v>
      </c>
      <c r="AO406" s="186">
        <f t="shared" si="564"/>
        <v>0</v>
      </c>
      <c r="AP406" s="186">
        <f t="shared" si="564"/>
        <v>0</v>
      </c>
      <c r="AQ406" s="186">
        <f t="shared" si="564"/>
        <v>0</v>
      </c>
      <c r="AR406" s="186">
        <f>SUM(G406:R406)</f>
        <v>0</v>
      </c>
      <c r="AS406" s="186">
        <f>SUM(T406:AE406)</f>
        <v>0</v>
      </c>
      <c r="AT406" s="186">
        <f>SUM(AF406:AQ406)</f>
        <v>0</v>
      </c>
      <c r="AU406" s="171"/>
      <c r="AV406" s="171"/>
    </row>
    <row r="407" spans="2:48">
      <c r="B407" s="250">
        <v>757</v>
      </c>
      <c r="C407" s="212"/>
      <c r="D407" s="102"/>
      <c r="E407" s="102" t="s">
        <v>170</v>
      </c>
      <c r="F407" s="102"/>
      <c r="G407" s="1216">
        <v>0</v>
      </c>
      <c r="H407" s="1216">
        <v>0</v>
      </c>
      <c r="I407" s="1216">
        <v>0</v>
      </c>
      <c r="J407" s="1216">
        <v>0</v>
      </c>
      <c r="K407" s="1216">
        <v>0</v>
      </c>
      <c r="L407" s="1216">
        <v>0</v>
      </c>
      <c r="M407" s="1216">
        <v>0</v>
      </c>
      <c r="N407" s="1216">
        <v>0</v>
      </c>
      <c r="O407" s="1216">
        <v>0</v>
      </c>
      <c r="P407" s="1216">
        <v>0</v>
      </c>
      <c r="Q407" s="1216">
        <v>0</v>
      </c>
      <c r="R407" s="1216">
        <v>0</v>
      </c>
      <c r="S407" s="620"/>
      <c r="T407" s="131">
        <f t="shared" ref="T407:Y407" si="565">SUM(T405:T406)</f>
        <v>0</v>
      </c>
      <c r="U407" s="131">
        <f t="shared" si="565"/>
        <v>0</v>
      </c>
      <c r="V407" s="131">
        <f t="shared" si="565"/>
        <v>0</v>
      </c>
      <c r="W407" s="131">
        <f t="shared" si="565"/>
        <v>0</v>
      </c>
      <c r="X407" s="131">
        <f t="shared" si="565"/>
        <v>0</v>
      </c>
      <c r="Y407" s="131">
        <f t="shared" si="565"/>
        <v>0</v>
      </c>
      <c r="Z407" s="131">
        <f t="shared" ref="Z407:AE407" si="566">SUM(Z405:Z406)</f>
        <v>0</v>
      </c>
      <c r="AA407" s="131">
        <f t="shared" si="566"/>
        <v>0</v>
      </c>
      <c r="AB407" s="131">
        <f t="shared" si="566"/>
        <v>0</v>
      </c>
      <c r="AC407" s="131">
        <f t="shared" si="566"/>
        <v>0</v>
      </c>
      <c r="AD407" s="131">
        <f t="shared" si="566"/>
        <v>0</v>
      </c>
      <c r="AE407" s="131">
        <f t="shared" si="566"/>
        <v>0</v>
      </c>
      <c r="AF407" s="131">
        <f t="shared" ref="AF407:AQ407" si="567">SUM(AF405:AF406)</f>
        <v>0</v>
      </c>
      <c r="AG407" s="131">
        <f t="shared" si="567"/>
        <v>0</v>
      </c>
      <c r="AH407" s="131">
        <f t="shared" si="567"/>
        <v>0</v>
      </c>
      <c r="AI407" s="131">
        <f t="shared" si="567"/>
        <v>0</v>
      </c>
      <c r="AJ407" s="131">
        <f t="shared" si="567"/>
        <v>0</v>
      </c>
      <c r="AK407" s="131">
        <f t="shared" si="567"/>
        <v>0</v>
      </c>
      <c r="AL407" s="131">
        <f t="shared" si="567"/>
        <v>0</v>
      </c>
      <c r="AM407" s="131">
        <f t="shared" si="567"/>
        <v>0</v>
      </c>
      <c r="AN407" s="131">
        <f t="shared" si="567"/>
        <v>0</v>
      </c>
      <c r="AO407" s="131">
        <f t="shared" si="567"/>
        <v>0</v>
      </c>
      <c r="AP407" s="131">
        <f t="shared" si="567"/>
        <v>0</v>
      </c>
      <c r="AQ407" s="131">
        <f t="shared" si="567"/>
        <v>0</v>
      </c>
      <c r="AR407" s="131">
        <f>SUM(G407:R407)</f>
        <v>0</v>
      </c>
      <c r="AS407" s="131">
        <f>SUM(T407:AE407)</f>
        <v>0</v>
      </c>
      <c r="AT407" s="131">
        <f>SUM(AF407:AQ407)</f>
        <v>0</v>
      </c>
      <c r="AU407" s="621"/>
      <c r="AV407" s="621"/>
    </row>
    <row r="408" spans="2:48">
      <c r="B408" s="250">
        <v>753</v>
      </c>
      <c r="C408" s="212"/>
      <c r="D408" s="102"/>
      <c r="E408" s="102"/>
      <c r="F408" s="102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71"/>
      <c r="AV408" s="171"/>
    </row>
    <row r="409" spans="2:48">
      <c r="B409" s="250">
        <v>754</v>
      </c>
      <c r="C409" s="212">
        <v>904</v>
      </c>
      <c r="D409" s="119" t="s">
        <v>23</v>
      </c>
      <c r="E409" s="102"/>
      <c r="F409" s="102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71"/>
      <c r="AV409" s="171"/>
    </row>
    <row r="410" spans="2:48">
      <c r="B410" s="250">
        <v>755</v>
      </c>
      <c r="C410" s="212"/>
      <c r="D410" s="102"/>
      <c r="E410" s="102" t="s">
        <v>14</v>
      </c>
      <c r="F410" s="102"/>
      <c r="G410" s="186">
        <v>0</v>
      </c>
      <c r="H410" s="186">
        <v>0</v>
      </c>
      <c r="I410" s="186">
        <v>0</v>
      </c>
      <c r="J410" s="186">
        <v>0</v>
      </c>
      <c r="K410" s="186">
        <v>0</v>
      </c>
      <c r="L410" s="186">
        <v>0</v>
      </c>
      <c r="M410" s="186">
        <v>0</v>
      </c>
      <c r="N410" s="186">
        <v>0</v>
      </c>
      <c r="O410" s="186">
        <v>0</v>
      </c>
      <c r="P410" s="186">
        <v>0</v>
      </c>
      <c r="Q410" s="186">
        <v>0</v>
      </c>
      <c r="R410" s="186">
        <v>0</v>
      </c>
      <c r="S410" s="186"/>
      <c r="T410" s="186">
        <f t="shared" ref="T410:W411" si="568">G410*(1+$AU$264)</f>
        <v>0</v>
      </c>
      <c r="U410" s="186">
        <f t="shared" si="568"/>
        <v>0</v>
      </c>
      <c r="V410" s="186">
        <f t="shared" si="568"/>
        <v>0</v>
      </c>
      <c r="W410" s="186">
        <f t="shared" si="568"/>
        <v>0</v>
      </c>
      <c r="X410" s="186">
        <f t="shared" ref="X410:AE411" si="569">K410*(1+$AU$264)</f>
        <v>0</v>
      </c>
      <c r="Y410" s="186">
        <f t="shared" si="569"/>
        <v>0</v>
      </c>
      <c r="Z410" s="186">
        <f t="shared" si="569"/>
        <v>0</v>
      </c>
      <c r="AA410" s="186">
        <f t="shared" si="569"/>
        <v>0</v>
      </c>
      <c r="AB410" s="186">
        <f t="shared" si="569"/>
        <v>0</v>
      </c>
      <c r="AC410" s="186">
        <f t="shared" si="569"/>
        <v>0</v>
      </c>
      <c r="AD410" s="186">
        <f t="shared" si="569"/>
        <v>0</v>
      </c>
      <c r="AE410" s="186">
        <f t="shared" si="569"/>
        <v>0</v>
      </c>
      <c r="AF410" s="186">
        <f t="shared" ref="AF410:AQ411" si="570">T410*(1+$AV$264)</f>
        <v>0</v>
      </c>
      <c r="AG410" s="186">
        <f t="shared" si="570"/>
        <v>0</v>
      </c>
      <c r="AH410" s="186">
        <f t="shared" si="570"/>
        <v>0</v>
      </c>
      <c r="AI410" s="186">
        <f t="shared" si="570"/>
        <v>0</v>
      </c>
      <c r="AJ410" s="186">
        <f t="shared" si="570"/>
        <v>0</v>
      </c>
      <c r="AK410" s="186">
        <f t="shared" si="570"/>
        <v>0</v>
      </c>
      <c r="AL410" s="186">
        <f t="shared" si="570"/>
        <v>0</v>
      </c>
      <c r="AM410" s="186">
        <f t="shared" si="570"/>
        <v>0</v>
      </c>
      <c r="AN410" s="186">
        <f t="shared" si="570"/>
        <v>0</v>
      </c>
      <c r="AO410" s="186">
        <f t="shared" si="570"/>
        <v>0</v>
      </c>
      <c r="AP410" s="186">
        <f t="shared" si="570"/>
        <v>0</v>
      </c>
      <c r="AQ410" s="186">
        <f t="shared" si="570"/>
        <v>0</v>
      </c>
      <c r="AR410" s="186">
        <f>SUM(G410:R410)</f>
        <v>0</v>
      </c>
      <c r="AS410" s="186">
        <f>SUM(T410:AE410)</f>
        <v>0</v>
      </c>
      <c r="AT410" s="186">
        <f>SUM(AF410:AQ410)</f>
        <v>0</v>
      </c>
      <c r="AU410" s="171"/>
      <c r="AV410" s="171"/>
    </row>
    <row r="411" spans="2:48">
      <c r="B411" s="250">
        <v>756</v>
      </c>
      <c r="C411" s="212"/>
      <c r="D411" s="102"/>
      <c r="E411" s="102" t="s">
        <v>24</v>
      </c>
      <c r="F411" s="102"/>
      <c r="G411" s="186">
        <v>0</v>
      </c>
      <c r="H411" s="186">
        <v>0</v>
      </c>
      <c r="I411" s="186">
        <v>0</v>
      </c>
      <c r="J411" s="186">
        <v>0</v>
      </c>
      <c r="K411" s="186">
        <v>0</v>
      </c>
      <c r="L411" s="186">
        <v>0</v>
      </c>
      <c r="M411" s="186">
        <v>0</v>
      </c>
      <c r="N411" s="186">
        <v>0</v>
      </c>
      <c r="O411" s="186">
        <v>0</v>
      </c>
      <c r="P411" s="186">
        <v>0</v>
      </c>
      <c r="Q411" s="186">
        <v>0</v>
      </c>
      <c r="R411" s="186">
        <v>0</v>
      </c>
      <c r="S411" s="186"/>
      <c r="T411" s="186">
        <f t="shared" si="568"/>
        <v>0</v>
      </c>
      <c r="U411" s="186">
        <f t="shared" si="568"/>
        <v>0</v>
      </c>
      <c r="V411" s="186">
        <f t="shared" si="568"/>
        <v>0</v>
      </c>
      <c r="W411" s="186">
        <f t="shared" si="568"/>
        <v>0</v>
      </c>
      <c r="X411" s="186">
        <f t="shared" si="569"/>
        <v>0</v>
      </c>
      <c r="Y411" s="186">
        <f t="shared" si="569"/>
        <v>0</v>
      </c>
      <c r="Z411" s="186">
        <f t="shared" si="569"/>
        <v>0</v>
      </c>
      <c r="AA411" s="186">
        <f t="shared" si="569"/>
        <v>0</v>
      </c>
      <c r="AB411" s="186">
        <f t="shared" si="569"/>
        <v>0</v>
      </c>
      <c r="AC411" s="186">
        <f t="shared" si="569"/>
        <v>0</v>
      </c>
      <c r="AD411" s="186">
        <f t="shared" si="569"/>
        <v>0</v>
      </c>
      <c r="AE411" s="186">
        <f t="shared" si="569"/>
        <v>0</v>
      </c>
      <c r="AF411" s="186">
        <f t="shared" si="570"/>
        <v>0</v>
      </c>
      <c r="AG411" s="186">
        <f t="shared" si="570"/>
        <v>0</v>
      </c>
      <c r="AH411" s="186">
        <f t="shared" si="570"/>
        <v>0</v>
      </c>
      <c r="AI411" s="186">
        <f t="shared" si="570"/>
        <v>0</v>
      </c>
      <c r="AJ411" s="186">
        <f t="shared" si="570"/>
        <v>0</v>
      </c>
      <c r="AK411" s="186">
        <f t="shared" si="570"/>
        <v>0</v>
      </c>
      <c r="AL411" s="186">
        <f t="shared" si="570"/>
        <v>0</v>
      </c>
      <c r="AM411" s="186">
        <f t="shared" si="570"/>
        <v>0</v>
      </c>
      <c r="AN411" s="186">
        <f t="shared" si="570"/>
        <v>0</v>
      </c>
      <c r="AO411" s="186">
        <f t="shared" si="570"/>
        <v>0</v>
      </c>
      <c r="AP411" s="186">
        <f t="shared" si="570"/>
        <v>0</v>
      </c>
      <c r="AQ411" s="186">
        <f t="shared" si="570"/>
        <v>0</v>
      </c>
      <c r="AR411" s="186">
        <f>SUM(G411:R411)</f>
        <v>0</v>
      </c>
      <c r="AS411" s="186">
        <f>SUM(T411:AE411)</f>
        <v>0</v>
      </c>
      <c r="AT411" s="186">
        <f>SUM(AF411:AQ411)</f>
        <v>0</v>
      </c>
      <c r="AU411" s="171"/>
      <c r="AV411" s="171"/>
    </row>
    <row r="412" spans="2:48">
      <c r="B412" s="250">
        <v>757</v>
      </c>
      <c r="C412" s="212"/>
      <c r="D412" s="102"/>
      <c r="E412" s="102" t="s">
        <v>170</v>
      </c>
      <c r="F412" s="102"/>
      <c r="G412" s="1216">
        <v>0</v>
      </c>
      <c r="H412" s="1216">
        <v>0</v>
      </c>
      <c r="I412" s="1216">
        <v>0</v>
      </c>
      <c r="J412" s="1216">
        <v>0</v>
      </c>
      <c r="K412" s="1216">
        <v>0</v>
      </c>
      <c r="L412" s="1216">
        <v>0</v>
      </c>
      <c r="M412" s="1216">
        <v>0</v>
      </c>
      <c r="N412" s="1216">
        <v>0</v>
      </c>
      <c r="O412" s="1216">
        <v>0</v>
      </c>
      <c r="P412" s="1216">
        <v>0</v>
      </c>
      <c r="Q412" s="1216">
        <v>0</v>
      </c>
      <c r="R412" s="1216">
        <v>0</v>
      </c>
      <c r="S412" s="620"/>
      <c r="T412" s="131">
        <f t="shared" ref="T412:Y412" si="571">SUM(T410:T411)</f>
        <v>0</v>
      </c>
      <c r="U412" s="131">
        <f t="shared" si="571"/>
        <v>0</v>
      </c>
      <c r="V412" s="131">
        <f t="shared" si="571"/>
        <v>0</v>
      </c>
      <c r="W412" s="131">
        <f t="shared" si="571"/>
        <v>0</v>
      </c>
      <c r="X412" s="131">
        <f t="shared" si="571"/>
        <v>0</v>
      </c>
      <c r="Y412" s="131">
        <f t="shared" si="571"/>
        <v>0</v>
      </c>
      <c r="Z412" s="131">
        <f t="shared" ref="Z412:AE412" si="572">SUM(Z410:Z411)</f>
        <v>0</v>
      </c>
      <c r="AA412" s="131">
        <f t="shared" si="572"/>
        <v>0</v>
      </c>
      <c r="AB412" s="131">
        <f t="shared" si="572"/>
        <v>0</v>
      </c>
      <c r="AC412" s="131">
        <f t="shared" si="572"/>
        <v>0</v>
      </c>
      <c r="AD412" s="131">
        <f t="shared" si="572"/>
        <v>0</v>
      </c>
      <c r="AE412" s="131">
        <f t="shared" si="572"/>
        <v>0</v>
      </c>
      <c r="AF412" s="131">
        <f t="shared" ref="AF412:AQ412" si="573">SUM(AF410:AF411)</f>
        <v>0</v>
      </c>
      <c r="AG412" s="131">
        <f t="shared" si="573"/>
        <v>0</v>
      </c>
      <c r="AH412" s="131">
        <f t="shared" si="573"/>
        <v>0</v>
      </c>
      <c r="AI412" s="131">
        <f t="shared" si="573"/>
        <v>0</v>
      </c>
      <c r="AJ412" s="131">
        <f t="shared" si="573"/>
        <v>0</v>
      </c>
      <c r="AK412" s="131">
        <f t="shared" si="573"/>
        <v>0</v>
      </c>
      <c r="AL412" s="131">
        <f t="shared" si="573"/>
        <v>0</v>
      </c>
      <c r="AM412" s="131">
        <f t="shared" si="573"/>
        <v>0</v>
      </c>
      <c r="AN412" s="131">
        <f t="shared" si="573"/>
        <v>0</v>
      </c>
      <c r="AO412" s="131">
        <f t="shared" si="573"/>
        <v>0</v>
      </c>
      <c r="AP412" s="131">
        <f t="shared" si="573"/>
        <v>0</v>
      </c>
      <c r="AQ412" s="131">
        <f t="shared" si="573"/>
        <v>0</v>
      </c>
      <c r="AR412" s="131">
        <f>SUM(G412:R412)</f>
        <v>0</v>
      </c>
      <c r="AS412" s="131">
        <f>SUM(T412:AE412)</f>
        <v>0</v>
      </c>
      <c r="AT412" s="131">
        <f>SUM(AF412:AQ412)</f>
        <v>0</v>
      </c>
      <c r="AU412" s="621"/>
      <c r="AV412" s="621"/>
    </row>
    <row r="413" spans="2:48">
      <c r="B413" s="250">
        <v>758</v>
      </c>
      <c r="C413" s="212"/>
      <c r="D413" s="102"/>
      <c r="E413" s="102"/>
      <c r="F413" s="102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71"/>
      <c r="AV413" s="171"/>
    </row>
    <row r="414" spans="2:48">
      <c r="B414" s="250">
        <v>759</v>
      </c>
      <c r="C414" s="212">
        <v>905</v>
      </c>
      <c r="D414" s="102" t="s">
        <v>408</v>
      </c>
      <c r="E414" s="102"/>
      <c r="F414" s="102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71"/>
      <c r="AV414" s="171"/>
    </row>
    <row r="415" spans="2:48">
      <c r="B415" s="250">
        <v>760</v>
      </c>
      <c r="C415" s="208"/>
      <c r="D415" s="102"/>
      <c r="E415" s="102" t="s">
        <v>14</v>
      </c>
      <c r="F415" s="102"/>
      <c r="G415" s="186">
        <v>0</v>
      </c>
      <c r="H415" s="186">
        <v>0</v>
      </c>
      <c r="I415" s="186">
        <v>0</v>
      </c>
      <c r="J415" s="186">
        <v>0</v>
      </c>
      <c r="K415" s="186">
        <v>0</v>
      </c>
      <c r="L415" s="186">
        <v>0</v>
      </c>
      <c r="M415" s="186">
        <v>0</v>
      </c>
      <c r="N415" s="186">
        <v>0</v>
      </c>
      <c r="O415" s="186">
        <v>0</v>
      </c>
      <c r="P415" s="186">
        <v>0</v>
      </c>
      <c r="Q415" s="186">
        <v>0</v>
      </c>
      <c r="R415" s="186">
        <v>0</v>
      </c>
      <c r="S415" s="186"/>
      <c r="T415" s="186">
        <f t="shared" ref="T415:W416" si="574">G415*(1+$AU$264)</f>
        <v>0</v>
      </c>
      <c r="U415" s="186">
        <f t="shared" si="574"/>
        <v>0</v>
      </c>
      <c r="V415" s="186">
        <f t="shared" si="574"/>
        <v>0</v>
      </c>
      <c r="W415" s="186">
        <f t="shared" si="574"/>
        <v>0</v>
      </c>
      <c r="X415" s="186">
        <f t="shared" ref="X415:AE416" si="575">K415*(1+$AU$264)</f>
        <v>0</v>
      </c>
      <c r="Y415" s="186">
        <f t="shared" si="575"/>
        <v>0</v>
      </c>
      <c r="Z415" s="186">
        <f t="shared" si="575"/>
        <v>0</v>
      </c>
      <c r="AA415" s="186">
        <f t="shared" si="575"/>
        <v>0</v>
      </c>
      <c r="AB415" s="186">
        <f t="shared" si="575"/>
        <v>0</v>
      </c>
      <c r="AC415" s="186">
        <f t="shared" si="575"/>
        <v>0</v>
      </c>
      <c r="AD415" s="186">
        <f t="shared" si="575"/>
        <v>0</v>
      </c>
      <c r="AE415" s="186">
        <f t="shared" si="575"/>
        <v>0</v>
      </c>
      <c r="AF415" s="186">
        <f t="shared" ref="AF415:AQ416" si="576">T415*(1+$AV$264)</f>
        <v>0</v>
      </c>
      <c r="AG415" s="186">
        <f t="shared" si="576"/>
        <v>0</v>
      </c>
      <c r="AH415" s="186">
        <f t="shared" si="576"/>
        <v>0</v>
      </c>
      <c r="AI415" s="186">
        <f t="shared" si="576"/>
        <v>0</v>
      </c>
      <c r="AJ415" s="186">
        <f t="shared" si="576"/>
        <v>0</v>
      </c>
      <c r="AK415" s="186">
        <f t="shared" si="576"/>
        <v>0</v>
      </c>
      <c r="AL415" s="186">
        <f t="shared" si="576"/>
        <v>0</v>
      </c>
      <c r="AM415" s="186">
        <f t="shared" si="576"/>
        <v>0</v>
      </c>
      <c r="AN415" s="186">
        <f t="shared" si="576"/>
        <v>0</v>
      </c>
      <c r="AO415" s="186">
        <f t="shared" si="576"/>
        <v>0</v>
      </c>
      <c r="AP415" s="186">
        <f t="shared" si="576"/>
        <v>0</v>
      </c>
      <c r="AQ415" s="186">
        <f t="shared" si="576"/>
        <v>0</v>
      </c>
      <c r="AR415" s="186">
        <f>SUM(G415:R415)</f>
        <v>0</v>
      </c>
      <c r="AS415" s="186">
        <f>SUM(T415:AE415)</f>
        <v>0</v>
      </c>
      <c r="AT415" s="186">
        <f>SUM(AF415:AQ415)</f>
        <v>0</v>
      </c>
      <c r="AU415" s="171"/>
      <c r="AV415" s="171"/>
    </row>
    <row r="416" spans="2:48">
      <c r="B416" s="250">
        <v>761</v>
      </c>
      <c r="C416" s="208"/>
      <c r="D416" s="102"/>
      <c r="E416" s="102" t="s">
        <v>24</v>
      </c>
      <c r="F416" s="102"/>
      <c r="G416" s="186">
        <v>0</v>
      </c>
      <c r="H416" s="186">
        <v>0</v>
      </c>
      <c r="I416" s="186">
        <v>0</v>
      </c>
      <c r="J416" s="186">
        <v>0</v>
      </c>
      <c r="K416" s="186">
        <v>0</v>
      </c>
      <c r="L416" s="186">
        <v>0</v>
      </c>
      <c r="M416" s="186">
        <v>0</v>
      </c>
      <c r="N416" s="186">
        <v>0</v>
      </c>
      <c r="O416" s="186">
        <v>0</v>
      </c>
      <c r="P416" s="186">
        <v>0</v>
      </c>
      <c r="Q416" s="186">
        <v>0</v>
      </c>
      <c r="R416" s="186">
        <v>0</v>
      </c>
      <c r="S416" s="186"/>
      <c r="T416" s="186">
        <f t="shared" si="574"/>
        <v>0</v>
      </c>
      <c r="U416" s="186">
        <f t="shared" si="574"/>
        <v>0</v>
      </c>
      <c r="V416" s="186">
        <f t="shared" si="574"/>
        <v>0</v>
      </c>
      <c r="W416" s="186">
        <f t="shared" si="574"/>
        <v>0</v>
      </c>
      <c r="X416" s="186">
        <f t="shared" si="575"/>
        <v>0</v>
      </c>
      <c r="Y416" s="186">
        <f t="shared" si="575"/>
        <v>0</v>
      </c>
      <c r="Z416" s="186">
        <f t="shared" si="575"/>
        <v>0</v>
      </c>
      <c r="AA416" s="186">
        <f t="shared" si="575"/>
        <v>0</v>
      </c>
      <c r="AB416" s="186">
        <f t="shared" si="575"/>
        <v>0</v>
      </c>
      <c r="AC416" s="186">
        <f t="shared" si="575"/>
        <v>0</v>
      </c>
      <c r="AD416" s="186">
        <f t="shared" si="575"/>
        <v>0</v>
      </c>
      <c r="AE416" s="186">
        <f t="shared" si="575"/>
        <v>0</v>
      </c>
      <c r="AF416" s="186">
        <f t="shared" si="576"/>
        <v>0</v>
      </c>
      <c r="AG416" s="186">
        <f t="shared" si="576"/>
        <v>0</v>
      </c>
      <c r="AH416" s="186">
        <f t="shared" si="576"/>
        <v>0</v>
      </c>
      <c r="AI416" s="186">
        <f t="shared" si="576"/>
        <v>0</v>
      </c>
      <c r="AJ416" s="186">
        <f t="shared" si="576"/>
        <v>0</v>
      </c>
      <c r="AK416" s="186">
        <f t="shared" si="576"/>
        <v>0</v>
      </c>
      <c r="AL416" s="186">
        <f t="shared" si="576"/>
        <v>0</v>
      </c>
      <c r="AM416" s="186">
        <f t="shared" si="576"/>
        <v>0</v>
      </c>
      <c r="AN416" s="186">
        <f t="shared" si="576"/>
        <v>0</v>
      </c>
      <c r="AO416" s="186">
        <f t="shared" si="576"/>
        <v>0</v>
      </c>
      <c r="AP416" s="186">
        <f t="shared" si="576"/>
        <v>0</v>
      </c>
      <c r="AQ416" s="186">
        <f t="shared" si="576"/>
        <v>0</v>
      </c>
      <c r="AR416" s="186">
        <f>SUM(G416:R416)</f>
        <v>0</v>
      </c>
      <c r="AS416" s="186">
        <f>SUM(T416:AE416)</f>
        <v>0</v>
      </c>
      <c r="AT416" s="186">
        <f>SUM(AF416:AQ416)</f>
        <v>0</v>
      </c>
      <c r="AU416" s="171"/>
      <c r="AV416" s="171"/>
    </row>
    <row r="417" spans="2:48">
      <c r="B417" s="250">
        <v>762</v>
      </c>
      <c r="C417" s="208"/>
      <c r="D417" s="102"/>
      <c r="E417" s="102" t="s">
        <v>170</v>
      </c>
      <c r="F417" s="102"/>
      <c r="G417" s="1216">
        <v>0</v>
      </c>
      <c r="H417" s="1216">
        <v>0</v>
      </c>
      <c r="I417" s="1216">
        <v>0</v>
      </c>
      <c r="J417" s="1216">
        <v>0</v>
      </c>
      <c r="K417" s="1216">
        <v>0</v>
      </c>
      <c r="L417" s="1216">
        <v>0</v>
      </c>
      <c r="M417" s="1216">
        <v>0</v>
      </c>
      <c r="N417" s="1216">
        <v>0</v>
      </c>
      <c r="O417" s="1216">
        <v>0</v>
      </c>
      <c r="P417" s="1216">
        <v>0</v>
      </c>
      <c r="Q417" s="1216">
        <v>0</v>
      </c>
      <c r="R417" s="1216">
        <v>0</v>
      </c>
      <c r="S417" s="620"/>
      <c r="T417" s="131">
        <f t="shared" ref="T417:Y417" si="577">SUM(T415:T416)</f>
        <v>0</v>
      </c>
      <c r="U417" s="131">
        <f t="shared" si="577"/>
        <v>0</v>
      </c>
      <c r="V417" s="131">
        <f t="shared" si="577"/>
        <v>0</v>
      </c>
      <c r="W417" s="131">
        <f t="shared" si="577"/>
        <v>0</v>
      </c>
      <c r="X417" s="131">
        <f t="shared" si="577"/>
        <v>0</v>
      </c>
      <c r="Y417" s="131">
        <f t="shared" si="577"/>
        <v>0</v>
      </c>
      <c r="Z417" s="131">
        <f t="shared" ref="Z417:AE417" si="578">SUM(Z415:Z416)</f>
        <v>0</v>
      </c>
      <c r="AA417" s="131">
        <f t="shared" si="578"/>
        <v>0</v>
      </c>
      <c r="AB417" s="131">
        <f t="shared" si="578"/>
        <v>0</v>
      </c>
      <c r="AC417" s="131">
        <f t="shared" si="578"/>
        <v>0</v>
      </c>
      <c r="AD417" s="131">
        <f t="shared" si="578"/>
        <v>0</v>
      </c>
      <c r="AE417" s="131">
        <f t="shared" si="578"/>
        <v>0</v>
      </c>
      <c r="AF417" s="131">
        <f t="shared" ref="AF417:AQ417" si="579">SUM(AF415:AF416)</f>
        <v>0</v>
      </c>
      <c r="AG417" s="131">
        <f t="shared" si="579"/>
        <v>0</v>
      </c>
      <c r="AH417" s="131">
        <f t="shared" si="579"/>
        <v>0</v>
      </c>
      <c r="AI417" s="131">
        <f t="shared" si="579"/>
        <v>0</v>
      </c>
      <c r="AJ417" s="131">
        <f t="shared" si="579"/>
        <v>0</v>
      </c>
      <c r="AK417" s="131">
        <f t="shared" si="579"/>
        <v>0</v>
      </c>
      <c r="AL417" s="131">
        <f t="shared" si="579"/>
        <v>0</v>
      </c>
      <c r="AM417" s="131">
        <f t="shared" si="579"/>
        <v>0</v>
      </c>
      <c r="AN417" s="131">
        <f t="shared" si="579"/>
        <v>0</v>
      </c>
      <c r="AO417" s="131">
        <f t="shared" si="579"/>
        <v>0</v>
      </c>
      <c r="AP417" s="131">
        <f t="shared" si="579"/>
        <v>0</v>
      </c>
      <c r="AQ417" s="131">
        <f t="shared" si="579"/>
        <v>0</v>
      </c>
      <c r="AR417" s="131">
        <f>SUM(G417:R417)</f>
        <v>0</v>
      </c>
      <c r="AS417" s="131">
        <f>SUM(T417:AE417)</f>
        <v>0</v>
      </c>
      <c r="AT417" s="131">
        <f>SUM(AF417:AQ417)</f>
        <v>0</v>
      </c>
      <c r="AU417" s="621"/>
      <c r="AV417" s="621"/>
    </row>
    <row r="418" spans="2:48" ht="13.5" thickBot="1">
      <c r="B418" s="250">
        <v>763</v>
      </c>
      <c r="C418" s="208"/>
      <c r="D418" s="102"/>
      <c r="E418" s="102"/>
      <c r="F418" s="102"/>
      <c r="G418" s="1217"/>
      <c r="H418" s="1217"/>
      <c r="I418" s="1217"/>
      <c r="J418" s="1217"/>
      <c r="K418" s="1217"/>
      <c r="L418" s="1217"/>
      <c r="M418" s="1217"/>
      <c r="N418" s="1217"/>
      <c r="O418" s="1217"/>
      <c r="P418" s="1217"/>
      <c r="Q418" s="1217"/>
      <c r="R418" s="1217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622"/>
      <c r="AV418" s="622"/>
    </row>
    <row r="419" spans="2:48" ht="13.5" thickTop="1">
      <c r="B419" s="250">
        <v>764</v>
      </c>
      <c r="C419" s="49" t="s">
        <v>646</v>
      </c>
      <c r="D419" s="102"/>
      <c r="E419" s="102"/>
      <c r="F419" s="102"/>
      <c r="G419" s="1215"/>
      <c r="H419" s="1215"/>
      <c r="I419" s="1215"/>
      <c r="J419" s="1215"/>
      <c r="K419" s="1215"/>
      <c r="L419" s="1215"/>
      <c r="M419" s="1215"/>
      <c r="N419" s="1215"/>
      <c r="O419" s="1215"/>
      <c r="P419" s="1215"/>
      <c r="Q419" s="1215"/>
      <c r="R419" s="1215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71"/>
      <c r="AV419" s="171"/>
    </row>
    <row r="420" spans="2:48">
      <c r="B420" s="250">
        <v>765</v>
      </c>
      <c r="C420" s="208"/>
      <c r="D420" s="102" t="s">
        <v>647</v>
      </c>
      <c r="E420" s="102"/>
      <c r="F420" s="102"/>
      <c r="G420" s="1219">
        <v>895286.32000000007</v>
      </c>
      <c r="H420" s="1219">
        <v>975380.54000000015</v>
      </c>
      <c r="I420" s="1219">
        <v>951919.1</v>
      </c>
      <c r="J420" s="1219">
        <v>849327.68</v>
      </c>
      <c r="K420" s="1219">
        <v>930698.4800000001</v>
      </c>
      <c r="L420" s="1219">
        <v>832313.98</v>
      </c>
      <c r="M420" s="1219">
        <v>796218.2300000001</v>
      </c>
      <c r="N420" s="1219">
        <v>905808.47999999986</v>
      </c>
      <c r="O420" s="1219">
        <v>793268.52999999991</v>
      </c>
      <c r="P420" s="1219">
        <v>775347.51000000013</v>
      </c>
      <c r="Q420" s="1219">
        <v>1034460.06</v>
      </c>
      <c r="R420" s="1219">
        <v>956016.02</v>
      </c>
      <c r="S420" s="102"/>
      <c r="T420" s="102">
        <f t="shared" ref="T420:Y420" si="580">T415+T410+T405+T400+T395+T390+T385+T380+T375</f>
        <v>843611.30718436022</v>
      </c>
      <c r="U420" s="102">
        <f t="shared" si="580"/>
        <v>919082.5705363031</v>
      </c>
      <c r="V420" s="102">
        <f t="shared" si="580"/>
        <v>896975.30091240501</v>
      </c>
      <c r="W420" s="102">
        <f t="shared" si="580"/>
        <v>800305.35298770142</v>
      </c>
      <c r="X420" s="102">
        <f t="shared" si="580"/>
        <v>876979.51344470133</v>
      </c>
      <c r="Y420" s="102">
        <f t="shared" si="580"/>
        <v>784273.66639045428</v>
      </c>
      <c r="Z420" s="102">
        <f t="shared" ref="Z420:AE421" si="581">Z415+Z410+Z405+Z400+Z395+Z390+Z385+Z380+Z375</f>
        <v>750261.32624735928</v>
      </c>
      <c r="AA420" s="102">
        <f t="shared" si="581"/>
        <v>853526.13884626143</v>
      </c>
      <c r="AB420" s="102">
        <f t="shared" si="581"/>
        <v>747481.8799214043</v>
      </c>
      <c r="AC420" s="102">
        <f t="shared" si="581"/>
        <v>730595.24290870305</v>
      </c>
      <c r="AD420" s="102">
        <f t="shared" si="581"/>
        <v>974752.08092826861</v>
      </c>
      <c r="AE420" s="102">
        <f t="shared" si="581"/>
        <v>900835.75087061478</v>
      </c>
      <c r="AF420" s="102">
        <f t="shared" ref="AF420:AQ420" si="582">AF415+AF410+AF405+AF400+AF395+AF390+AF385+AF380+AF375</f>
        <v>848749.28351960739</v>
      </c>
      <c r="AG420" s="102">
        <f t="shared" si="582"/>
        <v>924680.20117180818</v>
      </c>
      <c r="AH420" s="102">
        <f t="shared" si="582"/>
        <v>902438.28822675359</v>
      </c>
      <c r="AI420" s="102">
        <f t="shared" si="582"/>
        <v>805179.5763766059</v>
      </c>
      <c r="AJ420" s="102">
        <f t="shared" si="582"/>
        <v>882320.71732402616</v>
      </c>
      <c r="AK420" s="102">
        <f t="shared" si="582"/>
        <v>789050.24952056992</v>
      </c>
      <c r="AL420" s="102">
        <f t="shared" si="582"/>
        <v>754830.75876525172</v>
      </c>
      <c r="AM420" s="102">
        <f t="shared" si="582"/>
        <v>858724.50101324508</v>
      </c>
      <c r="AN420" s="102">
        <f t="shared" si="582"/>
        <v>752034.38434773847</v>
      </c>
      <c r="AO420" s="102">
        <f t="shared" si="582"/>
        <v>735044.90003958915</v>
      </c>
      <c r="AP420" s="102">
        <f t="shared" si="582"/>
        <v>980688.76418736088</v>
      </c>
      <c r="AQ420" s="102">
        <f t="shared" si="582"/>
        <v>906322.25008002645</v>
      </c>
      <c r="AR420" s="102">
        <f>SUM(G420:R420)</f>
        <v>10696044.930000002</v>
      </c>
      <c r="AS420" s="102">
        <f>SUM(T420:AE420)</f>
        <v>10078680.131178537</v>
      </c>
      <c r="AT420" s="102">
        <f>SUM(AF420:AQ420)</f>
        <v>10140063.874572583</v>
      </c>
      <c r="AU420" s="199"/>
      <c r="AV420" s="199"/>
    </row>
    <row r="421" spans="2:48">
      <c r="B421" s="250">
        <v>766</v>
      </c>
      <c r="C421" s="208"/>
      <c r="D421" s="102" t="s">
        <v>649</v>
      </c>
      <c r="E421" s="102"/>
      <c r="F421" s="102"/>
      <c r="G421" s="1219">
        <v>9232.5500000000011</v>
      </c>
      <c r="H421" s="1219">
        <v>8316.02</v>
      </c>
      <c r="I421" s="1219">
        <v>11989.900000000001</v>
      </c>
      <c r="J421" s="1219">
        <v>9354.3200000000015</v>
      </c>
      <c r="K421" s="1219">
        <v>11403.24</v>
      </c>
      <c r="L421" s="1219">
        <v>11565.13</v>
      </c>
      <c r="M421" s="1219">
        <v>8645.5600000000013</v>
      </c>
      <c r="N421" s="1219">
        <v>10734.36</v>
      </c>
      <c r="O421" s="1219">
        <v>13109.43</v>
      </c>
      <c r="P421" s="1219">
        <v>10986.5</v>
      </c>
      <c r="Q421" s="1219">
        <v>19891.310000000001</v>
      </c>
      <c r="R421" s="1219">
        <v>17135.490000000002</v>
      </c>
      <c r="S421" s="102"/>
      <c r="T421" s="102">
        <f t="shared" ref="T421:Y421" si="583">T416+T411+T406+T401+T396+T391+T386+T381+T376</f>
        <v>8699.6566351476977</v>
      </c>
      <c r="U421" s="102">
        <f t="shared" si="583"/>
        <v>7836.0278114953035</v>
      </c>
      <c r="V421" s="102">
        <f t="shared" si="583"/>
        <v>11297.855206823402</v>
      </c>
      <c r="W421" s="102">
        <f t="shared" si="583"/>
        <v>8814.398195005153</v>
      </c>
      <c r="X421" s="102">
        <f t="shared" si="583"/>
        <v>10745.056623379418</v>
      </c>
      <c r="Y421" s="102">
        <f t="shared" si="583"/>
        <v>10897.602497776421</v>
      </c>
      <c r="Z421" s="102">
        <f t="shared" si="581"/>
        <v>8146.5470989669748</v>
      </c>
      <c r="AA421" s="102">
        <f t="shared" si="581"/>
        <v>10114.783694435888</v>
      </c>
      <c r="AB421" s="102">
        <f t="shared" si="581"/>
        <v>12352.767077622575</v>
      </c>
      <c r="AC421" s="102">
        <f t="shared" si="581"/>
        <v>10352.37043092647</v>
      </c>
      <c r="AD421" s="102">
        <f t="shared" si="581"/>
        <v>18743.20388443927</v>
      </c>
      <c r="AE421" s="102">
        <f t="shared" si="581"/>
        <v>16146.447002724823</v>
      </c>
      <c r="AF421" s="102">
        <f t="shared" ref="AF421:AQ421" si="584">AF416+AF411+AF406+AF401+AF396+AF391+AF386+AF381+AF376</f>
        <v>8752.6414985978463</v>
      </c>
      <c r="AG421" s="102">
        <f t="shared" si="584"/>
        <v>7883.7527828356915</v>
      </c>
      <c r="AH421" s="102">
        <f t="shared" si="584"/>
        <v>11366.664280620016</v>
      </c>
      <c r="AI421" s="102">
        <f t="shared" si="584"/>
        <v>8868.0818867121016</v>
      </c>
      <c r="AJ421" s="102">
        <f t="shared" si="584"/>
        <v>10810.498902521071</v>
      </c>
      <c r="AK421" s="102">
        <f t="shared" si="584"/>
        <v>10963.973850634866</v>
      </c>
      <c r="AL421" s="102">
        <f t="shared" si="584"/>
        <v>8196.1632739186462</v>
      </c>
      <c r="AM421" s="102">
        <f t="shared" si="584"/>
        <v>10176.387324941516</v>
      </c>
      <c r="AN421" s="102">
        <f t="shared" si="584"/>
        <v>12428.001044236269</v>
      </c>
      <c r="AO421" s="102">
        <f t="shared" si="584"/>
        <v>10415.421072655468</v>
      </c>
      <c r="AP421" s="102">
        <f t="shared" si="584"/>
        <v>18857.358516062661</v>
      </c>
      <c r="AQ421" s="102">
        <f t="shared" si="584"/>
        <v>16244.786204548951</v>
      </c>
      <c r="AR421" s="102">
        <f>SUM(G421:R421)</f>
        <v>142363.81</v>
      </c>
      <c r="AS421" s="102">
        <f>SUM(T421:AE421)</f>
        <v>134146.71615874339</v>
      </c>
      <c r="AT421" s="102">
        <f>SUM(AF421:AQ421)</f>
        <v>134963.73063828511</v>
      </c>
      <c r="AU421" s="199"/>
      <c r="AV421" s="199"/>
    </row>
    <row r="422" spans="2:48" ht="13.5" thickBot="1">
      <c r="B422" s="250">
        <v>767</v>
      </c>
      <c r="C422" s="208"/>
      <c r="D422" s="102"/>
      <c r="E422" s="102"/>
      <c r="F422" s="102"/>
      <c r="G422" s="1218"/>
      <c r="H422" s="1218"/>
      <c r="I422" s="1218"/>
      <c r="J422" s="1218"/>
      <c r="K422" s="1218"/>
      <c r="L422" s="1218"/>
      <c r="M422" s="1218"/>
      <c r="N422" s="1218"/>
      <c r="O422" s="1218"/>
      <c r="P422" s="1218"/>
      <c r="Q422" s="1218"/>
      <c r="R422" s="1218"/>
      <c r="S422" s="623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409"/>
      <c r="AV422" s="409"/>
    </row>
    <row r="423" spans="2:48">
      <c r="B423" s="250">
        <v>768</v>
      </c>
      <c r="C423" s="208"/>
      <c r="D423" s="49" t="s">
        <v>646</v>
      </c>
      <c r="E423" s="102"/>
      <c r="F423" s="102"/>
      <c r="G423" s="1215">
        <v>904518.87000000011</v>
      </c>
      <c r="H423" s="1215">
        <v>983696.56</v>
      </c>
      <c r="I423" s="1215">
        <v>963909</v>
      </c>
      <c r="J423" s="1215">
        <v>858682</v>
      </c>
      <c r="K423" s="1215">
        <v>942101.71999999986</v>
      </c>
      <c r="L423" s="1215">
        <v>843879.11</v>
      </c>
      <c r="M423" s="1215">
        <v>804863.79</v>
      </c>
      <c r="N423" s="1215">
        <v>916542.84000000008</v>
      </c>
      <c r="O423" s="1215">
        <v>806377.96</v>
      </c>
      <c r="P423" s="1215">
        <v>786334.01</v>
      </c>
      <c r="Q423" s="1215">
        <v>1054351.3700000001</v>
      </c>
      <c r="R423" s="1215">
        <v>973151.51</v>
      </c>
      <c r="S423" s="116"/>
      <c r="T423" s="116">
        <f t="shared" ref="T423:Y423" si="585">T377+T382+T387+T392+T397++T402+T407+T412+T417</f>
        <v>852310.96381950798</v>
      </c>
      <c r="U423" s="116">
        <f t="shared" si="585"/>
        <v>926918.59834779846</v>
      </c>
      <c r="V423" s="116">
        <f t="shared" si="585"/>
        <v>908273.15611922846</v>
      </c>
      <c r="W423" s="116">
        <f t="shared" si="585"/>
        <v>809119.75118270644</v>
      </c>
      <c r="X423" s="116">
        <f t="shared" si="585"/>
        <v>887724.57006808079</v>
      </c>
      <c r="Y423" s="116">
        <f t="shared" si="585"/>
        <v>795171.26888823078</v>
      </c>
      <c r="Z423" s="116">
        <f t="shared" ref="Z423:AE423" si="586">Z377+Z382+Z387+Z392+Z397++Z402+Z407+Z412+Z417</f>
        <v>758407.87334632617</v>
      </c>
      <c r="AA423" s="116">
        <f t="shared" si="586"/>
        <v>863640.92254069727</v>
      </c>
      <c r="AB423" s="116">
        <f t="shared" si="586"/>
        <v>759834.64699902688</v>
      </c>
      <c r="AC423" s="116">
        <f t="shared" si="586"/>
        <v>740947.61333962949</v>
      </c>
      <c r="AD423" s="116">
        <f t="shared" si="586"/>
        <v>993495.28481270792</v>
      </c>
      <c r="AE423" s="116">
        <f t="shared" si="586"/>
        <v>916982.19787333952</v>
      </c>
      <c r="AF423" s="116">
        <f t="shared" ref="AF423:AQ423" si="587">AF377+AF382+AF387+AF392+AF397++AF402+AF407+AF412+AF417</f>
        <v>857501.92501820519</v>
      </c>
      <c r="AG423" s="116">
        <f t="shared" si="587"/>
        <v>932563.9539546438</v>
      </c>
      <c r="AH423" s="116">
        <f t="shared" si="587"/>
        <v>913804.95250737353</v>
      </c>
      <c r="AI423" s="116">
        <f t="shared" si="587"/>
        <v>814047.65826331801</v>
      </c>
      <c r="AJ423" s="116">
        <f t="shared" si="587"/>
        <v>893131.21622654714</v>
      </c>
      <c r="AK423" s="116">
        <f t="shared" si="587"/>
        <v>800014.22337120469</v>
      </c>
      <c r="AL423" s="116">
        <f t="shared" si="587"/>
        <v>763026.9220391704</v>
      </c>
      <c r="AM423" s="116">
        <f t="shared" si="587"/>
        <v>868900.88833818666</v>
      </c>
      <c r="AN423" s="116">
        <f t="shared" si="587"/>
        <v>764462.38539197459</v>
      </c>
      <c r="AO423" s="116">
        <f t="shared" si="587"/>
        <v>745460.32111224462</v>
      </c>
      <c r="AP423" s="116">
        <f t="shared" si="587"/>
        <v>999546.12270342349</v>
      </c>
      <c r="AQ423" s="116">
        <f t="shared" si="587"/>
        <v>922567.03628457536</v>
      </c>
      <c r="AR423" s="116">
        <f>SUM(G423:R423)</f>
        <v>10838408.74</v>
      </c>
      <c r="AS423" s="116">
        <f>SUM(T423:AE423)</f>
        <v>10212826.847337278</v>
      </c>
      <c r="AT423" s="116">
        <f>SUM(AF423:AQ423)</f>
        <v>10275027.605210867</v>
      </c>
      <c r="AU423" s="171"/>
      <c r="AV423" s="171"/>
    </row>
    <row r="424" spans="2:48">
      <c r="B424" s="250">
        <v>769</v>
      </c>
      <c r="C424" s="208"/>
      <c r="D424" s="102"/>
      <c r="E424" s="102"/>
      <c r="F424" s="102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71"/>
      <c r="AV424" s="171"/>
    </row>
    <row r="425" spans="2:48">
      <c r="B425" s="250">
        <v>770</v>
      </c>
      <c r="C425" s="49" t="s">
        <v>409</v>
      </c>
      <c r="D425" s="102"/>
      <c r="E425" s="102"/>
      <c r="F425" s="102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71"/>
      <c r="AV425" s="171"/>
    </row>
    <row r="426" spans="2:48">
      <c r="B426" s="250">
        <v>771</v>
      </c>
      <c r="C426" s="208"/>
      <c r="D426" s="102"/>
      <c r="E426" s="102"/>
      <c r="F426" s="102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71"/>
      <c r="AV426" s="171"/>
    </row>
    <row r="427" spans="2:48">
      <c r="B427" s="250">
        <v>772</v>
      </c>
      <c r="C427" s="212">
        <v>907</v>
      </c>
      <c r="D427" s="102" t="s">
        <v>402</v>
      </c>
      <c r="E427" s="102"/>
      <c r="F427" s="102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71"/>
      <c r="AV427" s="171"/>
    </row>
    <row r="428" spans="2:48">
      <c r="B428" s="250">
        <v>773</v>
      </c>
      <c r="C428" s="212"/>
      <c r="D428" s="102"/>
      <c r="E428" s="102" t="s">
        <v>14</v>
      </c>
      <c r="F428" s="102"/>
      <c r="G428" s="186">
        <v>28631.45</v>
      </c>
      <c r="H428" s="186">
        <v>10446.23</v>
      </c>
      <c r="I428" s="186">
        <v>17133.02</v>
      </c>
      <c r="J428" s="186">
        <v>33391.770000000004</v>
      </c>
      <c r="K428" s="186">
        <v>26024.79</v>
      </c>
      <c r="L428" s="186">
        <v>26110.62</v>
      </c>
      <c r="M428" s="186">
        <v>28128.23</v>
      </c>
      <c r="N428" s="186">
        <v>13515.970000000001</v>
      </c>
      <c r="O428" s="186">
        <v>12385.15</v>
      </c>
      <c r="P428" s="186">
        <v>-3.27</v>
      </c>
      <c r="Q428" s="186">
        <v>15357.16</v>
      </c>
      <c r="R428" s="186">
        <v>14257.720000000001</v>
      </c>
      <c r="S428" s="186"/>
      <c r="T428" s="186">
        <f t="shared" ref="T428:W429" si="588">G428*(1+$AU$264)</f>
        <v>26978.871922318274</v>
      </c>
      <c r="U428" s="186">
        <f t="shared" si="588"/>
        <v>9843.2842640201179</v>
      </c>
      <c r="V428" s="186">
        <f t="shared" si="588"/>
        <v>16144.119568604365</v>
      </c>
      <c r="W428" s="186">
        <f t="shared" si="588"/>
        <v>31464.431109479603</v>
      </c>
      <c r="X428" s="186">
        <f t="shared" ref="X428:AE429" si="589">K428*(1+$AU$264)</f>
        <v>24522.665677610788</v>
      </c>
      <c r="Y428" s="186">
        <f t="shared" si="589"/>
        <v>24603.541657594076</v>
      </c>
      <c r="Z428" s="186">
        <f t="shared" si="589"/>
        <v>26504.697267218758</v>
      </c>
      <c r="AA428" s="186">
        <f t="shared" si="589"/>
        <v>12735.842003667161</v>
      </c>
      <c r="AB428" s="186">
        <f t="shared" si="589"/>
        <v>11670.291780147361</v>
      </c>
      <c r="AC428" s="186">
        <f t="shared" si="589"/>
        <v>-3.0812589367978482</v>
      </c>
      <c r="AD428" s="186">
        <f t="shared" si="589"/>
        <v>14470.760395668025</v>
      </c>
      <c r="AE428" s="186">
        <f t="shared" si="589"/>
        <v>13434.778950569242</v>
      </c>
      <c r="AF428" s="186">
        <f t="shared" ref="AF428:AQ429" si="590">T428*(1+$AV$264)</f>
        <v>27143.185515922396</v>
      </c>
      <c r="AG428" s="186">
        <f t="shared" si="590"/>
        <v>9903.2343395809148</v>
      </c>
      <c r="AH428" s="186">
        <f t="shared" si="590"/>
        <v>16242.444595296736</v>
      </c>
      <c r="AI428" s="186">
        <f t="shared" si="590"/>
        <v>31656.063797502822</v>
      </c>
      <c r="AJ428" s="186">
        <f t="shared" si="590"/>
        <v>24672.01985868414</v>
      </c>
      <c r="AK428" s="186">
        <f t="shared" si="590"/>
        <v>24753.388410148757</v>
      </c>
      <c r="AL428" s="186">
        <f t="shared" si="590"/>
        <v>26666.122921631068</v>
      </c>
      <c r="AM428" s="186">
        <f t="shared" si="590"/>
        <v>12813.40907071216</v>
      </c>
      <c r="AN428" s="186">
        <f t="shared" si="590"/>
        <v>11741.369161971408</v>
      </c>
      <c r="AO428" s="186">
        <f t="shared" si="590"/>
        <v>-3.1000252043492815</v>
      </c>
      <c r="AP428" s="186">
        <f t="shared" si="590"/>
        <v>14558.893904350034</v>
      </c>
      <c r="AQ428" s="186">
        <f t="shared" si="590"/>
        <v>13516.602861331756</v>
      </c>
      <c r="AR428" s="186">
        <f>SUM(G428:R428)</f>
        <v>225378.84000000003</v>
      </c>
      <c r="AS428" s="186">
        <f>SUM(T428:AE428)</f>
        <v>212370.20333796102</v>
      </c>
      <c r="AT428" s="186">
        <f>SUM(AF428:AQ428)</f>
        <v>213663.63441192781</v>
      </c>
      <c r="AU428" s="171"/>
      <c r="AV428" s="171"/>
    </row>
    <row r="429" spans="2:48">
      <c r="B429" s="250">
        <v>774</v>
      </c>
      <c r="C429" s="212"/>
      <c r="D429" s="102"/>
      <c r="E429" s="102" t="s">
        <v>24</v>
      </c>
      <c r="F429" s="102"/>
      <c r="G429" s="186">
        <v>0</v>
      </c>
      <c r="H429" s="186">
        <v>0</v>
      </c>
      <c r="I429" s="186">
        <v>0</v>
      </c>
      <c r="J429" s="186">
        <v>0</v>
      </c>
      <c r="K429" s="186">
        <v>0</v>
      </c>
      <c r="L429" s="186">
        <v>0</v>
      </c>
      <c r="M429" s="186">
        <v>0</v>
      </c>
      <c r="N429" s="186">
        <v>0</v>
      </c>
      <c r="O429" s="186">
        <v>0</v>
      </c>
      <c r="P429" s="186">
        <v>0</v>
      </c>
      <c r="Q429" s="186">
        <v>0</v>
      </c>
      <c r="R429" s="186">
        <v>0</v>
      </c>
      <c r="S429" s="186"/>
      <c r="T429" s="186">
        <f t="shared" si="588"/>
        <v>0</v>
      </c>
      <c r="U429" s="186">
        <f t="shared" si="588"/>
        <v>0</v>
      </c>
      <c r="V429" s="186">
        <f t="shared" si="588"/>
        <v>0</v>
      </c>
      <c r="W429" s="186">
        <f t="shared" si="588"/>
        <v>0</v>
      </c>
      <c r="X429" s="186">
        <f t="shared" si="589"/>
        <v>0</v>
      </c>
      <c r="Y429" s="186">
        <f t="shared" si="589"/>
        <v>0</v>
      </c>
      <c r="Z429" s="186">
        <f t="shared" si="589"/>
        <v>0</v>
      </c>
      <c r="AA429" s="186">
        <f t="shared" si="589"/>
        <v>0</v>
      </c>
      <c r="AB429" s="186">
        <f t="shared" si="589"/>
        <v>0</v>
      </c>
      <c r="AC429" s="186">
        <f t="shared" si="589"/>
        <v>0</v>
      </c>
      <c r="AD429" s="186">
        <f t="shared" si="589"/>
        <v>0</v>
      </c>
      <c r="AE429" s="186">
        <f t="shared" si="589"/>
        <v>0</v>
      </c>
      <c r="AF429" s="186">
        <f t="shared" si="590"/>
        <v>0</v>
      </c>
      <c r="AG429" s="186">
        <f t="shared" si="590"/>
        <v>0</v>
      </c>
      <c r="AH429" s="186">
        <f t="shared" si="590"/>
        <v>0</v>
      </c>
      <c r="AI429" s="186">
        <f t="shared" si="590"/>
        <v>0</v>
      </c>
      <c r="AJ429" s="186">
        <f t="shared" si="590"/>
        <v>0</v>
      </c>
      <c r="AK429" s="186">
        <f t="shared" si="590"/>
        <v>0</v>
      </c>
      <c r="AL429" s="186">
        <f t="shared" si="590"/>
        <v>0</v>
      </c>
      <c r="AM429" s="186">
        <f t="shared" si="590"/>
        <v>0</v>
      </c>
      <c r="AN429" s="186">
        <f t="shared" si="590"/>
        <v>0</v>
      </c>
      <c r="AO429" s="186">
        <f t="shared" si="590"/>
        <v>0</v>
      </c>
      <c r="AP429" s="186">
        <f t="shared" si="590"/>
        <v>0</v>
      </c>
      <c r="AQ429" s="186">
        <f t="shared" si="590"/>
        <v>0</v>
      </c>
      <c r="AR429" s="186">
        <f>SUM(G429:R429)</f>
        <v>0</v>
      </c>
      <c r="AS429" s="186">
        <f>SUM(T429:AE429)</f>
        <v>0</v>
      </c>
      <c r="AT429" s="186">
        <f>SUM(AF429:AQ429)</f>
        <v>0</v>
      </c>
      <c r="AU429" s="171"/>
      <c r="AV429" s="171"/>
    </row>
    <row r="430" spans="2:48" ht="13.5" customHeight="1">
      <c r="B430" s="250">
        <v>775</v>
      </c>
      <c r="C430" s="212"/>
      <c r="D430" s="102"/>
      <c r="E430" s="102" t="s">
        <v>170</v>
      </c>
      <c r="F430" s="102"/>
      <c r="G430" s="1216">
        <v>28631.45</v>
      </c>
      <c r="H430" s="1216">
        <v>10446.23</v>
      </c>
      <c r="I430" s="1216">
        <v>17133.02</v>
      </c>
      <c r="J430" s="1216">
        <v>33391.770000000004</v>
      </c>
      <c r="K430" s="1216">
        <v>26024.79</v>
      </c>
      <c r="L430" s="1216">
        <v>26110.62</v>
      </c>
      <c r="M430" s="1216">
        <v>28128.23</v>
      </c>
      <c r="N430" s="1216">
        <v>13515.970000000001</v>
      </c>
      <c r="O430" s="1216">
        <v>12385.15</v>
      </c>
      <c r="P430" s="1216">
        <v>-3.27</v>
      </c>
      <c r="Q430" s="1216">
        <v>15357.16</v>
      </c>
      <c r="R430" s="1216">
        <v>14257.720000000001</v>
      </c>
      <c r="S430" s="620"/>
      <c r="T430" s="131">
        <f t="shared" ref="T430:Y430" si="591">SUM(T428:T429)</f>
        <v>26978.871922318274</v>
      </c>
      <c r="U430" s="131">
        <f t="shared" si="591"/>
        <v>9843.2842640201179</v>
      </c>
      <c r="V430" s="131">
        <f t="shared" si="591"/>
        <v>16144.119568604365</v>
      </c>
      <c r="W430" s="131">
        <f t="shared" si="591"/>
        <v>31464.431109479603</v>
      </c>
      <c r="X430" s="131">
        <f t="shared" si="591"/>
        <v>24522.665677610788</v>
      </c>
      <c r="Y430" s="131">
        <f t="shared" si="591"/>
        <v>24603.541657594076</v>
      </c>
      <c r="Z430" s="131">
        <f t="shared" ref="Z430:AE430" si="592">SUM(Z428:Z429)</f>
        <v>26504.697267218758</v>
      </c>
      <c r="AA430" s="131">
        <f t="shared" si="592"/>
        <v>12735.842003667161</v>
      </c>
      <c r="AB430" s="131">
        <f t="shared" si="592"/>
        <v>11670.291780147361</v>
      </c>
      <c r="AC430" s="131">
        <f t="shared" si="592"/>
        <v>-3.0812589367978482</v>
      </c>
      <c r="AD430" s="131">
        <f t="shared" si="592"/>
        <v>14470.760395668025</v>
      </c>
      <c r="AE430" s="131">
        <f t="shared" si="592"/>
        <v>13434.778950569242</v>
      </c>
      <c r="AF430" s="131">
        <f t="shared" ref="AF430:AQ430" si="593">SUM(AF428:AF429)</f>
        <v>27143.185515922396</v>
      </c>
      <c r="AG430" s="131">
        <f t="shared" si="593"/>
        <v>9903.2343395809148</v>
      </c>
      <c r="AH430" s="131">
        <f t="shared" si="593"/>
        <v>16242.444595296736</v>
      </c>
      <c r="AI430" s="131">
        <f t="shared" si="593"/>
        <v>31656.063797502822</v>
      </c>
      <c r="AJ430" s="131">
        <f t="shared" si="593"/>
        <v>24672.01985868414</v>
      </c>
      <c r="AK430" s="131">
        <f t="shared" si="593"/>
        <v>24753.388410148757</v>
      </c>
      <c r="AL430" s="131">
        <f t="shared" si="593"/>
        <v>26666.122921631068</v>
      </c>
      <c r="AM430" s="131">
        <f t="shared" si="593"/>
        <v>12813.40907071216</v>
      </c>
      <c r="AN430" s="131">
        <f t="shared" si="593"/>
        <v>11741.369161971408</v>
      </c>
      <c r="AO430" s="131">
        <f t="shared" si="593"/>
        <v>-3.1000252043492815</v>
      </c>
      <c r="AP430" s="131">
        <f t="shared" si="593"/>
        <v>14558.893904350034</v>
      </c>
      <c r="AQ430" s="131">
        <f t="shared" si="593"/>
        <v>13516.602861331756</v>
      </c>
      <c r="AR430" s="131">
        <f>SUM(G430:R430)</f>
        <v>225378.84000000003</v>
      </c>
      <c r="AS430" s="131">
        <f>SUM(T430:AE430)</f>
        <v>212370.20333796102</v>
      </c>
      <c r="AT430" s="131">
        <f>SUM(AF430:AQ430)</f>
        <v>213663.63441192781</v>
      </c>
      <c r="AU430" s="621"/>
      <c r="AV430" s="621"/>
    </row>
    <row r="431" spans="2:48">
      <c r="B431" s="250">
        <v>776</v>
      </c>
      <c r="C431" s="212"/>
      <c r="D431" s="102"/>
      <c r="E431" s="102"/>
      <c r="F431" s="102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71"/>
      <c r="AV431" s="171"/>
    </row>
    <row r="432" spans="2:48">
      <c r="B432" s="250">
        <v>777</v>
      </c>
      <c r="C432" s="212">
        <v>908</v>
      </c>
      <c r="D432" s="102" t="s">
        <v>410</v>
      </c>
      <c r="E432" s="102"/>
      <c r="F432" s="102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71"/>
      <c r="AV432" s="171"/>
    </row>
    <row r="433" spans="2:48">
      <c r="B433" s="250">
        <v>778</v>
      </c>
      <c r="C433" s="212"/>
      <c r="D433" s="102"/>
      <c r="E433" s="102" t="s">
        <v>14</v>
      </c>
      <c r="F433" s="102"/>
      <c r="G433" s="186">
        <v>197583.07</v>
      </c>
      <c r="H433" s="186">
        <v>217252.21</v>
      </c>
      <c r="I433" s="186">
        <v>210190.18</v>
      </c>
      <c r="J433" s="186">
        <v>209157.4</v>
      </c>
      <c r="K433" s="186">
        <v>224074.83000000002</v>
      </c>
      <c r="L433" s="186">
        <v>179656.14</v>
      </c>
      <c r="M433" s="186">
        <v>190039.79</v>
      </c>
      <c r="N433" s="186">
        <v>206240.93</v>
      </c>
      <c r="O433" s="186">
        <v>186179.13</v>
      </c>
      <c r="P433" s="186">
        <v>138608.79999999999</v>
      </c>
      <c r="Q433" s="186">
        <v>267432.71000000002</v>
      </c>
      <c r="R433" s="186">
        <v>225072.09</v>
      </c>
      <c r="S433" s="186"/>
      <c r="T433" s="186">
        <f t="shared" ref="T433:W434" si="594">G433*(1+$AU$264)</f>
        <v>186178.77681879353</v>
      </c>
      <c r="U433" s="186">
        <f t="shared" si="594"/>
        <v>204712.6341289244</v>
      </c>
      <c r="V433" s="186">
        <f t="shared" si="594"/>
        <v>198058.21729423496</v>
      </c>
      <c r="W433" s="186">
        <f t="shared" si="594"/>
        <v>197085.04830195787</v>
      </c>
      <c r="X433" s="186">
        <f t="shared" ref="X433:AE434" si="595">K433*(1+$AU$264)</f>
        <v>211141.45946451335</v>
      </c>
      <c r="Y433" s="186">
        <f t="shared" si="595"/>
        <v>169286.57092526159</v>
      </c>
      <c r="Z433" s="186">
        <f t="shared" si="595"/>
        <v>179070.88724302335</v>
      </c>
      <c r="AA433" s="186">
        <f t="shared" si="595"/>
        <v>194336.91397431176</v>
      </c>
      <c r="AB433" s="186">
        <f t="shared" si="595"/>
        <v>175433.06059869981</v>
      </c>
      <c r="AC433" s="186">
        <f t="shared" si="595"/>
        <v>130608.441504228</v>
      </c>
      <c r="AD433" s="186">
        <f t="shared" si="595"/>
        <v>251996.76687448542</v>
      </c>
      <c r="AE433" s="186">
        <f t="shared" si="595"/>
        <v>212081.15863494482</v>
      </c>
      <c r="AF433" s="186">
        <f t="shared" ref="AF433:AQ434" si="596">T433*(1+$AV$264)</f>
        <v>187312.69019960501</v>
      </c>
      <c r="AG433" s="186">
        <f t="shared" si="596"/>
        <v>205959.42712556053</v>
      </c>
      <c r="AH433" s="186">
        <f t="shared" si="596"/>
        <v>199264.4818674961</v>
      </c>
      <c r="AI433" s="186">
        <f t="shared" si="596"/>
        <v>198285.38583368942</v>
      </c>
      <c r="AJ433" s="186">
        <f t="shared" si="596"/>
        <v>212427.40692974941</v>
      </c>
      <c r="AK433" s="186">
        <f t="shared" si="596"/>
        <v>170317.60309360953</v>
      </c>
      <c r="AL433" s="186">
        <f t="shared" si="596"/>
        <v>180161.51034533471</v>
      </c>
      <c r="AM433" s="186">
        <f t="shared" si="596"/>
        <v>195520.51411878772</v>
      </c>
      <c r="AN433" s="186">
        <f t="shared" si="596"/>
        <v>176501.52768312584</v>
      </c>
      <c r="AO433" s="186">
        <f t="shared" si="596"/>
        <v>131403.90628275494</v>
      </c>
      <c r="AP433" s="186">
        <f t="shared" si="596"/>
        <v>253531.54173315968</v>
      </c>
      <c r="AQ433" s="186">
        <f t="shared" si="596"/>
        <v>213372.82929528129</v>
      </c>
      <c r="AR433" s="186">
        <f>SUM(G433:R433)</f>
        <v>2451487.2800000003</v>
      </c>
      <c r="AS433" s="186">
        <f>SUM(T433:AE433)</f>
        <v>2309989.9357633786</v>
      </c>
      <c r="AT433" s="186">
        <f>SUM(AF433:AQ433)</f>
        <v>2324058.8245081538</v>
      </c>
      <c r="AU433" s="171"/>
      <c r="AV433" s="171"/>
    </row>
    <row r="434" spans="2:48">
      <c r="B434" s="250">
        <v>779</v>
      </c>
      <c r="C434" s="212"/>
      <c r="D434" s="102"/>
      <c r="E434" s="102" t="s">
        <v>24</v>
      </c>
      <c r="F434" s="102"/>
      <c r="G434" s="186">
        <v>0</v>
      </c>
      <c r="H434" s="186">
        <v>0</v>
      </c>
      <c r="I434" s="186">
        <v>0</v>
      </c>
      <c r="J434" s="186">
        <v>0</v>
      </c>
      <c r="K434" s="186">
        <v>0</v>
      </c>
      <c r="L434" s="186">
        <v>0</v>
      </c>
      <c r="M434" s="186">
        <v>0</v>
      </c>
      <c r="N434" s="186">
        <v>0</v>
      </c>
      <c r="O434" s="186">
        <v>0</v>
      </c>
      <c r="P434" s="186">
        <v>0</v>
      </c>
      <c r="Q434" s="186">
        <v>0</v>
      </c>
      <c r="R434" s="186">
        <v>0</v>
      </c>
      <c r="S434" s="186"/>
      <c r="T434" s="186">
        <f t="shared" si="594"/>
        <v>0</v>
      </c>
      <c r="U434" s="186">
        <f t="shared" si="594"/>
        <v>0</v>
      </c>
      <c r="V434" s="186">
        <f t="shared" si="594"/>
        <v>0</v>
      </c>
      <c r="W434" s="186">
        <f t="shared" si="594"/>
        <v>0</v>
      </c>
      <c r="X434" s="186">
        <f t="shared" si="595"/>
        <v>0</v>
      </c>
      <c r="Y434" s="186">
        <f t="shared" si="595"/>
        <v>0</v>
      </c>
      <c r="Z434" s="186">
        <f t="shared" si="595"/>
        <v>0</v>
      </c>
      <c r="AA434" s="186">
        <f t="shared" si="595"/>
        <v>0</v>
      </c>
      <c r="AB434" s="186">
        <f t="shared" si="595"/>
        <v>0</v>
      </c>
      <c r="AC434" s="186">
        <f t="shared" si="595"/>
        <v>0</v>
      </c>
      <c r="AD434" s="186">
        <f t="shared" si="595"/>
        <v>0</v>
      </c>
      <c r="AE434" s="186">
        <f t="shared" si="595"/>
        <v>0</v>
      </c>
      <c r="AF434" s="186">
        <f t="shared" si="596"/>
        <v>0</v>
      </c>
      <c r="AG434" s="186">
        <f t="shared" si="596"/>
        <v>0</v>
      </c>
      <c r="AH434" s="186">
        <f t="shared" si="596"/>
        <v>0</v>
      </c>
      <c r="AI434" s="186">
        <f t="shared" si="596"/>
        <v>0</v>
      </c>
      <c r="AJ434" s="186">
        <f t="shared" si="596"/>
        <v>0</v>
      </c>
      <c r="AK434" s="186">
        <f t="shared" si="596"/>
        <v>0</v>
      </c>
      <c r="AL434" s="186">
        <f t="shared" si="596"/>
        <v>0</v>
      </c>
      <c r="AM434" s="186">
        <f t="shared" si="596"/>
        <v>0</v>
      </c>
      <c r="AN434" s="186">
        <f t="shared" si="596"/>
        <v>0</v>
      </c>
      <c r="AO434" s="186">
        <f t="shared" si="596"/>
        <v>0</v>
      </c>
      <c r="AP434" s="186">
        <f t="shared" si="596"/>
        <v>0</v>
      </c>
      <c r="AQ434" s="186">
        <f t="shared" si="596"/>
        <v>0</v>
      </c>
      <c r="AR434" s="186">
        <f>SUM(G434:R434)</f>
        <v>0</v>
      </c>
      <c r="AS434" s="186">
        <f>SUM(T434:AE434)</f>
        <v>0</v>
      </c>
      <c r="AT434" s="186">
        <f>SUM(AF434:AQ434)</f>
        <v>0</v>
      </c>
      <c r="AU434" s="171"/>
      <c r="AV434" s="171"/>
    </row>
    <row r="435" spans="2:48">
      <c r="B435" s="250">
        <v>780</v>
      </c>
      <c r="C435" s="212"/>
      <c r="D435" s="102"/>
      <c r="E435" s="102" t="s">
        <v>170</v>
      </c>
      <c r="F435" s="102"/>
      <c r="G435" s="1216">
        <v>197583.07</v>
      </c>
      <c r="H435" s="1216">
        <v>217252.21</v>
      </c>
      <c r="I435" s="1216">
        <v>210190.18</v>
      </c>
      <c r="J435" s="1216">
        <v>209157.4</v>
      </c>
      <c r="K435" s="1216">
        <v>224074.83000000002</v>
      </c>
      <c r="L435" s="1216">
        <v>179656.14</v>
      </c>
      <c r="M435" s="1216">
        <v>190039.79</v>
      </c>
      <c r="N435" s="1216">
        <v>206240.93</v>
      </c>
      <c r="O435" s="1216">
        <v>186179.13</v>
      </c>
      <c r="P435" s="1216">
        <v>138608.79999999999</v>
      </c>
      <c r="Q435" s="1216">
        <v>267432.71000000002</v>
      </c>
      <c r="R435" s="1216">
        <v>225072.09</v>
      </c>
      <c r="S435" s="620"/>
      <c r="T435" s="131">
        <f t="shared" ref="T435:Y435" si="597">SUM(T433:T434)</f>
        <v>186178.77681879353</v>
      </c>
      <c r="U435" s="131">
        <f t="shared" si="597"/>
        <v>204712.6341289244</v>
      </c>
      <c r="V435" s="131">
        <f t="shared" si="597"/>
        <v>198058.21729423496</v>
      </c>
      <c r="W435" s="131">
        <f t="shared" si="597"/>
        <v>197085.04830195787</v>
      </c>
      <c r="X435" s="131">
        <f t="shared" si="597"/>
        <v>211141.45946451335</v>
      </c>
      <c r="Y435" s="131">
        <f t="shared" si="597"/>
        <v>169286.57092526159</v>
      </c>
      <c r="Z435" s="131">
        <f t="shared" ref="Z435:AE435" si="598">SUM(Z433:Z434)</f>
        <v>179070.88724302335</v>
      </c>
      <c r="AA435" s="131">
        <f t="shared" si="598"/>
        <v>194336.91397431176</v>
      </c>
      <c r="AB435" s="131">
        <f t="shared" si="598"/>
        <v>175433.06059869981</v>
      </c>
      <c r="AC435" s="131">
        <f t="shared" si="598"/>
        <v>130608.441504228</v>
      </c>
      <c r="AD435" s="131">
        <f t="shared" si="598"/>
        <v>251996.76687448542</v>
      </c>
      <c r="AE435" s="131">
        <f t="shared" si="598"/>
        <v>212081.15863494482</v>
      </c>
      <c r="AF435" s="131">
        <f t="shared" ref="AF435:AQ435" si="599">SUM(AF433:AF434)</f>
        <v>187312.69019960501</v>
      </c>
      <c r="AG435" s="131">
        <f t="shared" si="599"/>
        <v>205959.42712556053</v>
      </c>
      <c r="AH435" s="131">
        <f t="shared" si="599"/>
        <v>199264.4818674961</v>
      </c>
      <c r="AI435" s="131">
        <f t="shared" si="599"/>
        <v>198285.38583368942</v>
      </c>
      <c r="AJ435" s="131">
        <f t="shared" si="599"/>
        <v>212427.40692974941</v>
      </c>
      <c r="AK435" s="131">
        <f t="shared" si="599"/>
        <v>170317.60309360953</v>
      </c>
      <c r="AL435" s="131">
        <f t="shared" si="599"/>
        <v>180161.51034533471</v>
      </c>
      <c r="AM435" s="131">
        <f t="shared" si="599"/>
        <v>195520.51411878772</v>
      </c>
      <c r="AN435" s="131">
        <f t="shared" si="599"/>
        <v>176501.52768312584</v>
      </c>
      <c r="AO435" s="131">
        <f t="shared" si="599"/>
        <v>131403.90628275494</v>
      </c>
      <c r="AP435" s="131">
        <f t="shared" si="599"/>
        <v>253531.54173315968</v>
      </c>
      <c r="AQ435" s="131">
        <f t="shared" si="599"/>
        <v>213372.82929528129</v>
      </c>
      <c r="AR435" s="131">
        <f>SUM(G435:R435)</f>
        <v>2451487.2800000003</v>
      </c>
      <c r="AS435" s="131">
        <f>SUM(T435:AE435)</f>
        <v>2309989.9357633786</v>
      </c>
      <c r="AT435" s="131">
        <f>SUM(AF435:AQ435)</f>
        <v>2324058.8245081538</v>
      </c>
      <c r="AU435" s="621"/>
      <c r="AV435" s="621"/>
    </row>
    <row r="436" spans="2:48">
      <c r="B436" s="250">
        <v>781</v>
      </c>
      <c r="C436" s="212"/>
      <c r="D436" s="102"/>
      <c r="E436" s="102"/>
      <c r="F436" s="102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71"/>
      <c r="AV436" s="171"/>
    </row>
    <row r="437" spans="2:48">
      <c r="B437" s="250">
        <v>782</v>
      </c>
      <c r="C437" s="212">
        <v>909</v>
      </c>
      <c r="D437" s="102" t="s">
        <v>423</v>
      </c>
      <c r="E437" s="102"/>
      <c r="F437" s="102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71"/>
      <c r="AV437" s="171"/>
    </row>
    <row r="438" spans="2:48">
      <c r="B438" s="250">
        <v>783</v>
      </c>
      <c r="C438" s="212"/>
      <c r="D438" s="102"/>
      <c r="E438" s="102" t="s">
        <v>14</v>
      </c>
      <c r="F438" s="102"/>
      <c r="G438" s="186">
        <v>0</v>
      </c>
      <c r="H438" s="186">
        <v>0</v>
      </c>
      <c r="I438" s="186">
        <v>0</v>
      </c>
      <c r="J438" s="186">
        <v>0</v>
      </c>
      <c r="K438" s="186">
        <v>0</v>
      </c>
      <c r="L438" s="186">
        <v>0</v>
      </c>
      <c r="M438" s="186">
        <v>0</v>
      </c>
      <c r="N438" s="186">
        <v>0</v>
      </c>
      <c r="O438" s="186">
        <v>0</v>
      </c>
      <c r="P438" s="186">
        <v>0</v>
      </c>
      <c r="Q438" s="186">
        <v>0</v>
      </c>
      <c r="R438" s="186">
        <v>0</v>
      </c>
      <c r="S438" s="186"/>
      <c r="T438" s="186">
        <f t="shared" ref="T438:W439" si="600">G438*(1+$AU$264)</f>
        <v>0</v>
      </c>
      <c r="U438" s="186">
        <f t="shared" si="600"/>
        <v>0</v>
      </c>
      <c r="V438" s="186">
        <f t="shared" si="600"/>
        <v>0</v>
      </c>
      <c r="W438" s="186">
        <f t="shared" si="600"/>
        <v>0</v>
      </c>
      <c r="X438" s="186">
        <f t="shared" ref="X438:AE439" si="601">K438*(1+$AU$264)</f>
        <v>0</v>
      </c>
      <c r="Y438" s="186">
        <f t="shared" si="601"/>
        <v>0</v>
      </c>
      <c r="Z438" s="186">
        <f t="shared" si="601"/>
        <v>0</v>
      </c>
      <c r="AA438" s="186">
        <f t="shared" si="601"/>
        <v>0</v>
      </c>
      <c r="AB438" s="186">
        <f t="shared" si="601"/>
        <v>0</v>
      </c>
      <c r="AC438" s="186">
        <f t="shared" si="601"/>
        <v>0</v>
      </c>
      <c r="AD438" s="186">
        <f t="shared" si="601"/>
        <v>0</v>
      </c>
      <c r="AE438" s="186">
        <f t="shared" si="601"/>
        <v>0</v>
      </c>
      <c r="AF438" s="186">
        <f t="shared" ref="AF438:AQ439" si="602">T438*(1+$AV$264)</f>
        <v>0</v>
      </c>
      <c r="AG438" s="186">
        <f t="shared" si="602"/>
        <v>0</v>
      </c>
      <c r="AH438" s="186">
        <f t="shared" si="602"/>
        <v>0</v>
      </c>
      <c r="AI438" s="186">
        <f t="shared" si="602"/>
        <v>0</v>
      </c>
      <c r="AJ438" s="186">
        <f t="shared" si="602"/>
        <v>0</v>
      </c>
      <c r="AK438" s="186">
        <f t="shared" si="602"/>
        <v>0</v>
      </c>
      <c r="AL438" s="186">
        <f t="shared" si="602"/>
        <v>0</v>
      </c>
      <c r="AM438" s="186">
        <f t="shared" si="602"/>
        <v>0</v>
      </c>
      <c r="AN438" s="186">
        <f t="shared" si="602"/>
        <v>0</v>
      </c>
      <c r="AO438" s="186">
        <f t="shared" si="602"/>
        <v>0</v>
      </c>
      <c r="AP438" s="186">
        <f t="shared" si="602"/>
        <v>0</v>
      </c>
      <c r="AQ438" s="186">
        <f t="shared" si="602"/>
        <v>0</v>
      </c>
      <c r="AR438" s="186">
        <f>SUM(G438:R438)</f>
        <v>0</v>
      </c>
      <c r="AS438" s="186">
        <f>SUM(T438:AE438)</f>
        <v>0</v>
      </c>
      <c r="AT438" s="186">
        <f>SUM(AF438:AQ438)</f>
        <v>0</v>
      </c>
      <c r="AU438" s="171"/>
      <c r="AV438" s="171"/>
    </row>
    <row r="439" spans="2:48">
      <c r="B439" s="250">
        <v>784</v>
      </c>
      <c r="C439" s="212"/>
      <c r="D439" s="102"/>
      <c r="E439" s="102" t="s">
        <v>24</v>
      </c>
      <c r="F439" s="102"/>
      <c r="G439" s="186">
        <v>0</v>
      </c>
      <c r="H439" s="186">
        <v>0</v>
      </c>
      <c r="I439" s="186">
        <v>0</v>
      </c>
      <c r="J439" s="186">
        <v>0</v>
      </c>
      <c r="K439" s="186">
        <v>0</v>
      </c>
      <c r="L439" s="186">
        <v>0</v>
      </c>
      <c r="M439" s="186">
        <v>0</v>
      </c>
      <c r="N439" s="186">
        <v>0</v>
      </c>
      <c r="O439" s="186">
        <v>0</v>
      </c>
      <c r="P439" s="186">
        <v>0</v>
      </c>
      <c r="Q439" s="186">
        <v>0</v>
      </c>
      <c r="R439" s="186">
        <v>0</v>
      </c>
      <c r="S439" s="186"/>
      <c r="T439" s="186">
        <f t="shared" si="600"/>
        <v>0</v>
      </c>
      <c r="U439" s="186">
        <f t="shared" si="600"/>
        <v>0</v>
      </c>
      <c r="V439" s="186">
        <f t="shared" si="600"/>
        <v>0</v>
      </c>
      <c r="W439" s="186">
        <f t="shared" si="600"/>
        <v>0</v>
      </c>
      <c r="X439" s="186">
        <f t="shared" si="601"/>
        <v>0</v>
      </c>
      <c r="Y439" s="186">
        <f t="shared" si="601"/>
        <v>0</v>
      </c>
      <c r="Z439" s="186">
        <f t="shared" si="601"/>
        <v>0</v>
      </c>
      <c r="AA439" s="186">
        <f t="shared" si="601"/>
        <v>0</v>
      </c>
      <c r="AB439" s="186">
        <f t="shared" si="601"/>
        <v>0</v>
      </c>
      <c r="AC439" s="186">
        <f t="shared" si="601"/>
        <v>0</v>
      </c>
      <c r="AD439" s="186">
        <f t="shared" si="601"/>
        <v>0</v>
      </c>
      <c r="AE439" s="186">
        <f t="shared" si="601"/>
        <v>0</v>
      </c>
      <c r="AF439" s="186">
        <f t="shared" si="602"/>
        <v>0</v>
      </c>
      <c r="AG439" s="186">
        <f t="shared" si="602"/>
        <v>0</v>
      </c>
      <c r="AH439" s="186">
        <f t="shared" si="602"/>
        <v>0</v>
      </c>
      <c r="AI439" s="186">
        <f t="shared" si="602"/>
        <v>0</v>
      </c>
      <c r="AJ439" s="186">
        <f t="shared" si="602"/>
        <v>0</v>
      </c>
      <c r="AK439" s="186">
        <f t="shared" si="602"/>
        <v>0</v>
      </c>
      <c r="AL439" s="186">
        <f t="shared" si="602"/>
        <v>0</v>
      </c>
      <c r="AM439" s="186">
        <f t="shared" si="602"/>
        <v>0</v>
      </c>
      <c r="AN439" s="186">
        <f t="shared" si="602"/>
        <v>0</v>
      </c>
      <c r="AO439" s="186">
        <f t="shared" si="602"/>
        <v>0</v>
      </c>
      <c r="AP439" s="186">
        <f t="shared" si="602"/>
        <v>0</v>
      </c>
      <c r="AQ439" s="186">
        <f t="shared" si="602"/>
        <v>0</v>
      </c>
      <c r="AR439" s="186">
        <f>SUM(G439:R439)</f>
        <v>0</v>
      </c>
      <c r="AS439" s="186">
        <f>SUM(T439:AE439)</f>
        <v>0</v>
      </c>
      <c r="AT439" s="186">
        <f>SUM(AF439:AQ439)</f>
        <v>0</v>
      </c>
      <c r="AU439" s="171"/>
      <c r="AV439" s="171"/>
    </row>
    <row r="440" spans="2:48">
      <c r="B440" s="250">
        <v>785</v>
      </c>
      <c r="C440" s="212"/>
      <c r="D440" s="102"/>
      <c r="E440" s="102" t="s">
        <v>170</v>
      </c>
      <c r="F440" s="102"/>
      <c r="G440" s="1216">
        <v>0</v>
      </c>
      <c r="H440" s="1216">
        <v>0</v>
      </c>
      <c r="I440" s="1216">
        <v>0</v>
      </c>
      <c r="J440" s="1216">
        <v>0</v>
      </c>
      <c r="K440" s="1216">
        <v>0</v>
      </c>
      <c r="L440" s="1216">
        <v>0</v>
      </c>
      <c r="M440" s="1216">
        <v>0</v>
      </c>
      <c r="N440" s="1216">
        <v>0</v>
      </c>
      <c r="O440" s="1216">
        <v>0</v>
      </c>
      <c r="P440" s="1216">
        <v>0</v>
      </c>
      <c r="Q440" s="1216">
        <v>0</v>
      </c>
      <c r="R440" s="1216">
        <v>0</v>
      </c>
      <c r="S440" s="620"/>
      <c r="T440" s="131">
        <f t="shared" ref="T440:Y440" si="603">SUM(T438:T439)</f>
        <v>0</v>
      </c>
      <c r="U440" s="131">
        <f t="shared" si="603"/>
        <v>0</v>
      </c>
      <c r="V440" s="131">
        <f t="shared" si="603"/>
        <v>0</v>
      </c>
      <c r="W440" s="131">
        <f t="shared" si="603"/>
        <v>0</v>
      </c>
      <c r="X440" s="131">
        <f t="shared" si="603"/>
        <v>0</v>
      </c>
      <c r="Y440" s="131">
        <f t="shared" si="603"/>
        <v>0</v>
      </c>
      <c r="Z440" s="131">
        <f t="shared" ref="Z440:AE440" si="604">SUM(Z438:Z439)</f>
        <v>0</v>
      </c>
      <c r="AA440" s="131">
        <f t="shared" si="604"/>
        <v>0</v>
      </c>
      <c r="AB440" s="131">
        <f t="shared" si="604"/>
        <v>0</v>
      </c>
      <c r="AC440" s="131">
        <f t="shared" si="604"/>
        <v>0</v>
      </c>
      <c r="AD440" s="131">
        <f t="shared" si="604"/>
        <v>0</v>
      </c>
      <c r="AE440" s="131">
        <f t="shared" si="604"/>
        <v>0</v>
      </c>
      <c r="AF440" s="131">
        <f t="shared" ref="AF440:AQ440" si="605">SUM(AF438:AF439)</f>
        <v>0</v>
      </c>
      <c r="AG440" s="131">
        <f t="shared" si="605"/>
        <v>0</v>
      </c>
      <c r="AH440" s="131">
        <f t="shared" si="605"/>
        <v>0</v>
      </c>
      <c r="AI440" s="131">
        <f t="shared" si="605"/>
        <v>0</v>
      </c>
      <c r="AJ440" s="131">
        <f t="shared" si="605"/>
        <v>0</v>
      </c>
      <c r="AK440" s="131">
        <f t="shared" si="605"/>
        <v>0</v>
      </c>
      <c r="AL440" s="131">
        <f t="shared" si="605"/>
        <v>0</v>
      </c>
      <c r="AM440" s="131">
        <f t="shared" si="605"/>
        <v>0</v>
      </c>
      <c r="AN440" s="131">
        <f t="shared" si="605"/>
        <v>0</v>
      </c>
      <c r="AO440" s="131">
        <f t="shared" si="605"/>
        <v>0</v>
      </c>
      <c r="AP440" s="131">
        <f t="shared" si="605"/>
        <v>0</v>
      </c>
      <c r="AQ440" s="131">
        <f t="shared" si="605"/>
        <v>0</v>
      </c>
      <c r="AR440" s="131">
        <f>SUM(G440:R440)</f>
        <v>0</v>
      </c>
      <c r="AS440" s="131">
        <f>SUM(T440:AE440)</f>
        <v>0</v>
      </c>
      <c r="AT440" s="131">
        <f>SUM(AF440:AQ440)</f>
        <v>0</v>
      </c>
      <c r="AU440" s="621"/>
      <c r="AV440" s="621"/>
    </row>
    <row r="441" spans="2:48">
      <c r="B441" s="250">
        <v>786</v>
      </c>
      <c r="C441" s="212"/>
      <c r="D441" s="102"/>
      <c r="E441" s="102"/>
      <c r="F441" s="102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71"/>
      <c r="AV441" s="171"/>
    </row>
    <row r="442" spans="2:48">
      <c r="B442" s="250">
        <v>787</v>
      </c>
      <c r="C442" s="212">
        <v>910</v>
      </c>
      <c r="D442" s="102" t="s">
        <v>424</v>
      </c>
      <c r="E442" s="102"/>
      <c r="F442" s="102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71"/>
      <c r="AV442" s="171"/>
    </row>
    <row r="443" spans="2:48">
      <c r="B443" s="250">
        <v>788</v>
      </c>
      <c r="C443" s="208"/>
      <c r="D443" s="102"/>
      <c r="E443" s="102" t="s">
        <v>14</v>
      </c>
      <c r="F443" s="102"/>
      <c r="G443" s="186">
        <v>0</v>
      </c>
      <c r="H443" s="186">
        <v>0</v>
      </c>
      <c r="I443" s="186">
        <v>0</v>
      </c>
      <c r="J443" s="186">
        <v>0</v>
      </c>
      <c r="K443" s="186">
        <v>0</v>
      </c>
      <c r="L443" s="186">
        <v>0</v>
      </c>
      <c r="M443" s="186">
        <v>0</v>
      </c>
      <c r="N443" s="186">
        <v>0</v>
      </c>
      <c r="O443" s="186">
        <v>0</v>
      </c>
      <c r="P443" s="186">
        <v>0</v>
      </c>
      <c r="Q443" s="186">
        <v>0</v>
      </c>
      <c r="R443" s="186">
        <v>0</v>
      </c>
      <c r="S443" s="186"/>
      <c r="T443" s="186">
        <f t="shared" ref="T443:W444" si="606">G443*(1+$AU$264)</f>
        <v>0</v>
      </c>
      <c r="U443" s="186">
        <f t="shared" si="606"/>
        <v>0</v>
      </c>
      <c r="V443" s="186">
        <f t="shared" si="606"/>
        <v>0</v>
      </c>
      <c r="W443" s="186">
        <f t="shared" si="606"/>
        <v>0</v>
      </c>
      <c r="X443" s="186">
        <f t="shared" ref="X443:AE444" si="607">K443*(1+$AU$264)</f>
        <v>0</v>
      </c>
      <c r="Y443" s="186">
        <f t="shared" si="607"/>
        <v>0</v>
      </c>
      <c r="Z443" s="186">
        <f t="shared" si="607"/>
        <v>0</v>
      </c>
      <c r="AA443" s="186">
        <f t="shared" si="607"/>
        <v>0</v>
      </c>
      <c r="AB443" s="186">
        <f t="shared" si="607"/>
        <v>0</v>
      </c>
      <c r="AC443" s="186">
        <f t="shared" si="607"/>
        <v>0</v>
      </c>
      <c r="AD443" s="186">
        <f t="shared" si="607"/>
        <v>0</v>
      </c>
      <c r="AE443" s="186">
        <f t="shared" si="607"/>
        <v>0</v>
      </c>
      <c r="AF443" s="186">
        <f t="shared" ref="AF443:AQ444" si="608">T443*(1+$AV$264)</f>
        <v>0</v>
      </c>
      <c r="AG443" s="186">
        <f t="shared" si="608"/>
        <v>0</v>
      </c>
      <c r="AH443" s="186">
        <f t="shared" si="608"/>
        <v>0</v>
      </c>
      <c r="AI443" s="186">
        <f t="shared" si="608"/>
        <v>0</v>
      </c>
      <c r="AJ443" s="186">
        <f t="shared" si="608"/>
        <v>0</v>
      </c>
      <c r="AK443" s="186">
        <f t="shared" si="608"/>
        <v>0</v>
      </c>
      <c r="AL443" s="186">
        <f t="shared" si="608"/>
        <v>0</v>
      </c>
      <c r="AM443" s="186">
        <f t="shared" si="608"/>
        <v>0</v>
      </c>
      <c r="AN443" s="186">
        <f t="shared" si="608"/>
        <v>0</v>
      </c>
      <c r="AO443" s="186">
        <f t="shared" si="608"/>
        <v>0</v>
      </c>
      <c r="AP443" s="186">
        <f t="shared" si="608"/>
        <v>0</v>
      </c>
      <c r="AQ443" s="186">
        <f t="shared" si="608"/>
        <v>0</v>
      </c>
      <c r="AR443" s="186">
        <f>SUM(G443:R443)</f>
        <v>0</v>
      </c>
      <c r="AS443" s="186">
        <f>SUM(T443:AE443)</f>
        <v>0</v>
      </c>
      <c r="AT443" s="186">
        <f>SUM(AF443:AQ443)</f>
        <v>0</v>
      </c>
      <c r="AU443" s="171"/>
      <c r="AV443" s="171"/>
    </row>
    <row r="444" spans="2:48">
      <c r="B444" s="250">
        <v>789</v>
      </c>
      <c r="C444" s="208"/>
      <c r="D444" s="102"/>
      <c r="E444" s="102" t="s">
        <v>24</v>
      </c>
      <c r="F444" s="102"/>
      <c r="G444" s="186">
        <v>0</v>
      </c>
      <c r="H444" s="186">
        <v>0</v>
      </c>
      <c r="I444" s="186">
        <v>0</v>
      </c>
      <c r="J444" s="186">
        <v>0</v>
      </c>
      <c r="K444" s="186">
        <v>0</v>
      </c>
      <c r="L444" s="186">
        <v>0</v>
      </c>
      <c r="M444" s="186">
        <v>0</v>
      </c>
      <c r="N444" s="186">
        <v>0</v>
      </c>
      <c r="O444" s="186">
        <v>0</v>
      </c>
      <c r="P444" s="186">
        <v>0</v>
      </c>
      <c r="Q444" s="186">
        <v>0</v>
      </c>
      <c r="R444" s="186">
        <v>0</v>
      </c>
      <c r="S444" s="186"/>
      <c r="T444" s="186">
        <f t="shared" si="606"/>
        <v>0</v>
      </c>
      <c r="U444" s="186">
        <f t="shared" si="606"/>
        <v>0</v>
      </c>
      <c r="V444" s="186">
        <f t="shared" si="606"/>
        <v>0</v>
      </c>
      <c r="W444" s="186">
        <f t="shared" si="606"/>
        <v>0</v>
      </c>
      <c r="X444" s="186">
        <f t="shared" si="607"/>
        <v>0</v>
      </c>
      <c r="Y444" s="186">
        <f t="shared" si="607"/>
        <v>0</v>
      </c>
      <c r="Z444" s="186">
        <f t="shared" si="607"/>
        <v>0</v>
      </c>
      <c r="AA444" s="186">
        <f t="shared" si="607"/>
        <v>0</v>
      </c>
      <c r="AB444" s="186">
        <f t="shared" si="607"/>
        <v>0</v>
      </c>
      <c r="AC444" s="186">
        <f t="shared" si="607"/>
        <v>0</v>
      </c>
      <c r="AD444" s="186">
        <f t="shared" si="607"/>
        <v>0</v>
      </c>
      <c r="AE444" s="186">
        <f t="shared" si="607"/>
        <v>0</v>
      </c>
      <c r="AF444" s="186">
        <f t="shared" si="608"/>
        <v>0</v>
      </c>
      <c r="AG444" s="186">
        <f t="shared" si="608"/>
        <v>0</v>
      </c>
      <c r="AH444" s="186">
        <f t="shared" si="608"/>
        <v>0</v>
      </c>
      <c r="AI444" s="186">
        <f t="shared" si="608"/>
        <v>0</v>
      </c>
      <c r="AJ444" s="186">
        <f t="shared" si="608"/>
        <v>0</v>
      </c>
      <c r="AK444" s="186">
        <f t="shared" si="608"/>
        <v>0</v>
      </c>
      <c r="AL444" s="186">
        <f t="shared" si="608"/>
        <v>0</v>
      </c>
      <c r="AM444" s="186">
        <f t="shared" si="608"/>
        <v>0</v>
      </c>
      <c r="AN444" s="186">
        <f t="shared" si="608"/>
        <v>0</v>
      </c>
      <c r="AO444" s="186">
        <f t="shared" si="608"/>
        <v>0</v>
      </c>
      <c r="AP444" s="186">
        <f t="shared" si="608"/>
        <v>0</v>
      </c>
      <c r="AQ444" s="186">
        <f t="shared" si="608"/>
        <v>0</v>
      </c>
      <c r="AR444" s="186">
        <f>SUM(G444:R444)</f>
        <v>0</v>
      </c>
      <c r="AS444" s="186">
        <f>SUM(T444:AE444)</f>
        <v>0</v>
      </c>
      <c r="AT444" s="186">
        <f>SUM(AF444:AQ444)</f>
        <v>0</v>
      </c>
      <c r="AU444" s="171"/>
      <c r="AV444" s="171"/>
    </row>
    <row r="445" spans="2:48">
      <c r="B445" s="250">
        <v>790</v>
      </c>
      <c r="C445" s="208"/>
      <c r="D445" s="102"/>
      <c r="E445" s="102" t="s">
        <v>170</v>
      </c>
      <c r="F445" s="102"/>
      <c r="G445" s="1216">
        <v>0</v>
      </c>
      <c r="H445" s="1216">
        <v>0</v>
      </c>
      <c r="I445" s="1216">
        <v>0</v>
      </c>
      <c r="J445" s="1216">
        <v>0</v>
      </c>
      <c r="K445" s="1216">
        <v>0</v>
      </c>
      <c r="L445" s="1216">
        <v>0</v>
      </c>
      <c r="M445" s="1216">
        <v>0</v>
      </c>
      <c r="N445" s="1216">
        <v>0</v>
      </c>
      <c r="O445" s="1216">
        <v>0</v>
      </c>
      <c r="P445" s="1216">
        <v>0</v>
      </c>
      <c r="Q445" s="1216">
        <v>0</v>
      </c>
      <c r="R445" s="1216">
        <v>0</v>
      </c>
      <c r="S445" s="620"/>
      <c r="T445" s="131">
        <f t="shared" ref="T445:Y445" si="609">SUM(T443:T444)</f>
        <v>0</v>
      </c>
      <c r="U445" s="131">
        <f t="shared" si="609"/>
        <v>0</v>
      </c>
      <c r="V445" s="131">
        <f t="shared" si="609"/>
        <v>0</v>
      </c>
      <c r="W445" s="131">
        <f t="shared" si="609"/>
        <v>0</v>
      </c>
      <c r="X445" s="131">
        <f t="shared" si="609"/>
        <v>0</v>
      </c>
      <c r="Y445" s="131">
        <f t="shared" si="609"/>
        <v>0</v>
      </c>
      <c r="Z445" s="131">
        <f t="shared" ref="Z445:AE445" si="610">SUM(Z443:Z444)</f>
        <v>0</v>
      </c>
      <c r="AA445" s="131">
        <f t="shared" si="610"/>
        <v>0</v>
      </c>
      <c r="AB445" s="131">
        <f t="shared" si="610"/>
        <v>0</v>
      </c>
      <c r="AC445" s="131">
        <f t="shared" si="610"/>
        <v>0</v>
      </c>
      <c r="AD445" s="131">
        <f t="shared" si="610"/>
        <v>0</v>
      </c>
      <c r="AE445" s="131">
        <f t="shared" si="610"/>
        <v>0</v>
      </c>
      <c r="AF445" s="131">
        <f t="shared" ref="AF445:AQ445" si="611">SUM(AF443:AF444)</f>
        <v>0</v>
      </c>
      <c r="AG445" s="131">
        <f t="shared" si="611"/>
        <v>0</v>
      </c>
      <c r="AH445" s="131">
        <f t="shared" si="611"/>
        <v>0</v>
      </c>
      <c r="AI445" s="131">
        <f t="shared" si="611"/>
        <v>0</v>
      </c>
      <c r="AJ445" s="131">
        <f t="shared" si="611"/>
        <v>0</v>
      </c>
      <c r="AK445" s="131">
        <f t="shared" si="611"/>
        <v>0</v>
      </c>
      <c r="AL445" s="131">
        <f t="shared" si="611"/>
        <v>0</v>
      </c>
      <c r="AM445" s="131">
        <f t="shared" si="611"/>
        <v>0</v>
      </c>
      <c r="AN445" s="131">
        <f t="shared" si="611"/>
        <v>0</v>
      </c>
      <c r="AO445" s="131">
        <f t="shared" si="611"/>
        <v>0</v>
      </c>
      <c r="AP445" s="131">
        <f t="shared" si="611"/>
        <v>0</v>
      </c>
      <c r="AQ445" s="131">
        <f t="shared" si="611"/>
        <v>0</v>
      </c>
      <c r="AR445" s="131">
        <f>SUM(G445:R445)</f>
        <v>0</v>
      </c>
      <c r="AS445" s="131">
        <f>SUM(T445:AE445)</f>
        <v>0</v>
      </c>
      <c r="AT445" s="131">
        <f>SUM(AF445:AQ445)</f>
        <v>0</v>
      </c>
      <c r="AU445" s="621"/>
      <c r="AV445" s="621"/>
    </row>
    <row r="446" spans="2:48" ht="13.5" thickBot="1">
      <c r="B446" s="250">
        <v>791</v>
      </c>
      <c r="C446" s="208"/>
      <c r="D446" s="102"/>
      <c r="E446" s="102"/>
      <c r="F446" s="102"/>
      <c r="G446" s="1217"/>
      <c r="H446" s="1217"/>
      <c r="I446" s="1217"/>
      <c r="J446" s="1217"/>
      <c r="K446" s="1217"/>
      <c r="L446" s="1217"/>
      <c r="M446" s="1217"/>
      <c r="N446" s="1217"/>
      <c r="O446" s="1217"/>
      <c r="P446" s="1217"/>
      <c r="Q446" s="1217"/>
      <c r="R446" s="1217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622"/>
      <c r="AV446" s="622"/>
    </row>
    <row r="447" spans="2:48" ht="13.5" thickTop="1">
      <c r="B447" s="250">
        <v>792</v>
      </c>
      <c r="C447" s="49" t="s">
        <v>650</v>
      </c>
      <c r="D447" s="102"/>
      <c r="E447" s="102"/>
      <c r="F447" s="102"/>
      <c r="G447" s="1215"/>
      <c r="H447" s="1215"/>
      <c r="I447" s="1215"/>
      <c r="J447" s="1215"/>
      <c r="K447" s="1215"/>
      <c r="L447" s="1215"/>
      <c r="M447" s="1215"/>
      <c r="N447" s="1215"/>
      <c r="O447" s="1215"/>
      <c r="P447" s="1215"/>
      <c r="Q447" s="1215"/>
      <c r="R447" s="1215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71"/>
      <c r="AV447" s="171"/>
    </row>
    <row r="448" spans="2:48">
      <c r="B448" s="250">
        <v>793</v>
      </c>
      <c r="C448" s="208"/>
      <c r="D448" s="208" t="s">
        <v>651</v>
      </c>
      <c r="E448" s="102"/>
      <c r="F448" s="102"/>
      <c r="G448" s="1215">
        <v>226214.52000000002</v>
      </c>
      <c r="H448" s="1215">
        <v>227698.44</v>
      </c>
      <c r="I448" s="1215">
        <v>227323.19999999998</v>
      </c>
      <c r="J448" s="1215">
        <v>242549.16999999998</v>
      </c>
      <c r="K448" s="1215">
        <v>250099.62000000002</v>
      </c>
      <c r="L448" s="1215">
        <v>205766.76</v>
      </c>
      <c r="M448" s="1215">
        <v>218168.02000000002</v>
      </c>
      <c r="N448" s="1215">
        <v>219756.9</v>
      </c>
      <c r="O448" s="1215">
        <v>198564.28</v>
      </c>
      <c r="P448" s="1215">
        <v>138605.53</v>
      </c>
      <c r="Q448" s="1215">
        <v>282789.87</v>
      </c>
      <c r="R448" s="1215">
        <v>239329.81</v>
      </c>
      <c r="S448" s="116"/>
      <c r="T448" s="116">
        <f t="shared" ref="T448:Y448" si="612">T428+T433+T438+T443</f>
        <v>213157.6487411118</v>
      </c>
      <c r="U448" s="116">
        <f t="shared" si="612"/>
        <v>214555.91839294453</v>
      </c>
      <c r="V448" s="116">
        <f t="shared" si="612"/>
        <v>214202.33686283932</v>
      </c>
      <c r="W448" s="116">
        <f t="shared" si="612"/>
        <v>228549.47941143747</v>
      </c>
      <c r="X448" s="116">
        <f t="shared" si="612"/>
        <v>235664.12514212413</v>
      </c>
      <c r="Y448" s="116">
        <f t="shared" si="612"/>
        <v>193890.11258285568</v>
      </c>
      <c r="Z448" s="116">
        <f t="shared" ref="Z448:AE449" si="613">Z428+Z433+Z438+Z443</f>
        <v>205575.5845102421</v>
      </c>
      <c r="AA448" s="116">
        <f t="shared" si="613"/>
        <v>207072.75597797893</v>
      </c>
      <c r="AB448" s="116">
        <f t="shared" si="613"/>
        <v>187103.35237884716</v>
      </c>
      <c r="AC448" s="116">
        <f t="shared" si="613"/>
        <v>130605.3602452912</v>
      </c>
      <c r="AD448" s="116">
        <f t="shared" si="613"/>
        <v>266467.52727015346</v>
      </c>
      <c r="AE448" s="116">
        <f t="shared" si="613"/>
        <v>225515.93758551407</v>
      </c>
      <c r="AF448" s="116">
        <f t="shared" ref="AF448:AQ448" si="614">AF428+AF433+AF438+AF443</f>
        <v>214455.87571552742</v>
      </c>
      <c r="AG448" s="116">
        <f t="shared" si="614"/>
        <v>215862.66146514146</v>
      </c>
      <c r="AH448" s="116">
        <f t="shared" si="614"/>
        <v>215506.92646279285</v>
      </c>
      <c r="AI448" s="116">
        <f t="shared" si="614"/>
        <v>229941.44963119226</v>
      </c>
      <c r="AJ448" s="116">
        <f t="shared" si="614"/>
        <v>237099.42678843354</v>
      </c>
      <c r="AK448" s="116">
        <f t="shared" si="614"/>
        <v>195070.9915037583</v>
      </c>
      <c r="AL448" s="116">
        <f t="shared" si="614"/>
        <v>206827.63326696577</v>
      </c>
      <c r="AM448" s="116">
        <f t="shared" si="614"/>
        <v>208333.92318949988</v>
      </c>
      <c r="AN448" s="116">
        <f t="shared" si="614"/>
        <v>188242.89684509725</v>
      </c>
      <c r="AO448" s="116">
        <f t="shared" si="614"/>
        <v>131400.80625755058</v>
      </c>
      <c r="AP448" s="116">
        <f t="shared" si="614"/>
        <v>268090.43563750974</v>
      </c>
      <c r="AQ448" s="116">
        <f t="shared" si="614"/>
        <v>226889.43215661304</v>
      </c>
      <c r="AR448" s="116">
        <f>SUM(G448:R448)</f>
        <v>2676866.12</v>
      </c>
      <c r="AS448" s="116">
        <f>SUM(T448:AE448)</f>
        <v>2522360.1391013395</v>
      </c>
      <c r="AT448" s="116">
        <f>SUM(AF448:AQ448)</f>
        <v>2537722.4589200821</v>
      </c>
      <c r="AU448" s="171"/>
      <c r="AV448" s="171"/>
    </row>
    <row r="449" spans="2:48">
      <c r="B449" s="250">
        <v>794</v>
      </c>
      <c r="C449" s="208"/>
      <c r="D449" s="208" t="s">
        <v>652</v>
      </c>
      <c r="E449" s="102"/>
      <c r="F449" s="102"/>
      <c r="G449" s="1215">
        <v>0</v>
      </c>
      <c r="H449" s="1215">
        <v>0</v>
      </c>
      <c r="I449" s="1215">
        <v>0</v>
      </c>
      <c r="J449" s="1215">
        <v>0</v>
      </c>
      <c r="K449" s="1215">
        <v>0</v>
      </c>
      <c r="L449" s="1215">
        <v>0</v>
      </c>
      <c r="M449" s="1215">
        <v>0</v>
      </c>
      <c r="N449" s="1215">
        <v>0</v>
      </c>
      <c r="O449" s="1215">
        <v>0</v>
      </c>
      <c r="P449" s="1215">
        <v>0</v>
      </c>
      <c r="Q449" s="1215">
        <v>0</v>
      </c>
      <c r="R449" s="1215">
        <v>0</v>
      </c>
      <c r="S449" s="116"/>
      <c r="T449" s="116">
        <f t="shared" ref="T449:Y449" si="615">T429+T434+T439+T444</f>
        <v>0</v>
      </c>
      <c r="U449" s="116">
        <f t="shared" si="615"/>
        <v>0</v>
      </c>
      <c r="V449" s="116">
        <f t="shared" si="615"/>
        <v>0</v>
      </c>
      <c r="W449" s="116">
        <f t="shared" si="615"/>
        <v>0</v>
      </c>
      <c r="X449" s="116">
        <f t="shared" si="615"/>
        <v>0</v>
      </c>
      <c r="Y449" s="116">
        <f t="shared" si="615"/>
        <v>0</v>
      </c>
      <c r="Z449" s="116">
        <f t="shared" si="613"/>
        <v>0</v>
      </c>
      <c r="AA449" s="116">
        <f t="shared" si="613"/>
        <v>0</v>
      </c>
      <c r="AB449" s="116">
        <f t="shared" si="613"/>
        <v>0</v>
      </c>
      <c r="AC449" s="116">
        <f t="shared" si="613"/>
        <v>0</v>
      </c>
      <c r="AD449" s="116">
        <f t="shared" si="613"/>
        <v>0</v>
      </c>
      <c r="AE449" s="116">
        <f t="shared" si="613"/>
        <v>0</v>
      </c>
      <c r="AF449" s="116">
        <f t="shared" ref="AF449:AQ449" si="616">AF429+AF434+AF439+AF444</f>
        <v>0</v>
      </c>
      <c r="AG449" s="116">
        <f t="shared" si="616"/>
        <v>0</v>
      </c>
      <c r="AH449" s="116">
        <f t="shared" si="616"/>
        <v>0</v>
      </c>
      <c r="AI449" s="116">
        <f t="shared" si="616"/>
        <v>0</v>
      </c>
      <c r="AJ449" s="116">
        <f t="shared" si="616"/>
        <v>0</v>
      </c>
      <c r="AK449" s="116">
        <f t="shared" si="616"/>
        <v>0</v>
      </c>
      <c r="AL449" s="116">
        <f t="shared" si="616"/>
        <v>0</v>
      </c>
      <c r="AM449" s="116">
        <f t="shared" si="616"/>
        <v>0</v>
      </c>
      <c r="AN449" s="116">
        <f t="shared" si="616"/>
        <v>0</v>
      </c>
      <c r="AO449" s="116">
        <f t="shared" si="616"/>
        <v>0</v>
      </c>
      <c r="AP449" s="116">
        <f t="shared" si="616"/>
        <v>0</v>
      </c>
      <c r="AQ449" s="116">
        <f t="shared" si="616"/>
        <v>0</v>
      </c>
      <c r="AR449" s="116">
        <f>SUM(G449:R449)</f>
        <v>0</v>
      </c>
      <c r="AS449" s="116">
        <f>SUM(T449:AE449)</f>
        <v>0</v>
      </c>
      <c r="AT449" s="116">
        <f>SUM(AF449:AQ449)</f>
        <v>0</v>
      </c>
      <c r="AU449" s="171"/>
      <c r="AV449" s="171"/>
    </row>
    <row r="450" spans="2:48" ht="13.5" thickBot="1">
      <c r="B450" s="250">
        <v>795</v>
      </c>
      <c r="C450" s="208"/>
      <c r="D450" s="102"/>
      <c r="E450" s="102"/>
      <c r="F450" s="102"/>
      <c r="G450" s="1218"/>
      <c r="H450" s="1218"/>
      <c r="I450" s="1218"/>
      <c r="J450" s="1218"/>
      <c r="K450" s="1218"/>
      <c r="L450" s="1218"/>
      <c r="M450" s="1218"/>
      <c r="N450" s="1218"/>
      <c r="O450" s="1218"/>
      <c r="P450" s="1218"/>
      <c r="Q450" s="1218"/>
      <c r="R450" s="1218"/>
      <c r="S450" s="623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409"/>
      <c r="AV450" s="409"/>
    </row>
    <row r="451" spans="2:48">
      <c r="B451" s="250">
        <v>796</v>
      </c>
      <c r="C451" s="208"/>
      <c r="D451" s="49" t="s">
        <v>650</v>
      </c>
      <c r="E451" s="102"/>
      <c r="F451" s="102"/>
      <c r="G451" s="1215">
        <v>226214.52000000002</v>
      </c>
      <c r="H451" s="1215">
        <v>227698.44</v>
      </c>
      <c r="I451" s="1215">
        <v>227323.19999999998</v>
      </c>
      <c r="J451" s="1215">
        <v>242549.16999999998</v>
      </c>
      <c r="K451" s="1215">
        <v>250099.62000000002</v>
      </c>
      <c r="L451" s="1215">
        <v>205766.76</v>
      </c>
      <c r="M451" s="1215">
        <v>218168.02000000002</v>
      </c>
      <c r="N451" s="1215">
        <v>219756.9</v>
      </c>
      <c r="O451" s="1215">
        <v>198564.28</v>
      </c>
      <c r="P451" s="1215">
        <v>138605.53</v>
      </c>
      <c r="Q451" s="1215">
        <v>282789.87</v>
      </c>
      <c r="R451" s="1215">
        <v>239329.81</v>
      </c>
      <c r="S451" s="116"/>
      <c r="T451" s="116">
        <f t="shared" ref="T451:Y451" si="617">T430+T435+T440+T445</f>
        <v>213157.6487411118</v>
      </c>
      <c r="U451" s="116">
        <f t="shared" si="617"/>
        <v>214555.91839294453</v>
      </c>
      <c r="V451" s="116">
        <f t="shared" si="617"/>
        <v>214202.33686283932</v>
      </c>
      <c r="W451" s="116">
        <f t="shared" si="617"/>
        <v>228549.47941143747</v>
      </c>
      <c r="X451" s="116">
        <f t="shared" si="617"/>
        <v>235664.12514212413</v>
      </c>
      <c r="Y451" s="116">
        <f t="shared" si="617"/>
        <v>193890.11258285568</v>
      </c>
      <c r="Z451" s="116">
        <f t="shared" ref="Z451:AE451" si="618">Z430+Z435+Z440+Z445</f>
        <v>205575.5845102421</v>
      </c>
      <c r="AA451" s="116">
        <f t="shared" si="618"/>
        <v>207072.75597797893</v>
      </c>
      <c r="AB451" s="116">
        <f t="shared" si="618"/>
        <v>187103.35237884716</v>
      </c>
      <c r="AC451" s="116">
        <f t="shared" si="618"/>
        <v>130605.3602452912</v>
      </c>
      <c r="AD451" s="116">
        <f t="shared" si="618"/>
        <v>266467.52727015346</v>
      </c>
      <c r="AE451" s="116">
        <f t="shared" si="618"/>
        <v>225515.93758551407</v>
      </c>
      <c r="AF451" s="116">
        <f t="shared" ref="AF451:AQ451" si="619">AF430+AF435+AF440+AF445</f>
        <v>214455.87571552742</v>
      </c>
      <c r="AG451" s="116">
        <f t="shared" si="619"/>
        <v>215862.66146514146</v>
      </c>
      <c r="AH451" s="116">
        <f t="shared" si="619"/>
        <v>215506.92646279285</v>
      </c>
      <c r="AI451" s="116">
        <f t="shared" si="619"/>
        <v>229941.44963119226</v>
      </c>
      <c r="AJ451" s="116">
        <f t="shared" si="619"/>
        <v>237099.42678843354</v>
      </c>
      <c r="AK451" s="116">
        <f t="shared" si="619"/>
        <v>195070.9915037583</v>
      </c>
      <c r="AL451" s="116">
        <f t="shared" si="619"/>
        <v>206827.63326696577</v>
      </c>
      <c r="AM451" s="116">
        <f t="shared" si="619"/>
        <v>208333.92318949988</v>
      </c>
      <c r="AN451" s="116">
        <f t="shared" si="619"/>
        <v>188242.89684509725</v>
      </c>
      <c r="AO451" s="116">
        <f t="shared" si="619"/>
        <v>131400.80625755058</v>
      </c>
      <c r="AP451" s="116">
        <f t="shared" si="619"/>
        <v>268090.43563750974</v>
      </c>
      <c r="AQ451" s="116">
        <f t="shared" si="619"/>
        <v>226889.43215661304</v>
      </c>
      <c r="AR451" s="116">
        <f>SUM(G451:R451)</f>
        <v>2676866.12</v>
      </c>
      <c r="AS451" s="116">
        <f>SUM(T451:AE451)</f>
        <v>2522360.1391013395</v>
      </c>
      <c r="AT451" s="116">
        <f>SUM(AF451:AQ451)</f>
        <v>2537722.4589200821</v>
      </c>
      <c r="AU451" s="171"/>
      <c r="AV451" s="171"/>
    </row>
    <row r="452" spans="2:48">
      <c r="B452" s="250">
        <v>797</v>
      </c>
      <c r="C452" s="208"/>
      <c r="D452" s="102"/>
      <c r="E452" s="102"/>
      <c r="F452" s="102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71"/>
      <c r="AV452" s="171"/>
    </row>
    <row r="453" spans="2:48">
      <c r="B453" s="250">
        <v>798</v>
      </c>
      <c r="C453" s="49" t="s">
        <v>425</v>
      </c>
      <c r="D453" s="102"/>
      <c r="E453" s="102"/>
      <c r="F453" s="102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71"/>
      <c r="AV453" s="171"/>
    </row>
    <row r="454" spans="2:48">
      <c r="B454" s="250">
        <v>799</v>
      </c>
      <c r="C454" s="208"/>
      <c r="D454" s="102"/>
      <c r="E454" s="102"/>
      <c r="F454" s="102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71"/>
      <c r="AV454" s="171"/>
    </row>
    <row r="455" spans="2:48">
      <c r="B455" s="250">
        <v>800</v>
      </c>
      <c r="C455" s="212">
        <v>920</v>
      </c>
      <c r="D455" s="102" t="s">
        <v>426</v>
      </c>
      <c r="E455" s="102"/>
      <c r="F455" s="102"/>
      <c r="AU455" s="199"/>
      <c r="AV455" s="199"/>
    </row>
    <row r="456" spans="2:48">
      <c r="B456" s="250">
        <f>+B455+1</f>
        <v>801</v>
      </c>
      <c r="C456" s="212"/>
      <c r="D456" s="102"/>
      <c r="E456" s="102" t="s">
        <v>14</v>
      </c>
      <c r="F456" s="102"/>
      <c r="G456" s="186">
        <v>539421.17000000004</v>
      </c>
      <c r="H456" s="186">
        <v>523413.20000000007</v>
      </c>
      <c r="I456" s="186">
        <v>-163688.68000000002</v>
      </c>
      <c r="J456" s="186">
        <v>532211.47</v>
      </c>
      <c r="K456" s="186">
        <v>491354.74</v>
      </c>
      <c r="L456" s="186">
        <v>-11829.36</v>
      </c>
      <c r="M456" s="186">
        <v>503706.26</v>
      </c>
      <c r="N456" s="186">
        <v>521758.43</v>
      </c>
      <c r="O456" s="186">
        <v>-39936.750000000007</v>
      </c>
      <c r="P456" s="186">
        <v>502870.89</v>
      </c>
      <c r="Q456" s="186">
        <v>499316.12</v>
      </c>
      <c r="R456" s="186">
        <v>508127.09</v>
      </c>
      <c r="S456" s="186"/>
      <c r="T456" s="186">
        <f t="shared" ref="T456:W457" si="620">G456*(1+$AU$264)</f>
        <v>508286.33050778334</v>
      </c>
      <c r="U456" s="186">
        <f t="shared" si="620"/>
        <v>493202.32420121093</v>
      </c>
      <c r="V456" s="186">
        <f t="shared" si="620"/>
        <v>-154240.73642282668</v>
      </c>
      <c r="W456" s="186">
        <f t="shared" si="620"/>
        <v>501492.7670348073</v>
      </c>
      <c r="X456" s="186">
        <f t="shared" ref="X456:AE457" si="621">K456*(1+$AU$264)</f>
        <v>462994.24579907738</v>
      </c>
      <c r="Y456" s="186">
        <f t="shared" si="621"/>
        <v>-11146.581411803974</v>
      </c>
      <c r="Z456" s="186">
        <f t="shared" si="621"/>
        <v>474632.84866850782</v>
      </c>
      <c r="AA456" s="186">
        <f t="shared" si="621"/>
        <v>491643.0658370381</v>
      </c>
      <c r="AB456" s="186">
        <f t="shared" si="621"/>
        <v>-37631.64154255703</v>
      </c>
      <c r="AC456" s="186">
        <f t="shared" si="621"/>
        <v>473845.69537247333</v>
      </c>
      <c r="AD456" s="186">
        <f t="shared" si="621"/>
        <v>470496.10306948831</v>
      </c>
      <c r="AE456" s="186">
        <f t="shared" si="621"/>
        <v>478798.51287204423</v>
      </c>
      <c r="AF456" s="186">
        <f t="shared" ref="AF456:AQ457" si="622">T456*(1+$AV$264)</f>
        <v>511382.02530873963</v>
      </c>
      <c r="AG456" s="186">
        <f t="shared" si="622"/>
        <v>496206.15054712893</v>
      </c>
      <c r="AH456" s="186">
        <f t="shared" si="622"/>
        <v>-155180.13261977499</v>
      </c>
      <c r="AI456" s="186">
        <f t="shared" si="622"/>
        <v>504547.08594611054</v>
      </c>
      <c r="AJ456" s="186">
        <f t="shared" si="622"/>
        <v>465814.09121605137</v>
      </c>
      <c r="AK456" s="186">
        <f t="shared" si="622"/>
        <v>-11214.469159425449</v>
      </c>
      <c r="AL456" s="186">
        <f t="shared" si="622"/>
        <v>477523.57846743497</v>
      </c>
      <c r="AM456" s="186">
        <f t="shared" si="622"/>
        <v>494637.39559073711</v>
      </c>
      <c r="AN456" s="186">
        <f t="shared" si="622"/>
        <v>-37860.835345503423</v>
      </c>
      <c r="AO456" s="186">
        <f t="shared" si="622"/>
        <v>476731.63105001685</v>
      </c>
      <c r="AP456" s="186">
        <f t="shared" si="622"/>
        <v>473361.63820730592</v>
      </c>
      <c r="AQ456" s="186">
        <f t="shared" si="622"/>
        <v>481714.61345952778</v>
      </c>
      <c r="AR456" s="186">
        <f>SUM(G456:R456)</f>
        <v>4406724.58</v>
      </c>
      <c r="AS456" s="186">
        <f>SUM(T456:AE456)</f>
        <v>4152372.9339852436</v>
      </c>
      <c r="AT456" s="186">
        <f>SUM(AF456:AQ456)</f>
        <v>4177662.7726683491</v>
      </c>
      <c r="AU456" s="171"/>
      <c r="AV456" s="171"/>
    </row>
    <row r="457" spans="2:48">
      <c r="B457" s="250">
        <f t="shared" ref="B457:B511" si="623">+B456+1</f>
        <v>802</v>
      </c>
      <c r="C457" s="212"/>
      <c r="D457" s="102"/>
      <c r="E457" s="102" t="s">
        <v>24</v>
      </c>
      <c r="F457" s="102"/>
      <c r="G457" s="3">
        <v>19525.27</v>
      </c>
      <c r="H457" s="3">
        <v>16913.599999999999</v>
      </c>
      <c r="I457" s="3">
        <v>-5915.3</v>
      </c>
      <c r="J457" s="3">
        <v>18703.420000000002</v>
      </c>
      <c r="K457" s="3">
        <v>18827.320000000003</v>
      </c>
      <c r="L457" s="3">
        <v>323.85000000000002</v>
      </c>
      <c r="M457" s="3">
        <v>15975</v>
      </c>
      <c r="N457" s="3">
        <v>17391.71</v>
      </c>
      <c r="O457" s="3">
        <v>-558.59</v>
      </c>
      <c r="P457" s="3">
        <v>15684.06</v>
      </c>
      <c r="Q457" s="3">
        <v>15240.06</v>
      </c>
      <c r="R457" s="3">
        <v>-16107.43</v>
      </c>
      <c r="S457" s="186"/>
      <c r="T457" s="186">
        <f t="shared" si="620"/>
        <v>18398.291339721996</v>
      </c>
      <c r="U457" s="186">
        <f t="shared" si="620"/>
        <v>15937.364267102166</v>
      </c>
      <c r="V457" s="186">
        <f t="shared" si="620"/>
        <v>-5573.8749201346518</v>
      </c>
      <c r="W457" s="186">
        <f t="shared" si="620"/>
        <v>17623.877683083676</v>
      </c>
      <c r="X457" s="186">
        <f t="shared" si="621"/>
        <v>17740.62630151464</v>
      </c>
      <c r="Y457" s="186">
        <f t="shared" si="621"/>
        <v>305.1577084654383</v>
      </c>
      <c r="Z457" s="186">
        <f t="shared" si="621"/>
        <v>15052.939301328937</v>
      </c>
      <c r="AA457" s="186">
        <f t="shared" si="621"/>
        <v>16387.878245778746</v>
      </c>
      <c r="AB457" s="186">
        <f t="shared" si="621"/>
        <v>-526.34875520058415</v>
      </c>
      <c r="AC457" s="186">
        <f t="shared" si="621"/>
        <v>14778.792061245767</v>
      </c>
      <c r="AD457" s="186">
        <f t="shared" si="621"/>
        <v>14360.419288175968</v>
      </c>
      <c r="AE457" s="186">
        <f t="shared" si="621"/>
        <v>-15177.725576864148</v>
      </c>
      <c r="AF457" s="186">
        <f t="shared" si="622"/>
        <v>18510.345297163578</v>
      </c>
      <c r="AG457" s="186">
        <f t="shared" si="622"/>
        <v>16034.430060025077</v>
      </c>
      <c r="AH457" s="186">
        <f t="shared" si="622"/>
        <v>-5607.8223520756283</v>
      </c>
      <c r="AI457" s="186">
        <f t="shared" si="622"/>
        <v>17731.215109336528</v>
      </c>
      <c r="AJ457" s="186">
        <f t="shared" si="622"/>
        <v>17848.674779923338</v>
      </c>
      <c r="AK457" s="186">
        <f t="shared" si="622"/>
        <v>307.01625762339904</v>
      </c>
      <c r="AL457" s="186">
        <f t="shared" si="622"/>
        <v>15144.618544183417</v>
      </c>
      <c r="AM457" s="186">
        <f t="shared" si="622"/>
        <v>16487.687873618786</v>
      </c>
      <c r="AN457" s="186">
        <f t="shared" si="622"/>
        <v>-529.55445837842979</v>
      </c>
      <c r="AO457" s="186">
        <f t="shared" si="622"/>
        <v>14868.801622790945</v>
      </c>
      <c r="AP457" s="186">
        <f t="shared" si="622"/>
        <v>14447.880769356365</v>
      </c>
      <c r="AQ457" s="186">
        <f t="shared" si="622"/>
        <v>-15270.164824859861</v>
      </c>
      <c r="AR457" s="186">
        <f>SUM(G457:R457)</f>
        <v>116002.97</v>
      </c>
      <c r="AS457" s="186">
        <f>SUM(T457:AE457)</f>
        <v>109307.39694421795</v>
      </c>
      <c r="AT457" s="186">
        <f>SUM(AF457:AQ457)</f>
        <v>109973.12867870751</v>
      </c>
      <c r="AU457" s="171"/>
      <c r="AV457" s="171"/>
    </row>
    <row r="458" spans="2:48">
      <c r="B458" s="250">
        <f t="shared" si="623"/>
        <v>803</v>
      </c>
      <c r="C458" s="212"/>
      <c r="D458" s="102"/>
      <c r="E458" s="102" t="s">
        <v>170</v>
      </c>
      <c r="F458" s="102"/>
      <c r="G458" s="1216">
        <v>558946.44000000006</v>
      </c>
      <c r="H458" s="1216">
        <v>540326.80000000005</v>
      </c>
      <c r="I458" s="1216">
        <v>-169603.98</v>
      </c>
      <c r="J458" s="1216">
        <v>550914.89</v>
      </c>
      <c r="K458" s="1216">
        <v>510182.06</v>
      </c>
      <c r="L458" s="1216">
        <v>-11505.51</v>
      </c>
      <c r="M458" s="1216">
        <v>519681.26</v>
      </c>
      <c r="N458" s="1216">
        <v>539150.14</v>
      </c>
      <c r="O458" s="1216">
        <v>-40495.340000000004</v>
      </c>
      <c r="P458" s="1216">
        <v>518554.95</v>
      </c>
      <c r="Q458" s="1216">
        <v>514556.18</v>
      </c>
      <c r="R458" s="1216">
        <v>492019.66000000003</v>
      </c>
      <c r="S458" s="620"/>
      <c r="T458" s="131">
        <f t="shared" ref="T458:Y458" si="624">SUM(T456:T457)</f>
        <v>526684.62184750533</v>
      </c>
      <c r="U458" s="131">
        <f t="shared" si="624"/>
        <v>509139.68846831308</v>
      </c>
      <c r="V458" s="131">
        <f t="shared" si="624"/>
        <v>-159814.61134296135</v>
      </c>
      <c r="W458" s="131">
        <f t="shared" si="624"/>
        <v>519116.644717891</v>
      </c>
      <c r="X458" s="131">
        <f t="shared" si="624"/>
        <v>480734.87210059201</v>
      </c>
      <c r="Y458" s="131">
        <f t="shared" si="624"/>
        <v>-10841.423703338536</v>
      </c>
      <c r="Z458" s="131">
        <f t="shared" ref="Z458:AE458" si="625">SUM(Z456:Z457)</f>
        <v>489685.78796983673</v>
      </c>
      <c r="AA458" s="131">
        <f t="shared" si="625"/>
        <v>508030.94408281683</v>
      </c>
      <c r="AB458" s="131">
        <f t="shared" si="625"/>
        <v>-38157.990297757613</v>
      </c>
      <c r="AC458" s="131">
        <f t="shared" si="625"/>
        <v>488624.4874337191</v>
      </c>
      <c r="AD458" s="131">
        <f t="shared" si="625"/>
        <v>484856.5223576643</v>
      </c>
      <c r="AE458" s="131">
        <f t="shared" si="625"/>
        <v>463620.78729518008</v>
      </c>
      <c r="AF458" s="131">
        <f t="shared" ref="AF458:AQ458" si="626">SUM(AF456:AF457)</f>
        <v>529892.37060590321</v>
      </c>
      <c r="AG458" s="131">
        <f t="shared" si="626"/>
        <v>512240.580607154</v>
      </c>
      <c r="AH458" s="131">
        <f t="shared" si="626"/>
        <v>-160787.95497185062</v>
      </c>
      <c r="AI458" s="131">
        <f t="shared" si="626"/>
        <v>522278.30105544708</v>
      </c>
      <c r="AJ458" s="131">
        <f t="shared" si="626"/>
        <v>483662.76599597471</v>
      </c>
      <c r="AK458" s="131">
        <f t="shared" si="626"/>
        <v>-10907.452901802049</v>
      </c>
      <c r="AL458" s="131">
        <f t="shared" si="626"/>
        <v>492668.19701161841</v>
      </c>
      <c r="AM458" s="131">
        <f t="shared" si="626"/>
        <v>511125.08346435591</v>
      </c>
      <c r="AN458" s="131">
        <f t="shared" si="626"/>
        <v>-38390.389803881852</v>
      </c>
      <c r="AO458" s="131">
        <f t="shared" si="626"/>
        <v>491600.43267280777</v>
      </c>
      <c r="AP458" s="131">
        <f t="shared" si="626"/>
        <v>487809.51897666231</v>
      </c>
      <c r="AQ458" s="131">
        <f t="shared" si="626"/>
        <v>466444.4486346679</v>
      </c>
      <c r="AR458" s="131">
        <f>SUM(G458:R458)</f>
        <v>4522727.5500000007</v>
      </c>
      <c r="AS458" s="131">
        <f>SUM(T458:AE458)</f>
        <v>4261680.3309294609</v>
      </c>
      <c r="AT458" s="131">
        <f>SUM(AF458:AQ458)</f>
        <v>4287635.901347057</v>
      </c>
      <c r="AU458" s="621"/>
      <c r="AV458" s="621"/>
    </row>
    <row r="459" spans="2:48">
      <c r="B459" s="250">
        <f t="shared" si="623"/>
        <v>804</v>
      </c>
      <c r="C459" s="212">
        <v>921</v>
      </c>
      <c r="D459" s="102" t="s">
        <v>427</v>
      </c>
      <c r="E459" s="102"/>
      <c r="F459" s="102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AU459" s="199"/>
      <c r="AV459" s="199"/>
    </row>
    <row r="460" spans="2:48">
      <c r="B460" s="250">
        <f t="shared" si="623"/>
        <v>805</v>
      </c>
      <c r="C460" s="212"/>
      <c r="D460" s="102"/>
      <c r="E460" s="102" t="s">
        <v>14</v>
      </c>
      <c r="F460" s="102"/>
      <c r="G460" s="186">
        <v>1974694.4500000002</v>
      </c>
      <c r="H460" s="186">
        <v>2218711.12</v>
      </c>
      <c r="I460" s="186">
        <v>1301209.17</v>
      </c>
      <c r="J460" s="186">
        <v>1468767.2</v>
      </c>
      <c r="K460" s="186">
        <v>2115512.04</v>
      </c>
      <c r="L460" s="186">
        <v>1332866.3400000001</v>
      </c>
      <c r="M460" s="186">
        <v>1591366.87</v>
      </c>
      <c r="N460" s="186">
        <v>1482603.8900000001</v>
      </c>
      <c r="O460" s="186">
        <v>1942676.82</v>
      </c>
      <c r="P460" s="186">
        <v>1365419.8599999999</v>
      </c>
      <c r="Q460" s="186">
        <v>1654041.74</v>
      </c>
      <c r="R460" s="186">
        <v>2027510.15</v>
      </c>
      <c r="S460" s="186"/>
      <c r="T460" s="186">
        <f t="shared" ref="T460:W461" si="627">G460*(1+$AU$264)</f>
        <v>1860717.1013784746</v>
      </c>
      <c r="U460" s="186">
        <f t="shared" si="627"/>
        <v>2090649.3781873893</v>
      </c>
      <c r="V460" s="186">
        <f t="shared" si="627"/>
        <v>1226104.7044971897</v>
      </c>
      <c r="W460" s="186">
        <f t="shared" si="627"/>
        <v>1383991.4559864074</v>
      </c>
      <c r="X460" s="186">
        <f t="shared" ref="X460:AE461" si="628">K460*(1+$AU$264)</f>
        <v>1993406.8437778126</v>
      </c>
      <c r="Y460" s="186">
        <f t="shared" si="628"/>
        <v>1255934.654948636</v>
      </c>
      <c r="Z460" s="186">
        <f t="shared" si="628"/>
        <v>1499514.7981380795</v>
      </c>
      <c r="AA460" s="186">
        <f t="shared" si="628"/>
        <v>1397029.5063589462</v>
      </c>
      <c r="AB460" s="186">
        <f t="shared" si="628"/>
        <v>1830547.4963104052</v>
      </c>
      <c r="AC460" s="186">
        <f t="shared" si="628"/>
        <v>1286609.218992742</v>
      </c>
      <c r="AD460" s="186">
        <f t="shared" si="628"/>
        <v>1558572.1385968388</v>
      </c>
      <c r="AE460" s="186">
        <f t="shared" si="628"/>
        <v>1910484.3330690658</v>
      </c>
      <c r="AF460" s="186">
        <f t="shared" ref="AF460:AQ461" si="629">T460*(1+$AV$264)</f>
        <v>1872049.7143390344</v>
      </c>
      <c r="AG460" s="186">
        <f t="shared" si="629"/>
        <v>2103382.3832324231</v>
      </c>
      <c r="AH460" s="186">
        <f t="shared" si="629"/>
        <v>1233572.2394894217</v>
      </c>
      <c r="AI460" s="186">
        <f t="shared" si="629"/>
        <v>1392420.5930646854</v>
      </c>
      <c r="AJ460" s="186">
        <f t="shared" si="629"/>
        <v>2005547.5975854329</v>
      </c>
      <c r="AK460" s="186">
        <f t="shared" si="629"/>
        <v>1263583.8678987091</v>
      </c>
      <c r="AL460" s="186">
        <f t="shared" si="629"/>
        <v>1508647.5248826994</v>
      </c>
      <c r="AM460" s="186">
        <f t="shared" si="629"/>
        <v>1405538.0510906086</v>
      </c>
      <c r="AN460" s="186">
        <f t="shared" si="629"/>
        <v>1841696.362662114</v>
      </c>
      <c r="AO460" s="186">
        <f t="shared" si="629"/>
        <v>1294445.2539813661</v>
      </c>
      <c r="AP460" s="186">
        <f t="shared" si="629"/>
        <v>1568064.551390135</v>
      </c>
      <c r="AQ460" s="186">
        <f t="shared" si="629"/>
        <v>1922120.0510929639</v>
      </c>
      <c r="AR460" s="186">
        <f>SUM(G460:R460)</f>
        <v>20475379.649999999</v>
      </c>
      <c r="AS460" s="186">
        <f>SUM(T460:AE460)</f>
        <v>19293561.63024199</v>
      </c>
      <c r="AT460" s="186">
        <f>SUM(AF460:AQ460)</f>
        <v>19411068.190709595</v>
      </c>
      <c r="AU460" s="171"/>
      <c r="AV460" s="171"/>
    </row>
    <row r="461" spans="2:48">
      <c r="B461" s="250">
        <f t="shared" si="623"/>
        <v>806</v>
      </c>
      <c r="C461" s="212"/>
      <c r="D461" s="102"/>
      <c r="E461" s="102" t="s">
        <v>24</v>
      </c>
      <c r="F461" s="102"/>
      <c r="G461" s="186">
        <v>0</v>
      </c>
      <c r="H461" s="186">
        <v>0</v>
      </c>
      <c r="I461" s="186">
        <v>0</v>
      </c>
      <c r="J461" s="186">
        <v>0</v>
      </c>
      <c r="K461" s="186">
        <v>0</v>
      </c>
      <c r="L461" s="186">
        <v>0</v>
      </c>
      <c r="M461" s="186">
        <v>0</v>
      </c>
      <c r="N461" s="186">
        <v>0</v>
      </c>
      <c r="O461" s="186">
        <v>0</v>
      </c>
      <c r="P461" s="186">
        <v>0</v>
      </c>
      <c r="Q461" s="186">
        <v>0</v>
      </c>
      <c r="R461" s="186">
        <v>0</v>
      </c>
      <c r="S461" s="186"/>
      <c r="T461" s="186">
        <f t="shared" si="627"/>
        <v>0</v>
      </c>
      <c r="U461" s="186">
        <f t="shared" si="627"/>
        <v>0</v>
      </c>
      <c r="V461" s="186">
        <f t="shared" si="627"/>
        <v>0</v>
      </c>
      <c r="W461" s="186">
        <f t="shared" si="627"/>
        <v>0</v>
      </c>
      <c r="X461" s="186">
        <f t="shared" si="628"/>
        <v>0</v>
      </c>
      <c r="Y461" s="186">
        <f t="shared" si="628"/>
        <v>0</v>
      </c>
      <c r="Z461" s="186">
        <f t="shared" si="628"/>
        <v>0</v>
      </c>
      <c r="AA461" s="186">
        <f t="shared" si="628"/>
        <v>0</v>
      </c>
      <c r="AB461" s="186">
        <f t="shared" si="628"/>
        <v>0</v>
      </c>
      <c r="AC461" s="186">
        <f t="shared" si="628"/>
        <v>0</v>
      </c>
      <c r="AD461" s="186">
        <f t="shared" si="628"/>
        <v>0</v>
      </c>
      <c r="AE461" s="186">
        <f t="shared" si="628"/>
        <v>0</v>
      </c>
      <c r="AF461" s="186">
        <f t="shared" si="629"/>
        <v>0</v>
      </c>
      <c r="AG461" s="186">
        <f t="shared" si="629"/>
        <v>0</v>
      </c>
      <c r="AH461" s="186">
        <f t="shared" si="629"/>
        <v>0</v>
      </c>
      <c r="AI461" s="186">
        <f t="shared" si="629"/>
        <v>0</v>
      </c>
      <c r="AJ461" s="186">
        <f t="shared" si="629"/>
        <v>0</v>
      </c>
      <c r="AK461" s="186">
        <f t="shared" si="629"/>
        <v>0</v>
      </c>
      <c r="AL461" s="186">
        <f t="shared" si="629"/>
        <v>0</v>
      </c>
      <c r="AM461" s="186">
        <f t="shared" si="629"/>
        <v>0</v>
      </c>
      <c r="AN461" s="186">
        <f t="shared" si="629"/>
        <v>0</v>
      </c>
      <c r="AO461" s="186">
        <f t="shared" si="629"/>
        <v>0</v>
      </c>
      <c r="AP461" s="186">
        <f t="shared" si="629"/>
        <v>0</v>
      </c>
      <c r="AQ461" s="186">
        <f t="shared" si="629"/>
        <v>0</v>
      </c>
      <c r="AR461" s="186">
        <f>SUM(G461:R461)</f>
        <v>0</v>
      </c>
      <c r="AS461" s="186">
        <f>SUM(T461:AE461)</f>
        <v>0</v>
      </c>
      <c r="AT461" s="186">
        <f>SUM(AF461:AQ461)</f>
        <v>0</v>
      </c>
      <c r="AU461" s="171"/>
      <c r="AV461" s="171"/>
    </row>
    <row r="462" spans="2:48">
      <c r="B462" s="250">
        <f t="shared" si="623"/>
        <v>807</v>
      </c>
      <c r="C462" s="212"/>
      <c r="D462" s="102"/>
      <c r="E462" s="102" t="s">
        <v>170</v>
      </c>
      <c r="F462" s="102"/>
      <c r="G462" s="1216">
        <v>1974694.4500000002</v>
      </c>
      <c r="H462" s="1216">
        <v>2218711.12</v>
      </c>
      <c r="I462" s="1216">
        <v>1301209.17</v>
      </c>
      <c r="J462" s="1216">
        <v>1468767.2</v>
      </c>
      <c r="K462" s="1216">
        <v>2115512.04</v>
      </c>
      <c r="L462" s="1216">
        <v>1332866.3400000001</v>
      </c>
      <c r="M462" s="1216">
        <v>1591366.87</v>
      </c>
      <c r="N462" s="1216">
        <v>1482603.8900000001</v>
      </c>
      <c r="O462" s="1216">
        <v>1942676.82</v>
      </c>
      <c r="P462" s="1216">
        <v>1365419.8599999999</v>
      </c>
      <c r="Q462" s="1216">
        <v>1654041.74</v>
      </c>
      <c r="R462" s="1216">
        <v>2027510.15</v>
      </c>
      <c r="S462" s="620"/>
      <c r="T462" s="131">
        <f t="shared" ref="T462:Y462" si="630">SUM(T460:T461)</f>
        <v>1860717.1013784746</v>
      </c>
      <c r="U462" s="131">
        <f t="shared" si="630"/>
        <v>2090649.3781873893</v>
      </c>
      <c r="V462" s="131">
        <f t="shared" si="630"/>
        <v>1226104.7044971897</v>
      </c>
      <c r="W462" s="131">
        <f t="shared" si="630"/>
        <v>1383991.4559864074</v>
      </c>
      <c r="X462" s="131">
        <f t="shared" si="630"/>
        <v>1993406.8437778126</v>
      </c>
      <c r="Y462" s="131">
        <f t="shared" si="630"/>
        <v>1255934.654948636</v>
      </c>
      <c r="Z462" s="131">
        <f t="shared" ref="Z462:AE462" si="631">SUM(Z460:Z461)</f>
        <v>1499514.7981380795</v>
      </c>
      <c r="AA462" s="131">
        <f t="shared" si="631"/>
        <v>1397029.5063589462</v>
      </c>
      <c r="AB462" s="131">
        <f t="shared" si="631"/>
        <v>1830547.4963104052</v>
      </c>
      <c r="AC462" s="131">
        <f t="shared" si="631"/>
        <v>1286609.218992742</v>
      </c>
      <c r="AD462" s="131">
        <f t="shared" si="631"/>
        <v>1558572.1385968388</v>
      </c>
      <c r="AE462" s="131">
        <f t="shared" si="631"/>
        <v>1910484.3330690658</v>
      </c>
      <c r="AF462" s="131">
        <f t="shared" ref="AF462:AQ462" si="632">SUM(AF460:AF461)</f>
        <v>1872049.7143390344</v>
      </c>
      <c r="AG462" s="131">
        <f t="shared" si="632"/>
        <v>2103382.3832324231</v>
      </c>
      <c r="AH462" s="131">
        <f t="shared" si="632"/>
        <v>1233572.2394894217</v>
      </c>
      <c r="AI462" s="131">
        <f t="shared" si="632"/>
        <v>1392420.5930646854</v>
      </c>
      <c r="AJ462" s="131">
        <f t="shared" si="632"/>
        <v>2005547.5975854329</v>
      </c>
      <c r="AK462" s="131">
        <f t="shared" si="632"/>
        <v>1263583.8678987091</v>
      </c>
      <c r="AL462" s="131">
        <f t="shared" si="632"/>
        <v>1508647.5248826994</v>
      </c>
      <c r="AM462" s="131">
        <f t="shared" si="632"/>
        <v>1405538.0510906086</v>
      </c>
      <c r="AN462" s="131">
        <f t="shared" si="632"/>
        <v>1841696.362662114</v>
      </c>
      <c r="AO462" s="131">
        <f t="shared" si="632"/>
        <v>1294445.2539813661</v>
      </c>
      <c r="AP462" s="131">
        <f t="shared" si="632"/>
        <v>1568064.551390135</v>
      </c>
      <c r="AQ462" s="131">
        <f t="shared" si="632"/>
        <v>1922120.0510929639</v>
      </c>
      <c r="AR462" s="131">
        <f>SUM(G462:R462)</f>
        <v>20475379.649999999</v>
      </c>
      <c r="AS462" s="131">
        <f>SUM(T462:AE462)</f>
        <v>19293561.63024199</v>
      </c>
      <c r="AT462" s="131">
        <f>SUM(AF462:AQ462)</f>
        <v>19411068.190709595</v>
      </c>
      <c r="AU462" s="621"/>
      <c r="AV462" s="621"/>
    </row>
    <row r="463" spans="2:48">
      <c r="B463" s="250">
        <f t="shared" si="623"/>
        <v>808</v>
      </c>
      <c r="C463" s="212">
        <v>922</v>
      </c>
      <c r="D463" s="102" t="s">
        <v>428</v>
      </c>
      <c r="E463" s="102"/>
      <c r="F463" s="10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AU463" s="199"/>
      <c r="AV463" s="199"/>
    </row>
    <row r="464" spans="2:48">
      <c r="B464" s="250">
        <f t="shared" si="623"/>
        <v>809</v>
      </c>
      <c r="C464" s="212"/>
      <c r="D464" s="102"/>
      <c r="E464" s="102" t="s">
        <v>14</v>
      </c>
      <c r="F464" s="102"/>
      <c r="G464" s="186">
        <v>0</v>
      </c>
      <c r="H464" s="186">
        <v>0</v>
      </c>
      <c r="I464" s="186">
        <v>0</v>
      </c>
      <c r="J464" s="186">
        <v>0</v>
      </c>
      <c r="K464" s="186">
        <v>0</v>
      </c>
      <c r="L464" s="186">
        <v>0</v>
      </c>
      <c r="M464" s="186">
        <v>0</v>
      </c>
      <c r="N464" s="186">
        <v>0</v>
      </c>
      <c r="O464" s="186">
        <v>0</v>
      </c>
      <c r="P464" s="186">
        <v>0</v>
      </c>
      <c r="Q464" s="186">
        <v>0</v>
      </c>
      <c r="R464" s="186">
        <v>0</v>
      </c>
      <c r="S464" s="186"/>
      <c r="T464" s="186">
        <f t="shared" ref="T464:W465" si="633">G464*(1+$AU$264)</f>
        <v>0</v>
      </c>
      <c r="U464" s="186">
        <f t="shared" si="633"/>
        <v>0</v>
      </c>
      <c r="V464" s="186">
        <f t="shared" si="633"/>
        <v>0</v>
      </c>
      <c r="W464" s="186">
        <f t="shared" si="633"/>
        <v>0</v>
      </c>
      <c r="X464" s="186">
        <f t="shared" ref="X464:AE465" si="634">K464*(1+$AU$264)</f>
        <v>0</v>
      </c>
      <c r="Y464" s="186">
        <f t="shared" si="634"/>
        <v>0</v>
      </c>
      <c r="Z464" s="186">
        <f t="shared" si="634"/>
        <v>0</v>
      </c>
      <c r="AA464" s="186">
        <f t="shared" si="634"/>
        <v>0</v>
      </c>
      <c r="AB464" s="186">
        <f t="shared" si="634"/>
        <v>0</v>
      </c>
      <c r="AC464" s="186">
        <f t="shared" si="634"/>
        <v>0</v>
      </c>
      <c r="AD464" s="186">
        <f t="shared" si="634"/>
        <v>0</v>
      </c>
      <c r="AE464" s="186">
        <f t="shared" si="634"/>
        <v>0</v>
      </c>
      <c r="AF464" s="186">
        <f t="shared" ref="AF464:AQ465" si="635">T464*(1+$AV$264)</f>
        <v>0</v>
      </c>
      <c r="AG464" s="186">
        <f t="shared" si="635"/>
        <v>0</v>
      </c>
      <c r="AH464" s="186">
        <f t="shared" si="635"/>
        <v>0</v>
      </c>
      <c r="AI464" s="186">
        <f t="shared" si="635"/>
        <v>0</v>
      </c>
      <c r="AJ464" s="186">
        <f t="shared" si="635"/>
        <v>0</v>
      </c>
      <c r="AK464" s="186">
        <f t="shared" si="635"/>
        <v>0</v>
      </c>
      <c r="AL464" s="186">
        <f t="shared" si="635"/>
        <v>0</v>
      </c>
      <c r="AM464" s="186">
        <f t="shared" si="635"/>
        <v>0</v>
      </c>
      <c r="AN464" s="186">
        <f t="shared" si="635"/>
        <v>0</v>
      </c>
      <c r="AO464" s="186">
        <f t="shared" si="635"/>
        <v>0</v>
      </c>
      <c r="AP464" s="186">
        <f t="shared" si="635"/>
        <v>0</v>
      </c>
      <c r="AQ464" s="186">
        <f t="shared" si="635"/>
        <v>0</v>
      </c>
      <c r="AR464" s="186">
        <f>SUM(G464:R464)</f>
        <v>0</v>
      </c>
      <c r="AS464" s="186">
        <f>SUM(T464:AE464)</f>
        <v>0</v>
      </c>
      <c r="AT464" s="186">
        <f>SUM(AF464:AQ464)</f>
        <v>0</v>
      </c>
      <c r="AU464" s="171"/>
      <c r="AV464" s="171"/>
    </row>
    <row r="465" spans="2:48">
      <c r="B465" s="250">
        <f t="shared" si="623"/>
        <v>810</v>
      </c>
      <c r="C465" s="212"/>
      <c r="D465" s="102"/>
      <c r="E465" s="102" t="s">
        <v>24</v>
      </c>
      <c r="F465" s="102"/>
      <c r="G465" s="186">
        <v>0</v>
      </c>
      <c r="H465" s="186">
        <v>0</v>
      </c>
      <c r="I465" s="186">
        <v>0</v>
      </c>
      <c r="J465" s="186">
        <v>0</v>
      </c>
      <c r="K465" s="186">
        <v>0</v>
      </c>
      <c r="L465" s="186">
        <v>0</v>
      </c>
      <c r="M465" s="186">
        <v>0</v>
      </c>
      <c r="N465" s="186">
        <v>0</v>
      </c>
      <c r="O465" s="186">
        <v>0</v>
      </c>
      <c r="P465" s="186">
        <v>0</v>
      </c>
      <c r="Q465" s="186">
        <v>0</v>
      </c>
      <c r="R465" s="186">
        <v>0</v>
      </c>
      <c r="S465" s="186"/>
      <c r="T465" s="186">
        <f t="shared" si="633"/>
        <v>0</v>
      </c>
      <c r="U465" s="186">
        <f t="shared" si="633"/>
        <v>0</v>
      </c>
      <c r="V465" s="186">
        <f t="shared" si="633"/>
        <v>0</v>
      </c>
      <c r="W465" s="186">
        <f t="shared" si="633"/>
        <v>0</v>
      </c>
      <c r="X465" s="186">
        <f t="shared" si="634"/>
        <v>0</v>
      </c>
      <c r="Y465" s="186">
        <f t="shared" si="634"/>
        <v>0</v>
      </c>
      <c r="Z465" s="186">
        <f t="shared" si="634"/>
        <v>0</v>
      </c>
      <c r="AA465" s="186">
        <f t="shared" si="634"/>
        <v>0</v>
      </c>
      <c r="AB465" s="186">
        <f t="shared" si="634"/>
        <v>0</v>
      </c>
      <c r="AC465" s="186">
        <f t="shared" si="634"/>
        <v>0</v>
      </c>
      <c r="AD465" s="186">
        <f t="shared" si="634"/>
        <v>0</v>
      </c>
      <c r="AE465" s="186">
        <f t="shared" si="634"/>
        <v>0</v>
      </c>
      <c r="AF465" s="186">
        <f t="shared" si="635"/>
        <v>0</v>
      </c>
      <c r="AG465" s="186">
        <f t="shared" si="635"/>
        <v>0</v>
      </c>
      <c r="AH465" s="186">
        <f t="shared" si="635"/>
        <v>0</v>
      </c>
      <c r="AI465" s="186">
        <f t="shared" si="635"/>
        <v>0</v>
      </c>
      <c r="AJ465" s="186">
        <f t="shared" si="635"/>
        <v>0</v>
      </c>
      <c r="AK465" s="186">
        <f t="shared" si="635"/>
        <v>0</v>
      </c>
      <c r="AL465" s="186">
        <f t="shared" si="635"/>
        <v>0</v>
      </c>
      <c r="AM465" s="186">
        <f t="shared" si="635"/>
        <v>0</v>
      </c>
      <c r="AN465" s="186">
        <f t="shared" si="635"/>
        <v>0</v>
      </c>
      <c r="AO465" s="186">
        <f t="shared" si="635"/>
        <v>0</v>
      </c>
      <c r="AP465" s="186">
        <f t="shared" si="635"/>
        <v>0</v>
      </c>
      <c r="AQ465" s="186">
        <f t="shared" si="635"/>
        <v>0</v>
      </c>
      <c r="AR465" s="186">
        <f>SUM(G465:R465)</f>
        <v>0</v>
      </c>
      <c r="AS465" s="186">
        <f>SUM(T465:AE465)</f>
        <v>0</v>
      </c>
      <c r="AT465" s="186">
        <f>SUM(AF465:AQ465)</f>
        <v>0</v>
      </c>
      <c r="AU465" s="171"/>
      <c r="AV465" s="171"/>
    </row>
    <row r="466" spans="2:48">
      <c r="B466" s="250">
        <f t="shared" si="623"/>
        <v>811</v>
      </c>
      <c r="C466" s="212"/>
      <c r="D466" s="102"/>
      <c r="E466" s="102" t="s">
        <v>170</v>
      </c>
      <c r="F466" s="102"/>
      <c r="G466" s="1216">
        <v>0</v>
      </c>
      <c r="H466" s="1216">
        <v>0</v>
      </c>
      <c r="I466" s="1216">
        <v>0</v>
      </c>
      <c r="J466" s="1216">
        <v>0</v>
      </c>
      <c r="K466" s="1216">
        <v>0</v>
      </c>
      <c r="L466" s="1216">
        <v>0</v>
      </c>
      <c r="M466" s="1216">
        <v>0</v>
      </c>
      <c r="N466" s="1216">
        <v>0</v>
      </c>
      <c r="O466" s="1216">
        <v>0</v>
      </c>
      <c r="P466" s="1216">
        <v>0</v>
      </c>
      <c r="Q466" s="1216">
        <v>0</v>
      </c>
      <c r="R466" s="1216">
        <v>0</v>
      </c>
      <c r="S466" s="620"/>
      <c r="T466" s="131">
        <f t="shared" ref="T466:Y466" si="636">SUM(T464:T465)</f>
        <v>0</v>
      </c>
      <c r="U466" s="131">
        <f t="shared" si="636"/>
        <v>0</v>
      </c>
      <c r="V466" s="131">
        <f t="shared" si="636"/>
        <v>0</v>
      </c>
      <c r="W466" s="131">
        <f t="shared" si="636"/>
        <v>0</v>
      </c>
      <c r="X466" s="131">
        <f t="shared" si="636"/>
        <v>0</v>
      </c>
      <c r="Y466" s="131">
        <f t="shared" si="636"/>
        <v>0</v>
      </c>
      <c r="Z466" s="131">
        <f t="shared" ref="Z466:AE466" si="637">SUM(Z464:Z465)</f>
        <v>0</v>
      </c>
      <c r="AA466" s="131">
        <f t="shared" si="637"/>
        <v>0</v>
      </c>
      <c r="AB466" s="131">
        <f t="shared" si="637"/>
        <v>0</v>
      </c>
      <c r="AC466" s="131">
        <f t="shared" si="637"/>
        <v>0</v>
      </c>
      <c r="AD466" s="131">
        <f t="shared" si="637"/>
        <v>0</v>
      </c>
      <c r="AE466" s="131">
        <f t="shared" si="637"/>
        <v>0</v>
      </c>
      <c r="AF466" s="131">
        <f t="shared" ref="AF466:AQ466" si="638">SUM(AF464:AF465)</f>
        <v>0</v>
      </c>
      <c r="AG466" s="131">
        <f t="shared" si="638"/>
        <v>0</v>
      </c>
      <c r="AH466" s="131">
        <f t="shared" si="638"/>
        <v>0</v>
      </c>
      <c r="AI466" s="131">
        <f t="shared" si="638"/>
        <v>0</v>
      </c>
      <c r="AJ466" s="131">
        <f t="shared" si="638"/>
        <v>0</v>
      </c>
      <c r="AK466" s="131">
        <f t="shared" si="638"/>
        <v>0</v>
      </c>
      <c r="AL466" s="131">
        <f t="shared" si="638"/>
        <v>0</v>
      </c>
      <c r="AM466" s="131">
        <f t="shared" si="638"/>
        <v>0</v>
      </c>
      <c r="AN466" s="131">
        <f t="shared" si="638"/>
        <v>0</v>
      </c>
      <c r="AO466" s="131">
        <f t="shared" si="638"/>
        <v>0</v>
      </c>
      <c r="AP466" s="131">
        <f t="shared" si="638"/>
        <v>0</v>
      </c>
      <c r="AQ466" s="131">
        <f t="shared" si="638"/>
        <v>0</v>
      </c>
      <c r="AR466" s="131">
        <f>SUM(G466:R466)</f>
        <v>0</v>
      </c>
      <c r="AS466" s="131">
        <f>SUM(T466:AE466)</f>
        <v>0</v>
      </c>
      <c r="AT466" s="131">
        <f>SUM(AF466:AQ466)</f>
        <v>0</v>
      </c>
      <c r="AU466" s="621"/>
      <c r="AV466" s="621"/>
    </row>
    <row r="467" spans="2:48">
      <c r="B467" s="250">
        <f t="shared" si="623"/>
        <v>812</v>
      </c>
      <c r="C467" s="212">
        <v>923</v>
      </c>
      <c r="D467" s="102" t="s">
        <v>429</v>
      </c>
      <c r="E467" s="102"/>
      <c r="F467" s="102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71"/>
      <c r="AV467" s="171"/>
    </row>
    <row r="468" spans="2:48">
      <c r="B468" s="250">
        <f t="shared" si="623"/>
        <v>813</v>
      </c>
      <c r="C468" s="212"/>
      <c r="D468" s="102"/>
      <c r="E468" s="102" t="s">
        <v>14</v>
      </c>
      <c r="F468" s="102"/>
      <c r="G468" s="186">
        <v>0</v>
      </c>
      <c r="H468" s="186">
        <v>0</v>
      </c>
      <c r="I468" s="186">
        <v>0</v>
      </c>
      <c r="J468" s="186">
        <v>0</v>
      </c>
      <c r="K468" s="186">
        <v>0</v>
      </c>
      <c r="L468" s="186">
        <v>0</v>
      </c>
      <c r="M468" s="186">
        <v>0</v>
      </c>
      <c r="N468" s="186">
        <v>0</v>
      </c>
      <c r="O468" s="186">
        <v>0</v>
      </c>
      <c r="P468" s="186">
        <v>0</v>
      </c>
      <c r="Q468" s="186">
        <v>0</v>
      </c>
      <c r="R468" s="186">
        <v>0</v>
      </c>
      <c r="S468" s="186"/>
      <c r="T468" s="186">
        <f t="shared" ref="T468:W469" si="639">G468*(1+$AU$264)</f>
        <v>0</v>
      </c>
      <c r="U468" s="186">
        <f t="shared" si="639"/>
        <v>0</v>
      </c>
      <c r="V468" s="186">
        <f t="shared" si="639"/>
        <v>0</v>
      </c>
      <c r="W468" s="186">
        <f t="shared" si="639"/>
        <v>0</v>
      </c>
      <c r="X468" s="186">
        <f t="shared" ref="X468:AE469" si="640">K468*(1+$AU$264)</f>
        <v>0</v>
      </c>
      <c r="Y468" s="186">
        <f t="shared" si="640"/>
        <v>0</v>
      </c>
      <c r="Z468" s="186">
        <f t="shared" si="640"/>
        <v>0</v>
      </c>
      <c r="AA468" s="186">
        <f t="shared" si="640"/>
        <v>0</v>
      </c>
      <c r="AB468" s="186">
        <f t="shared" si="640"/>
        <v>0</v>
      </c>
      <c r="AC468" s="186">
        <f t="shared" si="640"/>
        <v>0</v>
      </c>
      <c r="AD468" s="186">
        <f t="shared" si="640"/>
        <v>0</v>
      </c>
      <c r="AE468" s="186">
        <f t="shared" si="640"/>
        <v>0</v>
      </c>
      <c r="AF468" s="186">
        <f t="shared" ref="AF468:AQ469" si="641">T468*(1+$AV$264)</f>
        <v>0</v>
      </c>
      <c r="AG468" s="186">
        <f t="shared" si="641"/>
        <v>0</v>
      </c>
      <c r="AH468" s="186">
        <f t="shared" si="641"/>
        <v>0</v>
      </c>
      <c r="AI468" s="186">
        <f t="shared" si="641"/>
        <v>0</v>
      </c>
      <c r="AJ468" s="186">
        <f t="shared" si="641"/>
        <v>0</v>
      </c>
      <c r="AK468" s="186">
        <f t="shared" si="641"/>
        <v>0</v>
      </c>
      <c r="AL468" s="186">
        <f t="shared" si="641"/>
        <v>0</v>
      </c>
      <c r="AM468" s="186">
        <f t="shared" si="641"/>
        <v>0</v>
      </c>
      <c r="AN468" s="186">
        <f t="shared" si="641"/>
        <v>0</v>
      </c>
      <c r="AO468" s="186">
        <f t="shared" si="641"/>
        <v>0</v>
      </c>
      <c r="AP468" s="186">
        <f t="shared" si="641"/>
        <v>0</v>
      </c>
      <c r="AQ468" s="186">
        <f t="shared" si="641"/>
        <v>0</v>
      </c>
      <c r="AR468" s="186">
        <f>SUM(G468:R468)</f>
        <v>0</v>
      </c>
      <c r="AS468" s="186">
        <f>SUM(T468:AE468)</f>
        <v>0</v>
      </c>
      <c r="AT468" s="186">
        <f>SUM(AF468:AQ468)</f>
        <v>0</v>
      </c>
      <c r="AU468" s="171"/>
      <c r="AV468" s="171"/>
    </row>
    <row r="469" spans="2:48">
      <c r="B469" s="250">
        <f t="shared" si="623"/>
        <v>814</v>
      </c>
      <c r="C469" s="212"/>
      <c r="D469" s="102"/>
      <c r="E469" s="102" t="s">
        <v>24</v>
      </c>
      <c r="F469" s="102"/>
      <c r="G469" s="186">
        <v>0</v>
      </c>
      <c r="H469" s="186">
        <v>0</v>
      </c>
      <c r="I469" s="186">
        <v>0</v>
      </c>
      <c r="J469" s="186">
        <v>0</v>
      </c>
      <c r="K469" s="186">
        <v>0</v>
      </c>
      <c r="L469" s="186">
        <v>0</v>
      </c>
      <c r="M469" s="186">
        <v>0</v>
      </c>
      <c r="N469" s="186">
        <v>0</v>
      </c>
      <c r="O469" s="186">
        <v>0</v>
      </c>
      <c r="P469" s="186">
        <v>0</v>
      </c>
      <c r="Q469" s="186">
        <v>0</v>
      </c>
      <c r="R469" s="186">
        <v>0</v>
      </c>
      <c r="S469" s="186"/>
      <c r="T469" s="186">
        <f t="shared" si="639"/>
        <v>0</v>
      </c>
      <c r="U469" s="186">
        <f t="shared" si="639"/>
        <v>0</v>
      </c>
      <c r="V469" s="186">
        <f t="shared" si="639"/>
        <v>0</v>
      </c>
      <c r="W469" s="186">
        <f t="shared" si="639"/>
        <v>0</v>
      </c>
      <c r="X469" s="186">
        <f t="shared" si="640"/>
        <v>0</v>
      </c>
      <c r="Y469" s="186">
        <f t="shared" si="640"/>
        <v>0</v>
      </c>
      <c r="Z469" s="186">
        <f t="shared" si="640"/>
        <v>0</v>
      </c>
      <c r="AA469" s="186">
        <f t="shared" si="640"/>
        <v>0</v>
      </c>
      <c r="AB469" s="186">
        <f t="shared" si="640"/>
        <v>0</v>
      </c>
      <c r="AC469" s="186">
        <f t="shared" si="640"/>
        <v>0</v>
      </c>
      <c r="AD469" s="186">
        <f t="shared" si="640"/>
        <v>0</v>
      </c>
      <c r="AE469" s="186">
        <f t="shared" si="640"/>
        <v>0</v>
      </c>
      <c r="AF469" s="186">
        <f t="shared" si="641"/>
        <v>0</v>
      </c>
      <c r="AG469" s="186">
        <f t="shared" si="641"/>
        <v>0</v>
      </c>
      <c r="AH469" s="186">
        <f t="shared" si="641"/>
        <v>0</v>
      </c>
      <c r="AI469" s="186">
        <f t="shared" si="641"/>
        <v>0</v>
      </c>
      <c r="AJ469" s="186">
        <f t="shared" si="641"/>
        <v>0</v>
      </c>
      <c r="AK469" s="186">
        <f t="shared" si="641"/>
        <v>0</v>
      </c>
      <c r="AL469" s="186">
        <f t="shared" si="641"/>
        <v>0</v>
      </c>
      <c r="AM469" s="186">
        <f t="shared" si="641"/>
        <v>0</v>
      </c>
      <c r="AN469" s="186">
        <f t="shared" si="641"/>
        <v>0</v>
      </c>
      <c r="AO469" s="186">
        <f t="shared" si="641"/>
        <v>0</v>
      </c>
      <c r="AP469" s="186">
        <f t="shared" si="641"/>
        <v>0</v>
      </c>
      <c r="AQ469" s="186">
        <f t="shared" si="641"/>
        <v>0</v>
      </c>
      <c r="AR469" s="186">
        <f>SUM(G469:R469)</f>
        <v>0</v>
      </c>
      <c r="AS469" s="186">
        <f>SUM(T469:AE469)</f>
        <v>0</v>
      </c>
      <c r="AT469" s="186">
        <f>SUM(AF469:AQ469)</f>
        <v>0</v>
      </c>
      <c r="AU469" s="171"/>
      <c r="AV469" s="171"/>
    </row>
    <row r="470" spans="2:48">
      <c r="B470" s="250">
        <f t="shared" si="623"/>
        <v>815</v>
      </c>
      <c r="C470" s="212"/>
      <c r="D470" s="102"/>
      <c r="E470" s="102" t="s">
        <v>170</v>
      </c>
      <c r="F470" s="102"/>
      <c r="G470" s="1216">
        <v>0</v>
      </c>
      <c r="H470" s="1216">
        <v>0</v>
      </c>
      <c r="I470" s="1216">
        <v>0</v>
      </c>
      <c r="J470" s="1216">
        <v>0</v>
      </c>
      <c r="K470" s="1216">
        <v>0</v>
      </c>
      <c r="L470" s="1216">
        <v>0</v>
      </c>
      <c r="M470" s="1216">
        <v>0</v>
      </c>
      <c r="N470" s="1216">
        <v>0</v>
      </c>
      <c r="O470" s="1216">
        <v>0</v>
      </c>
      <c r="P470" s="1216">
        <v>0</v>
      </c>
      <c r="Q470" s="1216">
        <v>0</v>
      </c>
      <c r="R470" s="1216">
        <v>0</v>
      </c>
      <c r="S470" s="620"/>
      <c r="T470" s="131">
        <f t="shared" ref="T470:Y470" si="642">SUM(T468:T469)</f>
        <v>0</v>
      </c>
      <c r="U470" s="131">
        <f t="shared" si="642"/>
        <v>0</v>
      </c>
      <c r="V470" s="131">
        <f t="shared" si="642"/>
        <v>0</v>
      </c>
      <c r="W470" s="131">
        <f t="shared" si="642"/>
        <v>0</v>
      </c>
      <c r="X470" s="131">
        <f t="shared" si="642"/>
        <v>0</v>
      </c>
      <c r="Y470" s="131">
        <f t="shared" si="642"/>
        <v>0</v>
      </c>
      <c r="Z470" s="131">
        <f t="shared" ref="Z470:AE470" si="643">SUM(Z468:Z469)</f>
        <v>0</v>
      </c>
      <c r="AA470" s="131">
        <f t="shared" si="643"/>
        <v>0</v>
      </c>
      <c r="AB470" s="131">
        <f t="shared" si="643"/>
        <v>0</v>
      </c>
      <c r="AC470" s="131">
        <f t="shared" si="643"/>
        <v>0</v>
      </c>
      <c r="AD470" s="131">
        <f t="shared" si="643"/>
        <v>0</v>
      </c>
      <c r="AE470" s="131">
        <f t="shared" si="643"/>
        <v>0</v>
      </c>
      <c r="AF470" s="131">
        <f t="shared" ref="AF470:AQ470" si="644">SUM(AF468:AF469)</f>
        <v>0</v>
      </c>
      <c r="AG470" s="131">
        <f t="shared" si="644"/>
        <v>0</v>
      </c>
      <c r="AH470" s="131">
        <f t="shared" si="644"/>
        <v>0</v>
      </c>
      <c r="AI470" s="131">
        <f t="shared" si="644"/>
        <v>0</v>
      </c>
      <c r="AJ470" s="131">
        <f t="shared" si="644"/>
        <v>0</v>
      </c>
      <c r="AK470" s="131">
        <f t="shared" si="644"/>
        <v>0</v>
      </c>
      <c r="AL470" s="131">
        <f t="shared" si="644"/>
        <v>0</v>
      </c>
      <c r="AM470" s="131">
        <f t="shared" si="644"/>
        <v>0</v>
      </c>
      <c r="AN470" s="131">
        <f t="shared" si="644"/>
        <v>0</v>
      </c>
      <c r="AO470" s="131">
        <f t="shared" si="644"/>
        <v>0</v>
      </c>
      <c r="AP470" s="131">
        <f t="shared" si="644"/>
        <v>0</v>
      </c>
      <c r="AQ470" s="131">
        <f t="shared" si="644"/>
        <v>0</v>
      </c>
      <c r="AR470" s="131">
        <f>SUM(G470:R470)</f>
        <v>0</v>
      </c>
      <c r="AS470" s="131">
        <f>SUM(T470:AE470)</f>
        <v>0</v>
      </c>
      <c r="AT470" s="131">
        <f>SUM(AF470:AQ470)</f>
        <v>0</v>
      </c>
      <c r="AU470" s="621"/>
      <c r="AV470" s="621"/>
    </row>
    <row r="471" spans="2:48">
      <c r="B471" s="250">
        <f t="shared" si="623"/>
        <v>816</v>
      </c>
      <c r="C471" s="212">
        <v>924</v>
      </c>
      <c r="D471" s="102" t="s">
        <v>430</v>
      </c>
      <c r="E471" s="102"/>
      <c r="F471" s="102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71"/>
      <c r="AV471" s="171"/>
    </row>
    <row r="472" spans="2:48">
      <c r="B472" s="250">
        <f t="shared" si="623"/>
        <v>817</v>
      </c>
      <c r="C472" s="212"/>
      <c r="D472" s="102"/>
      <c r="E472" s="102" t="s">
        <v>14</v>
      </c>
      <c r="F472" s="102"/>
      <c r="G472" s="186">
        <v>0</v>
      </c>
      <c r="H472" s="186">
        <v>0</v>
      </c>
      <c r="I472" s="186">
        <v>0</v>
      </c>
      <c r="J472" s="186">
        <v>0</v>
      </c>
      <c r="K472" s="186">
        <v>0</v>
      </c>
      <c r="L472" s="186">
        <v>0</v>
      </c>
      <c r="M472" s="186">
        <v>0</v>
      </c>
      <c r="N472" s="186">
        <v>0</v>
      </c>
      <c r="O472" s="186">
        <v>0</v>
      </c>
      <c r="P472" s="186">
        <v>0</v>
      </c>
      <c r="Q472" s="186">
        <v>0</v>
      </c>
      <c r="R472" s="186">
        <v>0</v>
      </c>
      <c r="S472" s="186"/>
      <c r="T472" s="186">
        <f t="shared" ref="T472:W473" si="645">G472*(1+$AU$264)</f>
        <v>0</v>
      </c>
      <c r="U472" s="186">
        <f t="shared" si="645"/>
        <v>0</v>
      </c>
      <c r="V472" s="186">
        <f t="shared" si="645"/>
        <v>0</v>
      </c>
      <c r="W472" s="186">
        <f t="shared" si="645"/>
        <v>0</v>
      </c>
      <c r="X472" s="186">
        <f t="shared" ref="X472:AE473" si="646">K472*(1+$AU$264)</f>
        <v>0</v>
      </c>
      <c r="Y472" s="186">
        <f t="shared" si="646"/>
        <v>0</v>
      </c>
      <c r="Z472" s="186">
        <f t="shared" si="646"/>
        <v>0</v>
      </c>
      <c r="AA472" s="186">
        <f t="shared" si="646"/>
        <v>0</v>
      </c>
      <c r="AB472" s="186">
        <f t="shared" si="646"/>
        <v>0</v>
      </c>
      <c r="AC472" s="186">
        <f t="shared" si="646"/>
        <v>0</v>
      </c>
      <c r="AD472" s="186">
        <f t="shared" si="646"/>
        <v>0</v>
      </c>
      <c r="AE472" s="186">
        <f t="shared" si="646"/>
        <v>0</v>
      </c>
      <c r="AF472" s="186">
        <f t="shared" ref="AF472:AQ473" si="647">T472*(1+$AV$264)</f>
        <v>0</v>
      </c>
      <c r="AG472" s="186">
        <f t="shared" si="647"/>
        <v>0</v>
      </c>
      <c r="AH472" s="186">
        <f t="shared" si="647"/>
        <v>0</v>
      </c>
      <c r="AI472" s="186">
        <f t="shared" si="647"/>
        <v>0</v>
      </c>
      <c r="AJ472" s="186">
        <f t="shared" si="647"/>
        <v>0</v>
      </c>
      <c r="AK472" s="186">
        <f t="shared" si="647"/>
        <v>0</v>
      </c>
      <c r="AL472" s="186">
        <f t="shared" si="647"/>
        <v>0</v>
      </c>
      <c r="AM472" s="186">
        <f t="shared" si="647"/>
        <v>0</v>
      </c>
      <c r="AN472" s="186">
        <f t="shared" si="647"/>
        <v>0</v>
      </c>
      <c r="AO472" s="186">
        <f t="shared" si="647"/>
        <v>0</v>
      </c>
      <c r="AP472" s="186">
        <f t="shared" si="647"/>
        <v>0</v>
      </c>
      <c r="AQ472" s="186">
        <f t="shared" si="647"/>
        <v>0</v>
      </c>
      <c r="AR472" s="186">
        <f>SUM(G472:R472)</f>
        <v>0</v>
      </c>
      <c r="AS472" s="186">
        <f>SUM(T472:AE472)</f>
        <v>0</v>
      </c>
      <c r="AT472" s="186">
        <f>SUM(AF472:AQ472)</f>
        <v>0</v>
      </c>
      <c r="AU472" s="171"/>
      <c r="AV472" s="171"/>
    </row>
    <row r="473" spans="2:48">
      <c r="B473" s="250">
        <f t="shared" si="623"/>
        <v>818</v>
      </c>
      <c r="C473" s="212"/>
      <c r="D473" s="102"/>
      <c r="E473" s="102" t="s">
        <v>24</v>
      </c>
      <c r="F473" s="102"/>
      <c r="G473" s="186">
        <v>0</v>
      </c>
      <c r="H473" s="186">
        <v>0</v>
      </c>
      <c r="I473" s="186">
        <v>0</v>
      </c>
      <c r="J473" s="186">
        <v>0</v>
      </c>
      <c r="K473" s="186">
        <v>0</v>
      </c>
      <c r="L473" s="186">
        <v>0</v>
      </c>
      <c r="M473" s="186">
        <v>0</v>
      </c>
      <c r="N473" s="186">
        <v>0</v>
      </c>
      <c r="O473" s="186">
        <v>0</v>
      </c>
      <c r="P473" s="186">
        <v>0</v>
      </c>
      <c r="Q473" s="186">
        <v>0</v>
      </c>
      <c r="R473" s="186">
        <v>0</v>
      </c>
      <c r="S473" s="186"/>
      <c r="T473" s="186">
        <f t="shared" si="645"/>
        <v>0</v>
      </c>
      <c r="U473" s="186">
        <f t="shared" si="645"/>
        <v>0</v>
      </c>
      <c r="V473" s="186">
        <f t="shared" si="645"/>
        <v>0</v>
      </c>
      <c r="W473" s="186">
        <f t="shared" si="645"/>
        <v>0</v>
      </c>
      <c r="X473" s="186">
        <f t="shared" si="646"/>
        <v>0</v>
      </c>
      <c r="Y473" s="186">
        <f t="shared" si="646"/>
        <v>0</v>
      </c>
      <c r="Z473" s="186">
        <f t="shared" si="646"/>
        <v>0</v>
      </c>
      <c r="AA473" s="186">
        <f t="shared" si="646"/>
        <v>0</v>
      </c>
      <c r="AB473" s="186">
        <f t="shared" si="646"/>
        <v>0</v>
      </c>
      <c r="AC473" s="186">
        <f t="shared" si="646"/>
        <v>0</v>
      </c>
      <c r="AD473" s="186">
        <f t="shared" si="646"/>
        <v>0</v>
      </c>
      <c r="AE473" s="186">
        <f t="shared" si="646"/>
        <v>0</v>
      </c>
      <c r="AF473" s="186">
        <f t="shared" si="647"/>
        <v>0</v>
      </c>
      <c r="AG473" s="186">
        <f t="shared" si="647"/>
        <v>0</v>
      </c>
      <c r="AH473" s="186">
        <f t="shared" si="647"/>
        <v>0</v>
      </c>
      <c r="AI473" s="186">
        <f t="shared" si="647"/>
        <v>0</v>
      </c>
      <c r="AJ473" s="186">
        <f t="shared" si="647"/>
        <v>0</v>
      </c>
      <c r="AK473" s="186">
        <f t="shared" si="647"/>
        <v>0</v>
      </c>
      <c r="AL473" s="186">
        <f t="shared" si="647"/>
        <v>0</v>
      </c>
      <c r="AM473" s="186">
        <f t="shared" si="647"/>
        <v>0</v>
      </c>
      <c r="AN473" s="186">
        <f t="shared" si="647"/>
        <v>0</v>
      </c>
      <c r="AO473" s="186">
        <f t="shared" si="647"/>
        <v>0</v>
      </c>
      <c r="AP473" s="186">
        <f t="shared" si="647"/>
        <v>0</v>
      </c>
      <c r="AQ473" s="186">
        <f t="shared" si="647"/>
        <v>0</v>
      </c>
      <c r="AR473" s="186">
        <f>SUM(G473:R473)</f>
        <v>0</v>
      </c>
      <c r="AS473" s="186">
        <f>SUM(T473:AE473)</f>
        <v>0</v>
      </c>
      <c r="AT473" s="186">
        <f>SUM(AF473:AQ473)</f>
        <v>0</v>
      </c>
      <c r="AU473" s="171"/>
      <c r="AV473" s="171"/>
    </row>
    <row r="474" spans="2:48">
      <c r="B474" s="250">
        <f t="shared" si="623"/>
        <v>819</v>
      </c>
      <c r="C474" s="212"/>
      <c r="D474" s="102"/>
      <c r="E474" s="102" t="s">
        <v>170</v>
      </c>
      <c r="F474" s="102"/>
      <c r="G474" s="1216">
        <v>0</v>
      </c>
      <c r="H474" s="1216">
        <v>0</v>
      </c>
      <c r="I474" s="1216">
        <v>0</v>
      </c>
      <c r="J474" s="1216">
        <v>0</v>
      </c>
      <c r="K474" s="1216">
        <v>0</v>
      </c>
      <c r="L474" s="1216">
        <v>0</v>
      </c>
      <c r="M474" s="1216">
        <v>0</v>
      </c>
      <c r="N474" s="1216">
        <v>0</v>
      </c>
      <c r="O474" s="1216">
        <v>0</v>
      </c>
      <c r="P474" s="1216">
        <v>0</v>
      </c>
      <c r="Q474" s="1216">
        <v>0</v>
      </c>
      <c r="R474" s="1216">
        <v>0</v>
      </c>
      <c r="S474" s="620"/>
      <c r="T474" s="131">
        <f t="shared" ref="T474:Y474" si="648">SUM(T472:T473)</f>
        <v>0</v>
      </c>
      <c r="U474" s="131">
        <f t="shared" si="648"/>
        <v>0</v>
      </c>
      <c r="V474" s="131">
        <f t="shared" si="648"/>
        <v>0</v>
      </c>
      <c r="W474" s="131">
        <f t="shared" si="648"/>
        <v>0</v>
      </c>
      <c r="X474" s="131">
        <f t="shared" si="648"/>
        <v>0</v>
      </c>
      <c r="Y474" s="131">
        <f t="shared" si="648"/>
        <v>0</v>
      </c>
      <c r="Z474" s="131">
        <f t="shared" ref="Z474:AE474" si="649">SUM(Z472:Z473)</f>
        <v>0</v>
      </c>
      <c r="AA474" s="131">
        <f t="shared" si="649"/>
        <v>0</v>
      </c>
      <c r="AB474" s="131">
        <f t="shared" si="649"/>
        <v>0</v>
      </c>
      <c r="AC474" s="131">
        <f t="shared" si="649"/>
        <v>0</v>
      </c>
      <c r="AD474" s="131">
        <f t="shared" si="649"/>
        <v>0</v>
      </c>
      <c r="AE474" s="131">
        <f t="shared" si="649"/>
        <v>0</v>
      </c>
      <c r="AF474" s="131">
        <f t="shared" ref="AF474:AQ474" si="650">SUM(AF472:AF473)</f>
        <v>0</v>
      </c>
      <c r="AG474" s="131">
        <f t="shared" si="650"/>
        <v>0</v>
      </c>
      <c r="AH474" s="131">
        <f t="shared" si="650"/>
        <v>0</v>
      </c>
      <c r="AI474" s="131">
        <f t="shared" si="650"/>
        <v>0</v>
      </c>
      <c r="AJ474" s="131">
        <f t="shared" si="650"/>
        <v>0</v>
      </c>
      <c r="AK474" s="131">
        <f t="shared" si="650"/>
        <v>0</v>
      </c>
      <c r="AL474" s="131">
        <f t="shared" si="650"/>
        <v>0</v>
      </c>
      <c r="AM474" s="131">
        <f t="shared" si="650"/>
        <v>0</v>
      </c>
      <c r="AN474" s="131">
        <f t="shared" si="650"/>
        <v>0</v>
      </c>
      <c r="AO474" s="131">
        <f t="shared" si="650"/>
        <v>0</v>
      </c>
      <c r="AP474" s="131">
        <f t="shared" si="650"/>
        <v>0</v>
      </c>
      <c r="AQ474" s="131">
        <f t="shared" si="650"/>
        <v>0</v>
      </c>
      <c r="AR474" s="131">
        <f>SUM(G474:R474)</f>
        <v>0</v>
      </c>
      <c r="AS474" s="131">
        <f>SUM(T474:AE474)</f>
        <v>0</v>
      </c>
      <c r="AT474" s="131">
        <f>SUM(AF474:AQ474)</f>
        <v>0</v>
      </c>
      <c r="AU474" s="621"/>
      <c r="AV474" s="621"/>
    </row>
    <row r="475" spans="2:48">
      <c r="B475" s="250">
        <f t="shared" si="623"/>
        <v>820</v>
      </c>
      <c r="C475" s="212">
        <v>925</v>
      </c>
      <c r="D475" s="102" t="s">
        <v>431</v>
      </c>
      <c r="E475" s="102"/>
      <c r="F475" s="102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71"/>
      <c r="AV475" s="171"/>
    </row>
    <row r="476" spans="2:48">
      <c r="B476" s="250">
        <f t="shared" si="623"/>
        <v>821</v>
      </c>
      <c r="C476" s="212"/>
      <c r="D476" s="102"/>
      <c r="E476" s="102" t="s">
        <v>14</v>
      </c>
      <c r="F476" s="102"/>
      <c r="G476" s="186">
        <v>1713.98</v>
      </c>
      <c r="H476" s="186">
        <v>1486.29</v>
      </c>
      <c r="I476" s="186">
        <v>2558.7200000000003</v>
      </c>
      <c r="J476" s="186">
        <v>-1259.18</v>
      </c>
      <c r="K476" s="186">
        <v>905.91</v>
      </c>
      <c r="L476" s="186">
        <v>-55.85</v>
      </c>
      <c r="M476" s="186">
        <v>778.53000000000009</v>
      </c>
      <c r="N476" s="186">
        <v>576.61</v>
      </c>
      <c r="O476" s="186">
        <v>550.26</v>
      </c>
      <c r="P476" s="186">
        <v>2417.9499999999998</v>
      </c>
      <c r="Q476" s="186">
        <v>396.8</v>
      </c>
      <c r="R476" s="186">
        <v>1432.36</v>
      </c>
      <c r="S476" s="186"/>
      <c r="T476" s="186">
        <f t="shared" ref="T476:W477" si="651">G476*(1+$AU$264)</f>
        <v>1615.0508233922862</v>
      </c>
      <c r="U476" s="186">
        <f t="shared" si="651"/>
        <v>1400.502857851154</v>
      </c>
      <c r="V476" s="186">
        <f t="shared" si="651"/>
        <v>2411.033292588193</v>
      </c>
      <c r="W476" s="186">
        <f t="shared" si="651"/>
        <v>-1186.5014153018699</v>
      </c>
      <c r="X476" s="186">
        <f t="shared" ref="X476:AE477" si="652">K476*(1+$AU$264)</f>
        <v>853.62179921545521</v>
      </c>
      <c r="Y476" s="186">
        <f t="shared" si="652"/>
        <v>-52.626394990874566</v>
      </c>
      <c r="Z476" s="186">
        <f t="shared" si="652"/>
        <v>733.59404283340336</v>
      </c>
      <c r="AA476" s="186">
        <f t="shared" si="652"/>
        <v>543.3286591886872</v>
      </c>
      <c r="AB476" s="186">
        <f t="shared" si="652"/>
        <v>518.49955430042326</v>
      </c>
      <c r="AC476" s="186">
        <f t="shared" si="652"/>
        <v>2278.3883933426168</v>
      </c>
      <c r="AD476" s="186">
        <f t="shared" si="652"/>
        <v>373.8971089056227</v>
      </c>
      <c r="AE476" s="186">
        <f t="shared" si="652"/>
        <v>1349.6856424195003</v>
      </c>
      <c r="AF476" s="186">
        <f t="shared" ref="AF476:AQ477" si="653">T476*(1+$AV$264)</f>
        <v>1624.8872170491074</v>
      </c>
      <c r="AG476" s="186">
        <f t="shared" si="653"/>
        <v>1409.032556872261</v>
      </c>
      <c r="AH476" s="186">
        <f t="shared" si="653"/>
        <v>2425.7175813066037</v>
      </c>
      <c r="AI476" s="186">
        <f t="shared" si="653"/>
        <v>-1193.7277482607119</v>
      </c>
      <c r="AJ476" s="186">
        <f t="shared" si="653"/>
        <v>858.82074399757107</v>
      </c>
      <c r="AK476" s="186">
        <f t="shared" si="653"/>
        <v>-52.946913658381462</v>
      </c>
      <c r="AL476" s="186">
        <f t="shared" si="653"/>
        <v>738.06196401897444</v>
      </c>
      <c r="AM476" s="186">
        <f t="shared" si="653"/>
        <v>546.63777770025661</v>
      </c>
      <c r="AN476" s="186">
        <f t="shared" si="653"/>
        <v>521.65745227683044</v>
      </c>
      <c r="AO476" s="186">
        <f t="shared" si="653"/>
        <v>2292.2648143291576</v>
      </c>
      <c r="AP476" s="186">
        <f t="shared" si="653"/>
        <v>376.17431225865289</v>
      </c>
      <c r="AQ476" s="186">
        <f t="shared" si="653"/>
        <v>1357.905841499002</v>
      </c>
      <c r="AR476" s="186">
        <f>SUM(G476:R476)</f>
        <v>11502.379999999997</v>
      </c>
      <c r="AS476" s="186">
        <f>SUM(T476:AE476)</f>
        <v>10838.474363744597</v>
      </c>
      <c r="AT476" s="186">
        <f>SUM(AF476:AQ476)</f>
        <v>10904.485599389323</v>
      </c>
      <c r="AU476" s="171"/>
      <c r="AV476" s="171"/>
    </row>
    <row r="477" spans="2:48">
      <c r="B477" s="250">
        <f t="shared" si="623"/>
        <v>822</v>
      </c>
      <c r="C477" s="212"/>
      <c r="D477" s="102"/>
      <c r="E477" s="102" t="s">
        <v>24</v>
      </c>
      <c r="F477" s="102"/>
      <c r="G477" s="186">
        <v>97.28</v>
      </c>
      <c r="H477" s="186">
        <v>48</v>
      </c>
      <c r="I477" s="186">
        <v>72.37</v>
      </c>
      <c r="J477" s="186">
        <v>-58.78</v>
      </c>
      <c r="K477" s="186">
        <v>81.489999999999995</v>
      </c>
      <c r="L477" s="186">
        <v>-2.39</v>
      </c>
      <c r="M477" s="186">
        <v>13.17</v>
      </c>
      <c r="N477" s="186">
        <v>23.11</v>
      </c>
      <c r="O477" s="186">
        <v>25.37</v>
      </c>
      <c r="P477" s="186">
        <v>47.550000000000004</v>
      </c>
      <c r="Q477" s="186">
        <v>-4.34</v>
      </c>
      <c r="R477" s="186">
        <v>-104.35000000000001</v>
      </c>
      <c r="S477" s="186"/>
      <c r="T477" s="186">
        <f t="shared" si="651"/>
        <v>91.665097667184924</v>
      </c>
      <c r="U477" s="186">
        <f t="shared" si="651"/>
        <v>45.229488980518873</v>
      </c>
      <c r="V477" s="186">
        <f t="shared" si="651"/>
        <v>68.192877448336475</v>
      </c>
      <c r="W477" s="186">
        <f t="shared" si="651"/>
        <v>-55.387278380727068</v>
      </c>
      <c r="X477" s="186">
        <f t="shared" si="652"/>
        <v>76.78648035463506</v>
      </c>
      <c r="Y477" s="186">
        <f t="shared" si="652"/>
        <v>-2.2520516388216691</v>
      </c>
      <c r="Z477" s="186">
        <f t="shared" si="652"/>
        <v>12.409841039029866</v>
      </c>
      <c r="AA477" s="186">
        <f t="shared" si="652"/>
        <v>21.776114382078983</v>
      </c>
      <c r="AB477" s="186">
        <f t="shared" si="652"/>
        <v>23.905669488245081</v>
      </c>
      <c r="AC477" s="186">
        <f t="shared" si="652"/>
        <v>44.805462521326511</v>
      </c>
      <c r="AD477" s="186">
        <f t="shared" si="652"/>
        <v>-4.0894996286552479</v>
      </c>
      <c r="AE477" s="186">
        <f t="shared" si="652"/>
        <v>-98.327024481607182</v>
      </c>
      <c r="AF477" s="186">
        <f t="shared" si="653"/>
        <v>92.223379779540707</v>
      </c>
      <c r="AG477" s="186">
        <f t="shared" si="653"/>
        <v>45.504957128062848</v>
      </c>
      <c r="AH477" s="186">
        <f t="shared" si="653"/>
        <v>68.608203069956417</v>
      </c>
      <c r="AI477" s="186">
        <f t="shared" si="653"/>
        <v>-55.724612083073623</v>
      </c>
      <c r="AJ477" s="186">
        <f t="shared" si="653"/>
        <v>77.254144924288354</v>
      </c>
      <c r="AK477" s="186">
        <f t="shared" si="653"/>
        <v>-2.2657676570014629</v>
      </c>
      <c r="AL477" s="186">
        <f t="shared" si="653"/>
        <v>12.485422612012243</v>
      </c>
      <c r="AM477" s="186">
        <f t="shared" si="653"/>
        <v>21.908740817281927</v>
      </c>
      <c r="AN477" s="186">
        <f t="shared" si="653"/>
        <v>24.051265882061553</v>
      </c>
      <c r="AO477" s="186">
        <f t="shared" si="653"/>
        <v>45.07834815498726</v>
      </c>
      <c r="AP477" s="186">
        <f t="shared" si="653"/>
        <v>-4.1144065403290151</v>
      </c>
      <c r="AQ477" s="186">
        <f t="shared" si="653"/>
        <v>-98.925880756528301</v>
      </c>
      <c r="AR477" s="186">
        <f>SUM(G477:R477)</f>
        <v>238.48000000000002</v>
      </c>
      <c r="AS477" s="186">
        <f>SUM(T477:AE477)</f>
        <v>224.71517775154456</v>
      </c>
      <c r="AT477" s="186">
        <f>SUM(AF477:AQ477)</f>
        <v>226.08379533125893</v>
      </c>
      <c r="AU477" s="171"/>
      <c r="AV477" s="171"/>
    </row>
    <row r="478" spans="2:48">
      <c r="B478" s="250">
        <f t="shared" si="623"/>
        <v>823</v>
      </c>
      <c r="C478" s="212"/>
      <c r="D478" s="102"/>
      <c r="E478" s="102" t="s">
        <v>170</v>
      </c>
      <c r="F478" s="102"/>
      <c r="G478" s="1216">
        <v>1811.26</v>
      </c>
      <c r="H478" s="1216">
        <v>1534.29</v>
      </c>
      <c r="I478" s="1216">
        <v>2631.09</v>
      </c>
      <c r="J478" s="1216">
        <v>-1317.96</v>
      </c>
      <c r="K478" s="1216">
        <v>987.4</v>
      </c>
      <c r="L478" s="1216">
        <v>-58.24</v>
      </c>
      <c r="M478" s="1216">
        <v>791.7</v>
      </c>
      <c r="N478" s="1216">
        <v>599.72</v>
      </c>
      <c r="O478" s="1216">
        <v>575.63</v>
      </c>
      <c r="P478" s="1216">
        <v>2465.5</v>
      </c>
      <c r="Q478" s="1216">
        <v>392.46000000000004</v>
      </c>
      <c r="R478" s="1216">
        <v>1328.01</v>
      </c>
      <c r="S478" s="620"/>
      <c r="T478" s="131">
        <f t="shared" ref="T478:Y478" si="654">SUM(T476:T477)</f>
        <v>1706.7159210594712</v>
      </c>
      <c r="U478" s="131">
        <f t="shared" si="654"/>
        <v>1445.7323468316729</v>
      </c>
      <c r="V478" s="131">
        <f t="shared" si="654"/>
        <v>2479.2261700365293</v>
      </c>
      <c r="W478" s="131">
        <f t="shared" si="654"/>
        <v>-1241.888693682597</v>
      </c>
      <c r="X478" s="131">
        <f t="shared" si="654"/>
        <v>930.40827957009026</v>
      </c>
      <c r="Y478" s="131">
        <f t="shared" si="654"/>
        <v>-54.878446629696235</v>
      </c>
      <c r="Z478" s="131">
        <f t="shared" ref="Z478:AE478" si="655">SUM(Z476:Z477)</f>
        <v>746.00388387243322</v>
      </c>
      <c r="AA478" s="131">
        <f t="shared" si="655"/>
        <v>565.10477357076616</v>
      </c>
      <c r="AB478" s="131">
        <f t="shared" si="655"/>
        <v>542.40522378866831</v>
      </c>
      <c r="AC478" s="131">
        <f t="shared" si="655"/>
        <v>2323.1938558639436</v>
      </c>
      <c r="AD478" s="131">
        <f t="shared" si="655"/>
        <v>369.80760927696747</v>
      </c>
      <c r="AE478" s="131">
        <f t="shared" si="655"/>
        <v>1251.3586179378931</v>
      </c>
      <c r="AF478" s="131">
        <f t="shared" ref="AF478:AQ478" si="656">SUM(AF476:AF477)</f>
        <v>1717.1105968286481</v>
      </c>
      <c r="AG478" s="131">
        <f t="shared" si="656"/>
        <v>1454.5375140003239</v>
      </c>
      <c r="AH478" s="131">
        <f t="shared" si="656"/>
        <v>2494.32578437656</v>
      </c>
      <c r="AI478" s="131">
        <f t="shared" si="656"/>
        <v>-1249.4523603437856</v>
      </c>
      <c r="AJ478" s="131">
        <f t="shared" si="656"/>
        <v>936.07488892185938</v>
      </c>
      <c r="AK478" s="131">
        <f t="shared" si="656"/>
        <v>-55.212681315382923</v>
      </c>
      <c r="AL478" s="131">
        <f t="shared" si="656"/>
        <v>750.54738663098669</v>
      </c>
      <c r="AM478" s="131">
        <f t="shared" si="656"/>
        <v>568.54651851753852</v>
      </c>
      <c r="AN478" s="131">
        <f t="shared" si="656"/>
        <v>545.708718158892</v>
      </c>
      <c r="AO478" s="131">
        <f t="shared" si="656"/>
        <v>2337.3431624841451</v>
      </c>
      <c r="AP478" s="131">
        <f t="shared" si="656"/>
        <v>372.05990571832388</v>
      </c>
      <c r="AQ478" s="131">
        <f t="shared" si="656"/>
        <v>1258.9799607424736</v>
      </c>
      <c r="AR478" s="131">
        <f>SUM(G478:R478)</f>
        <v>11740.859999999999</v>
      </c>
      <c r="AS478" s="131">
        <f>SUM(T478:AE478)</f>
        <v>11063.189541496142</v>
      </c>
      <c r="AT478" s="131">
        <f>SUM(AF478:AQ478)</f>
        <v>11130.569394720584</v>
      </c>
      <c r="AU478" s="621"/>
      <c r="AV478" s="621"/>
    </row>
    <row r="479" spans="2:48">
      <c r="B479" s="250">
        <f t="shared" si="623"/>
        <v>824</v>
      </c>
      <c r="C479" s="212">
        <v>926</v>
      </c>
      <c r="D479" s="102" t="s">
        <v>432</v>
      </c>
      <c r="E479" s="102"/>
      <c r="F479" s="102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71"/>
      <c r="AV479" s="171"/>
    </row>
    <row r="480" spans="2:48">
      <c r="B480" s="250">
        <f t="shared" si="623"/>
        <v>825</v>
      </c>
      <c r="C480" s="212"/>
      <c r="D480" s="102"/>
      <c r="E480" s="102" t="s">
        <v>14</v>
      </c>
      <c r="F480" s="102"/>
      <c r="G480" s="186">
        <v>20499.18</v>
      </c>
      <c r="H480" s="186">
        <v>14870.1</v>
      </c>
      <c r="I480" s="186">
        <v>13522.210000000001</v>
      </c>
      <c r="J480" s="186">
        <v>17291.399999999998</v>
      </c>
      <c r="K480" s="186">
        <v>9301.4600000000009</v>
      </c>
      <c r="L480" s="186">
        <v>12926.88</v>
      </c>
      <c r="M480" s="186">
        <v>9102.39</v>
      </c>
      <c r="N480" s="186">
        <v>14626.9</v>
      </c>
      <c r="O480" s="186">
        <v>15088.04</v>
      </c>
      <c r="P480" s="186">
        <v>2114.08</v>
      </c>
      <c r="Q480" s="186">
        <v>20016.060000000001</v>
      </c>
      <c r="R480" s="186">
        <v>13413.29</v>
      </c>
      <c r="S480" s="186"/>
      <c r="T480" s="186">
        <f t="shared" ref="T480:W481" si="657">G480*(1+$AU$264)</f>
        <v>19315.988248326517</v>
      </c>
      <c r="U480" s="186">
        <f t="shared" si="657"/>
        <v>14011.81300185862</v>
      </c>
      <c r="V480" s="186">
        <f t="shared" si="657"/>
        <v>12741.721837234629</v>
      </c>
      <c r="W480" s="186">
        <f t="shared" si="657"/>
        <v>16293.358036619666</v>
      </c>
      <c r="X480" s="186">
        <f t="shared" ref="X480:AE481" si="658">K480*(1+$AU$264)</f>
        <v>8764.5892202653558</v>
      </c>
      <c r="Y480" s="186">
        <f t="shared" si="658"/>
        <v>12180.753677343537</v>
      </c>
      <c r="Z480" s="186">
        <f t="shared" si="658"/>
        <v>8577.0093375288579</v>
      </c>
      <c r="AA480" s="186">
        <f t="shared" si="658"/>
        <v>13782.650257690657</v>
      </c>
      <c r="AB480" s="186">
        <f t="shared" si="658"/>
        <v>14217.173727450583</v>
      </c>
      <c r="AC480" s="186">
        <f t="shared" si="658"/>
        <v>1992.0574596653196</v>
      </c>
      <c r="AD480" s="186">
        <f t="shared" si="658"/>
        <v>18860.753441737597</v>
      </c>
      <c r="AE480" s="186">
        <f t="shared" si="658"/>
        <v>12639.088588489667</v>
      </c>
      <c r="AF480" s="186">
        <f t="shared" ref="AF480:AQ481" si="659">T480*(1+$AV$264)</f>
        <v>19433.631397092569</v>
      </c>
      <c r="AG480" s="186">
        <f t="shared" si="659"/>
        <v>14097.15131229182</v>
      </c>
      <c r="AH480" s="186">
        <f t="shared" si="659"/>
        <v>12819.324715138808</v>
      </c>
      <c r="AI480" s="186">
        <f t="shared" si="659"/>
        <v>16392.591993420538</v>
      </c>
      <c r="AJ480" s="186">
        <f t="shared" si="659"/>
        <v>8817.9695526748219</v>
      </c>
      <c r="AK480" s="186">
        <f t="shared" si="659"/>
        <v>12254.940004158605</v>
      </c>
      <c r="AL480" s="186">
        <f t="shared" si="659"/>
        <v>8629.2472231855827</v>
      </c>
      <c r="AM480" s="186">
        <f t="shared" si="659"/>
        <v>13866.592862842968</v>
      </c>
      <c r="AN480" s="186">
        <f t="shared" si="659"/>
        <v>14303.762778052029</v>
      </c>
      <c r="AO480" s="186">
        <f t="shared" si="659"/>
        <v>2004.1899951103146</v>
      </c>
      <c r="AP480" s="186">
        <f t="shared" si="659"/>
        <v>18975.624003598619</v>
      </c>
      <c r="AQ480" s="186">
        <f t="shared" si="659"/>
        <v>12716.066383255711</v>
      </c>
      <c r="AR480" s="186">
        <f>SUM(G480:R480)</f>
        <v>162771.99000000002</v>
      </c>
      <c r="AS480" s="186">
        <f>SUM(T480:AE480)</f>
        <v>153376.95683421099</v>
      </c>
      <c r="AT480" s="186">
        <f>SUM(AF480:AQ480)</f>
        <v>154311.09222082238</v>
      </c>
      <c r="AU480" s="171"/>
      <c r="AV480" s="171"/>
    </row>
    <row r="481" spans="2:48">
      <c r="B481" s="250">
        <f t="shared" si="623"/>
        <v>826</v>
      </c>
      <c r="C481" s="212"/>
      <c r="D481" s="102"/>
      <c r="E481" s="102" t="s">
        <v>24</v>
      </c>
      <c r="F481" s="102"/>
      <c r="G481" s="186">
        <v>1163.51</v>
      </c>
      <c r="H481" s="186">
        <v>480.18</v>
      </c>
      <c r="I481" s="186">
        <v>382.38</v>
      </c>
      <c r="J481" s="186">
        <v>807.06000000000006</v>
      </c>
      <c r="K481" s="186">
        <v>950.09</v>
      </c>
      <c r="L481" s="186">
        <v>553.27</v>
      </c>
      <c r="M481" s="186">
        <v>154.01</v>
      </c>
      <c r="N481" s="186">
        <v>586.44000000000005</v>
      </c>
      <c r="O481" s="186">
        <v>695.56000000000006</v>
      </c>
      <c r="P481" s="186">
        <v>41.59</v>
      </c>
      <c r="Q481" s="186">
        <v>-218.95000000000002</v>
      </c>
      <c r="R481" s="186">
        <v>-976.45</v>
      </c>
      <c r="S481" s="186"/>
      <c r="T481" s="186">
        <f t="shared" si="657"/>
        <v>1096.3533900775733</v>
      </c>
      <c r="U481" s="186">
        <f t="shared" si="657"/>
        <v>452.4645003888657</v>
      </c>
      <c r="V481" s="186">
        <f t="shared" si="657"/>
        <v>360.30941659105849</v>
      </c>
      <c r="W481" s="186">
        <f t="shared" si="657"/>
        <v>760.47732034619924</v>
      </c>
      <c r="X481" s="186">
        <f t="shared" si="658"/>
        <v>895.25177469794119</v>
      </c>
      <c r="Y481" s="186">
        <f t="shared" si="658"/>
        <v>521.33582017190997</v>
      </c>
      <c r="Z481" s="186">
        <f t="shared" si="658"/>
        <v>145.12069995603565</v>
      </c>
      <c r="AA481" s="186">
        <f t="shared" si="658"/>
        <v>552.59128161948934</v>
      </c>
      <c r="AB481" s="186">
        <f t="shared" si="658"/>
        <v>655.41298656853564</v>
      </c>
      <c r="AC481" s="186">
        <f t="shared" si="658"/>
        <v>39.189467639578751</v>
      </c>
      <c r="AD481" s="186">
        <f t="shared" si="658"/>
        <v>-206.31242942259601</v>
      </c>
      <c r="AE481" s="186">
        <f t="shared" si="658"/>
        <v>-920.09030239640947</v>
      </c>
      <c r="AF481" s="186">
        <f t="shared" si="659"/>
        <v>1103.0306805848418</v>
      </c>
      <c r="AG481" s="186">
        <f t="shared" si="659"/>
        <v>455.22021486985875</v>
      </c>
      <c r="AH481" s="186">
        <f t="shared" si="659"/>
        <v>362.50386472143066</v>
      </c>
      <c r="AI481" s="186">
        <f t="shared" si="659"/>
        <v>765.1089729119667</v>
      </c>
      <c r="AJ481" s="186">
        <f t="shared" si="659"/>
        <v>900.70426495419235</v>
      </c>
      <c r="AK481" s="186">
        <f t="shared" si="659"/>
        <v>524.51099229673605</v>
      </c>
      <c r="AL481" s="186">
        <f t="shared" si="659"/>
        <v>146.00455098526996</v>
      </c>
      <c r="AM481" s="186">
        <f t="shared" si="659"/>
        <v>555.95681371210787</v>
      </c>
      <c r="AN481" s="186">
        <f t="shared" si="659"/>
        <v>659.40474958323739</v>
      </c>
      <c r="AO481" s="186">
        <f t="shared" si="659"/>
        <v>39.428149311586125</v>
      </c>
      <c r="AP481" s="186">
        <f t="shared" si="659"/>
        <v>-207.56896589977836</v>
      </c>
      <c r="AQ481" s="186">
        <f t="shared" si="659"/>
        <v>-925.69407057702017</v>
      </c>
      <c r="AR481" s="186">
        <f>SUM(G481:R481)</f>
        <v>4618.6900000000014</v>
      </c>
      <c r="AS481" s="186">
        <f>SUM(T481:AE481)</f>
        <v>4352.103926238181</v>
      </c>
      <c r="AT481" s="186">
        <f>SUM(AF481:AQ481)</f>
        <v>4378.6102174544285</v>
      </c>
      <c r="AU481" s="171"/>
      <c r="AV481" s="171"/>
    </row>
    <row r="482" spans="2:48">
      <c r="B482" s="250">
        <f t="shared" si="623"/>
        <v>827</v>
      </c>
      <c r="C482" s="212"/>
      <c r="D482" s="102"/>
      <c r="E482" s="102" t="s">
        <v>170</v>
      </c>
      <c r="F482" s="102"/>
      <c r="G482" s="1216">
        <v>21662.69</v>
      </c>
      <c r="H482" s="1216">
        <v>15350.28</v>
      </c>
      <c r="I482" s="1216">
        <v>13904.59</v>
      </c>
      <c r="J482" s="1216">
        <v>18098.46</v>
      </c>
      <c r="K482" s="1216">
        <v>10251.550000000001</v>
      </c>
      <c r="L482" s="1216">
        <v>13480.15</v>
      </c>
      <c r="M482" s="1216">
        <v>9256.4</v>
      </c>
      <c r="N482" s="1216">
        <v>15213.34</v>
      </c>
      <c r="O482" s="1216">
        <v>15783.6</v>
      </c>
      <c r="P482" s="1216">
        <v>2155.67</v>
      </c>
      <c r="Q482" s="1216">
        <v>19797.11</v>
      </c>
      <c r="R482" s="1216">
        <v>12436.84</v>
      </c>
      <c r="S482" s="620"/>
      <c r="T482" s="131">
        <f t="shared" ref="T482:Y482" si="660">SUM(T480:T481)</f>
        <v>20412.34163840409</v>
      </c>
      <c r="U482" s="131">
        <f t="shared" si="660"/>
        <v>14464.277502247485</v>
      </c>
      <c r="V482" s="131">
        <f t="shared" si="660"/>
        <v>13102.031253825688</v>
      </c>
      <c r="W482" s="131">
        <f t="shared" si="660"/>
        <v>17053.835356965865</v>
      </c>
      <c r="X482" s="131">
        <f t="shared" si="660"/>
        <v>9659.8409949632969</v>
      </c>
      <c r="Y482" s="131">
        <f t="shared" si="660"/>
        <v>12702.089497515446</v>
      </c>
      <c r="Z482" s="131">
        <f t="shared" ref="Z482:AE482" si="661">SUM(Z480:Z481)</f>
        <v>8722.1300374848943</v>
      </c>
      <c r="AA482" s="131">
        <f t="shared" si="661"/>
        <v>14335.241539310146</v>
      </c>
      <c r="AB482" s="131">
        <f t="shared" si="661"/>
        <v>14872.586714019119</v>
      </c>
      <c r="AC482" s="131">
        <f t="shared" si="661"/>
        <v>2031.2469273048982</v>
      </c>
      <c r="AD482" s="131">
        <f t="shared" si="661"/>
        <v>18654.441012315001</v>
      </c>
      <c r="AE482" s="131">
        <f t="shared" si="661"/>
        <v>11718.998286093258</v>
      </c>
      <c r="AF482" s="131">
        <f t="shared" ref="AF482:AQ482" si="662">SUM(AF480:AF481)</f>
        <v>20536.662077677411</v>
      </c>
      <c r="AG482" s="131">
        <f t="shared" si="662"/>
        <v>14552.371527161678</v>
      </c>
      <c r="AH482" s="131">
        <f t="shared" si="662"/>
        <v>13181.828579860239</v>
      </c>
      <c r="AI482" s="131">
        <f t="shared" si="662"/>
        <v>17157.700966332504</v>
      </c>
      <c r="AJ482" s="131">
        <f t="shared" si="662"/>
        <v>9718.6738176290146</v>
      </c>
      <c r="AK482" s="131">
        <f t="shared" si="662"/>
        <v>12779.450996455342</v>
      </c>
      <c r="AL482" s="131">
        <f t="shared" si="662"/>
        <v>8775.2517741708525</v>
      </c>
      <c r="AM482" s="131">
        <f t="shared" si="662"/>
        <v>14422.549676555076</v>
      </c>
      <c r="AN482" s="131">
        <f t="shared" si="662"/>
        <v>14963.167527635265</v>
      </c>
      <c r="AO482" s="131">
        <f t="shared" si="662"/>
        <v>2043.6181444219008</v>
      </c>
      <c r="AP482" s="131">
        <f t="shared" si="662"/>
        <v>18768.055037698839</v>
      </c>
      <c r="AQ482" s="131">
        <f t="shared" si="662"/>
        <v>11790.372312678692</v>
      </c>
      <c r="AR482" s="131">
        <f>SUM(G482:R482)</f>
        <v>167390.67999999996</v>
      </c>
      <c r="AS482" s="131">
        <f>SUM(T482:AE482)</f>
        <v>157729.06076044918</v>
      </c>
      <c r="AT482" s="131">
        <f>SUM(AF482:AQ482)</f>
        <v>158689.70243827681</v>
      </c>
      <c r="AU482" s="621"/>
      <c r="AV482" s="621"/>
    </row>
    <row r="483" spans="2:48">
      <c r="B483" s="250">
        <f t="shared" si="623"/>
        <v>828</v>
      </c>
      <c r="C483" s="212">
        <v>928</v>
      </c>
      <c r="D483" s="102" t="s">
        <v>1040</v>
      </c>
      <c r="E483" s="102"/>
      <c r="F483" s="102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71"/>
      <c r="AV483" s="171"/>
    </row>
    <row r="484" spans="2:48">
      <c r="B484" s="250">
        <f t="shared" si="623"/>
        <v>829</v>
      </c>
      <c r="C484" s="212"/>
      <c r="D484" s="102"/>
      <c r="E484" s="102" t="s">
        <v>14</v>
      </c>
      <c r="F484" s="102"/>
      <c r="G484" s="186">
        <v>0</v>
      </c>
      <c r="H484" s="186">
        <v>0</v>
      </c>
      <c r="I484" s="186">
        <v>0</v>
      </c>
      <c r="J484" s="186">
        <v>0</v>
      </c>
      <c r="K484" s="186">
        <v>0</v>
      </c>
      <c r="L484" s="186">
        <v>0</v>
      </c>
      <c r="M484" s="186">
        <v>0</v>
      </c>
      <c r="N484" s="186">
        <v>0</v>
      </c>
      <c r="O484" s="186">
        <v>0</v>
      </c>
      <c r="P484" s="186">
        <v>0</v>
      </c>
      <c r="Q484" s="186">
        <v>0</v>
      </c>
      <c r="R484" s="186">
        <v>0</v>
      </c>
      <c r="S484" s="186"/>
      <c r="T484" s="186">
        <f t="shared" ref="T484:W485" si="663">G484*(1+$AU$264)</f>
        <v>0</v>
      </c>
      <c r="U484" s="186">
        <f t="shared" si="663"/>
        <v>0</v>
      </c>
      <c r="V484" s="186">
        <f t="shared" si="663"/>
        <v>0</v>
      </c>
      <c r="W484" s="186">
        <f t="shared" si="663"/>
        <v>0</v>
      </c>
      <c r="X484" s="186">
        <f t="shared" ref="X484:AE485" si="664">K484*(1+$AU$264)</f>
        <v>0</v>
      </c>
      <c r="Y484" s="186">
        <f t="shared" si="664"/>
        <v>0</v>
      </c>
      <c r="Z484" s="186">
        <f t="shared" si="664"/>
        <v>0</v>
      </c>
      <c r="AA484" s="186">
        <f t="shared" si="664"/>
        <v>0</v>
      </c>
      <c r="AB484" s="186">
        <f t="shared" si="664"/>
        <v>0</v>
      </c>
      <c r="AC484" s="186">
        <f t="shared" si="664"/>
        <v>0</v>
      </c>
      <c r="AD484" s="186">
        <f t="shared" si="664"/>
        <v>0</v>
      </c>
      <c r="AE484" s="186">
        <f t="shared" si="664"/>
        <v>0</v>
      </c>
      <c r="AF484" s="186">
        <f t="shared" ref="AF484:AQ485" si="665">T484*(1+$AV$264)</f>
        <v>0</v>
      </c>
      <c r="AG484" s="186">
        <f t="shared" si="665"/>
        <v>0</v>
      </c>
      <c r="AH484" s="186">
        <f t="shared" si="665"/>
        <v>0</v>
      </c>
      <c r="AI484" s="186">
        <f t="shared" si="665"/>
        <v>0</v>
      </c>
      <c r="AJ484" s="186">
        <f t="shared" si="665"/>
        <v>0</v>
      </c>
      <c r="AK484" s="186">
        <f t="shared" si="665"/>
        <v>0</v>
      </c>
      <c r="AL484" s="186">
        <f t="shared" si="665"/>
        <v>0</v>
      </c>
      <c r="AM484" s="186">
        <f t="shared" si="665"/>
        <v>0</v>
      </c>
      <c r="AN484" s="186">
        <f t="shared" si="665"/>
        <v>0</v>
      </c>
      <c r="AO484" s="186">
        <f t="shared" si="665"/>
        <v>0</v>
      </c>
      <c r="AP484" s="186">
        <f t="shared" si="665"/>
        <v>0</v>
      </c>
      <c r="AQ484" s="186">
        <f t="shared" si="665"/>
        <v>0</v>
      </c>
      <c r="AR484" s="186">
        <f>SUM(G484:R484)</f>
        <v>0</v>
      </c>
      <c r="AS484" s="186">
        <f>SUM(T484:AE484)</f>
        <v>0</v>
      </c>
      <c r="AT484" s="186">
        <f>SUM(AF484:AQ484)</f>
        <v>0</v>
      </c>
      <c r="AU484" s="171"/>
      <c r="AV484" s="171"/>
    </row>
    <row r="485" spans="2:48">
      <c r="B485" s="250">
        <f t="shared" si="623"/>
        <v>830</v>
      </c>
      <c r="C485" s="212"/>
      <c r="D485" s="102"/>
      <c r="E485" s="102" t="s">
        <v>24</v>
      </c>
      <c r="F485" s="102"/>
      <c r="G485" s="186">
        <v>0</v>
      </c>
      <c r="H485" s="186">
        <v>0</v>
      </c>
      <c r="I485" s="186">
        <v>0</v>
      </c>
      <c r="J485" s="186">
        <v>0</v>
      </c>
      <c r="K485" s="186">
        <v>0</v>
      </c>
      <c r="L485" s="186">
        <v>0</v>
      </c>
      <c r="M485" s="186">
        <v>0</v>
      </c>
      <c r="N485" s="186">
        <v>0</v>
      </c>
      <c r="O485" s="186">
        <v>0</v>
      </c>
      <c r="P485" s="186">
        <v>0</v>
      </c>
      <c r="Q485" s="186">
        <v>0</v>
      </c>
      <c r="R485" s="186">
        <v>0</v>
      </c>
      <c r="S485" s="186"/>
      <c r="T485" s="186">
        <f t="shared" si="663"/>
        <v>0</v>
      </c>
      <c r="U485" s="186">
        <f t="shared" si="663"/>
        <v>0</v>
      </c>
      <c r="V485" s="186">
        <f t="shared" si="663"/>
        <v>0</v>
      </c>
      <c r="W485" s="186">
        <f t="shared" si="663"/>
        <v>0</v>
      </c>
      <c r="X485" s="186">
        <f t="shared" si="664"/>
        <v>0</v>
      </c>
      <c r="Y485" s="186">
        <f t="shared" si="664"/>
        <v>0</v>
      </c>
      <c r="Z485" s="186">
        <f t="shared" si="664"/>
        <v>0</v>
      </c>
      <c r="AA485" s="186">
        <f t="shared" si="664"/>
        <v>0</v>
      </c>
      <c r="AB485" s="186">
        <f t="shared" si="664"/>
        <v>0</v>
      </c>
      <c r="AC485" s="186">
        <f t="shared" si="664"/>
        <v>0</v>
      </c>
      <c r="AD485" s="186">
        <f t="shared" si="664"/>
        <v>0</v>
      </c>
      <c r="AE485" s="186">
        <f t="shared" si="664"/>
        <v>0</v>
      </c>
      <c r="AF485" s="186">
        <f t="shared" si="665"/>
        <v>0</v>
      </c>
      <c r="AG485" s="186">
        <f t="shared" si="665"/>
        <v>0</v>
      </c>
      <c r="AH485" s="186">
        <f t="shared" si="665"/>
        <v>0</v>
      </c>
      <c r="AI485" s="186">
        <f t="shared" si="665"/>
        <v>0</v>
      </c>
      <c r="AJ485" s="186">
        <f t="shared" si="665"/>
        <v>0</v>
      </c>
      <c r="AK485" s="186">
        <f t="shared" si="665"/>
        <v>0</v>
      </c>
      <c r="AL485" s="186">
        <f t="shared" si="665"/>
        <v>0</v>
      </c>
      <c r="AM485" s="186">
        <f t="shared" si="665"/>
        <v>0</v>
      </c>
      <c r="AN485" s="186">
        <f t="shared" si="665"/>
        <v>0</v>
      </c>
      <c r="AO485" s="186">
        <f t="shared" si="665"/>
        <v>0</v>
      </c>
      <c r="AP485" s="186">
        <f t="shared" si="665"/>
        <v>0</v>
      </c>
      <c r="AQ485" s="186">
        <f t="shared" si="665"/>
        <v>0</v>
      </c>
      <c r="AR485" s="186">
        <f>SUM(G485:R485)</f>
        <v>0</v>
      </c>
      <c r="AS485" s="186">
        <f>SUM(T485:AE485)</f>
        <v>0</v>
      </c>
      <c r="AT485" s="186">
        <f>SUM(AF485:AQ485)</f>
        <v>0</v>
      </c>
      <c r="AU485" s="171"/>
      <c r="AV485" s="171"/>
    </row>
    <row r="486" spans="2:48">
      <c r="B486" s="250">
        <f t="shared" si="623"/>
        <v>831</v>
      </c>
      <c r="C486" s="212"/>
      <c r="D486" s="102"/>
      <c r="E486" s="102" t="s">
        <v>170</v>
      </c>
      <c r="F486" s="102"/>
      <c r="G486" s="1216">
        <v>0</v>
      </c>
      <c r="H486" s="1216">
        <v>0</v>
      </c>
      <c r="I486" s="1216">
        <v>0</v>
      </c>
      <c r="J486" s="1216">
        <v>0</v>
      </c>
      <c r="K486" s="1216">
        <v>0</v>
      </c>
      <c r="L486" s="1216">
        <v>0</v>
      </c>
      <c r="M486" s="1216">
        <v>0</v>
      </c>
      <c r="N486" s="1216">
        <v>0</v>
      </c>
      <c r="O486" s="1216">
        <v>0</v>
      </c>
      <c r="P486" s="1216">
        <v>0</v>
      </c>
      <c r="Q486" s="1216">
        <v>0</v>
      </c>
      <c r="R486" s="1216">
        <v>0</v>
      </c>
      <c r="S486" s="620"/>
      <c r="T486" s="131">
        <f t="shared" ref="T486:Y486" si="666">SUM(T484:T485)</f>
        <v>0</v>
      </c>
      <c r="U486" s="131">
        <f t="shared" si="666"/>
        <v>0</v>
      </c>
      <c r="V486" s="131">
        <f t="shared" si="666"/>
        <v>0</v>
      </c>
      <c r="W486" s="131">
        <f t="shared" si="666"/>
        <v>0</v>
      </c>
      <c r="X486" s="131">
        <f t="shared" si="666"/>
        <v>0</v>
      </c>
      <c r="Y486" s="131">
        <f t="shared" si="666"/>
        <v>0</v>
      </c>
      <c r="Z486" s="131">
        <f t="shared" ref="Z486:AE486" si="667">SUM(Z484:Z485)</f>
        <v>0</v>
      </c>
      <c r="AA486" s="131">
        <f t="shared" si="667"/>
        <v>0</v>
      </c>
      <c r="AB486" s="131">
        <f t="shared" si="667"/>
        <v>0</v>
      </c>
      <c r="AC486" s="131">
        <f t="shared" si="667"/>
        <v>0</v>
      </c>
      <c r="AD486" s="131">
        <f t="shared" si="667"/>
        <v>0</v>
      </c>
      <c r="AE486" s="131">
        <f t="shared" si="667"/>
        <v>0</v>
      </c>
      <c r="AF486" s="131">
        <f t="shared" ref="AF486:AQ486" si="668">SUM(AF484:AF485)</f>
        <v>0</v>
      </c>
      <c r="AG486" s="131">
        <f t="shared" si="668"/>
        <v>0</v>
      </c>
      <c r="AH486" s="131">
        <f t="shared" si="668"/>
        <v>0</v>
      </c>
      <c r="AI486" s="131">
        <f t="shared" si="668"/>
        <v>0</v>
      </c>
      <c r="AJ486" s="131">
        <f t="shared" si="668"/>
        <v>0</v>
      </c>
      <c r="AK486" s="131">
        <f t="shared" si="668"/>
        <v>0</v>
      </c>
      <c r="AL486" s="131">
        <f t="shared" si="668"/>
        <v>0</v>
      </c>
      <c r="AM486" s="131">
        <f t="shared" si="668"/>
        <v>0</v>
      </c>
      <c r="AN486" s="131">
        <f t="shared" si="668"/>
        <v>0</v>
      </c>
      <c r="AO486" s="131">
        <f t="shared" si="668"/>
        <v>0</v>
      </c>
      <c r="AP486" s="131">
        <f t="shared" si="668"/>
        <v>0</v>
      </c>
      <c r="AQ486" s="131">
        <f t="shared" si="668"/>
        <v>0</v>
      </c>
      <c r="AR486" s="131">
        <f>SUM(G486:R486)</f>
        <v>0</v>
      </c>
      <c r="AS486" s="131">
        <f>SUM(T486:AE486)</f>
        <v>0</v>
      </c>
      <c r="AT486" s="131">
        <f>SUM(AF486:AQ486)</f>
        <v>0</v>
      </c>
      <c r="AU486" s="621"/>
      <c r="AV486" s="621"/>
    </row>
    <row r="487" spans="2:48">
      <c r="B487" s="250">
        <f t="shared" si="623"/>
        <v>832</v>
      </c>
      <c r="C487" s="212">
        <v>9301</v>
      </c>
      <c r="D487" s="102" t="s">
        <v>433</v>
      </c>
      <c r="E487" s="102"/>
      <c r="F487" s="102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71"/>
      <c r="AV487" s="171"/>
    </row>
    <row r="488" spans="2:48">
      <c r="B488" s="250">
        <f t="shared" si="623"/>
        <v>833</v>
      </c>
      <c r="C488" s="212"/>
      <c r="D488" s="102"/>
      <c r="E488" s="102" t="s">
        <v>14</v>
      </c>
      <c r="F488" s="102"/>
      <c r="G488" s="186">
        <v>0</v>
      </c>
      <c r="H488" s="186">
        <v>0</v>
      </c>
      <c r="I488" s="186">
        <v>0</v>
      </c>
      <c r="J488" s="186">
        <v>0</v>
      </c>
      <c r="K488" s="186">
        <v>0</v>
      </c>
      <c r="L488" s="186">
        <v>0</v>
      </c>
      <c r="M488" s="186">
        <v>0</v>
      </c>
      <c r="N488" s="186">
        <v>0</v>
      </c>
      <c r="O488" s="186">
        <v>0</v>
      </c>
      <c r="P488" s="186">
        <v>0</v>
      </c>
      <c r="Q488" s="186">
        <v>0</v>
      </c>
      <c r="R488" s="186">
        <v>0</v>
      </c>
      <c r="S488" s="186"/>
      <c r="T488" s="186">
        <f t="shared" ref="T488:W489" si="669">G488*(1+$AU$264)</f>
        <v>0</v>
      </c>
      <c r="U488" s="186">
        <f t="shared" si="669"/>
        <v>0</v>
      </c>
      <c r="V488" s="186">
        <f t="shared" si="669"/>
        <v>0</v>
      </c>
      <c r="W488" s="186">
        <f t="shared" si="669"/>
        <v>0</v>
      </c>
      <c r="X488" s="186">
        <f t="shared" ref="X488:AE489" si="670">K488*(1+$AU$264)</f>
        <v>0</v>
      </c>
      <c r="Y488" s="186">
        <f t="shared" si="670"/>
        <v>0</v>
      </c>
      <c r="Z488" s="186">
        <f t="shared" si="670"/>
        <v>0</v>
      </c>
      <c r="AA488" s="186">
        <f t="shared" si="670"/>
        <v>0</v>
      </c>
      <c r="AB488" s="186">
        <f t="shared" si="670"/>
        <v>0</v>
      </c>
      <c r="AC488" s="186">
        <f t="shared" si="670"/>
        <v>0</v>
      </c>
      <c r="AD488" s="186">
        <f t="shared" si="670"/>
        <v>0</v>
      </c>
      <c r="AE488" s="186">
        <f t="shared" si="670"/>
        <v>0</v>
      </c>
      <c r="AF488" s="186">
        <f t="shared" ref="AF488:AQ489" si="671">T488*(1+$AV$264)</f>
        <v>0</v>
      </c>
      <c r="AG488" s="186">
        <f t="shared" si="671"/>
        <v>0</v>
      </c>
      <c r="AH488" s="186">
        <f t="shared" si="671"/>
        <v>0</v>
      </c>
      <c r="AI488" s="186">
        <f t="shared" si="671"/>
        <v>0</v>
      </c>
      <c r="AJ488" s="186">
        <f t="shared" si="671"/>
        <v>0</v>
      </c>
      <c r="AK488" s="186">
        <f t="shared" si="671"/>
        <v>0</v>
      </c>
      <c r="AL488" s="186">
        <f t="shared" si="671"/>
        <v>0</v>
      </c>
      <c r="AM488" s="186">
        <f t="shared" si="671"/>
        <v>0</v>
      </c>
      <c r="AN488" s="186">
        <f t="shared" si="671"/>
        <v>0</v>
      </c>
      <c r="AO488" s="186">
        <f t="shared" si="671"/>
        <v>0</v>
      </c>
      <c r="AP488" s="186">
        <f t="shared" si="671"/>
        <v>0</v>
      </c>
      <c r="AQ488" s="186">
        <f t="shared" si="671"/>
        <v>0</v>
      </c>
      <c r="AR488" s="186">
        <f>SUM(G488:R488)</f>
        <v>0</v>
      </c>
      <c r="AS488" s="186">
        <f>SUM(T488:AE488)</f>
        <v>0</v>
      </c>
      <c r="AT488" s="186">
        <f>SUM(AF488:AQ488)</f>
        <v>0</v>
      </c>
      <c r="AU488" s="171"/>
      <c r="AV488" s="171"/>
    </row>
    <row r="489" spans="2:48">
      <c r="B489" s="250">
        <f t="shared" si="623"/>
        <v>834</v>
      </c>
      <c r="C489" s="212"/>
      <c r="D489" s="102"/>
      <c r="E489" s="102" t="s">
        <v>24</v>
      </c>
      <c r="F489" s="102"/>
      <c r="G489" s="186">
        <v>0</v>
      </c>
      <c r="H489" s="186">
        <v>0</v>
      </c>
      <c r="I489" s="186">
        <v>0</v>
      </c>
      <c r="J489" s="186">
        <v>0</v>
      </c>
      <c r="K489" s="186">
        <v>0</v>
      </c>
      <c r="L489" s="186">
        <v>0</v>
      </c>
      <c r="M489" s="186">
        <v>0</v>
      </c>
      <c r="N489" s="186">
        <v>0</v>
      </c>
      <c r="O489" s="186">
        <v>0</v>
      </c>
      <c r="P489" s="186">
        <v>0</v>
      </c>
      <c r="Q489" s="186">
        <v>0</v>
      </c>
      <c r="R489" s="186">
        <v>0</v>
      </c>
      <c r="S489" s="186"/>
      <c r="T489" s="186">
        <f t="shared" si="669"/>
        <v>0</v>
      </c>
      <c r="U489" s="186">
        <f t="shared" si="669"/>
        <v>0</v>
      </c>
      <c r="V489" s="186">
        <f t="shared" si="669"/>
        <v>0</v>
      </c>
      <c r="W489" s="186">
        <f t="shared" si="669"/>
        <v>0</v>
      </c>
      <c r="X489" s="186">
        <f t="shared" si="670"/>
        <v>0</v>
      </c>
      <c r="Y489" s="186">
        <f t="shared" si="670"/>
        <v>0</v>
      </c>
      <c r="Z489" s="186">
        <f t="shared" si="670"/>
        <v>0</v>
      </c>
      <c r="AA489" s="186">
        <f t="shared" si="670"/>
        <v>0</v>
      </c>
      <c r="AB489" s="186">
        <f t="shared" si="670"/>
        <v>0</v>
      </c>
      <c r="AC489" s="186">
        <f t="shared" si="670"/>
        <v>0</v>
      </c>
      <c r="AD489" s="186">
        <f t="shared" si="670"/>
        <v>0</v>
      </c>
      <c r="AE489" s="186">
        <f t="shared" si="670"/>
        <v>0</v>
      </c>
      <c r="AF489" s="186">
        <f t="shared" si="671"/>
        <v>0</v>
      </c>
      <c r="AG489" s="186">
        <f t="shared" si="671"/>
        <v>0</v>
      </c>
      <c r="AH489" s="186">
        <f t="shared" si="671"/>
        <v>0</v>
      </c>
      <c r="AI489" s="186">
        <f t="shared" si="671"/>
        <v>0</v>
      </c>
      <c r="AJ489" s="186">
        <f t="shared" si="671"/>
        <v>0</v>
      </c>
      <c r="AK489" s="186">
        <f t="shared" si="671"/>
        <v>0</v>
      </c>
      <c r="AL489" s="186">
        <f t="shared" si="671"/>
        <v>0</v>
      </c>
      <c r="AM489" s="186">
        <f t="shared" si="671"/>
        <v>0</v>
      </c>
      <c r="AN489" s="186">
        <f t="shared" si="671"/>
        <v>0</v>
      </c>
      <c r="AO489" s="186">
        <f t="shared" si="671"/>
        <v>0</v>
      </c>
      <c r="AP489" s="186">
        <f t="shared" si="671"/>
        <v>0</v>
      </c>
      <c r="AQ489" s="186">
        <f t="shared" si="671"/>
        <v>0</v>
      </c>
      <c r="AR489" s="186">
        <f>SUM(G489:R489)</f>
        <v>0</v>
      </c>
      <c r="AS489" s="186">
        <f>SUM(T489:AE489)</f>
        <v>0</v>
      </c>
      <c r="AT489" s="186">
        <f>SUM(AF489:AQ489)</f>
        <v>0</v>
      </c>
      <c r="AU489" s="171"/>
      <c r="AV489" s="171"/>
    </row>
    <row r="490" spans="2:48">
      <c r="B490" s="250">
        <f t="shared" si="623"/>
        <v>835</v>
      </c>
      <c r="C490" s="212"/>
      <c r="D490" s="102"/>
      <c r="E490" s="102" t="s">
        <v>170</v>
      </c>
      <c r="F490" s="102"/>
      <c r="G490" s="1216">
        <v>0</v>
      </c>
      <c r="H490" s="1216">
        <v>0</v>
      </c>
      <c r="I490" s="1216">
        <v>0</v>
      </c>
      <c r="J490" s="1216">
        <v>0</v>
      </c>
      <c r="K490" s="1216">
        <v>0</v>
      </c>
      <c r="L490" s="1216">
        <v>0</v>
      </c>
      <c r="M490" s="1216">
        <v>0</v>
      </c>
      <c r="N490" s="1216">
        <v>0</v>
      </c>
      <c r="O490" s="1216">
        <v>0</v>
      </c>
      <c r="P490" s="1216">
        <v>0</v>
      </c>
      <c r="Q490" s="1216">
        <v>0</v>
      </c>
      <c r="R490" s="1216">
        <v>0</v>
      </c>
      <c r="S490" s="620"/>
      <c r="T490" s="131">
        <f t="shared" ref="T490:Y490" si="672">SUM(T488:T489)</f>
        <v>0</v>
      </c>
      <c r="U490" s="131">
        <f t="shared" si="672"/>
        <v>0</v>
      </c>
      <c r="V490" s="131">
        <f t="shared" si="672"/>
        <v>0</v>
      </c>
      <c r="W490" s="131">
        <f t="shared" si="672"/>
        <v>0</v>
      </c>
      <c r="X490" s="131">
        <f t="shared" si="672"/>
        <v>0</v>
      </c>
      <c r="Y490" s="131">
        <f t="shared" si="672"/>
        <v>0</v>
      </c>
      <c r="Z490" s="131">
        <f t="shared" ref="Z490:AE490" si="673">SUM(Z488:Z489)</f>
        <v>0</v>
      </c>
      <c r="AA490" s="131">
        <f t="shared" si="673"/>
        <v>0</v>
      </c>
      <c r="AB490" s="131">
        <f t="shared" si="673"/>
        <v>0</v>
      </c>
      <c r="AC490" s="131">
        <f t="shared" si="673"/>
        <v>0</v>
      </c>
      <c r="AD490" s="131">
        <f t="shared" si="673"/>
        <v>0</v>
      </c>
      <c r="AE490" s="131">
        <f t="shared" si="673"/>
        <v>0</v>
      </c>
      <c r="AF490" s="131">
        <f t="shared" ref="AF490:AQ490" si="674">SUM(AF488:AF489)</f>
        <v>0</v>
      </c>
      <c r="AG490" s="131">
        <f t="shared" si="674"/>
        <v>0</v>
      </c>
      <c r="AH490" s="131">
        <f t="shared" si="674"/>
        <v>0</v>
      </c>
      <c r="AI490" s="131">
        <f t="shared" si="674"/>
        <v>0</v>
      </c>
      <c r="AJ490" s="131">
        <f t="shared" si="674"/>
        <v>0</v>
      </c>
      <c r="AK490" s="131">
        <f t="shared" si="674"/>
        <v>0</v>
      </c>
      <c r="AL490" s="131">
        <f t="shared" si="674"/>
        <v>0</v>
      </c>
      <c r="AM490" s="131">
        <f t="shared" si="674"/>
        <v>0</v>
      </c>
      <c r="AN490" s="131">
        <f t="shared" si="674"/>
        <v>0</v>
      </c>
      <c r="AO490" s="131">
        <f t="shared" si="674"/>
        <v>0</v>
      </c>
      <c r="AP490" s="131">
        <f t="shared" si="674"/>
        <v>0</v>
      </c>
      <c r="AQ490" s="131">
        <f t="shared" si="674"/>
        <v>0</v>
      </c>
      <c r="AR490" s="131">
        <f>SUM(G490:R490)</f>
        <v>0</v>
      </c>
      <c r="AS490" s="131">
        <f>SUM(T490:AE490)</f>
        <v>0</v>
      </c>
      <c r="AT490" s="131">
        <f>SUM(AF490:AQ490)</f>
        <v>0</v>
      </c>
      <c r="AU490" s="621"/>
      <c r="AV490" s="621"/>
    </row>
    <row r="491" spans="2:48">
      <c r="B491" s="250">
        <f t="shared" si="623"/>
        <v>836</v>
      </c>
      <c r="C491" s="212">
        <v>9302</v>
      </c>
      <c r="D491" s="102" t="s">
        <v>435</v>
      </c>
      <c r="E491" s="102"/>
      <c r="F491" s="102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71"/>
      <c r="AV491" s="171"/>
    </row>
    <row r="492" spans="2:48">
      <c r="B492" s="250">
        <f t="shared" si="623"/>
        <v>837</v>
      </c>
      <c r="C492" s="212"/>
      <c r="D492" s="102"/>
      <c r="E492" s="102" t="s">
        <v>14</v>
      </c>
      <c r="F492" s="102"/>
      <c r="G492" s="186">
        <v>16166.34</v>
      </c>
      <c r="H492" s="186">
        <v>18331.66</v>
      </c>
      <c r="I492" s="186">
        <v>22866.19</v>
      </c>
      <c r="J492" s="186">
        <v>19702.27</v>
      </c>
      <c r="K492" s="186">
        <v>22212.18</v>
      </c>
      <c r="L492" s="186">
        <v>13502.31</v>
      </c>
      <c r="M492" s="186">
        <v>21088.32</v>
      </c>
      <c r="N492" s="186">
        <v>22545.91</v>
      </c>
      <c r="O492" s="186">
        <v>18172.7</v>
      </c>
      <c r="P492" s="186">
        <v>25715.38</v>
      </c>
      <c r="Q492" s="186">
        <v>17569.990000000002</v>
      </c>
      <c r="R492" s="186">
        <v>15084.36</v>
      </c>
      <c r="S492" s="186"/>
      <c r="T492" s="186">
        <f t="shared" ref="T492:W493" si="675">G492*(1+$AU$264)</f>
        <v>15233.235351777532</v>
      </c>
      <c r="U492" s="186">
        <f t="shared" si="675"/>
        <v>17273.575290929555</v>
      </c>
      <c r="V492" s="186">
        <f t="shared" si="675"/>
        <v>21546.376846488558</v>
      </c>
      <c r="W492" s="186">
        <f t="shared" si="675"/>
        <v>18565.075080337658</v>
      </c>
      <c r="X492" s="186">
        <f t="shared" ref="X492:AE493" si="676">K492*(1+$AU$264)</f>
        <v>20930.115636318787</v>
      </c>
      <c r="Y492" s="186">
        <f t="shared" si="676"/>
        <v>12722.97044492812</v>
      </c>
      <c r="Z492" s="186">
        <f t="shared" si="676"/>
        <v>19871.123688701162</v>
      </c>
      <c r="AA492" s="186">
        <f t="shared" si="676"/>
        <v>21244.583081266046</v>
      </c>
      <c r="AB492" s="186">
        <f t="shared" si="676"/>
        <v>17123.790299922402</v>
      </c>
      <c r="AC492" s="186">
        <f t="shared" si="676"/>
        <v>24231.114507080321</v>
      </c>
      <c r="AD492" s="186">
        <f t="shared" si="676"/>
        <v>16555.868106100559</v>
      </c>
      <c r="AE492" s="186">
        <f t="shared" si="676"/>
        <v>14213.706133295411</v>
      </c>
      <c r="AF492" s="186">
        <f t="shared" ref="AF492:AQ493" si="677">T492*(1+$AV$264)</f>
        <v>15326.012679535157</v>
      </c>
      <c r="AG492" s="186">
        <f t="shared" si="677"/>
        <v>17378.77921637968</v>
      </c>
      <c r="AH492" s="186">
        <f t="shared" si="677"/>
        <v>21677.604075669569</v>
      </c>
      <c r="AI492" s="186">
        <f t="shared" si="677"/>
        <v>18678.144826573309</v>
      </c>
      <c r="AJ492" s="186">
        <f t="shared" si="677"/>
        <v>21057.589554600316</v>
      </c>
      <c r="AK492" s="186">
        <f t="shared" si="677"/>
        <v>12800.459118329463</v>
      </c>
      <c r="AL492" s="186">
        <f t="shared" si="677"/>
        <v>19992.147864643131</v>
      </c>
      <c r="AM492" s="186">
        <f t="shared" si="677"/>
        <v>21373.972249232571</v>
      </c>
      <c r="AN492" s="186">
        <f t="shared" si="677"/>
        <v>17228.081966690577</v>
      </c>
      <c r="AO492" s="186">
        <f t="shared" si="677"/>
        <v>24378.693008996765</v>
      </c>
      <c r="AP492" s="186">
        <f t="shared" si="677"/>
        <v>16656.700868551936</v>
      </c>
      <c r="AQ492" s="186">
        <f t="shared" si="677"/>
        <v>14300.27406467221</v>
      </c>
      <c r="AR492" s="186">
        <f>SUM(G492:R492)</f>
        <v>232957.61000000004</v>
      </c>
      <c r="AS492" s="186">
        <f>SUM(T492:AE492)</f>
        <v>219511.53446714612</v>
      </c>
      <c r="AT492" s="186">
        <f>SUM(AF492:AQ492)</f>
        <v>220848.45949387469</v>
      </c>
      <c r="AU492" s="171"/>
      <c r="AV492" s="171"/>
    </row>
    <row r="493" spans="2:48">
      <c r="B493" s="250">
        <f t="shared" si="623"/>
        <v>838</v>
      </c>
      <c r="C493" s="212"/>
      <c r="D493" s="102"/>
      <c r="E493" s="102" t="s">
        <v>24</v>
      </c>
      <c r="F493" s="102"/>
      <c r="G493" s="186">
        <v>0</v>
      </c>
      <c r="H493" s="186">
        <v>0</v>
      </c>
      <c r="I493" s="186">
        <v>0</v>
      </c>
      <c r="J493" s="186">
        <v>0</v>
      </c>
      <c r="K493" s="186">
        <v>0</v>
      </c>
      <c r="L493" s="186">
        <v>0</v>
      </c>
      <c r="M493" s="186">
        <v>0</v>
      </c>
      <c r="N493" s="186">
        <v>0</v>
      </c>
      <c r="O493" s="186">
        <v>0</v>
      </c>
      <c r="P493" s="186">
        <v>0</v>
      </c>
      <c r="Q493" s="186">
        <v>0</v>
      </c>
      <c r="R493" s="186">
        <v>0</v>
      </c>
      <c r="S493" s="186"/>
      <c r="T493" s="186">
        <f t="shared" si="675"/>
        <v>0</v>
      </c>
      <c r="U493" s="186">
        <f t="shared" si="675"/>
        <v>0</v>
      </c>
      <c r="V493" s="186">
        <f t="shared" si="675"/>
        <v>0</v>
      </c>
      <c r="W493" s="186">
        <f t="shared" si="675"/>
        <v>0</v>
      </c>
      <c r="X493" s="186">
        <f t="shared" si="676"/>
        <v>0</v>
      </c>
      <c r="Y493" s="186">
        <f t="shared" si="676"/>
        <v>0</v>
      </c>
      <c r="Z493" s="186">
        <f t="shared" si="676"/>
        <v>0</v>
      </c>
      <c r="AA493" s="186">
        <f t="shared" si="676"/>
        <v>0</v>
      </c>
      <c r="AB493" s="186">
        <f t="shared" si="676"/>
        <v>0</v>
      </c>
      <c r="AC493" s="186">
        <f t="shared" si="676"/>
        <v>0</v>
      </c>
      <c r="AD493" s="186">
        <f t="shared" si="676"/>
        <v>0</v>
      </c>
      <c r="AE493" s="186">
        <f t="shared" si="676"/>
        <v>0</v>
      </c>
      <c r="AF493" s="186">
        <f t="shared" si="677"/>
        <v>0</v>
      </c>
      <c r="AG493" s="186">
        <f t="shared" si="677"/>
        <v>0</v>
      </c>
      <c r="AH493" s="186">
        <f t="shared" si="677"/>
        <v>0</v>
      </c>
      <c r="AI493" s="186">
        <f t="shared" si="677"/>
        <v>0</v>
      </c>
      <c r="AJ493" s="186">
        <f t="shared" si="677"/>
        <v>0</v>
      </c>
      <c r="AK493" s="186">
        <f t="shared" si="677"/>
        <v>0</v>
      </c>
      <c r="AL493" s="186">
        <f t="shared" si="677"/>
        <v>0</v>
      </c>
      <c r="AM493" s="186">
        <f t="shared" si="677"/>
        <v>0</v>
      </c>
      <c r="AN493" s="186">
        <f t="shared" si="677"/>
        <v>0</v>
      </c>
      <c r="AO493" s="186">
        <f t="shared" si="677"/>
        <v>0</v>
      </c>
      <c r="AP493" s="186">
        <f t="shared" si="677"/>
        <v>0</v>
      </c>
      <c r="AQ493" s="186">
        <f t="shared" si="677"/>
        <v>0</v>
      </c>
      <c r="AR493" s="186">
        <f>SUM(G493:R493)</f>
        <v>0</v>
      </c>
      <c r="AS493" s="186">
        <f>SUM(T493:AE493)</f>
        <v>0</v>
      </c>
      <c r="AT493" s="186">
        <f>SUM(AF493:AQ493)</f>
        <v>0</v>
      </c>
      <c r="AU493" s="171"/>
      <c r="AV493" s="171"/>
    </row>
    <row r="494" spans="2:48">
      <c r="B494" s="250">
        <f t="shared" si="623"/>
        <v>839</v>
      </c>
      <c r="C494" s="212"/>
      <c r="D494" s="102"/>
      <c r="E494" s="102" t="s">
        <v>170</v>
      </c>
      <c r="F494" s="102"/>
      <c r="G494" s="1216">
        <v>16166.34</v>
      </c>
      <c r="H494" s="1216">
        <v>18331.66</v>
      </c>
      <c r="I494" s="1216">
        <v>22866.19</v>
      </c>
      <c r="J494" s="1216">
        <v>19702.27</v>
      </c>
      <c r="K494" s="1216">
        <v>22212.18</v>
      </c>
      <c r="L494" s="1216">
        <v>13502.31</v>
      </c>
      <c r="M494" s="1216">
        <v>21088.32</v>
      </c>
      <c r="N494" s="1216">
        <v>22545.91</v>
      </c>
      <c r="O494" s="1216">
        <v>18172.7</v>
      </c>
      <c r="P494" s="1216">
        <v>25715.38</v>
      </c>
      <c r="Q494" s="1216">
        <v>17569.990000000002</v>
      </c>
      <c r="R494" s="1216">
        <v>15084.36</v>
      </c>
      <c r="S494" s="620"/>
      <c r="T494" s="131">
        <f t="shared" ref="T494:Y494" si="678">SUM(T492:T493)</f>
        <v>15233.235351777532</v>
      </c>
      <c r="U494" s="131">
        <f t="shared" si="678"/>
        <v>17273.575290929555</v>
      </c>
      <c r="V494" s="131">
        <f t="shared" si="678"/>
        <v>21546.376846488558</v>
      </c>
      <c r="W494" s="131">
        <f t="shared" si="678"/>
        <v>18565.075080337658</v>
      </c>
      <c r="X494" s="131">
        <f t="shared" si="678"/>
        <v>20930.115636318787</v>
      </c>
      <c r="Y494" s="131">
        <f t="shared" si="678"/>
        <v>12722.97044492812</v>
      </c>
      <c r="Z494" s="131">
        <f t="shared" ref="Z494:AE494" si="679">SUM(Z492:Z493)</f>
        <v>19871.123688701162</v>
      </c>
      <c r="AA494" s="131">
        <f t="shared" si="679"/>
        <v>21244.583081266046</v>
      </c>
      <c r="AB494" s="131">
        <f t="shared" si="679"/>
        <v>17123.790299922402</v>
      </c>
      <c r="AC494" s="131">
        <f t="shared" si="679"/>
        <v>24231.114507080321</v>
      </c>
      <c r="AD494" s="131">
        <f t="shared" si="679"/>
        <v>16555.868106100559</v>
      </c>
      <c r="AE494" s="131">
        <f t="shared" si="679"/>
        <v>14213.706133295411</v>
      </c>
      <c r="AF494" s="131">
        <f t="shared" ref="AF494:AQ494" si="680">SUM(AF492:AF493)</f>
        <v>15326.012679535157</v>
      </c>
      <c r="AG494" s="131">
        <f t="shared" si="680"/>
        <v>17378.77921637968</v>
      </c>
      <c r="AH494" s="131">
        <f t="shared" si="680"/>
        <v>21677.604075669569</v>
      </c>
      <c r="AI494" s="131">
        <f t="shared" si="680"/>
        <v>18678.144826573309</v>
      </c>
      <c r="AJ494" s="131">
        <f t="shared" si="680"/>
        <v>21057.589554600316</v>
      </c>
      <c r="AK494" s="131">
        <f t="shared" si="680"/>
        <v>12800.459118329463</v>
      </c>
      <c r="AL494" s="131">
        <f t="shared" si="680"/>
        <v>19992.147864643131</v>
      </c>
      <c r="AM494" s="131">
        <f t="shared" si="680"/>
        <v>21373.972249232571</v>
      </c>
      <c r="AN494" s="131">
        <f t="shared" si="680"/>
        <v>17228.081966690577</v>
      </c>
      <c r="AO494" s="131">
        <f t="shared" si="680"/>
        <v>24378.693008996765</v>
      </c>
      <c r="AP494" s="131">
        <f t="shared" si="680"/>
        <v>16656.700868551936</v>
      </c>
      <c r="AQ494" s="131">
        <f t="shared" si="680"/>
        <v>14300.27406467221</v>
      </c>
      <c r="AR494" s="131">
        <f>SUM(G494:R494)</f>
        <v>232957.61000000004</v>
      </c>
      <c r="AS494" s="131">
        <f>SUM(T494:AE494)</f>
        <v>219511.53446714612</v>
      </c>
      <c r="AT494" s="131">
        <f>SUM(AF494:AQ494)</f>
        <v>220848.45949387469</v>
      </c>
      <c r="AU494" s="621"/>
      <c r="AV494" s="621"/>
    </row>
    <row r="495" spans="2:48">
      <c r="B495" s="250">
        <f t="shared" si="623"/>
        <v>840</v>
      </c>
      <c r="C495" s="212">
        <v>931</v>
      </c>
      <c r="D495" s="102" t="s">
        <v>385</v>
      </c>
      <c r="E495" s="102"/>
      <c r="F495" s="102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71"/>
      <c r="AV495" s="171"/>
    </row>
    <row r="496" spans="2:48">
      <c r="B496" s="250">
        <f t="shared" si="623"/>
        <v>841</v>
      </c>
      <c r="C496" s="212"/>
      <c r="D496" s="102"/>
      <c r="E496" s="102" t="s">
        <v>14</v>
      </c>
      <c r="F496" s="102"/>
      <c r="G496" s="186">
        <v>0</v>
      </c>
      <c r="H496" s="186">
        <v>0</v>
      </c>
      <c r="I496" s="186">
        <v>0</v>
      </c>
      <c r="J496" s="186">
        <v>0</v>
      </c>
      <c r="K496" s="186">
        <v>0</v>
      </c>
      <c r="L496" s="186">
        <v>0</v>
      </c>
      <c r="M496" s="186">
        <v>0</v>
      </c>
      <c r="N496" s="186">
        <v>0</v>
      </c>
      <c r="O496" s="186">
        <v>0</v>
      </c>
      <c r="P496" s="186">
        <v>0</v>
      </c>
      <c r="Q496" s="186">
        <v>0</v>
      </c>
      <c r="R496" s="186">
        <v>0</v>
      </c>
      <c r="S496" s="186"/>
      <c r="T496" s="186">
        <f t="shared" ref="T496:W497" si="681">G496*(1+$AU$264)</f>
        <v>0</v>
      </c>
      <c r="U496" s="186">
        <f t="shared" si="681"/>
        <v>0</v>
      </c>
      <c r="V496" s="186">
        <f t="shared" si="681"/>
        <v>0</v>
      </c>
      <c r="W496" s="186">
        <f t="shared" si="681"/>
        <v>0</v>
      </c>
      <c r="X496" s="186">
        <f t="shared" ref="X496:AE497" si="682">K496*(1+$AU$264)</f>
        <v>0</v>
      </c>
      <c r="Y496" s="186">
        <f t="shared" si="682"/>
        <v>0</v>
      </c>
      <c r="Z496" s="186">
        <f t="shared" si="682"/>
        <v>0</v>
      </c>
      <c r="AA496" s="186">
        <f t="shared" si="682"/>
        <v>0</v>
      </c>
      <c r="AB496" s="186">
        <f t="shared" si="682"/>
        <v>0</v>
      </c>
      <c r="AC496" s="186">
        <f t="shared" si="682"/>
        <v>0</v>
      </c>
      <c r="AD496" s="186">
        <f t="shared" si="682"/>
        <v>0</v>
      </c>
      <c r="AE496" s="186">
        <f t="shared" si="682"/>
        <v>0</v>
      </c>
      <c r="AF496" s="186">
        <f t="shared" ref="AF496:AQ497" si="683">T496*(1+$AV$264)</f>
        <v>0</v>
      </c>
      <c r="AG496" s="186">
        <f t="shared" si="683"/>
        <v>0</v>
      </c>
      <c r="AH496" s="186">
        <f t="shared" si="683"/>
        <v>0</v>
      </c>
      <c r="AI496" s="186">
        <f t="shared" si="683"/>
        <v>0</v>
      </c>
      <c r="AJ496" s="186">
        <f t="shared" si="683"/>
        <v>0</v>
      </c>
      <c r="AK496" s="186">
        <f t="shared" si="683"/>
        <v>0</v>
      </c>
      <c r="AL496" s="186">
        <f t="shared" si="683"/>
        <v>0</v>
      </c>
      <c r="AM496" s="186">
        <f t="shared" si="683"/>
        <v>0</v>
      </c>
      <c r="AN496" s="186">
        <f t="shared" si="683"/>
        <v>0</v>
      </c>
      <c r="AO496" s="186">
        <f t="shared" si="683"/>
        <v>0</v>
      </c>
      <c r="AP496" s="186">
        <f t="shared" si="683"/>
        <v>0</v>
      </c>
      <c r="AQ496" s="186">
        <f t="shared" si="683"/>
        <v>0</v>
      </c>
      <c r="AR496" s="186">
        <f>SUM(G496:R496)</f>
        <v>0</v>
      </c>
      <c r="AS496" s="186">
        <f>SUM(T496:AE496)</f>
        <v>0</v>
      </c>
      <c r="AT496" s="186">
        <f>SUM(AF496:AQ496)</f>
        <v>0</v>
      </c>
      <c r="AU496" s="171"/>
      <c r="AV496" s="171"/>
    </row>
    <row r="497" spans="2:48">
      <c r="B497" s="250">
        <f t="shared" si="623"/>
        <v>842</v>
      </c>
      <c r="C497" s="212"/>
      <c r="D497" s="102"/>
      <c r="E497" s="102" t="s">
        <v>24</v>
      </c>
      <c r="F497" s="102"/>
      <c r="G497" s="186">
        <v>0</v>
      </c>
      <c r="H497" s="186">
        <v>0</v>
      </c>
      <c r="I497" s="186">
        <v>0</v>
      </c>
      <c r="J497" s="186">
        <v>0</v>
      </c>
      <c r="K497" s="186">
        <v>0</v>
      </c>
      <c r="L497" s="186">
        <v>0</v>
      </c>
      <c r="M497" s="186">
        <v>0</v>
      </c>
      <c r="N497" s="186">
        <v>0</v>
      </c>
      <c r="O497" s="186">
        <v>0</v>
      </c>
      <c r="P497" s="186">
        <v>0</v>
      </c>
      <c r="Q497" s="186">
        <v>0</v>
      </c>
      <c r="R497" s="186">
        <v>0</v>
      </c>
      <c r="S497" s="186"/>
      <c r="T497" s="186">
        <f t="shared" si="681"/>
        <v>0</v>
      </c>
      <c r="U497" s="186">
        <f t="shared" si="681"/>
        <v>0</v>
      </c>
      <c r="V497" s="186">
        <f t="shared" si="681"/>
        <v>0</v>
      </c>
      <c r="W497" s="186">
        <f t="shared" si="681"/>
        <v>0</v>
      </c>
      <c r="X497" s="186">
        <f t="shared" si="682"/>
        <v>0</v>
      </c>
      <c r="Y497" s="186">
        <f t="shared" si="682"/>
        <v>0</v>
      </c>
      <c r="Z497" s="186">
        <f t="shared" si="682"/>
        <v>0</v>
      </c>
      <c r="AA497" s="186">
        <f t="shared" si="682"/>
        <v>0</v>
      </c>
      <c r="AB497" s="186">
        <f t="shared" si="682"/>
        <v>0</v>
      </c>
      <c r="AC497" s="186">
        <f t="shared" si="682"/>
        <v>0</v>
      </c>
      <c r="AD497" s="186">
        <f t="shared" si="682"/>
        <v>0</v>
      </c>
      <c r="AE497" s="186">
        <f t="shared" si="682"/>
        <v>0</v>
      </c>
      <c r="AF497" s="186">
        <f t="shared" si="683"/>
        <v>0</v>
      </c>
      <c r="AG497" s="186">
        <f t="shared" si="683"/>
        <v>0</v>
      </c>
      <c r="AH497" s="186">
        <f t="shared" si="683"/>
        <v>0</v>
      </c>
      <c r="AI497" s="186">
        <f t="shared" si="683"/>
        <v>0</v>
      </c>
      <c r="AJ497" s="186">
        <f t="shared" si="683"/>
        <v>0</v>
      </c>
      <c r="AK497" s="186">
        <f t="shared" si="683"/>
        <v>0</v>
      </c>
      <c r="AL497" s="186">
        <f t="shared" si="683"/>
        <v>0</v>
      </c>
      <c r="AM497" s="186">
        <f t="shared" si="683"/>
        <v>0</v>
      </c>
      <c r="AN497" s="186">
        <f t="shared" si="683"/>
        <v>0</v>
      </c>
      <c r="AO497" s="186">
        <f t="shared" si="683"/>
        <v>0</v>
      </c>
      <c r="AP497" s="186">
        <f t="shared" si="683"/>
        <v>0</v>
      </c>
      <c r="AQ497" s="186">
        <f t="shared" si="683"/>
        <v>0</v>
      </c>
      <c r="AR497" s="186">
        <f>SUM(G497:R497)</f>
        <v>0</v>
      </c>
      <c r="AS497" s="186">
        <f>SUM(T497:AE497)</f>
        <v>0</v>
      </c>
      <c r="AT497" s="186">
        <f>SUM(AF497:AQ497)</f>
        <v>0</v>
      </c>
      <c r="AU497" s="171"/>
      <c r="AV497" s="171"/>
    </row>
    <row r="498" spans="2:48">
      <c r="B498" s="250">
        <f t="shared" si="623"/>
        <v>843</v>
      </c>
      <c r="C498" s="212"/>
      <c r="D498" s="102"/>
      <c r="E498" s="102" t="s">
        <v>170</v>
      </c>
      <c r="F498" s="102"/>
      <c r="G498" s="1216">
        <v>0</v>
      </c>
      <c r="H498" s="1216">
        <v>0</v>
      </c>
      <c r="I498" s="1216">
        <v>0</v>
      </c>
      <c r="J498" s="1216">
        <v>0</v>
      </c>
      <c r="K498" s="1216">
        <v>0</v>
      </c>
      <c r="L498" s="1216">
        <v>0</v>
      </c>
      <c r="M498" s="1216">
        <v>0</v>
      </c>
      <c r="N498" s="1216">
        <v>0</v>
      </c>
      <c r="O498" s="1216">
        <v>0</v>
      </c>
      <c r="P498" s="1216">
        <v>0</v>
      </c>
      <c r="Q498" s="1216">
        <v>0</v>
      </c>
      <c r="R498" s="1216">
        <v>0</v>
      </c>
      <c r="S498" s="620"/>
      <c r="T498" s="131">
        <f t="shared" ref="T498:Y498" si="684">SUM(T496:T497)</f>
        <v>0</v>
      </c>
      <c r="U498" s="131">
        <f t="shared" si="684"/>
        <v>0</v>
      </c>
      <c r="V498" s="131">
        <f t="shared" si="684"/>
        <v>0</v>
      </c>
      <c r="W498" s="131">
        <f t="shared" si="684"/>
        <v>0</v>
      </c>
      <c r="X498" s="131">
        <f t="shared" si="684"/>
        <v>0</v>
      </c>
      <c r="Y498" s="131">
        <f t="shared" si="684"/>
        <v>0</v>
      </c>
      <c r="Z498" s="131">
        <f t="shared" ref="Z498:AE498" si="685">SUM(Z496:Z497)</f>
        <v>0</v>
      </c>
      <c r="AA498" s="131">
        <f t="shared" si="685"/>
        <v>0</v>
      </c>
      <c r="AB498" s="131">
        <f t="shared" si="685"/>
        <v>0</v>
      </c>
      <c r="AC498" s="131">
        <f t="shared" si="685"/>
        <v>0</v>
      </c>
      <c r="AD498" s="131">
        <f t="shared" si="685"/>
        <v>0</v>
      </c>
      <c r="AE498" s="131">
        <f t="shared" si="685"/>
        <v>0</v>
      </c>
      <c r="AF498" s="131">
        <f t="shared" ref="AF498:AQ498" si="686">SUM(AF496:AF497)</f>
        <v>0</v>
      </c>
      <c r="AG498" s="131">
        <f t="shared" si="686"/>
        <v>0</v>
      </c>
      <c r="AH498" s="131">
        <f t="shared" si="686"/>
        <v>0</v>
      </c>
      <c r="AI498" s="131">
        <f t="shared" si="686"/>
        <v>0</v>
      </c>
      <c r="AJ498" s="131">
        <f t="shared" si="686"/>
        <v>0</v>
      </c>
      <c r="AK498" s="131">
        <f t="shared" si="686"/>
        <v>0</v>
      </c>
      <c r="AL498" s="131">
        <f t="shared" si="686"/>
        <v>0</v>
      </c>
      <c r="AM498" s="131">
        <f t="shared" si="686"/>
        <v>0</v>
      </c>
      <c r="AN498" s="131">
        <f t="shared" si="686"/>
        <v>0</v>
      </c>
      <c r="AO498" s="131">
        <f t="shared" si="686"/>
        <v>0</v>
      </c>
      <c r="AP498" s="131">
        <f t="shared" si="686"/>
        <v>0</v>
      </c>
      <c r="AQ498" s="131">
        <f t="shared" si="686"/>
        <v>0</v>
      </c>
      <c r="AR498" s="131">
        <f>SUM(G498:R498)</f>
        <v>0</v>
      </c>
      <c r="AS498" s="131">
        <f>SUM(T498:AE498)</f>
        <v>0</v>
      </c>
      <c r="AT498" s="131">
        <f>SUM(AF498:AQ498)</f>
        <v>0</v>
      </c>
      <c r="AU498" s="621"/>
      <c r="AV498" s="621"/>
    </row>
    <row r="499" spans="2:48">
      <c r="B499" s="250">
        <f t="shared" si="623"/>
        <v>844</v>
      </c>
      <c r="C499" s="212">
        <v>935</v>
      </c>
      <c r="D499" s="102" t="s">
        <v>436</v>
      </c>
      <c r="E499" s="102"/>
      <c r="F499" s="102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71"/>
      <c r="AV499" s="171"/>
    </row>
    <row r="500" spans="2:48">
      <c r="B500" s="250">
        <f t="shared" si="623"/>
        <v>845</v>
      </c>
      <c r="C500" s="212"/>
      <c r="D500" s="102"/>
      <c r="E500" s="102" t="s">
        <v>14</v>
      </c>
      <c r="F500" s="102"/>
      <c r="G500" s="186">
        <v>0</v>
      </c>
      <c r="H500" s="186">
        <v>0</v>
      </c>
      <c r="I500" s="186">
        <v>0</v>
      </c>
      <c r="J500" s="186">
        <v>0</v>
      </c>
      <c r="K500" s="186">
        <v>0</v>
      </c>
      <c r="L500" s="186">
        <v>0</v>
      </c>
      <c r="M500" s="186">
        <v>0</v>
      </c>
      <c r="N500" s="186">
        <v>0</v>
      </c>
      <c r="O500" s="186">
        <v>0</v>
      </c>
      <c r="P500" s="186">
        <v>0</v>
      </c>
      <c r="Q500" s="186">
        <v>0</v>
      </c>
      <c r="R500" s="186">
        <v>0</v>
      </c>
      <c r="S500" s="186"/>
      <c r="T500" s="186">
        <f t="shared" ref="T500:W501" si="687">G500*(1+$AU$264)</f>
        <v>0</v>
      </c>
      <c r="U500" s="186">
        <f t="shared" si="687"/>
        <v>0</v>
      </c>
      <c r="V500" s="186">
        <f t="shared" si="687"/>
        <v>0</v>
      </c>
      <c r="W500" s="186">
        <f t="shared" si="687"/>
        <v>0</v>
      </c>
      <c r="X500" s="186">
        <f t="shared" ref="X500:AE501" si="688">K500*(1+$AU$264)</f>
        <v>0</v>
      </c>
      <c r="Y500" s="186">
        <f t="shared" si="688"/>
        <v>0</v>
      </c>
      <c r="Z500" s="186">
        <f t="shared" si="688"/>
        <v>0</v>
      </c>
      <c r="AA500" s="186">
        <f t="shared" si="688"/>
        <v>0</v>
      </c>
      <c r="AB500" s="186">
        <f t="shared" si="688"/>
        <v>0</v>
      </c>
      <c r="AC500" s="186">
        <f t="shared" si="688"/>
        <v>0</v>
      </c>
      <c r="AD500" s="186">
        <f t="shared" si="688"/>
        <v>0</v>
      </c>
      <c r="AE500" s="186">
        <f t="shared" si="688"/>
        <v>0</v>
      </c>
      <c r="AF500" s="186">
        <f t="shared" ref="AF500:AQ501" si="689">T500*(1+$AV$264)</f>
        <v>0</v>
      </c>
      <c r="AG500" s="186">
        <f t="shared" si="689"/>
        <v>0</v>
      </c>
      <c r="AH500" s="186">
        <f t="shared" si="689"/>
        <v>0</v>
      </c>
      <c r="AI500" s="186">
        <f t="shared" si="689"/>
        <v>0</v>
      </c>
      <c r="AJ500" s="186">
        <f t="shared" si="689"/>
        <v>0</v>
      </c>
      <c r="AK500" s="186">
        <f t="shared" si="689"/>
        <v>0</v>
      </c>
      <c r="AL500" s="186">
        <f t="shared" si="689"/>
        <v>0</v>
      </c>
      <c r="AM500" s="186">
        <f t="shared" si="689"/>
        <v>0</v>
      </c>
      <c r="AN500" s="186">
        <f t="shared" si="689"/>
        <v>0</v>
      </c>
      <c r="AO500" s="186">
        <f t="shared" si="689"/>
        <v>0</v>
      </c>
      <c r="AP500" s="186">
        <f t="shared" si="689"/>
        <v>0</v>
      </c>
      <c r="AQ500" s="186">
        <f t="shared" si="689"/>
        <v>0</v>
      </c>
      <c r="AR500" s="186">
        <f>SUM(G500:R500)</f>
        <v>0</v>
      </c>
      <c r="AS500" s="186">
        <f>SUM(T500:AE500)</f>
        <v>0</v>
      </c>
      <c r="AT500" s="186">
        <f>SUM(AF500:AQ500)</f>
        <v>0</v>
      </c>
      <c r="AU500" s="171"/>
      <c r="AV500" s="171"/>
    </row>
    <row r="501" spans="2:48">
      <c r="B501" s="250">
        <f t="shared" si="623"/>
        <v>846</v>
      </c>
      <c r="C501" s="212"/>
      <c r="D501" s="102"/>
      <c r="E501" s="102" t="s">
        <v>24</v>
      </c>
      <c r="F501" s="102"/>
      <c r="G501" s="186">
        <v>0</v>
      </c>
      <c r="H501" s="186">
        <v>0</v>
      </c>
      <c r="I501" s="186">
        <v>0</v>
      </c>
      <c r="J501" s="186">
        <v>0</v>
      </c>
      <c r="K501" s="186">
        <v>0</v>
      </c>
      <c r="L501" s="186">
        <v>0</v>
      </c>
      <c r="M501" s="186">
        <v>0</v>
      </c>
      <c r="N501" s="186">
        <v>0</v>
      </c>
      <c r="O501" s="186">
        <v>0</v>
      </c>
      <c r="P501" s="186">
        <v>0</v>
      </c>
      <c r="Q501" s="186">
        <v>0</v>
      </c>
      <c r="R501" s="186">
        <v>0</v>
      </c>
      <c r="S501" s="186"/>
      <c r="T501" s="186">
        <f t="shared" si="687"/>
        <v>0</v>
      </c>
      <c r="U501" s="186">
        <f t="shared" si="687"/>
        <v>0</v>
      </c>
      <c r="V501" s="186">
        <f t="shared" si="687"/>
        <v>0</v>
      </c>
      <c r="W501" s="186">
        <f t="shared" si="687"/>
        <v>0</v>
      </c>
      <c r="X501" s="186">
        <f t="shared" si="688"/>
        <v>0</v>
      </c>
      <c r="Y501" s="186">
        <f t="shared" si="688"/>
        <v>0</v>
      </c>
      <c r="Z501" s="186">
        <f t="shared" si="688"/>
        <v>0</v>
      </c>
      <c r="AA501" s="186">
        <f t="shared" si="688"/>
        <v>0</v>
      </c>
      <c r="AB501" s="186">
        <f t="shared" si="688"/>
        <v>0</v>
      </c>
      <c r="AC501" s="186">
        <f t="shared" si="688"/>
        <v>0</v>
      </c>
      <c r="AD501" s="186">
        <f t="shared" si="688"/>
        <v>0</v>
      </c>
      <c r="AE501" s="186">
        <f t="shared" si="688"/>
        <v>0</v>
      </c>
      <c r="AF501" s="186">
        <f t="shared" si="689"/>
        <v>0</v>
      </c>
      <c r="AG501" s="186">
        <f t="shared" si="689"/>
        <v>0</v>
      </c>
      <c r="AH501" s="186">
        <f t="shared" si="689"/>
        <v>0</v>
      </c>
      <c r="AI501" s="186">
        <f t="shared" si="689"/>
        <v>0</v>
      </c>
      <c r="AJ501" s="186">
        <f t="shared" si="689"/>
        <v>0</v>
      </c>
      <c r="AK501" s="186">
        <f t="shared" si="689"/>
        <v>0</v>
      </c>
      <c r="AL501" s="186">
        <f t="shared" si="689"/>
        <v>0</v>
      </c>
      <c r="AM501" s="186">
        <f t="shared" si="689"/>
        <v>0</v>
      </c>
      <c r="AN501" s="186">
        <f t="shared" si="689"/>
        <v>0</v>
      </c>
      <c r="AO501" s="186">
        <f t="shared" si="689"/>
        <v>0</v>
      </c>
      <c r="AP501" s="186">
        <f t="shared" si="689"/>
        <v>0</v>
      </c>
      <c r="AQ501" s="186">
        <f t="shared" si="689"/>
        <v>0</v>
      </c>
      <c r="AR501" s="186">
        <f>SUM(G501:R501)</f>
        <v>0</v>
      </c>
      <c r="AS501" s="186">
        <f>SUM(T501:AE501)</f>
        <v>0</v>
      </c>
      <c r="AT501" s="186">
        <f>SUM(AF501:AQ501)</f>
        <v>0</v>
      </c>
      <c r="AU501" s="171"/>
      <c r="AV501" s="171"/>
    </row>
    <row r="502" spans="2:48">
      <c r="B502" s="250">
        <f t="shared" si="623"/>
        <v>847</v>
      </c>
      <c r="C502" s="212"/>
      <c r="D502" s="102"/>
      <c r="E502" s="102" t="s">
        <v>170</v>
      </c>
      <c r="F502" s="102"/>
      <c r="G502" s="1216">
        <v>0</v>
      </c>
      <c r="H502" s="1216">
        <v>0</v>
      </c>
      <c r="I502" s="1216">
        <v>0</v>
      </c>
      <c r="J502" s="1216">
        <v>0</v>
      </c>
      <c r="K502" s="1216">
        <v>0</v>
      </c>
      <c r="L502" s="1216">
        <v>0</v>
      </c>
      <c r="M502" s="1216">
        <v>0</v>
      </c>
      <c r="N502" s="1216">
        <v>0</v>
      </c>
      <c r="O502" s="1216">
        <v>0</v>
      </c>
      <c r="P502" s="1216">
        <v>0</v>
      </c>
      <c r="Q502" s="1216">
        <v>0</v>
      </c>
      <c r="R502" s="1216">
        <v>0</v>
      </c>
      <c r="S502" s="620"/>
      <c r="T502" s="131">
        <f t="shared" ref="T502:Y502" si="690">SUM(T500:T501)</f>
        <v>0</v>
      </c>
      <c r="U502" s="131">
        <f t="shared" si="690"/>
        <v>0</v>
      </c>
      <c r="V502" s="131">
        <f t="shared" si="690"/>
        <v>0</v>
      </c>
      <c r="W502" s="131">
        <f t="shared" si="690"/>
        <v>0</v>
      </c>
      <c r="X502" s="131">
        <f t="shared" si="690"/>
        <v>0</v>
      </c>
      <c r="Y502" s="131">
        <f t="shared" si="690"/>
        <v>0</v>
      </c>
      <c r="Z502" s="131">
        <f t="shared" ref="Z502:AE502" si="691">SUM(Z500:Z501)</f>
        <v>0</v>
      </c>
      <c r="AA502" s="131">
        <f t="shared" si="691"/>
        <v>0</v>
      </c>
      <c r="AB502" s="131">
        <f t="shared" si="691"/>
        <v>0</v>
      </c>
      <c r="AC502" s="131">
        <f t="shared" si="691"/>
        <v>0</v>
      </c>
      <c r="AD502" s="131">
        <f t="shared" si="691"/>
        <v>0</v>
      </c>
      <c r="AE502" s="131">
        <f t="shared" si="691"/>
        <v>0</v>
      </c>
      <c r="AF502" s="131">
        <f t="shared" ref="AF502:AQ502" si="692">SUM(AF500:AF501)</f>
        <v>0</v>
      </c>
      <c r="AG502" s="131">
        <f t="shared" si="692"/>
        <v>0</v>
      </c>
      <c r="AH502" s="131">
        <f t="shared" si="692"/>
        <v>0</v>
      </c>
      <c r="AI502" s="131">
        <f t="shared" si="692"/>
        <v>0</v>
      </c>
      <c r="AJ502" s="131">
        <f t="shared" si="692"/>
        <v>0</v>
      </c>
      <c r="AK502" s="131">
        <f t="shared" si="692"/>
        <v>0</v>
      </c>
      <c r="AL502" s="131">
        <f t="shared" si="692"/>
        <v>0</v>
      </c>
      <c r="AM502" s="131">
        <f t="shared" si="692"/>
        <v>0</v>
      </c>
      <c r="AN502" s="131">
        <f t="shared" si="692"/>
        <v>0</v>
      </c>
      <c r="AO502" s="131">
        <f t="shared" si="692"/>
        <v>0</v>
      </c>
      <c r="AP502" s="131">
        <f t="shared" si="692"/>
        <v>0</v>
      </c>
      <c r="AQ502" s="131">
        <f t="shared" si="692"/>
        <v>0</v>
      </c>
      <c r="AR502" s="131">
        <f>SUM(G502:R502)</f>
        <v>0</v>
      </c>
      <c r="AS502" s="131">
        <f>SUM(T502:AE502)</f>
        <v>0</v>
      </c>
      <c r="AT502" s="131">
        <f>SUM(AF502:AQ502)</f>
        <v>0</v>
      </c>
      <c r="AU502" s="621"/>
      <c r="AV502" s="621"/>
    </row>
    <row r="503" spans="2:48">
      <c r="B503" s="250">
        <f>+B502+1</f>
        <v>848</v>
      </c>
      <c r="C503" s="212"/>
      <c r="D503" s="102"/>
      <c r="E503" s="102"/>
      <c r="F503" s="102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V503" s="186"/>
      <c r="W503" s="186"/>
      <c r="X503" s="186"/>
      <c r="Y503" s="186"/>
      <c r="Z503" s="186"/>
      <c r="AA503" s="186"/>
      <c r="AB503" s="186"/>
      <c r="AC503" s="186"/>
      <c r="AD503" s="186"/>
      <c r="AE503" s="186"/>
      <c r="AF503" s="186"/>
      <c r="AG503" s="186"/>
      <c r="AH503" s="186"/>
      <c r="AI503" s="186"/>
      <c r="AJ503" s="186"/>
      <c r="AK503" s="186"/>
      <c r="AL503" s="186"/>
      <c r="AM503" s="186"/>
      <c r="AN503" s="186"/>
      <c r="AO503" s="186"/>
      <c r="AP503" s="186"/>
      <c r="AQ503" s="186"/>
      <c r="AR503" s="186"/>
      <c r="AS503" s="186"/>
      <c r="AT503" s="186"/>
      <c r="AU503" s="171"/>
      <c r="AV503" s="171"/>
    </row>
    <row r="504" spans="2:48" ht="13.5" thickBot="1">
      <c r="B504" s="250">
        <f t="shared" si="623"/>
        <v>849</v>
      </c>
      <c r="C504" s="208"/>
      <c r="D504" s="102"/>
      <c r="E504" s="102"/>
      <c r="F504" s="102"/>
      <c r="G504" s="1218"/>
      <c r="H504" s="1218"/>
      <c r="I504" s="1218"/>
      <c r="J504" s="1218"/>
      <c r="K504" s="1218"/>
      <c r="L504" s="1218"/>
      <c r="M504" s="1218"/>
      <c r="N504" s="1218"/>
      <c r="O504" s="1218"/>
      <c r="P504" s="1218"/>
      <c r="Q504" s="1218"/>
      <c r="R504" s="1218"/>
      <c r="S504" s="623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409"/>
      <c r="AV504" s="409"/>
    </row>
    <row r="505" spans="2:48">
      <c r="B505" s="250">
        <f t="shared" si="623"/>
        <v>850</v>
      </c>
      <c r="C505" s="102"/>
      <c r="D505" s="49" t="s">
        <v>437</v>
      </c>
      <c r="E505" s="102"/>
      <c r="F505" s="102"/>
      <c r="G505" s="1215">
        <f>SUM(G456:G502)/2</f>
        <v>2573281.1800000002</v>
      </c>
      <c r="H505" s="1215">
        <f t="shared" ref="H505:Q505" si="693">SUM(H456:H502)/2</f>
        <v>2794254.15</v>
      </c>
      <c r="I505" s="1215">
        <f t="shared" si="693"/>
        <v>1171007.0599999998</v>
      </c>
      <c r="J505" s="1215">
        <f t="shared" si="693"/>
        <v>2056164.8599999999</v>
      </c>
      <c r="K505" s="1215">
        <f t="shared" si="693"/>
        <v>2659145.23</v>
      </c>
      <c r="L505" s="1215">
        <f t="shared" si="693"/>
        <v>1348285.0499999998</v>
      </c>
      <c r="M505" s="1215">
        <f t="shared" si="693"/>
        <v>2142184.5500000003</v>
      </c>
      <c r="N505" s="1215">
        <f t="shared" si="693"/>
        <v>2060113</v>
      </c>
      <c r="O505" s="1215">
        <f t="shared" si="693"/>
        <v>1936713.4100000001</v>
      </c>
      <c r="P505" s="1215">
        <f t="shared" si="693"/>
        <v>1914311.3599999996</v>
      </c>
      <c r="Q505" s="1215">
        <f t="shared" si="693"/>
        <v>2206357.48</v>
      </c>
      <c r="R505" s="1215">
        <f>SUM(R456:R502)/2</f>
        <v>2548379.02</v>
      </c>
      <c r="S505" s="116"/>
      <c r="T505" s="116">
        <f t="shared" ref="T505:Y505" si="694">SUM(T456:T502)/2</f>
        <v>2424754.0161372209</v>
      </c>
      <c r="U505" s="116">
        <f t="shared" si="694"/>
        <v>2632972.6517957114</v>
      </c>
      <c r="V505" s="116">
        <f t="shared" si="694"/>
        <v>1103417.7274245792</v>
      </c>
      <c r="W505" s="116">
        <f t="shared" si="694"/>
        <v>1937485.1224479189</v>
      </c>
      <c r="X505" s="116">
        <f t="shared" si="694"/>
        <v>2505662.0807892568</v>
      </c>
      <c r="Y505" s="116">
        <f t="shared" si="694"/>
        <v>1270463.4127411111</v>
      </c>
      <c r="Z505" s="116">
        <f t="shared" ref="Z505:AE505" si="695">SUM(Z456:Z502)/2</f>
        <v>2018539.8437179748</v>
      </c>
      <c r="AA505" s="116">
        <f t="shared" si="695"/>
        <v>1941205.3798359097</v>
      </c>
      <c r="AB505" s="116">
        <f t="shared" si="695"/>
        <v>1824928.2882503772</v>
      </c>
      <c r="AC505" s="116">
        <f t="shared" si="695"/>
        <v>1803819.2617167109</v>
      </c>
      <c r="AD505" s="116">
        <f t="shared" si="695"/>
        <v>2079008.7776821957</v>
      </c>
      <c r="AE505" s="116">
        <f t="shared" si="695"/>
        <v>2401289.183401573</v>
      </c>
      <c r="AF505" s="116">
        <f t="shared" ref="AF505:AQ505" si="696">SUM(AF456:AF502)/2</f>
        <v>2439521.8702989793</v>
      </c>
      <c r="AG505" s="116">
        <f t="shared" si="696"/>
        <v>2649008.6520971186</v>
      </c>
      <c r="AH505" s="116">
        <f t="shared" si="696"/>
        <v>1110138.0429574775</v>
      </c>
      <c r="AI505" s="116">
        <f t="shared" si="696"/>
        <v>1949285.2875526946</v>
      </c>
      <c r="AJ505" s="116">
        <f t="shared" si="696"/>
        <v>2520922.7018425595</v>
      </c>
      <c r="AK505" s="116">
        <f t="shared" si="696"/>
        <v>1278201.1124303765</v>
      </c>
      <c r="AL505" s="116">
        <f t="shared" si="696"/>
        <v>2030833.6689197626</v>
      </c>
      <c r="AM505" s="116">
        <f t="shared" si="696"/>
        <v>1953028.2029992698</v>
      </c>
      <c r="AN505" s="116">
        <f t="shared" si="696"/>
        <v>1836042.9310707168</v>
      </c>
      <c r="AO505" s="116">
        <f t="shared" si="696"/>
        <v>1814805.3409700766</v>
      </c>
      <c r="AP505" s="116">
        <f t="shared" si="696"/>
        <v>2091670.8861787661</v>
      </c>
      <c r="AQ505" s="116">
        <f t="shared" si="696"/>
        <v>2415914.1260657255</v>
      </c>
      <c r="AR505" s="116">
        <f>SUM(G505:R505)</f>
        <v>25410196.350000001</v>
      </c>
      <c r="AS505" s="116">
        <f>SUM(T505:AE505)</f>
        <v>23943545.745940544</v>
      </c>
      <c r="AT505" s="116">
        <f>SUM(AF505:AQ505)</f>
        <v>24089372.823383525</v>
      </c>
      <c r="AU505" s="171"/>
      <c r="AV505" s="171"/>
    </row>
    <row r="506" spans="2:48" ht="13.5" thickBot="1">
      <c r="B506" s="250">
        <f t="shared" si="623"/>
        <v>851</v>
      </c>
      <c r="C506" s="208"/>
      <c r="D506" s="14" t="s">
        <v>1046</v>
      </c>
      <c r="E506" s="14"/>
      <c r="F506" s="102"/>
      <c r="G506" s="1217">
        <f t="shared" ref="G506:Q507" si="697">+G500+G496+G492+G488+G484+G480+G476+G472+G468+G464+G460+G456</f>
        <v>2552495.12</v>
      </c>
      <c r="H506" s="1217">
        <f t="shared" si="697"/>
        <v>2776812.37</v>
      </c>
      <c r="I506" s="1217">
        <f t="shared" si="697"/>
        <v>1176467.6100000001</v>
      </c>
      <c r="J506" s="1217">
        <f t="shared" si="697"/>
        <v>2036713.16</v>
      </c>
      <c r="K506" s="1217">
        <f t="shared" si="697"/>
        <v>2639286.33</v>
      </c>
      <c r="L506" s="1217">
        <f t="shared" si="697"/>
        <v>1347410.32</v>
      </c>
      <c r="M506" s="1217">
        <f t="shared" si="697"/>
        <v>2126042.37</v>
      </c>
      <c r="N506" s="1217">
        <f t="shared" si="697"/>
        <v>2042111.74</v>
      </c>
      <c r="O506" s="1217">
        <f t="shared" si="697"/>
        <v>1936551.07</v>
      </c>
      <c r="P506" s="1217">
        <f t="shared" si="697"/>
        <v>1898538.1599999997</v>
      </c>
      <c r="Q506" s="1217">
        <f t="shared" si="697"/>
        <v>2191340.71</v>
      </c>
      <c r="R506" s="1217">
        <f>+R500+R496+R492+R488+R484+R480+R476+R472+R468+R464+R460+R456</f>
        <v>2565567.25</v>
      </c>
      <c r="S506" s="235"/>
      <c r="T506" s="235">
        <f t="shared" ref="T506:Y506" si="698">+T500+T496+T492+T488+T484+T480+T476+T472+T468+T464+T460+T456</f>
        <v>2405167.7063097544</v>
      </c>
      <c r="U506" s="235">
        <f t="shared" si="698"/>
        <v>2616537.5935392394</v>
      </c>
      <c r="V506" s="235">
        <f t="shared" si="698"/>
        <v>1108563.1000506743</v>
      </c>
      <c r="W506" s="235">
        <f t="shared" si="698"/>
        <v>1919156.1547228701</v>
      </c>
      <c r="X506" s="235">
        <f t="shared" si="698"/>
        <v>2486949.4162326893</v>
      </c>
      <c r="Y506" s="235">
        <f t="shared" si="698"/>
        <v>1269639.1712641127</v>
      </c>
      <c r="Z506" s="235">
        <f t="shared" ref="Z506:AE507" si="699">+Z500+Z496+Z492+Z488+Z484+Z480+Z476+Z472+Z468+Z464+Z460+Z456</f>
        <v>2003329.3738756506</v>
      </c>
      <c r="AA506" s="235">
        <f t="shared" si="699"/>
        <v>1924243.1341941296</v>
      </c>
      <c r="AB506" s="235">
        <f t="shared" si="699"/>
        <v>1824775.3183495216</v>
      </c>
      <c r="AC506" s="235">
        <f t="shared" si="699"/>
        <v>1788956.4747253037</v>
      </c>
      <c r="AD506" s="235">
        <f t="shared" si="699"/>
        <v>2064858.7603230709</v>
      </c>
      <c r="AE506" s="235">
        <f t="shared" si="699"/>
        <v>2417485.3263053149</v>
      </c>
      <c r="AF506" s="235">
        <f t="shared" ref="AF506:AQ506" si="700">+AF500+AF496+AF492+AF488+AF484+AF480+AF476+AF472+AF468+AF464+AF460+AF456</f>
        <v>2419816.2709414512</v>
      </c>
      <c r="AG506" s="235">
        <f t="shared" si="700"/>
        <v>2632473.496865096</v>
      </c>
      <c r="AH506" s="235">
        <f t="shared" si="700"/>
        <v>1115314.7532417618</v>
      </c>
      <c r="AI506" s="235">
        <f t="shared" si="700"/>
        <v>1930844.688082529</v>
      </c>
      <c r="AJ506" s="235">
        <f t="shared" si="700"/>
        <v>2502096.068652757</v>
      </c>
      <c r="AK506" s="235">
        <f t="shared" si="700"/>
        <v>1277371.8509481132</v>
      </c>
      <c r="AL506" s="235">
        <f t="shared" si="700"/>
        <v>2015530.5604019819</v>
      </c>
      <c r="AM506" s="235">
        <f t="shared" si="700"/>
        <v>1935962.6495711217</v>
      </c>
      <c r="AN506" s="235">
        <f t="shared" si="700"/>
        <v>1835889.0295136301</v>
      </c>
      <c r="AO506" s="235">
        <f t="shared" si="700"/>
        <v>1799852.0328498189</v>
      </c>
      <c r="AP506" s="235">
        <f t="shared" si="700"/>
        <v>2077434.68878185</v>
      </c>
      <c r="AQ506" s="235">
        <f t="shared" si="700"/>
        <v>2432208.9108419186</v>
      </c>
      <c r="AR506" s="235">
        <f>SUM(G506:R506)</f>
        <v>25289336.210000001</v>
      </c>
      <c r="AS506" s="235">
        <f>SUM(T506:AE506)</f>
        <v>23829661.529892329</v>
      </c>
      <c r="AT506" s="235">
        <f>SUM(AF506:AQ506)</f>
        <v>23974795.000692032</v>
      </c>
      <c r="AU506" s="622"/>
      <c r="AV506" s="622"/>
    </row>
    <row r="507" spans="2:48" ht="14.25" thickTop="1" thickBot="1">
      <c r="B507" s="250">
        <f t="shared" si="623"/>
        <v>852</v>
      </c>
      <c r="C507" s="208"/>
      <c r="D507" s="14" t="s">
        <v>1047</v>
      </c>
      <c r="E507" s="14"/>
      <c r="F507" s="102"/>
      <c r="G507" s="1217">
        <f t="shared" si="697"/>
        <v>20786.060000000001</v>
      </c>
      <c r="H507" s="1217">
        <f t="shared" si="697"/>
        <v>17441.78</v>
      </c>
      <c r="I507" s="1217">
        <f t="shared" si="697"/>
        <v>-5460.55</v>
      </c>
      <c r="J507" s="1217">
        <f t="shared" si="697"/>
        <v>19451.7</v>
      </c>
      <c r="K507" s="1217">
        <f t="shared" si="697"/>
        <v>19858.900000000001</v>
      </c>
      <c r="L507" s="1217">
        <f t="shared" si="697"/>
        <v>874.73</v>
      </c>
      <c r="M507" s="1217">
        <f t="shared" si="697"/>
        <v>16142.18</v>
      </c>
      <c r="N507" s="1217">
        <f t="shared" si="697"/>
        <v>18001.259999999998</v>
      </c>
      <c r="O507" s="1217">
        <f t="shared" si="697"/>
        <v>162.34000000000003</v>
      </c>
      <c r="P507" s="1217">
        <f t="shared" si="697"/>
        <v>15773.199999999999</v>
      </c>
      <c r="Q507" s="1217">
        <f t="shared" si="697"/>
        <v>15016.769999999999</v>
      </c>
      <c r="R507" s="1217">
        <f>+R501+R497+R493+R489+R485+R481+R477+R473+R469+R465+R461+R457</f>
        <v>-17188.23</v>
      </c>
      <c r="S507" s="235"/>
      <c r="T507" s="235">
        <f t="shared" ref="T507:Y507" si="701">+T501+T497+T493+T489+T485+T481+T477+T473+T469+T465+T461+T457</f>
        <v>19586.309827466754</v>
      </c>
      <c r="U507" s="235">
        <f t="shared" si="701"/>
        <v>16435.058256471551</v>
      </c>
      <c r="V507" s="235">
        <f t="shared" si="701"/>
        <v>-5145.3726260952571</v>
      </c>
      <c r="W507" s="235">
        <f t="shared" si="701"/>
        <v>18328.967725049148</v>
      </c>
      <c r="X507" s="235">
        <f t="shared" si="701"/>
        <v>18712.664556567215</v>
      </c>
      <c r="Y507" s="235">
        <f t="shared" si="701"/>
        <v>824.24147699852665</v>
      </c>
      <c r="Z507" s="235">
        <f t="shared" si="699"/>
        <v>15210.469842324002</v>
      </c>
      <c r="AA507" s="235">
        <f t="shared" si="699"/>
        <v>16962.245641780315</v>
      </c>
      <c r="AB507" s="235">
        <f t="shared" si="699"/>
        <v>152.96990085619655</v>
      </c>
      <c r="AC507" s="235">
        <f t="shared" si="699"/>
        <v>14862.786991406672</v>
      </c>
      <c r="AD507" s="235">
        <f t="shared" si="699"/>
        <v>14150.017359124717</v>
      </c>
      <c r="AE507" s="235">
        <f t="shared" si="699"/>
        <v>-16196.142903742164</v>
      </c>
      <c r="AF507" s="235">
        <f t="shared" ref="AF507:AQ507" si="702">+AF501+AF497+AF493+AF489+AF485+AF481+AF477+AF473+AF469+AF465+AF461+AF457</f>
        <v>19705.599357527961</v>
      </c>
      <c r="AG507" s="235">
        <f t="shared" si="702"/>
        <v>16535.155232023</v>
      </c>
      <c r="AH507" s="235">
        <f t="shared" si="702"/>
        <v>-5176.7102842842414</v>
      </c>
      <c r="AI507" s="235">
        <f t="shared" si="702"/>
        <v>18440.59947016542</v>
      </c>
      <c r="AJ507" s="235">
        <f t="shared" si="702"/>
        <v>18826.633189801818</v>
      </c>
      <c r="AK507" s="235">
        <f t="shared" si="702"/>
        <v>829.26148226313364</v>
      </c>
      <c r="AL507" s="235">
        <f t="shared" si="702"/>
        <v>15303.1085177807</v>
      </c>
      <c r="AM507" s="235">
        <f t="shared" si="702"/>
        <v>17065.553428148178</v>
      </c>
      <c r="AN507" s="235">
        <f t="shared" si="702"/>
        <v>153.90155708686916</v>
      </c>
      <c r="AO507" s="235">
        <f t="shared" si="702"/>
        <v>14953.308120257518</v>
      </c>
      <c r="AP507" s="235">
        <f t="shared" si="702"/>
        <v>14236.197396916257</v>
      </c>
      <c r="AQ507" s="235">
        <f t="shared" si="702"/>
        <v>-16294.78477619341</v>
      </c>
      <c r="AR507" s="235">
        <f>SUM(G507:R507)</f>
        <v>120860.13999999997</v>
      </c>
      <c r="AS507" s="235">
        <f>SUM(T507:AE507)</f>
        <v>113884.21604820769</v>
      </c>
      <c r="AT507" s="235">
        <f>SUM(AF507:AQ507)</f>
        <v>114577.8226914932</v>
      </c>
      <c r="AU507" s="622"/>
      <c r="AV507" s="622"/>
    </row>
    <row r="508" spans="2:48" ht="13.5" thickTop="1">
      <c r="B508" s="250">
        <f t="shared" si="623"/>
        <v>853</v>
      </c>
      <c r="C508" s="102"/>
      <c r="D508" s="49" t="s">
        <v>653</v>
      </c>
      <c r="E508" s="102"/>
      <c r="F508" s="102"/>
      <c r="G508" s="1215">
        <f>G267+G370+G423+G451+G505</f>
        <v>7774542.209999999</v>
      </c>
      <c r="H508" s="1215">
        <f t="shared" ref="H508:Q508" si="703">H267+H370+H423+H451+H505</f>
        <v>6221658.8100000005</v>
      </c>
      <c r="I508" s="1215">
        <f t="shared" si="703"/>
        <v>4494158.1100000003</v>
      </c>
      <c r="J508" s="1215">
        <f t="shared" si="703"/>
        <v>5278930.4000000004</v>
      </c>
      <c r="K508" s="1215">
        <f t="shared" si="703"/>
        <v>5969503.8499999996</v>
      </c>
      <c r="L508" s="1215">
        <f t="shared" si="703"/>
        <v>4513526.43</v>
      </c>
      <c r="M508" s="1215">
        <f t="shared" si="703"/>
        <v>5056102.6500000004</v>
      </c>
      <c r="N508" s="1215">
        <f t="shared" si="703"/>
        <v>5391062.7699999996</v>
      </c>
      <c r="O508" s="1215">
        <f t="shared" si="703"/>
        <v>4969321.4400000004</v>
      </c>
      <c r="P508" s="1215">
        <f t="shared" si="703"/>
        <v>4686659.01</v>
      </c>
      <c r="Q508" s="1215">
        <f t="shared" si="703"/>
        <v>5758911.6299999999</v>
      </c>
      <c r="R508" s="1215">
        <f>R267+R370+R423+R451+R505</f>
        <v>6091516.3700000001</v>
      </c>
      <c r="S508" s="116"/>
      <c r="T508" s="116">
        <f t="shared" ref="T508:Y508" si="704">T267+T370+T423+T451+T505</f>
        <v>7325803.5669952892</v>
      </c>
      <c r="U508" s="116">
        <f t="shared" si="704"/>
        <v>5862551.0122384001</v>
      </c>
      <c r="V508" s="116">
        <f t="shared" si="704"/>
        <v>4234759.8898532186</v>
      </c>
      <c r="W508" s="116">
        <f t="shared" si="704"/>
        <v>4974235.9240776263</v>
      </c>
      <c r="X508" s="116">
        <f t="shared" si="704"/>
        <v>5624950.1792237498</v>
      </c>
      <c r="Y508" s="116">
        <f t="shared" si="704"/>
        <v>4253010.2901867852</v>
      </c>
      <c r="Z508" s="116">
        <f t="shared" ref="Z508:AE508" si="705">Z267+Z370+Z423+Z451+Z505</f>
        <v>4764269.5644280687</v>
      </c>
      <c r="AA508" s="116">
        <f t="shared" si="705"/>
        <v>5079896.1281041782</v>
      </c>
      <c r="AB508" s="116">
        <f t="shared" si="705"/>
        <v>4682497.2773153363</v>
      </c>
      <c r="AC508" s="116">
        <f t="shared" si="705"/>
        <v>4416149.8343384266</v>
      </c>
      <c r="AD508" s="116">
        <f t="shared" si="705"/>
        <v>5426513.1272680629</v>
      </c>
      <c r="AE508" s="116">
        <f t="shared" si="705"/>
        <v>5739920.2610742776</v>
      </c>
      <c r="AF508" s="116">
        <f t="shared" ref="AF508:AQ508" si="706">AF267+AF370+AF423+AF451+AF505</f>
        <v>7370421.0407576058</v>
      </c>
      <c r="AG508" s="116">
        <f t="shared" si="706"/>
        <v>5898256.6128017604</v>
      </c>
      <c r="AH508" s="116">
        <f t="shared" si="706"/>
        <v>4260551.5025476236</v>
      </c>
      <c r="AI508" s="116">
        <f t="shared" si="706"/>
        <v>5004531.2819589097</v>
      </c>
      <c r="AJ508" s="116">
        <f t="shared" si="706"/>
        <v>5659208.6827095021</v>
      </c>
      <c r="AK508" s="116">
        <f t="shared" si="706"/>
        <v>4278913.0561151784</v>
      </c>
      <c r="AL508" s="116">
        <f t="shared" si="706"/>
        <v>4793286.1317361444</v>
      </c>
      <c r="AM508" s="116">
        <f t="shared" si="706"/>
        <v>5110835.0046572033</v>
      </c>
      <c r="AN508" s="116">
        <f t="shared" si="706"/>
        <v>4711015.8142242404</v>
      </c>
      <c r="AO508" s="116">
        <f t="shared" si="706"/>
        <v>4443046.1942479052</v>
      </c>
      <c r="AP508" s="116">
        <f t="shared" si="706"/>
        <v>5459563.0589052606</v>
      </c>
      <c r="AQ508" s="116">
        <f t="shared" si="706"/>
        <v>5774878.9846196454</v>
      </c>
      <c r="AR508" s="116">
        <f>SUM(G508:R508)</f>
        <v>66205893.68</v>
      </c>
      <c r="AS508" s="116">
        <f>SUM(T508:AE508)</f>
        <v>62384557.055103414</v>
      </c>
      <c r="AT508" s="116">
        <f>SUM(AF508:AQ508)</f>
        <v>62764507.365280986</v>
      </c>
      <c r="AU508" s="171"/>
      <c r="AV508" s="171"/>
    </row>
    <row r="509" spans="2:48">
      <c r="B509" s="250">
        <f t="shared" si="623"/>
        <v>854</v>
      </c>
      <c r="C509" s="208"/>
      <c r="D509" s="102"/>
      <c r="E509" s="102"/>
      <c r="F509" s="102"/>
      <c r="G509" s="1244"/>
      <c r="H509" s="1244"/>
      <c r="I509" s="1244"/>
      <c r="J509" s="1244"/>
      <c r="K509" s="1244"/>
      <c r="L509" s="1244"/>
      <c r="M509" s="1244"/>
      <c r="N509" s="1244"/>
      <c r="O509" s="1244"/>
      <c r="P509" s="1244"/>
      <c r="Q509" s="1244"/>
      <c r="R509" s="1244"/>
      <c r="S509" s="186"/>
      <c r="T509" s="625"/>
      <c r="U509" s="625"/>
      <c r="V509" s="625"/>
      <c r="W509" s="625"/>
      <c r="X509" s="625"/>
      <c r="Y509" s="625"/>
      <c r="Z509" s="625"/>
      <c r="AA509" s="625"/>
      <c r="AB509" s="625"/>
      <c r="AC509" s="625"/>
      <c r="AD509" s="625"/>
      <c r="AE509" s="625"/>
      <c r="AF509" s="625"/>
      <c r="AG509" s="625"/>
      <c r="AH509" s="625"/>
      <c r="AI509" s="625"/>
      <c r="AJ509" s="625"/>
      <c r="AK509" s="625"/>
      <c r="AL509" s="625"/>
      <c r="AM509" s="625"/>
      <c r="AN509" s="625"/>
      <c r="AO509" s="625"/>
      <c r="AP509" s="625"/>
      <c r="AQ509" s="625"/>
      <c r="AR509" s="625"/>
      <c r="AS509" s="625"/>
      <c r="AT509" s="625"/>
      <c r="AU509" s="171"/>
      <c r="AV509" s="171"/>
    </row>
    <row r="510" spans="2:48">
      <c r="B510" s="250">
        <f t="shared" si="623"/>
        <v>855</v>
      </c>
      <c r="C510" s="208"/>
      <c r="D510" s="102"/>
      <c r="E510" s="102"/>
      <c r="F510" s="102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71"/>
      <c r="AV510" s="171"/>
    </row>
    <row r="511" spans="2:48">
      <c r="B511" s="250">
        <f t="shared" si="623"/>
        <v>856</v>
      </c>
      <c r="C511" s="49" t="s">
        <v>438</v>
      </c>
      <c r="D511" s="102"/>
      <c r="E511" s="102"/>
      <c r="F511" s="102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71"/>
      <c r="AT511" s="186"/>
      <c r="AU511" s="171"/>
      <c r="AV511" s="171"/>
    </row>
    <row r="512" spans="2:48">
      <c r="B512" s="118"/>
      <c r="C512" s="208"/>
      <c r="D512" s="102"/>
      <c r="E512" s="102"/>
      <c r="F512" s="102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71"/>
      <c r="AV512" s="171"/>
    </row>
    <row r="513" spans="2:49">
      <c r="B513" s="250"/>
      <c r="C513" s="624" t="s">
        <v>1050</v>
      </c>
      <c r="D513" s="624"/>
      <c r="E513" s="624"/>
      <c r="F513" s="616"/>
      <c r="G513" s="19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626"/>
      <c r="AV513" s="626"/>
    </row>
    <row r="514" spans="2:49">
      <c r="B514" s="250">
        <v>615</v>
      </c>
      <c r="C514" s="49" t="s">
        <v>1051</v>
      </c>
      <c r="D514" s="102"/>
      <c r="E514" s="102"/>
      <c r="F514" s="102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71"/>
      <c r="AV514" s="171"/>
    </row>
    <row r="515" spans="2:49">
      <c r="B515" s="250">
        <v>616</v>
      </c>
      <c r="C515" s="208"/>
      <c r="D515" s="102"/>
      <c r="E515" s="102"/>
      <c r="F515" s="102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71"/>
      <c r="AV515" s="171"/>
    </row>
    <row r="516" spans="2:49">
      <c r="B516" s="250">
        <v>617</v>
      </c>
      <c r="C516" s="49" t="s">
        <v>368</v>
      </c>
      <c r="D516" s="102"/>
      <c r="E516" s="102"/>
      <c r="F516" s="102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  <c r="AA516" s="186"/>
      <c r="AB516" s="186"/>
      <c r="AC516" s="186"/>
      <c r="AD516" s="186"/>
      <c r="AE516" s="186"/>
      <c r="AF516" s="186"/>
      <c r="AG516" s="186"/>
      <c r="AH516" s="186"/>
      <c r="AI516" s="186"/>
      <c r="AJ516" s="186"/>
      <c r="AK516" s="186"/>
      <c r="AL516" s="186"/>
      <c r="AM516" s="186"/>
      <c r="AN516" s="186"/>
      <c r="AO516" s="186"/>
      <c r="AP516" s="186"/>
      <c r="AQ516" s="186"/>
      <c r="AR516" s="186"/>
      <c r="AS516" s="186"/>
      <c r="AT516" s="186"/>
      <c r="AU516" s="171"/>
      <c r="AV516" s="171"/>
    </row>
    <row r="517" spans="2:49">
      <c r="B517" s="250">
        <v>618</v>
      </c>
      <c r="C517" s="208"/>
      <c r="D517" s="102"/>
      <c r="E517" s="102"/>
      <c r="F517" s="102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71"/>
      <c r="AV517" s="171"/>
    </row>
    <row r="518" spans="2:49">
      <c r="B518" s="250">
        <v>619</v>
      </c>
      <c r="C518" s="212">
        <v>810</v>
      </c>
      <c r="D518" s="102" t="s">
        <v>369</v>
      </c>
      <c r="E518" s="102"/>
      <c r="F518" s="102"/>
      <c r="G518" s="186">
        <v>-3059</v>
      </c>
      <c r="H518" s="186">
        <v>-620</v>
      </c>
      <c r="I518" s="186">
        <v>-1026</v>
      </c>
      <c r="J518" s="186">
        <v>-666</v>
      </c>
      <c r="K518" s="186">
        <v>-2201</v>
      </c>
      <c r="L518" s="186">
        <v>-517</v>
      </c>
      <c r="M518" s="186">
        <v>-2920</v>
      </c>
      <c r="N518" s="186">
        <v>-344</v>
      </c>
      <c r="O518" s="186">
        <v>-441</v>
      </c>
      <c r="P518" s="186">
        <v>-708</v>
      </c>
      <c r="Q518" s="186">
        <v>-1073</v>
      </c>
      <c r="R518" s="186">
        <v>-658</v>
      </c>
      <c r="S518" s="186"/>
      <c r="T518" s="186">
        <f t="shared" ref="T518:W519" si="707">G518*(1+$AU518)</f>
        <v>-3126.2980000000002</v>
      </c>
      <c r="U518" s="186">
        <f t="shared" si="707"/>
        <v>-633.64</v>
      </c>
      <c r="V518" s="186">
        <f t="shared" si="707"/>
        <v>-1048.5720000000001</v>
      </c>
      <c r="W518" s="186">
        <f t="shared" si="707"/>
        <v>-680.65200000000004</v>
      </c>
      <c r="X518" s="186">
        <f t="shared" ref="X518:AE519" si="708">K518*(1+$AU518)</f>
        <v>-2249.422</v>
      </c>
      <c r="Y518" s="186">
        <f t="shared" si="708"/>
        <v>-528.37400000000002</v>
      </c>
      <c r="Z518" s="186">
        <f t="shared" si="708"/>
        <v>-2984.2400000000002</v>
      </c>
      <c r="AA518" s="186">
        <f t="shared" si="708"/>
        <v>-351.56799999999998</v>
      </c>
      <c r="AB518" s="186">
        <f t="shared" si="708"/>
        <v>-450.702</v>
      </c>
      <c r="AC518" s="186">
        <f t="shared" si="708"/>
        <v>-723.57600000000002</v>
      </c>
      <c r="AD518" s="186">
        <f t="shared" si="708"/>
        <v>-1096.606</v>
      </c>
      <c r="AE518" s="186">
        <f t="shared" si="708"/>
        <v>-672.476</v>
      </c>
      <c r="AF518" s="186">
        <f>T518*(1+$AV$518)</f>
        <v>-3185.697662</v>
      </c>
      <c r="AG518" s="186">
        <f t="shared" ref="AG518:AQ518" si="709">U518*(1+$AV$518)</f>
        <v>-645.67915999999991</v>
      </c>
      <c r="AH518" s="186">
        <f t="shared" si="709"/>
        <v>-1068.494868</v>
      </c>
      <c r="AI518" s="186">
        <f t="shared" si="709"/>
        <v>-693.58438799999999</v>
      </c>
      <c r="AJ518" s="186">
        <f t="shared" si="709"/>
        <v>-2292.1610179999998</v>
      </c>
      <c r="AK518" s="186">
        <f t="shared" si="709"/>
        <v>-538.41310599999997</v>
      </c>
      <c r="AL518" s="186">
        <f t="shared" si="709"/>
        <v>-3040.94056</v>
      </c>
      <c r="AM518" s="186">
        <f t="shared" si="709"/>
        <v>-358.24779199999995</v>
      </c>
      <c r="AN518" s="186">
        <f t="shared" si="709"/>
        <v>-459.26533799999993</v>
      </c>
      <c r="AO518" s="186">
        <f t="shared" si="709"/>
        <v>-737.32394399999998</v>
      </c>
      <c r="AP518" s="186">
        <f t="shared" si="709"/>
        <v>-1117.4415139999999</v>
      </c>
      <c r="AQ518" s="186">
        <f t="shared" si="709"/>
        <v>-685.25304399999993</v>
      </c>
      <c r="AR518" s="186">
        <f>SUM(G518:R518)</f>
        <v>-14233</v>
      </c>
      <c r="AS518" s="186">
        <f>SUM(T518:AE518)</f>
        <v>-14546.125999999998</v>
      </c>
      <c r="AT518" s="186">
        <f>SUM(AF518:AQ518)</f>
        <v>-14822.502393999999</v>
      </c>
      <c r="AU518" s="171">
        <v>2.2000000000000002E-2</v>
      </c>
      <c r="AV518" s="171">
        <v>1.9E-2</v>
      </c>
      <c r="AW518" s="30"/>
    </row>
    <row r="519" spans="2:49">
      <c r="B519" s="250">
        <v>620</v>
      </c>
      <c r="C519" s="212">
        <v>812</v>
      </c>
      <c r="D519" s="102" t="s">
        <v>372</v>
      </c>
      <c r="E519" s="102"/>
      <c r="F519" s="102"/>
      <c r="G519" s="949">
        <v>-119129.06999999999</v>
      </c>
      <c r="H519" s="949">
        <v>-85342.02</v>
      </c>
      <c r="I519" s="949">
        <v>-91810.39</v>
      </c>
      <c r="J519" s="949">
        <v>-76634.570000000007</v>
      </c>
      <c r="K519" s="949">
        <v>-65162.960000000006</v>
      </c>
      <c r="L519" s="949">
        <v>-63495.320000000007</v>
      </c>
      <c r="M519" s="949">
        <v>-55982.46</v>
      </c>
      <c r="N519" s="949">
        <v>-57654.82</v>
      </c>
      <c r="O519" s="949">
        <v>-56779.490000000005</v>
      </c>
      <c r="P519" s="949">
        <v>-58980.97</v>
      </c>
      <c r="Q519" s="949">
        <v>-69808.03</v>
      </c>
      <c r="R519" s="949">
        <v>-92311.830000000016</v>
      </c>
      <c r="S519" s="617"/>
      <c r="T519" s="204">
        <f t="shared" si="707"/>
        <v>-121749.90953999999</v>
      </c>
      <c r="U519" s="204">
        <f t="shared" si="707"/>
        <v>-87219.544440000012</v>
      </c>
      <c r="V519" s="204">
        <f t="shared" si="707"/>
        <v>-93830.218580000001</v>
      </c>
      <c r="W519" s="204">
        <f t="shared" si="707"/>
        <v>-78320.530540000007</v>
      </c>
      <c r="X519" s="204">
        <f t="shared" si="708"/>
        <v>-66596.54512000001</v>
      </c>
      <c r="Y519" s="204">
        <f t="shared" si="708"/>
        <v>-64892.21704000001</v>
      </c>
      <c r="Z519" s="204">
        <f t="shared" si="708"/>
        <v>-57214.074119999997</v>
      </c>
      <c r="AA519" s="204">
        <f t="shared" si="708"/>
        <v>-58923.226040000001</v>
      </c>
      <c r="AB519" s="204">
        <f t="shared" si="708"/>
        <v>-58028.638780000008</v>
      </c>
      <c r="AC519" s="204">
        <f t="shared" si="708"/>
        <v>-60278.551340000005</v>
      </c>
      <c r="AD519" s="204">
        <f t="shared" si="708"/>
        <v>-71343.806660000002</v>
      </c>
      <c r="AE519" s="204">
        <f t="shared" si="708"/>
        <v>-94342.690260000018</v>
      </c>
      <c r="AF519" s="204">
        <f t="shared" ref="AF519:AQ519" si="710">T519*(1+$AV$519)</f>
        <v>-124063.15782125999</v>
      </c>
      <c r="AG519" s="204">
        <f t="shared" si="710"/>
        <v>-88876.71578436</v>
      </c>
      <c r="AH519" s="204">
        <f t="shared" si="710"/>
        <v>-95612.992733019986</v>
      </c>
      <c r="AI519" s="204">
        <f t="shared" si="710"/>
        <v>-79808.620620260001</v>
      </c>
      <c r="AJ519" s="204">
        <f t="shared" si="710"/>
        <v>-67861.879477280003</v>
      </c>
      <c r="AK519" s="204">
        <f t="shared" si="710"/>
        <v>-66125.169163760002</v>
      </c>
      <c r="AL519" s="204">
        <f t="shared" si="710"/>
        <v>-58301.141528279994</v>
      </c>
      <c r="AM519" s="204">
        <f t="shared" si="710"/>
        <v>-60042.767334759999</v>
      </c>
      <c r="AN519" s="204">
        <f t="shared" si="710"/>
        <v>-59131.182916820006</v>
      </c>
      <c r="AO519" s="204">
        <f t="shared" si="710"/>
        <v>-61423.843815460001</v>
      </c>
      <c r="AP519" s="204">
        <f t="shared" si="710"/>
        <v>-72699.338986539995</v>
      </c>
      <c r="AQ519" s="204">
        <f t="shared" si="710"/>
        <v>-96135.201374940007</v>
      </c>
      <c r="AR519" s="204">
        <f>SUM(G519:R519)</f>
        <v>-893091.92999999993</v>
      </c>
      <c r="AS519" s="204">
        <f>SUM(T519:AE519)</f>
        <v>-912739.95246000006</v>
      </c>
      <c r="AT519" s="204">
        <f>SUM(AF519:AQ519)</f>
        <v>-930082.01155674004</v>
      </c>
      <c r="AU519" s="618">
        <f>AU518</f>
        <v>2.2000000000000002E-2</v>
      </c>
      <c r="AV519" s="618">
        <f>AV518</f>
        <v>1.9E-2</v>
      </c>
      <c r="AW519" s="30"/>
    </row>
    <row r="520" spans="2:49">
      <c r="B520" s="250">
        <v>621</v>
      </c>
      <c r="C520" s="208"/>
      <c r="D520" s="102"/>
      <c r="E520" s="102"/>
      <c r="F520" s="102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71"/>
      <c r="AV520" s="171"/>
    </row>
    <row r="521" spans="2:49">
      <c r="B521" s="250">
        <v>622</v>
      </c>
      <c r="C521" s="102"/>
      <c r="D521" s="49" t="s">
        <v>373</v>
      </c>
      <c r="E521" s="102"/>
      <c r="F521" s="102"/>
      <c r="G521" s="1215">
        <v>-122188.06999999999</v>
      </c>
      <c r="H521" s="1215">
        <v>-85962.02</v>
      </c>
      <c r="I521" s="1215">
        <v>-92836.39</v>
      </c>
      <c r="J521" s="1215">
        <v>-77300.570000000007</v>
      </c>
      <c r="K521" s="1215">
        <v>-67363.960000000006</v>
      </c>
      <c r="L521" s="1215">
        <v>-64012.320000000007</v>
      </c>
      <c r="M521" s="1215">
        <v>-58902.46</v>
      </c>
      <c r="N521" s="1215">
        <v>-57998.82</v>
      </c>
      <c r="O521" s="1215">
        <v>-57220.490000000005</v>
      </c>
      <c r="P521" s="1215">
        <v>-59688.97</v>
      </c>
      <c r="Q521" s="1215">
        <v>-70881.03</v>
      </c>
      <c r="R521" s="1215">
        <v>-92969.830000000016</v>
      </c>
      <c r="S521" s="116"/>
      <c r="T521" s="116">
        <f t="shared" ref="T521:Y521" si="711">SUM(T518:T519)</f>
        <v>-124876.20753999999</v>
      </c>
      <c r="U521" s="116">
        <f t="shared" si="711"/>
        <v>-87853.184440000012</v>
      </c>
      <c r="V521" s="116">
        <f t="shared" si="711"/>
        <v>-94878.790580000001</v>
      </c>
      <c r="W521" s="116">
        <f t="shared" si="711"/>
        <v>-79001.182540000009</v>
      </c>
      <c r="X521" s="116">
        <f t="shared" si="711"/>
        <v>-68845.967120000016</v>
      </c>
      <c r="Y521" s="116">
        <f t="shared" si="711"/>
        <v>-65420.591040000014</v>
      </c>
      <c r="Z521" s="116">
        <f t="shared" ref="Z521:AE521" si="712">SUM(Z518:Z519)</f>
        <v>-60198.314119999995</v>
      </c>
      <c r="AA521" s="116">
        <f t="shared" si="712"/>
        <v>-59274.794040000001</v>
      </c>
      <c r="AB521" s="116">
        <f t="shared" si="712"/>
        <v>-58479.340780000006</v>
      </c>
      <c r="AC521" s="116">
        <f t="shared" si="712"/>
        <v>-61002.127340000006</v>
      </c>
      <c r="AD521" s="116">
        <f t="shared" si="712"/>
        <v>-72440.412660000002</v>
      </c>
      <c r="AE521" s="116">
        <f t="shared" si="712"/>
        <v>-95015.166260000013</v>
      </c>
      <c r="AF521" s="116">
        <f t="shared" ref="AF521:AQ521" si="713">SUM(AF518:AF519)</f>
        <v>-127248.85548325999</v>
      </c>
      <c r="AG521" s="116">
        <f t="shared" si="713"/>
        <v>-89522.394944359999</v>
      </c>
      <c r="AH521" s="116">
        <f t="shared" si="713"/>
        <v>-96681.487601019981</v>
      </c>
      <c r="AI521" s="116">
        <f t="shared" si="713"/>
        <v>-80502.205008260004</v>
      </c>
      <c r="AJ521" s="116">
        <f t="shared" si="713"/>
        <v>-70154.040495280002</v>
      </c>
      <c r="AK521" s="116">
        <f t="shared" si="713"/>
        <v>-66663.582269759994</v>
      </c>
      <c r="AL521" s="116">
        <f t="shared" si="713"/>
        <v>-61342.082088279996</v>
      </c>
      <c r="AM521" s="116">
        <f t="shared" si="713"/>
        <v>-60401.015126760001</v>
      </c>
      <c r="AN521" s="116">
        <f t="shared" si="713"/>
        <v>-59590.448254820003</v>
      </c>
      <c r="AO521" s="116">
        <f t="shared" si="713"/>
        <v>-62161.167759460004</v>
      </c>
      <c r="AP521" s="116">
        <f t="shared" si="713"/>
        <v>-73816.780500540001</v>
      </c>
      <c r="AQ521" s="116">
        <f t="shared" si="713"/>
        <v>-96820.454418940004</v>
      </c>
      <c r="AR521" s="116">
        <f>SUM(G521:R521)</f>
        <v>-907324.92999999993</v>
      </c>
      <c r="AS521" s="116">
        <f>SUM(T521:AE521)</f>
        <v>-927286.07845999999</v>
      </c>
      <c r="AT521" s="116">
        <f>SUM(AF521:AQ521)</f>
        <v>-944904.5139507401</v>
      </c>
      <c r="AU521" s="171"/>
      <c r="AV521" s="171"/>
    </row>
    <row r="522" spans="2:49">
      <c r="B522" s="250">
        <v>623</v>
      </c>
      <c r="C522" s="208"/>
      <c r="D522" s="102"/>
      <c r="E522" s="102"/>
      <c r="F522" s="102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  <c r="AC522" s="186"/>
      <c r="AD522" s="186"/>
      <c r="AE522" s="186"/>
      <c r="AF522" s="186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6"/>
      <c r="AR522" s="186"/>
      <c r="AS522" s="186"/>
      <c r="AT522" s="186"/>
      <c r="AU522" s="171"/>
      <c r="AV522" s="171"/>
    </row>
    <row r="523" spans="2:49">
      <c r="B523" s="250">
        <v>624</v>
      </c>
      <c r="C523" s="49" t="s">
        <v>374</v>
      </c>
      <c r="D523" s="102"/>
      <c r="E523" s="102"/>
      <c r="F523" s="102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71"/>
      <c r="AV523" s="171"/>
    </row>
    <row r="524" spans="2:49">
      <c r="B524" s="250">
        <v>625</v>
      </c>
      <c r="C524" s="208"/>
      <c r="D524" s="102" t="s">
        <v>838</v>
      </c>
      <c r="E524" s="102"/>
      <c r="F524" s="102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71"/>
      <c r="AV524" s="171"/>
    </row>
    <row r="525" spans="2:49">
      <c r="B525" s="250">
        <v>626</v>
      </c>
      <c r="C525" s="212">
        <v>870</v>
      </c>
      <c r="D525" s="102" t="s">
        <v>375</v>
      </c>
      <c r="E525" s="102"/>
      <c r="F525" s="102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71"/>
      <c r="AV525" s="171"/>
    </row>
    <row r="526" spans="2:49">
      <c r="B526" s="250">
        <v>627</v>
      </c>
      <c r="C526" s="212"/>
      <c r="D526" s="102"/>
      <c r="E526" s="102" t="s">
        <v>14</v>
      </c>
      <c r="F526" s="102"/>
      <c r="G526" s="186">
        <v>667720.46</v>
      </c>
      <c r="H526" s="186">
        <v>-182734.78999999998</v>
      </c>
      <c r="I526" s="186">
        <v>396784.58999999997</v>
      </c>
      <c r="J526" s="186">
        <v>51120.259999999995</v>
      </c>
      <c r="K526" s="186">
        <v>102929.34</v>
      </c>
      <c r="L526" s="186">
        <v>425696.76</v>
      </c>
      <c r="M526" s="186">
        <v>327055.18</v>
      </c>
      <c r="N526" s="186">
        <v>421305.24</v>
      </c>
      <c r="O526" s="186">
        <v>210290.91</v>
      </c>
      <c r="P526" s="186">
        <v>383627</v>
      </c>
      <c r="Q526" s="186">
        <v>4821.0699999999979</v>
      </c>
      <c r="R526" s="186">
        <v>689701.66</v>
      </c>
      <c r="S526" s="186"/>
      <c r="T526" s="186">
        <f t="shared" ref="T526:W527" si="714">G526*(1+$AU526)</f>
        <v>681742.58965999994</v>
      </c>
      <c r="U526" s="186">
        <f t="shared" si="714"/>
        <v>-186572.22058999995</v>
      </c>
      <c r="V526" s="186">
        <f t="shared" si="714"/>
        <v>405117.06638999993</v>
      </c>
      <c r="W526" s="186">
        <f t="shared" si="714"/>
        <v>52193.785459999992</v>
      </c>
      <c r="X526" s="186">
        <f t="shared" ref="X526:AE527" si="715">K526*(1+$AU526)</f>
        <v>105090.85613999999</v>
      </c>
      <c r="Y526" s="186">
        <f t="shared" si="715"/>
        <v>434636.39195999998</v>
      </c>
      <c r="Z526" s="186">
        <f t="shared" si="715"/>
        <v>333923.33877999999</v>
      </c>
      <c r="AA526" s="186">
        <f t="shared" si="715"/>
        <v>430152.65003999998</v>
      </c>
      <c r="AB526" s="186">
        <f t="shared" si="715"/>
        <v>214707.01910999999</v>
      </c>
      <c r="AC526" s="186">
        <f t="shared" si="715"/>
        <v>391683.16699999996</v>
      </c>
      <c r="AD526" s="186">
        <f t="shared" si="715"/>
        <v>4922.3124699999971</v>
      </c>
      <c r="AE526" s="186">
        <f t="shared" si="715"/>
        <v>704185.39486</v>
      </c>
      <c r="AF526" s="186">
        <f t="shared" ref="AF526:AQ526" si="716">T526*(1+$AV$526)</f>
        <v>696059.18404285982</v>
      </c>
      <c r="AG526" s="186">
        <f t="shared" si="716"/>
        <v>-190490.23722238993</v>
      </c>
      <c r="AH526" s="186">
        <f t="shared" si="716"/>
        <v>413624.52478418988</v>
      </c>
      <c r="AI526" s="186">
        <f t="shared" si="716"/>
        <v>53289.85495465999</v>
      </c>
      <c r="AJ526" s="186">
        <f t="shared" si="716"/>
        <v>107297.76411893997</v>
      </c>
      <c r="AK526" s="186">
        <f t="shared" si="716"/>
        <v>443763.75619115995</v>
      </c>
      <c r="AL526" s="186">
        <f t="shared" si="716"/>
        <v>340935.72889437998</v>
      </c>
      <c r="AM526" s="186">
        <f t="shared" si="716"/>
        <v>439185.85569083993</v>
      </c>
      <c r="AN526" s="186">
        <f t="shared" si="716"/>
        <v>219215.86651130999</v>
      </c>
      <c r="AO526" s="186">
        <f t="shared" si="716"/>
        <v>399908.51350699994</v>
      </c>
      <c r="AP526" s="186">
        <f t="shared" si="716"/>
        <v>5025.6810318699963</v>
      </c>
      <c r="AQ526" s="186">
        <f t="shared" si="716"/>
        <v>718973.28815205989</v>
      </c>
      <c r="AR526" s="186">
        <f>SUM(G526:R526)</f>
        <v>3498317.68</v>
      </c>
      <c r="AS526" s="186">
        <f>SUM(T526:AE526)</f>
        <v>3571782.3512799996</v>
      </c>
      <c r="AT526" s="186">
        <f>SUM(AF526:AQ526)</f>
        <v>3646789.7806568798</v>
      </c>
      <c r="AU526" s="171">
        <v>2.1000000000000001E-2</v>
      </c>
      <c r="AV526" s="171">
        <v>2.1000000000000001E-2</v>
      </c>
      <c r="AW526" s="30"/>
    </row>
    <row r="527" spans="2:49">
      <c r="B527" s="250">
        <v>628</v>
      </c>
      <c r="C527" s="212"/>
      <c r="D527" s="102"/>
      <c r="E527" s="102" t="s">
        <v>24</v>
      </c>
      <c r="F527" s="102"/>
      <c r="G527" s="186">
        <v>87149.75</v>
      </c>
      <c r="H527" s="186">
        <v>10017.02</v>
      </c>
      <c r="I527" s="186">
        <v>31225.71</v>
      </c>
      <c r="J527" s="186">
        <v>24257.22</v>
      </c>
      <c r="K527" s="186">
        <v>17938.010000000002</v>
      </c>
      <c r="L527" s="186">
        <v>33361.57</v>
      </c>
      <c r="M527" s="186">
        <v>23814.26</v>
      </c>
      <c r="N527" s="186">
        <v>30415.260000000002</v>
      </c>
      <c r="O527" s="186">
        <v>24899.690000000002</v>
      </c>
      <c r="P527" s="186">
        <v>19187.71</v>
      </c>
      <c r="Q527" s="186">
        <v>13156.500000000002</v>
      </c>
      <c r="R527" s="186">
        <v>42772.87</v>
      </c>
      <c r="S527" s="617"/>
      <c r="T527" s="204">
        <f t="shared" si="714"/>
        <v>88979.894749999992</v>
      </c>
      <c r="U527" s="204">
        <f t="shared" si="714"/>
        <v>10227.377419999999</v>
      </c>
      <c r="V527" s="204">
        <f t="shared" si="714"/>
        <v>31881.449909999996</v>
      </c>
      <c r="W527" s="204">
        <f t="shared" si="714"/>
        <v>24766.621619999998</v>
      </c>
      <c r="X527" s="204">
        <f t="shared" si="715"/>
        <v>18314.708210000001</v>
      </c>
      <c r="Y527" s="204">
        <f t="shared" si="715"/>
        <v>34062.162969999998</v>
      </c>
      <c r="Z527" s="204">
        <f t="shared" si="715"/>
        <v>24314.359459999996</v>
      </c>
      <c r="AA527" s="204">
        <f t="shared" si="715"/>
        <v>31053.980459999999</v>
      </c>
      <c r="AB527" s="204">
        <f t="shared" si="715"/>
        <v>25422.583490000001</v>
      </c>
      <c r="AC527" s="204">
        <f t="shared" si="715"/>
        <v>19590.651909999997</v>
      </c>
      <c r="AD527" s="204">
        <f t="shared" si="715"/>
        <v>13432.7865</v>
      </c>
      <c r="AE527" s="204">
        <f t="shared" si="715"/>
        <v>43671.100269999995</v>
      </c>
      <c r="AF527" s="204">
        <f t="shared" ref="AF527:AQ527" si="717">T527*(1+$AV$527)</f>
        <v>90848.472539749986</v>
      </c>
      <c r="AG527" s="204">
        <f t="shared" si="717"/>
        <v>10442.152345819997</v>
      </c>
      <c r="AH527" s="204">
        <f t="shared" si="717"/>
        <v>32550.960358109991</v>
      </c>
      <c r="AI527" s="204">
        <f t="shared" si="717"/>
        <v>25286.720674019994</v>
      </c>
      <c r="AJ527" s="204">
        <f t="shared" si="717"/>
        <v>18699.317082409998</v>
      </c>
      <c r="AK527" s="204">
        <f t="shared" si="717"/>
        <v>34777.468392369992</v>
      </c>
      <c r="AL527" s="204">
        <f t="shared" si="717"/>
        <v>24824.961008659993</v>
      </c>
      <c r="AM527" s="204">
        <f t="shared" si="717"/>
        <v>31706.114049659995</v>
      </c>
      <c r="AN527" s="204">
        <f t="shared" si="717"/>
        <v>25956.457743289997</v>
      </c>
      <c r="AO527" s="204">
        <f t="shared" si="717"/>
        <v>20002.055600109994</v>
      </c>
      <c r="AP527" s="204">
        <f t="shared" si="717"/>
        <v>13714.875016499998</v>
      </c>
      <c r="AQ527" s="204">
        <f t="shared" si="717"/>
        <v>44588.193375669995</v>
      </c>
      <c r="AR527" s="204">
        <f>SUM(G527:R527)</f>
        <v>358195.57000000007</v>
      </c>
      <c r="AS527" s="204">
        <f>SUM(T527:AE527)</f>
        <v>365717.67696999997</v>
      </c>
      <c r="AT527" s="204">
        <f>SUM(AF527:AQ527)</f>
        <v>373397.74818636995</v>
      </c>
      <c r="AU527" s="618">
        <f>AU526</f>
        <v>2.1000000000000001E-2</v>
      </c>
      <c r="AV527" s="618">
        <f>AV526</f>
        <v>2.1000000000000001E-2</v>
      </c>
      <c r="AW527" s="30"/>
    </row>
    <row r="528" spans="2:49">
      <c r="B528" s="250">
        <v>629</v>
      </c>
      <c r="C528" s="212"/>
      <c r="D528" s="102"/>
      <c r="E528" s="102" t="s">
        <v>170</v>
      </c>
      <c r="F528" s="102"/>
      <c r="G528" s="1216">
        <v>754870.21</v>
      </c>
      <c r="H528" s="1216">
        <v>-172717.77</v>
      </c>
      <c r="I528" s="1216">
        <v>428010.3</v>
      </c>
      <c r="J528" s="1216">
        <v>75377.48</v>
      </c>
      <c r="K528" s="1216">
        <v>120867.35</v>
      </c>
      <c r="L528" s="1216">
        <v>459058.33</v>
      </c>
      <c r="M528" s="1216">
        <v>350869.44</v>
      </c>
      <c r="N528" s="1216">
        <v>451720.5</v>
      </c>
      <c r="O528" s="1216">
        <v>235190.6</v>
      </c>
      <c r="P528" s="1216">
        <v>402814.71</v>
      </c>
      <c r="Q528" s="1216">
        <v>17977.57</v>
      </c>
      <c r="R528" s="1216">
        <v>732474.53</v>
      </c>
      <c r="S528" s="620"/>
      <c r="T528" s="131">
        <f t="shared" ref="T528:Y528" si="718">SUM(T526:T527)</f>
        <v>770722.48440999992</v>
      </c>
      <c r="U528" s="131">
        <f t="shared" si="718"/>
        <v>-176344.84316999995</v>
      </c>
      <c r="V528" s="131">
        <f t="shared" si="718"/>
        <v>436998.5162999999</v>
      </c>
      <c r="W528" s="131">
        <f t="shared" si="718"/>
        <v>76960.40707999999</v>
      </c>
      <c r="X528" s="131">
        <f t="shared" si="718"/>
        <v>123405.56434999999</v>
      </c>
      <c r="Y528" s="131">
        <f t="shared" si="718"/>
        <v>468698.55492999998</v>
      </c>
      <c r="Z528" s="131">
        <f t="shared" ref="Z528:AE528" si="719">SUM(Z526:Z527)</f>
        <v>358237.69824</v>
      </c>
      <c r="AA528" s="131">
        <f t="shared" si="719"/>
        <v>461206.63049999997</v>
      </c>
      <c r="AB528" s="131">
        <f t="shared" si="719"/>
        <v>240129.60259999998</v>
      </c>
      <c r="AC528" s="131">
        <f t="shared" si="719"/>
        <v>411273.81890999997</v>
      </c>
      <c r="AD528" s="131">
        <f t="shared" si="719"/>
        <v>18355.098969999999</v>
      </c>
      <c r="AE528" s="131">
        <f t="shared" si="719"/>
        <v>747856.49512999994</v>
      </c>
      <c r="AF528" s="131">
        <f t="shared" ref="AF528:AQ528" si="720">SUM(AF526:AF527)</f>
        <v>786907.65658260975</v>
      </c>
      <c r="AG528" s="131">
        <f t="shared" si="720"/>
        <v>-180048.08487656992</v>
      </c>
      <c r="AH528" s="131">
        <f t="shared" si="720"/>
        <v>446175.48514229985</v>
      </c>
      <c r="AI528" s="131">
        <f t="shared" si="720"/>
        <v>78576.575628679988</v>
      </c>
      <c r="AJ528" s="131">
        <f t="shared" si="720"/>
        <v>125997.08120134997</v>
      </c>
      <c r="AK528" s="131">
        <f t="shared" si="720"/>
        <v>478541.22458352993</v>
      </c>
      <c r="AL528" s="131">
        <f t="shared" si="720"/>
        <v>365760.68990303995</v>
      </c>
      <c r="AM528" s="131">
        <f t="shared" si="720"/>
        <v>470891.96974049992</v>
      </c>
      <c r="AN528" s="131">
        <f t="shared" si="720"/>
        <v>245172.32425459998</v>
      </c>
      <c r="AO528" s="131">
        <f t="shared" si="720"/>
        <v>419910.56910710991</v>
      </c>
      <c r="AP528" s="131">
        <f t="shared" si="720"/>
        <v>18740.556048369996</v>
      </c>
      <c r="AQ528" s="131">
        <f t="shared" si="720"/>
        <v>763561.48152772989</v>
      </c>
      <c r="AR528" s="131">
        <f>SUM(G528:R528)</f>
        <v>3856513.25</v>
      </c>
      <c r="AS528" s="131">
        <f>SUM(T528:AE528)</f>
        <v>3937500.0282499995</v>
      </c>
      <c r="AT528" s="131">
        <f>SUM(AF528:AQ528)</f>
        <v>4020187.5288432492</v>
      </c>
      <c r="AU528" s="621"/>
      <c r="AV528" s="621"/>
      <c r="AW528" s="30"/>
    </row>
    <row r="529" spans="2:49">
      <c r="B529" s="250">
        <v>630</v>
      </c>
      <c r="C529" s="212"/>
      <c r="D529" s="102"/>
      <c r="E529" s="102"/>
      <c r="F529" s="102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71"/>
      <c r="AV529" s="171"/>
      <c r="AW529" s="30"/>
    </row>
    <row r="530" spans="2:49">
      <c r="B530" s="250">
        <v>631</v>
      </c>
      <c r="C530" s="212">
        <v>871</v>
      </c>
      <c r="D530" s="102" t="s">
        <v>376</v>
      </c>
      <c r="E530" s="102"/>
      <c r="F530" s="102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71"/>
      <c r="AV530" s="171"/>
      <c r="AW530" s="30"/>
    </row>
    <row r="531" spans="2:49">
      <c r="B531" s="250">
        <v>632</v>
      </c>
      <c r="C531" s="212"/>
      <c r="D531" s="102"/>
      <c r="E531" s="102" t="s">
        <v>14</v>
      </c>
      <c r="F531" s="102"/>
      <c r="G531" s="186">
        <v>33885.630000000005</v>
      </c>
      <c r="H531" s="186">
        <v>44469.58</v>
      </c>
      <c r="I531" s="186">
        <v>21814.800000000003</v>
      </c>
      <c r="J531" s="186">
        <v>24058.77</v>
      </c>
      <c r="K531" s="186">
        <v>30065.919999999998</v>
      </c>
      <c r="L531" s="186">
        <v>31051.93</v>
      </c>
      <c r="M531" s="186">
        <v>32850.030000000006</v>
      </c>
      <c r="N531" s="186">
        <v>31143.45</v>
      </c>
      <c r="O531" s="186">
        <v>36924.61</v>
      </c>
      <c r="P531" s="186">
        <v>1462.2500000000002</v>
      </c>
      <c r="Q531" s="186">
        <v>29655.31</v>
      </c>
      <c r="R531" s="186">
        <v>31743.720000000005</v>
      </c>
      <c r="S531" s="186"/>
      <c r="T531" s="186">
        <f t="shared" ref="T531:W532" si="721">G531*(1+$AU531)</f>
        <v>34258.371930000001</v>
      </c>
      <c r="U531" s="186">
        <f t="shared" si="721"/>
        <v>44958.74538</v>
      </c>
      <c r="V531" s="186">
        <f t="shared" si="721"/>
        <v>22054.7628</v>
      </c>
      <c r="W531" s="186">
        <f t="shared" si="721"/>
        <v>24323.416469999996</v>
      </c>
      <c r="X531" s="186">
        <f t="shared" ref="X531:AE532" si="722">K531*(1+$AU531)</f>
        <v>30396.645119999994</v>
      </c>
      <c r="Y531" s="186">
        <f t="shared" si="722"/>
        <v>31393.501229999998</v>
      </c>
      <c r="Z531" s="186">
        <f t="shared" si="722"/>
        <v>33211.38033</v>
      </c>
      <c r="AA531" s="186">
        <f t="shared" si="722"/>
        <v>31486.027949999996</v>
      </c>
      <c r="AB531" s="186">
        <f t="shared" si="722"/>
        <v>37330.780709999999</v>
      </c>
      <c r="AC531" s="186">
        <f t="shared" si="722"/>
        <v>1478.33475</v>
      </c>
      <c r="AD531" s="186">
        <f t="shared" si="722"/>
        <v>29981.518409999997</v>
      </c>
      <c r="AE531" s="186">
        <f t="shared" si="722"/>
        <v>32092.90092</v>
      </c>
      <c r="AF531" s="186">
        <f t="shared" ref="AF531:AQ531" si="723">T531*(1+$AV$531)</f>
        <v>34943.539368600002</v>
      </c>
      <c r="AG531" s="186">
        <f t="shared" si="723"/>
        <v>45857.920287599998</v>
      </c>
      <c r="AH531" s="186">
        <f t="shared" si="723"/>
        <v>22495.858056000001</v>
      </c>
      <c r="AI531" s="186">
        <f t="shared" si="723"/>
        <v>24809.884799399995</v>
      </c>
      <c r="AJ531" s="186">
        <f t="shared" si="723"/>
        <v>31004.578022399994</v>
      </c>
      <c r="AK531" s="186">
        <f t="shared" si="723"/>
        <v>32021.371254599999</v>
      </c>
      <c r="AL531" s="186">
        <f t="shared" si="723"/>
        <v>33875.607936599998</v>
      </c>
      <c r="AM531" s="186">
        <f t="shared" si="723"/>
        <v>32115.748508999997</v>
      </c>
      <c r="AN531" s="186">
        <f t="shared" si="723"/>
        <v>38077.396324200003</v>
      </c>
      <c r="AO531" s="186">
        <f t="shared" si="723"/>
        <v>1507.901445</v>
      </c>
      <c r="AP531" s="186">
        <f t="shared" si="723"/>
        <v>30581.148778199997</v>
      </c>
      <c r="AQ531" s="186">
        <f t="shared" si="723"/>
        <v>32734.758938400002</v>
      </c>
      <c r="AR531" s="186">
        <f>SUM(G531:R531)</f>
        <v>349126.00000000006</v>
      </c>
      <c r="AS531" s="186">
        <f>SUM(T531:AE531)</f>
        <v>352966.38599999994</v>
      </c>
      <c r="AT531" s="186">
        <f>SUM(AF531:AQ531)</f>
        <v>360025.71372</v>
      </c>
      <c r="AU531" s="171">
        <v>1.1000000000000001E-2</v>
      </c>
      <c r="AV531" s="171">
        <v>0.02</v>
      </c>
      <c r="AW531" s="30"/>
    </row>
    <row r="532" spans="2:49">
      <c r="B532" s="250">
        <v>633</v>
      </c>
      <c r="C532" s="212"/>
      <c r="D532" s="102"/>
      <c r="E532" s="102" t="s">
        <v>24</v>
      </c>
      <c r="F532" s="102"/>
      <c r="G532" s="186">
        <v>2086.41</v>
      </c>
      <c r="H532" s="186">
        <v>2372.39</v>
      </c>
      <c r="I532" s="186">
        <v>2724.17</v>
      </c>
      <c r="J532" s="186">
        <v>2406.37</v>
      </c>
      <c r="K532" s="186">
        <v>3003.53</v>
      </c>
      <c r="L532" s="186">
        <v>2900.08</v>
      </c>
      <c r="M532" s="186">
        <v>2214.4900000000002</v>
      </c>
      <c r="N532" s="186">
        <v>2981.02</v>
      </c>
      <c r="O532" s="186">
        <v>2632.52</v>
      </c>
      <c r="P532" s="186">
        <v>1815.93</v>
      </c>
      <c r="Q532" s="186">
        <v>2797.88</v>
      </c>
      <c r="R532" s="186">
        <v>2871.62</v>
      </c>
      <c r="S532" s="617"/>
      <c r="T532" s="204">
        <f t="shared" si="721"/>
        <v>2109.3605099999995</v>
      </c>
      <c r="U532" s="204">
        <f t="shared" si="721"/>
        <v>2398.4862899999998</v>
      </c>
      <c r="V532" s="204">
        <f t="shared" si="721"/>
        <v>2754.1358699999996</v>
      </c>
      <c r="W532" s="204">
        <f t="shared" si="721"/>
        <v>2432.8400699999997</v>
      </c>
      <c r="X532" s="204">
        <f t="shared" si="722"/>
        <v>3036.5688299999997</v>
      </c>
      <c r="Y532" s="204">
        <f t="shared" si="722"/>
        <v>2931.9808799999996</v>
      </c>
      <c r="Z532" s="204">
        <f t="shared" si="722"/>
        <v>2238.8493899999999</v>
      </c>
      <c r="AA532" s="204">
        <f t="shared" si="722"/>
        <v>3013.8112199999996</v>
      </c>
      <c r="AB532" s="204">
        <f t="shared" si="722"/>
        <v>2661.4777199999999</v>
      </c>
      <c r="AC532" s="204">
        <f t="shared" si="722"/>
        <v>1835.9052299999998</v>
      </c>
      <c r="AD532" s="204">
        <f t="shared" si="722"/>
        <v>2828.6566800000001</v>
      </c>
      <c r="AE532" s="204">
        <f t="shared" si="722"/>
        <v>2903.2078199999996</v>
      </c>
      <c r="AF532" s="204">
        <f t="shared" ref="AF532:AQ532" si="724">T532*(1+$AV$532)</f>
        <v>2151.5477201999997</v>
      </c>
      <c r="AG532" s="204">
        <f t="shared" si="724"/>
        <v>2446.4560157999999</v>
      </c>
      <c r="AH532" s="204">
        <f t="shared" si="724"/>
        <v>2809.2185873999997</v>
      </c>
      <c r="AI532" s="204">
        <f t="shared" si="724"/>
        <v>2481.4968713999997</v>
      </c>
      <c r="AJ532" s="204">
        <f t="shared" si="724"/>
        <v>3097.3002065999999</v>
      </c>
      <c r="AK532" s="204">
        <f t="shared" si="724"/>
        <v>2990.6204975999995</v>
      </c>
      <c r="AL532" s="204">
        <f t="shared" si="724"/>
        <v>2283.6263777999998</v>
      </c>
      <c r="AM532" s="204">
        <f t="shared" si="724"/>
        <v>3074.0874443999996</v>
      </c>
      <c r="AN532" s="204">
        <f t="shared" si="724"/>
        <v>2714.7072743999997</v>
      </c>
      <c r="AO532" s="204">
        <f t="shared" si="724"/>
        <v>1872.6233345999999</v>
      </c>
      <c r="AP532" s="204">
        <f t="shared" si="724"/>
        <v>2885.2298135999999</v>
      </c>
      <c r="AQ532" s="204">
        <f t="shared" si="724"/>
        <v>2961.2719763999999</v>
      </c>
      <c r="AR532" s="204">
        <f>SUM(G532:R532)</f>
        <v>30806.410000000003</v>
      </c>
      <c r="AS532" s="204">
        <f>SUM(T532:AE532)</f>
        <v>31145.280509999997</v>
      </c>
      <c r="AT532" s="204">
        <f>SUM(AF532:AQ532)</f>
        <v>31768.1861202</v>
      </c>
      <c r="AU532" s="618">
        <f>AU531</f>
        <v>1.1000000000000001E-2</v>
      </c>
      <c r="AV532" s="618">
        <f>AV531</f>
        <v>0.02</v>
      </c>
      <c r="AW532" s="30"/>
    </row>
    <row r="533" spans="2:49">
      <c r="B533" s="250">
        <v>634</v>
      </c>
      <c r="C533" s="212"/>
      <c r="D533" s="102"/>
      <c r="E533" s="102" t="s">
        <v>170</v>
      </c>
      <c r="F533" s="102"/>
      <c r="G533" s="1216">
        <v>35972.04</v>
      </c>
      <c r="H533" s="1216">
        <v>46841.97</v>
      </c>
      <c r="I533" s="1216">
        <v>24538.97</v>
      </c>
      <c r="J533" s="1216">
        <v>26465.14</v>
      </c>
      <c r="K533" s="1216">
        <v>33069.449999999997</v>
      </c>
      <c r="L533" s="1216">
        <v>33952.01</v>
      </c>
      <c r="M533" s="1216">
        <v>35064.520000000004</v>
      </c>
      <c r="N533" s="1216">
        <v>34124.47</v>
      </c>
      <c r="O533" s="1216">
        <v>39557.129999999997</v>
      </c>
      <c r="P533" s="1216">
        <v>3278.1800000000003</v>
      </c>
      <c r="Q533" s="1216">
        <v>32453.190000000002</v>
      </c>
      <c r="R533" s="1216">
        <v>34615.340000000004</v>
      </c>
      <c r="S533" s="620"/>
      <c r="T533" s="131">
        <f t="shared" ref="T533:Y533" si="725">SUM(T531:T532)</f>
        <v>36367.73244</v>
      </c>
      <c r="U533" s="131">
        <f t="shared" si="725"/>
        <v>47357.231670000001</v>
      </c>
      <c r="V533" s="131">
        <f t="shared" si="725"/>
        <v>24808.898669999999</v>
      </c>
      <c r="W533" s="131">
        <f t="shared" si="725"/>
        <v>26756.256539999995</v>
      </c>
      <c r="X533" s="131">
        <f t="shared" si="725"/>
        <v>33433.21394999999</v>
      </c>
      <c r="Y533" s="131">
        <f t="shared" si="725"/>
        <v>34325.482109999997</v>
      </c>
      <c r="Z533" s="131">
        <f t="shared" ref="Z533:AE533" si="726">SUM(Z531:Z532)</f>
        <v>35450.229720000003</v>
      </c>
      <c r="AA533" s="131">
        <f t="shared" si="726"/>
        <v>34499.839169999992</v>
      </c>
      <c r="AB533" s="131">
        <f t="shared" si="726"/>
        <v>39992.258430000002</v>
      </c>
      <c r="AC533" s="131">
        <f t="shared" si="726"/>
        <v>3314.2399799999998</v>
      </c>
      <c r="AD533" s="131">
        <f t="shared" si="726"/>
        <v>32810.175089999997</v>
      </c>
      <c r="AE533" s="131">
        <f t="shared" si="726"/>
        <v>34996.108739999996</v>
      </c>
      <c r="AF533" s="131">
        <f t="shared" ref="AF533:AQ533" si="727">SUM(AF531:AF532)</f>
        <v>37095.087088799999</v>
      </c>
      <c r="AG533" s="131">
        <f t="shared" si="727"/>
        <v>48304.3763034</v>
      </c>
      <c r="AH533" s="131">
        <f t="shared" si="727"/>
        <v>25305.0766434</v>
      </c>
      <c r="AI533" s="131">
        <f t="shared" si="727"/>
        <v>27291.381670799994</v>
      </c>
      <c r="AJ533" s="131">
        <f t="shared" si="727"/>
        <v>34101.878228999994</v>
      </c>
      <c r="AK533" s="131">
        <f t="shared" si="727"/>
        <v>35011.991752199996</v>
      </c>
      <c r="AL533" s="131">
        <f t="shared" si="727"/>
        <v>36159.234314399997</v>
      </c>
      <c r="AM533" s="131">
        <f t="shared" si="727"/>
        <v>35189.835953399997</v>
      </c>
      <c r="AN533" s="131">
        <f t="shared" si="727"/>
        <v>40792.103598600006</v>
      </c>
      <c r="AO533" s="131">
        <f t="shared" si="727"/>
        <v>3380.5247795999999</v>
      </c>
      <c r="AP533" s="131">
        <f t="shared" si="727"/>
        <v>33466.378591799999</v>
      </c>
      <c r="AQ533" s="131">
        <f t="shared" si="727"/>
        <v>35696.030914800001</v>
      </c>
      <c r="AR533" s="131">
        <f>SUM(G533:R533)</f>
        <v>379932.41000000009</v>
      </c>
      <c r="AS533" s="131">
        <f>SUM(T533:AE533)</f>
        <v>384111.66650999995</v>
      </c>
      <c r="AT533" s="131">
        <f>SUM(AF533:AQ533)</f>
        <v>391793.89984019997</v>
      </c>
      <c r="AU533" s="621"/>
      <c r="AV533" s="621"/>
      <c r="AW533" s="30"/>
    </row>
    <row r="534" spans="2:49">
      <c r="B534" s="250">
        <v>635</v>
      </c>
      <c r="C534" s="212"/>
      <c r="D534" s="102"/>
      <c r="E534" s="102"/>
      <c r="F534" s="102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71"/>
      <c r="AV534" s="171"/>
      <c r="AW534" s="30"/>
    </row>
    <row r="535" spans="2:49">
      <c r="B535" s="250">
        <v>636</v>
      </c>
      <c r="C535" s="212">
        <v>872</v>
      </c>
      <c r="D535" s="102" t="s">
        <v>378</v>
      </c>
      <c r="E535" s="102"/>
      <c r="F535" s="102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71"/>
      <c r="AV535" s="171"/>
      <c r="AW535" s="30"/>
    </row>
    <row r="536" spans="2:49">
      <c r="B536" s="250">
        <v>637</v>
      </c>
      <c r="C536" s="212"/>
      <c r="D536" s="102"/>
      <c r="E536" s="102" t="s">
        <v>14</v>
      </c>
      <c r="F536" s="102"/>
      <c r="G536" s="186">
        <v>0</v>
      </c>
      <c r="H536" s="186">
        <v>0</v>
      </c>
      <c r="I536" s="186">
        <v>0</v>
      </c>
      <c r="J536" s="186">
        <v>0</v>
      </c>
      <c r="K536" s="186">
        <v>0</v>
      </c>
      <c r="L536" s="186">
        <v>0</v>
      </c>
      <c r="M536" s="186">
        <v>0</v>
      </c>
      <c r="N536" s="186">
        <v>0</v>
      </c>
      <c r="O536" s="186">
        <v>0</v>
      </c>
      <c r="P536" s="186">
        <v>0</v>
      </c>
      <c r="Q536" s="186">
        <v>0</v>
      </c>
      <c r="R536" s="186">
        <v>0</v>
      </c>
      <c r="S536" s="186"/>
      <c r="T536" s="186">
        <f t="shared" ref="T536:W536" si="728">G536*(1+$AU536)</f>
        <v>0</v>
      </c>
      <c r="U536" s="186">
        <f t="shared" si="728"/>
        <v>0</v>
      </c>
      <c r="V536" s="186">
        <f t="shared" si="728"/>
        <v>0</v>
      </c>
      <c r="W536" s="186">
        <f t="shared" si="728"/>
        <v>0</v>
      </c>
      <c r="X536" s="186">
        <f t="shared" ref="X536:AE537" si="729">K536*(1+$AU536)</f>
        <v>0</v>
      </c>
      <c r="Y536" s="186">
        <f t="shared" si="729"/>
        <v>0</v>
      </c>
      <c r="Z536" s="186">
        <f t="shared" si="729"/>
        <v>0</v>
      </c>
      <c r="AA536" s="186">
        <f t="shared" si="729"/>
        <v>0</v>
      </c>
      <c r="AB536" s="186">
        <f t="shared" si="729"/>
        <v>0</v>
      </c>
      <c r="AC536" s="186">
        <f t="shared" si="729"/>
        <v>0</v>
      </c>
      <c r="AD536" s="186">
        <f t="shared" si="729"/>
        <v>0</v>
      </c>
      <c r="AE536" s="186">
        <f t="shared" si="729"/>
        <v>0</v>
      </c>
      <c r="AF536" s="186">
        <f t="shared" ref="AF536:AQ536" si="730">T536*(1+$AV$536)</f>
        <v>0</v>
      </c>
      <c r="AG536" s="186">
        <f t="shared" si="730"/>
        <v>0</v>
      </c>
      <c r="AH536" s="186">
        <f t="shared" si="730"/>
        <v>0</v>
      </c>
      <c r="AI536" s="186">
        <f t="shared" si="730"/>
        <v>0</v>
      </c>
      <c r="AJ536" s="186">
        <f t="shared" si="730"/>
        <v>0</v>
      </c>
      <c r="AK536" s="186">
        <f t="shared" si="730"/>
        <v>0</v>
      </c>
      <c r="AL536" s="186">
        <f t="shared" si="730"/>
        <v>0</v>
      </c>
      <c r="AM536" s="186">
        <f t="shared" si="730"/>
        <v>0</v>
      </c>
      <c r="AN536" s="186">
        <f t="shared" si="730"/>
        <v>0</v>
      </c>
      <c r="AO536" s="186">
        <f t="shared" si="730"/>
        <v>0</v>
      </c>
      <c r="AP536" s="186">
        <f t="shared" si="730"/>
        <v>0</v>
      </c>
      <c r="AQ536" s="186">
        <f t="shared" si="730"/>
        <v>0</v>
      </c>
      <c r="AR536" s="186">
        <f>SUM(G536:R536)</f>
        <v>0</v>
      </c>
      <c r="AS536" s="186">
        <f>SUM(T536:AE536)</f>
        <v>0</v>
      </c>
      <c r="AT536" s="186">
        <f>SUM(AF536:AQ536)</f>
        <v>0</v>
      </c>
      <c r="AU536" s="171">
        <v>2.7000000000000003E-2</v>
      </c>
      <c r="AV536" s="171">
        <v>2.2000000000000002E-2</v>
      </c>
      <c r="AW536" s="30"/>
    </row>
    <row r="537" spans="2:49">
      <c r="B537" s="250">
        <v>638</v>
      </c>
      <c r="C537" s="212"/>
      <c r="D537" s="102"/>
      <c r="E537" s="102" t="s">
        <v>24</v>
      </c>
      <c r="F537" s="102"/>
      <c r="G537" s="186">
        <v>0</v>
      </c>
      <c r="H537" s="186">
        <v>0</v>
      </c>
      <c r="I537" s="186">
        <v>0</v>
      </c>
      <c r="J537" s="186">
        <v>0</v>
      </c>
      <c r="K537" s="186">
        <v>0</v>
      </c>
      <c r="L537" s="186">
        <v>0</v>
      </c>
      <c r="M537" s="186">
        <v>0</v>
      </c>
      <c r="N537" s="186">
        <v>0</v>
      </c>
      <c r="O537" s="186">
        <v>0</v>
      </c>
      <c r="P537" s="186">
        <v>0</v>
      </c>
      <c r="Q537" s="186">
        <v>0</v>
      </c>
      <c r="R537" s="186">
        <v>0</v>
      </c>
      <c r="S537" s="617"/>
      <c r="T537" s="204">
        <v>0</v>
      </c>
      <c r="U537" s="204">
        <v>0</v>
      </c>
      <c r="V537" s="204">
        <v>0</v>
      </c>
      <c r="W537" s="204">
        <v>0</v>
      </c>
      <c r="X537" s="204">
        <v>0</v>
      </c>
      <c r="Y537" s="204">
        <v>0</v>
      </c>
      <c r="Z537" s="204">
        <v>0</v>
      </c>
      <c r="AA537" s="204">
        <v>0</v>
      </c>
      <c r="AB537" s="204">
        <v>0</v>
      </c>
      <c r="AC537" s="204">
        <v>0</v>
      </c>
      <c r="AD537" s="204">
        <f t="shared" si="729"/>
        <v>0</v>
      </c>
      <c r="AE537" s="204">
        <f t="shared" si="729"/>
        <v>0</v>
      </c>
      <c r="AF537" s="204">
        <f t="shared" ref="AF537:AQ537" si="731">T537*(1+$AV$537)</f>
        <v>0</v>
      </c>
      <c r="AG537" s="204">
        <f t="shared" si="731"/>
        <v>0</v>
      </c>
      <c r="AH537" s="204">
        <f t="shared" si="731"/>
        <v>0</v>
      </c>
      <c r="AI537" s="204">
        <f t="shared" si="731"/>
        <v>0</v>
      </c>
      <c r="AJ537" s="204">
        <f t="shared" si="731"/>
        <v>0</v>
      </c>
      <c r="AK537" s="204">
        <f t="shared" si="731"/>
        <v>0</v>
      </c>
      <c r="AL537" s="204">
        <f t="shared" si="731"/>
        <v>0</v>
      </c>
      <c r="AM537" s="204">
        <f t="shared" si="731"/>
        <v>0</v>
      </c>
      <c r="AN537" s="204">
        <f t="shared" si="731"/>
        <v>0</v>
      </c>
      <c r="AO537" s="204">
        <f t="shared" si="731"/>
        <v>0</v>
      </c>
      <c r="AP537" s="204">
        <f t="shared" si="731"/>
        <v>0</v>
      </c>
      <c r="AQ537" s="204">
        <f t="shared" si="731"/>
        <v>0</v>
      </c>
      <c r="AR537" s="204">
        <f>SUM(G537:R537)</f>
        <v>0</v>
      </c>
      <c r="AS537" s="204">
        <f>SUM(T537:AE537)</f>
        <v>0</v>
      </c>
      <c r="AT537" s="204">
        <f>SUM(AF537:AQ537)</f>
        <v>0</v>
      </c>
      <c r="AU537" s="618">
        <f>AU536</f>
        <v>2.7000000000000003E-2</v>
      </c>
      <c r="AV537" s="618">
        <f>AV536</f>
        <v>2.2000000000000002E-2</v>
      </c>
      <c r="AW537" s="30"/>
    </row>
    <row r="538" spans="2:49">
      <c r="B538" s="250">
        <v>639</v>
      </c>
      <c r="C538" s="212"/>
      <c r="D538" s="102"/>
      <c r="E538" s="102" t="s">
        <v>170</v>
      </c>
      <c r="F538" s="102"/>
      <c r="G538" s="1216">
        <v>0</v>
      </c>
      <c r="H538" s="1216">
        <v>0</v>
      </c>
      <c r="I538" s="1216">
        <v>0</v>
      </c>
      <c r="J538" s="1216">
        <v>0</v>
      </c>
      <c r="K538" s="1216">
        <v>0</v>
      </c>
      <c r="L538" s="1216">
        <v>0</v>
      </c>
      <c r="M538" s="1216">
        <v>0</v>
      </c>
      <c r="N538" s="1216">
        <v>0</v>
      </c>
      <c r="O538" s="1216">
        <v>0</v>
      </c>
      <c r="P538" s="1216">
        <v>0</v>
      </c>
      <c r="Q538" s="1216">
        <v>0</v>
      </c>
      <c r="R538" s="1216">
        <v>0</v>
      </c>
      <c r="S538" s="620"/>
      <c r="T538" s="131">
        <f t="shared" ref="T538:Y538" si="732">SUM(T536:T537)</f>
        <v>0</v>
      </c>
      <c r="U538" s="131">
        <f t="shared" si="732"/>
        <v>0</v>
      </c>
      <c r="V538" s="131">
        <f t="shared" si="732"/>
        <v>0</v>
      </c>
      <c r="W538" s="131">
        <f t="shared" si="732"/>
        <v>0</v>
      </c>
      <c r="X538" s="131">
        <f t="shared" si="732"/>
        <v>0</v>
      </c>
      <c r="Y538" s="131">
        <f t="shared" si="732"/>
        <v>0</v>
      </c>
      <c r="Z538" s="131">
        <f t="shared" ref="Z538:AE538" si="733">SUM(Z536:Z537)</f>
        <v>0</v>
      </c>
      <c r="AA538" s="131">
        <f t="shared" si="733"/>
        <v>0</v>
      </c>
      <c r="AB538" s="131">
        <f t="shared" si="733"/>
        <v>0</v>
      </c>
      <c r="AC538" s="131">
        <f t="shared" si="733"/>
        <v>0</v>
      </c>
      <c r="AD538" s="131">
        <f t="shared" si="733"/>
        <v>0</v>
      </c>
      <c r="AE538" s="131">
        <f t="shared" si="733"/>
        <v>0</v>
      </c>
      <c r="AF538" s="131">
        <f t="shared" ref="AF538:AQ538" si="734">SUM(AF536:AF537)</f>
        <v>0</v>
      </c>
      <c r="AG538" s="131">
        <f t="shared" si="734"/>
        <v>0</v>
      </c>
      <c r="AH538" s="131">
        <f t="shared" si="734"/>
        <v>0</v>
      </c>
      <c r="AI538" s="131">
        <f t="shared" si="734"/>
        <v>0</v>
      </c>
      <c r="AJ538" s="131">
        <f t="shared" si="734"/>
        <v>0</v>
      </c>
      <c r="AK538" s="131">
        <f t="shared" si="734"/>
        <v>0</v>
      </c>
      <c r="AL538" s="131">
        <f t="shared" si="734"/>
        <v>0</v>
      </c>
      <c r="AM538" s="131">
        <f t="shared" si="734"/>
        <v>0</v>
      </c>
      <c r="AN538" s="131">
        <f t="shared" si="734"/>
        <v>0</v>
      </c>
      <c r="AO538" s="131">
        <f t="shared" si="734"/>
        <v>0</v>
      </c>
      <c r="AP538" s="131">
        <f t="shared" si="734"/>
        <v>0</v>
      </c>
      <c r="AQ538" s="131">
        <f t="shared" si="734"/>
        <v>0</v>
      </c>
      <c r="AR538" s="131">
        <f>SUM(G538:R538)</f>
        <v>0</v>
      </c>
      <c r="AS538" s="131">
        <f>SUM(T538:AE538)</f>
        <v>0</v>
      </c>
      <c r="AT538" s="131">
        <f>SUM(AF538:AQ538)</f>
        <v>0</v>
      </c>
      <c r="AU538" s="621"/>
      <c r="AV538" s="621"/>
      <c r="AW538" s="30"/>
    </row>
    <row r="539" spans="2:49">
      <c r="B539" s="250">
        <v>640</v>
      </c>
      <c r="C539" s="212"/>
      <c r="D539" s="102"/>
      <c r="E539" s="102"/>
      <c r="F539" s="102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71"/>
      <c r="AV539" s="171"/>
      <c r="AW539" s="30"/>
    </row>
    <row r="540" spans="2:49">
      <c r="B540" s="250">
        <v>641</v>
      </c>
      <c r="C540" s="212">
        <v>873</v>
      </c>
      <c r="D540" s="102" t="s">
        <v>379</v>
      </c>
      <c r="E540" s="102"/>
      <c r="F540" s="102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71"/>
      <c r="AV540" s="171"/>
      <c r="AW540" s="30"/>
    </row>
    <row r="541" spans="2:49">
      <c r="B541" s="250">
        <v>642</v>
      </c>
      <c r="C541" s="212"/>
      <c r="D541" s="102"/>
      <c r="E541" s="102" t="s">
        <v>14</v>
      </c>
      <c r="F541" s="102"/>
      <c r="G541" s="186">
        <v>3059</v>
      </c>
      <c r="H541" s="186">
        <v>620</v>
      </c>
      <c r="I541" s="186">
        <v>1026</v>
      </c>
      <c r="J541" s="186">
        <v>666</v>
      </c>
      <c r="K541" s="186">
        <v>2201</v>
      </c>
      <c r="L541" s="186">
        <v>517</v>
      </c>
      <c r="M541" s="186">
        <v>2920</v>
      </c>
      <c r="N541" s="186">
        <v>344</v>
      </c>
      <c r="O541" s="186">
        <v>441</v>
      </c>
      <c r="P541" s="186">
        <v>708</v>
      </c>
      <c r="Q541" s="186">
        <v>1073</v>
      </c>
      <c r="R541" s="186">
        <v>658</v>
      </c>
      <c r="S541" s="186"/>
      <c r="T541" s="186">
        <f t="shared" ref="T541:W542" si="735">G541*(1+$AU541)</f>
        <v>3126.2980000000002</v>
      </c>
      <c r="U541" s="186">
        <f t="shared" si="735"/>
        <v>633.64</v>
      </c>
      <c r="V541" s="186">
        <f t="shared" si="735"/>
        <v>1048.5720000000001</v>
      </c>
      <c r="W541" s="186">
        <f t="shared" si="735"/>
        <v>680.65200000000004</v>
      </c>
      <c r="X541" s="186">
        <f t="shared" ref="X541:AE542" si="736">K541*(1+$AU541)</f>
        <v>2249.422</v>
      </c>
      <c r="Y541" s="186">
        <f t="shared" si="736"/>
        <v>528.37400000000002</v>
      </c>
      <c r="Z541" s="186">
        <f t="shared" si="736"/>
        <v>2984.2400000000002</v>
      </c>
      <c r="AA541" s="186">
        <f t="shared" si="736"/>
        <v>351.56799999999998</v>
      </c>
      <c r="AB541" s="186">
        <f t="shared" si="736"/>
        <v>450.702</v>
      </c>
      <c r="AC541" s="186">
        <f t="shared" si="736"/>
        <v>723.57600000000002</v>
      </c>
      <c r="AD541" s="186">
        <f t="shared" si="736"/>
        <v>1096.606</v>
      </c>
      <c r="AE541" s="186">
        <f t="shared" si="736"/>
        <v>672.476</v>
      </c>
      <c r="AF541" s="186">
        <f t="shared" ref="AF541:AQ541" si="737">T541*(1+$AV$541)</f>
        <v>3185.697662</v>
      </c>
      <c r="AG541" s="186">
        <f t="shared" si="737"/>
        <v>645.67915999999991</v>
      </c>
      <c r="AH541" s="186">
        <f t="shared" si="737"/>
        <v>1068.494868</v>
      </c>
      <c r="AI541" s="186">
        <f t="shared" si="737"/>
        <v>693.58438799999999</v>
      </c>
      <c r="AJ541" s="186">
        <f t="shared" si="737"/>
        <v>2292.1610179999998</v>
      </c>
      <c r="AK541" s="186">
        <f t="shared" si="737"/>
        <v>538.41310599999997</v>
      </c>
      <c r="AL541" s="186">
        <f t="shared" si="737"/>
        <v>3040.94056</v>
      </c>
      <c r="AM541" s="186">
        <f t="shared" si="737"/>
        <v>358.24779199999995</v>
      </c>
      <c r="AN541" s="186">
        <f t="shared" si="737"/>
        <v>459.26533799999993</v>
      </c>
      <c r="AO541" s="186">
        <f t="shared" si="737"/>
        <v>737.32394399999998</v>
      </c>
      <c r="AP541" s="186">
        <f t="shared" si="737"/>
        <v>1117.4415139999999</v>
      </c>
      <c r="AQ541" s="186">
        <f t="shared" si="737"/>
        <v>685.25304399999993</v>
      </c>
      <c r="AR541" s="186">
        <f>SUM(G541:R541)</f>
        <v>14233</v>
      </c>
      <c r="AS541" s="186">
        <f>SUM(T541:AE541)</f>
        <v>14546.125999999998</v>
      </c>
      <c r="AT541" s="186">
        <f>SUM(AF541:AQ541)</f>
        <v>14822.502393999999</v>
      </c>
      <c r="AU541" s="171">
        <f>AU518</f>
        <v>2.2000000000000002E-2</v>
      </c>
      <c r="AV541" s="171">
        <f>AV518</f>
        <v>1.9E-2</v>
      </c>
      <c r="AW541" s="30"/>
    </row>
    <row r="542" spans="2:49">
      <c r="B542" s="250">
        <v>643</v>
      </c>
      <c r="C542" s="212"/>
      <c r="D542" s="102"/>
      <c r="E542" s="102" t="s">
        <v>24</v>
      </c>
      <c r="F542" s="102"/>
      <c r="G542" s="186">
        <v>0</v>
      </c>
      <c r="H542" s="186">
        <v>0</v>
      </c>
      <c r="I542" s="186">
        <v>0</v>
      </c>
      <c r="J542" s="186">
        <v>0</v>
      </c>
      <c r="K542" s="186">
        <v>0</v>
      </c>
      <c r="L542" s="186">
        <v>0</v>
      </c>
      <c r="M542" s="186">
        <v>0</v>
      </c>
      <c r="N542" s="186">
        <v>0</v>
      </c>
      <c r="O542" s="186">
        <v>0</v>
      </c>
      <c r="P542" s="186">
        <v>0</v>
      </c>
      <c r="Q542" s="186">
        <v>0</v>
      </c>
      <c r="R542" s="186">
        <v>0</v>
      </c>
      <c r="S542" s="617"/>
      <c r="T542" s="204">
        <f t="shared" si="735"/>
        <v>0</v>
      </c>
      <c r="U542" s="204">
        <f t="shared" si="735"/>
        <v>0</v>
      </c>
      <c r="V542" s="204">
        <f t="shared" si="735"/>
        <v>0</v>
      </c>
      <c r="W542" s="204">
        <f t="shared" si="735"/>
        <v>0</v>
      </c>
      <c r="X542" s="204">
        <f t="shared" si="736"/>
        <v>0</v>
      </c>
      <c r="Y542" s="204">
        <f t="shared" si="736"/>
        <v>0</v>
      </c>
      <c r="Z542" s="204">
        <f t="shared" si="736"/>
        <v>0</v>
      </c>
      <c r="AA542" s="204">
        <f t="shared" si="736"/>
        <v>0</v>
      </c>
      <c r="AB542" s="204">
        <f t="shared" si="736"/>
        <v>0</v>
      </c>
      <c r="AC542" s="204">
        <f t="shared" si="736"/>
        <v>0</v>
      </c>
      <c r="AD542" s="204">
        <f t="shared" si="736"/>
        <v>0</v>
      </c>
      <c r="AE542" s="204">
        <f t="shared" si="736"/>
        <v>0</v>
      </c>
      <c r="AF542" s="204">
        <f t="shared" ref="AF542:AQ542" si="738">T542*(1+$AV$542)</f>
        <v>0</v>
      </c>
      <c r="AG542" s="204">
        <f t="shared" si="738"/>
        <v>0</v>
      </c>
      <c r="AH542" s="204">
        <f t="shared" si="738"/>
        <v>0</v>
      </c>
      <c r="AI542" s="204">
        <f t="shared" si="738"/>
        <v>0</v>
      </c>
      <c r="AJ542" s="204">
        <f t="shared" si="738"/>
        <v>0</v>
      </c>
      <c r="AK542" s="204">
        <f t="shared" si="738"/>
        <v>0</v>
      </c>
      <c r="AL542" s="204">
        <f t="shared" si="738"/>
        <v>0</v>
      </c>
      <c r="AM542" s="204">
        <f t="shared" si="738"/>
        <v>0</v>
      </c>
      <c r="AN542" s="204">
        <f t="shared" si="738"/>
        <v>0</v>
      </c>
      <c r="AO542" s="204">
        <f t="shared" si="738"/>
        <v>0</v>
      </c>
      <c r="AP542" s="204">
        <f t="shared" si="738"/>
        <v>0</v>
      </c>
      <c r="AQ542" s="204">
        <f t="shared" si="738"/>
        <v>0</v>
      </c>
      <c r="AR542" s="204">
        <f>SUM(G542:R542)</f>
        <v>0</v>
      </c>
      <c r="AS542" s="204">
        <f>SUM(T542:AE542)</f>
        <v>0</v>
      </c>
      <c r="AT542" s="204">
        <f>SUM(AF542:AQ542)</f>
        <v>0</v>
      </c>
      <c r="AU542" s="171">
        <f>AU519</f>
        <v>2.2000000000000002E-2</v>
      </c>
      <c r="AV542" s="171">
        <f>AV519</f>
        <v>1.9E-2</v>
      </c>
      <c r="AW542" s="30"/>
    </row>
    <row r="543" spans="2:49">
      <c r="B543" s="250">
        <v>644</v>
      </c>
      <c r="C543" s="212"/>
      <c r="D543" s="102"/>
      <c r="E543" s="102" t="s">
        <v>170</v>
      </c>
      <c r="F543" s="102"/>
      <c r="G543" s="1216">
        <v>3059</v>
      </c>
      <c r="H543" s="1216">
        <v>620</v>
      </c>
      <c r="I543" s="1216">
        <v>1026</v>
      </c>
      <c r="J543" s="1216">
        <v>666</v>
      </c>
      <c r="K543" s="1216">
        <v>2201</v>
      </c>
      <c r="L543" s="1216">
        <v>517</v>
      </c>
      <c r="M543" s="1216">
        <v>2920</v>
      </c>
      <c r="N543" s="1216">
        <v>344</v>
      </c>
      <c r="O543" s="1216">
        <v>441</v>
      </c>
      <c r="P543" s="1216">
        <v>708</v>
      </c>
      <c r="Q543" s="1216">
        <v>1073</v>
      </c>
      <c r="R543" s="1216">
        <v>658</v>
      </c>
      <c r="S543" s="620"/>
      <c r="T543" s="131">
        <f t="shared" ref="T543:Y543" si="739">SUM(T541:T542)</f>
        <v>3126.2980000000002</v>
      </c>
      <c r="U543" s="131">
        <f t="shared" si="739"/>
        <v>633.64</v>
      </c>
      <c r="V543" s="131">
        <f t="shared" si="739"/>
        <v>1048.5720000000001</v>
      </c>
      <c r="W543" s="131">
        <f t="shared" si="739"/>
        <v>680.65200000000004</v>
      </c>
      <c r="X543" s="131">
        <f t="shared" si="739"/>
        <v>2249.422</v>
      </c>
      <c r="Y543" s="131">
        <f t="shared" si="739"/>
        <v>528.37400000000002</v>
      </c>
      <c r="Z543" s="131">
        <f t="shared" ref="Z543:AE543" si="740">SUM(Z541:Z542)</f>
        <v>2984.2400000000002</v>
      </c>
      <c r="AA543" s="131">
        <f t="shared" si="740"/>
        <v>351.56799999999998</v>
      </c>
      <c r="AB543" s="131">
        <f t="shared" si="740"/>
        <v>450.702</v>
      </c>
      <c r="AC543" s="131">
        <f t="shared" si="740"/>
        <v>723.57600000000002</v>
      </c>
      <c r="AD543" s="131">
        <f t="shared" si="740"/>
        <v>1096.606</v>
      </c>
      <c r="AE543" s="131">
        <f t="shared" si="740"/>
        <v>672.476</v>
      </c>
      <c r="AF543" s="131">
        <f t="shared" ref="AF543:AQ543" si="741">SUM(AF541:AF542)</f>
        <v>3185.697662</v>
      </c>
      <c r="AG543" s="131">
        <f t="shared" si="741"/>
        <v>645.67915999999991</v>
      </c>
      <c r="AH543" s="131">
        <f t="shared" si="741"/>
        <v>1068.494868</v>
      </c>
      <c r="AI543" s="131">
        <f t="shared" si="741"/>
        <v>693.58438799999999</v>
      </c>
      <c r="AJ543" s="131">
        <f t="shared" si="741"/>
        <v>2292.1610179999998</v>
      </c>
      <c r="AK543" s="131">
        <f t="shared" si="741"/>
        <v>538.41310599999997</v>
      </c>
      <c r="AL543" s="131">
        <f t="shared" si="741"/>
        <v>3040.94056</v>
      </c>
      <c r="AM543" s="131">
        <f t="shared" si="741"/>
        <v>358.24779199999995</v>
      </c>
      <c r="AN543" s="131">
        <f t="shared" si="741"/>
        <v>459.26533799999993</v>
      </c>
      <c r="AO543" s="131">
        <f t="shared" si="741"/>
        <v>737.32394399999998</v>
      </c>
      <c r="AP543" s="131">
        <f t="shared" si="741"/>
        <v>1117.4415139999999</v>
      </c>
      <c r="AQ543" s="131">
        <f t="shared" si="741"/>
        <v>685.25304399999993</v>
      </c>
      <c r="AR543" s="131">
        <f>SUM(G543:R543)</f>
        <v>14233</v>
      </c>
      <c r="AS543" s="131">
        <f>SUM(T543:AE543)</f>
        <v>14546.125999999998</v>
      </c>
      <c r="AT543" s="131">
        <f>SUM(AF543:AQ543)</f>
        <v>14822.502393999999</v>
      </c>
      <c r="AU543" s="621"/>
      <c r="AV543" s="621"/>
      <c r="AW543" s="30"/>
    </row>
    <row r="544" spans="2:49">
      <c r="B544" s="250">
        <v>645</v>
      </c>
      <c r="C544" s="212"/>
      <c r="D544" s="102"/>
      <c r="E544" s="102"/>
      <c r="F544" s="102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71"/>
      <c r="AV544" s="171"/>
      <c r="AW544" s="30"/>
    </row>
    <row r="545" spans="2:49">
      <c r="B545" s="250">
        <v>646</v>
      </c>
      <c r="C545" s="212">
        <v>874</v>
      </c>
      <c r="D545" s="102" t="s">
        <v>380</v>
      </c>
      <c r="E545" s="102"/>
      <c r="F545" s="102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6"/>
      <c r="W545" s="186"/>
      <c r="X545" s="186"/>
      <c r="Y545" s="186"/>
      <c r="Z545" s="186"/>
      <c r="AA545" s="186"/>
      <c r="AB545" s="186"/>
      <c r="AC545" s="186"/>
      <c r="AD545" s="186"/>
      <c r="AE545" s="186"/>
      <c r="AF545" s="186"/>
      <c r="AG545" s="186"/>
      <c r="AH545" s="186"/>
      <c r="AI545" s="186"/>
      <c r="AJ545" s="186"/>
      <c r="AK545" s="186"/>
      <c r="AL545" s="186"/>
      <c r="AM545" s="186"/>
      <c r="AN545" s="186"/>
      <c r="AO545" s="186"/>
      <c r="AP545" s="186"/>
      <c r="AQ545" s="186"/>
      <c r="AR545" s="186"/>
      <c r="AS545" s="186"/>
      <c r="AT545" s="186"/>
      <c r="AU545" s="171"/>
      <c r="AV545" s="171"/>
      <c r="AW545" s="30"/>
    </row>
    <row r="546" spans="2:49">
      <c r="B546" s="250">
        <v>647</v>
      </c>
      <c r="C546" s="212"/>
      <c r="D546" s="102"/>
      <c r="E546" s="102" t="s">
        <v>14</v>
      </c>
      <c r="F546" s="102"/>
      <c r="G546" s="186">
        <v>310731.81</v>
      </c>
      <c r="H546" s="186">
        <v>498227.10000000003</v>
      </c>
      <c r="I546" s="186">
        <v>625856.44000000006</v>
      </c>
      <c r="J546" s="186">
        <v>839046.99</v>
      </c>
      <c r="K546" s="186">
        <v>848567.65</v>
      </c>
      <c r="L546" s="186">
        <v>904257.97</v>
      </c>
      <c r="M546" s="186">
        <v>660357.03</v>
      </c>
      <c r="N546" s="186">
        <v>783614.02</v>
      </c>
      <c r="O546" s="186">
        <v>766524.92</v>
      </c>
      <c r="P546" s="186">
        <v>788573.23</v>
      </c>
      <c r="Q546" s="186">
        <v>767828.03</v>
      </c>
      <c r="R546" s="186">
        <v>756547.41</v>
      </c>
      <c r="S546" s="186"/>
      <c r="T546" s="186">
        <f t="shared" ref="T546:W547" si="742">G546*(1+$AU546)</f>
        <v>318189.37344</v>
      </c>
      <c r="U546" s="186">
        <f t="shared" si="742"/>
        <v>510184.55040000007</v>
      </c>
      <c r="V546" s="186">
        <f t="shared" si="742"/>
        <v>640876.99456000002</v>
      </c>
      <c r="W546" s="186">
        <f t="shared" si="742"/>
        <v>859184.11776000005</v>
      </c>
      <c r="X546" s="186">
        <f t="shared" ref="X546:AE547" si="743">K546*(1+$AU546)</f>
        <v>868933.27360000007</v>
      </c>
      <c r="Y546" s="186">
        <f t="shared" si="743"/>
        <v>925960.16128</v>
      </c>
      <c r="Z546" s="186">
        <f t="shared" si="743"/>
        <v>676205.59872000001</v>
      </c>
      <c r="AA546" s="186">
        <f t="shared" si="743"/>
        <v>802420.75647999998</v>
      </c>
      <c r="AB546" s="186">
        <f t="shared" si="743"/>
        <v>784921.51808000007</v>
      </c>
      <c r="AC546" s="186">
        <f t="shared" si="743"/>
        <v>807498.98751999997</v>
      </c>
      <c r="AD546" s="186">
        <f t="shared" si="743"/>
        <v>786255.90272000001</v>
      </c>
      <c r="AE546" s="186">
        <f t="shared" si="743"/>
        <v>774704.54784000001</v>
      </c>
      <c r="AF546" s="186">
        <f t="shared" ref="AF546:AQ546" si="744">T546*(1+$AV$546)</f>
        <v>322644.02466816001</v>
      </c>
      <c r="AG546" s="186">
        <f t="shared" si="744"/>
        <v>517327.13410560007</v>
      </c>
      <c r="AH546" s="186">
        <f t="shared" si="744"/>
        <v>649849.27248384</v>
      </c>
      <c r="AI546" s="186">
        <f t="shared" si="744"/>
        <v>871212.69540864008</v>
      </c>
      <c r="AJ546" s="186">
        <f t="shared" si="744"/>
        <v>881098.33943040005</v>
      </c>
      <c r="AK546" s="186">
        <f t="shared" si="744"/>
        <v>938923.60353792005</v>
      </c>
      <c r="AL546" s="186">
        <f t="shared" si="744"/>
        <v>685672.47710208001</v>
      </c>
      <c r="AM546" s="186">
        <f t="shared" si="744"/>
        <v>813654.64707071998</v>
      </c>
      <c r="AN546" s="186">
        <f t="shared" si="744"/>
        <v>795910.41933312011</v>
      </c>
      <c r="AO546" s="186">
        <f t="shared" si="744"/>
        <v>818803.97334527993</v>
      </c>
      <c r="AP546" s="186">
        <f t="shared" si="744"/>
        <v>797263.48535808001</v>
      </c>
      <c r="AQ546" s="186">
        <f t="shared" si="744"/>
        <v>785550.41150976007</v>
      </c>
      <c r="AR546" s="186">
        <f>SUM(G546:R546)</f>
        <v>8550132.5999999996</v>
      </c>
      <c r="AS546" s="186">
        <f>SUM(T546:AE546)</f>
        <v>8755335.782399999</v>
      </c>
      <c r="AT546" s="186">
        <f>SUM(AF546:AQ546)</f>
        <v>8877910.4833535999</v>
      </c>
      <c r="AU546" s="171">
        <v>2.4E-2</v>
      </c>
      <c r="AV546" s="171">
        <v>1.3999999999999999E-2</v>
      </c>
      <c r="AW546" s="30"/>
    </row>
    <row r="547" spans="2:49">
      <c r="B547" s="250">
        <v>648</v>
      </c>
      <c r="C547" s="212"/>
      <c r="D547" s="102"/>
      <c r="E547" s="102" t="s">
        <v>24</v>
      </c>
      <c r="F547" s="102"/>
      <c r="G547" s="186">
        <v>16106.43</v>
      </c>
      <c r="H547" s="186">
        <v>14223.91</v>
      </c>
      <c r="I547" s="186">
        <v>21633.38</v>
      </c>
      <c r="J547" s="186">
        <v>25269.17</v>
      </c>
      <c r="K547" s="186">
        <v>38106.619999999995</v>
      </c>
      <c r="L547" s="186">
        <v>39545.380000000005</v>
      </c>
      <c r="M547" s="186">
        <v>32343.96</v>
      </c>
      <c r="N547" s="186">
        <v>34076.660000000003</v>
      </c>
      <c r="O547" s="186">
        <v>34218.460000000006</v>
      </c>
      <c r="P547" s="186">
        <v>36163.68</v>
      </c>
      <c r="Q547" s="186">
        <v>31521.33</v>
      </c>
      <c r="R547" s="186">
        <v>34771.86</v>
      </c>
      <c r="S547" s="617"/>
      <c r="T547" s="204">
        <f t="shared" si="742"/>
        <v>16492.98432</v>
      </c>
      <c r="U547" s="204">
        <f t="shared" si="742"/>
        <v>14565.28384</v>
      </c>
      <c r="V547" s="204">
        <f t="shared" si="742"/>
        <v>22152.581120000003</v>
      </c>
      <c r="W547" s="204">
        <f t="shared" si="742"/>
        <v>25875.630079999999</v>
      </c>
      <c r="X547" s="204">
        <f t="shared" si="743"/>
        <v>39021.178879999999</v>
      </c>
      <c r="Y547" s="204">
        <f t="shared" si="743"/>
        <v>40494.469120000009</v>
      </c>
      <c r="Z547" s="204">
        <f t="shared" si="743"/>
        <v>33120.215040000003</v>
      </c>
      <c r="AA547" s="204">
        <f t="shared" si="743"/>
        <v>34894.499840000004</v>
      </c>
      <c r="AB547" s="204">
        <f t="shared" si="743"/>
        <v>35039.703040000008</v>
      </c>
      <c r="AC547" s="204">
        <f t="shared" si="743"/>
        <v>37031.608319999999</v>
      </c>
      <c r="AD547" s="204">
        <f t="shared" si="743"/>
        <v>32277.841920000003</v>
      </c>
      <c r="AE547" s="204">
        <f t="shared" si="743"/>
        <v>35606.384640000004</v>
      </c>
      <c r="AF547" s="204">
        <f t="shared" ref="AF547:AQ547" si="745">T547*(1+$AV$547)</f>
        <v>16723.886100479998</v>
      </c>
      <c r="AG547" s="204">
        <f t="shared" si="745"/>
        <v>14769.19781376</v>
      </c>
      <c r="AH547" s="204">
        <f t="shared" si="745"/>
        <v>22462.717255680003</v>
      </c>
      <c r="AI547" s="204">
        <f t="shared" si="745"/>
        <v>26237.888901120001</v>
      </c>
      <c r="AJ547" s="204">
        <f t="shared" si="745"/>
        <v>39567.475384320001</v>
      </c>
      <c r="AK547" s="204">
        <f t="shared" si="745"/>
        <v>41061.391687680007</v>
      </c>
      <c r="AL547" s="204">
        <f t="shared" si="745"/>
        <v>33583.898050560005</v>
      </c>
      <c r="AM547" s="204">
        <f t="shared" si="745"/>
        <v>35383.022837760007</v>
      </c>
      <c r="AN547" s="204">
        <f t="shared" si="745"/>
        <v>35530.258882560011</v>
      </c>
      <c r="AO547" s="204">
        <f t="shared" si="745"/>
        <v>37550.050836479997</v>
      </c>
      <c r="AP547" s="204">
        <f t="shared" si="745"/>
        <v>32729.731706880004</v>
      </c>
      <c r="AQ547" s="204">
        <f t="shared" si="745"/>
        <v>36104.874024960001</v>
      </c>
      <c r="AR547" s="204">
        <f>SUM(G547:R547)</f>
        <v>357980.84</v>
      </c>
      <c r="AS547" s="204">
        <f>SUM(T547:AE547)</f>
        <v>366572.38016</v>
      </c>
      <c r="AT547" s="204">
        <f>SUM(AF547:AQ547)</f>
        <v>371704.39348224003</v>
      </c>
      <c r="AU547" s="618">
        <f>AU546</f>
        <v>2.4E-2</v>
      </c>
      <c r="AV547" s="618">
        <f>AV546</f>
        <v>1.3999999999999999E-2</v>
      </c>
      <c r="AW547" s="30"/>
    </row>
    <row r="548" spans="2:49">
      <c r="B548" s="250">
        <v>649</v>
      </c>
      <c r="C548" s="212"/>
      <c r="D548" s="102"/>
      <c r="E548" s="102" t="s">
        <v>170</v>
      </c>
      <c r="F548" s="102"/>
      <c r="G548" s="1216">
        <v>326838.24</v>
      </c>
      <c r="H548" s="1216">
        <v>512451.01</v>
      </c>
      <c r="I548" s="1216">
        <v>647489.82000000007</v>
      </c>
      <c r="J548" s="1216">
        <v>864316.16</v>
      </c>
      <c r="K548" s="1216">
        <v>886674.27</v>
      </c>
      <c r="L548" s="1216">
        <v>943803.35</v>
      </c>
      <c r="M548" s="1216">
        <v>692700.99</v>
      </c>
      <c r="N548" s="1216">
        <v>817690.68</v>
      </c>
      <c r="O548" s="1216">
        <v>800743.38</v>
      </c>
      <c r="P548" s="1216">
        <v>824736.91</v>
      </c>
      <c r="Q548" s="1216">
        <v>799349.36</v>
      </c>
      <c r="R548" s="1216">
        <v>791319.27</v>
      </c>
      <c r="S548" s="620"/>
      <c r="T548" s="131">
        <f t="shared" ref="T548:Y548" si="746">SUM(T546:T547)</f>
        <v>334682.35775999998</v>
      </c>
      <c r="U548" s="131">
        <f t="shared" si="746"/>
        <v>524749.83424000011</v>
      </c>
      <c r="V548" s="131">
        <f t="shared" si="746"/>
        <v>663029.57568000001</v>
      </c>
      <c r="W548" s="131">
        <f t="shared" si="746"/>
        <v>885059.74784000008</v>
      </c>
      <c r="X548" s="131">
        <f t="shared" si="746"/>
        <v>907954.45248000009</v>
      </c>
      <c r="Y548" s="131">
        <f t="shared" si="746"/>
        <v>966454.63040000002</v>
      </c>
      <c r="Z548" s="131">
        <f t="shared" ref="Z548:AE548" si="747">SUM(Z546:Z547)</f>
        <v>709325.81376000005</v>
      </c>
      <c r="AA548" s="131">
        <f t="shared" si="747"/>
        <v>837315.25631999993</v>
      </c>
      <c r="AB548" s="131">
        <f t="shared" si="747"/>
        <v>819961.22112000012</v>
      </c>
      <c r="AC548" s="131">
        <f t="shared" si="747"/>
        <v>844530.59583999997</v>
      </c>
      <c r="AD548" s="131">
        <f t="shared" si="747"/>
        <v>818533.74464000005</v>
      </c>
      <c r="AE548" s="131">
        <f t="shared" si="747"/>
        <v>810310.93247999996</v>
      </c>
      <c r="AF548" s="131">
        <f t="shared" ref="AF548:AQ548" si="748">SUM(AF546:AF547)</f>
        <v>339367.91076863999</v>
      </c>
      <c r="AG548" s="131">
        <f t="shared" si="748"/>
        <v>532096.33191936009</v>
      </c>
      <c r="AH548" s="131">
        <f t="shared" si="748"/>
        <v>672311.98973952001</v>
      </c>
      <c r="AI548" s="131">
        <f t="shared" si="748"/>
        <v>897450.58430976013</v>
      </c>
      <c r="AJ548" s="131">
        <f t="shared" si="748"/>
        <v>920665.81481472007</v>
      </c>
      <c r="AK548" s="131">
        <f t="shared" si="748"/>
        <v>979984.99522560008</v>
      </c>
      <c r="AL548" s="131">
        <f t="shared" si="748"/>
        <v>719256.37515264004</v>
      </c>
      <c r="AM548" s="131">
        <f t="shared" si="748"/>
        <v>849037.66990848002</v>
      </c>
      <c r="AN548" s="131">
        <f t="shared" si="748"/>
        <v>831440.67821568018</v>
      </c>
      <c r="AO548" s="131">
        <f t="shared" si="748"/>
        <v>856354.02418175992</v>
      </c>
      <c r="AP548" s="131">
        <f t="shared" si="748"/>
        <v>829993.21706496004</v>
      </c>
      <c r="AQ548" s="131">
        <f t="shared" si="748"/>
        <v>821655.28553472005</v>
      </c>
      <c r="AR548" s="131">
        <f>SUM(G548:R548)</f>
        <v>8908113.4399999995</v>
      </c>
      <c r="AS548" s="131">
        <f>SUM(T548:AE548)</f>
        <v>9121908.1625599992</v>
      </c>
      <c r="AT548" s="131">
        <f>SUM(AF548:AQ548)</f>
        <v>9249614.8768358417</v>
      </c>
      <c r="AU548" s="621"/>
      <c r="AV548" s="621"/>
      <c r="AW548" s="30"/>
    </row>
    <row r="549" spans="2:49">
      <c r="B549" s="250">
        <v>650</v>
      </c>
      <c r="C549" s="212"/>
      <c r="D549" s="102"/>
      <c r="E549" s="102"/>
      <c r="F549" s="102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71"/>
      <c r="AV549" s="171"/>
      <c r="AW549" s="30"/>
    </row>
    <row r="550" spans="2:49">
      <c r="B550" s="250">
        <v>651</v>
      </c>
      <c r="C550" s="212">
        <v>875</v>
      </c>
      <c r="D550" s="102" t="s">
        <v>381</v>
      </c>
      <c r="E550" s="102"/>
      <c r="F550" s="102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  <c r="AA550" s="186"/>
      <c r="AB550" s="186"/>
      <c r="AC550" s="186"/>
      <c r="AD550" s="186"/>
      <c r="AE550" s="186"/>
      <c r="AF550" s="186"/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6"/>
      <c r="AQ550" s="186"/>
      <c r="AR550" s="186"/>
      <c r="AS550" s="186"/>
      <c r="AT550" s="186"/>
      <c r="AU550" s="171"/>
      <c r="AV550" s="171"/>
      <c r="AW550" s="30"/>
    </row>
    <row r="551" spans="2:49">
      <c r="B551" s="250">
        <v>652</v>
      </c>
      <c r="C551" s="212"/>
      <c r="D551" s="102"/>
      <c r="E551" s="102" t="s">
        <v>14</v>
      </c>
      <c r="F551" s="102"/>
      <c r="G551" s="186">
        <v>64284.010000000009</v>
      </c>
      <c r="H551" s="186">
        <v>43120.57</v>
      </c>
      <c r="I551" s="186">
        <v>51016.66</v>
      </c>
      <c r="J551" s="186">
        <v>158963</v>
      </c>
      <c r="K551" s="186">
        <v>54497.279999999999</v>
      </c>
      <c r="L551" s="186">
        <v>32206.230000000003</v>
      </c>
      <c r="M551" s="186">
        <v>58960.62</v>
      </c>
      <c r="N551" s="186">
        <v>27968.160000000003</v>
      </c>
      <c r="O551" s="186">
        <v>117892.35</v>
      </c>
      <c r="P551" s="186">
        <v>35292.480000000003</v>
      </c>
      <c r="Q551" s="186">
        <v>123405.3</v>
      </c>
      <c r="R551" s="186">
        <v>103009.22</v>
      </c>
      <c r="S551" s="186"/>
      <c r="T551" s="186">
        <f t="shared" ref="T551:W552" si="749">G551*(1+$AU551)</f>
        <v>65955.394260000015</v>
      </c>
      <c r="U551" s="186">
        <f t="shared" si="749"/>
        <v>44241.704819999999</v>
      </c>
      <c r="V551" s="186">
        <f t="shared" si="749"/>
        <v>52343.093160000004</v>
      </c>
      <c r="W551" s="186">
        <f t="shared" si="749"/>
        <v>163096.038</v>
      </c>
      <c r="X551" s="186">
        <f t="shared" ref="X551:AE552" si="750">K551*(1+$AU551)</f>
        <v>55914.209280000003</v>
      </c>
      <c r="Y551" s="186">
        <f t="shared" si="750"/>
        <v>33043.591980000005</v>
      </c>
      <c r="Z551" s="186">
        <f t="shared" si="750"/>
        <v>60493.596120000002</v>
      </c>
      <c r="AA551" s="186">
        <f t="shared" si="750"/>
        <v>28695.332160000005</v>
      </c>
      <c r="AB551" s="186">
        <f t="shared" si="750"/>
        <v>120957.55110000001</v>
      </c>
      <c r="AC551" s="186">
        <f t="shared" si="750"/>
        <v>36210.084480000005</v>
      </c>
      <c r="AD551" s="186">
        <f t="shared" si="750"/>
        <v>126613.83780000001</v>
      </c>
      <c r="AE551" s="186">
        <f t="shared" si="750"/>
        <v>105687.45972</v>
      </c>
      <c r="AF551" s="186">
        <f t="shared" ref="AF551:AQ551" si="751">T551*(1+$AV$551)</f>
        <v>67142.591356680015</v>
      </c>
      <c r="AG551" s="186">
        <f t="shared" si="751"/>
        <v>45038.05550676</v>
      </c>
      <c r="AH551" s="186">
        <f t="shared" si="751"/>
        <v>53285.268836880008</v>
      </c>
      <c r="AI551" s="186">
        <f t="shared" si="751"/>
        <v>166031.766684</v>
      </c>
      <c r="AJ551" s="186">
        <f t="shared" si="751"/>
        <v>56920.665047040005</v>
      </c>
      <c r="AK551" s="186">
        <f t="shared" si="751"/>
        <v>33638.376635640008</v>
      </c>
      <c r="AL551" s="186">
        <f t="shared" si="751"/>
        <v>61582.480850160006</v>
      </c>
      <c r="AM551" s="186">
        <f t="shared" si="751"/>
        <v>29211.848138880006</v>
      </c>
      <c r="AN551" s="186">
        <f t="shared" si="751"/>
        <v>123134.78701980002</v>
      </c>
      <c r="AO551" s="186">
        <f t="shared" si="751"/>
        <v>36861.866000640002</v>
      </c>
      <c r="AP551" s="186">
        <f t="shared" si="751"/>
        <v>128892.88688040001</v>
      </c>
      <c r="AQ551" s="186">
        <f t="shared" si="751"/>
        <v>107589.83399496</v>
      </c>
      <c r="AR551" s="186">
        <f>SUM(G551:R551)</f>
        <v>870615.88</v>
      </c>
      <c r="AS551" s="186">
        <f>SUM(T551:AE551)</f>
        <v>893251.89288000006</v>
      </c>
      <c r="AT551" s="186">
        <f>SUM(AF551:AQ551)</f>
        <v>909330.42695184005</v>
      </c>
      <c r="AU551" s="171">
        <v>2.6000000000000002E-2</v>
      </c>
      <c r="AV551" s="171">
        <v>1.8000000000000002E-2</v>
      </c>
      <c r="AW551" s="30"/>
    </row>
    <row r="552" spans="2:49">
      <c r="B552" s="250">
        <v>653</v>
      </c>
      <c r="C552" s="212"/>
      <c r="D552" s="102"/>
      <c r="E552" s="102" t="s">
        <v>24</v>
      </c>
      <c r="F552" s="102"/>
      <c r="G552" s="186">
        <v>6308.81</v>
      </c>
      <c r="H552" s="186">
        <v>6144.1</v>
      </c>
      <c r="I552" s="186">
        <v>5990.38</v>
      </c>
      <c r="J552" s="186">
        <v>9202.51</v>
      </c>
      <c r="K552" s="186">
        <v>5688.91</v>
      </c>
      <c r="L552" s="186">
        <v>4211.21</v>
      </c>
      <c r="M552" s="186">
        <v>5918.31</v>
      </c>
      <c r="N552" s="186">
        <v>5242.92</v>
      </c>
      <c r="O552" s="186">
        <v>8188.93</v>
      </c>
      <c r="P552" s="186">
        <v>4439.3500000000004</v>
      </c>
      <c r="Q552" s="186">
        <v>9457.67</v>
      </c>
      <c r="R552" s="186">
        <v>8493.9699999999993</v>
      </c>
      <c r="S552" s="617"/>
      <c r="T552" s="204">
        <f t="shared" si="749"/>
        <v>6472.8390600000002</v>
      </c>
      <c r="U552" s="204">
        <f t="shared" si="749"/>
        <v>6303.8466000000008</v>
      </c>
      <c r="V552" s="204">
        <f t="shared" si="749"/>
        <v>6146.1298800000004</v>
      </c>
      <c r="W552" s="204">
        <f t="shared" si="749"/>
        <v>9441.7752600000003</v>
      </c>
      <c r="X552" s="204">
        <f t="shared" si="750"/>
        <v>5836.8216599999996</v>
      </c>
      <c r="Y552" s="204">
        <f t="shared" si="750"/>
        <v>4320.7014600000002</v>
      </c>
      <c r="Z552" s="204">
        <f t="shared" si="750"/>
        <v>6072.1860600000009</v>
      </c>
      <c r="AA552" s="204">
        <f t="shared" si="750"/>
        <v>5379.2359200000001</v>
      </c>
      <c r="AB552" s="204">
        <f t="shared" si="750"/>
        <v>8401.8421799999996</v>
      </c>
      <c r="AC552" s="204">
        <f t="shared" si="750"/>
        <v>4554.7731000000003</v>
      </c>
      <c r="AD552" s="204">
        <f t="shared" si="750"/>
        <v>9703.5694199999998</v>
      </c>
      <c r="AE552" s="204">
        <f t="shared" si="750"/>
        <v>8714.81322</v>
      </c>
      <c r="AF552" s="204">
        <f t="shared" ref="AF552:AQ552" si="752">T552*(1+$AV$552)</f>
        <v>6589.3501630800001</v>
      </c>
      <c r="AG552" s="204">
        <f t="shared" si="752"/>
        <v>6417.3158388000011</v>
      </c>
      <c r="AH552" s="204">
        <f t="shared" si="752"/>
        <v>6256.7602178400002</v>
      </c>
      <c r="AI552" s="204">
        <f t="shared" si="752"/>
        <v>9611.7272146800005</v>
      </c>
      <c r="AJ552" s="204">
        <f t="shared" si="752"/>
        <v>5941.8844498799999</v>
      </c>
      <c r="AK552" s="204">
        <f t="shared" si="752"/>
        <v>4398.4740862799999</v>
      </c>
      <c r="AL552" s="204">
        <f t="shared" si="752"/>
        <v>6181.4854090800009</v>
      </c>
      <c r="AM552" s="204">
        <f t="shared" si="752"/>
        <v>5476.0621665600002</v>
      </c>
      <c r="AN552" s="204">
        <f t="shared" si="752"/>
        <v>8553.0753392400002</v>
      </c>
      <c r="AO552" s="204">
        <f t="shared" si="752"/>
        <v>4636.7590158000003</v>
      </c>
      <c r="AP552" s="204">
        <f t="shared" si="752"/>
        <v>9878.2336695600006</v>
      </c>
      <c r="AQ552" s="204">
        <f t="shared" si="752"/>
        <v>8871.6798579599999</v>
      </c>
      <c r="AR552" s="204">
        <f>SUM(G552:R552)</f>
        <v>79287.070000000007</v>
      </c>
      <c r="AS552" s="204">
        <f>SUM(T552:AE552)</f>
        <v>81348.533819999997</v>
      </c>
      <c r="AT552" s="204">
        <f>SUM(AF552:AQ552)</f>
        <v>82812.807428760003</v>
      </c>
      <c r="AU552" s="618">
        <f>AU551</f>
        <v>2.6000000000000002E-2</v>
      </c>
      <c r="AV552" s="618">
        <f>AV551</f>
        <v>1.8000000000000002E-2</v>
      </c>
      <c r="AW552" s="30"/>
    </row>
    <row r="553" spans="2:49">
      <c r="B553" s="250">
        <v>654</v>
      </c>
      <c r="C553" s="212"/>
      <c r="D553" s="102"/>
      <c r="E553" s="102" t="s">
        <v>170</v>
      </c>
      <c r="F553" s="102"/>
      <c r="G553" s="1216">
        <v>70592.820000000007</v>
      </c>
      <c r="H553" s="1216">
        <v>49264.67</v>
      </c>
      <c r="I553" s="1216">
        <v>57007.040000000001</v>
      </c>
      <c r="J553" s="1216">
        <v>168165.51</v>
      </c>
      <c r="K553" s="1216">
        <v>60186.19</v>
      </c>
      <c r="L553" s="1216">
        <v>36417.440000000002</v>
      </c>
      <c r="M553" s="1216">
        <v>64878.93</v>
      </c>
      <c r="N553" s="1216">
        <v>33211.08</v>
      </c>
      <c r="O553" s="1216">
        <v>126081.28</v>
      </c>
      <c r="P553" s="1216">
        <v>39731.83</v>
      </c>
      <c r="Q553" s="1216">
        <v>132862.97</v>
      </c>
      <c r="R553" s="1216">
        <v>111503.19</v>
      </c>
      <c r="S553" s="620"/>
      <c r="T553" s="131">
        <f t="shared" ref="T553:Y553" si="753">SUM(T551:T552)</f>
        <v>72428.233320000014</v>
      </c>
      <c r="U553" s="131">
        <f t="shared" si="753"/>
        <v>50545.551420000003</v>
      </c>
      <c r="V553" s="131">
        <f t="shared" si="753"/>
        <v>58489.223040000004</v>
      </c>
      <c r="W553" s="131">
        <f t="shared" si="753"/>
        <v>172537.81326</v>
      </c>
      <c r="X553" s="131">
        <f t="shared" si="753"/>
        <v>61751.030940000004</v>
      </c>
      <c r="Y553" s="131">
        <f t="shared" si="753"/>
        <v>37364.293440000009</v>
      </c>
      <c r="Z553" s="131">
        <f t="shared" ref="Z553:AE553" si="754">SUM(Z551:Z552)</f>
        <v>66565.782180000009</v>
      </c>
      <c r="AA553" s="131">
        <f t="shared" si="754"/>
        <v>34074.568080000005</v>
      </c>
      <c r="AB553" s="131">
        <f t="shared" si="754"/>
        <v>129359.39328000002</v>
      </c>
      <c r="AC553" s="131">
        <f t="shared" si="754"/>
        <v>40764.857580000004</v>
      </c>
      <c r="AD553" s="131">
        <f t="shared" si="754"/>
        <v>136317.40721999999</v>
      </c>
      <c r="AE553" s="131">
        <f t="shared" si="754"/>
        <v>114402.27294</v>
      </c>
      <c r="AF553" s="131">
        <f t="shared" ref="AF553:AQ553" si="755">SUM(AF551:AF552)</f>
        <v>73731.941519760017</v>
      </c>
      <c r="AG553" s="131">
        <f t="shared" si="755"/>
        <v>51455.371345560001</v>
      </c>
      <c r="AH553" s="131">
        <f t="shared" si="755"/>
        <v>59542.029054720006</v>
      </c>
      <c r="AI553" s="131">
        <f t="shared" si="755"/>
        <v>175643.49389868</v>
      </c>
      <c r="AJ553" s="131">
        <f t="shared" si="755"/>
        <v>62862.549496920008</v>
      </c>
      <c r="AK553" s="131">
        <f t="shared" si="755"/>
        <v>38036.850721920011</v>
      </c>
      <c r="AL553" s="131">
        <f t="shared" si="755"/>
        <v>67763.966259240013</v>
      </c>
      <c r="AM553" s="131">
        <f t="shared" si="755"/>
        <v>34687.910305440004</v>
      </c>
      <c r="AN553" s="131">
        <f t="shared" si="755"/>
        <v>131687.86235904001</v>
      </c>
      <c r="AO553" s="131">
        <f t="shared" si="755"/>
        <v>41498.625016440004</v>
      </c>
      <c r="AP553" s="131">
        <f t="shared" si="755"/>
        <v>138771.12054996</v>
      </c>
      <c r="AQ553" s="131">
        <f t="shared" si="755"/>
        <v>116461.51385292</v>
      </c>
      <c r="AR553" s="131">
        <f>SUM(G553:R553)</f>
        <v>949902.95</v>
      </c>
      <c r="AS553" s="131">
        <f>SUM(T553:AE553)</f>
        <v>974600.42670000019</v>
      </c>
      <c r="AT553" s="131">
        <f>SUM(AF553:AQ553)</f>
        <v>992143.23438060016</v>
      </c>
      <c r="AU553" s="621"/>
      <c r="AV553" s="621"/>
      <c r="AW553" s="30"/>
    </row>
    <row r="554" spans="2:49">
      <c r="B554" s="250">
        <v>655</v>
      </c>
      <c r="C554" s="212"/>
      <c r="D554" s="102"/>
      <c r="E554" s="102"/>
      <c r="F554" s="102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71"/>
      <c r="AV554" s="171"/>
      <c r="AW554" s="30"/>
    </row>
    <row r="555" spans="2:49">
      <c r="B555" s="250">
        <v>656</v>
      </c>
      <c r="C555" s="212">
        <v>878</v>
      </c>
      <c r="D555" s="102" t="s">
        <v>382</v>
      </c>
      <c r="E555" s="102"/>
      <c r="F555" s="102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71"/>
      <c r="AV555" s="171"/>
      <c r="AW555" s="30"/>
    </row>
    <row r="556" spans="2:49">
      <c r="B556" s="250">
        <v>657</v>
      </c>
      <c r="C556" s="212"/>
      <c r="D556" s="102"/>
      <c r="E556" s="102" t="s">
        <v>14</v>
      </c>
      <c r="F556" s="102"/>
      <c r="G556" s="186">
        <v>66212.27</v>
      </c>
      <c r="H556" s="186">
        <v>75433.25</v>
      </c>
      <c r="I556" s="186">
        <v>50812.1</v>
      </c>
      <c r="J556" s="186">
        <v>59353.75</v>
      </c>
      <c r="K556" s="186">
        <v>61737.270000000004</v>
      </c>
      <c r="L556" s="186">
        <v>53815.03</v>
      </c>
      <c r="M556" s="186">
        <v>52851.07</v>
      </c>
      <c r="N556" s="186">
        <v>56313.990000000005</v>
      </c>
      <c r="O556" s="186">
        <v>58301.29</v>
      </c>
      <c r="P556" s="186">
        <v>55940.590000000004</v>
      </c>
      <c r="Q556" s="186">
        <v>75672.11</v>
      </c>
      <c r="R556" s="186">
        <v>96430.790000000008</v>
      </c>
      <c r="S556" s="186"/>
      <c r="T556" s="186">
        <f t="shared" ref="T556:W557" si="756">G556*(1+$AU556)</f>
        <v>67536.515400000004</v>
      </c>
      <c r="U556" s="186">
        <f t="shared" si="756"/>
        <v>76941.915000000008</v>
      </c>
      <c r="V556" s="186">
        <f t="shared" si="756"/>
        <v>51828.341999999997</v>
      </c>
      <c r="W556" s="186">
        <f t="shared" si="756"/>
        <v>60540.825000000004</v>
      </c>
      <c r="X556" s="186">
        <f t="shared" ref="X556:AE557" si="757">K556*(1+$AU556)</f>
        <v>62972.015400000004</v>
      </c>
      <c r="Y556" s="186">
        <f t="shared" si="757"/>
        <v>54891.330600000001</v>
      </c>
      <c r="Z556" s="186">
        <f t="shared" si="757"/>
        <v>53908.091399999998</v>
      </c>
      <c r="AA556" s="186">
        <f t="shared" si="757"/>
        <v>57440.269800000009</v>
      </c>
      <c r="AB556" s="186">
        <f t="shared" si="757"/>
        <v>59467.315800000004</v>
      </c>
      <c r="AC556" s="186">
        <f t="shared" si="757"/>
        <v>57059.401800000007</v>
      </c>
      <c r="AD556" s="186">
        <f t="shared" si="757"/>
        <v>77185.552200000006</v>
      </c>
      <c r="AE556" s="186">
        <f t="shared" si="757"/>
        <v>98359.405800000008</v>
      </c>
      <c r="AF556" s="186">
        <f t="shared" ref="AF556:AQ556" si="758">T556*(1+$AV$556)</f>
        <v>68684.636161799994</v>
      </c>
      <c r="AG556" s="186">
        <f t="shared" si="758"/>
        <v>78249.927555000002</v>
      </c>
      <c r="AH556" s="186">
        <f t="shared" si="758"/>
        <v>52709.423813999994</v>
      </c>
      <c r="AI556" s="186">
        <f t="shared" si="758"/>
        <v>61570.019025000001</v>
      </c>
      <c r="AJ556" s="186">
        <f t="shared" si="758"/>
        <v>64042.539661800001</v>
      </c>
      <c r="AK556" s="186">
        <f t="shared" si="758"/>
        <v>55824.483220199996</v>
      </c>
      <c r="AL556" s="186">
        <f t="shared" si="758"/>
        <v>54824.528953799992</v>
      </c>
      <c r="AM556" s="186">
        <f t="shared" si="758"/>
        <v>58416.754386600005</v>
      </c>
      <c r="AN556" s="186">
        <f t="shared" si="758"/>
        <v>60478.260168599998</v>
      </c>
      <c r="AO556" s="186">
        <f t="shared" si="758"/>
        <v>58029.4116306</v>
      </c>
      <c r="AP556" s="186">
        <f t="shared" si="758"/>
        <v>78497.706587399996</v>
      </c>
      <c r="AQ556" s="186">
        <f t="shared" si="758"/>
        <v>100031.51569859999</v>
      </c>
      <c r="AR556" s="186">
        <f>SUM(G556:R556)</f>
        <v>762873.51</v>
      </c>
      <c r="AS556" s="186">
        <f>SUM(T556:AE556)</f>
        <v>778130.98020000011</v>
      </c>
      <c r="AT556" s="186">
        <f>SUM(AF556:AQ556)</f>
        <v>791359.20686339994</v>
      </c>
      <c r="AU556" s="171">
        <v>0.02</v>
      </c>
      <c r="AV556" s="171">
        <v>1.7000000000000001E-2</v>
      </c>
      <c r="AW556" s="30"/>
    </row>
    <row r="557" spans="2:49">
      <c r="B557" s="250">
        <v>658</v>
      </c>
      <c r="C557" s="212"/>
      <c r="D557" s="102"/>
      <c r="E557" s="102" t="s">
        <v>24</v>
      </c>
      <c r="F557" s="102"/>
      <c r="G557" s="186">
        <v>2689.51</v>
      </c>
      <c r="H557" s="186">
        <v>3062.96</v>
      </c>
      <c r="I557" s="186">
        <v>6562.96</v>
      </c>
      <c r="J557" s="186">
        <v>5508.55</v>
      </c>
      <c r="K557" s="186">
        <v>6645.0000000000009</v>
      </c>
      <c r="L557" s="186">
        <v>3920.3999999999996</v>
      </c>
      <c r="M557" s="186">
        <v>3361.7200000000003</v>
      </c>
      <c r="N557" s="186">
        <v>7614.95</v>
      </c>
      <c r="O557" s="186">
        <v>3455.73</v>
      </c>
      <c r="P557" s="186">
        <v>5167.43</v>
      </c>
      <c r="Q557" s="186">
        <v>4456.3500000000004</v>
      </c>
      <c r="R557" s="186">
        <v>3094.11</v>
      </c>
      <c r="S557" s="617"/>
      <c r="T557" s="204">
        <f t="shared" si="756"/>
        <v>2743.3002000000001</v>
      </c>
      <c r="U557" s="204">
        <f t="shared" si="756"/>
        <v>3124.2192</v>
      </c>
      <c r="V557" s="204">
        <f t="shared" si="756"/>
        <v>6694.2192000000005</v>
      </c>
      <c r="W557" s="204">
        <f t="shared" si="756"/>
        <v>5618.7210000000005</v>
      </c>
      <c r="X557" s="204">
        <f t="shared" si="757"/>
        <v>6777.9000000000015</v>
      </c>
      <c r="Y557" s="204">
        <f t="shared" si="757"/>
        <v>3998.8079999999995</v>
      </c>
      <c r="Z557" s="204">
        <f t="shared" si="757"/>
        <v>3428.9544000000005</v>
      </c>
      <c r="AA557" s="204">
        <f t="shared" si="757"/>
        <v>7767.2489999999998</v>
      </c>
      <c r="AB557" s="204">
        <f t="shared" si="757"/>
        <v>3524.8445999999999</v>
      </c>
      <c r="AC557" s="204">
        <f t="shared" si="757"/>
        <v>5270.7786000000006</v>
      </c>
      <c r="AD557" s="204">
        <f t="shared" si="757"/>
        <v>4545.4770000000008</v>
      </c>
      <c r="AE557" s="204">
        <f t="shared" si="757"/>
        <v>3155.9922000000001</v>
      </c>
      <c r="AF557" s="204">
        <f t="shared" ref="AF557:AQ557" si="759">T557*(1+$AV$557)</f>
        <v>2789.9363033999998</v>
      </c>
      <c r="AG557" s="204">
        <f t="shared" si="759"/>
        <v>3177.3309263999995</v>
      </c>
      <c r="AH557" s="204">
        <f t="shared" si="759"/>
        <v>6808.0209263999996</v>
      </c>
      <c r="AI557" s="204">
        <f t="shared" si="759"/>
        <v>5714.2392570000002</v>
      </c>
      <c r="AJ557" s="204">
        <f t="shared" si="759"/>
        <v>6893.1243000000004</v>
      </c>
      <c r="AK557" s="204">
        <f t="shared" si="759"/>
        <v>4066.7877359999993</v>
      </c>
      <c r="AL557" s="204">
        <f t="shared" si="759"/>
        <v>3487.2466248000001</v>
      </c>
      <c r="AM557" s="204">
        <f t="shared" si="759"/>
        <v>7899.2922329999992</v>
      </c>
      <c r="AN557" s="204">
        <f t="shared" si="759"/>
        <v>3584.7669581999994</v>
      </c>
      <c r="AO557" s="204">
        <f t="shared" si="759"/>
        <v>5360.3818362000002</v>
      </c>
      <c r="AP557" s="204">
        <f t="shared" si="759"/>
        <v>4622.7501090000005</v>
      </c>
      <c r="AQ557" s="204">
        <f t="shared" si="759"/>
        <v>3209.6440674</v>
      </c>
      <c r="AR557" s="204">
        <f>SUM(G557:R557)</f>
        <v>55539.67</v>
      </c>
      <c r="AS557" s="204">
        <f>SUM(T557:AE557)</f>
        <v>56650.463399999993</v>
      </c>
      <c r="AT557" s="204">
        <f>SUM(AF557:AQ557)</f>
        <v>57613.521277799999</v>
      </c>
      <c r="AU557" s="618">
        <f>AU556</f>
        <v>0.02</v>
      </c>
      <c r="AV557" s="618">
        <f>AV556</f>
        <v>1.7000000000000001E-2</v>
      </c>
      <c r="AW557" s="30"/>
    </row>
    <row r="558" spans="2:49">
      <c r="B558" s="250">
        <v>659</v>
      </c>
      <c r="C558" s="212"/>
      <c r="D558" s="102"/>
      <c r="E558" s="102" t="s">
        <v>170</v>
      </c>
      <c r="F558" s="102"/>
      <c r="G558" s="1216">
        <v>68901.78</v>
      </c>
      <c r="H558" s="1216">
        <v>78496.210000000006</v>
      </c>
      <c r="I558" s="1216">
        <v>57375.06</v>
      </c>
      <c r="J558" s="1216">
        <v>64862.3</v>
      </c>
      <c r="K558" s="1216">
        <v>68382.27</v>
      </c>
      <c r="L558" s="1216">
        <v>57735.43</v>
      </c>
      <c r="M558" s="1216">
        <v>56212.79</v>
      </c>
      <c r="N558" s="1216">
        <v>63928.94</v>
      </c>
      <c r="O558" s="1216">
        <v>61757.020000000004</v>
      </c>
      <c r="P558" s="1216">
        <v>61108.020000000004</v>
      </c>
      <c r="Q558" s="1216">
        <v>80128.460000000006</v>
      </c>
      <c r="R558" s="1216">
        <v>99524.900000000009</v>
      </c>
      <c r="S558" s="620"/>
      <c r="T558" s="131">
        <f t="shared" ref="T558:Y558" si="760">SUM(T556:T557)</f>
        <v>70279.815600000002</v>
      </c>
      <c r="U558" s="131">
        <f t="shared" si="760"/>
        <v>80066.134200000015</v>
      </c>
      <c r="V558" s="131">
        <f t="shared" si="760"/>
        <v>58522.561199999996</v>
      </c>
      <c r="W558" s="131">
        <f t="shared" si="760"/>
        <v>66159.546000000002</v>
      </c>
      <c r="X558" s="131">
        <f t="shared" si="760"/>
        <v>69749.915399999998</v>
      </c>
      <c r="Y558" s="131">
        <f t="shared" si="760"/>
        <v>58890.138599999998</v>
      </c>
      <c r="Z558" s="131">
        <f t="shared" ref="Z558:AE558" si="761">SUM(Z556:Z557)</f>
        <v>57337.0458</v>
      </c>
      <c r="AA558" s="131">
        <f t="shared" si="761"/>
        <v>65207.518800000005</v>
      </c>
      <c r="AB558" s="131">
        <f t="shared" si="761"/>
        <v>62992.160400000001</v>
      </c>
      <c r="AC558" s="131">
        <f t="shared" si="761"/>
        <v>62330.180400000005</v>
      </c>
      <c r="AD558" s="131">
        <f t="shared" si="761"/>
        <v>81731.029200000004</v>
      </c>
      <c r="AE558" s="131">
        <f t="shared" si="761"/>
        <v>101515.398</v>
      </c>
      <c r="AF558" s="131">
        <f t="shared" ref="AF558:AQ558" si="762">SUM(AF556:AF557)</f>
        <v>71474.572465199992</v>
      </c>
      <c r="AG558" s="131">
        <f t="shared" si="762"/>
        <v>81427.2584814</v>
      </c>
      <c r="AH558" s="131">
        <f t="shared" si="762"/>
        <v>59517.444740399995</v>
      </c>
      <c r="AI558" s="131">
        <f t="shared" si="762"/>
        <v>67284.258281999995</v>
      </c>
      <c r="AJ558" s="131">
        <f t="shared" si="762"/>
        <v>70935.663961800004</v>
      </c>
      <c r="AK558" s="131">
        <f t="shared" si="762"/>
        <v>59891.270956199995</v>
      </c>
      <c r="AL558" s="131">
        <f t="shared" si="762"/>
        <v>58311.775578599991</v>
      </c>
      <c r="AM558" s="131">
        <f t="shared" si="762"/>
        <v>66316.046619600005</v>
      </c>
      <c r="AN558" s="131">
        <f t="shared" si="762"/>
        <v>64063.0271268</v>
      </c>
      <c r="AO558" s="131">
        <f t="shared" si="762"/>
        <v>63389.793466800002</v>
      </c>
      <c r="AP558" s="131">
        <f t="shared" si="762"/>
        <v>83120.456696399997</v>
      </c>
      <c r="AQ558" s="131">
        <f t="shared" si="762"/>
        <v>103241.159766</v>
      </c>
      <c r="AR558" s="131">
        <f>SUM(G558:R558)</f>
        <v>818413.17999999993</v>
      </c>
      <c r="AS558" s="131">
        <f>SUM(T558:AE558)</f>
        <v>834781.44360000012</v>
      </c>
      <c r="AT558" s="131">
        <f>SUM(AF558:AQ558)</f>
        <v>848972.72814120003</v>
      </c>
      <c r="AU558" s="621"/>
      <c r="AV558" s="621"/>
      <c r="AW558" s="30"/>
    </row>
    <row r="559" spans="2:49">
      <c r="B559" s="250">
        <v>660</v>
      </c>
      <c r="C559" s="212"/>
      <c r="D559" s="102"/>
      <c r="E559" s="102"/>
      <c r="F559" s="102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71"/>
      <c r="AV559" s="171"/>
      <c r="AW559" s="30"/>
    </row>
    <row r="560" spans="2:49">
      <c r="B560" s="250">
        <v>661</v>
      </c>
      <c r="C560" s="212">
        <v>879</v>
      </c>
      <c r="D560" s="102" t="s">
        <v>383</v>
      </c>
      <c r="E560" s="102"/>
      <c r="F560" s="102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71"/>
      <c r="AV560" s="171"/>
      <c r="AW560" s="30"/>
    </row>
    <row r="561" spans="2:49">
      <c r="B561" s="250">
        <v>662</v>
      </c>
      <c r="C561" s="212"/>
      <c r="D561" s="102"/>
      <c r="E561" s="102" t="s">
        <v>14</v>
      </c>
      <c r="F561" s="102"/>
      <c r="G561" s="186">
        <v>65024.679999999993</v>
      </c>
      <c r="H561" s="186">
        <v>96301.81</v>
      </c>
      <c r="I561" s="186">
        <v>61303.41</v>
      </c>
      <c r="J561" s="186">
        <v>65308.280000000006</v>
      </c>
      <c r="K561" s="186">
        <v>57270.89</v>
      </c>
      <c r="L561" s="186">
        <v>55504.15</v>
      </c>
      <c r="M561" s="186">
        <v>50830.62</v>
      </c>
      <c r="N561" s="186">
        <v>53366.93</v>
      </c>
      <c r="O561" s="186">
        <v>55348.72</v>
      </c>
      <c r="P561" s="186">
        <v>51138.8</v>
      </c>
      <c r="Q561" s="186">
        <v>66461.600000000006</v>
      </c>
      <c r="R561" s="186">
        <v>92024.16</v>
      </c>
      <c r="S561" s="186"/>
      <c r="T561" s="186">
        <f t="shared" ref="T561:W562" si="763">G561*(1+$AU561)</f>
        <v>66195.12423999999</v>
      </c>
      <c r="U561" s="186">
        <f t="shared" si="763"/>
        <v>98035.242580000006</v>
      </c>
      <c r="V561" s="186">
        <f t="shared" si="763"/>
        <v>62406.871380000004</v>
      </c>
      <c r="W561" s="186">
        <f t="shared" si="763"/>
        <v>66483.829040000011</v>
      </c>
      <c r="X561" s="186">
        <f t="shared" ref="X561:AE562" si="764">K561*(1+$AU561)</f>
        <v>58301.766020000003</v>
      </c>
      <c r="Y561" s="186">
        <f t="shared" si="764"/>
        <v>56503.224699999999</v>
      </c>
      <c r="Z561" s="186">
        <f t="shared" si="764"/>
        <v>51745.571160000007</v>
      </c>
      <c r="AA561" s="186">
        <f t="shared" si="764"/>
        <v>54327.534740000003</v>
      </c>
      <c r="AB561" s="186">
        <f t="shared" si="764"/>
        <v>56344.996960000004</v>
      </c>
      <c r="AC561" s="186">
        <f t="shared" si="764"/>
        <v>52059.298400000007</v>
      </c>
      <c r="AD561" s="186">
        <f t="shared" si="764"/>
        <v>67657.908800000005</v>
      </c>
      <c r="AE561" s="186">
        <f t="shared" si="764"/>
        <v>93680.594880000004</v>
      </c>
      <c r="AF561" s="186">
        <f t="shared" ref="AF561:AQ561" si="765">T561*(1+$AV$561)</f>
        <v>67320.441352079986</v>
      </c>
      <c r="AG561" s="186">
        <f t="shared" si="765"/>
        <v>99701.841703860002</v>
      </c>
      <c r="AH561" s="186">
        <f t="shared" si="765"/>
        <v>63467.788193460001</v>
      </c>
      <c r="AI561" s="186">
        <f t="shared" si="765"/>
        <v>67614.054133680009</v>
      </c>
      <c r="AJ561" s="186">
        <f t="shared" si="765"/>
        <v>59292.896042339999</v>
      </c>
      <c r="AK561" s="186">
        <f t="shared" si="765"/>
        <v>57463.779519899996</v>
      </c>
      <c r="AL561" s="186">
        <f t="shared" si="765"/>
        <v>52625.245869720005</v>
      </c>
      <c r="AM561" s="186">
        <f t="shared" si="765"/>
        <v>55251.102830579999</v>
      </c>
      <c r="AN561" s="186">
        <f t="shared" si="765"/>
        <v>57302.861908319996</v>
      </c>
      <c r="AO561" s="186">
        <f t="shared" si="765"/>
        <v>52944.306472800003</v>
      </c>
      <c r="AP561" s="186">
        <f t="shared" si="765"/>
        <v>68808.093249600002</v>
      </c>
      <c r="AQ561" s="186">
        <f t="shared" si="765"/>
        <v>95273.164992959995</v>
      </c>
      <c r="AR561" s="186">
        <f>SUM(G561:R561)</f>
        <v>769884.05</v>
      </c>
      <c r="AS561" s="186">
        <f>SUM(T561:AE561)</f>
        <v>783741.96289999993</v>
      </c>
      <c r="AT561" s="186">
        <f>SUM(AF561:AQ561)</f>
        <v>797065.57626929996</v>
      </c>
      <c r="AU561" s="171">
        <v>1.8000000000000002E-2</v>
      </c>
      <c r="AV561" s="171">
        <v>1.7000000000000001E-2</v>
      </c>
      <c r="AW561" s="30"/>
    </row>
    <row r="562" spans="2:49">
      <c r="B562" s="250">
        <v>663</v>
      </c>
      <c r="C562" s="212"/>
      <c r="D562" s="102"/>
      <c r="E562" s="102" t="s">
        <v>24</v>
      </c>
      <c r="F562" s="102"/>
      <c r="G562" s="186">
        <v>4157.47</v>
      </c>
      <c r="H562" s="186">
        <v>3808.0300000000007</v>
      </c>
      <c r="I562" s="186">
        <v>4234.92</v>
      </c>
      <c r="J562" s="186">
        <v>4481.8200000000006</v>
      </c>
      <c r="K562" s="186">
        <v>2673.2300000000005</v>
      </c>
      <c r="L562" s="186">
        <v>2262.3599999999997</v>
      </c>
      <c r="M562" s="186">
        <v>2448.0700000000002</v>
      </c>
      <c r="N562" s="186">
        <v>2468.63</v>
      </c>
      <c r="O562" s="186">
        <v>2550.44</v>
      </c>
      <c r="P562" s="186">
        <v>3978.1099999999997</v>
      </c>
      <c r="Q562" s="186">
        <v>4408.09</v>
      </c>
      <c r="R562" s="186">
        <v>633.19999999999982</v>
      </c>
      <c r="S562" s="617"/>
      <c r="T562" s="204">
        <f t="shared" si="763"/>
        <v>4232.3044600000003</v>
      </c>
      <c r="U562" s="204">
        <f t="shared" si="763"/>
        <v>3876.5745400000005</v>
      </c>
      <c r="V562" s="204">
        <f t="shared" si="763"/>
        <v>4311.1485600000005</v>
      </c>
      <c r="W562" s="204">
        <f t="shared" si="763"/>
        <v>4562.492760000001</v>
      </c>
      <c r="X562" s="204">
        <f t="shared" si="764"/>
        <v>2721.3481400000005</v>
      </c>
      <c r="Y562" s="204">
        <f t="shared" si="764"/>
        <v>2303.0824799999996</v>
      </c>
      <c r="Z562" s="204">
        <f t="shared" si="764"/>
        <v>2492.13526</v>
      </c>
      <c r="AA562" s="204">
        <f t="shared" si="764"/>
        <v>2513.0653400000001</v>
      </c>
      <c r="AB562" s="204">
        <f t="shared" si="764"/>
        <v>2596.3479200000002</v>
      </c>
      <c r="AC562" s="204">
        <f t="shared" si="764"/>
        <v>4049.7159799999999</v>
      </c>
      <c r="AD562" s="204">
        <f t="shared" si="764"/>
        <v>4487.4356200000002</v>
      </c>
      <c r="AE562" s="204">
        <f t="shared" si="764"/>
        <v>644.59759999999983</v>
      </c>
      <c r="AF562" s="204">
        <f t="shared" ref="AF562:AQ562" si="766">T562*(1+$AV$562)</f>
        <v>4304.2536358199995</v>
      </c>
      <c r="AG562" s="204">
        <f t="shared" si="766"/>
        <v>3942.4763071800003</v>
      </c>
      <c r="AH562" s="204">
        <f t="shared" si="766"/>
        <v>4384.4380855199997</v>
      </c>
      <c r="AI562" s="204">
        <f t="shared" si="766"/>
        <v>4640.0551369200002</v>
      </c>
      <c r="AJ562" s="204">
        <f t="shared" si="766"/>
        <v>2767.6110583800005</v>
      </c>
      <c r="AK562" s="204">
        <f t="shared" si="766"/>
        <v>2342.2348821599994</v>
      </c>
      <c r="AL562" s="204">
        <f t="shared" si="766"/>
        <v>2534.5015594199999</v>
      </c>
      <c r="AM562" s="204">
        <f t="shared" si="766"/>
        <v>2555.7874507799997</v>
      </c>
      <c r="AN562" s="204">
        <f t="shared" si="766"/>
        <v>2640.4858346400001</v>
      </c>
      <c r="AO562" s="204">
        <f t="shared" si="766"/>
        <v>4118.5611516599993</v>
      </c>
      <c r="AP562" s="204">
        <f t="shared" si="766"/>
        <v>4563.7220255399998</v>
      </c>
      <c r="AQ562" s="204">
        <f t="shared" si="766"/>
        <v>655.55575919999978</v>
      </c>
      <c r="AR562" s="204">
        <f>SUM(G562:R562)</f>
        <v>38104.369999999995</v>
      </c>
      <c r="AS562" s="204">
        <f>SUM(T562:AE562)</f>
        <v>38790.248660000005</v>
      </c>
      <c r="AT562" s="204">
        <f>SUM(AF562:AQ562)</f>
        <v>39449.682887219999</v>
      </c>
      <c r="AU562" s="618">
        <f>AU561</f>
        <v>1.8000000000000002E-2</v>
      </c>
      <c r="AV562" s="618">
        <f>AV561</f>
        <v>1.7000000000000001E-2</v>
      </c>
      <c r="AW562" s="30"/>
    </row>
    <row r="563" spans="2:49">
      <c r="B563" s="250">
        <v>664</v>
      </c>
      <c r="C563" s="212"/>
      <c r="D563" s="102"/>
      <c r="E563" s="102" t="s">
        <v>170</v>
      </c>
      <c r="F563" s="102"/>
      <c r="G563" s="1216">
        <v>69182.149999999994</v>
      </c>
      <c r="H563" s="1216">
        <v>100109.84</v>
      </c>
      <c r="I563" s="1216">
        <v>65538.33</v>
      </c>
      <c r="J563" s="1216">
        <v>69790.100000000006</v>
      </c>
      <c r="K563" s="1216">
        <v>59944.12</v>
      </c>
      <c r="L563" s="1216">
        <v>57766.51</v>
      </c>
      <c r="M563" s="1216">
        <v>53278.69</v>
      </c>
      <c r="N563" s="1216">
        <v>55835.56</v>
      </c>
      <c r="O563" s="1216">
        <v>57899.16</v>
      </c>
      <c r="P563" s="1216">
        <v>55116.91</v>
      </c>
      <c r="Q563" s="1216">
        <v>70869.69</v>
      </c>
      <c r="R563" s="1216">
        <v>92657.36</v>
      </c>
      <c r="S563" s="620"/>
      <c r="T563" s="131">
        <f t="shared" ref="T563:Y563" si="767">SUM(T561:T562)</f>
        <v>70427.428699999989</v>
      </c>
      <c r="U563" s="131">
        <f t="shared" si="767"/>
        <v>101911.81712000001</v>
      </c>
      <c r="V563" s="131">
        <f t="shared" si="767"/>
        <v>66718.019939999998</v>
      </c>
      <c r="W563" s="131">
        <f t="shared" si="767"/>
        <v>71046.321800000005</v>
      </c>
      <c r="X563" s="131">
        <f t="shared" si="767"/>
        <v>61023.114160000005</v>
      </c>
      <c r="Y563" s="131">
        <f t="shared" si="767"/>
        <v>58806.307179999996</v>
      </c>
      <c r="Z563" s="131">
        <f t="shared" ref="Z563:AE563" si="768">SUM(Z561:Z562)</f>
        <v>54237.70642000001</v>
      </c>
      <c r="AA563" s="131">
        <f t="shared" si="768"/>
        <v>56840.600080000004</v>
      </c>
      <c r="AB563" s="131">
        <f t="shared" si="768"/>
        <v>58941.344880000004</v>
      </c>
      <c r="AC563" s="131">
        <f t="shared" si="768"/>
        <v>56109.014380000008</v>
      </c>
      <c r="AD563" s="131">
        <f t="shared" si="768"/>
        <v>72145.344420000009</v>
      </c>
      <c r="AE563" s="131">
        <f t="shared" si="768"/>
        <v>94325.192479999998</v>
      </c>
      <c r="AF563" s="131">
        <f t="shared" ref="AF563:AQ563" si="769">SUM(AF561:AF562)</f>
        <v>71624.694987899988</v>
      </c>
      <c r="AG563" s="131">
        <f t="shared" si="769"/>
        <v>103644.31801104</v>
      </c>
      <c r="AH563" s="131">
        <f t="shared" si="769"/>
        <v>67852.226278980001</v>
      </c>
      <c r="AI563" s="131">
        <f t="shared" si="769"/>
        <v>72254.109270600005</v>
      </c>
      <c r="AJ563" s="131">
        <f t="shared" si="769"/>
        <v>62060.507100720002</v>
      </c>
      <c r="AK563" s="131">
        <f t="shared" si="769"/>
        <v>59806.014402059998</v>
      </c>
      <c r="AL563" s="131">
        <f t="shared" si="769"/>
        <v>55159.747429140007</v>
      </c>
      <c r="AM563" s="131">
        <f t="shared" si="769"/>
        <v>57806.89028136</v>
      </c>
      <c r="AN563" s="131">
        <f t="shared" si="769"/>
        <v>59943.347742959995</v>
      </c>
      <c r="AO563" s="131">
        <f t="shared" si="769"/>
        <v>57062.867624459999</v>
      </c>
      <c r="AP563" s="131">
        <f t="shared" si="769"/>
        <v>73371.815275140005</v>
      </c>
      <c r="AQ563" s="131">
        <f t="shared" si="769"/>
        <v>95928.720752159992</v>
      </c>
      <c r="AR563" s="131">
        <f>SUM(G563:R563)</f>
        <v>807988.42</v>
      </c>
      <c r="AS563" s="131">
        <f>SUM(T563:AE563)</f>
        <v>822532.21155999997</v>
      </c>
      <c r="AT563" s="131">
        <f>SUM(AF563:AQ563)</f>
        <v>836515.25915652001</v>
      </c>
      <c r="AU563" s="621"/>
      <c r="AV563" s="621"/>
      <c r="AW563" s="30"/>
    </row>
    <row r="564" spans="2:49">
      <c r="B564" s="250">
        <v>665</v>
      </c>
      <c r="C564" s="212"/>
      <c r="D564" s="102"/>
      <c r="E564" s="102"/>
      <c r="F564" s="102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6"/>
      <c r="W564" s="186"/>
      <c r="X564" s="186"/>
      <c r="Y564" s="186"/>
      <c r="Z564" s="186"/>
      <c r="AA564" s="186"/>
      <c r="AB564" s="186"/>
      <c r="AC564" s="186"/>
      <c r="AD564" s="186"/>
      <c r="AE564" s="186"/>
      <c r="AF564" s="186"/>
      <c r="AG564" s="186"/>
      <c r="AH564" s="186"/>
      <c r="AI564" s="186"/>
      <c r="AJ564" s="186"/>
      <c r="AK564" s="186"/>
      <c r="AL564" s="186"/>
      <c r="AM564" s="186"/>
      <c r="AN564" s="186"/>
      <c r="AO564" s="186"/>
      <c r="AP564" s="186"/>
      <c r="AQ564" s="186"/>
      <c r="AR564" s="186"/>
      <c r="AS564" s="186"/>
      <c r="AT564" s="186"/>
      <c r="AU564" s="171"/>
      <c r="AV564" s="171"/>
      <c r="AW564" s="30"/>
    </row>
    <row r="565" spans="2:49">
      <c r="B565" s="250">
        <v>666</v>
      </c>
      <c r="C565" s="212">
        <v>880</v>
      </c>
      <c r="D565" s="102" t="s">
        <v>384</v>
      </c>
      <c r="E565" s="102"/>
      <c r="F565" s="102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71"/>
      <c r="AV565" s="171"/>
      <c r="AW565" s="30"/>
    </row>
    <row r="566" spans="2:49">
      <c r="B566" s="250">
        <v>667</v>
      </c>
      <c r="C566" s="212"/>
      <c r="D566" s="102"/>
      <c r="E566" s="102" t="s">
        <v>14</v>
      </c>
      <c r="F566" s="102"/>
      <c r="G566" s="186">
        <v>251014.69</v>
      </c>
      <c r="H566" s="186">
        <v>81566.58</v>
      </c>
      <c r="I566" s="186">
        <v>442384.7</v>
      </c>
      <c r="J566" s="186">
        <v>195911.86</v>
      </c>
      <c r="K566" s="186">
        <v>248399.14</v>
      </c>
      <c r="L566" s="186">
        <v>154667.70000000001</v>
      </c>
      <c r="M566" s="186">
        <v>121963.56000000001</v>
      </c>
      <c r="N566" s="186">
        <v>155358.22999999998</v>
      </c>
      <c r="O566" s="186">
        <v>277467.27</v>
      </c>
      <c r="P566" s="186">
        <v>427359.45999999996</v>
      </c>
      <c r="Q566" s="186">
        <v>109026.5</v>
      </c>
      <c r="R566" s="186">
        <v>145381.4</v>
      </c>
      <c r="S566" s="186"/>
      <c r="T566" s="186">
        <f t="shared" ref="T566:W567" si="770">G566*(1+$AU566)</f>
        <v>256285.99848999997</v>
      </c>
      <c r="U566" s="186">
        <f t="shared" si="770"/>
        <v>83279.478179999991</v>
      </c>
      <c r="V566" s="186">
        <f t="shared" si="770"/>
        <v>451674.77869999997</v>
      </c>
      <c r="W566" s="186">
        <f t="shared" si="770"/>
        <v>200026.00905999998</v>
      </c>
      <c r="X566" s="186">
        <f t="shared" ref="X566:AE567" si="771">K566*(1+$AU566)</f>
        <v>253615.52193999998</v>
      </c>
      <c r="Y566" s="186">
        <f t="shared" si="771"/>
        <v>157915.72169999999</v>
      </c>
      <c r="Z566" s="186">
        <f t="shared" si="771"/>
        <v>124524.79476</v>
      </c>
      <c r="AA566" s="186">
        <f t="shared" si="771"/>
        <v>158620.75282999995</v>
      </c>
      <c r="AB566" s="186">
        <f t="shared" si="771"/>
        <v>283294.08266999997</v>
      </c>
      <c r="AC566" s="186">
        <f t="shared" si="771"/>
        <v>436334.00865999993</v>
      </c>
      <c r="AD566" s="186">
        <f t="shared" si="771"/>
        <v>111316.05649999999</v>
      </c>
      <c r="AE566" s="186">
        <f t="shared" si="771"/>
        <v>148434.40939999997</v>
      </c>
      <c r="AF566" s="186">
        <f t="shared" ref="AF566:AQ566" si="772">T566*(1+$AV$566)</f>
        <v>260899.14646281998</v>
      </c>
      <c r="AG566" s="186">
        <f t="shared" si="772"/>
        <v>84778.508787239989</v>
      </c>
      <c r="AH566" s="186">
        <f t="shared" si="772"/>
        <v>459804.92471659998</v>
      </c>
      <c r="AI566" s="186">
        <f t="shared" si="772"/>
        <v>203626.47722307997</v>
      </c>
      <c r="AJ566" s="186">
        <f t="shared" si="772"/>
        <v>258180.60133491998</v>
      </c>
      <c r="AK566" s="186">
        <f t="shared" si="772"/>
        <v>160758.20469059999</v>
      </c>
      <c r="AL566" s="186">
        <f t="shared" si="772"/>
        <v>126766.24106568001</v>
      </c>
      <c r="AM566" s="186">
        <f t="shared" si="772"/>
        <v>161475.92638093996</v>
      </c>
      <c r="AN566" s="186">
        <f t="shared" si="772"/>
        <v>288393.37615805998</v>
      </c>
      <c r="AO566" s="186">
        <f t="shared" si="772"/>
        <v>444188.02081587992</v>
      </c>
      <c r="AP566" s="186">
        <f t="shared" si="772"/>
        <v>113319.74551699999</v>
      </c>
      <c r="AQ566" s="186">
        <f t="shared" si="772"/>
        <v>151106.22876919998</v>
      </c>
      <c r="AR566" s="186">
        <f>SUM(G566:R566)</f>
        <v>2610501.09</v>
      </c>
      <c r="AS566" s="186">
        <f>SUM(T566:AE566)</f>
        <v>2665321.6128899995</v>
      </c>
      <c r="AT566" s="186">
        <f>SUM(AF566:AQ566)</f>
        <v>2713297.4019220201</v>
      </c>
      <c r="AU566" s="171">
        <v>2.1000000000000001E-2</v>
      </c>
      <c r="AV566" s="171">
        <v>1.8000000000000002E-2</v>
      </c>
      <c r="AW566" s="30"/>
    </row>
    <row r="567" spans="2:49">
      <c r="B567" s="250">
        <v>668</v>
      </c>
      <c r="C567" s="212"/>
      <c r="D567" s="102"/>
      <c r="E567" s="102" t="s">
        <v>24</v>
      </c>
      <c r="F567" s="102"/>
      <c r="G567" s="186">
        <v>27365.56</v>
      </c>
      <c r="H567" s="186">
        <v>11600.36</v>
      </c>
      <c r="I567" s="186">
        <v>29617.9</v>
      </c>
      <c r="J567" s="186">
        <v>23402.13</v>
      </c>
      <c r="K567" s="186">
        <v>22207.83</v>
      </c>
      <c r="L567" s="186">
        <v>23812.17</v>
      </c>
      <c r="M567" s="186">
        <v>12403.98</v>
      </c>
      <c r="N567" s="186">
        <v>13677.39</v>
      </c>
      <c r="O567" s="186">
        <v>17544.080000000002</v>
      </c>
      <c r="P567" s="186">
        <v>23013.53</v>
      </c>
      <c r="Q567" s="186">
        <v>10368.560000000001</v>
      </c>
      <c r="R567" s="186">
        <v>16085.22</v>
      </c>
      <c r="S567" s="617"/>
      <c r="T567" s="204">
        <f t="shared" si="770"/>
        <v>27940.23676</v>
      </c>
      <c r="U567" s="204">
        <f t="shared" si="770"/>
        <v>11843.967559999999</v>
      </c>
      <c r="V567" s="204">
        <f t="shared" si="770"/>
        <v>30239.875899999999</v>
      </c>
      <c r="W567" s="204">
        <f t="shared" si="770"/>
        <v>23893.57473</v>
      </c>
      <c r="X567" s="204">
        <f t="shared" si="771"/>
        <v>22674.19443</v>
      </c>
      <c r="Y567" s="204">
        <f t="shared" si="771"/>
        <v>24312.225569999995</v>
      </c>
      <c r="Z567" s="204">
        <f t="shared" si="771"/>
        <v>12664.463579999998</v>
      </c>
      <c r="AA567" s="204">
        <f t="shared" si="771"/>
        <v>13964.615189999999</v>
      </c>
      <c r="AB567" s="204">
        <f t="shared" si="771"/>
        <v>17912.505679999998</v>
      </c>
      <c r="AC567" s="204">
        <f t="shared" si="771"/>
        <v>23496.814129999995</v>
      </c>
      <c r="AD567" s="204">
        <f t="shared" si="771"/>
        <v>10586.29976</v>
      </c>
      <c r="AE567" s="204">
        <f t="shared" si="771"/>
        <v>16423.009619999997</v>
      </c>
      <c r="AF567" s="204">
        <f t="shared" ref="AF567:AQ567" si="773">T567*(1+$AV$567)</f>
        <v>28443.16102168</v>
      </c>
      <c r="AG567" s="204">
        <f t="shared" si="773"/>
        <v>12057.15897608</v>
      </c>
      <c r="AH567" s="204">
        <f t="shared" si="773"/>
        <v>30784.193666200001</v>
      </c>
      <c r="AI567" s="204">
        <f t="shared" si="773"/>
        <v>24323.65907514</v>
      </c>
      <c r="AJ567" s="204">
        <f t="shared" si="773"/>
        <v>23082.329929740001</v>
      </c>
      <c r="AK567" s="204">
        <f t="shared" si="773"/>
        <v>24749.845630259995</v>
      </c>
      <c r="AL567" s="204">
        <f t="shared" si="773"/>
        <v>12892.423924439998</v>
      </c>
      <c r="AM567" s="204">
        <f t="shared" si="773"/>
        <v>14215.978263419998</v>
      </c>
      <c r="AN567" s="204">
        <f t="shared" si="773"/>
        <v>18234.930782239997</v>
      </c>
      <c r="AO567" s="204">
        <f t="shared" si="773"/>
        <v>23919.756784339996</v>
      </c>
      <c r="AP567" s="204">
        <f t="shared" si="773"/>
        <v>10776.853155680001</v>
      </c>
      <c r="AQ567" s="204">
        <f t="shared" si="773"/>
        <v>16718.623793159997</v>
      </c>
      <c r="AR567" s="204">
        <f>SUM(G567:R567)</f>
        <v>231098.71000000002</v>
      </c>
      <c r="AS567" s="204">
        <f>SUM(T567:AE567)</f>
        <v>235951.78290999998</v>
      </c>
      <c r="AT567" s="204">
        <f>SUM(AF567:AQ567)</f>
        <v>240198.91500237997</v>
      </c>
      <c r="AU567" s="618">
        <f>AU566</f>
        <v>2.1000000000000001E-2</v>
      </c>
      <c r="AV567" s="618">
        <f>AV566</f>
        <v>1.8000000000000002E-2</v>
      </c>
      <c r="AW567" s="30"/>
    </row>
    <row r="568" spans="2:49">
      <c r="B568" s="250">
        <v>669</v>
      </c>
      <c r="C568" s="212"/>
      <c r="D568" s="102"/>
      <c r="E568" s="102" t="s">
        <v>170</v>
      </c>
      <c r="F568" s="102"/>
      <c r="G568" s="1216">
        <v>278380.25</v>
      </c>
      <c r="H568" s="1216">
        <v>93166.94</v>
      </c>
      <c r="I568" s="1216">
        <v>472002.60000000003</v>
      </c>
      <c r="J568" s="1216">
        <v>219313.99</v>
      </c>
      <c r="K568" s="1216">
        <v>270606.97000000003</v>
      </c>
      <c r="L568" s="1216">
        <v>178479.87</v>
      </c>
      <c r="M568" s="1216">
        <v>134367.54</v>
      </c>
      <c r="N568" s="1216">
        <v>169035.62</v>
      </c>
      <c r="O568" s="1216">
        <v>295011.35000000003</v>
      </c>
      <c r="P568" s="1216">
        <v>450372.99</v>
      </c>
      <c r="Q568" s="1216">
        <v>119395.06</v>
      </c>
      <c r="R568" s="1216">
        <v>161466.62</v>
      </c>
      <c r="S568" s="620"/>
      <c r="T568" s="131">
        <f t="shared" ref="T568:Y568" si="774">SUM(T566:T567)</f>
        <v>284226.23524999997</v>
      </c>
      <c r="U568" s="131">
        <f t="shared" si="774"/>
        <v>95123.445739999996</v>
      </c>
      <c r="V568" s="131">
        <f t="shared" si="774"/>
        <v>481914.65459999995</v>
      </c>
      <c r="W568" s="131">
        <f t="shared" si="774"/>
        <v>223919.58378999998</v>
      </c>
      <c r="X568" s="131">
        <f t="shared" si="774"/>
        <v>276289.71636999998</v>
      </c>
      <c r="Y568" s="131">
        <f t="shared" si="774"/>
        <v>182227.94727</v>
      </c>
      <c r="Z568" s="131">
        <f t="shared" ref="Z568:AE568" si="775">SUM(Z566:Z567)</f>
        <v>137189.25834</v>
      </c>
      <c r="AA568" s="131">
        <f t="shared" si="775"/>
        <v>172585.36801999997</v>
      </c>
      <c r="AB568" s="131">
        <f t="shared" si="775"/>
        <v>301206.58834999998</v>
      </c>
      <c r="AC568" s="131">
        <f t="shared" si="775"/>
        <v>459830.82278999995</v>
      </c>
      <c r="AD568" s="131">
        <f t="shared" si="775"/>
        <v>121902.35625999999</v>
      </c>
      <c r="AE568" s="131">
        <f t="shared" si="775"/>
        <v>164857.41901999997</v>
      </c>
      <c r="AF568" s="131">
        <f t="shared" ref="AF568:AQ568" si="776">SUM(AF566:AF567)</f>
        <v>289342.30748449999</v>
      </c>
      <c r="AG568" s="131">
        <f t="shared" si="776"/>
        <v>96835.667763319987</v>
      </c>
      <c r="AH568" s="131">
        <f t="shared" si="776"/>
        <v>490589.11838279996</v>
      </c>
      <c r="AI568" s="131">
        <f t="shared" si="776"/>
        <v>227950.13629821996</v>
      </c>
      <c r="AJ568" s="131">
        <f t="shared" si="776"/>
        <v>281262.93126465997</v>
      </c>
      <c r="AK568" s="131">
        <f t="shared" si="776"/>
        <v>185508.05032086</v>
      </c>
      <c r="AL568" s="131">
        <f t="shared" si="776"/>
        <v>139658.66499012001</v>
      </c>
      <c r="AM568" s="131">
        <f t="shared" si="776"/>
        <v>175691.90464435995</v>
      </c>
      <c r="AN568" s="131">
        <f t="shared" si="776"/>
        <v>306628.30694029998</v>
      </c>
      <c r="AO568" s="131">
        <f t="shared" si="776"/>
        <v>468107.77760021994</v>
      </c>
      <c r="AP568" s="131">
        <f t="shared" si="776"/>
        <v>124096.59867267999</v>
      </c>
      <c r="AQ568" s="131">
        <f t="shared" si="776"/>
        <v>167824.85256235997</v>
      </c>
      <c r="AR568" s="131">
        <f>SUM(G568:R568)</f>
        <v>2841599.8000000003</v>
      </c>
      <c r="AS568" s="131">
        <f>SUM(T568:AE568)</f>
        <v>2901273.3957999996</v>
      </c>
      <c r="AT568" s="131">
        <f>SUM(AF568:AQ568)</f>
        <v>2953496.3169243997</v>
      </c>
      <c r="AU568" s="621"/>
      <c r="AV568" s="621"/>
      <c r="AW568" s="30"/>
    </row>
    <row r="569" spans="2:49">
      <c r="B569" s="250">
        <v>670</v>
      </c>
      <c r="C569" s="212"/>
      <c r="D569" s="102"/>
      <c r="E569" s="102"/>
      <c r="F569" s="102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71"/>
      <c r="AV569" s="171"/>
      <c r="AW569" s="30"/>
    </row>
    <row r="570" spans="2:49">
      <c r="B570" s="250">
        <v>671</v>
      </c>
      <c r="C570" s="212">
        <v>881</v>
      </c>
      <c r="D570" s="102" t="s">
        <v>385</v>
      </c>
      <c r="E570" s="102"/>
      <c r="F570" s="102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71"/>
      <c r="AV570" s="171"/>
      <c r="AW570" s="30"/>
    </row>
    <row r="571" spans="2:49">
      <c r="B571" s="250">
        <v>672</v>
      </c>
      <c r="C571" s="212"/>
      <c r="D571" s="102"/>
      <c r="E571" s="102" t="s">
        <v>14</v>
      </c>
      <c r="F571" s="102"/>
      <c r="G571" s="186">
        <v>3553.83</v>
      </c>
      <c r="H571" s="186">
        <v>8868.35</v>
      </c>
      <c r="I571" s="186">
        <v>3613.41</v>
      </c>
      <c r="J571" s="186">
        <v>3507.7000000000003</v>
      </c>
      <c r="K571" s="186">
        <v>3907.5299999999997</v>
      </c>
      <c r="L571" s="186">
        <v>3733.54</v>
      </c>
      <c r="M571" s="186">
        <v>3275.5</v>
      </c>
      <c r="N571" s="186">
        <v>3399.8900000000003</v>
      </c>
      <c r="O571" s="186">
        <v>-547.81000000000006</v>
      </c>
      <c r="P571" s="186">
        <v>3012.82</v>
      </c>
      <c r="Q571" s="186">
        <v>3325.4100000000003</v>
      </c>
      <c r="R571" s="186">
        <v>3070.88</v>
      </c>
      <c r="S571" s="186"/>
      <c r="T571" s="186">
        <f t="shared" ref="T571:W572" si="777">G571*(1+$AU571)</f>
        <v>3624.9065999999998</v>
      </c>
      <c r="U571" s="186">
        <f t="shared" si="777"/>
        <v>9045.7170000000006</v>
      </c>
      <c r="V571" s="186">
        <f t="shared" si="777"/>
        <v>3685.6781999999998</v>
      </c>
      <c r="W571" s="186">
        <f t="shared" si="777"/>
        <v>3577.8540000000003</v>
      </c>
      <c r="X571" s="186">
        <f t="shared" ref="X571:AE572" si="778">K571*(1+$AU571)</f>
        <v>3985.6805999999997</v>
      </c>
      <c r="Y571" s="186">
        <f t="shared" si="778"/>
        <v>3808.2107999999998</v>
      </c>
      <c r="Z571" s="186">
        <f t="shared" si="778"/>
        <v>3341.01</v>
      </c>
      <c r="AA571" s="186">
        <f t="shared" si="778"/>
        <v>3467.8878000000004</v>
      </c>
      <c r="AB571" s="186">
        <f t="shared" si="778"/>
        <v>-558.76620000000003</v>
      </c>
      <c r="AC571" s="186">
        <f t="shared" si="778"/>
        <v>3073.0764000000004</v>
      </c>
      <c r="AD571" s="186">
        <f t="shared" si="778"/>
        <v>3391.9182000000005</v>
      </c>
      <c r="AE571" s="186">
        <f t="shared" si="778"/>
        <v>3132.2976000000003</v>
      </c>
      <c r="AF571" s="186">
        <f t="shared" ref="AF571:AQ571" si="779">T571*(1+$AV$571)</f>
        <v>3679.2801989999994</v>
      </c>
      <c r="AG571" s="186">
        <f t="shared" si="779"/>
        <v>9181.4027549999992</v>
      </c>
      <c r="AH571" s="186">
        <f t="shared" si="779"/>
        <v>3740.9633729999996</v>
      </c>
      <c r="AI571" s="186">
        <f t="shared" si="779"/>
        <v>3631.5218099999997</v>
      </c>
      <c r="AJ571" s="186">
        <f t="shared" si="779"/>
        <v>4045.4658089999994</v>
      </c>
      <c r="AK571" s="186">
        <f t="shared" si="779"/>
        <v>3865.3339619999992</v>
      </c>
      <c r="AL571" s="186">
        <f t="shared" si="779"/>
        <v>3391.1251499999998</v>
      </c>
      <c r="AM571" s="186">
        <f t="shared" si="779"/>
        <v>3519.906117</v>
      </c>
      <c r="AN571" s="186">
        <f t="shared" si="779"/>
        <v>-567.147693</v>
      </c>
      <c r="AO571" s="186">
        <f t="shared" si="779"/>
        <v>3119.1725460000002</v>
      </c>
      <c r="AP571" s="186">
        <f t="shared" si="779"/>
        <v>3442.796973</v>
      </c>
      <c r="AQ571" s="186">
        <f t="shared" si="779"/>
        <v>3179.282064</v>
      </c>
      <c r="AR571" s="186">
        <f>SUM(G571:R571)</f>
        <v>42721.05</v>
      </c>
      <c r="AS571" s="186">
        <f>SUM(T571:AE571)</f>
        <v>43575.471000000005</v>
      </c>
      <c r="AT571" s="186">
        <f>SUM(AF571:AQ571)</f>
        <v>44229.103064999996</v>
      </c>
      <c r="AU571" s="171">
        <v>0.02</v>
      </c>
      <c r="AV571" s="171">
        <v>1.4999999999999999E-2</v>
      </c>
      <c r="AW571" s="30"/>
    </row>
    <row r="572" spans="2:49">
      <c r="B572" s="250">
        <v>673</v>
      </c>
      <c r="C572" s="212"/>
      <c r="D572" s="102"/>
      <c r="E572" s="102" t="s">
        <v>24</v>
      </c>
      <c r="F572" s="102"/>
      <c r="G572" s="186">
        <v>114.07000000000001</v>
      </c>
      <c r="H572" s="186">
        <v>286.55</v>
      </c>
      <c r="I572" s="186">
        <v>121</v>
      </c>
      <c r="J572" s="186">
        <v>117.08</v>
      </c>
      <c r="K572" s="186">
        <v>129.59</v>
      </c>
      <c r="L572" s="186">
        <v>123.82000000000001</v>
      </c>
      <c r="M572" s="186">
        <v>108.28</v>
      </c>
      <c r="N572" s="186">
        <v>111.31</v>
      </c>
      <c r="O572" s="186">
        <v>-17.990000000000002</v>
      </c>
      <c r="P572" s="186">
        <v>98.960000000000008</v>
      </c>
      <c r="Q572" s="186">
        <v>109.93</v>
      </c>
      <c r="R572" s="186">
        <v>101.19</v>
      </c>
      <c r="S572" s="617"/>
      <c r="T572" s="204">
        <f t="shared" si="777"/>
        <v>116.35140000000001</v>
      </c>
      <c r="U572" s="204">
        <f t="shared" si="777"/>
        <v>292.28100000000001</v>
      </c>
      <c r="V572" s="204">
        <f t="shared" si="777"/>
        <v>123.42</v>
      </c>
      <c r="W572" s="204">
        <f t="shared" si="777"/>
        <v>119.4216</v>
      </c>
      <c r="X572" s="204">
        <f t="shared" si="778"/>
        <v>132.18180000000001</v>
      </c>
      <c r="Y572" s="204">
        <f t="shared" si="778"/>
        <v>126.29640000000001</v>
      </c>
      <c r="Z572" s="204">
        <f t="shared" si="778"/>
        <v>110.4456</v>
      </c>
      <c r="AA572" s="204">
        <f t="shared" si="778"/>
        <v>113.53620000000001</v>
      </c>
      <c r="AB572" s="204">
        <f t="shared" si="778"/>
        <v>-18.349800000000002</v>
      </c>
      <c r="AC572" s="204">
        <f t="shared" si="778"/>
        <v>100.93920000000001</v>
      </c>
      <c r="AD572" s="204">
        <f t="shared" si="778"/>
        <v>112.12860000000001</v>
      </c>
      <c r="AE572" s="204">
        <f t="shared" si="778"/>
        <v>103.21380000000001</v>
      </c>
      <c r="AF572" s="204">
        <f t="shared" ref="AF572:AQ572" si="780">T572*(1+$AV$572)</f>
        <v>118.096671</v>
      </c>
      <c r="AG572" s="204">
        <f t="shared" si="780"/>
        <v>296.66521499999999</v>
      </c>
      <c r="AH572" s="204">
        <f t="shared" si="780"/>
        <v>125.2713</v>
      </c>
      <c r="AI572" s="204">
        <f t="shared" si="780"/>
        <v>121.21292399999999</v>
      </c>
      <c r="AJ572" s="204">
        <f t="shared" si="780"/>
        <v>134.16452699999999</v>
      </c>
      <c r="AK572" s="204">
        <f t="shared" si="780"/>
        <v>128.19084599999999</v>
      </c>
      <c r="AL572" s="204">
        <f t="shared" si="780"/>
        <v>112.10228399999998</v>
      </c>
      <c r="AM572" s="204">
        <f t="shared" si="780"/>
        <v>115.239243</v>
      </c>
      <c r="AN572" s="204">
        <f t="shared" si="780"/>
        <v>-18.625046999999999</v>
      </c>
      <c r="AO572" s="204">
        <f t="shared" si="780"/>
        <v>102.453288</v>
      </c>
      <c r="AP572" s="204">
        <f t="shared" si="780"/>
        <v>113.81052899999999</v>
      </c>
      <c r="AQ572" s="204">
        <f t="shared" si="780"/>
        <v>104.762007</v>
      </c>
      <c r="AR572" s="204">
        <f>SUM(G572:R572)</f>
        <v>1403.7900000000002</v>
      </c>
      <c r="AS572" s="204">
        <f>SUM(T572:AE572)</f>
        <v>1431.8658</v>
      </c>
      <c r="AT572" s="204">
        <f>SUM(AF572:AQ572)</f>
        <v>1453.343787</v>
      </c>
      <c r="AU572" s="618">
        <f>AU571</f>
        <v>0.02</v>
      </c>
      <c r="AV572" s="618">
        <f>AV571</f>
        <v>1.4999999999999999E-2</v>
      </c>
      <c r="AW572" s="30"/>
    </row>
    <row r="573" spans="2:49">
      <c r="B573" s="250">
        <v>674</v>
      </c>
      <c r="C573" s="212"/>
      <c r="D573" s="102"/>
      <c r="E573" s="102" t="s">
        <v>170</v>
      </c>
      <c r="F573" s="102"/>
      <c r="G573" s="1216">
        <v>3667.9</v>
      </c>
      <c r="H573" s="1216">
        <v>9154.9</v>
      </c>
      <c r="I573" s="1216">
        <v>3734.41</v>
      </c>
      <c r="J573" s="1216">
        <v>3624.78</v>
      </c>
      <c r="K573" s="1216">
        <v>4037.12</v>
      </c>
      <c r="L573" s="1216">
        <v>3857.36</v>
      </c>
      <c r="M573" s="1216">
        <v>3383.78</v>
      </c>
      <c r="N573" s="1216">
        <v>3511.2000000000003</v>
      </c>
      <c r="O573" s="1216">
        <v>-565.80000000000007</v>
      </c>
      <c r="P573" s="1216">
        <v>3111.78</v>
      </c>
      <c r="Q573" s="1216">
        <v>3435.34</v>
      </c>
      <c r="R573" s="1216">
        <v>3172.07</v>
      </c>
      <c r="S573" s="620"/>
      <c r="T573" s="131">
        <f t="shared" ref="T573:Y573" si="781">SUM(T571:T572)</f>
        <v>3741.2579999999998</v>
      </c>
      <c r="U573" s="131">
        <f t="shared" si="781"/>
        <v>9337.9980000000014</v>
      </c>
      <c r="V573" s="131">
        <f t="shared" si="781"/>
        <v>3809.0981999999999</v>
      </c>
      <c r="W573" s="131">
        <f t="shared" si="781"/>
        <v>3697.2756000000004</v>
      </c>
      <c r="X573" s="131">
        <f t="shared" si="781"/>
        <v>4117.8624</v>
      </c>
      <c r="Y573" s="131">
        <f t="shared" si="781"/>
        <v>3934.5072</v>
      </c>
      <c r="Z573" s="131">
        <f t="shared" ref="Z573:AE573" si="782">SUM(Z571:Z572)</f>
        <v>3451.4556000000002</v>
      </c>
      <c r="AA573" s="131">
        <f t="shared" si="782"/>
        <v>3581.4240000000004</v>
      </c>
      <c r="AB573" s="131">
        <f t="shared" si="782"/>
        <v>-577.11599999999999</v>
      </c>
      <c r="AC573" s="131">
        <f t="shared" si="782"/>
        <v>3174.0156000000002</v>
      </c>
      <c r="AD573" s="131">
        <f t="shared" si="782"/>
        <v>3504.0468000000005</v>
      </c>
      <c r="AE573" s="131">
        <f t="shared" si="782"/>
        <v>3235.5114000000003</v>
      </c>
      <c r="AF573" s="131">
        <f t="shared" ref="AF573:AQ573" si="783">SUM(AF571:AF572)</f>
        <v>3797.3768699999991</v>
      </c>
      <c r="AG573" s="131">
        <f t="shared" si="783"/>
        <v>9478.0679700000001</v>
      </c>
      <c r="AH573" s="131">
        <f t="shared" si="783"/>
        <v>3866.2346729999995</v>
      </c>
      <c r="AI573" s="131">
        <f t="shared" si="783"/>
        <v>3752.7347339999997</v>
      </c>
      <c r="AJ573" s="131">
        <f t="shared" si="783"/>
        <v>4179.6303359999993</v>
      </c>
      <c r="AK573" s="131">
        <f t="shared" si="783"/>
        <v>3993.5248079999992</v>
      </c>
      <c r="AL573" s="131">
        <f t="shared" si="783"/>
        <v>3503.2274339999999</v>
      </c>
      <c r="AM573" s="131">
        <f t="shared" si="783"/>
        <v>3635.14536</v>
      </c>
      <c r="AN573" s="131">
        <f t="shared" si="783"/>
        <v>-585.77274</v>
      </c>
      <c r="AO573" s="131">
        <f t="shared" si="783"/>
        <v>3221.6258340000004</v>
      </c>
      <c r="AP573" s="131">
        <f t="shared" si="783"/>
        <v>3556.6075019999998</v>
      </c>
      <c r="AQ573" s="131">
        <f t="shared" si="783"/>
        <v>3284.0440709999998</v>
      </c>
      <c r="AR573" s="131">
        <f>SUM(G573:R573)</f>
        <v>44124.839999999989</v>
      </c>
      <c r="AS573" s="131">
        <f>SUM(T573:AE573)</f>
        <v>45007.336800000005</v>
      </c>
      <c r="AT573" s="131">
        <f>SUM(AF573:AQ573)</f>
        <v>45682.446851999994</v>
      </c>
      <c r="AU573" s="621"/>
      <c r="AV573" s="621"/>
      <c r="AW573" s="30"/>
    </row>
    <row r="574" spans="2:49">
      <c r="B574" s="250">
        <v>675</v>
      </c>
      <c r="C574" s="212"/>
      <c r="D574" s="102"/>
      <c r="E574" s="102"/>
      <c r="F574" s="102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71"/>
      <c r="AV574" s="171"/>
      <c r="AW574" s="30"/>
    </row>
    <row r="575" spans="2:49">
      <c r="B575" s="250">
        <v>676</v>
      </c>
      <c r="C575" s="212">
        <v>885</v>
      </c>
      <c r="D575" s="102" t="s">
        <v>386</v>
      </c>
      <c r="E575" s="102"/>
      <c r="F575" s="102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71"/>
      <c r="AV575" s="171"/>
      <c r="AW575" s="30"/>
    </row>
    <row r="576" spans="2:49">
      <c r="B576" s="250">
        <v>677</v>
      </c>
      <c r="C576" s="212"/>
      <c r="D576" s="102"/>
      <c r="E576" s="102" t="s">
        <v>14</v>
      </c>
      <c r="F576" s="102"/>
      <c r="G576" s="186">
        <v>45283.619999999995</v>
      </c>
      <c r="H576" s="186">
        <v>77746.06</v>
      </c>
      <c r="I576" s="186">
        <v>29485.100000000002</v>
      </c>
      <c r="J576" s="186">
        <v>49130.710000000006</v>
      </c>
      <c r="K576" s="186">
        <v>42078.009999999995</v>
      </c>
      <c r="L576" s="186">
        <v>40285.67</v>
      </c>
      <c r="M576" s="186">
        <v>37656.51</v>
      </c>
      <c r="N576" s="186">
        <v>40846.800000000003</v>
      </c>
      <c r="O576" s="186">
        <v>38173.43</v>
      </c>
      <c r="P576" s="186">
        <v>46597.7</v>
      </c>
      <c r="Q576" s="186">
        <v>53213.86</v>
      </c>
      <c r="R576" s="186">
        <v>41586.46</v>
      </c>
      <c r="S576" s="186"/>
      <c r="T576" s="186">
        <f t="shared" ref="T576:W577" si="784">G576*(1+$AU576)</f>
        <v>46234.576019999993</v>
      </c>
      <c r="U576" s="186">
        <f t="shared" si="784"/>
        <v>79378.727259999985</v>
      </c>
      <c r="V576" s="186">
        <f t="shared" si="784"/>
        <v>30104.287099999998</v>
      </c>
      <c r="W576" s="186">
        <f t="shared" si="784"/>
        <v>50162.45491</v>
      </c>
      <c r="X576" s="186">
        <f t="shared" ref="X576:AE577" si="785">K576*(1+$AU576)</f>
        <v>42961.648209999992</v>
      </c>
      <c r="Y576" s="186">
        <f t="shared" si="785"/>
        <v>41131.669069999996</v>
      </c>
      <c r="Z576" s="186">
        <f t="shared" si="785"/>
        <v>38447.296709999995</v>
      </c>
      <c r="AA576" s="186">
        <f t="shared" si="785"/>
        <v>41704.582799999996</v>
      </c>
      <c r="AB576" s="186">
        <f t="shared" si="785"/>
        <v>38975.072029999996</v>
      </c>
      <c r="AC576" s="186">
        <f t="shared" si="785"/>
        <v>47576.251699999993</v>
      </c>
      <c r="AD576" s="186">
        <f t="shared" si="785"/>
        <v>54331.351059999994</v>
      </c>
      <c r="AE576" s="186">
        <f t="shared" si="785"/>
        <v>42459.775659999992</v>
      </c>
      <c r="AF576" s="186">
        <f t="shared" ref="AF576:AQ576" si="786">T576*(1+$AV$576)</f>
        <v>47205.502116419986</v>
      </c>
      <c r="AG576" s="186">
        <f t="shared" si="786"/>
        <v>81045.680532459985</v>
      </c>
      <c r="AH576" s="186">
        <f t="shared" si="786"/>
        <v>30736.477129099996</v>
      </c>
      <c r="AI576" s="186">
        <f t="shared" si="786"/>
        <v>51215.866463109996</v>
      </c>
      <c r="AJ576" s="186">
        <f t="shared" si="786"/>
        <v>43863.842822409984</v>
      </c>
      <c r="AK576" s="186">
        <f t="shared" si="786"/>
        <v>41995.434120469996</v>
      </c>
      <c r="AL576" s="186">
        <f t="shared" si="786"/>
        <v>39254.689940909993</v>
      </c>
      <c r="AM576" s="186">
        <f t="shared" si="786"/>
        <v>42580.379038799991</v>
      </c>
      <c r="AN576" s="186">
        <f t="shared" si="786"/>
        <v>39793.548542629993</v>
      </c>
      <c r="AO576" s="186">
        <f t="shared" si="786"/>
        <v>48575.352985699988</v>
      </c>
      <c r="AP576" s="186">
        <f t="shared" si="786"/>
        <v>55472.309432259986</v>
      </c>
      <c r="AQ576" s="186">
        <f t="shared" si="786"/>
        <v>43351.43094885999</v>
      </c>
      <c r="AR576" s="186">
        <f>SUM(G576:R576)</f>
        <v>542083.92999999993</v>
      </c>
      <c r="AS576" s="186">
        <f>SUM(T576:AE576)</f>
        <v>553467.69252999988</v>
      </c>
      <c r="AT576" s="186">
        <f>SUM(AF576:AQ576)</f>
        <v>565090.51407312986</v>
      </c>
      <c r="AU576" s="171">
        <v>2.1000000000000001E-2</v>
      </c>
      <c r="AV576" s="171">
        <v>2.1000000000000001E-2</v>
      </c>
      <c r="AW576" s="30"/>
    </row>
    <row r="577" spans="2:49">
      <c r="B577" s="250">
        <v>678</v>
      </c>
      <c r="C577" s="212"/>
      <c r="D577" s="102"/>
      <c r="E577" s="102" t="s">
        <v>24</v>
      </c>
      <c r="F577" s="102"/>
      <c r="G577" s="186">
        <v>1327.91</v>
      </c>
      <c r="H577" s="186">
        <v>2355</v>
      </c>
      <c r="I577" s="186">
        <v>887.64</v>
      </c>
      <c r="J577" s="186">
        <v>1515.49</v>
      </c>
      <c r="K577" s="186">
        <v>1291.1600000000001</v>
      </c>
      <c r="L577" s="186">
        <v>1189.04</v>
      </c>
      <c r="M577" s="186">
        <v>1131.1300000000001</v>
      </c>
      <c r="N577" s="186">
        <v>1224.6100000000001</v>
      </c>
      <c r="O577" s="186">
        <v>1149.1500000000001</v>
      </c>
      <c r="P577" s="186">
        <v>1384.79</v>
      </c>
      <c r="Q577" s="186">
        <v>1644.94</v>
      </c>
      <c r="R577" s="186">
        <v>1244.6200000000001</v>
      </c>
      <c r="S577" s="617"/>
      <c r="T577" s="204">
        <f t="shared" si="784"/>
        <v>1355.79611</v>
      </c>
      <c r="U577" s="204">
        <f t="shared" si="784"/>
        <v>2404.4549999999999</v>
      </c>
      <c r="V577" s="204">
        <f t="shared" si="784"/>
        <v>906.28043999999989</v>
      </c>
      <c r="W577" s="204">
        <f t="shared" si="784"/>
        <v>1547.3152899999998</v>
      </c>
      <c r="X577" s="204">
        <f t="shared" si="785"/>
        <v>1318.2743599999999</v>
      </c>
      <c r="Y577" s="204">
        <f t="shared" si="785"/>
        <v>1214.0098399999999</v>
      </c>
      <c r="Z577" s="204">
        <f t="shared" si="785"/>
        <v>1154.88373</v>
      </c>
      <c r="AA577" s="204">
        <f t="shared" si="785"/>
        <v>1250.32681</v>
      </c>
      <c r="AB577" s="204">
        <f t="shared" si="785"/>
        <v>1173.28215</v>
      </c>
      <c r="AC577" s="204">
        <f t="shared" si="785"/>
        <v>1413.8705899999998</v>
      </c>
      <c r="AD577" s="204">
        <f t="shared" si="785"/>
        <v>1679.4837399999999</v>
      </c>
      <c r="AE577" s="204">
        <f t="shared" si="785"/>
        <v>1270.75702</v>
      </c>
      <c r="AF577" s="204">
        <f t="shared" ref="AF577:AQ577" si="787">T577*(1+$AV$577)</f>
        <v>1384.2678283099999</v>
      </c>
      <c r="AG577" s="204">
        <f t="shared" si="787"/>
        <v>2454.9485549999995</v>
      </c>
      <c r="AH577" s="204">
        <f t="shared" si="787"/>
        <v>925.31232923999983</v>
      </c>
      <c r="AI577" s="204">
        <f t="shared" si="787"/>
        <v>1579.8089110899996</v>
      </c>
      <c r="AJ577" s="204">
        <f t="shared" si="787"/>
        <v>1345.9581215599997</v>
      </c>
      <c r="AK577" s="204">
        <f t="shared" si="787"/>
        <v>1239.5040466399998</v>
      </c>
      <c r="AL577" s="204">
        <f t="shared" si="787"/>
        <v>1179.1362883299998</v>
      </c>
      <c r="AM577" s="204">
        <f t="shared" si="787"/>
        <v>1276.58367301</v>
      </c>
      <c r="AN577" s="204">
        <f t="shared" si="787"/>
        <v>1197.92107515</v>
      </c>
      <c r="AO577" s="204">
        <f t="shared" si="787"/>
        <v>1443.5618723899997</v>
      </c>
      <c r="AP577" s="204">
        <f t="shared" si="787"/>
        <v>1714.7528985399997</v>
      </c>
      <c r="AQ577" s="204">
        <f t="shared" si="787"/>
        <v>1297.44291742</v>
      </c>
      <c r="AR577" s="204">
        <f>SUM(G577:R577)</f>
        <v>16345.48</v>
      </c>
      <c r="AS577" s="204">
        <f>SUM(T577:AE577)</f>
        <v>16688.735079999999</v>
      </c>
      <c r="AT577" s="204">
        <f>SUM(AF577:AQ577)</f>
        <v>17039.198516679997</v>
      </c>
      <c r="AU577" s="618">
        <f>AU576</f>
        <v>2.1000000000000001E-2</v>
      </c>
      <c r="AV577" s="618">
        <f>AV576</f>
        <v>2.1000000000000001E-2</v>
      </c>
      <c r="AW577" s="30"/>
    </row>
    <row r="578" spans="2:49">
      <c r="B578" s="250">
        <v>679</v>
      </c>
      <c r="C578" s="212"/>
      <c r="D578" s="102"/>
      <c r="E578" s="102" t="s">
        <v>170</v>
      </c>
      <c r="F578" s="102"/>
      <c r="G578" s="1216">
        <v>46611.53</v>
      </c>
      <c r="H578" s="1216">
        <v>80101.06</v>
      </c>
      <c r="I578" s="1216">
        <v>30372.74</v>
      </c>
      <c r="J578" s="1216">
        <v>50646.200000000004</v>
      </c>
      <c r="K578" s="1216">
        <v>43369.17</v>
      </c>
      <c r="L578" s="1216">
        <v>41474.71</v>
      </c>
      <c r="M578" s="1216">
        <v>38787.64</v>
      </c>
      <c r="N578" s="1216">
        <v>42071.41</v>
      </c>
      <c r="O578" s="1216">
        <v>39322.58</v>
      </c>
      <c r="P578" s="1216">
        <v>47982.49</v>
      </c>
      <c r="Q578" s="1216">
        <v>54858.8</v>
      </c>
      <c r="R578" s="1216">
        <v>42831.08</v>
      </c>
      <c r="S578" s="620"/>
      <c r="T578" s="131">
        <f t="shared" ref="T578:Y578" si="788">SUM(T576:T577)</f>
        <v>47590.372129999996</v>
      </c>
      <c r="U578" s="131">
        <f t="shared" si="788"/>
        <v>81783.182259999987</v>
      </c>
      <c r="V578" s="131">
        <f t="shared" si="788"/>
        <v>31010.567539999996</v>
      </c>
      <c r="W578" s="131">
        <f t="shared" si="788"/>
        <v>51709.770199999999</v>
      </c>
      <c r="X578" s="131">
        <f t="shared" si="788"/>
        <v>44279.922569999995</v>
      </c>
      <c r="Y578" s="131">
        <f t="shared" si="788"/>
        <v>42345.678909999995</v>
      </c>
      <c r="Z578" s="131">
        <f t="shared" ref="Z578:AE578" si="789">SUM(Z576:Z577)</f>
        <v>39602.180439999996</v>
      </c>
      <c r="AA578" s="131">
        <f t="shared" si="789"/>
        <v>42954.909609999995</v>
      </c>
      <c r="AB578" s="131">
        <f t="shared" si="789"/>
        <v>40148.354179999995</v>
      </c>
      <c r="AC578" s="131">
        <f t="shared" si="789"/>
        <v>48990.122289999992</v>
      </c>
      <c r="AD578" s="131">
        <f t="shared" si="789"/>
        <v>56010.834799999997</v>
      </c>
      <c r="AE578" s="131">
        <f t="shared" si="789"/>
        <v>43730.532679999989</v>
      </c>
      <c r="AF578" s="131">
        <f t="shared" ref="AF578:AQ578" si="790">SUM(AF576:AF577)</f>
        <v>48589.769944729989</v>
      </c>
      <c r="AG578" s="131">
        <f t="shared" si="790"/>
        <v>83500.62908745998</v>
      </c>
      <c r="AH578" s="131">
        <f t="shared" si="790"/>
        <v>31661.789458339998</v>
      </c>
      <c r="AI578" s="131">
        <f t="shared" si="790"/>
        <v>52795.675374199993</v>
      </c>
      <c r="AJ578" s="131">
        <f t="shared" si="790"/>
        <v>45209.800943969982</v>
      </c>
      <c r="AK578" s="131">
        <f t="shared" si="790"/>
        <v>43234.938167109998</v>
      </c>
      <c r="AL578" s="131">
        <f t="shared" si="790"/>
        <v>40433.826229239996</v>
      </c>
      <c r="AM578" s="131">
        <f t="shared" si="790"/>
        <v>43856.962711809989</v>
      </c>
      <c r="AN578" s="131">
        <f t="shared" si="790"/>
        <v>40991.469617779992</v>
      </c>
      <c r="AO578" s="131">
        <f t="shared" si="790"/>
        <v>50018.914858089986</v>
      </c>
      <c r="AP578" s="131">
        <f t="shared" si="790"/>
        <v>57187.062330799985</v>
      </c>
      <c r="AQ578" s="131">
        <f t="shared" si="790"/>
        <v>44648.873866279988</v>
      </c>
      <c r="AR578" s="131">
        <f>SUM(G578:R578)</f>
        <v>558429.41</v>
      </c>
      <c r="AS578" s="131">
        <f>SUM(T578:AE578)</f>
        <v>570156.42760999978</v>
      </c>
      <c r="AT578" s="131">
        <f>SUM(AF578:AQ578)</f>
        <v>582129.71258980979</v>
      </c>
      <c r="AU578" s="621"/>
      <c r="AV578" s="621"/>
      <c r="AW578" s="30"/>
    </row>
    <row r="579" spans="2:49">
      <c r="B579" s="250">
        <v>680</v>
      </c>
      <c r="C579" s="212"/>
      <c r="D579" s="102"/>
      <c r="E579" s="102"/>
      <c r="F579" s="102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71"/>
      <c r="AV579" s="171"/>
      <c r="AW579" s="30"/>
    </row>
    <row r="580" spans="2:49">
      <c r="B580" s="250">
        <v>681</v>
      </c>
      <c r="C580" s="212">
        <v>886</v>
      </c>
      <c r="D580" s="102" t="s">
        <v>387</v>
      </c>
      <c r="E580" s="102"/>
      <c r="F580" s="102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71"/>
      <c r="AV580" s="171"/>
      <c r="AW580" s="30"/>
    </row>
    <row r="581" spans="2:49">
      <c r="B581" s="250">
        <v>682</v>
      </c>
      <c r="C581" s="212"/>
      <c r="D581" s="102"/>
      <c r="E581" s="102" t="s">
        <v>14</v>
      </c>
      <c r="F581" s="102"/>
      <c r="G581" s="186">
        <v>6724.75</v>
      </c>
      <c r="H581" s="186">
        <v>7103.33</v>
      </c>
      <c r="I581" s="186">
        <v>6825.66</v>
      </c>
      <c r="J581" s="186">
        <v>7075.21</v>
      </c>
      <c r="K581" s="186">
        <v>6941.82</v>
      </c>
      <c r="L581" s="186">
        <v>6732.58</v>
      </c>
      <c r="M581" s="186">
        <v>6739.88</v>
      </c>
      <c r="N581" s="186">
        <v>7074.5599999999995</v>
      </c>
      <c r="O581" s="186">
        <v>7663.42</v>
      </c>
      <c r="P581" s="186">
        <v>7232.9100000000008</v>
      </c>
      <c r="Q581" s="186">
        <v>7559.0099999999993</v>
      </c>
      <c r="R581" s="186">
        <v>10880.62</v>
      </c>
      <c r="S581" s="186"/>
      <c r="T581" s="186">
        <f t="shared" ref="T581:W582" si="791">G581*(1+$AU581)</f>
        <v>7054.2627499999999</v>
      </c>
      <c r="U581" s="186">
        <f t="shared" si="791"/>
        <v>7451.3931699999994</v>
      </c>
      <c r="V581" s="186">
        <f t="shared" si="791"/>
        <v>7160.1173399999998</v>
      </c>
      <c r="W581" s="186">
        <f t="shared" si="791"/>
        <v>7421.8952899999995</v>
      </c>
      <c r="X581" s="186">
        <f t="shared" ref="X581:AE582" si="792">K581*(1+$AU581)</f>
        <v>7281.9691799999991</v>
      </c>
      <c r="Y581" s="186">
        <f t="shared" si="792"/>
        <v>7062.4764199999991</v>
      </c>
      <c r="Z581" s="186">
        <f t="shared" si="792"/>
        <v>7070.1341199999997</v>
      </c>
      <c r="AA581" s="186">
        <f t="shared" si="792"/>
        <v>7421.2134399999986</v>
      </c>
      <c r="AB581" s="186">
        <f t="shared" si="792"/>
        <v>8038.9275799999996</v>
      </c>
      <c r="AC581" s="186">
        <f t="shared" si="792"/>
        <v>7587.3225900000007</v>
      </c>
      <c r="AD581" s="186">
        <f t="shared" si="792"/>
        <v>7929.4014899999984</v>
      </c>
      <c r="AE581" s="186">
        <f t="shared" si="792"/>
        <v>11413.77038</v>
      </c>
      <c r="AF581" s="186">
        <f t="shared" ref="AF581:AQ581" si="793">T581*(1+$AV$581)</f>
        <v>7237.6735815000002</v>
      </c>
      <c r="AG581" s="186">
        <f t="shared" si="793"/>
        <v>7645.1293924199999</v>
      </c>
      <c r="AH581" s="186">
        <f t="shared" si="793"/>
        <v>7346.2803908400001</v>
      </c>
      <c r="AI581" s="186">
        <f t="shared" si="793"/>
        <v>7614.8645675399994</v>
      </c>
      <c r="AJ581" s="186">
        <f t="shared" si="793"/>
        <v>7471.3003786799991</v>
      </c>
      <c r="AK581" s="186">
        <f t="shared" si="793"/>
        <v>7246.1008069199988</v>
      </c>
      <c r="AL581" s="186">
        <f t="shared" si="793"/>
        <v>7253.9576071199999</v>
      </c>
      <c r="AM581" s="186">
        <f t="shared" si="793"/>
        <v>7614.1649894399989</v>
      </c>
      <c r="AN581" s="186">
        <f t="shared" si="793"/>
        <v>8247.939697079999</v>
      </c>
      <c r="AO581" s="186">
        <f t="shared" si="793"/>
        <v>7784.5929773400012</v>
      </c>
      <c r="AP581" s="186">
        <f t="shared" si="793"/>
        <v>8135.5659287399985</v>
      </c>
      <c r="AQ581" s="186">
        <f t="shared" si="793"/>
        <v>11710.52840988</v>
      </c>
      <c r="AR581" s="186">
        <f>SUM(G581:R581)</f>
        <v>88553.749999999985</v>
      </c>
      <c r="AS581" s="186">
        <f>SUM(T581:AE581)</f>
        <v>92892.883749999994</v>
      </c>
      <c r="AT581" s="186">
        <f>SUM(AF581:AQ581)</f>
        <v>95308.098727499993</v>
      </c>
      <c r="AU581" s="171">
        <v>4.9000000000000002E-2</v>
      </c>
      <c r="AV581" s="171">
        <v>2.6000000000000002E-2</v>
      </c>
      <c r="AW581" s="30"/>
    </row>
    <row r="582" spans="2:49">
      <c r="B582" s="250">
        <v>683</v>
      </c>
      <c r="C582" s="212"/>
      <c r="D582" s="102"/>
      <c r="E582" s="102" t="s">
        <v>24</v>
      </c>
      <c r="F582" s="102"/>
      <c r="G582" s="186">
        <v>205.09</v>
      </c>
      <c r="H582" s="186">
        <v>211.39000000000001</v>
      </c>
      <c r="I582" s="186">
        <v>218.73000000000002</v>
      </c>
      <c r="J582" s="186">
        <v>211.37</v>
      </c>
      <c r="K582" s="186">
        <v>216.77</v>
      </c>
      <c r="L582" s="186">
        <v>216.18</v>
      </c>
      <c r="M582" s="186">
        <v>216.36</v>
      </c>
      <c r="N582" s="186">
        <v>216.76</v>
      </c>
      <c r="O582" s="186">
        <v>222.18</v>
      </c>
      <c r="P582" s="186">
        <v>223.78</v>
      </c>
      <c r="Q582" s="186">
        <v>233.77</v>
      </c>
      <c r="R582" s="186">
        <v>330.14</v>
      </c>
      <c r="S582" s="617"/>
      <c r="T582" s="204">
        <f t="shared" si="791"/>
        <v>215.13941</v>
      </c>
      <c r="U582" s="204">
        <f t="shared" si="791"/>
        <v>221.74811</v>
      </c>
      <c r="V582" s="204">
        <f t="shared" si="791"/>
        <v>229.44776999999999</v>
      </c>
      <c r="W582" s="204">
        <f t="shared" si="791"/>
        <v>221.72712999999999</v>
      </c>
      <c r="X582" s="204">
        <f t="shared" si="792"/>
        <v>227.39173</v>
      </c>
      <c r="Y582" s="204">
        <f t="shared" si="792"/>
        <v>226.77282</v>
      </c>
      <c r="Z582" s="204">
        <f t="shared" si="792"/>
        <v>226.96163999999999</v>
      </c>
      <c r="AA582" s="204">
        <f t="shared" si="792"/>
        <v>227.38123999999996</v>
      </c>
      <c r="AB582" s="204">
        <f t="shared" si="792"/>
        <v>233.06681999999998</v>
      </c>
      <c r="AC582" s="204">
        <f t="shared" si="792"/>
        <v>234.74521999999999</v>
      </c>
      <c r="AD582" s="204">
        <f t="shared" si="792"/>
        <v>245.22472999999999</v>
      </c>
      <c r="AE582" s="204">
        <f t="shared" si="792"/>
        <v>346.31685999999996</v>
      </c>
      <c r="AF582" s="204">
        <f t="shared" ref="AF582:AQ582" si="794">T582*(1+$AV$582)</f>
        <v>220.73303466000002</v>
      </c>
      <c r="AG582" s="204">
        <f t="shared" si="794"/>
        <v>227.51356086000001</v>
      </c>
      <c r="AH582" s="204">
        <f t="shared" si="794"/>
        <v>235.41341202000001</v>
      </c>
      <c r="AI582" s="204">
        <f t="shared" si="794"/>
        <v>227.49203538</v>
      </c>
      <c r="AJ582" s="204">
        <f t="shared" si="794"/>
        <v>233.30391498</v>
      </c>
      <c r="AK582" s="204">
        <f t="shared" si="794"/>
        <v>232.66891332</v>
      </c>
      <c r="AL582" s="204">
        <f t="shared" si="794"/>
        <v>232.86264263999999</v>
      </c>
      <c r="AM582" s="204">
        <f t="shared" si="794"/>
        <v>233.29315223999996</v>
      </c>
      <c r="AN582" s="204">
        <f t="shared" si="794"/>
        <v>239.12655731999999</v>
      </c>
      <c r="AO582" s="204">
        <f t="shared" si="794"/>
        <v>240.84859571999999</v>
      </c>
      <c r="AP582" s="204">
        <f t="shared" si="794"/>
        <v>251.60057298000001</v>
      </c>
      <c r="AQ582" s="204">
        <f t="shared" si="794"/>
        <v>355.32109835999995</v>
      </c>
      <c r="AR582" s="204">
        <f>SUM(G582:R582)</f>
        <v>2722.5200000000004</v>
      </c>
      <c r="AS582" s="204">
        <f>SUM(T582:AE582)</f>
        <v>2855.9234799999995</v>
      </c>
      <c r="AT582" s="204">
        <f>SUM(AF582:AQ582)</f>
        <v>2930.1774904799995</v>
      </c>
      <c r="AU582" s="618">
        <f>AU581</f>
        <v>4.9000000000000002E-2</v>
      </c>
      <c r="AV582" s="618">
        <f>AV581</f>
        <v>2.6000000000000002E-2</v>
      </c>
      <c r="AW582" s="30"/>
    </row>
    <row r="583" spans="2:49">
      <c r="B583" s="250">
        <v>684</v>
      </c>
      <c r="C583" s="212"/>
      <c r="D583" s="102"/>
      <c r="E583" s="102" t="s">
        <v>170</v>
      </c>
      <c r="F583" s="102"/>
      <c r="G583" s="1216">
        <v>6929.84</v>
      </c>
      <c r="H583" s="1216">
        <v>7314.72</v>
      </c>
      <c r="I583" s="1216">
        <v>7044.39</v>
      </c>
      <c r="J583" s="1216">
        <v>7286.58</v>
      </c>
      <c r="K583" s="1216">
        <v>7158.59</v>
      </c>
      <c r="L583" s="1216">
        <v>6948.76</v>
      </c>
      <c r="M583" s="1216">
        <v>6956.24</v>
      </c>
      <c r="N583" s="1216">
        <v>7291.32</v>
      </c>
      <c r="O583" s="1216">
        <v>7885.6</v>
      </c>
      <c r="P583" s="1216">
        <v>7456.6900000000005</v>
      </c>
      <c r="Q583" s="1216">
        <v>7792.78</v>
      </c>
      <c r="R583" s="1216">
        <v>11210.76</v>
      </c>
      <c r="S583" s="620"/>
      <c r="T583" s="131">
        <f t="shared" ref="T583:Y583" si="795">SUM(T581:T582)</f>
        <v>7269.4021599999996</v>
      </c>
      <c r="U583" s="131">
        <f t="shared" si="795"/>
        <v>7673.1412799999998</v>
      </c>
      <c r="V583" s="131">
        <f t="shared" si="795"/>
        <v>7389.5651099999995</v>
      </c>
      <c r="W583" s="131">
        <f t="shared" si="795"/>
        <v>7643.6224199999997</v>
      </c>
      <c r="X583" s="131">
        <f t="shared" si="795"/>
        <v>7509.3609099999994</v>
      </c>
      <c r="Y583" s="131">
        <f t="shared" si="795"/>
        <v>7289.2492399999992</v>
      </c>
      <c r="Z583" s="131">
        <f t="shared" ref="Z583:AE583" si="796">SUM(Z581:Z582)</f>
        <v>7297.0957600000002</v>
      </c>
      <c r="AA583" s="131">
        <f t="shared" si="796"/>
        <v>7648.5946799999983</v>
      </c>
      <c r="AB583" s="131">
        <f t="shared" si="796"/>
        <v>8271.9943999999996</v>
      </c>
      <c r="AC583" s="131">
        <f t="shared" si="796"/>
        <v>7822.0678100000005</v>
      </c>
      <c r="AD583" s="131">
        <f t="shared" si="796"/>
        <v>8174.6262199999983</v>
      </c>
      <c r="AE583" s="131">
        <f t="shared" si="796"/>
        <v>11760.087240000001</v>
      </c>
      <c r="AF583" s="131">
        <f t="shared" ref="AF583:AQ583" si="797">SUM(AF581:AF582)</f>
        <v>7458.4066161600003</v>
      </c>
      <c r="AG583" s="131">
        <f t="shared" si="797"/>
        <v>7872.6429532800003</v>
      </c>
      <c r="AH583" s="131">
        <f t="shared" si="797"/>
        <v>7581.6938028599998</v>
      </c>
      <c r="AI583" s="131">
        <f t="shared" si="797"/>
        <v>7842.3566029199992</v>
      </c>
      <c r="AJ583" s="131">
        <f t="shared" si="797"/>
        <v>7704.6042936599988</v>
      </c>
      <c r="AK583" s="131">
        <f t="shared" si="797"/>
        <v>7478.7697202399986</v>
      </c>
      <c r="AL583" s="131">
        <f t="shared" si="797"/>
        <v>7486.8202497599996</v>
      </c>
      <c r="AM583" s="131">
        <f t="shared" si="797"/>
        <v>7847.4581416799992</v>
      </c>
      <c r="AN583" s="131">
        <f t="shared" si="797"/>
        <v>8487.0662543999988</v>
      </c>
      <c r="AO583" s="131">
        <f t="shared" si="797"/>
        <v>8025.4415730600012</v>
      </c>
      <c r="AP583" s="131">
        <f t="shared" si="797"/>
        <v>8387.1665017199994</v>
      </c>
      <c r="AQ583" s="131">
        <f t="shared" si="797"/>
        <v>12065.84950824</v>
      </c>
      <c r="AR583" s="131">
        <f>SUM(G583:R583)</f>
        <v>91276.26999999999</v>
      </c>
      <c r="AS583" s="131">
        <f>SUM(T583:AE583)</f>
        <v>95748.807229999977</v>
      </c>
      <c r="AT583" s="131">
        <f>SUM(AF583:AQ583)</f>
        <v>98238.276217980005</v>
      </c>
      <c r="AU583" s="621"/>
      <c r="AV583" s="621"/>
      <c r="AW583" s="30"/>
    </row>
    <row r="584" spans="2:49">
      <c r="B584" s="250">
        <v>685</v>
      </c>
      <c r="C584" s="212"/>
      <c r="D584" s="102"/>
      <c r="E584" s="102"/>
      <c r="F584" s="102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71"/>
      <c r="AV584" s="171"/>
      <c r="AW584" s="30"/>
    </row>
    <row r="585" spans="2:49">
      <c r="B585" s="250">
        <v>686</v>
      </c>
      <c r="C585" s="212">
        <v>887</v>
      </c>
      <c r="D585" s="102" t="s">
        <v>388</v>
      </c>
      <c r="E585" s="102"/>
      <c r="F585" s="102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71"/>
      <c r="AV585" s="171"/>
      <c r="AW585" s="30"/>
    </row>
    <row r="586" spans="2:49">
      <c r="B586" s="250">
        <v>687</v>
      </c>
      <c r="C586" s="212"/>
      <c r="D586" s="102"/>
      <c r="E586" s="102" t="s">
        <v>14</v>
      </c>
      <c r="F586" s="102"/>
      <c r="G586" s="186">
        <v>605103.38</v>
      </c>
      <c r="H586" s="186">
        <v>628029.84</v>
      </c>
      <c r="I586" s="186">
        <v>606517.30000000005</v>
      </c>
      <c r="J586" s="186">
        <v>682142.99000000011</v>
      </c>
      <c r="K586" s="186">
        <v>596632.09000000008</v>
      </c>
      <c r="L586" s="186">
        <v>607728.78</v>
      </c>
      <c r="M586" s="186">
        <v>570564.35</v>
      </c>
      <c r="N586" s="186">
        <v>564825.5</v>
      </c>
      <c r="O586" s="186">
        <v>558659.5</v>
      </c>
      <c r="P586" s="186">
        <v>609186.28</v>
      </c>
      <c r="Q586" s="186">
        <v>587235.93000000005</v>
      </c>
      <c r="R586" s="186">
        <v>579589.05000000005</v>
      </c>
      <c r="S586" s="186"/>
      <c r="T586" s="186">
        <f t="shared" ref="T586:W587" si="798">G586*(1+$AU586)</f>
        <v>627492.20505999995</v>
      </c>
      <c r="U586" s="186">
        <f t="shared" si="798"/>
        <v>651266.94407999993</v>
      </c>
      <c r="V586" s="186">
        <f t="shared" si="798"/>
        <v>628958.44010000001</v>
      </c>
      <c r="W586" s="186">
        <f t="shared" si="798"/>
        <v>707382.28063000005</v>
      </c>
      <c r="X586" s="186">
        <f t="shared" ref="X586:AE587" si="799">K586*(1+$AU586)</f>
        <v>618707.47733000002</v>
      </c>
      <c r="Y586" s="186">
        <f t="shared" si="799"/>
        <v>630214.74485999998</v>
      </c>
      <c r="Z586" s="186">
        <f t="shared" si="799"/>
        <v>591675.23094999988</v>
      </c>
      <c r="AA586" s="186">
        <f t="shared" si="799"/>
        <v>585724.04349999991</v>
      </c>
      <c r="AB586" s="186">
        <f t="shared" si="799"/>
        <v>579329.90149999992</v>
      </c>
      <c r="AC586" s="186">
        <f t="shared" si="799"/>
        <v>631726.17235999997</v>
      </c>
      <c r="AD586" s="186">
        <f t="shared" si="799"/>
        <v>608963.65940999996</v>
      </c>
      <c r="AE586" s="186">
        <f t="shared" si="799"/>
        <v>601033.84484999999</v>
      </c>
      <c r="AF586" s="186">
        <f t="shared" ref="AF586:AQ586" si="800">T586*(1+$AV$586)</f>
        <v>640042.04916119995</v>
      </c>
      <c r="AG586" s="186">
        <f t="shared" si="800"/>
        <v>664292.28296159999</v>
      </c>
      <c r="AH586" s="186">
        <f t="shared" si="800"/>
        <v>641537.60890200001</v>
      </c>
      <c r="AI586" s="186">
        <f t="shared" si="800"/>
        <v>721529.92624260008</v>
      </c>
      <c r="AJ586" s="186">
        <f t="shared" si="800"/>
        <v>631081.62687660009</v>
      </c>
      <c r="AK586" s="186">
        <f t="shared" si="800"/>
        <v>642819.03975719993</v>
      </c>
      <c r="AL586" s="186">
        <f t="shared" si="800"/>
        <v>603508.73556899989</v>
      </c>
      <c r="AM586" s="186">
        <f t="shared" si="800"/>
        <v>597438.52436999988</v>
      </c>
      <c r="AN586" s="186">
        <f t="shared" si="800"/>
        <v>590916.49952999991</v>
      </c>
      <c r="AO586" s="186">
        <f t="shared" si="800"/>
        <v>644360.69580719993</v>
      </c>
      <c r="AP586" s="186">
        <f t="shared" si="800"/>
        <v>621142.93259819993</v>
      </c>
      <c r="AQ586" s="186">
        <f t="shared" si="800"/>
        <v>613054.52174700005</v>
      </c>
      <c r="AR586" s="186">
        <f>SUM(G586:R586)</f>
        <v>7196214.9900000002</v>
      </c>
      <c r="AS586" s="186">
        <f>SUM(T586:AE586)</f>
        <v>7462474.9446299998</v>
      </c>
      <c r="AT586" s="186">
        <f>SUM(AF586:AQ586)</f>
        <v>7611724.4435225986</v>
      </c>
      <c r="AU586" s="171">
        <v>3.7000000000000005E-2</v>
      </c>
      <c r="AV586" s="171">
        <v>0.02</v>
      </c>
      <c r="AW586" s="30"/>
    </row>
    <row r="587" spans="2:49">
      <c r="B587" s="250">
        <v>688</v>
      </c>
      <c r="C587" s="212"/>
      <c r="D587" s="102"/>
      <c r="E587" s="102" t="s">
        <v>24</v>
      </c>
      <c r="F587" s="102"/>
      <c r="G587" s="186">
        <v>7148.66</v>
      </c>
      <c r="H587" s="186">
        <v>5074.88</v>
      </c>
      <c r="I587" s="186">
        <v>2923.44</v>
      </c>
      <c r="J587" s="186">
        <v>6393.71</v>
      </c>
      <c r="K587" s="186">
        <v>4705.32</v>
      </c>
      <c r="L587" s="186">
        <v>4567.21</v>
      </c>
      <c r="M587" s="186">
        <v>2112.54</v>
      </c>
      <c r="N587" s="186">
        <v>4609.9000000000005</v>
      </c>
      <c r="O587" s="186">
        <v>167.9</v>
      </c>
      <c r="P587" s="186">
        <v>1380.4499999999998</v>
      </c>
      <c r="Q587" s="186">
        <v>-3918.7800000000007</v>
      </c>
      <c r="R587" s="186">
        <v>1852.5100000000002</v>
      </c>
      <c r="S587" s="617"/>
      <c r="T587" s="204">
        <f t="shared" si="798"/>
        <v>7413.1604199999992</v>
      </c>
      <c r="U587" s="204">
        <f t="shared" si="798"/>
        <v>5262.65056</v>
      </c>
      <c r="V587" s="204">
        <f t="shared" si="798"/>
        <v>3031.6072799999997</v>
      </c>
      <c r="W587" s="204">
        <f t="shared" si="798"/>
        <v>6630.2772699999996</v>
      </c>
      <c r="X587" s="204">
        <f t="shared" si="799"/>
        <v>4879.416839999999</v>
      </c>
      <c r="Y587" s="204">
        <f t="shared" si="799"/>
        <v>4736.1967699999996</v>
      </c>
      <c r="Z587" s="204">
        <f t="shared" si="799"/>
        <v>2190.7039799999998</v>
      </c>
      <c r="AA587" s="204">
        <f t="shared" si="799"/>
        <v>4780.4663</v>
      </c>
      <c r="AB587" s="204">
        <f t="shared" si="799"/>
        <v>174.1123</v>
      </c>
      <c r="AC587" s="204">
        <f t="shared" si="799"/>
        <v>1431.5266499999998</v>
      </c>
      <c r="AD587" s="204">
        <f t="shared" si="799"/>
        <v>-4063.7748600000004</v>
      </c>
      <c r="AE587" s="204">
        <f t="shared" si="799"/>
        <v>1921.05287</v>
      </c>
      <c r="AF587" s="204">
        <f t="shared" ref="AF587:AQ587" si="801">T587*(1+$AV$587)</f>
        <v>7561.423628399999</v>
      </c>
      <c r="AG587" s="204">
        <f t="shared" si="801"/>
        <v>5367.9035712000004</v>
      </c>
      <c r="AH587" s="204">
        <f t="shared" si="801"/>
        <v>3092.2394255999998</v>
      </c>
      <c r="AI587" s="204">
        <f t="shared" si="801"/>
        <v>6762.8828153999993</v>
      </c>
      <c r="AJ587" s="204">
        <f t="shared" si="801"/>
        <v>4977.0051767999994</v>
      </c>
      <c r="AK587" s="204">
        <f t="shared" si="801"/>
        <v>4830.9207053999999</v>
      </c>
      <c r="AL587" s="204">
        <f t="shared" si="801"/>
        <v>2234.5180596</v>
      </c>
      <c r="AM587" s="204">
        <f t="shared" si="801"/>
        <v>4876.0756259999998</v>
      </c>
      <c r="AN587" s="204">
        <f t="shared" si="801"/>
        <v>177.59454600000001</v>
      </c>
      <c r="AO587" s="204">
        <f t="shared" si="801"/>
        <v>1460.1571829999998</v>
      </c>
      <c r="AP587" s="204">
        <f t="shared" si="801"/>
        <v>-4145.0503572000007</v>
      </c>
      <c r="AQ587" s="204">
        <f t="shared" si="801"/>
        <v>1959.4739274000001</v>
      </c>
      <c r="AR587" s="204">
        <f>SUM(G587:R587)</f>
        <v>37017.740000000005</v>
      </c>
      <c r="AS587" s="204">
        <f>SUM(T587:AE587)</f>
        <v>38387.396379999998</v>
      </c>
      <c r="AT587" s="204">
        <f>SUM(AF587:AQ587)</f>
        <v>39155.1443076</v>
      </c>
      <c r="AU587" s="618">
        <f>AU586</f>
        <v>3.7000000000000005E-2</v>
      </c>
      <c r="AV587" s="618">
        <f>AV586</f>
        <v>0.02</v>
      </c>
      <c r="AW587" s="30"/>
    </row>
    <row r="588" spans="2:49">
      <c r="B588" s="250">
        <v>689</v>
      </c>
      <c r="C588" s="212"/>
      <c r="D588" s="102"/>
      <c r="E588" s="102" t="s">
        <v>170</v>
      </c>
      <c r="F588" s="102"/>
      <c r="G588" s="1216">
        <v>612252.04</v>
      </c>
      <c r="H588" s="1216">
        <v>633104.72</v>
      </c>
      <c r="I588" s="1216">
        <v>609440.74</v>
      </c>
      <c r="J588" s="1216">
        <v>688536.70000000007</v>
      </c>
      <c r="K588" s="1216">
        <v>601337.41</v>
      </c>
      <c r="L588" s="1216">
        <v>612295.99</v>
      </c>
      <c r="M588" s="1216">
        <v>572676.89</v>
      </c>
      <c r="N588" s="1216">
        <v>569435.4</v>
      </c>
      <c r="O588" s="1216">
        <v>558827.4</v>
      </c>
      <c r="P588" s="1216">
        <v>610566.73</v>
      </c>
      <c r="Q588" s="1216">
        <v>583317.15</v>
      </c>
      <c r="R588" s="1216">
        <v>581441.56000000006</v>
      </c>
      <c r="S588" s="620"/>
      <c r="T588" s="131">
        <f t="shared" ref="T588:Y588" si="802">SUM(T586:T587)</f>
        <v>634905.36547999992</v>
      </c>
      <c r="U588" s="131">
        <f t="shared" si="802"/>
        <v>656529.59463999991</v>
      </c>
      <c r="V588" s="131">
        <f t="shared" si="802"/>
        <v>631990.04738</v>
      </c>
      <c r="W588" s="131">
        <f t="shared" si="802"/>
        <v>714012.55790000001</v>
      </c>
      <c r="X588" s="131">
        <f t="shared" si="802"/>
        <v>623586.89416999999</v>
      </c>
      <c r="Y588" s="131">
        <f t="shared" si="802"/>
        <v>634950.94163000002</v>
      </c>
      <c r="Z588" s="131">
        <f t="shared" ref="Z588:AE588" si="803">SUM(Z586:Z587)</f>
        <v>593865.93492999987</v>
      </c>
      <c r="AA588" s="131">
        <f t="shared" si="803"/>
        <v>590504.50979999988</v>
      </c>
      <c r="AB588" s="131">
        <f t="shared" si="803"/>
        <v>579504.01379999996</v>
      </c>
      <c r="AC588" s="131">
        <f t="shared" si="803"/>
        <v>633157.69900999998</v>
      </c>
      <c r="AD588" s="131">
        <f t="shared" si="803"/>
        <v>604899.88454999996</v>
      </c>
      <c r="AE588" s="131">
        <f t="shared" si="803"/>
        <v>602954.89772000001</v>
      </c>
      <c r="AF588" s="131">
        <f t="shared" ref="AF588:AQ588" si="804">SUM(AF586:AF587)</f>
        <v>647603.47278959991</v>
      </c>
      <c r="AG588" s="131">
        <f t="shared" si="804"/>
        <v>669660.18653279997</v>
      </c>
      <c r="AH588" s="131">
        <f t="shared" si="804"/>
        <v>644629.84832760005</v>
      </c>
      <c r="AI588" s="131">
        <f t="shared" si="804"/>
        <v>728292.8090580001</v>
      </c>
      <c r="AJ588" s="131">
        <f t="shared" si="804"/>
        <v>636058.63205340004</v>
      </c>
      <c r="AK588" s="131">
        <f t="shared" si="804"/>
        <v>647649.96046259999</v>
      </c>
      <c r="AL588" s="131">
        <f t="shared" si="804"/>
        <v>605743.25362859992</v>
      </c>
      <c r="AM588" s="131">
        <f t="shared" si="804"/>
        <v>602314.59999599983</v>
      </c>
      <c r="AN588" s="131">
        <f t="shared" si="804"/>
        <v>591094.09407599992</v>
      </c>
      <c r="AO588" s="131">
        <f t="shared" si="804"/>
        <v>645820.85299019993</v>
      </c>
      <c r="AP588" s="131">
        <f t="shared" si="804"/>
        <v>616997.88224099996</v>
      </c>
      <c r="AQ588" s="131">
        <f t="shared" si="804"/>
        <v>615013.99567440001</v>
      </c>
      <c r="AR588" s="131">
        <f>SUM(G588:R588)</f>
        <v>7233232.7300000023</v>
      </c>
      <c r="AS588" s="131">
        <f>SUM(T588:AE588)</f>
        <v>7500862.3410099987</v>
      </c>
      <c r="AT588" s="131">
        <f>SUM(AF588:AQ588)</f>
        <v>7650879.5878301989</v>
      </c>
      <c r="AU588" s="621"/>
      <c r="AV588" s="621"/>
      <c r="AW588" s="30"/>
    </row>
    <row r="589" spans="2:49">
      <c r="B589" s="250">
        <v>690</v>
      </c>
      <c r="C589" s="212"/>
      <c r="D589" s="102"/>
      <c r="E589" s="102"/>
      <c r="F589" s="102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71"/>
      <c r="AV589" s="171"/>
      <c r="AW589" s="30"/>
    </row>
    <row r="590" spans="2:49">
      <c r="B590" s="250">
        <v>691</v>
      </c>
      <c r="C590" s="212">
        <v>888</v>
      </c>
      <c r="D590" s="102" t="s">
        <v>389</v>
      </c>
      <c r="E590" s="102"/>
      <c r="F590" s="102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71"/>
      <c r="AV590" s="171"/>
      <c r="AW590" s="30"/>
    </row>
    <row r="591" spans="2:49">
      <c r="B591" s="250">
        <v>692</v>
      </c>
      <c r="C591" s="212"/>
      <c r="D591" s="102"/>
      <c r="E591" s="102" t="s">
        <v>14</v>
      </c>
      <c r="F591" s="102"/>
      <c r="G591" s="186">
        <v>72037.59</v>
      </c>
      <c r="H591" s="186">
        <v>74082.98</v>
      </c>
      <c r="I591" s="186">
        <v>80516.22</v>
      </c>
      <c r="J591" s="186">
        <v>106982.3</v>
      </c>
      <c r="K591" s="186">
        <v>73161.780000000013</v>
      </c>
      <c r="L591" s="186">
        <v>86750.19</v>
      </c>
      <c r="M591" s="186">
        <v>93700.1</v>
      </c>
      <c r="N591" s="186">
        <v>75063.959999999992</v>
      </c>
      <c r="O591" s="186">
        <v>78071.39</v>
      </c>
      <c r="P591" s="186">
        <v>82844.83</v>
      </c>
      <c r="Q591" s="186">
        <v>119059.48999999999</v>
      </c>
      <c r="R591" s="186">
        <v>33374.450000000004</v>
      </c>
      <c r="S591" s="186"/>
      <c r="T591" s="186">
        <f t="shared" ref="T591:W592" si="805">G591*(1+$AU591)</f>
        <v>73982.604929999987</v>
      </c>
      <c r="U591" s="186">
        <f t="shared" si="805"/>
        <v>76083.220459999982</v>
      </c>
      <c r="V591" s="186">
        <f t="shared" si="805"/>
        <v>82690.15793999999</v>
      </c>
      <c r="W591" s="186">
        <f t="shared" si="805"/>
        <v>109870.82209999999</v>
      </c>
      <c r="X591" s="186">
        <f t="shared" ref="X591:AE592" si="806">K591*(1+$AU591)</f>
        <v>75137.148060000007</v>
      </c>
      <c r="Y591" s="186">
        <f t="shared" si="806"/>
        <v>89092.445129999993</v>
      </c>
      <c r="Z591" s="186">
        <f t="shared" si="806"/>
        <v>96230.002699999997</v>
      </c>
      <c r="AA591" s="186">
        <f t="shared" si="806"/>
        <v>77090.686919999978</v>
      </c>
      <c r="AB591" s="186">
        <f t="shared" si="806"/>
        <v>80179.317529999986</v>
      </c>
      <c r="AC591" s="186">
        <f t="shared" si="806"/>
        <v>85081.640409999993</v>
      </c>
      <c r="AD591" s="186">
        <f t="shared" si="806"/>
        <v>122274.09622999998</v>
      </c>
      <c r="AE591" s="186">
        <f t="shared" si="806"/>
        <v>34275.560150000005</v>
      </c>
      <c r="AF591" s="186">
        <f t="shared" ref="AF591:AQ591" si="807">T591*(1+$AV$591)</f>
        <v>75758.187448319994</v>
      </c>
      <c r="AG591" s="186">
        <f t="shared" si="807"/>
        <v>77909.217751039978</v>
      </c>
      <c r="AH591" s="186">
        <f t="shared" si="807"/>
        <v>84674.721730559992</v>
      </c>
      <c r="AI591" s="186">
        <f t="shared" si="807"/>
        <v>112507.7218304</v>
      </c>
      <c r="AJ591" s="186">
        <f t="shared" si="807"/>
        <v>76940.439613440016</v>
      </c>
      <c r="AK591" s="186">
        <f t="shared" si="807"/>
        <v>91230.663813120002</v>
      </c>
      <c r="AL591" s="186">
        <f t="shared" si="807"/>
        <v>98539.5227648</v>
      </c>
      <c r="AM591" s="186">
        <f t="shared" si="807"/>
        <v>78940.863406079981</v>
      </c>
      <c r="AN591" s="186">
        <f t="shared" si="807"/>
        <v>82103.621150719991</v>
      </c>
      <c r="AO591" s="186">
        <f t="shared" si="807"/>
        <v>87123.599779839991</v>
      </c>
      <c r="AP591" s="186">
        <f t="shared" si="807"/>
        <v>125208.67453951998</v>
      </c>
      <c r="AQ591" s="186">
        <f t="shared" si="807"/>
        <v>35098.173593600004</v>
      </c>
      <c r="AR591" s="186">
        <f>SUM(G591:R591)</f>
        <v>975645.27999999991</v>
      </c>
      <c r="AS591" s="186">
        <f>SUM(T591:AE591)</f>
        <v>1001987.70256</v>
      </c>
      <c r="AT591" s="186">
        <f>SUM(AF591:AQ591)</f>
        <v>1026035.40742144</v>
      </c>
      <c r="AU591" s="171">
        <v>2.7000000000000003E-2</v>
      </c>
      <c r="AV591" s="171">
        <v>2.4E-2</v>
      </c>
      <c r="AW591" s="30"/>
    </row>
    <row r="592" spans="2:49">
      <c r="B592" s="250">
        <v>693</v>
      </c>
      <c r="C592" s="212"/>
      <c r="D592" s="102"/>
      <c r="E592" s="102" t="s">
        <v>24</v>
      </c>
      <c r="F592" s="102"/>
      <c r="G592" s="186">
        <v>6563.57</v>
      </c>
      <c r="H592" s="186">
        <v>12046.44</v>
      </c>
      <c r="I592" s="186">
        <v>3290.64</v>
      </c>
      <c r="J592" s="186">
        <v>15250.460000000001</v>
      </c>
      <c r="K592" s="186">
        <v>-344.57</v>
      </c>
      <c r="L592" s="186">
        <v>5772.3</v>
      </c>
      <c r="M592" s="186">
        <v>5127.7300000000005</v>
      </c>
      <c r="N592" s="186">
        <v>8968.99</v>
      </c>
      <c r="O592" s="186">
        <v>11296.61</v>
      </c>
      <c r="P592" s="186">
        <v>15753.970000000001</v>
      </c>
      <c r="Q592" s="186">
        <v>13083.91</v>
      </c>
      <c r="R592" s="186">
        <v>1982.81</v>
      </c>
      <c r="S592" s="617"/>
      <c r="T592" s="204">
        <f t="shared" si="805"/>
        <v>6740.7863899999993</v>
      </c>
      <c r="U592" s="204">
        <f t="shared" si="805"/>
        <v>12371.693879999999</v>
      </c>
      <c r="V592" s="204">
        <f t="shared" si="805"/>
        <v>3379.4872799999994</v>
      </c>
      <c r="W592" s="204">
        <f t="shared" si="805"/>
        <v>15662.22242</v>
      </c>
      <c r="X592" s="204">
        <f t="shared" si="806"/>
        <v>-353.87338999999997</v>
      </c>
      <c r="Y592" s="204">
        <f t="shared" si="806"/>
        <v>5928.1520999999993</v>
      </c>
      <c r="Z592" s="204">
        <f t="shared" si="806"/>
        <v>5266.1787100000001</v>
      </c>
      <c r="AA592" s="204">
        <f t="shared" si="806"/>
        <v>9211.1527299999998</v>
      </c>
      <c r="AB592" s="204">
        <f t="shared" si="806"/>
        <v>11601.618469999999</v>
      </c>
      <c r="AC592" s="204">
        <f t="shared" si="806"/>
        <v>16179.32719</v>
      </c>
      <c r="AD592" s="204">
        <f t="shared" si="806"/>
        <v>13437.175569999999</v>
      </c>
      <c r="AE592" s="204">
        <f t="shared" si="806"/>
        <v>2036.3458699999999</v>
      </c>
      <c r="AF592" s="204">
        <f t="shared" ref="AF592:AQ592" si="808">T592*(1+$AV$592)</f>
        <v>6902.5652633599993</v>
      </c>
      <c r="AG592" s="204">
        <f t="shared" si="808"/>
        <v>12668.614533119999</v>
      </c>
      <c r="AH592" s="204">
        <f t="shared" si="808"/>
        <v>3460.5949747199993</v>
      </c>
      <c r="AI592" s="204">
        <f t="shared" si="808"/>
        <v>16038.115758080001</v>
      </c>
      <c r="AJ592" s="204">
        <f t="shared" si="808"/>
        <v>-362.36635135999995</v>
      </c>
      <c r="AK592" s="204">
        <f t="shared" si="808"/>
        <v>6070.4277503999992</v>
      </c>
      <c r="AL592" s="204">
        <f t="shared" si="808"/>
        <v>5392.5669990400002</v>
      </c>
      <c r="AM592" s="204">
        <f t="shared" si="808"/>
        <v>9432.2203955200002</v>
      </c>
      <c r="AN592" s="204">
        <f t="shared" si="808"/>
        <v>11880.05731328</v>
      </c>
      <c r="AO592" s="204">
        <f t="shared" si="808"/>
        <v>16567.631042559999</v>
      </c>
      <c r="AP592" s="204">
        <f t="shared" si="808"/>
        <v>13759.667783679999</v>
      </c>
      <c r="AQ592" s="204">
        <f t="shared" si="808"/>
        <v>2085.2181708799999</v>
      </c>
      <c r="AR592" s="204">
        <f>SUM(G592:R592)</f>
        <v>98792.860000000015</v>
      </c>
      <c r="AS592" s="204">
        <f>SUM(T592:AE592)</f>
        <v>101460.26721999999</v>
      </c>
      <c r="AT592" s="204">
        <f>SUM(AF592:AQ592)</f>
        <v>103895.31363327999</v>
      </c>
      <c r="AU592" s="618">
        <f>AU591</f>
        <v>2.7000000000000003E-2</v>
      </c>
      <c r="AV592" s="618">
        <f>AV591</f>
        <v>2.4E-2</v>
      </c>
      <c r="AW592" s="30"/>
    </row>
    <row r="593" spans="2:49">
      <c r="B593" s="250">
        <v>694</v>
      </c>
      <c r="C593" s="212"/>
      <c r="D593" s="102"/>
      <c r="E593" s="102" t="s">
        <v>170</v>
      </c>
      <c r="F593" s="102"/>
      <c r="G593" s="1216">
        <v>78601.16</v>
      </c>
      <c r="H593" s="1216">
        <v>86129.42</v>
      </c>
      <c r="I593" s="1216">
        <v>83806.86</v>
      </c>
      <c r="J593" s="1216">
        <v>122232.76000000001</v>
      </c>
      <c r="K593" s="1216">
        <v>72817.210000000006</v>
      </c>
      <c r="L593" s="1216">
        <v>92522.49</v>
      </c>
      <c r="M593" s="1216">
        <v>98827.83</v>
      </c>
      <c r="N593" s="1216">
        <v>84032.95</v>
      </c>
      <c r="O593" s="1216">
        <v>89368</v>
      </c>
      <c r="P593" s="1216">
        <v>98598.8</v>
      </c>
      <c r="Q593" s="1216">
        <v>132143.4</v>
      </c>
      <c r="R593" s="1216">
        <v>35357.26</v>
      </c>
      <c r="S593" s="620"/>
      <c r="T593" s="131">
        <f t="shared" ref="T593:Y593" si="809">SUM(T591:T592)</f>
        <v>80723.391319999981</v>
      </c>
      <c r="U593" s="131">
        <f t="shared" si="809"/>
        <v>88454.914339999988</v>
      </c>
      <c r="V593" s="131">
        <f t="shared" si="809"/>
        <v>86069.645219999991</v>
      </c>
      <c r="W593" s="131">
        <f t="shared" si="809"/>
        <v>125533.04452</v>
      </c>
      <c r="X593" s="131">
        <f t="shared" si="809"/>
        <v>74783.274670000013</v>
      </c>
      <c r="Y593" s="131">
        <f t="shared" si="809"/>
        <v>95020.597229999985</v>
      </c>
      <c r="Z593" s="131">
        <f t="shared" ref="Z593:AE593" si="810">SUM(Z591:Z592)</f>
        <v>101496.18140999999</v>
      </c>
      <c r="AA593" s="131">
        <f t="shared" si="810"/>
        <v>86301.83964999998</v>
      </c>
      <c r="AB593" s="131">
        <f t="shared" si="810"/>
        <v>91780.935999999987</v>
      </c>
      <c r="AC593" s="131">
        <f t="shared" si="810"/>
        <v>101260.96759999999</v>
      </c>
      <c r="AD593" s="131">
        <f t="shared" si="810"/>
        <v>135711.27179999999</v>
      </c>
      <c r="AE593" s="131">
        <f t="shared" si="810"/>
        <v>36311.906020000002</v>
      </c>
      <c r="AF593" s="131">
        <f t="shared" ref="AF593:AQ593" si="811">SUM(AF591:AF592)</f>
        <v>82660.75271167999</v>
      </c>
      <c r="AG593" s="131">
        <f t="shared" si="811"/>
        <v>90577.832284159973</v>
      </c>
      <c r="AH593" s="131">
        <f t="shared" si="811"/>
        <v>88135.316705279984</v>
      </c>
      <c r="AI593" s="131">
        <f t="shared" si="811"/>
        <v>128545.83758848</v>
      </c>
      <c r="AJ593" s="131">
        <f t="shared" si="811"/>
        <v>76578.073262080012</v>
      </c>
      <c r="AK593" s="131">
        <f t="shared" si="811"/>
        <v>97301.091563520007</v>
      </c>
      <c r="AL593" s="131">
        <f t="shared" si="811"/>
        <v>103932.08976384001</v>
      </c>
      <c r="AM593" s="131">
        <f t="shared" si="811"/>
        <v>88373.083801599976</v>
      </c>
      <c r="AN593" s="131">
        <f t="shared" si="811"/>
        <v>93983.678463999997</v>
      </c>
      <c r="AO593" s="131">
        <f t="shared" si="811"/>
        <v>103691.23082239999</v>
      </c>
      <c r="AP593" s="131">
        <f t="shared" si="811"/>
        <v>138968.34232319999</v>
      </c>
      <c r="AQ593" s="131">
        <f t="shared" si="811"/>
        <v>37183.391764480002</v>
      </c>
      <c r="AR593" s="131">
        <f>SUM(G593:R593)</f>
        <v>1074438.1399999999</v>
      </c>
      <c r="AS593" s="131">
        <f>SUM(T593:AE593)</f>
        <v>1103447.9697799999</v>
      </c>
      <c r="AT593" s="131">
        <f>SUM(AF593:AQ593)</f>
        <v>1129930.7210547198</v>
      </c>
      <c r="AU593" s="621"/>
      <c r="AV593" s="621"/>
      <c r="AW593" s="30"/>
    </row>
    <row r="594" spans="2:49">
      <c r="B594" s="250">
        <v>695</v>
      </c>
      <c r="C594" s="212"/>
      <c r="D594" s="102"/>
      <c r="E594" s="102"/>
      <c r="F594" s="102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71"/>
      <c r="AV594" s="171"/>
      <c r="AW594" s="30"/>
    </row>
    <row r="595" spans="2:49">
      <c r="B595" s="250">
        <v>696</v>
      </c>
      <c r="C595" s="212">
        <v>889</v>
      </c>
      <c r="D595" s="102" t="s">
        <v>391</v>
      </c>
      <c r="E595" s="102"/>
      <c r="F595" s="102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71"/>
      <c r="AV595" s="171"/>
      <c r="AW595" s="30"/>
    </row>
    <row r="596" spans="2:49">
      <c r="B596" s="250">
        <v>697</v>
      </c>
      <c r="C596" s="212"/>
      <c r="D596" s="102"/>
      <c r="E596" s="102" t="s">
        <v>14</v>
      </c>
      <c r="F596" s="102"/>
      <c r="G596" s="186">
        <v>8518.6700000000019</v>
      </c>
      <c r="H596" s="186">
        <v>4157.7700000000004</v>
      </c>
      <c r="I596" s="186">
        <v>5470.86</v>
      </c>
      <c r="J596" s="186">
        <v>4522.9900000000007</v>
      </c>
      <c r="K596" s="186">
        <v>3838.38</v>
      </c>
      <c r="L596" s="186">
        <v>8893.33</v>
      </c>
      <c r="M596" s="186">
        <v>4550.51</v>
      </c>
      <c r="N596" s="186">
        <v>3636.2499999999995</v>
      </c>
      <c r="O596" s="186">
        <v>6862.7</v>
      </c>
      <c r="P596" s="186">
        <v>15793.16</v>
      </c>
      <c r="Q596" s="186">
        <v>9414.35</v>
      </c>
      <c r="R596" s="186">
        <v>2599.58</v>
      </c>
      <c r="S596" s="186"/>
      <c r="T596" s="186">
        <f t="shared" ref="T596:W597" si="812">G596*(1+$AU596)</f>
        <v>8808.3047800000022</v>
      </c>
      <c r="U596" s="186">
        <f t="shared" si="812"/>
        <v>4299.1341800000009</v>
      </c>
      <c r="V596" s="186">
        <f t="shared" si="812"/>
        <v>5656.86924</v>
      </c>
      <c r="W596" s="186">
        <f t="shared" si="812"/>
        <v>4676.7716600000012</v>
      </c>
      <c r="X596" s="186">
        <f t="shared" ref="X596:AE597" si="813">K596*(1+$AU596)</f>
        <v>3968.8849200000004</v>
      </c>
      <c r="Y596" s="186">
        <f t="shared" si="813"/>
        <v>9195.7032199999994</v>
      </c>
      <c r="Z596" s="186">
        <f t="shared" si="813"/>
        <v>4705.2273400000004</v>
      </c>
      <c r="AA596" s="186">
        <f t="shared" si="813"/>
        <v>3759.8824999999997</v>
      </c>
      <c r="AB596" s="186">
        <f t="shared" si="813"/>
        <v>7096.0317999999997</v>
      </c>
      <c r="AC596" s="186">
        <f t="shared" si="813"/>
        <v>16330.12744</v>
      </c>
      <c r="AD596" s="186">
        <f t="shared" si="813"/>
        <v>9734.4379000000008</v>
      </c>
      <c r="AE596" s="186">
        <f t="shared" si="813"/>
        <v>2687.9657200000001</v>
      </c>
      <c r="AF596" s="186">
        <f t="shared" ref="AF596:AQ596" si="814">T596*(1+$AV$596)</f>
        <v>9010.8957899400011</v>
      </c>
      <c r="AG596" s="186">
        <f t="shared" si="814"/>
        <v>4398.0142661400005</v>
      </c>
      <c r="AH596" s="186">
        <f t="shared" si="814"/>
        <v>5786.9772325199992</v>
      </c>
      <c r="AI596" s="186">
        <f t="shared" si="814"/>
        <v>4784.3374081800011</v>
      </c>
      <c r="AJ596" s="186">
        <f t="shared" si="814"/>
        <v>4060.1692731600001</v>
      </c>
      <c r="AK596" s="186">
        <f t="shared" si="814"/>
        <v>9407.2043940599979</v>
      </c>
      <c r="AL596" s="186">
        <f t="shared" si="814"/>
        <v>4813.44756882</v>
      </c>
      <c r="AM596" s="186">
        <f t="shared" si="814"/>
        <v>3846.3597974999993</v>
      </c>
      <c r="AN596" s="186">
        <f t="shared" si="814"/>
        <v>7259.2405313999989</v>
      </c>
      <c r="AO596" s="186">
        <f t="shared" si="814"/>
        <v>16705.720371119998</v>
      </c>
      <c r="AP596" s="186">
        <f t="shared" si="814"/>
        <v>9958.3299716999991</v>
      </c>
      <c r="AQ596" s="186">
        <f t="shared" si="814"/>
        <v>2749.78893156</v>
      </c>
      <c r="AR596" s="186">
        <f>SUM(G596:R596)</f>
        <v>78258.550000000017</v>
      </c>
      <c r="AS596" s="186">
        <f>SUM(T596:AE596)</f>
        <v>80919.340700000001</v>
      </c>
      <c r="AT596" s="186">
        <f>SUM(AF596:AQ596)</f>
        <v>82780.485536100023</v>
      </c>
      <c r="AU596" s="171">
        <v>3.4000000000000002E-2</v>
      </c>
      <c r="AV596" s="171">
        <v>2.3E-2</v>
      </c>
      <c r="AW596" s="30"/>
    </row>
    <row r="597" spans="2:49">
      <c r="B597" s="250">
        <v>698</v>
      </c>
      <c r="C597" s="212"/>
      <c r="D597" s="102"/>
      <c r="E597" s="102" t="s">
        <v>24</v>
      </c>
      <c r="F597" s="102"/>
      <c r="G597" s="186">
        <v>878.46</v>
      </c>
      <c r="H597" s="186">
        <v>803.15</v>
      </c>
      <c r="I597" s="186">
        <v>1116.92</v>
      </c>
      <c r="J597" s="186">
        <v>842.41</v>
      </c>
      <c r="K597" s="186">
        <v>938.29</v>
      </c>
      <c r="L597" s="186">
        <v>1113.06</v>
      </c>
      <c r="M597" s="186">
        <v>744.77</v>
      </c>
      <c r="N597" s="186">
        <v>1106.1100000000001</v>
      </c>
      <c r="O597" s="186">
        <v>510.46000000000004</v>
      </c>
      <c r="P597" s="186">
        <v>1079.1100000000001</v>
      </c>
      <c r="Q597" s="186">
        <v>1019.74</v>
      </c>
      <c r="R597" s="186">
        <v>784.24</v>
      </c>
      <c r="S597" s="617"/>
      <c r="T597" s="204">
        <f t="shared" si="812"/>
        <v>908.32764000000009</v>
      </c>
      <c r="U597" s="204">
        <f t="shared" si="812"/>
        <v>830.45709999999997</v>
      </c>
      <c r="V597" s="204">
        <f t="shared" si="812"/>
        <v>1154.8952800000002</v>
      </c>
      <c r="W597" s="204">
        <f t="shared" si="812"/>
        <v>871.05193999999995</v>
      </c>
      <c r="X597" s="204">
        <f t="shared" si="813"/>
        <v>970.19186000000002</v>
      </c>
      <c r="Y597" s="204">
        <f t="shared" si="813"/>
        <v>1150.9040399999999</v>
      </c>
      <c r="Z597" s="204">
        <f t="shared" si="813"/>
        <v>770.09217999999998</v>
      </c>
      <c r="AA597" s="204">
        <f t="shared" si="813"/>
        <v>1143.7177400000003</v>
      </c>
      <c r="AB597" s="204">
        <f t="shared" si="813"/>
        <v>527.81564000000003</v>
      </c>
      <c r="AC597" s="204">
        <f t="shared" si="813"/>
        <v>1115.7997400000002</v>
      </c>
      <c r="AD597" s="204">
        <f t="shared" si="813"/>
        <v>1054.4111600000001</v>
      </c>
      <c r="AE597" s="204">
        <f t="shared" si="813"/>
        <v>810.90416000000005</v>
      </c>
      <c r="AF597" s="204">
        <f t="shared" ref="AF597:AQ597" si="815">T597*(1+$AV$597)</f>
        <v>929.21917571999995</v>
      </c>
      <c r="AG597" s="204">
        <f t="shared" si="815"/>
        <v>849.55761329999984</v>
      </c>
      <c r="AH597" s="204">
        <f t="shared" si="815"/>
        <v>1181.4578714400002</v>
      </c>
      <c r="AI597" s="204">
        <f t="shared" si="815"/>
        <v>891.08613461999983</v>
      </c>
      <c r="AJ597" s="204">
        <f t="shared" si="815"/>
        <v>992.5062727799999</v>
      </c>
      <c r="AK597" s="204">
        <f t="shared" si="815"/>
        <v>1177.3748329199998</v>
      </c>
      <c r="AL597" s="204">
        <f t="shared" si="815"/>
        <v>787.8043001399999</v>
      </c>
      <c r="AM597" s="204">
        <f t="shared" si="815"/>
        <v>1170.0232480200002</v>
      </c>
      <c r="AN597" s="204">
        <f t="shared" si="815"/>
        <v>539.95539971999995</v>
      </c>
      <c r="AO597" s="204">
        <f t="shared" si="815"/>
        <v>1141.4631340200001</v>
      </c>
      <c r="AP597" s="204">
        <f t="shared" si="815"/>
        <v>1078.6626166799999</v>
      </c>
      <c r="AQ597" s="204">
        <f t="shared" si="815"/>
        <v>829.55495567999992</v>
      </c>
      <c r="AR597" s="204">
        <f>SUM(G597:R597)</f>
        <v>10936.72</v>
      </c>
      <c r="AS597" s="204">
        <f>SUM(T597:AE597)</f>
        <v>11308.56848</v>
      </c>
      <c r="AT597" s="204">
        <f>SUM(AF597:AQ597)</f>
        <v>11568.665555039997</v>
      </c>
      <c r="AU597" s="618">
        <f>AU596</f>
        <v>3.4000000000000002E-2</v>
      </c>
      <c r="AV597" s="618">
        <f>AV596</f>
        <v>2.3E-2</v>
      </c>
      <c r="AW597" s="30"/>
    </row>
    <row r="598" spans="2:49">
      <c r="B598" s="250">
        <v>699</v>
      </c>
      <c r="C598" s="212"/>
      <c r="D598" s="102"/>
      <c r="E598" s="102" t="s">
        <v>170</v>
      </c>
      <c r="F598" s="102"/>
      <c r="G598" s="1216">
        <v>9397.130000000001</v>
      </c>
      <c r="H598" s="1216">
        <v>4960.92</v>
      </c>
      <c r="I598" s="1216">
        <v>6587.78</v>
      </c>
      <c r="J598" s="1216">
        <v>5365.4000000000005</v>
      </c>
      <c r="K598" s="1216">
        <v>4776.67</v>
      </c>
      <c r="L598" s="1216">
        <v>10006.39</v>
      </c>
      <c r="M598" s="1216">
        <v>5295.28</v>
      </c>
      <c r="N598" s="1216">
        <v>4742.3599999999997</v>
      </c>
      <c r="O598" s="1216">
        <v>7373.16</v>
      </c>
      <c r="P598" s="1216">
        <v>16872.27</v>
      </c>
      <c r="Q598" s="1216">
        <v>10434.09</v>
      </c>
      <c r="R598" s="1216">
        <v>3383.82</v>
      </c>
      <c r="S598" s="620"/>
      <c r="T598" s="131">
        <f t="shared" ref="T598:Y598" si="816">SUM(T596:T597)</f>
        <v>9716.6324200000017</v>
      </c>
      <c r="U598" s="131">
        <f t="shared" si="816"/>
        <v>5129.5912800000006</v>
      </c>
      <c r="V598" s="131">
        <f t="shared" si="816"/>
        <v>6811.7645200000006</v>
      </c>
      <c r="W598" s="131">
        <f t="shared" si="816"/>
        <v>5547.8236000000015</v>
      </c>
      <c r="X598" s="131">
        <f t="shared" si="816"/>
        <v>4939.0767800000003</v>
      </c>
      <c r="Y598" s="131">
        <f t="shared" si="816"/>
        <v>10346.607259999999</v>
      </c>
      <c r="Z598" s="131">
        <f t="shared" ref="Z598:AE598" si="817">SUM(Z596:Z597)</f>
        <v>5475.31952</v>
      </c>
      <c r="AA598" s="131">
        <f t="shared" si="817"/>
        <v>4903.6002399999998</v>
      </c>
      <c r="AB598" s="131">
        <f t="shared" si="817"/>
        <v>7623.8474399999996</v>
      </c>
      <c r="AC598" s="131">
        <f t="shared" si="817"/>
        <v>17445.927179999999</v>
      </c>
      <c r="AD598" s="131">
        <f t="shared" si="817"/>
        <v>10788.84906</v>
      </c>
      <c r="AE598" s="131">
        <f t="shared" si="817"/>
        <v>3498.8698800000002</v>
      </c>
      <c r="AF598" s="131">
        <f t="shared" ref="AF598:AQ598" si="818">SUM(AF596:AF597)</f>
        <v>9940.114965660001</v>
      </c>
      <c r="AG598" s="131">
        <f t="shared" si="818"/>
        <v>5247.57187944</v>
      </c>
      <c r="AH598" s="131">
        <f t="shared" si="818"/>
        <v>6968.4351039599997</v>
      </c>
      <c r="AI598" s="131">
        <f t="shared" si="818"/>
        <v>5675.4235428000011</v>
      </c>
      <c r="AJ598" s="131">
        <f t="shared" si="818"/>
        <v>5052.6755459400001</v>
      </c>
      <c r="AK598" s="131">
        <f t="shared" si="818"/>
        <v>10584.579226979997</v>
      </c>
      <c r="AL598" s="131">
        <f t="shared" si="818"/>
        <v>5601.2518689600001</v>
      </c>
      <c r="AM598" s="131">
        <f t="shared" si="818"/>
        <v>5016.3830455199995</v>
      </c>
      <c r="AN598" s="131">
        <f t="shared" si="818"/>
        <v>7799.1959311199989</v>
      </c>
      <c r="AO598" s="131">
        <f t="shared" si="818"/>
        <v>17847.183505139998</v>
      </c>
      <c r="AP598" s="131">
        <f t="shared" si="818"/>
        <v>11036.992588379999</v>
      </c>
      <c r="AQ598" s="131">
        <f t="shared" si="818"/>
        <v>3579.3438872400002</v>
      </c>
      <c r="AR598" s="131">
        <f>SUM(G598:R598)</f>
        <v>89195.27</v>
      </c>
      <c r="AS598" s="131">
        <f>SUM(T598:AE598)</f>
        <v>92227.909180000002</v>
      </c>
      <c r="AT598" s="131">
        <f>SUM(AF598:AQ598)</f>
        <v>94349.151091139996</v>
      </c>
      <c r="AU598" s="621"/>
      <c r="AV598" s="621"/>
      <c r="AW598" s="30"/>
    </row>
    <row r="599" spans="2:49">
      <c r="B599" s="250">
        <v>700</v>
      </c>
      <c r="C599" s="212"/>
      <c r="D599" s="102"/>
      <c r="E599" s="102"/>
      <c r="F599" s="102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71"/>
      <c r="AV599" s="171"/>
      <c r="AW599" s="30"/>
    </row>
    <row r="600" spans="2:49">
      <c r="B600" s="250">
        <v>701</v>
      </c>
      <c r="C600" s="212">
        <v>892</v>
      </c>
      <c r="D600" s="102" t="s">
        <v>392</v>
      </c>
      <c r="E600" s="102"/>
      <c r="F600" s="102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6"/>
      <c r="W600" s="186"/>
      <c r="X600" s="186"/>
      <c r="Y600" s="186"/>
      <c r="Z600" s="186"/>
      <c r="AA600" s="186"/>
      <c r="AB600" s="186"/>
      <c r="AC600" s="186"/>
      <c r="AD600" s="186"/>
      <c r="AE600" s="186"/>
      <c r="AF600" s="186"/>
      <c r="AG600" s="186"/>
      <c r="AH600" s="186"/>
      <c r="AI600" s="186"/>
      <c r="AJ600" s="186"/>
      <c r="AK600" s="186"/>
      <c r="AL600" s="186"/>
      <c r="AM600" s="186"/>
      <c r="AN600" s="186"/>
      <c r="AO600" s="186"/>
      <c r="AP600" s="186"/>
      <c r="AQ600" s="186"/>
      <c r="AR600" s="186"/>
      <c r="AS600" s="186"/>
      <c r="AT600" s="186"/>
      <c r="AU600" s="171"/>
      <c r="AV600" s="171"/>
      <c r="AW600" s="30"/>
    </row>
    <row r="601" spans="2:49">
      <c r="B601" s="250">
        <v>702</v>
      </c>
      <c r="C601" s="212"/>
      <c r="D601" s="102"/>
      <c r="E601" s="102" t="s">
        <v>14</v>
      </c>
      <c r="F601" s="102"/>
      <c r="G601" s="186">
        <v>16926.060000000001</v>
      </c>
      <c r="H601" s="186">
        <v>9404.02</v>
      </c>
      <c r="I601" s="186">
        <v>-5751.66</v>
      </c>
      <c r="J601" s="186">
        <v>3785.0099999999998</v>
      </c>
      <c r="K601" s="186">
        <v>-5026.92</v>
      </c>
      <c r="L601" s="186">
        <v>-25726.880000000001</v>
      </c>
      <c r="M601" s="186">
        <v>-22145.05</v>
      </c>
      <c r="N601" s="186">
        <v>-43350.93</v>
      </c>
      <c r="O601" s="186">
        <v>-23350.85</v>
      </c>
      <c r="P601" s="186">
        <v>-8273.61</v>
      </c>
      <c r="Q601" s="186">
        <v>-5040.93</v>
      </c>
      <c r="R601" s="186">
        <v>-34691.39</v>
      </c>
      <c r="S601" s="186"/>
      <c r="T601" s="186">
        <f t="shared" ref="T601:W602" si="819">G601*(1+$AU601)</f>
        <v>17586.176340000002</v>
      </c>
      <c r="U601" s="186">
        <f t="shared" si="819"/>
        <v>9770.7767800000001</v>
      </c>
      <c r="V601" s="186">
        <f t="shared" si="819"/>
        <v>-5975.9747399999997</v>
      </c>
      <c r="W601" s="186">
        <f t="shared" si="819"/>
        <v>3932.6253899999992</v>
      </c>
      <c r="X601" s="186">
        <f t="shared" ref="X601:AE602" si="820">K601*(1+$AU601)</f>
        <v>-5222.9698799999996</v>
      </c>
      <c r="Y601" s="186">
        <f t="shared" si="820"/>
        <v>-26730.228319999998</v>
      </c>
      <c r="Z601" s="186">
        <f t="shared" si="820"/>
        <v>-23008.706949999996</v>
      </c>
      <c r="AA601" s="186">
        <f t="shared" si="820"/>
        <v>-45041.616269999999</v>
      </c>
      <c r="AB601" s="186">
        <f t="shared" si="820"/>
        <v>-24261.533149999996</v>
      </c>
      <c r="AC601" s="186">
        <f t="shared" si="820"/>
        <v>-8596.2807900000007</v>
      </c>
      <c r="AD601" s="186">
        <f t="shared" si="820"/>
        <v>-5237.5262700000003</v>
      </c>
      <c r="AE601" s="186">
        <f t="shared" si="820"/>
        <v>-36044.354209999998</v>
      </c>
      <c r="AF601" s="186">
        <f t="shared" ref="AF601:AQ601" si="821">T601*(1+$AV$601)</f>
        <v>17955.486043140001</v>
      </c>
      <c r="AG601" s="186">
        <f t="shared" si="821"/>
        <v>9975.9630923799996</v>
      </c>
      <c r="AH601" s="186">
        <f t="shared" si="821"/>
        <v>-6101.4702095399989</v>
      </c>
      <c r="AI601" s="186">
        <f t="shared" si="821"/>
        <v>4015.2105231899986</v>
      </c>
      <c r="AJ601" s="186">
        <f t="shared" si="821"/>
        <v>-5332.6522474799995</v>
      </c>
      <c r="AK601" s="186">
        <f t="shared" si="821"/>
        <v>-27291.563114719997</v>
      </c>
      <c r="AL601" s="186">
        <f t="shared" si="821"/>
        <v>-23491.889795949995</v>
      </c>
      <c r="AM601" s="186">
        <f t="shared" si="821"/>
        <v>-45987.490211669996</v>
      </c>
      <c r="AN601" s="186">
        <f t="shared" si="821"/>
        <v>-24771.025346149992</v>
      </c>
      <c r="AO601" s="186">
        <f t="shared" si="821"/>
        <v>-8776.8026865899992</v>
      </c>
      <c r="AP601" s="186">
        <f t="shared" si="821"/>
        <v>-5347.5143216699998</v>
      </c>
      <c r="AQ601" s="186">
        <f t="shared" si="821"/>
        <v>-36801.285648409998</v>
      </c>
      <c r="AR601" s="186">
        <f>SUM(G601:R601)</f>
        <v>-143243.13</v>
      </c>
      <c r="AS601" s="186">
        <f>SUM(T601:AE601)</f>
        <v>-148829.61207</v>
      </c>
      <c r="AT601" s="186">
        <f>SUM(AF601:AQ601)</f>
        <v>-151955.03392346998</v>
      </c>
      <c r="AU601" s="171">
        <v>3.9E-2</v>
      </c>
      <c r="AV601" s="171">
        <v>2.1000000000000001E-2</v>
      </c>
      <c r="AW601" s="30"/>
    </row>
    <row r="602" spans="2:49">
      <c r="B602" s="250">
        <v>703</v>
      </c>
      <c r="C602" s="212"/>
      <c r="D602" s="102"/>
      <c r="E602" s="102" t="s">
        <v>24</v>
      </c>
      <c r="F602" s="102"/>
      <c r="G602" s="186">
        <v>2668.73</v>
      </c>
      <c r="H602" s="186">
        <v>976.75</v>
      </c>
      <c r="I602" s="186">
        <v>3728.94</v>
      </c>
      <c r="J602" s="186">
        <v>1669.35</v>
      </c>
      <c r="K602" s="186">
        <v>1582.4</v>
      </c>
      <c r="L602" s="186">
        <v>1490.96</v>
      </c>
      <c r="M602" s="186">
        <v>864.1400000000001</v>
      </c>
      <c r="N602" s="186">
        <v>-2091.17</v>
      </c>
      <c r="O602" s="186">
        <v>-1143.49</v>
      </c>
      <c r="P602" s="186">
        <v>982.81</v>
      </c>
      <c r="Q602" s="186">
        <v>1529.3600000000001</v>
      </c>
      <c r="R602" s="186">
        <v>549.4</v>
      </c>
      <c r="S602" s="617"/>
      <c r="T602" s="204">
        <f t="shared" si="819"/>
        <v>2772.8104699999999</v>
      </c>
      <c r="U602" s="204">
        <f t="shared" si="819"/>
        <v>1014.8432499999999</v>
      </c>
      <c r="V602" s="204">
        <f t="shared" si="819"/>
        <v>3874.3686599999996</v>
      </c>
      <c r="W602" s="204">
        <f t="shared" si="819"/>
        <v>1734.4546499999997</v>
      </c>
      <c r="X602" s="204">
        <f t="shared" si="820"/>
        <v>1644.1135999999999</v>
      </c>
      <c r="Y602" s="204">
        <f t="shared" si="820"/>
        <v>1549.10744</v>
      </c>
      <c r="Z602" s="204">
        <f t="shared" si="820"/>
        <v>897.84145999999998</v>
      </c>
      <c r="AA602" s="204">
        <f t="shared" si="820"/>
        <v>-2172.7256299999999</v>
      </c>
      <c r="AB602" s="204">
        <f t="shared" si="820"/>
        <v>-1188.08611</v>
      </c>
      <c r="AC602" s="204">
        <f t="shared" si="820"/>
        <v>1021.1395899999999</v>
      </c>
      <c r="AD602" s="204">
        <f t="shared" si="820"/>
        <v>1589.00504</v>
      </c>
      <c r="AE602" s="204">
        <f t="shared" si="820"/>
        <v>570.82659999999998</v>
      </c>
      <c r="AF602" s="204">
        <f t="shared" ref="AF602:AQ602" si="822">T602*(1+$AV$602)</f>
        <v>2831.0394898699997</v>
      </c>
      <c r="AG602" s="204">
        <f t="shared" si="822"/>
        <v>1036.1549582499997</v>
      </c>
      <c r="AH602" s="204">
        <f t="shared" si="822"/>
        <v>3955.7304018599993</v>
      </c>
      <c r="AI602" s="204">
        <f t="shared" si="822"/>
        <v>1770.8781976499995</v>
      </c>
      <c r="AJ602" s="204">
        <f t="shared" si="822"/>
        <v>1678.6399855999998</v>
      </c>
      <c r="AK602" s="204">
        <f t="shared" si="822"/>
        <v>1581.6386962399999</v>
      </c>
      <c r="AL602" s="204">
        <f t="shared" si="822"/>
        <v>916.69613065999988</v>
      </c>
      <c r="AM602" s="204">
        <f t="shared" si="822"/>
        <v>-2218.3528682299998</v>
      </c>
      <c r="AN602" s="204">
        <f t="shared" si="822"/>
        <v>-1213.0359183099999</v>
      </c>
      <c r="AO602" s="204">
        <f t="shared" si="822"/>
        <v>1042.5835213899998</v>
      </c>
      <c r="AP602" s="204">
        <f t="shared" si="822"/>
        <v>1622.3741458399998</v>
      </c>
      <c r="AQ602" s="204">
        <f t="shared" si="822"/>
        <v>582.81395859999998</v>
      </c>
      <c r="AR602" s="204">
        <f>SUM(G602:R602)</f>
        <v>12808.18</v>
      </c>
      <c r="AS602" s="204">
        <f>SUM(T602:AE602)</f>
        <v>13307.699019999998</v>
      </c>
      <c r="AT602" s="204">
        <f>SUM(AF602:AQ602)</f>
        <v>13587.160699419994</v>
      </c>
      <c r="AU602" s="618">
        <f>AU601</f>
        <v>3.9E-2</v>
      </c>
      <c r="AV602" s="618">
        <f>AV601</f>
        <v>2.1000000000000001E-2</v>
      </c>
      <c r="AW602" s="30"/>
    </row>
    <row r="603" spans="2:49">
      <c r="B603" s="250">
        <v>704</v>
      </c>
      <c r="C603" s="212"/>
      <c r="D603" s="102"/>
      <c r="E603" s="102" t="s">
        <v>170</v>
      </c>
      <c r="F603" s="102"/>
      <c r="G603" s="1216">
        <v>19594.79</v>
      </c>
      <c r="H603" s="1216">
        <v>10380.77</v>
      </c>
      <c r="I603" s="1216">
        <v>-2022.72</v>
      </c>
      <c r="J603" s="1216">
        <v>5454.36</v>
      </c>
      <c r="K603" s="1216">
        <v>-3444.52</v>
      </c>
      <c r="L603" s="1216">
        <v>-24235.920000000002</v>
      </c>
      <c r="M603" s="1216">
        <v>-21280.91</v>
      </c>
      <c r="N603" s="1216">
        <v>-45442.1</v>
      </c>
      <c r="O603" s="1216">
        <v>-24494.34</v>
      </c>
      <c r="P603" s="1216">
        <v>-7290.8</v>
      </c>
      <c r="Q603" s="1216">
        <v>-3511.57</v>
      </c>
      <c r="R603" s="1216">
        <v>-34141.99</v>
      </c>
      <c r="S603" s="620"/>
      <c r="T603" s="131">
        <f t="shared" ref="T603:Y603" si="823">SUM(T601:T602)</f>
        <v>20358.986810000002</v>
      </c>
      <c r="U603" s="131">
        <f t="shared" si="823"/>
        <v>10785.62003</v>
      </c>
      <c r="V603" s="131">
        <f t="shared" si="823"/>
        <v>-2101.60608</v>
      </c>
      <c r="W603" s="131">
        <f t="shared" si="823"/>
        <v>5667.0800399999989</v>
      </c>
      <c r="X603" s="131">
        <f t="shared" si="823"/>
        <v>-3578.85628</v>
      </c>
      <c r="Y603" s="131">
        <f t="shared" si="823"/>
        <v>-25181.120879999999</v>
      </c>
      <c r="Z603" s="131">
        <f t="shared" ref="Z603:AE603" si="824">SUM(Z601:Z602)</f>
        <v>-22110.865489999996</v>
      </c>
      <c r="AA603" s="131">
        <f t="shared" si="824"/>
        <v>-47214.341899999999</v>
      </c>
      <c r="AB603" s="131">
        <f t="shared" si="824"/>
        <v>-25449.619259999996</v>
      </c>
      <c r="AC603" s="131">
        <f t="shared" si="824"/>
        <v>-7575.1412000000009</v>
      </c>
      <c r="AD603" s="131">
        <f t="shared" si="824"/>
        <v>-3648.5212300000003</v>
      </c>
      <c r="AE603" s="131">
        <f t="shared" si="824"/>
        <v>-35473.527609999997</v>
      </c>
      <c r="AF603" s="131">
        <f t="shared" ref="AF603:AQ603" si="825">SUM(AF601:AF602)</f>
        <v>20786.525533010001</v>
      </c>
      <c r="AG603" s="131">
        <f t="shared" si="825"/>
        <v>11012.118050629999</v>
      </c>
      <c r="AH603" s="131">
        <f t="shared" si="825"/>
        <v>-2145.7398076799996</v>
      </c>
      <c r="AI603" s="131">
        <f t="shared" si="825"/>
        <v>5786.0887208399981</v>
      </c>
      <c r="AJ603" s="131">
        <f t="shared" si="825"/>
        <v>-3654.0122618799996</v>
      </c>
      <c r="AK603" s="131">
        <f t="shared" si="825"/>
        <v>-25709.924418479997</v>
      </c>
      <c r="AL603" s="131">
        <f t="shared" si="825"/>
        <v>-22575.193665289997</v>
      </c>
      <c r="AM603" s="131">
        <f t="shared" si="825"/>
        <v>-48205.843079899998</v>
      </c>
      <c r="AN603" s="131">
        <f t="shared" si="825"/>
        <v>-25984.061264459993</v>
      </c>
      <c r="AO603" s="131">
        <f t="shared" si="825"/>
        <v>-7734.2191651999992</v>
      </c>
      <c r="AP603" s="131">
        <f t="shared" si="825"/>
        <v>-3725.1401758299999</v>
      </c>
      <c r="AQ603" s="131">
        <f t="shared" si="825"/>
        <v>-36218.471689809994</v>
      </c>
      <c r="AR603" s="131">
        <f>SUM(G603:R603)</f>
        <v>-130434.95000000001</v>
      </c>
      <c r="AS603" s="131">
        <f>SUM(T603:AE603)</f>
        <v>-135521.91304999997</v>
      </c>
      <c r="AT603" s="131">
        <f>SUM(AF603:AQ603)</f>
        <v>-138367.87322404998</v>
      </c>
      <c r="AU603" s="621"/>
      <c r="AV603" s="621"/>
      <c r="AW603" s="30"/>
    </row>
    <row r="604" spans="2:49">
      <c r="B604" s="250">
        <v>705</v>
      </c>
      <c r="C604" s="212"/>
      <c r="D604" s="102"/>
      <c r="E604" s="102"/>
      <c r="F604" s="102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71"/>
      <c r="AV604" s="171"/>
      <c r="AW604" s="30"/>
    </row>
    <row r="605" spans="2:49">
      <c r="B605" s="250">
        <v>706</v>
      </c>
      <c r="C605" s="212">
        <v>893</v>
      </c>
      <c r="D605" s="102" t="s">
        <v>395</v>
      </c>
      <c r="E605" s="102"/>
      <c r="F605" s="102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71"/>
      <c r="AV605" s="171"/>
      <c r="AW605" s="30"/>
    </row>
    <row r="606" spans="2:49">
      <c r="B606" s="250">
        <v>707</v>
      </c>
      <c r="C606" s="212"/>
      <c r="D606" s="102"/>
      <c r="E606" s="102" t="s">
        <v>14</v>
      </c>
      <c r="F606" s="102"/>
      <c r="G606" s="186">
        <v>15548.710000000001</v>
      </c>
      <c r="H606" s="186">
        <v>15014.52</v>
      </c>
      <c r="I606" s="186">
        <v>11162.51</v>
      </c>
      <c r="J606" s="186">
        <v>10759.48</v>
      </c>
      <c r="K606" s="186">
        <v>10205.950000000001</v>
      </c>
      <c r="L606" s="186">
        <v>8983.4</v>
      </c>
      <c r="M606" s="186">
        <v>6568.34</v>
      </c>
      <c r="N606" s="186">
        <v>5441.7</v>
      </c>
      <c r="O606" s="186">
        <v>8103.87</v>
      </c>
      <c r="P606" s="186">
        <v>14643.01</v>
      </c>
      <c r="Q606" s="186">
        <v>13998.15</v>
      </c>
      <c r="R606" s="186">
        <v>10107.879999999999</v>
      </c>
      <c r="S606" s="186"/>
      <c r="T606" s="186">
        <f t="shared" ref="T606:W607" si="826">G606*(1+$AU606)</f>
        <v>16201.755820000002</v>
      </c>
      <c r="U606" s="186">
        <f t="shared" si="826"/>
        <v>15645.129840000001</v>
      </c>
      <c r="V606" s="186">
        <f t="shared" si="826"/>
        <v>11631.335420000001</v>
      </c>
      <c r="W606" s="186">
        <f t="shared" si="826"/>
        <v>11211.37816</v>
      </c>
      <c r="X606" s="186">
        <f t="shared" ref="X606:AE607" si="827">K606*(1+$AU606)</f>
        <v>10634.599900000001</v>
      </c>
      <c r="Y606" s="186">
        <f t="shared" si="827"/>
        <v>9360.7027999999991</v>
      </c>
      <c r="Z606" s="186">
        <f t="shared" si="827"/>
        <v>6844.2102800000002</v>
      </c>
      <c r="AA606" s="186">
        <f t="shared" si="827"/>
        <v>5670.2514000000001</v>
      </c>
      <c r="AB606" s="186">
        <f t="shared" si="827"/>
        <v>8444.2325400000009</v>
      </c>
      <c r="AC606" s="186">
        <f t="shared" si="827"/>
        <v>15258.01642</v>
      </c>
      <c r="AD606" s="186">
        <f t="shared" si="827"/>
        <v>14586.0723</v>
      </c>
      <c r="AE606" s="186">
        <f t="shared" si="827"/>
        <v>10532.410959999999</v>
      </c>
      <c r="AF606" s="186">
        <f t="shared" ref="AF606:AQ606" si="828">T606*(1+$AV$606)</f>
        <v>16347.571622380001</v>
      </c>
      <c r="AG606" s="186">
        <f t="shared" si="828"/>
        <v>15785.93600856</v>
      </c>
      <c r="AH606" s="186">
        <f t="shared" si="828"/>
        <v>11736.01743878</v>
      </c>
      <c r="AI606" s="186">
        <f t="shared" si="828"/>
        <v>11312.280563439999</v>
      </c>
      <c r="AJ606" s="186">
        <f t="shared" si="828"/>
        <v>10730.3112991</v>
      </c>
      <c r="AK606" s="186">
        <f t="shared" si="828"/>
        <v>9444.9491251999989</v>
      </c>
      <c r="AL606" s="186">
        <f t="shared" si="828"/>
        <v>6905.80817252</v>
      </c>
      <c r="AM606" s="186">
        <f t="shared" si="828"/>
        <v>5721.2836625999998</v>
      </c>
      <c r="AN606" s="186">
        <f t="shared" si="828"/>
        <v>8520.2306328600007</v>
      </c>
      <c r="AO606" s="186">
        <f t="shared" si="828"/>
        <v>15395.338567779998</v>
      </c>
      <c r="AP606" s="186">
        <f t="shared" si="828"/>
        <v>14717.346950699999</v>
      </c>
      <c r="AQ606" s="186">
        <f t="shared" si="828"/>
        <v>10627.202658639999</v>
      </c>
      <c r="AR606" s="186">
        <f>SUM(G606:R606)</f>
        <v>130537.51999999997</v>
      </c>
      <c r="AS606" s="186">
        <f>SUM(T606:AE606)</f>
        <v>136020.09583999999</v>
      </c>
      <c r="AT606" s="186">
        <f>SUM(AF606:AQ606)</f>
        <v>137244.27670255999</v>
      </c>
      <c r="AU606" s="171">
        <v>4.2000000000000003E-2</v>
      </c>
      <c r="AV606" s="171">
        <v>9.0000000000000011E-3</v>
      </c>
      <c r="AW606" s="30"/>
    </row>
    <row r="607" spans="2:49">
      <c r="B607" s="250">
        <v>708</v>
      </c>
      <c r="C607" s="212"/>
      <c r="D607" s="102"/>
      <c r="E607" s="102" t="s">
        <v>24</v>
      </c>
      <c r="F607" s="102"/>
      <c r="G607" s="186">
        <v>394.5</v>
      </c>
      <c r="H607" s="186">
        <v>214.61</v>
      </c>
      <c r="I607" s="186">
        <v>200.64000000000001</v>
      </c>
      <c r="J607" s="186">
        <v>-30.38</v>
      </c>
      <c r="K607" s="186">
        <v>229.41</v>
      </c>
      <c r="L607" s="186">
        <v>349.87</v>
      </c>
      <c r="M607" s="186">
        <v>-1.1100000000000001</v>
      </c>
      <c r="N607" s="186">
        <v>291.72000000000003</v>
      </c>
      <c r="O607" s="186">
        <v>301.61</v>
      </c>
      <c r="P607" s="186">
        <v>-98.78</v>
      </c>
      <c r="Q607" s="186">
        <v>342.77</v>
      </c>
      <c r="R607" s="186">
        <v>-228.88</v>
      </c>
      <c r="S607" s="617"/>
      <c r="T607" s="204">
        <f t="shared" si="826"/>
        <v>411.06900000000002</v>
      </c>
      <c r="U607" s="204">
        <f t="shared" si="826"/>
        <v>223.62362000000002</v>
      </c>
      <c r="V607" s="204">
        <f t="shared" si="826"/>
        <v>209.06688000000003</v>
      </c>
      <c r="W607" s="204">
        <f t="shared" si="826"/>
        <v>-31.65596</v>
      </c>
      <c r="X607" s="204">
        <f t="shared" si="827"/>
        <v>239.04522</v>
      </c>
      <c r="Y607" s="204">
        <f t="shared" si="827"/>
        <v>364.56454000000002</v>
      </c>
      <c r="Z607" s="204">
        <f t="shared" si="827"/>
        <v>-1.1566200000000002</v>
      </c>
      <c r="AA607" s="204">
        <f t="shared" si="827"/>
        <v>303.97224000000006</v>
      </c>
      <c r="AB607" s="204">
        <f t="shared" si="827"/>
        <v>314.27762000000001</v>
      </c>
      <c r="AC607" s="204">
        <f t="shared" si="827"/>
        <v>-102.92876000000001</v>
      </c>
      <c r="AD607" s="204">
        <f t="shared" si="827"/>
        <v>357.16633999999999</v>
      </c>
      <c r="AE607" s="204">
        <f t="shared" si="827"/>
        <v>-238.49296000000001</v>
      </c>
      <c r="AF607" s="204">
        <f t="shared" ref="AF607:AQ607" si="829">T607*(1+$AV$607)</f>
        <v>414.768621</v>
      </c>
      <c r="AG607" s="204">
        <f t="shared" si="829"/>
        <v>225.63623257999998</v>
      </c>
      <c r="AH607" s="204">
        <f t="shared" si="829"/>
        <v>210.94848192000001</v>
      </c>
      <c r="AI607" s="204">
        <f t="shared" si="829"/>
        <v>-31.940863639999996</v>
      </c>
      <c r="AJ607" s="204">
        <f t="shared" si="829"/>
        <v>241.19662697999996</v>
      </c>
      <c r="AK607" s="204">
        <f t="shared" si="829"/>
        <v>367.84562086</v>
      </c>
      <c r="AL607" s="204">
        <f t="shared" si="829"/>
        <v>-1.1670295800000001</v>
      </c>
      <c r="AM607" s="204">
        <f t="shared" si="829"/>
        <v>306.70799016000001</v>
      </c>
      <c r="AN607" s="204">
        <f t="shared" si="829"/>
        <v>317.10611857999999</v>
      </c>
      <c r="AO607" s="204">
        <f t="shared" si="829"/>
        <v>-103.85511884</v>
      </c>
      <c r="AP607" s="204">
        <f t="shared" si="829"/>
        <v>360.38083705999998</v>
      </c>
      <c r="AQ607" s="204">
        <f t="shared" si="829"/>
        <v>-240.63939663999997</v>
      </c>
      <c r="AR607" s="204">
        <f>SUM(G607:R607)</f>
        <v>1965.9800000000005</v>
      </c>
      <c r="AS607" s="204">
        <f>SUM(T607:AE607)</f>
        <v>2048.5511600000004</v>
      </c>
      <c r="AT607" s="204">
        <f>SUM(AF607:AQ607)</f>
        <v>2066.9881204399999</v>
      </c>
      <c r="AU607" s="618">
        <f>AU606</f>
        <v>4.2000000000000003E-2</v>
      </c>
      <c r="AV607" s="618">
        <f>AV606</f>
        <v>9.0000000000000011E-3</v>
      </c>
      <c r="AW607" s="30"/>
    </row>
    <row r="608" spans="2:49">
      <c r="B608" s="250">
        <v>709</v>
      </c>
      <c r="C608" s="212"/>
      <c r="D608" s="102"/>
      <c r="E608" s="102" t="s">
        <v>170</v>
      </c>
      <c r="F608" s="102"/>
      <c r="G608" s="1216">
        <v>15943.210000000001</v>
      </c>
      <c r="H608" s="1216">
        <v>15229.130000000001</v>
      </c>
      <c r="I608" s="1216">
        <v>11363.15</v>
      </c>
      <c r="J608" s="1216">
        <v>10729.1</v>
      </c>
      <c r="K608" s="1216">
        <v>10435.36</v>
      </c>
      <c r="L608" s="1216">
        <v>9333.27</v>
      </c>
      <c r="M608" s="1216">
        <v>6567.2300000000005</v>
      </c>
      <c r="N608" s="1216">
        <v>5733.42</v>
      </c>
      <c r="O608" s="1216">
        <v>8405.48</v>
      </c>
      <c r="P608" s="1216">
        <v>14544.23</v>
      </c>
      <c r="Q608" s="1216">
        <v>14340.92</v>
      </c>
      <c r="R608" s="1216">
        <v>9879</v>
      </c>
      <c r="S608" s="620"/>
      <c r="T608" s="131">
        <f t="shared" ref="T608:Y608" si="830">SUM(T606:T607)</f>
        <v>16612.824820000002</v>
      </c>
      <c r="U608" s="131">
        <f t="shared" si="830"/>
        <v>15868.753460000002</v>
      </c>
      <c r="V608" s="131">
        <f t="shared" si="830"/>
        <v>11840.402300000002</v>
      </c>
      <c r="W608" s="131">
        <f t="shared" si="830"/>
        <v>11179.7222</v>
      </c>
      <c r="X608" s="131">
        <f t="shared" si="830"/>
        <v>10873.645120000001</v>
      </c>
      <c r="Y608" s="131">
        <f t="shared" si="830"/>
        <v>9725.2673399999985</v>
      </c>
      <c r="Z608" s="131">
        <f t="shared" ref="Z608:AE608" si="831">SUM(Z606:Z607)</f>
        <v>6843.0536600000005</v>
      </c>
      <c r="AA608" s="131">
        <f t="shared" si="831"/>
        <v>5974.2236400000002</v>
      </c>
      <c r="AB608" s="131">
        <f t="shared" si="831"/>
        <v>8758.5101600000016</v>
      </c>
      <c r="AC608" s="131">
        <f t="shared" si="831"/>
        <v>15155.087659999999</v>
      </c>
      <c r="AD608" s="131">
        <f t="shared" si="831"/>
        <v>14943.23864</v>
      </c>
      <c r="AE608" s="131">
        <f t="shared" si="831"/>
        <v>10293.918</v>
      </c>
      <c r="AF608" s="131">
        <f t="shared" ref="AF608:AQ608" si="832">SUM(AF606:AF607)</f>
        <v>16762.34024338</v>
      </c>
      <c r="AG608" s="131">
        <f t="shared" si="832"/>
        <v>16011.57224114</v>
      </c>
      <c r="AH608" s="131">
        <f t="shared" si="832"/>
        <v>11946.9659207</v>
      </c>
      <c r="AI608" s="131">
        <f t="shared" si="832"/>
        <v>11280.339699799999</v>
      </c>
      <c r="AJ608" s="131">
        <f t="shared" si="832"/>
        <v>10971.507926079999</v>
      </c>
      <c r="AK608" s="131">
        <f t="shared" si="832"/>
        <v>9812.7947460599989</v>
      </c>
      <c r="AL608" s="131">
        <f t="shared" si="832"/>
        <v>6904.6411429399996</v>
      </c>
      <c r="AM608" s="131">
        <f t="shared" si="832"/>
        <v>6027.9916527599999</v>
      </c>
      <c r="AN608" s="131">
        <f t="shared" si="832"/>
        <v>8837.3367514400015</v>
      </c>
      <c r="AO608" s="131">
        <f t="shared" si="832"/>
        <v>15291.483448939998</v>
      </c>
      <c r="AP608" s="131">
        <f t="shared" si="832"/>
        <v>15077.727787759999</v>
      </c>
      <c r="AQ608" s="131">
        <f t="shared" si="832"/>
        <v>10386.563262</v>
      </c>
      <c r="AR608" s="131">
        <f>SUM(G608:R608)</f>
        <v>132503.5</v>
      </c>
      <c r="AS608" s="131">
        <f>SUM(T608:AE608)</f>
        <v>138068.64700000003</v>
      </c>
      <c r="AT608" s="131">
        <f>SUM(AF608:AQ608)</f>
        <v>139311.264823</v>
      </c>
      <c r="AU608" s="621"/>
      <c r="AV608" s="621"/>
      <c r="AW608" s="30"/>
    </row>
    <row r="609" spans="2:49">
      <c r="B609" s="250">
        <v>710</v>
      </c>
      <c r="C609" s="212"/>
      <c r="D609" s="102"/>
      <c r="E609" s="102"/>
      <c r="F609" s="102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71"/>
      <c r="AV609" s="171"/>
      <c r="AW609" s="30"/>
    </row>
    <row r="610" spans="2:49">
      <c r="B610" s="250">
        <v>711</v>
      </c>
      <c r="C610" s="212">
        <v>8941</v>
      </c>
      <c r="D610" s="102" t="s">
        <v>397</v>
      </c>
      <c r="E610" s="102"/>
      <c r="F610" s="102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71"/>
      <c r="AV610" s="171"/>
      <c r="AW610" s="30"/>
    </row>
    <row r="611" spans="2:49">
      <c r="B611" s="250">
        <v>712</v>
      </c>
      <c r="C611" s="212"/>
      <c r="D611" s="102"/>
      <c r="E611" s="102" t="s">
        <v>14</v>
      </c>
      <c r="F611" s="102"/>
      <c r="G611" s="186">
        <v>0</v>
      </c>
      <c r="H611" s="186">
        <v>0</v>
      </c>
      <c r="I611" s="186">
        <v>0</v>
      </c>
      <c r="J611" s="186">
        <v>0</v>
      </c>
      <c r="K611" s="186">
        <v>0</v>
      </c>
      <c r="L611" s="186">
        <v>0</v>
      </c>
      <c r="M611" s="186">
        <v>0</v>
      </c>
      <c r="N611" s="186">
        <v>0</v>
      </c>
      <c r="O611" s="186">
        <v>0</v>
      </c>
      <c r="P611" s="186">
        <v>0</v>
      </c>
      <c r="Q611" s="186">
        <v>0</v>
      </c>
      <c r="R611" s="186">
        <v>0</v>
      </c>
      <c r="S611" s="186"/>
      <c r="T611" s="186">
        <f t="shared" ref="T611:W612" si="833">G611*(1+$AU611)</f>
        <v>0</v>
      </c>
      <c r="U611" s="186">
        <f t="shared" si="833"/>
        <v>0</v>
      </c>
      <c r="V611" s="186">
        <f t="shared" si="833"/>
        <v>0</v>
      </c>
      <c r="W611" s="186">
        <f t="shared" si="833"/>
        <v>0</v>
      </c>
      <c r="X611" s="186">
        <f t="shared" ref="X611:AE612" si="834">K611*(1+$AU611)</f>
        <v>0</v>
      </c>
      <c r="Y611" s="186">
        <f t="shared" si="834"/>
        <v>0</v>
      </c>
      <c r="Z611" s="186">
        <f t="shared" si="834"/>
        <v>0</v>
      </c>
      <c r="AA611" s="186">
        <f t="shared" si="834"/>
        <v>0</v>
      </c>
      <c r="AB611" s="186">
        <f t="shared" si="834"/>
        <v>0</v>
      </c>
      <c r="AC611" s="186">
        <f t="shared" si="834"/>
        <v>0</v>
      </c>
      <c r="AD611" s="186">
        <f t="shared" si="834"/>
        <v>0</v>
      </c>
      <c r="AE611" s="186">
        <f t="shared" si="834"/>
        <v>0</v>
      </c>
      <c r="AF611" s="186">
        <f t="shared" ref="AF611:AQ611" si="835">T611*(1+$AV$611)</f>
        <v>0</v>
      </c>
      <c r="AG611" s="186">
        <f t="shared" si="835"/>
        <v>0</v>
      </c>
      <c r="AH611" s="186">
        <f t="shared" si="835"/>
        <v>0</v>
      </c>
      <c r="AI611" s="186">
        <f t="shared" si="835"/>
        <v>0</v>
      </c>
      <c r="AJ611" s="186">
        <f t="shared" si="835"/>
        <v>0</v>
      </c>
      <c r="AK611" s="186">
        <f t="shared" si="835"/>
        <v>0</v>
      </c>
      <c r="AL611" s="186">
        <f t="shared" si="835"/>
        <v>0</v>
      </c>
      <c r="AM611" s="186">
        <f t="shared" si="835"/>
        <v>0</v>
      </c>
      <c r="AN611" s="186">
        <f t="shared" si="835"/>
        <v>0</v>
      </c>
      <c r="AO611" s="186">
        <f t="shared" si="835"/>
        <v>0</v>
      </c>
      <c r="AP611" s="186">
        <f t="shared" si="835"/>
        <v>0</v>
      </c>
      <c r="AQ611" s="186">
        <f t="shared" si="835"/>
        <v>0</v>
      </c>
      <c r="AR611" s="186">
        <f>SUM(G611:R611)</f>
        <v>0</v>
      </c>
      <c r="AS611" s="186">
        <f>SUM(T611:AE611)</f>
        <v>0</v>
      </c>
      <c r="AT611" s="186">
        <f>SUM(AF611:AQ611)</f>
        <v>0</v>
      </c>
      <c r="AU611" s="171">
        <v>0</v>
      </c>
      <c r="AV611" s="171">
        <v>0</v>
      </c>
      <c r="AW611" s="30"/>
    </row>
    <row r="612" spans="2:49">
      <c r="B612" s="250">
        <v>713</v>
      </c>
      <c r="C612" s="212"/>
      <c r="D612" s="102"/>
      <c r="E612" s="102" t="s">
        <v>24</v>
      </c>
      <c r="F612" s="102"/>
      <c r="G612" s="186">
        <v>0</v>
      </c>
      <c r="H612" s="186">
        <v>0</v>
      </c>
      <c r="I612" s="186">
        <v>0</v>
      </c>
      <c r="J612" s="186">
        <v>0</v>
      </c>
      <c r="K612" s="186">
        <v>0</v>
      </c>
      <c r="L612" s="186">
        <v>0</v>
      </c>
      <c r="M612" s="186">
        <v>0</v>
      </c>
      <c r="N612" s="186">
        <v>0</v>
      </c>
      <c r="O612" s="186">
        <v>0</v>
      </c>
      <c r="P612" s="186">
        <v>0</v>
      </c>
      <c r="Q612" s="186">
        <v>0</v>
      </c>
      <c r="R612" s="186">
        <v>0</v>
      </c>
      <c r="S612" s="617"/>
      <c r="T612" s="204">
        <f t="shared" si="833"/>
        <v>0</v>
      </c>
      <c r="U612" s="204">
        <f t="shared" si="833"/>
        <v>0</v>
      </c>
      <c r="V612" s="204">
        <f t="shared" si="833"/>
        <v>0</v>
      </c>
      <c r="W612" s="204">
        <f t="shared" si="833"/>
        <v>0</v>
      </c>
      <c r="X612" s="204">
        <f t="shared" si="834"/>
        <v>0</v>
      </c>
      <c r="Y612" s="204">
        <f t="shared" si="834"/>
        <v>0</v>
      </c>
      <c r="Z612" s="204">
        <f t="shared" si="834"/>
        <v>0</v>
      </c>
      <c r="AA612" s="204">
        <f t="shared" si="834"/>
        <v>0</v>
      </c>
      <c r="AB612" s="204">
        <f t="shared" si="834"/>
        <v>0</v>
      </c>
      <c r="AC612" s="204">
        <f t="shared" si="834"/>
        <v>0</v>
      </c>
      <c r="AD612" s="204">
        <f t="shared" si="834"/>
        <v>0</v>
      </c>
      <c r="AE612" s="204">
        <f t="shared" si="834"/>
        <v>0</v>
      </c>
      <c r="AF612" s="204">
        <f t="shared" ref="AF612:AQ612" si="836">T612*(1+$AV$612)</f>
        <v>0</v>
      </c>
      <c r="AG612" s="204">
        <f t="shared" si="836"/>
        <v>0</v>
      </c>
      <c r="AH612" s="204">
        <f t="shared" si="836"/>
        <v>0</v>
      </c>
      <c r="AI612" s="204">
        <f t="shared" si="836"/>
        <v>0</v>
      </c>
      <c r="AJ612" s="204">
        <f t="shared" si="836"/>
        <v>0</v>
      </c>
      <c r="AK612" s="204">
        <f t="shared" si="836"/>
        <v>0</v>
      </c>
      <c r="AL612" s="204">
        <f t="shared" si="836"/>
        <v>0</v>
      </c>
      <c r="AM612" s="204">
        <f t="shared" si="836"/>
        <v>0</v>
      </c>
      <c r="AN612" s="204">
        <f t="shared" si="836"/>
        <v>0</v>
      </c>
      <c r="AO612" s="204">
        <f t="shared" si="836"/>
        <v>0</v>
      </c>
      <c r="AP612" s="204">
        <f t="shared" si="836"/>
        <v>0</v>
      </c>
      <c r="AQ612" s="204">
        <f t="shared" si="836"/>
        <v>0</v>
      </c>
      <c r="AR612" s="204">
        <f>SUM(G612:R612)</f>
        <v>0</v>
      </c>
      <c r="AS612" s="204">
        <f>SUM(T612:AE612)</f>
        <v>0</v>
      </c>
      <c r="AT612" s="204">
        <f>SUM(AF612:AQ612)</f>
        <v>0</v>
      </c>
      <c r="AU612" s="618">
        <v>0</v>
      </c>
      <c r="AV612" s="618">
        <v>0</v>
      </c>
      <c r="AW612" s="30"/>
    </row>
    <row r="613" spans="2:49">
      <c r="B613" s="250">
        <v>714</v>
      </c>
      <c r="C613" s="212"/>
      <c r="D613" s="102"/>
      <c r="E613" s="102" t="s">
        <v>170</v>
      </c>
      <c r="F613" s="102"/>
      <c r="G613" s="1216">
        <v>0</v>
      </c>
      <c r="H613" s="1216">
        <v>0</v>
      </c>
      <c r="I613" s="1216">
        <v>0</v>
      </c>
      <c r="J613" s="1216">
        <v>0</v>
      </c>
      <c r="K613" s="1216">
        <v>0</v>
      </c>
      <c r="L613" s="1216">
        <v>0</v>
      </c>
      <c r="M613" s="1216">
        <v>0</v>
      </c>
      <c r="N613" s="1216">
        <v>0</v>
      </c>
      <c r="O613" s="1216">
        <v>0</v>
      </c>
      <c r="P613" s="1216">
        <v>0</v>
      </c>
      <c r="Q613" s="1216">
        <v>0</v>
      </c>
      <c r="R613" s="1216">
        <v>0</v>
      </c>
      <c r="S613" s="620"/>
      <c r="T613" s="131">
        <f t="shared" ref="T613:Y613" si="837">SUM(T611:T612)</f>
        <v>0</v>
      </c>
      <c r="U613" s="131">
        <f t="shared" si="837"/>
        <v>0</v>
      </c>
      <c r="V613" s="131">
        <f t="shared" si="837"/>
        <v>0</v>
      </c>
      <c r="W613" s="131">
        <f t="shared" si="837"/>
        <v>0</v>
      </c>
      <c r="X613" s="131">
        <f t="shared" si="837"/>
        <v>0</v>
      </c>
      <c r="Y613" s="131">
        <f t="shared" si="837"/>
        <v>0</v>
      </c>
      <c r="Z613" s="131">
        <f t="shared" ref="Z613:AE613" si="838">SUM(Z611:Z612)</f>
        <v>0</v>
      </c>
      <c r="AA613" s="131">
        <f t="shared" si="838"/>
        <v>0</v>
      </c>
      <c r="AB613" s="131">
        <f t="shared" si="838"/>
        <v>0</v>
      </c>
      <c r="AC613" s="131">
        <f t="shared" si="838"/>
        <v>0</v>
      </c>
      <c r="AD613" s="131">
        <f t="shared" si="838"/>
        <v>0</v>
      </c>
      <c r="AE613" s="131">
        <f t="shared" si="838"/>
        <v>0</v>
      </c>
      <c r="AF613" s="131">
        <f t="shared" ref="AF613:AQ613" si="839">SUM(AF611:AF612)</f>
        <v>0</v>
      </c>
      <c r="AG613" s="131">
        <f t="shared" si="839"/>
        <v>0</v>
      </c>
      <c r="AH613" s="131">
        <f t="shared" si="839"/>
        <v>0</v>
      </c>
      <c r="AI613" s="131">
        <f t="shared" si="839"/>
        <v>0</v>
      </c>
      <c r="AJ613" s="131">
        <f t="shared" si="839"/>
        <v>0</v>
      </c>
      <c r="AK613" s="131">
        <f t="shared" si="839"/>
        <v>0</v>
      </c>
      <c r="AL613" s="131">
        <f t="shared" si="839"/>
        <v>0</v>
      </c>
      <c r="AM613" s="131">
        <f t="shared" si="839"/>
        <v>0</v>
      </c>
      <c r="AN613" s="131">
        <f t="shared" si="839"/>
        <v>0</v>
      </c>
      <c r="AO613" s="131">
        <f t="shared" si="839"/>
        <v>0</v>
      </c>
      <c r="AP613" s="131">
        <f t="shared" si="839"/>
        <v>0</v>
      </c>
      <c r="AQ613" s="131">
        <f t="shared" si="839"/>
        <v>0</v>
      </c>
      <c r="AR613" s="131">
        <f>SUM(G613:R613)</f>
        <v>0</v>
      </c>
      <c r="AS613" s="131">
        <f>SUM(T613:AE613)</f>
        <v>0</v>
      </c>
      <c r="AT613" s="131">
        <f>SUM(AF613:AQ613)</f>
        <v>0</v>
      </c>
      <c r="AU613" s="621"/>
      <c r="AV613" s="621"/>
      <c r="AW613" s="30"/>
    </row>
    <row r="614" spans="2:49">
      <c r="B614" s="250">
        <v>715</v>
      </c>
      <c r="C614" s="212"/>
      <c r="D614" s="102"/>
      <c r="E614" s="102"/>
      <c r="F614" s="102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71"/>
      <c r="AV614" s="171"/>
      <c r="AW614" s="30"/>
    </row>
    <row r="615" spans="2:49">
      <c r="B615" s="250">
        <v>716</v>
      </c>
      <c r="C615" s="212">
        <v>8942</v>
      </c>
      <c r="D615" s="102" t="s">
        <v>399</v>
      </c>
      <c r="E615" s="102"/>
      <c r="F615" s="102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71"/>
      <c r="AV615" s="171"/>
      <c r="AW615" s="30"/>
    </row>
    <row r="616" spans="2:49">
      <c r="B616" s="250">
        <v>717</v>
      </c>
      <c r="C616" s="208"/>
      <c r="D616" s="102"/>
      <c r="E616" s="102" t="s">
        <v>14</v>
      </c>
      <c r="F616" s="102"/>
      <c r="G616" s="186">
        <v>0</v>
      </c>
      <c r="H616" s="186">
        <v>0</v>
      </c>
      <c r="I616" s="186">
        <v>0</v>
      </c>
      <c r="J616" s="186">
        <v>0</v>
      </c>
      <c r="K616" s="186">
        <v>0</v>
      </c>
      <c r="L616" s="186">
        <v>0</v>
      </c>
      <c r="M616" s="186">
        <v>0</v>
      </c>
      <c r="N616" s="186">
        <v>0</v>
      </c>
      <c r="O616" s="186">
        <v>0</v>
      </c>
      <c r="P616" s="186">
        <v>0</v>
      </c>
      <c r="Q616" s="186">
        <v>0</v>
      </c>
      <c r="R616" s="186">
        <v>0</v>
      </c>
      <c r="S616" s="186"/>
      <c r="T616" s="186">
        <f t="shared" ref="T616:W617" si="840">G616*(1+$AU616)</f>
        <v>0</v>
      </c>
      <c r="U616" s="186">
        <f t="shared" si="840"/>
        <v>0</v>
      </c>
      <c r="V616" s="186">
        <f t="shared" si="840"/>
        <v>0</v>
      </c>
      <c r="W616" s="186">
        <f t="shared" si="840"/>
        <v>0</v>
      </c>
      <c r="X616" s="186">
        <f t="shared" ref="X616:AE617" si="841">K616*(1+$AU616)</f>
        <v>0</v>
      </c>
      <c r="Y616" s="186">
        <f t="shared" si="841"/>
        <v>0</v>
      </c>
      <c r="Z616" s="186">
        <f t="shared" si="841"/>
        <v>0</v>
      </c>
      <c r="AA616" s="186">
        <f t="shared" si="841"/>
        <v>0</v>
      </c>
      <c r="AB616" s="186">
        <f t="shared" si="841"/>
        <v>0</v>
      </c>
      <c r="AC616" s="186">
        <f t="shared" si="841"/>
        <v>0</v>
      </c>
      <c r="AD616" s="186">
        <f t="shared" si="841"/>
        <v>0</v>
      </c>
      <c r="AE616" s="186">
        <f t="shared" si="841"/>
        <v>0</v>
      </c>
      <c r="AF616" s="186">
        <f t="shared" ref="AF616:AQ616" si="842">T616*(1+$AV$616)</f>
        <v>0</v>
      </c>
      <c r="AG616" s="186">
        <f t="shared" si="842"/>
        <v>0</v>
      </c>
      <c r="AH616" s="186">
        <f t="shared" si="842"/>
        <v>0</v>
      </c>
      <c r="AI616" s="186">
        <f t="shared" si="842"/>
        <v>0</v>
      </c>
      <c r="AJ616" s="186">
        <f t="shared" si="842"/>
        <v>0</v>
      </c>
      <c r="AK616" s="186">
        <f t="shared" si="842"/>
        <v>0</v>
      </c>
      <c r="AL616" s="186">
        <f t="shared" si="842"/>
        <v>0</v>
      </c>
      <c r="AM616" s="186">
        <f t="shared" si="842"/>
        <v>0</v>
      </c>
      <c r="AN616" s="186">
        <f t="shared" si="842"/>
        <v>0</v>
      </c>
      <c r="AO616" s="186">
        <f t="shared" si="842"/>
        <v>0</v>
      </c>
      <c r="AP616" s="186">
        <f t="shared" si="842"/>
        <v>0</v>
      </c>
      <c r="AQ616" s="186">
        <f t="shared" si="842"/>
        <v>0</v>
      </c>
      <c r="AR616" s="186">
        <f>SUM(G616:R616)</f>
        <v>0</v>
      </c>
      <c r="AS616" s="186">
        <f>SUM(T616:AE616)</f>
        <v>0</v>
      </c>
      <c r="AT616" s="186">
        <f>SUM(AF616:AQ616)</f>
        <v>0</v>
      </c>
      <c r="AU616" s="171">
        <v>0</v>
      </c>
      <c r="AV616" s="171">
        <v>0</v>
      </c>
      <c r="AW616" s="30"/>
    </row>
    <row r="617" spans="2:49">
      <c r="B617" s="250">
        <v>718</v>
      </c>
      <c r="C617" s="208"/>
      <c r="D617" s="102"/>
      <c r="E617" s="102" t="s">
        <v>24</v>
      </c>
      <c r="F617" s="102"/>
      <c r="G617" s="186">
        <v>0</v>
      </c>
      <c r="H617" s="186">
        <v>0</v>
      </c>
      <c r="I617" s="186">
        <v>0</v>
      </c>
      <c r="J617" s="186">
        <v>0</v>
      </c>
      <c r="K617" s="186">
        <v>0</v>
      </c>
      <c r="L617" s="186">
        <v>0</v>
      </c>
      <c r="M617" s="186">
        <v>0</v>
      </c>
      <c r="N617" s="186">
        <v>0</v>
      </c>
      <c r="O617" s="186">
        <v>0</v>
      </c>
      <c r="P617" s="186">
        <v>0</v>
      </c>
      <c r="Q617" s="186">
        <v>0</v>
      </c>
      <c r="R617" s="186">
        <v>0</v>
      </c>
      <c r="S617" s="617"/>
      <c r="T617" s="204">
        <f t="shared" si="840"/>
        <v>0</v>
      </c>
      <c r="U617" s="204">
        <f t="shared" si="840"/>
        <v>0</v>
      </c>
      <c r="V617" s="204">
        <f t="shared" si="840"/>
        <v>0</v>
      </c>
      <c r="W617" s="204">
        <f t="shared" si="840"/>
        <v>0</v>
      </c>
      <c r="X617" s="204">
        <f t="shared" si="841"/>
        <v>0</v>
      </c>
      <c r="Y617" s="204">
        <f t="shared" si="841"/>
        <v>0</v>
      </c>
      <c r="Z617" s="204">
        <f t="shared" si="841"/>
        <v>0</v>
      </c>
      <c r="AA617" s="204">
        <f t="shared" si="841"/>
        <v>0</v>
      </c>
      <c r="AB617" s="204">
        <f t="shared" si="841"/>
        <v>0</v>
      </c>
      <c r="AC617" s="204">
        <f t="shared" si="841"/>
        <v>0</v>
      </c>
      <c r="AD617" s="204">
        <f t="shared" si="841"/>
        <v>0</v>
      </c>
      <c r="AE617" s="204">
        <f t="shared" si="841"/>
        <v>0</v>
      </c>
      <c r="AF617" s="204">
        <f t="shared" ref="AF617:AQ617" si="843">T617*(1+$AV$617)</f>
        <v>0</v>
      </c>
      <c r="AG617" s="204">
        <f t="shared" si="843"/>
        <v>0</v>
      </c>
      <c r="AH617" s="204">
        <f t="shared" si="843"/>
        <v>0</v>
      </c>
      <c r="AI617" s="204">
        <f t="shared" si="843"/>
        <v>0</v>
      </c>
      <c r="AJ617" s="204">
        <f t="shared" si="843"/>
        <v>0</v>
      </c>
      <c r="AK617" s="204">
        <f t="shared" si="843"/>
        <v>0</v>
      </c>
      <c r="AL617" s="204">
        <f t="shared" si="843"/>
        <v>0</v>
      </c>
      <c r="AM617" s="204">
        <f t="shared" si="843"/>
        <v>0</v>
      </c>
      <c r="AN617" s="204">
        <f t="shared" si="843"/>
        <v>0</v>
      </c>
      <c r="AO617" s="204">
        <f t="shared" si="843"/>
        <v>0</v>
      </c>
      <c r="AP617" s="204">
        <f t="shared" si="843"/>
        <v>0</v>
      </c>
      <c r="AQ617" s="204">
        <f t="shared" si="843"/>
        <v>0</v>
      </c>
      <c r="AR617" s="204">
        <f>SUM(G617:R617)</f>
        <v>0</v>
      </c>
      <c r="AS617" s="204">
        <f>SUM(T617:AE617)</f>
        <v>0</v>
      </c>
      <c r="AT617" s="204">
        <f>SUM(AF617:AQ617)</f>
        <v>0</v>
      </c>
      <c r="AU617" s="618">
        <v>0</v>
      </c>
      <c r="AV617" s="618">
        <v>0</v>
      </c>
      <c r="AW617" s="30"/>
    </row>
    <row r="618" spans="2:49">
      <c r="B618" s="250">
        <v>719</v>
      </c>
      <c r="C618" s="208"/>
      <c r="D618" s="102"/>
      <c r="E618" s="102" t="s">
        <v>170</v>
      </c>
      <c r="F618" s="102"/>
      <c r="G618" s="1216">
        <v>0</v>
      </c>
      <c r="H618" s="1216">
        <v>0</v>
      </c>
      <c r="I618" s="1216">
        <v>0</v>
      </c>
      <c r="J618" s="1216">
        <v>0</v>
      </c>
      <c r="K618" s="1216">
        <v>0</v>
      </c>
      <c r="L618" s="1216">
        <v>0</v>
      </c>
      <c r="M618" s="1216">
        <v>0</v>
      </c>
      <c r="N618" s="1216">
        <v>0</v>
      </c>
      <c r="O618" s="1216">
        <v>0</v>
      </c>
      <c r="P618" s="1216">
        <v>0</v>
      </c>
      <c r="Q618" s="1216">
        <v>0</v>
      </c>
      <c r="R618" s="1216">
        <v>0</v>
      </c>
      <c r="S618" s="620"/>
      <c r="T618" s="131">
        <f t="shared" ref="T618:Y618" si="844">SUM(T616:T617)</f>
        <v>0</v>
      </c>
      <c r="U618" s="131">
        <f t="shared" si="844"/>
        <v>0</v>
      </c>
      <c r="V618" s="131">
        <f t="shared" si="844"/>
        <v>0</v>
      </c>
      <c r="W618" s="131">
        <f t="shared" si="844"/>
        <v>0</v>
      </c>
      <c r="X618" s="131">
        <f t="shared" si="844"/>
        <v>0</v>
      </c>
      <c r="Y618" s="131">
        <f t="shared" si="844"/>
        <v>0</v>
      </c>
      <c r="Z618" s="131">
        <f t="shared" ref="Z618:AE618" si="845">SUM(Z616:Z617)</f>
        <v>0</v>
      </c>
      <c r="AA618" s="131">
        <f t="shared" si="845"/>
        <v>0</v>
      </c>
      <c r="AB618" s="131">
        <f t="shared" si="845"/>
        <v>0</v>
      </c>
      <c r="AC618" s="131">
        <f t="shared" si="845"/>
        <v>0</v>
      </c>
      <c r="AD618" s="131">
        <f t="shared" si="845"/>
        <v>0</v>
      </c>
      <c r="AE618" s="131">
        <f t="shared" si="845"/>
        <v>0</v>
      </c>
      <c r="AF618" s="131">
        <f t="shared" ref="AF618:AQ618" si="846">SUM(AF616:AF617)</f>
        <v>0</v>
      </c>
      <c r="AG618" s="131">
        <f t="shared" si="846"/>
        <v>0</v>
      </c>
      <c r="AH618" s="131">
        <f t="shared" si="846"/>
        <v>0</v>
      </c>
      <c r="AI618" s="131">
        <f t="shared" si="846"/>
        <v>0</v>
      </c>
      <c r="AJ618" s="131">
        <f t="shared" si="846"/>
        <v>0</v>
      </c>
      <c r="AK618" s="131">
        <f t="shared" si="846"/>
        <v>0</v>
      </c>
      <c r="AL618" s="131">
        <f t="shared" si="846"/>
        <v>0</v>
      </c>
      <c r="AM618" s="131">
        <f t="shared" si="846"/>
        <v>0</v>
      </c>
      <c r="AN618" s="131">
        <f t="shared" si="846"/>
        <v>0</v>
      </c>
      <c r="AO618" s="131">
        <f t="shared" si="846"/>
        <v>0</v>
      </c>
      <c r="AP618" s="131">
        <f t="shared" si="846"/>
        <v>0</v>
      </c>
      <c r="AQ618" s="131">
        <f t="shared" si="846"/>
        <v>0</v>
      </c>
      <c r="AR618" s="131">
        <f>SUM(G618:R618)</f>
        <v>0</v>
      </c>
      <c r="AS618" s="131">
        <f>SUM(T618:AE618)</f>
        <v>0</v>
      </c>
      <c r="AT618" s="131">
        <f>SUM(AF618:AQ618)</f>
        <v>0</v>
      </c>
      <c r="AU618" s="621"/>
      <c r="AV618" s="621"/>
      <c r="AW618" s="30"/>
    </row>
    <row r="619" spans="2:49" ht="13.5" thickBot="1">
      <c r="B619" s="250">
        <v>720</v>
      </c>
      <c r="C619" s="208"/>
      <c r="D619" s="102"/>
      <c r="E619" s="102"/>
      <c r="F619" s="102"/>
      <c r="G619" s="1217"/>
      <c r="H619" s="1217"/>
      <c r="I619" s="1217"/>
      <c r="J619" s="1217"/>
      <c r="K619" s="1217"/>
      <c r="L619" s="1217"/>
      <c r="M619" s="1217"/>
      <c r="N619" s="1217"/>
      <c r="O619" s="1217"/>
      <c r="P619" s="1217"/>
      <c r="Q619" s="1217"/>
      <c r="R619" s="1217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622"/>
      <c r="AV619" s="622"/>
      <c r="AW619" s="30"/>
    </row>
    <row r="620" spans="2:49" ht="13.5" thickTop="1">
      <c r="B620" s="250">
        <v>721</v>
      </c>
      <c r="C620" s="49" t="s">
        <v>564</v>
      </c>
      <c r="D620" s="102"/>
      <c r="E620" s="102"/>
      <c r="F620" s="102"/>
      <c r="G620" s="1215"/>
      <c r="H620" s="1215"/>
      <c r="I620" s="1215"/>
      <c r="J620" s="1215"/>
      <c r="K620" s="1215"/>
      <c r="L620" s="1215"/>
      <c r="M620" s="1215"/>
      <c r="N620" s="1215"/>
      <c r="O620" s="1215"/>
      <c r="P620" s="1215"/>
      <c r="Q620" s="1215"/>
      <c r="R620" s="1215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  <c r="AI620" s="116"/>
      <c r="AJ620" s="116"/>
      <c r="AK620" s="116"/>
      <c r="AL620" s="116"/>
      <c r="AM620" s="116"/>
      <c r="AN620" s="116"/>
      <c r="AO620" s="116"/>
      <c r="AP620" s="116"/>
      <c r="AQ620" s="116"/>
      <c r="AR620" s="116"/>
      <c r="AS620" s="116"/>
      <c r="AT620" s="116"/>
      <c r="AU620" s="171"/>
      <c r="AV620" s="171"/>
      <c r="AW620" s="30"/>
    </row>
    <row r="621" spans="2:49">
      <c r="B621" s="250">
        <v>722</v>
      </c>
      <c r="C621" s="208"/>
      <c r="D621" s="102" t="s">
        <v>562</v>
      </c>
      <c r="E621" s="102"/>
      <c r="F621" s="102"/>
      <c r="G621" s="1215">
        <v>2235629.1599999997</v>
      </c>
      <c r="H621" s="1215">
        <v>1481410.97</v>
      </c>
      <c r="I621" s="1215">
        <v>2388838.0999999996</v>
      </c>
      <c r="J621" s="1215">
        <v>2262335.2999999998</v>
      </c>
      <c r="K621" s="1215">
        <v>2137407.13</v>
      </c>
      <c r="L621" s="1215">
        <v>2395097.38</v>
      </c>
      <c r="M621" s="1215">
        <v>2008698.2500000002</v>
      </c>
      <c r="N621" s="1215">
        <v>2186351.7499999995</v>
      </c>
      <c r="O621" s="1215">
        <v>2196826.7200000002</v>
      </c>
      <c r="P621" s="1215">
        <v>2515138.91</v>
      </c>
      <c r="Q621" s="1215">
        <v>1966708.1900000004</v>
      </c>
      <c r="R621" s="1215">
        <v>2562013.89</v>
      </c>
      <c r="S621" s="116"/>
      <c r="T621" s="116">
        <f t="shared" ref="T621:Y621" si="847">T526+T531+T536+T541+T546+T551+T556+T561+T566+T571+T576+T581+T586+T591+T596+T601+T606+T611+T616</f>
        <v>2294274.4577199994</v>
      </c>
      <c r="U621" s="116">
        <f t="shared" si="847"/>
        <v>1524644.0985400002</v>
      </c>
      <c r="V621" s="116">
        <f t="shared" si="847"/>
        <v>2451261.3915899997</v>
      </c>
      <c r="W621" s="116">
        <f t="shared" si="847"/>
        <v>2324764.7549300003</v>
      </c>
      <c r="X621" s="116">
        <f t="shared" si="847"/>
        <v>2194928.1478199996</v>
      </c>
      <c r="Y621" s="116">
        <f t="shared" si="847"/>
        <v>2458008.0214299997</v>
      </c>
      <c r="Z621" s="116">
        <f t="shared" ref="Z621:AE622" si="848">Z526+Z531+Z536+Z541+Z546+Z551+Z556+Z561+Z566+Z571+Z576+Z581+Z586+Z591+Z596+Z601+Z606+Z611+Z616</f>
        <v>2062301.0164200002</v>
      </c>
      <c r="AA621" s="116">
        <f t="shared" si="848"/>
        <v>2243291.8240899988</v>
      </c>
      <c r="AB621" s="116">
        <f t="shared" si="848"/>
        <v>2254717.1500599999</v>
      </c>
      <c r="AC621" s="116">
        <f t="shared" si="848"/>
        <v>2581083.1851399997</v>
      </c>
      <c r="AD621" s="116">
        <f t="shared" si="848"/>
        <v>2021003.1052199998</v>
      </c>
      <c r="AE621" s="116">
        <f t="shared" si="848"/>
        <v>2627308.4605300003</v>
      </c>
      <c r="AF621" s="116">
        <f t="shared" ref="AF621:AQ621" si="849">AF526+AF531+AF536+AF541+AF546+AF551+AF556+AF561+AF566+AF571+AF576+AF581+AF586+AF591+AF596+AF601+AF606+AF611+AF616</f>
        <v>2338115.9070369001</v>
      </c>
      <c r="AG621" s="116">
        <f t="shared" si="849"/>
        <v>1551342.4566432701</v>
      </c>
      <c r="AH621" s="116">
        <f t="shared" si="849"/>
        <v>2495763.1317402301</v>
      </c>
      <c r="AI621" s="116">
        <f t="shared" si="849"/>
        <v>2365460.0660249204</v>
      </c>
      <c r="AJ621" s="116">
        <f t="shared" si="849"/>
        <v>2232990.0485007502</v>
      </c>
      <c r="AK621" s="116">
        <f t="shared" si="849"/>
        <v>2501649.1510202703</v>
      </c>
      <c r="AL621" s="116">
        <f t="shared" si="849"/>
        <v>2099498.6482096403</v>
      </c>
      <c r="AM621" s="116">
        <f t="shared" si="849"/>
        <v>2283344.1219693101</v>
      </c>
      <c r="AN621" s="116">
        <f t="shared" si="849"/>
        <v>2294475.13980695</v>
      </c>
      <c r="AO621" s="116">
        <f t="shared" si="849"/>
        <v>2627268.9875095901</v>
      </c>
      <c r="AP621" s="116">
        <f t="shared" si="849"/>
        <v>2056236.630989</v>
      </c>
      <c r="AQ621" s="116">
        <f t="shared" si="849"/>
        <v>2674914.0978050693</v>
      </c>
      <c r="AR621" s="116">
        <f>SUM(G621:R621)</f>
        <v>26336455.75</v>
      </c>
      <c r="AS621" s="116">
        <f>SUM(T621:AE621)</f>
        <v>27037585.61349</v>
      </c>
      <c r="AT621" s="116">
        <f>SUM(AF621:AQ621)</f>
        <v>27521058.387255896</v>
      </c>
      <c r="AU621" s="171"/>
      <c r="AV621" s="171"/>
      <c r="AW621" s="30"/>
    </row>
    <row r="622" spans="2:49">
      <c r="B622" s="250">
        <v>723</v>
      </c>
      <c r="C622" s="208"/>
      <c r="D622" s="102" t="s">
        <v>563</v>
      </c>
      <c r="E622" s="102"/>
      <c r="F622" s="102"/>
      <c r="G622" s="1215">
        <v>165164.93000000002</v>
      </c>
      <c r="H622" s="1215">
        <v>73197.539999999994</v>
      </c>
      <c r="I622" s="1215">
        <v>114477.36999999998</v>
      </c>
      <c r="J622" s="1215">
        <v>120497.26000000002</v>
      </c>
      <c r="K622" s="1215">
        <v>105011.49999999999</v>
      </c>
      <c r="L622" s="1215">
        <v>124835.61</v>
      </c>
      <c r="M622" s="1215">
        <v>92808.62999999999</v>
      </c>
      <c r="N622" s="1215">
        <v>110915.06</v>
      </c>
      <c r="O622" s="1215">
        <v>105976.27999999998</v>
      </c>
      <c r="P622" s="1215">
        <v>114570.83</v>
      </c>
      <c r="Q622" s="1215">
        <v>90212.020000000019</v>
      </c>
      <c r="R622" s="1215">
        <v>115338.87999999999</v>
      </c>
      <c r="S622" s="116"/>
      <c r="T622" s="116">
        <f t="shared" ref="T622:Y622" si="850">T527+T532+T537+T542+T547+T552+T557+T562+T567+T572+T577+T582+T587+T592+T597+T602+T607+T612+T617</f>
        <v>168904.36089999997</v>
      </c>
      <c r="U622" s="116">
        <f t="shared" si="850"/>
        <v>74961.507970000006</v>
      </c>
      <c r="V622" s="116">
        <f t="shared" si="850"/>
        <v>117088.11402999998</v>
      </c>
      <c r="W622" s="116">
        <f t="shared" si="850"/>
        <v>123346.46986000001</v>
      </c>
      <c r="X622" s="116">
        <f t="shared" si="850"/>
        <v>107439.46217000001</v>
      </c>
      <c r="Y622" s="116">
        <f t="shared" si="850"/>
        <v>127719.43443000002</v>
      </c>
      <c r="Z622" s="116">
        <f t="shared" si="848"/>
        <v>94947.113870000001</v>
      </c>
      <c r="AA622" s="116">
        <f t="shared" si="848"/>
        <v>113444.28460000001</v>
      </c>
      <c r="AB622" s="116">
        <f t="shared" si="848"/>
        <v>108377.04171999999</v>
      </c>
      <c r="AC622" s="116">
        <f t="shared" si="848"/>
        <v>117224.66669</v>
      </c>
      <c r="AD622" s="116">
        <f t="shared" si="848"/>
        <v>92272.887219999975</v>
      </c>
      <c r="AE622" s="116">
        <f t="shared" si="848"/>
        <v>117940.02958999999</v>
      </c>
      <c r="AF622" s="116">
        <f t="shared" ref="AF622:AQ622" si="851">AF527+AF532+AF537+AF542+AF547+AF552+AF557+AF562+AF567+AF572+AF577+AF582+AF587+AF592+AF597+AF602+AF607+AF612+AF617</f>
        <v>172212.72119672998</v>
      </c>
      <c r="AG622" s="116">
        <f t="shared" si="851"/>
        <v>76379.08246315</v>
      </c>
      <c r="AH622" s="116">
        <f t="shared" si="851"/>
        <v>119243.27729394998</v>
      </c>
      <c r="AI622" s="116">
        <f t="shared" si="851"/>
        <v>125655.32304285999</v>
      </c>
      <c r="AJ622" s="116">
        <f t="shared" si="851"/>
        <v>109289.45068567002</v>
      </c>
      <c r="AK622" s="116">
        <f t="shared" si="851"/>
        <v>130015.39432412999</v>
      </c>
      <c r="AL622" s="116">
        <f t="shared" si="851"/>
        <v>96642.662629589977</v>
      </c>
      <c r="AM622" s="116">
        <f t="shared" si="851"/>
        <v>115502.13490530002</v>
      </c>
      <c r="AN622" s="116">
        <f t="shared" si="851"/>
        <v>110334.78285931004</v>
      </c>
      <c r="AO622" s="116">
        <f t="shared" si="851"/>
        <v>119355.03207742999</v>
      </c>
      <c r="AP622" s="116">
        <f t="shared" si="851"/>
        <v>93927.594523339983</v>
      </c>
      <c r="AQ622" s="116">
        <f t="shared" si="851"/>
        <v>120083.79049345</v>
      </c>
      <c r="AR622" s="116">
        <f>SUM(G622:R622)</f>
        <v>1333005.9099999999</v>
      </c>
      <c r="AS622" s="116">
        <f>SUM(T622:AE622)</f>
        <v>1363665.3730499998</v>
      </c>
      <c r="AT622" s="116">
        <f>SUM(AF622:AQ622)</f>
        <v>1388641.24649491</v>
      </c>
      <c r="AU622" s="171"/>
      <c r="AV622" s="171"/>
      <c r="AW622" s="30"/>
    </row>
    <row r="623" spans="2:49" ht="13.5" thickBot="1">
      <c r="B623" s="250">
        <v>724</v>
      </c>
      <c r="C623" s="208"/>
      <c r="D623" s="102"/>
      <c r="E623" s="102"/>
      <c r="F623" s="102"/>
      <c r="G623" s="1218"/>
      <c r="H623" s="1218"/>
      <c r="I623" s="1218"/>
      <c r="J623" s="1218"/>
      <c r="K623" s="1218"/>
      <c r="L623" s="1218"/>
      <c r="M623" s="1218"/>
      <c r="N623" s="1218"/>
      <c r="O623" s="1218"/>
      <c r="P623" s="1218"/>
      <c r="Q623" s="1218"/>
      <c r="R623" s="1218"/>
      <c r="S623" s="623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409"/>
      <c r="AV623" s="409"/>
      <c r="AW623" s="30"/>
    </row>
    <row r="624" spans="2:49">
      <c r="B624" s="250">
        <v>725</v>
      </c>
      <c r="C624" s="208"/>
      <c r="D624" s="49" t="s">
        <v>564</v>
      </c>
      <c r="E624" s="102"/>
      <c r="F624" s="102"/>
      <c r="G624" s="1215">
        <v>2400794.09</v>
      </c>
      <c r="H624" s="1215">
        <v>1554608.5099999998</v>
      </c>
      <c r="I624" s="1215">
        <v>2503315.4699999997</v>
      </c>
      <c r="J624" s="1215">
        <v>2382832.56</v>
      </c>
      <c r="K624" s="1215">
        <v>2242418.63</v>
      </c>
      <c r="L624" s="1215">
        <v>2519932.9900000002</v>
      </c>
      <c r="M624" s="1215">
        <v>2101506.88</v>
      </c>
      <c r="N624" s="1215">
        <v>2297266.81</v>
      </c>
      <c r="O624" s="1215">
        <v>2302803.0000000005</v>
      </c>
      <c r="P624" s="1215">
        <v>2629709.7400000002</v>
      </c>
      <c r="Q624" s="1215">
        <v>2056920.21</v>
      </c>
      <c r="R624" s="1215">
        <v>2677352.7699999996</v>
      </c>
      <c r="S624" s="116"/>
      <c r="T624" s="116">
        <f t="shared" ref="T624:Y624" si="852">T528+T533+T538+T543+T548+T553+T558+T563+T568+T573+T578+T583+T588+T593+T598+T603+T608+T613+T618</f>
        <v>2463178.8186200005</v>
      </c>
      <c r="U624" s="116">
        <f t="shared" si="852"/>
        <v>1599605.6065100003</v>
      </c>
      <c r="V624" s="116">
        <f t="shared" si="852"/>
        <v>2568349.5056200004</v>
      </c>
      <c r="W624" s="116">
        <f t="shared" si="852"/>
        <v>2448111.2247899999</v>
      </c>
      <c r="X624" s="116">
        <f t="shared" si="852"/>
        <v>2302367.6099900003</v>
      </c>
      <c r="Y624" s="116">
        <f t="shared" si="852"/>
        <v>2585727.4558600001</v>
      </c>
      <c r="Z624" s="116">
        <f t="shared" ref="Z624:AE624" si="853">Z528+Z533+Z538+Z543+Z548+Z553+Z558+Z563+Z568+Z573+Z578+Z583+Z588+Z593+Z598+Z603+Z608+Z613+Z618</f>
        <v>2157248.1302900002</v>
      </c>
      <c r="AA624" s="116">
        <f t="shared" si="853"/>
        <v>2356736.1086900001</v>
      </c>
      <c r="AB624" s="116">
        <f t="shared" si="853"/>
        <v>2363094.1917800005</v>
      </c>
      <c r="AC624" s="116">
        <f t="shared" si="853"/>
        <v>2698307.8518300005</v>
      </c>
      <c r="AD624" s="116">
        <f t="shared" si="853"/>
        <v>2113275.9924400002</v>
      </c>
      <c r="AE624" s="116">
        <f t="shared" si="853"/>
        <v>2745248.4901200002</v>
      </c>
      <c r="AF624" s="116">
        <f t="shared" ref="AF624:AQ624" si="854">AF528+AF533+AF538+AF543+AF548+AF553+AF558+AF563+AF568+AF573+AF578+AF583+AF588+AF593+AF598+AF603+AF608+AF613+AF618</f>
        <v>2510328.6282336293</v>
      </c>
      <c r="AG624" s="116">
        <f t="shared" si="854"/>
        <v>1627721.53910642</v>
      </c>
      <c r="AH624" s="116">
        <f t="shared" si="854"/>
        <v>2615006.40903418</v>
      </c>
      <c r="AI624" s="116">
        <f t="shared" si="854"/>
        <v>2491115.3890677802</v>
      </c>
      <c r="AJ624" s="116">
        <f t="shared" si="854"/>
        <v>2342279.4991864203</v>
      </c>
      <c r="AK624" s="116">
        <f t="shared" si="854"/>
        <v>2631664.5453444002</v>
      </c>
      <c r="AL624" s="116">
        <f t="shared" si="854"/>
        <v>2196141.3108392307</v>
      </c>
      <c r="AM624" s="116">
        <f t="shared" si="854"/>
        <v>2398846.2568746102</v>
      </c>
      <c r="AN624" s="116">
        <f t="shared" si="854"/>
        <v>2404809.9226662605</v>
      </c>
      <c r="AO624" s="116">
        <f t="shared" si="854"/>
        <v>2746624.0195870195</v>
      </c>
      <c r="AP624" s="116">
        <f t="shared" si="854"/>
        <v>2150164.2255123397</v>
      </c>
      <c r="AQ624" s="116">
        <f t="shared" si="854"/>
        <v>2794997.8882985204</v>
      </c>
      <c r="AR624" s="116">
        <f>SUM(G624:R624)</f>
        <v>27669461.66</v>
      </c>
      <c r="AS624" s="116">
        <f>SUM(T624:AE624)</f>
        <v>28401250.986540005</v>
      </c>
      <c r="AT624" s="116">
        <f>SUM(AF624:AQ624)</f>
        <v>28909699.633750811</v>
      </c>
      <c r="AU624" s="171"/>
      <c r="AV624" s="171"/>
      <c r="AW624" s="30"/>
    </row>
    <row r="625" spans="2:49">
      <c r="B625" s="250">
        <v>726</v>
      </c>
      <c r="C625" s="208"/>
      <c r="D625" s="102"/>
      <c r="E625" s="102"/>
      <c r="F625" s="102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71"/>
      <c r="AT625" s="186"/>
      <c r="AU625" s="171"/>
      <c r="AV625" s="171"/>
      <c r="AW625" s="30"/>
    </row>
    <row r="626" spans="2:49">
      <c r="B626" s="250">
        <v>727</v>
      </c>
      <c r="C626" s="49" t="s">
        <v>400</v>
      </c>
      <c r="D626" s="102"/>
      <c r="E626" s="102"/>
      <c r="F626" s="102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71"/>
      <c r="AV626" s="171"/>
      <c r="AW626" s="30"/>
    </row>
    <row r="627" spans="2:49">
      <c r="B627" s="250">
        <v>728</v>
      </c>
      <c r="C627" s="208"/>
      <c r="D627" s="102"/>
      <c r="E627" s="102"/>
      <c r="F627" s="102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71"/>
      <c r="AV627" s="171"/>
      <c r="AW627" s="30"/>
    </row>
    <row r="628" spans="2:49">
      <c r="B628" s="250">
        <v>729</v>
      </c>
      <c r="C628" s="212">
        <v>901</v>
      </c>
      <c r="D628" s="102" t="s">
        <v>402</v>
      </c>
      <c r="E628" s="102"/>
      <c r="F628" s="102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71"/>
      <c r="AV628" s="171"/>
      <c r="AW628" s="30"/>
    </row>
    <row r="629" spans="2:49">
      <c r="B629" s="250">
        <v>730</v>
      </c>
      <c r="C629" s="212"/>
      <c r="D629" s="102"/>
      <c r="E629" s="102" t="s">
        <v>14</v>
      </c>
      <c r="F629" s="102"/>
      <c r="G629" s="186">
        <v>34866.620000000003</v>
      </c>
      <c r="H629" s="186">
        <v>45229.520000000004</v>
      </c>
      <c r="I629" s="186">
        <v>39008.660000000003</v>
      </c>
      <c r="J629" s="186">
        <v>35809.96</v>
      </c>
      <c r="K629" s="186">
        <v>46871.240000000005</v>
      </c>
      <c r="L629" s="186">
        <v>36765.71</v>
      </c>
      <c r="M629" s="186">
        <v>43758.130000000005</v>
      </c>
      <c r="N629" s="186">
        <v>32060.89</v>
      </c>
      <c r="O629" s="186">
        <v>39615.760000000002</v>
      </c>
      <c r="P629" s="186">
        <v>43600.58</v>
      </c>
      <c r="Q629" s="186">
        <v>42030.720000000001</v>
      </c>
      <c r="R629" s="186">
        <v>95141.81</v>
      </c>
      <c r="S629" s="186"/>
      <c r="T629" s="186">
        <f t="shared" ref="T629:W630" si="855">G629*(1+$AU629)</f>
        <v>35633.685640000003</v>
      </c>
      <c r="U629" s="186">
        <f t="shared" si="855"/>
        <v>46224.569440000007</v>
      </c>
      <c r="V629" s="186">
        <f t="shared" si="855"/>
        <v>39866.850520000007</v>
      </c>
      <c r="W629" s="186">
        <f t="shared" si="855"/>
        <v>36597.779119999999</v>
      </c>
      <c r="X629" s="186">
        <f t="shared" ref="X629:AE630" si="856">K629*(1+$AU629)</f>
        <v>47902.407280000007</v>
      </c>
      <c r="Y629" s="186">
        <f t="shared" si="856"/>
        <v>37574.555619999999</v>
      </c>
      <c r="Z629" s="186">
        <f t="shared" si="856"/>
        <v>44720.808860000005</v>
      </c>
      <c r="AA629" s="186">
        <f t="shared" si="856"/>
        <v>32766.229579999999</v>
      </c>
      <c r="AB629" s="186">
        <f t="shared" si="856"/>
        <v>40487.30672</v>
      </c>
      <c r="AC629" s="186">
        <f t="shared" si="856"/>
        <v>44559.792760000004</v>
      </c>
      <c r="AD629" s="186">
        <f t="shared" si="856"/>
        <v>42955.395840000005</v>
      </c>
      <c r="AE629" s="186">
        <f t="shared" si="856"/>
        <v>97234.929820000005</v>
      </c>
      <c r="AF629" s="186">
        <f t="shared" ref="AF629:AQ629" si="857">T629*(1+$AV$629)</f>
        <v>36381.99303844</v>
      </c>
      <c r="AG629" s="186">
        <f t="shared" si="857"/>
        <v>47195.285398240005</v>
      </c>
      <c r="AH629" s="186">
        <f t="shared" si="857"/>
        <v>40704.054380920003</v>
      </c>
      <c r="AI629" s="186">
        <f t="shared" si="857"/>
        <v>37366.332481519996</v>
      </c>
      <c r="AJ629" s="186">
        <f t="shared" si="857"/>
        <v>48908.357832879999</v>
      </c>
      <c r="AK629" s="186">
        <f t="shared" si="857"/>
        <v>38363.621288019996</v>
      </c>
      <c r="AL629" s="186">
        <f t="shared" si="857"/>
        <v>45659.94584606</v>
      </c>
      <c r="AM629" s="186">
        <f t="shared" si="857"/>
        <v>33454.320401179997</v>
      </c>
      <c r="AN629" s="186">
        <f t="shared" si="857"/>
        <v>41337.54016112</v>
      </c>
      <c r="AO629" s="186">
        <f t="shared" si="857"/>
        <v>45495.548407959999</v>
      </c>
      <c r="AP629" s="186">
        <f t="shared" si="857"/>
        <v>43857.459152640004</v>
      </c>
      <c r="AQ629" s="186">
        <f t="shared" si="857"/>
        <v>99276.863346219994</v>
      </c>
      <c r="AR629" s="186">
        <f>SUM(G629:R629)</f>
        <v>534759.60000000009</v>
      </c>
      <c r="AS629" s="186">
        <f>SUM(T629:AE629)</f>
        <v>546524.3112</v>
      </c>
      <c r="AT629" s="186">
        <f>SUM(AF629:AQ629)</f>
        <v>558001.32173520001</v>
      </c>
      <c r="AU629" s="171">
        <v>2.2000000000000002E-2</v>
      </c>
      <c r="AV629" s="171">
        <v>2.1000000000000001E-2</v>
      </c>
      <c r="AW629" s="30"/>
    </row>
    <row r="630" spans="2:49">
      <c r="B630" s="250">
        <v>731</v>
      </c>
      <c r="C630" s="212"/>
      <c r="D630" s="102"/>
      <c r="E630" s="102" t="s">
        <v>24</v>
      </c>
      <c r="F630" s="102"/>
      <c r="G630" s="186">
        <v>1991.32</v>
      </c>
      <c r="H630" s="186">
        <v>1961.25</v>
      </c>
      <c r="I630" s="186">
        <v>2013.95</v>
      </c>
      <c r="J630" s="186">
        <v>1789.29</v>
      </c>
      <c r="K630" s="186">
        <v>1864.99</v>
      </c>
      <c r="L630" s="186">
        <v>1792.97</v>
      </c>
      <c r="M630" s="186">
        <v>1816.06</v>
      </c>
      <c r="N630" s="186">
        <v>1665.04</v>
      </c>
      <c r="O630" s="186">
        <v>2058.94</v>
      </c>
      <c r="P630" s="186">
        <v>1196</v>
      </c>
      <c r="Q630" s="186">
        <v>2177.3200000000002</v>
      </c>
      <c r="R630" s="186">
        <v>3646.7400000000002</v>
      </c>
      <c r="S630" s="617"/>
      <c r="T630" s="204">
        <f t="shared" si="855"/>
        <v>2035.12904</v>
      </c>
      <c r="U630" s="204">
        <f t="shared" si="855"/>
        <v>2004.3975</v>
      </c>
      <c r="V630" s="204">
        <f t="shared" si="855"/>
        <v>2058.2568999999999</v>
      </c>
      <c r="W630" s="204">
        <f t="shared" si="855"/>
        <v>1828.6543799999999</v>
      </c>
      <c r="X630" s="204">
        <f t="shared" si="856"/>
        <v>1906.0197800000001</v>
      </c>
      <c r="Y630" s="204">
        <f t="shared" si="856"/>
        <v>1832.41534</v>
      </c>
      <c r="Z630" s="204">
        <f t="shared" si="856"/>
        <v>1856.01332</v>
      </c>
      <c r="AA630" s="204">
        <f t="shared" si="856"/>
        <v>1701.6708799999999</v>
      </c>
      <c r="AB630" s="204">
        <f t="shared" si="856"/>
        <v>2104.23668</v>
      </c>
      <c r="AC630" s="204">
        <f t="shared" si="856"/>
        <v>1222.3120000000001</v>
      </c>
      <c r="AD630" s="204">
        <f t="shared" si="856"/>
        <v>2225.2210400000004</v>
      </c>
      <c r="AE630" s="204">
        <f t="shared" si="856"/>
        <v>3726.9682800000005</v>
      </c>
      <c r="AF630" s="204">
        <f t="shared" ref="AF630:AQ630" si="858">T630*(1+$AV$630)</f>
        <v>2077.86674984</v>
      </c>
      <c r="AG630" s="204">
        <f t="shared" si="858"/>
        <v>2046.4898474999998</v>
      </c>
      <c r="AH630" s="204">
        <f t="shared" si="858"/>
        <v>2101.4802948999995</v>
      </c>
      <c r="AI630" s="204">
        <f t="shared" si="858"/>
        <v>1867.0561219799997</v>
      </c>
      <c r="AJ630" s="204">
        <f t="shared" si="858"/>
        <v>1946.04619538</v>
      </c>
      <c r="AK630" s="204">
        <f t="shared" si="858"/>
        <v>1870.8960621399999</v>
      </c>
      <c r="AL630" s="204">
        <f t="shared" si="858"/>
        <v>1894.9895997199999</v>
      </c>
      <c r="AM630" s="204">
        <f t="shared" si="858"/>
        <v>1737.4059684799997</v>
      </c>
      <c r="AN630" s="204">
        <f t="shared" si="858"/>
        <v>2148.4256502799999</v>
      </c>
      <c r="AO630" s="204">
        <f t="shared" si="858"/>
        <v>1247.980552</v>
      </c>
      <c r="AP630" s="204">
        <f t="shared" si="858"/>
        <v>2271.95068184</v>
      </c>
      <c r="AQ630" s="204">
        <f t="shared" si="858"/>
        <v>3805.2346138800003</v>
      </c>
      <c r="AR630" s="204">
        <f>SUM(G630:R630)</f>
        <v>23973.87</v>
      </c>
      <c r="AS630" s="204">
        <f>SUM(T630:AE630)</f>
        <v>24501.295140000002</v>
      </c>
      <c r="AT630" s="204">
        <f>SUM(AF630:AQ630)</f>
        <v>25015.822337940001</v>
      </c>
      <c r="AU630" s="618">
        <f>AU629</f>
        <v>2.2000000000000002E-2</v>
      </c>
      <c r="AV630" s="618">
        <f>AV629</f>
        <v>2.1000000000000001E-2</v>
      </c>
      <c r="AW630" s="30"/>
    </row>
    <row r="631" spans="2:49">
      <c r="B631" s="250">
        <v>732</v>
      </c>
      <c r="C631" s="212"/>
      <c r="D631" s="102"/>
      <c r="E631" s="102" t="s">
        <v>170</v>
      </c>
      <c r="F631" s="102"/>
      <c r="G631" s="1216">
        <v>36857.94</v>
      </c>
      <c r="H631" s="1216">
        <v>47190.770000000004</v>
      </c>
      <c r="I631" s="1216">
        <v>41022.61</v>
      </c>
      <c r="J631" s="1216">
        <v>37599.25</v>
      </c>
      <c r="K631" s="1216">
        <v>48736.23</v>
      </c>
      <c r="L631" s="1216">
        <v>38558.68</v>
      </c>
      <c r="M631" s="1216">
        <v>45574.19</v>
      </c>
      <c r="N631" s="1216">
        <v>33725.93</v>
      </c>
      <c r="O631" s="1216">
        <v>41674.700000000004</v>
      </c>
      <c r="P631" s="1216">
        <v>44796.58</v>
      </c>
      <c r="Q631" s="1216">
        <v>44208.04</v>
      </c>
      <c r="R631" s="1216">
        <v>98788.55</v>
      </c>
      <c r="S631" s="620"/>
      <c r="T631" s="131">
        <f t="shared" ref="T631:Y631" si="859">SUM(T629:T630)</f>
        <v>37668.814680000003</v>
      </c>
      <c r="U631" s="131">
        <f t="shared" si="859"/>
        <v>48228.966940000006</v>
      </c>
      <c r="V631" s="131">
        <f t="shared" si="859"/>
        <v>41925.107420000008</v>
      </c>
      <c r="W631" s="131">
        <f t="shared" si="859"/>
        <v>38426.433499999999</v>
      </c>
      <c r="X631" s="131">
        <f t="shared" si="859"/>
        <v>49808.427060000009</v>
      </c>
      <c r="Y631" s="131">
        <f t="shared" si="859"/>
        <v>39406.970959999999</v>
      </c>
      <c r="Z631" s="131">
        <f t="shared" ref="Z631:AE631" si="860">SUM(Z629:Z630)</f>
        <v>46576.822180000003</v>
      </c>
      <c r="AA631" s="131">
        <f t="shared" si="860"/>
        <v>34467.900459999997</v>
      </c>
      <c r="AB631" s="131">
        <f t="shared" si="860"/>
        <v>42591.543400000002</v>
      </c>
      <c r="AC631" s="131">
        <f t="shared" si="860"/>
        <v>45782.104760000002</v>
      </c>
      <c r="AD631" s="131">
        <f t="shared" si="860"/>
        <v>45180.616880000001</v>
      </c>
      <c r="AE631" s="131">
        <f t="shared" si="860"/>
        <v>100961.89810000001</v>
      </c>
      <c r="AF631" s="131">
        <f t="shared" ref="AF631:AQ631" si="861">SUM(AF629:AF630)</f>
        <v>38459.859788280002</v>
      </c>
      <c r="AG631" s="131">
        <f t="shared" si="861"/>
        <v>49241.775245740006</v>
      </c>
      <c r="AH631" s="131">
        <f t="shared" si="861"/>
        <v>42805.534675820003</v>
      </c>
      <c r="AI631" s="131">
        <f t="shared" si="861"/>
        <v>39233.388603499996</v>
      </c>
      <c r="AJ631" s="131">
        <f t="shared" si="861"/>
        <v>50854.404028259996</v>
      </c>
      <c r="AK631" s="131">
        <f t="shared" si="861"/>
        <v>40234.517350159993</v>
      </c>
      <c r="AL631" s="131">
        <f t="shared" si="861"/>
        <v>47554.93544578</v>
      </c>
      <c r="AM631" s="131">
        <f t="shared" si="861"/>
        <v>35191.726369659998</v>
      </c>
      <c r="AN631" s="131">
        <f t="shared" si="861"/>
        <v>43485.965811399998</v>
      </c>
      <c r="AO631" s="131">
        <f t="shared" si="861"/>
        <v>46743.52895996</v>
      </c>
      <c r="AP631" s="131">
        <f t="shared" si="861"/>
        <v>46129.40983448</v>
      </c>
      <c r="AQ631" s="131">
        <f t="shared" si="861"/>
        <v>103082.0979601</v>
      </c>
      <c r="AR631" s="131">
        <f>SUM(G631:R631)</f>
        <v>558733.47000000009</v>
      </c>
      <c r="AS631" s="131">
        <f>SUM(T631:AE631)</f>
        <v>571025.60634000006</v>
      </c>
      <c r="AT631" s="131">
        <f>SUM(AF631:AQ631)</f>
        <v>583017.14407313999</v>
      </c>
      <c r="AU631" s="621"/>
      <c r="AV631" s="621"/>
      <c r="AW631" s="30"/>
    </row>
    <row r="632" spans="2:49">
      <c r="B632" s="250">
        <v>733</v>
      </c>
      <c r="C632" s="212"/>
      <c r="D632" s="102"/>
      <c r="E632" s="102"/>
      <c r="F632" s="102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71"/>
      <c r="AV632" s="171"/>
      <c r="AW632" s="30"/>
    </row>
    <row r="633" spans="2:49">
      <c r="B633" s="250">
        <v>734</v>
      </c>
      <c r="C633" s="212">
        <v>902</v>
      </c>
      <c r="D633" s="102" t="s">
        <v>403</v>
      </c>
      <c r="E633" s="102"/>
      <c r="F633" s="102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71"/>
      <c r="AV633" s="171"/>
      <c r="AW633" s="30"/>
    </row>
    <row r="634" spans="2:49">
      <c r="B634" s="250">
        <v>735</v>
      </c>
      <c r="C634" s="212"/>
      <c r="D634" s="102"/>
      <c r="E634" s="102" t="s">
        <v>14</v>
      </c>
      <c r="F634" s="102"/>
      <c r="G634" s="186">
        <v>31142.370000000003</v>
      </c>
      <c r="H634" s="186">
        <v>28431.190000000002</v>
      </c>
      <c r="I634" s="186">
        <v>28720.02</v>
      </c>
      <c r="J634" s="186">
        <v>43782.65</v>
      </c>
      <c r="K634" s="186">
        <v>25533.18</v>
      </c>
      <c r="L634" s="186">
        <v>30460.020000000004</v>
      </c>
      <c r="M634" s="186">
        <v>20236.490000000002</v>
      </c>
      <c r="N634" s="186">
        <v>24617.82</v>
      </c>
      <c r="O634" s="186">
        <v>15680.589999999998</v>
      </c>
      <c r="P634" s="186">
        <v>22273.370000000003</v>
      </c>
      <c r="Q634" s="186">
        <v>19373.11</v>
      </c>
      <c r="R634" s="186">
        <v>22083.34</v>
      </c>
      <c r="S634" s="186"/>
      <c r="T634" s="186">
        <f t="shared" ref="T634:W635" si="862">G634*(1+$AU634)</f>
        <v>31578.363180000004</v>
      </c>
      <c r="U634" s="186">
        <f t="shared" si="862"/>
        <v>28829.226660000004</v>
      </c>
      <c r="V634" s="186">
        <f t="shared" si="862"/>
        <v>29122.100280000002</v>
      </c>
      <c r="W634" s="186">
        <f t="shared" si="862"/>
        <v>44395.607100000001</v>
      </c>
      <c r="X634" s="186">
        <f t="shared" ref="X634:AE635" si="863">K634*(1+$AU634)</f>
        <v>25890.644520000002</v>
      </c>
      <c r="Y634" s="186">
        <f t="shared" si="863"/>
        <v>30886.460280000003</v>
      </c>
      <c r="Z634" s="186">
        <f t="shared" si="863"/>
        <v>20519.800860000003</v>
      </c>
      <c r="AA634" s="186">
        <f t="shared" si="863"/>
        <v>24962.46948</v>
      </c>
      <c r="AB634" s="186">
        <f t="shared" si="863"/>
        <v>15900.118259999999</v>
      </c>
      <c r="AC634" s="186">
        <f t="shared" si="863"/>
        <v>22585.197180000003</v>
      </c>
      <c r="AD634" s="186">
        <f t="shared" si="863"/>
        <v>19644.33354</v>
      </c>
      <c r="AE634" s="186">
        <f t="shared" si="863"/>
        <v>22392.50676</v>
      </c>
      <c r="AF634" s="186">
        <f t="shared" ref="AF634:AQ634" si="864">T634*(1+$AV$634)</f>
        <v>31988.881901340003</v>
      </c>
      <c r="AG634" s="186">
        <f t="shared" si="864"/>
        <v>29204.006606580002</v>
      </c>
      <c r="AH634" s="186">
        <f t="shared" si="864"/>
        <v>29500.68758364</v>
      </c>
      <c r="AI634" s="186">
        <f t="shared" si="864"/>
        <v>44972.7499923</v>
      </c>
      <c r="AJ634" s="186">
        <f t="shared" si="864"/>
        <v>26227.222898759999</v>
      </c>
      <c r="AK634" s="186">
        <f t="shared" si="864"/>
        <v>31287.984263639999</v>
      </c>
      <c r="AL634" s="186">
        <f t="shared" si="864"/>
        <v>20786.558271180002</v>
      </c>
      <c r="AM634" s="186">
        <f t="shared" si="864"/>
        <v>25286.981583239998</v>
      </c>
      <c r="AN634" s="186">
        <f t="shared" si="864"/>
        <v>16106.819797379998</v>
      </c>
      <c r="AO634" s="186">
        <f t="shared" si="864"/>
        <v>22878.804743339999</v>
      </c>
      <c r="AP634" s="186">
        <f t="shared" si="864"/>
        <v>19899.709876019999</v>
      </c>
      <c r="AQ634" s="186">
        <f t="shared" si="864"/>
        <v>22683.609347879999</v>
      </c>
      <c r="AR634" s="186">
        <f>SUM(G634:R634)</f>
        <v>312334.15000000002</v>
      </c>
      <c r="AS634" s="186">
        <f>SUM(T634:AE634)</f>
        <v>316706.82810000004</v>
      </c>
      <c r="AT634" s="186">
        <f>SUM(AF634:AQ634)</f>
        <v>320824.01686530001</v>
      </c>
      <c r="AU634" s="171">
        <v>1.3999999999999999E-2</v>
      </c>
      <c r="AV634" s="171">
        <v>1.3000000000000001E-2</v>
      </c>
      <c r="AW634" s="30"/>
    </row>
    <row r="635" spans="2:49">
      <c r="B635" s="250">
        <v>736</v>
      </c>
      <c r="C635" s="212"/>
      <c r="D635" s="102"/>
      <c r="E635" s="102" t="s">
        <v>24</v>
      </c>
      <c r="F635" s="102"/>
      <c r="G635" s="186">
        <v>5735.3200000000006</v>
      </c>
      <c r="H635" s="186">
        <v>6836.39</v>
      </c>
      <c r="I635" s="186">
        <v>6440.84</v>
      </c>
      <c r="J635" s="186">
        <v>5246.85</v>
      </c>
      <c r="K635" s="186">
        <v>5501.89</v>
      </c>
      <c r="L635" s="186">
        <v>4845.3200000000006</v>
      </c>
      <c r="M635" s="186">
        <v>4523.78</v>
      </c>
      <c r="N635" s="186">
        <v>4503.21</v>
      </c>
      <c r="O635" s="186">
        <v>4537.1900000000005</v>
      </c>
      <c r="P635" s="186">
        <v>4971.01</v>
      </c>
      <c r="Q635" s="186">
        <v>5735.4</v>
      </c>
      <c r="R635" s="186">
        <v>4458</v>
      </c>
      <c r="S635" s="617"/>
      <c r="T635" s="204">
        <f t="shared" si="862"/>
        <v>5815.6144800000011</v>
      </c>
      <c r="U635" s="204">
        <f t="shared" si="862"/>
        <v>6932.0994600000004</v>
      </c>
      <c r="V635" s="204">
        <f t="shared" si="862"/>
        <v>6531.0117600000003</v>
      </c>
      <c r="W635" s="204">
        <f t="shared" si="862"/>
        <v>5320.3059000000003</v>
      </c>
      <c r="X635" s="204">
        <f t="shared" si="863"/>
        <v>5578.9164600000004</v>
      </c>
      <c r="Y635" s="204">
        <f t="shared" si="863"/>
        <v>4913.1544800000011</v>
      </c>
      <c r="Z635" s="204">
        <f t="shared" si="863"/>
        <v>4587.1129199999996</v>
      </c>
      <c r="AA635" s="204">
        <f t="shared" si="863"/>
        <v>4566.2549399999998</v>
      </c>
      <c r="AB635" s="204">
        <f t="shared" si="863"/>
        <v>4600.7106600000006</v>
      </c>
      <c r="AC635" s="204">
        <f t="shared" si="863"/>
        <v>5040.6041400000004</v>
      </c>
      <c r="AD635" s="204">
        <f t="shared" si="863"/>
        <v>5815.6956</v>
      </c>
      <c r="AE635" s="204">
        <f t="shared" si="863"/>
        <v>4520.4120000000003</v>
      </c>
      <c r="AF635" s="204">
        <f t="shared" ref="AF635:AQ635" si="865">T635*(1+$AV$635)</f>
        <v>5891.2174682400009</v>
      </c>
      <c r="AG635" s="204">
        <f t="shared" si="865"/>
        <v>7022.2167529799999</v>
      </c>
      <c r="AH635" s="204">
        <f t="shared" si="865"/>
        <v>6615.91491288</v>
      </c>
      <c r="AI635" s="204">
        <f t="shared" si="865"/>
        <v>5389.4698767</v>
      </c>
      <c r="AJ635" s="204">
        <f t="shared" si="865"/>
        <v>5651.4423739799995</v>
      </c>
      <c r="AK635" s="204">
        <f t="shared" si="865"/>
        <v>4977.0254882400004</v>
      </c>
      <c r="AL635" s="204">
        <f t="shared" si="865"/>
        <v>4646.7453879599989</v>
      </c>
      <c r="AM635" s="204">
        <f t="shared" si="865"/>
        <v>4625.6162542199991</v>
      </c>
      <c r="AN635" s="204">
        <f t="shared" si="865"/>
        <v>4660.5198985799998</v>
      </c>
      <c r="AO635" s="204">
        <f t="shared" si="865"/>
        <v>5106.1319938199995</v>
      </c>
      <c r="AP635" s="204">
        <f t="shared" si="865"/>
        <v>5891.2996427999997</v>
      </c>
      <c r="AQ635" s="204">
        <f t="shared" si="865"/>
        <v>4579.1773560000001</v>
      </c>
      <c r="AR635" s="204">
        <f>SUM(G635:R635)</f>
        <v>63335.200000000004</v>
      </c>
      <c r="AS635" s="204">
        <f>SUM(T635:AE635)</f>
        <v>64221.892800000001</v>
      </c>
      <c r="AT635" s="204">
        <f>SUM(AF635:AQ635)</f>
        <v>65056.77740639999</v>
      </c>
      <c r="AU635" s="618">
        <f>AU634</f>
        <v>1.3999999999999999E-2</v>
      </c>
      <c r="AV635" s="618">
        <f>AV634</f>
        <v>1.3000000000000001E-2</v>
      </c>
      <c r="AW635" s="30"/>
    </row>
    <row r="636" spans="2:49">
      <c r="B636" s="250">
        <v>737</v>
      </c>
      <c r="C636" s="212"/>
      <c r="D636" s="102"/>
      <c r="E636" s="102" t="s">
        <v>170</v>
      </c>
      <c r="F636" s="102"/>
      <c r="G636" s="1216">
        <v>36877.69</v>
      </c>
      <c r="H636" s="1216">
        <v>35267.58</v>
      </c>
      <c r="I636" s="1216">
        <v>35160.86</v>
      </c>
      <c r="J636" s="1216">
        <v>49029.5</v>
      </c>
      <c r="K636" s="1216">
        <v>31035.07</v>
      </c>
      <c r="L636" s="1216">
        <v>35305.340000000004</v>
      </c>
      <c r="M636" s="1216">
        <v>24760.27</v>
      </c>
      <c r="N636" s="1216">
        <v>29121.03</v>
      </c>
      <c r="O636" s="1216">
        <v>20217.78</v>
      </c>
      <c r="P636" s="1216">
        <v>27244.38</v>
      </c>
      <c r="Q636" s="1216">
        <v>25108.510000000002</v>
      </c>
      <c r="R636" s="1216">
        <v>26541.34</v>
      </c>
      <c r="S636" s="620"/>
      <c r="T636" s="131">
        <f t="shared" ref="T636:Y636" si="866">SUM(T634:T635)</f>
        <v>37393.977660000004</v>
      </c>
      <c r="U636" s="131">
        <f t="shared" si="866"/>
        <v>35761.326120000005</v>
      </c>
      <c r="V636" s="131">
        <f t="shared" si="866"/>
        <v>35653.11204</v>
      </c>
      <c r="W636" s="131">
        <f t="shared" si="866"/>
        <v>49715.913</v>
      </c>
      <c r="X636" s="131">
        <f t="shared" si="866"/>
        <v>31469.560980000002</v>
      </c>
      <c r="Y636" s="131">
        <f t="shared" si="866"/>
        <v>35799.614760000004</v>
      </c>
      <c r="Z636" s="131">
        <f t="shared" ref="Z636:AE636" si="867">SUM(Z634:Z635)</f>
        <v>25106.913780000003</v>
      </c>
      <c r="AA636" s="131">
        <f t="shared" si="867"/>
        <v>29528.724419999999</v>
      </c>
      <c r="AB636" s="131">
        <f t="shared" si="867"/>
        <v>20500.82892</v>
      </c>
      <c r="AC636" s="131">
        <f t="shared" si="867"/>
        <v>27625.801320000002</v>
      </c>
      <c r="AD636" s="131">
        <f t="shared" si="867"/>
        <v>25460.029139999999</v>
      </c>
      <c r="AE636" s="131">
        <f t="shared" si="867"/>
        <v>26912.91876</v>
      </c>
      <c r="AF636" s="131">
        <f t="shared" ref="AF636:AQ636" si="868">SUM(AF634:AF635)</f>
        <v>37880.099369580006</v>
      </c>
      <c r="AG636" s="131">
        <f t="shared" si="868"/>
        <v>36226.223359560005</v>
      </c>
      <c r="AH636" s="131">
        <f t="shared" si="868"/>
        <v>36116.602496519998</v>
      </c>
      <c r="AI636" s="131">
        <f t="shared" si="868"/>
        <v>50362.219869</v>
      </c>
      <c r="AJ636" s="131">
        <f t="shared" si="868"/>
        <v>31878.66527274</v>
      </c>
      <c r="AK636" s="131">
        <f t="shared" si="868"/>
        <v>36265.009751880003</v>
      </c>
      <c r="AL636" s="131">
        <f t="shared" si="868"/>
        <v>25433.303659140001</v>
      </c>
      <c r="AM636" s="131">
        <f t="shared" si="868"/>
        <v>29912.597837459998</v>
      </c>
      <c r="AN636" s="131">
        <f t="shared" si="868"/>
        <v>20767.33969596</v>
      </c>
      <c r="AO636" s="131">
        <f t="shared" si="868"/>
        <v>27984.936737159998</v>
      </c>
      <c r="AP636" s="131">
        <f t="shared" si="868"/>
        <v>25791.009518819999</v>
      </c>
      <c r="AQ636" s="131">
        <f t="shared" si="868"/>
        <v>27262.78670388</v>
      </c>
      <c r="AR636" s="131">
        <f>SUM(G636:R636)</f>
        <v>375669.35000000003</v>
      </c>
      <c r="AS636" s="131">
        <f>SUM(T636:AE636)</f>
        <v>380928.72090000007</v>
      </c>
      <c r="AT636" s="131">
        <f>SUM(AF636:AQ636)</f>
        <v>385880.79427170003</v>
      </c>
      <c r="AU636" s="621"/>
      <c r="AV636" s="621"/>
      <c r="AW636" s="30"/>
    </row>
    <row r="637" spans="2:49">
      <c r="B637" s="250">
        <v>738</v>
      </c>
      <c r="C637" s="212"/>
      <c r="D637" s="102"/>
      <c r="E637" s="102"/>
      <c r="F637" s="102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86"/>
      <c r="X637" s="186"/>
      <c r="Y637" s="186"/>
      <c r="Z637" s="186"/>
      <c r="AA637" s="186"/>
      <c r="AB637" s="186"/>
      <c r="AC637" s="186"/>
      <c r="AD637" s="186"/>
      <c r="AE637" s="186"/>
      <c r="AF637" s="186"/>
      <c r="AG637" s="186"/>
      <c r="AH637" s="186"/>
      <c r="AI637" s="186"/>
      <c r="AJ637" s="186"/>
      <c r="AK637" s="186"/>
      <c r="AL637" s="186"/>
      <c r="AM637" s="186"/>
      <c r="AN637" s="186"/>
      <c r="AO637" s="186"/>
      <c r="AP637" s="186"/>
      <c r="AQ637" s="186"/>
      <c r="AR637" s="186"/>
      <c r="AS637" s="186"/>
      <c r="AT637" s="186"/>
      <c r="AU637" s="171"/>
      <c r="AV637" s="171"/>
      <c r="AW637" s="30"/>
    </row>
    <row r="638" spans="2:49">
      <c r="B638" s="250">
        <v>739</v>
      </c>
      <c r="C638" s="212">
        <v>9031</v>
      </c>
      <c r="D638" s="102" t="s">
        <v>404</v>
      </c>
      <c r="E638" s="102"/>
      <c r="F638" s="102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71"/>
      <c r="AV638" s="171"/>
      <c r="AW638" s="30"/>
    </row>
    <row r="639" spans="2:49">
      <c r="B639" s="250">
        <v>740</v>
      </c>
      <c r="C639" s="212"/>
      <c r="D639" s="102"/>
      <c r="E639" s="102" t="s">
        <v>14</v>
      </c>
      <c r="F639" s="102"/>
      <c r="G639" s="186">
        <v>642155.17999999993</v>
      </c>
      <c r="H639" s="186">
        <v>199809.51</v>
      </c>
      <c r="I639" s="186">
        <v>335839.03</v>
      </c>
      <c r="J639" s="186">
        <v>519457.58</v>
      </c>
      <c r="K639" s="186">
        <v>342813.43</v>
      </c>
      <c r="L639" s="186">
        <v>342255.88</v>
      </c>
      <c r="M639" s="186">
        <v>520124.73000000004</v>
      </c>
      <c r="N639" s="186">
        <v>534468.75</v>
      </c>
      <c r="O639" s="186">
        <v>349579.26</v>
      </c>
      <c r="P639" s="186">
        <v>429280.42000000004</v>
      </c>
      <c r="Q639" s="186">
        <v>374619.95</v>
      </c>
      <c r="R639" s="186">
        <v>499281.83</v>
      </c>
      <c r="S639" s="186"/>
      <c r="T639" s="186">
        <f t="shared" ref="T639:W640" si="869">G639*(1+$AU639)</f>
        <v>653713.97323999996</v>
      </c>
      <c r="U639" s="186">
        <f t="shared" si="869"/>
        <v>203406.08118000001</v>
      </c>
      <c r="V639" s="186">
        <f t="shared" si="869"/>
        <v>341884.13254000002</v>
      </c>
      <c r="W639" s="186">
        <f t="shared" si="869"/>
        <v>528807.81644000008</v>
      </c>
      <c r="X639" s="186">
        <f t="shared" ref="X639:AE640" si="870">K639*(1+$AU639)</f>
        <v>348984.07173999998</v>
      </c>
      <c r="Y639" s="186">
        <f t="shared" si="870"/>
        <v>348416.48584000004</v>
      </c>
      <c r="Z639" s="186">
        <f t="shared" si="870"/>
        <v>529486.97514</v>
      </c>
      <c r="AA639" s="186">
        <f t="shared" si="870"/>
        <v>544089.1875</v>
      </c>
      <c r="AB639" s="186">
        <f t="shared" si="870"/>
        <v>355871.68668000004</v>
      </c>
      <c r="AC639" s="186">
        <f t="shared" si="870"/>
        <v>437007.46756000008</v>
      </c>
      <c r="AD639" s="186">
        <f t="shared" si="870"/>
        <v>381363.1091</v>
      </c>
      <c r="AE639" s="186">
        <f t="shared" si="870"/>
        <v>508268.90294</v>
      </c>
      <c r="AF639" s="186">
        <f t="shared" ref="AF639:AQ639" si="871">T639*(1+$AV$639)</f>
        <v>666788.25270479999</v>
      </c>
      <c r="AG639" s="186">
        <f t="shared" si="871"/>
        <v>207474.20280360003</v>
      </c>
      <c r="AH639" s="186">
        <f t="shared" si="871"/>
        <v>348721.8151908</v>
      </c>
      <c r="AI639" s="186">
        <f t="shared" si="871"/>
        <v>539383.9727688001</v>
      </c>
      <c r="AJ639" s="186">
        <f t="shared" si="871"/>
        <v>355963.75317480002</v>
      </c>
      <c r="AK639" s="186">
        <f t="shared" si="871"/>
        <v>355384.81555680005</v>
      </c>
      <c r="AL639" s="186">
        <f t="shared" si="871"/>
        <v>540076.71464280004</v>
      </c>
      <c r="AM639" s="186">
        <f t="shared" si="871"/>
        <v>554970.97125000006</v>
      </c>
      <c r="AN639" s="186">
        <f t="shared" si="871"/>
        <v>362989.12041360006</v>
      </c>
      <c r="AO639" s="186">
        <f t="shared" si="871"/>
        <v>445747.61691120011</v>
      </c>
      <c r="AP639" s="186">
        <f t="shared" si="871"/>
        <v>388990.37128200004</v>
      </c>
      <c r="AQ639" s="186">
        <f t="shared" si="871"/>
        <v>518434.28099880001</v>
      </c>
      <c r="AR639" s="186">
        <f>SUM(G639:R639)</f>
        <v>5089685.55</v>
      </c>
      <c r="AS639" s="186">
        <f>SUM(T639:AE639)</f>
        <v>5181299.8899000008</v>
      </c>
      <c r="AT639" s="186">
        <f>SUM(AF639:AQ639)</f>
        <v>5284925.8876980003</v>
      </c>
      <c r="AU639" s="171">
        <v>1.8000000000000002E-2</v>
      </c>
      <c r="AV639" s="171">
        <v>0.02</v>
      </c>
      <c r="AW639" s="30"/>
    </row>
    <row r="640" spans="2:49">
      <c r="B640" s="250">
        <v>741</v>
      </c>
      <c r="C640" s="212"/>
      <c r="D640" s="102"/>
      <c r="E640" s="102" t="s">
        <v>24</v>
      </c>
      <c r="F640" s="102"/>
      <c r="G640" s="186">
        <v>41622.670000000006</v>
      </c>
      <c r="H640" s="186">
        <v>28332.27</v>
      </c>
      <c r="I640" s="186">
        <v>34146.57</v>
      </c>
      <c r="J640" s="186">
        <v>39391.94</v>
      </c>
      <c r="K640" s="186">
        <v>33491.019999999997</v>
      </c>
      <c r="L640" s="186">
        <v>32519.390000000003</v>
      </c>
      <c r="M640" s="186">
        <v>37145.300000000003</v>
      </c>
      <c r="N640" s="186">
        <v>39807.769999999997</v>
      </c>
      <c r="O640" s="186">
        <v>32054.620000000003</v>
      </c>
      <c r="P640" s="186">
        <v>32942.370000000003</v>
      </c>
      <c r="Q640" s="186">
        <v>37184.730000000003</v>
      </c>
      <c r="R640" s="186">
        <v>40782.840000000004</v>
      </c>
      <c r="S640" s="617"/>
      <c r="T640" s="204">
        <f t="shared" si="869"/>
        <v>42371.878060000003</v>
      </c>
      <c r="U640" s="204">
        <f t="shared" si="869"/>
        <v>28842.25086</v>
      </c>
      <c r="V640" s="204">
        <f t="shared" si="869"/>
        <v>34761.208259999999</v>
      </c>
      <c r="W640" s="204">
        <f t="shared" si="869"/>
        <v>40100.994920000005</v>
      </c>
      <c r="X640" s="204">
        <f t="shared" si="870"/>
        <v>34093.858359999998</v>
      </c>
      <c r="Y640" s="204">
        <f t="shared" si="870"/>
        <v>33104.739020000001</v>
      </c>
      <c r="Z640" s="204">
        <f t="shared" si="870"/>
        <v>37813.915400000005</v>
      </c>
      <c r="AA640" s="204">
        <f t="shared" si="870"/>
        <v>40524.309859999994</v>
      </c>
      <c r="AB640" s="204">
        <f t="shared" si="870"/>
        <v>32631.603160000002</v>
      </c>
      <c r="AC640" s="204">
        <f t="shared" si="870"/>
        <v>33535.33266</v>
      </c>
      <c r="AD640" s="204">
        <f t="shared" si="870"/>
        <v>37854.055140000004</v>
      </c>
      <c r="AE640" s="204">
        <f t="shared" si="870"/>
        <v>41516.931120000001</v>
      </c>
      <c r="AF640" s="204">
        <f t="shared" ref="AF640:AQ640" si="872">T640*(1+$AV$640)</f>
        <v>43219.315621200003</v>
      </c>
      <c r="AG640" s="204">
        <f t="shared" si="872"/>
        <v>29419.095877200001</v>
      </c>
      <c r="AH640" s="204">
        <f t="shared" si="872"/>
        <v>35456.432425200001</v>
      </c>
      <c r="AI640" s="204">
        <f t="shared" si="872"/>
        <v>40903.014818400006</v>
      </c>
      <c r="AJ640" s="204">
        <f t="shared" si="872"/>
        <v>34775.735527199999</v>
      </c>
      <c r="AK640" s="204">
        <f t="shared" si="872"/>
        <v>33766.833800400003</v>
      </c>
      <c r="AL640" s="204">
        <f t="shared" si="872"/>
        <v>38570.193708000006</v>
      </c>
      <c r="AM640" s="204">
        <f t="shared" si="872"/>
        <v>41334.796057199994</v>
      </c>
      <c r="AN640" s="204">
        <f t="shared" si="872"/>
        <v>33284.235223200005</v>
      </c>
      <c r="AO640" s="204">
        <f t="shared" si="872"/>
        <v>34206.039313200003</v>
      </c>
      <c r="AP640" s="204">
        <f t="shared" si="872"/>
        <v>38611.136242800007</v>
      </c>
      <c r="AQ640" s="204">
        <f t="shared" si="872"/>
        <v>42347.2697424</v>
      </c>
      <c r="AR640" s="204">
        <f>SUM(G640:R640)</f>
        <v>429421.49000000005</v>
      </c>
      <c r="AS640" s="204">
        <f>SUM(T640:AE640)</f>
        <v>437151.07682000007</v>
      </c>
      <c r="AT640" s="204">
        <f>SUM(AF640:AQ640)</f>
        <v>445894.09835639992</v>
      </c>
      <c r="AU640" s="618">
        <f>AU639</f>
        <v>1.8000000000000002E-2</v>
      </c>
      <c r="AV640" s="618">
        <f>AV639</f>
        <v>0.02</v>
      </c>
      <c r="AW640" s="30"/>
    </row>
    <row r="641" spans="2:49">
      <c r="B641" s="250">
        <v>742</v>
      </c>
      <c r="C641" s="212"/>
      <c r="D641" s="102"/>
      <c r="E641" s="102" t="s">
        <v>170</v>
      </c>
      <c r="F641" s="102"/>
      <c r="G641" s="1216">
        <v>683777.85</v>
      </c>
      <c r="H641" s="1216">
        <v>228141.78</v>
      </c>
      <c r="I641" s="1216">
        <v>369985.60000000003</v>
      </c>
      <c r="J641" s="1216">
        <v>558849.52</v>
      </c>
      <c r="K641" s="1216">
        <v>376304.45</v>
      </c>
      <c r="L641" s="1216">
        <v>374775.27</v>
      </c>
      <c r="M641" s="1216">
        <v>557270.03</v>
      </c>
      <c r="N641" s="1216">
        <v>574276.52</v>
      </c>
      <c r="O641" s="1216">
        <v>381633.88</v>
      </c>
      <c r="P641" s="1216">
        <v>462222.79000000004</v>
      </c>
      <c r="Q641" s="1216">
        <v>411804.68</v>
      </c>
      <c r="R641" s="1216">
        <v>540064.67000000004</v>
      </c>
      <c r="S641" s="620"/>
      <c r="T641" s="131">
        <f t="shared" ref="T641:Y641" si="873">SUM(T639:T640)</f>
        <v>696085.85129999998</v>
      </c>
      <c r="U641" s="131">
        <f t="shared" si="873"/>
        <v>232248.33204000001</v>
      </c>
      <c r="V641" s="131">
        <f t="shared" si="873"/>
        <v>376645.34080000001</v>
      </c>
      <c r="W641" s="131">
        <f t="shared" si="873"/>
        <v>568908.81136000005</v>
      </c>
      <c r="X641" s="131">
        <f t="shared" si="873"/>
        <v>383077.9301</v>
      </c>
      <c r="Y641" s="131">
        <f t="shared" si="873"/>
        <v>381521.22486000002</v>
      </c>
      <c r="Z641" s="131">
        <f t="shared" ref="Z641:AE641" si="874">SUM(Z639:Z640)</f>
        <v>567300.89054000005</v>
      </c>
      <c r="AA641" s="131">
        <f t="shared" si="874"/>
        <v>584613.49736000004</v>
      </c>
      <c r="AB641" s="131">
        <f t="shared" si="874"/>
        <v>388503.28984000004</v>
      </c>
      <c r="AC641" s="131">
        <f t="shared" si="874"/>
        <v>470542.80022000009</v>
      </c>
      <c r="AD641" s="131">
        <f t="shared" si="874"/>
        <v>419217.16424000001</v>
      </c>
      <c r="AE641" s="131">
        <f t="shared" si="874"/>
        <v>549785.83406000002</v>
      </c>
      <c r="AF641" s="131">
        <f t="shared" ref="AF641:AQ641" si="875">SUM(AF639:AF640)</f>
        <v>710007.56832600001</v>
      </c>
      <c r="AG641" s="131">
        <f t="shared" si="875"/>
        <v>236893.29868080001</v>
      </c>
      <c r="AH641" s="131">
        <f t="shared" si="875"/>
        <v>384178.24761600001</v>
      </c>
      <c r="AI641" s="131">
        <f t="shared" si="875"/>
        <v>580286.98758720013</v>
      </c>
      <c r="AJ641" s="131">
        <f t="shared" si="875"/>
        <v>390739.488702</v>
      </c>
      <c r="AK641" s="131">
        <f t="shared" si="875"/>
        <v>389151.64935720008</v>
      </c>
      <c r="AL641" s="131">
        <f t="shared" si="875"/>
        <v>578646.90835080005</v>
      </c>
      <c r="AM641" s="131">
        <f t="shared" si="875"/>
        <v>596305.7673072</v>
      </c>
      <c r="AN641" s="131">
        <f t="shared" si="875"/>
        <v>396273.35563680006</v>
      </c>
      <c r="AO641" s="131">
        <f t="shared" si="875"/>
        <v>479953.6562244001</v>
      </c>
      <c r="AP641" s="131">
        <f t="shared" si="875"/>
        <v>427601.50752480002</v>
      </c>
      <c r="AQ641" s="131">
        <f t="shared" si="875"/>
        <v>560781.55074119999</v>
      </c>
      <c r="AR641" s="131">
        <f>SUM(G641:R641)</f>
        <v>5519107.0399999991</v>
      </c>
      <c r="AS641" s="131">
        <f>SUM(T641:AE641)</f>
        <v>5618450.9667200008</v>
      </c>
      <c r="AT641" s="131">
        <f>SUM(AF641:AQ641)</f>
        <v>5730819.9860544009</v>
      </c>
      <c r="AU641" s="621"/>
      <c r="AV641" s="621"/>
      <c r="AW641" s="30"/>
    </row>
    <row r="642" spans="2:49">
      <c r="B642" s="250">
        <v>743</v>
      </c>
      <c r="C642" s="212"/>
      <c r="D642" s="102"/>
      <c r="E642" s="102"/>
      <c r="F642" s="102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71"/>
      <c r="AV642" s="171"/>
      <c r="AW642" s="30"/>
    </row>
    <row r="643" spans="2:49">
      <c r="B643" s="250">
        <v>744</v>
      </c>
      <c r="C643" s="212">
        <v>9032</v>
      </c>
      <c r="D643" s="102" t="s">
        <v>405</v>
      </c>
      <c r="E643" s="102"/>
      <c r="F643" s="102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71"/>
      <c r="AV643" s="171"/>
      <c r="AW643" s="30"/>
    </row>
    <row r="644" spans="2:49">
      <c r="B644" s="250">
        <v>745</v>
      </c>
      <c r="C644" s="212"/>
      <c r="D644" s="102"/>
      <c r="E644" s="102" t="s">
        <v>14</v>
      </c>
      <c r="F644" s="102"/>
      <c r="G644" s="186">
        <v>-96170.880000000005</v>
      </c>
      <c r="H644" s="186">
        <v>-131777.63</v>
      </c>
      <c r="I644" s="186">
        <v>-135768.75000000003</v>
      </c>
      <c r="J644" s="186">
        <v>7892.329999999999</v>
      </c>
      <c r="K644" s="186">
        <v>-92802.66</v>
      </c>
      <c r="L644" s="186">
        <v>8569.08</v>
      </c>
      <c r="M644" s="186">
        <v>24329.1</v>
      </c>
      <c r="N644" s="186">
        <v>-8893.9500000000007</v>
      </c>
      <c r="O644" s="186">
        <v>56390.16</v>
      </c>
      <c r="P644" s="186">
        <v>27585.45</v>
      </c>
      <c r="Q644" s="186">
        <v>-120.34000000000015</v>
      </c>
      <c r="R644" s="186">
        <v>65154.75</v>
      </c>
      <c r="S644" s="186"/>
      <c r="T644" s="186">
        <f t="shared" ref="T644:W645" si="876">G644*(1+$AU644)</f>
        <v>-97901.95584000001</v>
      </c>
      <c r="U644" s="186">
        <f t="shared" si="876"/>
        <v>-134149.62734000001</v>
      </c>
      <c r="V644" s="186">
        <f t="shared" si="876"/>
        <v>-138212.58750000002</v>
      </c>
      <c r="W644" s="186">
        <f t="shared" si="876"/>
        <v>8034.3919399999995</v>
      </c>
      <c r="X644" s="186">
        <f t="shared" ref="X644:AE645" si="877">K644*(1+$AU644)</f>
        <v>-94473.10788000001</v>
      </c>
      <c r="Y644" s="186">
        <f t="shared" si="877"/>
        <v>8723.3234400000001</v>
      </c>
      <c r="Z644" s="186">
        <f t="shared" si="877"/>
        <v>24767.023799999999</v>
      </c>
      <c r="AA644" s="186">
        <f t="shared" si="877"/>
        <v>-9054.0411000000004</v>
      </c>
      <c r="AB644" s="186">
        <f t="shared" si="877"/>
        <v>57405.182880000008</v>
      </c>
      <c r="AC644" s="186">
        <f t="shared" si="877"/>
        <v>28081.988100000002</v>
      </c>
      <c r="AD644" s="186">
        <f t="shared" si="877"/>
        <v>-122.50612000000015</v>
      </c>
      <c r="AE644" s="186">
        <f t="shared" si="877"/>
        <v>66327.535499999998</v>
      </c>
      <c r="AF644" s="186">
        <f t="shared" ref="AF644:AQ644" si="878">T644*(1+$AV$644)</f>
        <v>-99859.994956800016</v>
      </c>
      <c r="AG644" s="186">
        <f t="shared" si="878"/>
        <v>-136832.61988680001</v>
      </c>
      <c r="AH644" s="186">
        <f t="shared" si="878"/>
        <v>-140976.83925000002</v>
      </c>
      <c r="AI644" s="186">
        <f t="shared" si="878"/>
        <v>8195.0797788</v>
      </c>
      <c r="AJ644" s="186">
        <f t="shared" si="878"/>
        <v>-96362.570037600017</v>
      </c>
      <c r="AK644" s="186">
        <f t="shared" si="878"/>
        <v>8897.7899087999995</v>
      </c>
      <c r="AL644" s="186">
        <f t="shared" si="878"/>
        <v>25262.364276</v>
      </c>
      <c r="AM644" s="186">
        <f t="shared" si="878"/>
        <v>-9235.1219220000003</v>
      </c>
      <c r="AN644" s="186">
        <f t="shared" si="878"/>
        <v>58553.286537600012</v>
      </c>
      <c r="AO644" s="186">
        <f t="shared" si="878"/>
        <v>28643.627862000001</v>
      </c>
      <c r="AP644" s="186">
        <f t="shared" si="878"/>
        <v>-124.95624240000016</v>
      </c>
      <c r="AQ644" s="186">
        <f t="shared" si="878"/>
        <v>67654.086209999994</v>
      </c>
      <c r="AR644" s="186">
        <f>SUM(G644:R644)</f>
        <v>-275613.33999999997</v>
      </c>
      <c r="AS644" s="186">
        <f>SUM(T644:AE644)</f>
        <v>-280574.38011999999</v>
      </c>
      <c r="AT644" s="186">
        <f>SUM(AF644:AQ644)</f>
        <v>-286185.8677224</v>
      </c>
      <c r="AU644" s="171">
        <f>AU639</f>
        <v>1.8000000000000002E-2</v>
      </c>
      <c r="AV644" s="171">
        <f>AV639</f>
        <v>0.02</v>
      </c>
      <c r="AW644" s="30"/>
    </row>
    <row r="645" spans="2:49">
      <c r="B645" s="250">
        <v>746</v>
      </c>
      <c r="C645" s="212"/>
      <c r="D645" s="102"/>
      <c r="E645" s="102" t="s">
        <v>24</v>
      </c>
      <c r="F645" s="102"/>
      <c r="G645" s="186">
        <v>-75.939999999999941</v>
      </c>
      <c r="H645" s="186">
        <v>-353.67999999999995</v>
      </c>
      <c r="I645" s="186">
        <v>-1246.83</v>
      </c>
      <c r="J645" s="186">
        <v>3135.5600000000004</v>
      </c>
      <c r="K645" s="186">
        <v>-833.47</v>
      </c>
      <c r="L645" s="186">
        <v>1653.1399999999999</v>
      </c>
      <c r="M645" s="186">
        <v>1987.6299999999999</v>
      </c>
      <c r="N645" s="186">
        <v>1101.18</v>
      </c>
      <c r="O645" s="186">
        <v>3028.22</v>
      </c>
      <c r="P645" s="186">
        <v>2317.1800000000003</v>
      </c>
      <c r="Q645" s="186">
        <v>1872.63</v>
      </c>
      <c r="R645" s="186">
        <v>3806.1400000000003</v>
      </c>
      <c r="S645" s="617"/>
      <c r="T645" s="204">
        <f t="shared" si="876"/>
        <v>-77.306919999999934</v>
      </c>
      <c r="U645" s="204">
        <f t="shared" si="876"/>
        <v>-360.04623999999995</v>
      </c>
      <c r="V645" s="204">
        <f t="shared" si="876"/>
        <v>-1269.2729399999998</v>
      </c>
      <c r="W645" s="204">
        <f t="shared" si="876"/>
        <v>3192.0000800000003</v>
      </c>
      <c r="X645" s="204">
        <f t="shared" si="877"/>
        <v>-848.47246000000007</v>
      </c>
      <c r="Y645" s="204">
        <f t="shared" si="877"/>
        <v>1682.89652</v>
      </c>
      <c r="Z645" s="204">
        <f t="shared" si="877"/>
        <v>2023.40734</v>
      </c>
      <c r="AA645" s="204">
        <f t="shared" si="877"/>
        <v>1121.0012400000001</v>
      </c>
      <c r="AB645" s="204">
        <f t="shared" si="877"/>
        <v>3082.7279599999997</v>
      </c>
      <c r="AC645" s="204">
        <f t="shared" si="877"/>
        <v>2358.8892400000004</v>
      </c>
      <c r="AD645" s="204">
        <f t="shared" si="877"/>
        <v>1906.33734</v>
      </c>
      <c r="AE645" s="204">
        <f t="shared" si="877"/>
        <v>3874.6505200000006</v>
      </c>
      <c r="AF645" s="204">
        <f t="shared" ref="AF645:AQ645" si="879">T645*(1+$AV$645)</f>
        <v>-78.853058399999938</v>
      </c>
      <c r="AG645" s="204">
        <f t="shared" si="879"/>
        <v>-367.24716479999995</v>
      </c>
      <c r="AH645" s="204">
        <f t="shared" si="879"/>
        <v>-1294.6583987999998</v>
      </c>
      <c r="AI645" s="204">
        <f t="shared" si="879"/>
        <v>3255.8400816000003</v>
      </c>
      <c r="AJ645" s="204">
        <f t="shared" si="879"/>
        <v>-865.44190920000005</v>
      </c>
      <c r="AK645" s="204">
        <f t="shared" si="879"/>
        <v>1716.5544504</v>
      </c>
      <c r="AL645" s="204">
        <f t="shared" si="879"/>
        <v>2063.8754868000001</v>
      </c>
      <c r="AM645" s="204">
        <f t="shared" si="879"/>
        <v>1143.4212648</v>
      </c>
      <c r="AN645" s="204">
        <f t="shared" si="879"/>
        <v>3144.3825191999999</v>
      </c>
      <c r="AO645" s="204">
        <f t="shared" si="879"/>
        <v>2406.0670248000006</v>
      </c>
      <c r="AP645" s="204">
        <f t="shared" si="879"/>
        <v>1944.4640868000001</v>
      </c>
      <c r="AQ645" s="204">
        <f t="shared" si="879"/>
        <v>3952.1435304000006</v>
      </c>
      <c r="AR645" s="204">
        <f>SUM(G645:R645)</f>
        <v>16391.760000000002</v>
      </c>
      <c r="AS645" s="204">
        <f>SUM(T645:AE645)</f>
        <v>16686.811680000003</v>
      </c>
      <c r="AT645" s="204">
        <f>SUM(AF645:AQ645)</f>
        <v>17020.547913600003</v>
      </c>
      <c r="AU645" s="618">
        <f>AU640</f>
        <v>1.8000000000000002E-2</v>
      </c>
      <c r="AV645" s="171">
        <f>AV640</f>
        <v>0.02</v>
      </c>
      <c r="AW645" s="30"/>
    </row>
    <row r="646" spans="2:49">
      <c r="B646" s="250">
        <v>747</v>
      </c>
      <c r="C646" s="212"/>
      <c r="D646" s="102"/>
      <c r="E646" s="102" t="s">
        <v>170</v>
      </c>
      <c r="F646" s="102"/>
      <c r="G646" s="1216">
        <v>-96246.82</v>
      </c>
      <c r="H646" s="1216">
        <v>-132131.31</v>
      </c>
      <c r="I646" s="1216">
        <v>-137015.58000000002</v>
      </c>
      <c r="J646" s="1216">
        <v>11027.89</v>
      </c>
      <c r="K646" s="1216">
        <v>-93636.13</v>
      </c>
      <c r="L646" s="1216">
        <v>10222.219999999999</v>
      </c>
      <c r="M646" s="1216">
        <v>26316.73</v>
      </c>
      <c r="N646" s="1216">
        <v>-7792.77</v>
      </c>
      <c r="O646" s="1216">
        <v>59418.380000000005</v>
      </c>
      <c r="P646" s="1216">
        <v>29902.63</v>
      </c>
      <c r="Q646" s="1216">
        <v>1752.29</v>
      </c>
      <c r="R646" s="1216">
        <v>68960.89</v>
      </c>
      <c r="S646" s="620"/>
      <c r="T646" s="131">
        <f t="shared" ref="T646:Y646" si="880">SUM(T644:T645)</f>
        <v>-97979.262760000012</v>
      </c>
      <c r="U646" s="131">
        <f t="shared" si="880"/>
        <v>-134509.67358</v>
      </c>
      <c r="V646" s="131">
        <f t="shared" si="880"/>
        <v>-139481.86044000002</v>
      </c>
      <c r="W646" s="131">
        <f t="shared" si="880"/>
        <v>11226.392019999999</v>
      </c>
      <c r="X646" s="131">
        <f t="shared" si="880"/>
        <v>-95321.580340000015</v>
      </c>
      <c r="Y646" s="131">
        <f t="shared" si="880"/>
        <v>10406.21996</v>
      </c>
      <c r="Z646" s="131">
        <f t="shared" ref="Z646:AE646" si="881">SUM(Z644:Z645)</f>
        <v>26790.431140000001</v>
      </c>
      <c r="AA646" s="131">
        <f t="shared" si="881"/>
        <v>-7933.0398600000008</v>
      </c>
      <c r="AB646" s="131">
        <f t="shared" si="881"/>
        <v>60487.910840000004</v>
      </c>
      <c r="AC646" s="131">
        <f t="shared" si="881"/>
        <v>30440.877340000003</v>
      </c>
      <c r="AD646" s="131">
        <f t="shared" si="881"/>
        <v>1783.8312199999998</v>
      </c>
      <c r="AE646" s="131">
        <f t="shared" si="881"/>
        <v>70202.186019999994</v>
      </c>
      <c r="AF646" s="131">
        <f t="shared" ref="AF646:AQ646" si="882">SUM(AF644:AF645)</f>
        <v>-99938.848015200012</v>
      </c>
      <c r="AG646" s="131">
        <f t="shared" si="882"/>
        <v>-137199.86705160001</v>
      </c>
      <c r="AH646" s="131">
        <f t="shared" si="882"/>
        <v>-142271.49764880002</v>
      </c>
      <c r="AI646" s="131">
        <f t="shared" si="882"/>
        <v>11450.919860400001</v>
      </c>
      <c r="AJ646" s="131">
        <f t="shared" si="882"/>
        <v>-97228.011946800019</v>
      </c>
      <c r="AK646" s="131">
        <f t="shared" si="882"/>
        <v>10614.3443592</v>
      </c>
      <c r="AL646" s="131">
        <f t="shared" si="882"/>
        <v>27326.2397628</v>
      </c>
      <c r="AM646" s="131">
        <f t="shared" si="882"/>
        <v>-8091.7006572</v>
      </c>
      <c r="AN646" s="131">
        <f t="shared" si="882"/>
        <v>61697.669056800012</v>
      </c>
      <c r="AO646" s="131">
        <f t="shared" si="882"/>
        <v>31049.694886800004</v>
      </c>
      <c r="AP646" s="131">
        <f t="shared" si="882"/>
        <v>1819.5078444000001</v>
      </c>
      <c r="AQ646" s="131">
        <f t="shared" si="882"/>
        <v>71606.229740399998</v>
      </c>
      <c r="AR646" s="131">
        <f>SUM(G646:R646)</f>
        <v>-259221.58000000007</v>
      </c>
      <c r="AS646" s="131">
        <f>SUM(T646:AE646)</f>
        <v>-263887.56844000006</v>
      </c>
      <c r="AT646" s="131">
        <f>SUM(AF646:AQ646)</f>
        <v>-269165.31980880006</v>
      </c>
      <c r="AU646" s="621"/>
      <c r="AV646" s="621"/>
      <c r="AW646" s="30"/>
    </row>
    <row r="647" spans="2:49">
      <c r="B647" s="250">
        <v>748</v>
      </c>
      <c r="C647" s="212"/>
      <c r="D647" s="102"/>
      <c r="E647" s="102"/>
      <c r="F647" s="102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71"/>
      <c r="AV647" s="171"/>
      <c r="AW647" s="30"/>
    </row>
    <row r="648" spans="2:49">
      <c r="B648" s="250">
        <v>749</v>
      </c>
      <c r="C648" s="212">
        <v>9033</v>
      </c>
      <c r="D648" s="102" t="s">
        <v>406</v>
      </c>
      <c r="E648" s="102"/>
      <c r="F648" s="102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71"/>
      <c r="AV648" s="171"/>
      <c r="AW648" s="30"/>
    </row>
    <row r="649" spans="2:49">
      <c r="B649" s="250">
        <v>750</v>
      </c>
      <c r="C649" s="212"/>
      <c r="D649" s="102"/>
      <c r="E649" s="102" t="s">
        <v>14</v>
      </c>
      <c r="F649" s="102"/>
      <c r="G649" s="186">
        <v>24374.18</v>
      </c>
      <c r="H649" s="186">
        <v>23358.53</v>
      </c>
      <c r="I649" s="186">
        <v>21680.41</v>
      </c>
      <c r="J649" s="186">
        <v>24078.13</v>
      </c>
      <c r="K649" s="186">
        <v>24275.68</v>
      </c>
      <c r="L649" s="186">
        <v>24610.95</v>
      </c>
      <c r="M649" s="186">
        <v>24303.68</v>
      </c>
      <c r="N649" s="186">
        <v>24744.720000000001</v>
      </c>
      <c r="O649" s="186">
        <v>18425.780000000002</v>
      </c>
      <c r="P649" s="186">
        <v>24965.58</v>
      </c>
      <c r="Q649" s="186">
        <v>21776.47</v>
      </c>
      <c r="R649" s="186">
        <v>17133.96</v>
      </c>
      <c r="S649" s="186"/>
      <c r="T649" s="186">
        <f t="shared" ref="T649:W650" si="883">G649*(1+$AU649)</f>
        <v>24812.915240000002</v>
      </c>
      <c r="U649" s="186">
        <f t="shared" si="883"/>
        <v>23778.983539999997</v>
      </c>
      <c r="V649" s="186">
        <f t="shared" si="883"/>
        <v>22070.657380000001</v>
      </c>
      <c r="W649" s="186">
        <f t="shared" si="883"/>
        <v>24511.536340000002</v>
      </c>
      <c r="X649" s="186">
        <f t="shared" ref="X649:AE650" si="884">K649*(1+$AU649)</f>
        <v>24712.642240000001</v>
      </c>
      <c r="Y649" s="186">
        <f t="shared" si="884"/>
        <v>25053.947100000001</v>
      </c>
      <c r="Z649" s="186">
        <f t="shared" si="884"/>
        <v>24741.146240000002</v>
      </c>
      <c r="AA649" s="186">
        <f t="shared" si="884"/>
        <v>25190.124960000001</v>
      </c>
      <c r="AB649" s="186">
        <f t="shared" si="884"/>
        <v>18757.444040000002</v>
      </c>
      <c r="AC649" s="186">
        <f t="shared" si="884"/>
        <v>25414.960440000003</v>
      </c>
      <c r="AD649" s="186">
        <f t="shared" si="884"/>
        <v>22168.446460000003</v>
      </c>
      <c r="AE649" s="186">
        <f t="shared" si="884"/>
        <v>17442.371279999999</v>
      </c>
      <c r="AF649" s="186">
        <f t="shared" ref="AF649:AP649" si="885">T649*(1+$AV$649)</f>
        <v>25309.173544800004</v>
      </c>
      <c r="AG649" s="186">
        <f t="shared" si="885"/>
        <v>24254.563210799999</v>
      </c>
      <c r="AH649" s="186">
        <f t="shared" si="885"/>
        <v>22512.070527600001</v>
      </c>
      <c r="AI649" s="186">
        <f t="shared" si="885"/>
        <v>25001.767066800003</v>
      </c>
      <c r="AJ649" s="186">
        <f t="shared" si="885"/>
        <v>25206.895084800002</v>
      </c>
      <c r="AK649" s="186">
        <f t="shared" si="885"/>
        <v>25555.026042000001</v>
      </c>
      <c r="AL649" s="186">
        <f t="shared" si="885"/>
        <v>25235.969164800001</v>
      </c>
      <c r="AM649" s="186">
        <f t="shared" si="885"/>
        <v>25693.9274592</v>
      </c>
      <c r="AN649" s="186">
        <f t="shared" si="885"/>
        <v>19132.592920800002</v>
      </c>
      <c r="AO649" s="186">
        <f t="shared" si="885"/>
        <v>25923.259648800002</v>
      </c>
      <c r="AP649" s="186">
        <f t="shared" si="885"/>
        <v>22611.815389200005</v>
      </c>
      <c r="AQ649" s="186">
        <f>AE649*(1+$AV$649)</f>
        <v>17791.2187056</v>
      </c>
      <c r="AR649" s="186">
        <f>SUM(G649:R649)</f>
        <v>273728.07</v>
      </c>
      <c r="AS649" s="186">
        <f>SUM(T649:AE649)</f>
        <v>278655.17525999999</v>
      </c>
      <c r="AT649" s="186">
        <f>SUM(AF649:AQ649)</f>
        <v>284228.27876520006</v>
      </c>
      <c r="AU649" s="171">
        <f>AU644</f>
        <v>1.8000000000000002E-2</v>
      </c>
      <c r="AV649" s="171">
        <f>AV644</f>
        <v>0.02</v>
      </c>
      <c r="AW649" s="30"/>
    </row>
    <row r="650" spans="2:49">
      <c r="B650" s="250">
        <v>751</v>
      </c>
      <c r="C650" s="212"/>
      <c r="D650" s="102"/>
      <c r="E650" s="102" t="s">
        <v>24</v>
      </c>
      <c r="F650" s="102"/>
      <c r="G650" s="186">
        <v>473.71000000000004</v>
      </c>
      <c r="H650" s="186">
        <v>450.66</v>
      </c>
      <c r="I650" s="186">
        <v>419.62</v>
      </c>
      <c r="J650" s="186">
        <v>462.09000000000003</v>
      </c>
      <c r="K650" s="186">
        <v>457.81</v>
      </c>
      <c r="L650" s="186">
        <v>446.62</v>
      </c>
      <c r="M650" s="186">
        <v>413.27</v>
      </c>
      <c r="N650" s="186">
        <v>429.41</v>
      </c>
      <c r="O650" s="186">
        <v>338.03000000000003</v>
      </c>
      <c r="P650" s="186">
        <v>437.68</v>
      </c>
      <c r="Q650" s="186">
        <v>434.38</v>
      </c>
      <c r="R650" s="186">
        <v>371.83</v>
      </c>
      <c r="S650" s="617"/>
      <c r="T650" s="204">
        <f t="shared" si="883"/>
        <v>482.23678000000007</v>
      </c>
      <c r="U650" s="204">
        <f t="shared" si="883"/>
        <v>458.77188000000001</v>
      </c>
      <c r="V650" s="204">
        <f t="shared" si="883"/>
        <v>427.17316</v>
      </c>
      <c r="W650" s="204">
        <f t="shared" si="883"/>
        <v>470.40762000000007</v>
      </c>
      <c r="X650" s="204">
        <f t="shared" si="884"/>
        <v>466.05058000000002</v>
      </c>
      <c r="Y650" s="204">
        <f t="shared" si="884"/>
        <v>454.65915999999999</v>
      </c>
      <c r="Z650" s="204">
        <f t="shared" si="884"/>
        <v>420.70886000000002</v>
      </c>
      <c r="AA650" s="204">
        <f t="shared" si="884"/>
        <v>437.13938000000002</v>
      </c>
      <c r="AB650" s="204">
        <f t="shared" si="884"/>
        <v>344.11454000000003</v>
      </c>
      <c r="AC650" s="204">
        <f t="shared" si="884"/>
        <v>445.55824000000001</v>
      </c>
      <c r="AD650" s="204">
        <f t="shared" si="884"/>
        <v>442.19884000000002</v>
      </c>
      <c r="AE650" s="204">
        <f t="shared" si="884"/>
        <v>378.52294000000001</v>
      </c>
      <c r="AF650" s="204">
        <f>T650*(1+$AV650)</f>
        <v>491.88151560000006</v>
      </c>
      <c r="AG650" s="204">
        <f t="shared" ref="AG650:AQ650" si="886">U650*(1+$AV650)</f>
        <v>467.94731760000002</v>
      </c>
      <c r="AH650" s="204">
        <f t="shared" si="886"/>
        <v>435.71662320000002</v>
      </c>
      <c r="AI650" s="204">
        <f t="shared" si="886"/>
        <v>479.81577240000007</v>
      </c>
      <c r="AJ650" s="204">
        <f t="shared" si="886"/>
        <v>475.37159160000004</v>
      </c>
      <c r="AK650" s="204">
        <f t="shared" si="886"/>
        <v>463.75234319999998</v>
      </c>
      <c r="AL650" s="204">
        <f t="shared" si="886"/>
        <v>429.1230372</v>
      </c>
      <c r="AM650" s="204">
        <f t="shared" si="886"/>
        <v>445.8821676</v>
      </c>
      <c r="AN650" s="204">
        <f t="shared" si="886"/>
        <v>350.99683080000005</v>
      </c>
      <c r="AO650" s="204">
        <f t="shared" si="886"/>
        <v>454.46940480000001</v>
      </c>
      <c r="AP650" s="204">
        <f t="shared" si="886"/>
        <v>451.04281680000003</v>
      </c>
      <c r="AQ650" s="204">
        <f t="shared" si="886"/>
        <v>386.09339879999999</v>
      </c>
      <c r="AR650" s="204">
        <f>SUM(G650:R650)</f>
        <v>5135.1100000000006</v>
      </c>
      <c r="AS650" s="204">
        <f>SUM(T650:AE650)</f>
        <v>5227.5419800000009</v>
      </c>
      <c r="AT650" s="204">
        <f>SUM(AF650:AQ650)</f>
        <v>5332.0928195999995</v>
      </c>
      <c r="AU650" s="618">
        <f>AU645</f>
        <v>1.8000000000000002E-2</v>
      </c>
      <c r="AV650" s="171">
        <f>AV645</f>
        <v>0.02</v>
      </c>
      <c r="AW650" s="30"/>
    </row>
    <row r="651" spans="2:49">
      <c r="B651" s="250">
        <v>752</v>
      </c>
      <c r="C651" s="212"/>
      <c r="D651" s="102"/>
      <c r="E651" s="102" t="s">
        <v>170</v>
      </c>
      <c r="F651" s="102"/>
      <c r="G651" s="1216">
        <v>24847.89</v>
      </c>
      <c r="H651" s="1216">
        <v>23809.19</v>
      </c>
      <c r="I651" s="1216">
        <v>22100.03</v>
      </c>
      <c r="J651" s="1216">
        <v>24540.22</v>
      </c>
      <c r="K651" s="1216">
        <v>24733.49</v>
      </c>
      <c r="L651" s="1216">
        <v>25057.57</v>
      </c>
      <c r="M651" s="1216">
        <v>24716.95</v>
      </c>
      <c r="N651" s="1216">
        <v>25174.13</v>
      </c>
      <c r="O651" s="1216">
        <v>18763.810000000001</v>
      </c>
      <c r="P651" s="1216">
        <v>25403.260000000002</v>
      </c>
      <c r="Q651" s="1216">
        <v>22210.850000000002</v>
      </c>
      <c r="R651" s="1216">
        <v>17505.79</v>
      </c>
      <c r="S651" s="620"/>
      <c r="T651" s="131">
        <f t="shared" ref="T651:Y651" si="887">SUM(T649:T650)</f>
        <v>25295.152020000001</v>
      </c>
      <c r="U651" s="131">
        <f t="shared" si="887"/>
        <v>24237.755419999998</v>
      </c>
      <c r="V651" s="131">
        <f t="shared" si="887"/>
        <v>22497.830539999999</v>
      </c>
      <c r="W651" s="131">
        <f t="shared" si="887"/>
        <v>24981.943960000004</v>
      </c>
      <c r="X651" s="131">
        <f t="shared" si="887"/>
        <v>25178.69282</v>
      </c>
      <c r="Y651" s="131">
        <f t="shared" si="887"/>
        <v>25508.60626</v>
      </c>
      <c r="Z651" s="131">
        <f t="shared" ref="Z651:AE651" si="888">SUM(Z649:Z650)</f>
        <v>25161.855100000001</v>
      </c>
      <c r="AA651" s="131">
        <f t="shared" si="888"/>
        <v>25627.264340000002</v>
      </c>
      <c r="AB651" s="131">
        <f t="shared" si="888"/>
        <v>19101.558580000001</v>
      </c>
      <c r="AC651" s="131">
        <f t="shared" si="888"/>
        <v>25860.518680000001</v>
      </c>
      <c r="AD651" s="131">
        <f t="shared" si="888"/>
        <v>22610.645300000004</v>
      </c>
      <c r="AE651" s="131">
        <f t="shared" si="888"/>
        <v>17820.894219999998</v>
      </c>
      <c r="AF651" s="131">
        <f t="shared" ref="AF651:AQ651" si="889">SUM(AF649:AF650)</f>
        <v>25801.055060400002</v>
      </c>
      <c r="AG651" s="131">
        <f t="shared" si="889"/>
        <v>24722.510528399998</v>
      </c>
      <c r="AH651" s="131">
        <f t="shared" si="889"/>
        <v>22947.787150800003</v>
      </c>
      <c r="AI651" s="131">
        <f t="shared" si="889"/>
        <v>25481.582839200004</v>
      </c>
      <c r="AJ651" s="131">
        <f t="shared" si="889"/>
        <v>25682.266676400002</v>
      </c>
      <c r="AK651" s="131">
        <f t="shared" si="889"/>
        <v>26018.778385200003</v>
      </c>
      <c r="AL651" s="131">
        <f t="shared" si="889"/>
        <v>25665.092202</v>
      </c>
      <c r="AM651" s="131">
        <f t="shared" si="889"/>
        <v>26139.809626800001</v>
      </c>
      <c r="AN651" s="131">
        <f t="shared" si="889"/>
        <v>19483.5897516</v>
      </c>
      <c r="AO651" s="131">
        <f t="shared" si="889"/>
        <v>26377.7290536</v>
      </c>
      <c r="AP651" s="131">
        <f t="shared" si="889"/>
        <v>23062.858206000004</v>
      </c>
      <c r="AQ651" s="131">
        <f t="shared" si="889"/>
        <v>18177.3121044</v>
      </c>
      <c r="AR651" s="131">
        <f>SUM(G651:R651)</f>
        <v>278863.18000000005</v>
      </c>
      <c r="AS651" s="131">
        <f>SUM(T651:AE651)</f>
        <v>283882.71724000003</v>
      </c>
      <c r="AT651" s="131">
        <f>SUM(AF651:AQ651)</f>
        <v>289560.37158480007</v>
      </c>
      <c r="AU651" s="621"/>
      <c r="AV651" s="621"/>
      <c r="AW651" s="30"/>
    </row>
    <row r="652" spans="2:49">
      <c r="B652" s="250"/>
      <c r="C652" s="212"/>
      <c r="D652" s="102"/>
      <c r="E652" s="102"/>
      <c r="F652" s="102"/>
      <c r="G652" s="1215"/>
      <c r="H652" s="1215"/>
      <c r="I652" s="1215"/>
      <c r="J652" s="1215"/>
      <c r="K652" s="1215"/>
      <c r="L652" s="1215"/>
      <c r="M652" s="1215"/>
      <c r="N652" s="1215"/>
      <c r="O652" s="1215"/>
      <c r="P652" s="1215"/>
      <c r="Q652" s="1215"/>
      <c r="R652" s="1215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  <c r="AE652" s="116"/>
      <c r="AF652" s="116"/>
      <c r="AG652" s="116"/>
      <c r="AH652" s="116"/>
      <c r="AI652" s="116"/>
      <c r="AJ652" s="116"/>
      <c r="AK652" s="116"/>
      <c r="AL652" s="116"/>
      <c r="AM652" s="116"/>
      <c r="AN652" s="116"/>
      <c r="AO652" s="116"/>
      <c r="AP652" s="116"/>
      <c r="AQ652" s="116"/>
      <c r="AR652" s="116"/>
      <c r="AS652" s="116"/>
      <c r="AT652" s="116"/>
      <c r="AU652" s="171"/>
      <c r="AV652" s="171"/>
      <c r="AW652" s="30"/>
    </row>
    <row r="653" spans="2:49">
      <c r="B653" s="250">
        <v>754</v>
      </c>
      <c r="C653" s="212">
        <v>904</v>
      </c>
      <c r="D653" s="119" t="s">
        <v>21</v>
      </c>
      <c r="E653" s="102"/>
      <c r="F653" s="102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71"/>
      <c r="AV653" s="171"/>
      <c r="AW653" s="30"/>
    </row>
    <row r="654" spans="2:49">
      <c r="B654" s="250">
        <v>755</v>
      </c>
      <c r="C654" s="212"/>
      <c r="D654" s="102"/>
      <c r="E654" s="102" t="s">
        <v>14</v>
      </c>
      <c r="F654" s="102"/>
      <c r="G654" s="186">
        <v>127890.43</v>
      </c>
      <c r="H654" s="186">
        <v>114698.68000000001</v>
      </c>
      <c r="I654" s="186">
        <v>84928.78</v>
      </c>
      <c r="J654" s="186">
        <v>51978.189999999995</v>
      </c>
      <c r="K654" s="186">
        <v>39087.64</v>
      </c>
      <c r="L654" s="186">
        <v>30649.18</v>
      </c>
      <c r="M654" s="186">
        <v>28529.48</v>
      </c>
      <c r="N654" s="186">
        <v>28115.68</v>
      </c>
      <c r="O654" s="186">
        <v>30323.280000000002</v>
      </c>
      <c r="P654" s="186">
        <v>45896.649999999994</v>
      </c>
      <c r="Q654" s="186">
        <v>89621.950000000012</v>
      </c>
      <c r="R654" s="186">
        <v>-15636.410000000002</v>
      </c>
      <c r="S654" s="186"/>
      <c r="T654" s="186">
        <f t="shared" ref="T654:W655" si="890">G654*(1+$AU654)</f>
        <v>127890.43</v>
      </c>
      <c r="U654" s="186">
        <f t="shared" si="890"/>
        <v>114698.68000000001</v>
      </c>
      <c r="V654" s="186">
        <f t="shared" si="890"/>
        <v>84928.78</v>
      </c>
      <c r="W654" s="186">
        <f t="shared" si="890"/>
        <v>51978.189999999995</v>
      </c>
      <c r="X654" s="186">
        <f t="shared" ref="X654:AD655" si="891">K654*(1+$AU654)</f>
        <v>39087.64</v>
      </c>
      <c r="Y654" s="186">
        <f t="shared" si="891"/>
        <v>30649.18</v>
      </c>
      <c r="Z654" s="186">
        <f t="shared" si="891"/>
        <v>28529.48</v>
      </c>
      <c r="AA654" s="186">
        <f t="shared" si="891"/>
        <v>28115.68</v>
      </c>
      <c r="AB654" s="186">
        <f t="shared" si="891"/>
        <v>30323.280000000002</v>
      </c>
      <c r="AC654" s="186">
        <f t="shared" si="891"/>
        <v>45896.649999999994</v>
      </c>
      <c r="AD654" s="186">
        <f t="shared" si="891"/>
        <v>89621.950000000012</v>
      </c>
      <c r="AE654" s="186">
        <f>R654*(1+$AU654)</f>
        <v>-15636.410000000002</v>
      </c>
      <c r="AF654" s="186">
        <f>T654*(1+$AV654)</f>
        <v>127890.43</v>
      </c>
      <c r="AG654" s="186">
        <f t="shared" ref="AG654:AQ655" si="892">U654*(1+$AV654)</f>
        <v>114698.68000000001</v>
      </c>
      <c r="AH654" s="186">
        <f t="shared" si="892"/>
        <v>84928.78</v>
      </c>
      <c r="AI654" s="186">
        <f t="shared" si="892"/>
        <v>51978.189999999995</v>
      </c>
      <c r="AJ654" s="186">
        <f t="shared" si="892"/>
        <v>39087.64</v>
      </c>
      <c r="AK654" s="186">
        <f t="shared" si="892"/>
        <v>30649.18</v>
      </c>
      <c r="AL654" s="186">
        <f t="shared" si="892"/>
        <v>28529.48</v>
      </c>
      <c r="AM654" s="186">
        <f t="shared" si="892"/>
        <v>28115.68</v>
      </c>
      <c r="AN654" s="186">
        <f t="shared" si="892"/>
        <v>30323.280000000002</v>
      </c>
      <c r="AO654" s="186">
        <f t="shared" si="892"/>
        <v>45896.649999999994</v>
      </c>
      <c r="AP654" s="186">
        <f t="shared" si="892"/>
        <v>89621.950000000012</v>
      </c>
      <c r="AQ654" s="186">
        <f t="shared" si="892"/>
        <v>-15636.410000000002</v>
      </c>
      <c r="AR654" s="186">
        <f>SUM(G654:R654)</f>
        <v>656083.52999999991</v>
      </c>
      <c r="AS654" s="186">
        <f>SUM(T654:AE654)</f>
        <v>656083.52999999991</v>
      </c>
      <c r="AT654" s="186">
        <f>SUM(AF654:AQ654)</f>
        <v>656083.52999999991</v>
      </c>
      <c r="AU654" s="171">
        <v>0</v>
      </c>
      <c r="AV654" s="171">
        <v>0</v>
      </c>
      <c r="AW654" s="30"/>
    </row>
    <row r="655" spans="2:49">
      <c r="B655" s="250">
        <v>756</v>
      </c>
      <c r="C655" s="212"/>
      <c r="D655" s="102"/>
      <c r="E655" s="102" t="s">
        <v>24</v>
      </c>
      <c r="F655" s="102"/>
      <c r="G655" s="186">
        <v>12885.29</v>
      </c>
      <c r="H655" s="186">
        <v>10129.780000000001</v>
      </c>
      <c r="I655" s="186">
        <v>8065.68</v>
      </c>
      <c r="J655" s="186">
        <v>7013.37</v>
      </c>
      <c r="K655" s="186">
        <v>4602.53</v>
      </c>
      <c r="L655" s="186">
        <v>2140.11</v>
      </c>
      <c r="M655" s="186">
        <v>2316.52</v>
      </c>
      <c r="N655" s="186">
        <v>2101.4700000000003</v>
      </c>
      <c r="O655" s="186">
        <v>2571.23</v>
      </c>
      <c r="P655" s="186">
        <v>6587.41</v>
      </c>
      <c r="Q655" s="186">
        <v>8810.57</v>
      </c>
      <c r="R655" s="186">
        <v>-3422.76</v>
      </c>
      <c r="S655" s="617"/>
      <c r="T655" s="204">
        <f t="shared" si="890"/>
        <v>12885.29</v>
      </c>
      <c r="U655" s="204">
        <f t="shared" si="890"/>
        <v>10129.780000000001</v>
      </c>
      <c r="V655" s="204">
        <f t="shared" si="890"/>
        <v>8065.68</v>
      </c>
      <c r="W655" s="204">
        <f t="shared" si="890"/>
        <v>7013.37</v>
      </c>
      <c r="X655" s="204">
        <f t="shared" si="891"/>
        <v>4602.53</v>
      </c>
      <c r="Y655" s="204">
        <f t="shared" si="891"/>
        <v>2140.11</v>
      </c>
      <c r="Z655" s="204">
        <f t="shared" si="891"/>
        <v>2316.52</v>
      </c>
      <c r="AA655" s="204">
        <f t="shared" si="891"/>
        <v>2101.4700000000003</v>
      </c>
      <c r="AB655" s="204">
        <f t="shared" si="891"/>
        <v>2571.23</v>
      </c>
      <c r="AC655" s="204">
        <f t="shared" si="891"/>
        <v>6587.41</v>
      </c>
      <c r="AD655" s="204">
        <f t="shared" si="891"/>
        <v>8810.57</v>
      </c>
      <c r="AE655" s="204">
        <f t="shared" ref="AE655" si="893">R655*(1+$AU655)</f>
        <v>-3422.76</v>
      </c>
      <c r="AF655" s="204">
        <f>T655*(1+$AV655)</f>
        <v>12885.29</v>
      </c>
      <c r="AG655" s="204">
        <f t="shared" si="892"/>
        <v>10129.780000000001</v>
      </c>
      <c r="AH655" s="204">
        <f t="shared" si="892"/>
        <v>8065.68</v>
      </c>
      <c r="AI655" s="204">
        <f t="shared" si="892"/>
        <v>7013.37</v>
      </c>
      <c r="AJ655" s="204">
        <f t="shared" si="892"/>
        <v>4602.53</v>
      </c>
      <c r="AK655" s="204">
        <f t="shared" si="892"/>
        <v>2140.11</v>
      </c>
      <c r="AL655" s="204">
        <f t="shared" si="892"/>
        <v>2316.52</v>
      </c>
      <c r="AM655" s="204">
        <f t="shared" si="892"/>
        <v>2101.4700000000003</v>
      </c>
      <c r="AN655" s="204">
        <f t="shared" si="892"/>
        <v>2571.23</v>
      </c>
      <c r="AO655" s="204">
        <f t="shared" si="892"/>
        <v>6587.41</v>
      </c>
      <c r="AP655" s="204">
        <f t="shared" si="892"/>
        <v>8810.57</v>
      </c>
      <c r="AQ655" s="204">
        <f t="shared" si="892"/>
        <v>-3422.76</v>
      </c>
      <c r="AR655" s="186">
        <f>SUM(G655:R655)</f>
        <v>63801.19999999999</v>
      </c>
      <c r="AS655" s="204">
        <f>SUM(T655:AE655)</f>
        <v>63801.19999999999</v>
      </c>
      <c r="AT655" s="204">
        <f>SUM(AF655:AQ655)</f>
        <v>63801.19999999999</v>
      </c>
      <c r="AU655" s="618">
        <v>0</v>
      </c>
      <c r="AV655" s="618">
        <v>0</v>
      </c>
      <c r="AW655" s="30"/>
    </row>
    <row r="656" spans="2:49">
      <c r="B656" s="250">
        <v>757</v>
      </c>
      <c r="C656" s="212"/>
      <c r="D656" s="102"/>
      <c r="E656" s="102" t="s">
        <v>170</v>
      </c>
      <c r="F656" s="102"/>
      <c r="G656" s="1216">
        <v>140775.72</v>
      </c>
      <c r="H656" s="1216">
        <v>124828.46</v>
      </c>
      <c r="I656" s="1216">
        <v>92994.46</v>
      </c>
      <c r="J656" s="1216">
        <v>58991.56</v>
      </c>
      <c r="K656" s="1216">
        <v>43690.17</v>
      </c>
      <c r="L656" s="1216">
        <v>32789.29</v>
      </c>
      <c r="M656" s="1216">
        <v>30846</v>
      </c>
      <c r="N656" s="1216">
        <v>30217.15</v>
      </c>
      <c r="O656" s="1216">
        <v>32894.51</v>
      </c>
      <c r="P656" s="1216">
        <v>52484.06</v>
      </c>
      <c r="Q656" s="1216">
        <v>98432.52</v>
      </c>
      <c r="R656" s="1216">
        <v>-19059.170000000002</v>
      </c>
      <c r="S656" s="620"/>
      <c r="T656" s="131">
        <f t="shared" ref="T656:Y656" si="894">SUM(T654:T655)</f>
        <v>140775.72</v>
      </c>
      <c r="U656" s="131">
        <f t="shared" si="894"/>
        <v>124828.46</v>
      </c>
      <c r="V656" s="131">
        <f t="shared" si="894"/>
        <v>92994.459999999992</v>
      </c>
      <c r="W656" s="131">
        <f t="shared" si="894"/>
        <v>58991.56</v>
      </c>
      <c r="X656" s="131">
        <f t="shared" si="894"/>
        <v>43690.17</v>
      </c>
      <c r="Y656" s="131">
        <f t="shared" si="894"/>
        <v>32789.29</v>
      </c>
      <c r="Z656" s="131">
        <f t="shared" ref="Z656:AE656" si="895">SUM(Z654:Z655)</f>
        <v>30846</v>
      </c>
      <c r="AA656" s="131">
        <f t="shared" si="895"/>
        <v>30217.15</v>
      </c>
      <c r="AB656" s="131">
        <f t="shared" si="895"/>
        <v>32894.51</v>
      </c>
      <c r="AC656" s="131">
        <f t="shared" si="895"/>
        <v>52484.06</v>
      </c>
      <c r="AD656" s="131">
        <f t="shared" si="895"/>
        <v>98432.520000000019</v>
      </c>
      <c r="AE656" s="131">
        <f t="shared" si="895"/>
        <v>-19059.170000000002</v>
      </c>
      <c r="AF656" s="131">
        <f t="shared" ref="AF656:AQ656" si="896">SUM(AF654:AF655)</f>
        <v>140775.72</v>
      </c>
      <c r="AG656" s="131">
        <f t="shared" si="896"/>
        <v>124828.46</v>
      </c>
      <c r="AH656" s="131">
        <f t="shared" si="896"/>
        <v>92994.459999999992</v>
      </c>
      <c r="AI656" s="131">
        <f t="shared" si="896"/>
        <v>58991.56</v>
      </c>
      <c r="AJ656" s="131">
        <f t="shared" si="896"/>
        <v>43690.17</v>
      </c>
      <c r="AK656" s="131">
        <f t="shared" si="896"/>
        <v>32789.29</v>
      </c>
      <c r="AL656" s="131">
        <f t="shared" si="896"/>
        <v>30846</v>
      </c>
      <c r="AM656" s="131">
        <f t="shared" si="896"/>
        <v>30217.15</v>
      </c>
      <c r="AN656" s="131">
        <f t="shared" si="896"/>
        <v>32894.51</v>
      </c>
      <c r="AO656" s="131">
        <f t="shared" si="896"/>
        <v>52484.06</v>
      </c>
      <c r="AP656" s="131">
        <f t="shared" si="896"/>
        <v>98432.520000000019</v>
      </c>
      <c r="AQ656" s="131">
        <f t="shared" si="896"/>
        <v>-19059.170000000002</v>
      </c>
      <c r="AR656" s="131">
        <f>SUM(G656:R656)</f>
        <v>719884.72999999986</v>
      </c>
      <c r="AS656" s="131">
        <f>SUM(T656:AE656)</f>
        <v>719884.72999999986</v>
      </c>
      <c r="AT656" s="131">
        <f>SUM(AF656:AQ656)</f>
        <v>719884.72999999986</v>
      </c>
      <c r="AU656" s="621"/>
      <c r="AV656" s="621"/>
      <c r="AW656" s="30"/>
    </row>
    <row r="657" spans="2:49">
      <c r="B657" s="250"/>
      <c r="C657" s="212"/>
      <c r="D657" s="102"/>
      <c r="E657" s="102"/>
      <c r="F657" s="102"/>
      <c r="G657" s="1215"/>
      <c r="H657" s="1215"/>
      <c r="I657" s="1215"/>
      <c r="J657" s="1215"/>
      <c r="K657" s="1215"/>
      <c r="L657" s="1215"/>
      <c r="M657" s="1215"/>
      <c r="N657" s="1215"/>
      <c r="O657" s="1215"/>
      <c r="P657" s="1215"/>
      <c r="Q657" s="1215"/>
      <c r="R657" s="1215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  <c r="AE657" s="116"/>
      <c r="AF657" s="116"/>
      <c r="AG657" s="116"/>
      <c r="AH657" s="116"/>
      <c r="AI657" s="116"/>
      <c r="AJ657" s="116"/>
      <c r="AK657" s="116"/>
      <c r="AL657" s="116"/>
      <c r="AM657" s="116"/>
      <c r="AN657" s="116"/>
      <c r="AO657" s="116"/>
      <c r="AP657" s="116"/>
      <c r="AQ657" s="116"/>
      <c r="AR657" s="116"/>
      <c r="AS657" s="116"/>
      <c r="AT657" s="116"/>
      <c r="AU657" s="171"/>
      <c r="AV657" s="171"/>
      <c r="AW657" s="30"/>
    </row>
    <row r="658" spans="2:49">
      <c r="B658" s="250">
        <v>754</v>
      </c>
      <c r="C658" s="212">
        <v>904</v>
      </c>
      <c r="D658" s="119" t="s">
        <v>22</v>
      </c>
      <c r="E658" s="102"/>
      <c r="F658" s="102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71"/>
      <c r="AV658" s="171"/>
      <c r="AW658" s="30"/>
    </row>
    <row r="659" spans="2:49">
      <c r="B659" s="250">
        <v>755</v>
      </c>
      <c r="C659" s="212"/>
      <c r="D659" s="102"/>
      <c r="E659" s="102" t="s">
        <v>14</v>
      </c>
      <c r="F659" s="102"/>
      <c r="G659" s="186">
        <v>60508.31</v>
      </c>
      <c r="H659" s="186">
        <v>41482.379999999997</v>
      </c>
      <c r="I659" s="186">
        <v>28788.05</v>
      </c>
      <c r="J659" s="186">
        <v>10828.68</v>
      </c>
      <c r="K659" s="186">
        <v>6003.92</v>
      </c>
      <c r="L659" s="186">
        <v>3852.98</v>
      </c>
      <c r="M659" s="186">
        <v>3833.02</v>
      </c>
      <c r="N659" s="186">
        <v>3521.5</v>
      </c>
      <c r="O659" s="186">
        <v>4442.3900000000003</v>
      </c>
      <c r="P659" s="186">
        <v>10989.86</v>
      </c>
      <c r="Q659" s="186">
        <v>29604.53</v>
      </c>
      <c r="R659" s="186">
        <v>8461.4500000000007</v>
      </c>
      <c r="S659" s="186"/>
      <c r="T659" s="186">
        <f t="shared" ref="T659:W660" si="897">G659*(1+$AU659)</f>
        <v>60508.31</v>
      </c>
      <c r="U659" s="186">
        <f t="shared" si="897"/>
        <v>41482.379999999997</v>
      </c>
      <c r="V659" s="186">
        <f t="shared" si="897"/>
        <v>28788.05</v>
      </c>
      <c r="W659" s="186">
        <f t="shared" si="897"/>
        <v>10828.68</v>
      </c>
      <c r="X659" s="186">
        <f t="shared" ref="X659:Z660" si="898">K659*(1+$AU659)</f>
        <v>6003.92</v>
      </c>
      <c r="Y659" s="186">
        <f t="shared" si="898"/>
        <v>3852.98</v>
      </c>
      <c r="Z659" s="186">
        <f t="shared" si="898"/>
        <v>3833.02</v>
      </c>
      <c r="AA659" s="186">
        <f t="shared" ref="AA659:AA660" si="899">N659*(1+$AU659)</f>
        <v>3521.5</v>
      </c>
      <c r="AB659" s="186">
        <f t="shared" ref="AB659:AB660" si="900">O659*(1+$AU659)</f>
        <v>4442.3900000000003</v>
      </c>
      <c r="AC659" s="186">
        <f t="shared" ref="AC659:AC660" si="901">P659*(1+$AU659)</f>
        <v>10989.86</v>
      </c>
      <c r="AD659" s="186">
        <f t="shared" ref="AD659:AD660" si="902">Q659*(1+$AU659)</f>
        <v>29604.53</v>
      </c>
      <c r="AE659" s="186">
        <f t="shared" ref="AE659:AE660" si="903">R659*(1+$AU659)</f>
        <v>8461.4500000000007</v>
      </c>
      <c r="AF659" s="186">
        <f>T659*(1+$AV659)</f>
        <v>60508.31</v>
      </c>
      <c r="AG659" s="186">
        <f t="shared" ref="AG659" si="904">U659*(1+$AV659)</f>
        <v>41482.379999999997</v>
      </c>
      <c r="AH659" s="186">
        <f t="shared" ref="AH659" si="905">V659*(1+$AV659)</f>
        <v>28788.05</v>
      </c>
      <c r="AI659" s="186">
        <f t="shared" ref="AI659" si="906">W659*(1+$AV659)</f>
        <v>10828.68</v>
      </c>
      <c r="AJ659" s="186">
        <f t="shared" ref="AJ659" si="907">X659*(1+$AV659)</f>
        <v>6003.92</v>
      </c>
      <c r="AK659" s="186">
        <f t="shared" ref="AK659" si="908">Y659*(1+$AV659)</f>
        <v>3852.98</v>
      </c>
      <c r="AL659" s="186">
        <f t="shared" ref="AL659" si="909">Z659*(1+$AV659)</f>
        <v>3833.02</v>
      </c>
      <c r="AM659" s="186">
        <f t="shared" ref="AM659" si="910">AA659*(1+$AV659)</f>
        <v>3521.5</v>
      </c>
      <c r="AN659" s="186">
        <f t="shared" ref="AN659" si="911">AB659*(1+$AV659)</f>
        <v>4442.3900000000003</v>
      </c>
      <c r="AO659" s="186">
        <f t="shared" ref="AO659" si="912">AC659*(1+$AV659)</f>
        <v>10989.86</v>
      </c>
      <c r="AP659" s="186">
        <f t="shared" ref="AP659" si="913">AD659*(1+$AV659)</f>
        <v>29604.53</v>
      </c>
      <c r="AQ659" s="186">
        <f t="shared" ref="AQ659" si="914">AE659*(1+$AV659)</f>
        <v>8461.4500000000007</v>
      </c>
      <c r="AR659" s="186">
        <f>SUM(G659:R659)</f>
        <v>212317.07000000004</v>
      </c>
      <c r="AS659" s="186">
        <f>SUM(T659:AE659)</f>
        <v>212317.07000000004</v>
      </c>
      <c r="AT659" s="186">
        <f>SUM(AF659:AQ659)</f>
        <v>212317.07000000004</v>
      </c>
      <c r="AU659" s="171">
        <v>0</v>
      </c>
      <c r="AV659" s="171">
        <v>0</v>
      </c>
      <c r="AW659" s="30"/>
    </row>
    <row r="660" spans="2:49">
      <c r="B660" s="250">
        <v>756</v>
      </c>
      <c r="C660" s="212"/>
      <c r="D660" s="102"/>
      <c r="E660" s="102" t="s">
        <v>24</v>
      </c>
      <c r="F660" s="102"/>
      <c r="G660" s="186">
        <v>0</v>
      </c>
      <c r="H660" s="186">
        <v>0</v>
      </c>
      <c r="I660" s="186">
        <v>0</v>
      </c>
      <c r="J660" s="186">
        <v>0</v>
      </c>
      <c r="K660" s="186">
        <v>0</v>
      </c>
      <c r="L660" s="186">
        <v>0</v>
      </c>
      <c r="M660" s="186">
        <v>0</v>
      </c>
      <c r="N660" s="186">
        <v>0</v>
      </c>
      <c r="O660" s="186">
        <v>0</v>
      </c>
      <c r="P660" s="186">
        <v>0</v>
      </c>
      <c r="Q660" s="186">
        <v>0</v>
      </c>
      <c r="R660" s="186">
        <v>0</v>
      </c>
      <c r="S660" s="617"/>
      <c r="T660" s="204">
        <f t="shared" si="897"/>
        <v>0</v>
      </c>
      <c r="U660" s="204">
        <f t="shared" si="897"/>
        <v>0</v>
      </c>
      <c r="V660" s="204">
        <f t="shared" si="897"/>
        <v>0</v>
      </c>
      <c r="W660" s="204">
        <f t="shared" si="897"/>
        <v>0</v>
      </c>
      <c r="X660" s="204">
        <f t="shared" si="898"/>
        <v>0</v>
      </c>
      <c r="Y660" s="204">
        <f t="shared" si="898"/>
        <v>0</v>
      </c>
      <c r="Z660" s="204">
        <f t="shared" si="898"/>
        <v>0</v>
      </c>
      <c r="AA660" s="204">
        <f t="shared" si="899"/>
        <v>0</v>
      </c>
      <c r="AB660" s="204">
        <f t="shared" si="900"/>
        <v>0</v>
      </c>
      <c r="AC660" s="204">
        <f t="shared" si="901"/>
        <v>0</v>
      </c>
      <c r="AD660" s="204">
        <f t="shared" si="902"/>
        <v>0</v>
      </c>
      <c r="AE660" s="204">
        <f t="shared" si="903"/>
        <v>0</v>
      </c>
      <c r="AF660" s="204">
        <f>T660*(1+$AV660)</f>
        <v>0</v>
      </c>
      <c r="AG660" s="204">
        <f t="shared" ref="AG660" si="915">U660*(1+$AV660)</f>
        <v>0</v>
      </c>
      <c r="AH660" s="204">
        <f t="shared" ref="AH660" si="916">V660*(1+$AV660)</f>
        <v>0</v>
      </c>
      <c r="AI660" s="204">
        <f t="shared" ref="AI660" si="917">W660*(1+$AV660)</f>
        <v>0</v>
      </c>
      <c r="AJ660" s="204">
        <f t="shared" ref="AJ660" si="918">X660*(1+$AV660)</f>
        <v>0</v>
      </c>
      <c r="AK660" s="204">
        <f t="shared" ref="AK660" si="919">Y660*(1+$AV660)</f>
        <v>0</v>
      </c>
      <c r="AL660" s="204">
        <f t="shared" ref="AL660" si="920">Z660*(1+$AV660)</f>
        <v>0</v>
      </c>
      <c r="AM660" s="204">
        <f t="shared" ref="AM660" si="921">AA660*(1+$AV660)</f>
        <v>0</v>
      </c>
      <c r="AN660" s="204">
        <f t="shared" ref="AN660" si="922">AB660*(1+$AV660)</f>
        <v>0</v>
      </c>
      <c r="AO660" s="204">
        <f t="shared" ref="AO660" si="923">AC660*(1+$AV660)</f>
        <v>0</v>
      </c>
      <c r="AP660" s="204">
        <f t="shared" ref="AP660" si="924">AD660*(1+$AV660)</f>
        <v>0</v>
      </c>
      <c r="AQ660" s="204">
        <f t="shared" ref="AQ660" si="925">AE660*(1+$AV660)</f>
        <v>0</v>
      </c>
      <c r="AR660" s="204">
        <f>SUM(G660:R660)</f>
        <v>0</v>
      </c>
      <c r="AS660" s="204">
        <f>SUM(T660:AE660)</f>
        <v>0</v>
      </c>
      <c r="AT660" s="204">
        <f>SUM(AF660:AQ660)</f>
        <v>0</v>
      </c>
      <c r="AU660" s="618">
        <v>0</v>
      </c>
      <c r="AV660" s="618">
        <v>0</v>
      </c>
      <c r="AW660" s="30"/>
    </row>
    <row r="661" spans="2:49">
      <c r="B661" s="250">
        <v>757</v>
      </c>
      <c r="C661" s="212"/>
      <c r="D661" s="102"/>
      <c r="E661" s="102" t="s">
        <v>170</v>
      </c>
      <c r="F661" s="102"/>
      <c r="G661" s="1216">
        <v>60508.31</v>
      </c>
      <c r="H661" s="1216">
        <v>41482.379999999997</v>
      </c>
      <c r="I661" s="1216">
        <v>28788.05</v>
      </c>
      <c r="J661" s="1216">
        <v>10828.68</v>
      </c>
      <c r="K661" s="1216">
        <v>6003.92</v>
      </c>
      <c r="L661" s="1216">
        <v>3852.98</v>
      </c>
      <c r="M661" s="1216">
        <v>3833.02</v>
      </c>
      <c r="N661" s="1216">
        <v>3521.5</v>
      </c>
      <c r="O661" s="1216">
        <v>4442.3900000000003</v>
      </c>
      <c r="P661" s="1216">
        <v>10989.86</v>
      </c>
      <c r="Q661" s="1216">
        <v>29604.53</v>
      </c>
      <c r="R661" s="1216">
        <v>8461.4500000000007</v>
      </c>
      <c r="S661" s="620"/>
      <c r="T661" s="131">
        <f t="shared" ref="T661:Y661" si="926">SUM(T659:T660)</f>
        <v>60508.31</v>
      </c>
      <c r="U661" s="131">
        <f t="shared" si="926"/>
        <v>41482.379999999997</v>
      </c>
      <c r="V661" s="131">
        <f t="shared" si="926"/>
        <v>28788.05</v>
      </c>
      <c r="W661" s="131">
        <f t="shared" si="926"/>
        <v>10828.68</v>
      </c>
      <c r="X661" s="131">
        <f t="shared" si="926"/>
        <v>6003.92</v>
      </c>
      <c r="Y661" s="131">
        <f t="shared" si="926"/>
        <v>3852.98</v>
      </c>
      <c r="Z661" s="131">
        <f t="shared" ref="Z661:AE661" si="927">SUM(Z659:Z660)</f>
        <v>3833.02</v>
      </c>
      <c r="AA661" s="131">
        <f t="shared" si="927"/>
        <v>3521.5</v>
      </c>
      <c r="AB661" s="131">
        <f t="shared" si="927"/>
        <v>4442.3900000000003</v>
      </c>
      <c r="AC661" s="131">
        <f t="shared" si="927"/>
        <v>10989.86</v>
      </c>
      <c r="AD661" s="131">
        <f t="shared" si="927"/>
        <v>29604.53</v>
      </c>
      <c r="AE661" s="131">
        <f t="shared" si="927"/>
        <v>8461.4500000000007</v>
      </c>
      <c r="AF661" s="131">
        <f t="shared" ref="AF661:AQ661" si="928">SUM(AF659:AF660)</f>
        <v>60508.31</v>
      </c>
      <c r="AG661" s="131">
        <f t="shared" si="928"/>
        <v>41482.379999999997</v>
      </c>
      <c r="AH661" s="131">
        <f t="shared" si="928"/>
        <v>28788.05</v>
      </c>
      <c r="AI661" s="131">
        <f t="shared" si="928"/>
        <v>10828.68</v>
      </c>
      <c r="AJ661" s="131">
        <f t="shared" si="928"/>
        <v>6003.92</v>
      </c>
      <c r="AK661" s="131">
        <f t="shared" si="928"/>
        <v>3852.98</v>
      </c>
      <c r="AL661" s="131">
        <f t="shared" si="928"/>
        <v>3833.02</v>
      </c>
      <c r="AM661" s="131">
        <f t="shared" si="928"/>
        <v>3521.5</v>
      </c>
      <c r="AN661" s="131">
        <f t="shared" si="928"/>
        <v>4442.3900000000003</v>
      </c>
      <c r="AO661" s="131">
        <f t="shared" si="928"/>
        <v>10989.86</v>
      </c>
      <c r="AP661" s="131">
        <f t="shared" si="928"/>
        <v>29604.53</v>
      </c>
      <c r="AQ661" s="131">
        <f t="shared" si="928"/>
        <v>8461.4500000000007</v>
      </c>
      <c r="AR661" s="131">
        <f>SUM(G661:R661)</f>
        <v>212317.07000000004</v>
      </c>
      <c r="AS661" s="131">
        <f>SUM(T661:AE661)</f>
        <v>212317.07000000004</v>
      </c>
      <c r="AT661" s="131">
        <f>SUM(AF661:AQ661)</f>
        <v>212317.07000000004</v>
      </c>
      <c r="AU661" s="621"/>
      <c r="AV661" s="621"/>
      <c r="AW661" s="30"/>
    </row>
    <row r="662" spans="2:49">
      <c r="B662" s="250">
        <v>753</v>
      </c>
      <c r="C662" s="212"/>
      <c r="D662" s="102"/>
      <c r="E662" s="102"/>
      <c r="F662" s="102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71"/>
      <c r="AV662" s="171"/>
      <c r="AW662" s="30"/>
    </row>
    <row r="663" spans="2:49">
      <c r="B663" s="250">
        <v>754</v>
      </c>
      <c r="C663" s="212">
        <v>904</v>
      </c>
      <c r="D663" s="119" t="s">
        <v>23</v>
      </c>
      <c r="E663" s="102"/>
      <c r="F663" s="102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71"/>
      <c r="AV663" s="171"/>
      <c r="AW663" s="30"/>
    </row>
    <row r="664" spans="2:49">
      <c r="B664" s="250">
        <v>755</v>
      </c>
      <c r="C664" s="212"/>
      <c r="D664" s="102"/>
      <c r="E664" s="102" t="s">
        <v>14</v>
      </c>
      <c r="F664" s="102"/>
      <c r="G664" s="186">
        <v>203440.57</v>
      </c>
      <c r="H664" s="186">
        <v>139523.70000000001</v>
      </c>
      <c r="I664" s="186">
        <v>96983.5</v>
      </c>
      <c r="J664" s="186">
        <v>79246.740000000005</v>
      </c>
      <c r="K664" s="186">
        <v>43080.66</v>
      </c>
      <c r="L664" s="186">
        <v>26511.08</v>
      </c>
      <c r="M664" s="186">
        <v>26100.420000000002</v>
      </c>
      <c r="N664" s="186">
        <v>23973.59</v>
      </c>
      <c r="O664" s="186">
        <v>30214.5</v>
      </c>
      <c r="P664" s="186">
        <v>74638.95</v>
      </c>
      <c r="Q664" s="186">
        <v>101999.85</v>
      </c>
      <c r="R664" s="186">
        <v>-3895.59</v>
      </c>
      <c r="S664" s="186"/>
      <c r="T664" s="186">
        <f t="shared" ref="T664:W665" si="929">G664*(1+$AU664)</f>
        <v>203440.57</v>
      </c>
      <c r="U664" s="186">
        <f t="shared" si="929"/>
        <v>139523.70000000001</v>
      </c>
      <c r="V664" s="186">
        <f t="shared" si="929"/>
        <v>96983.5</v>
      </c>
      <c r="W664" s="186">
        <f t="shared" si="929"/>
        <v>79246.740000000005</v>
      </c>
      <c r="X664" s="186">
        <f t="shared" ref="X664:Z665" si="930">K664*(1+$AU664)</f>
        <v>43080.66</v>
      </c>
      <c r="Y664" s="186">
        <f t="shared" si="930"/>
        <v>26511.08</v>
      </c>
      <c r="Z664" s="186">
        <f t="shared" si="930"/>
        <v>26100.420000000002</v>
      </c>
      <c r="AA664" s="186">
        <f t="shared" ref="AA664:AA665" si="931">N664*(1+$AU664)</f>
        <v>23973.59</v>
      </c>
      <c r="AB664" s="186">
        <f t="shared" ref="AB664:AB665" si="932">O664*(1+$AU664)</f>
        <v>30214.5</v>
      </c>
      <c r="AC664" s="186">
        <f t="shared" ref="AC664:AC665" si="933">P664*(1+$AU664)</f>
        <v>74638.95</v>
      </c>
      <c r="AD664" s="186">
        <f t="shared" ref="AD664:AD665" si="934">Q664*(1+$AU664)</f>
        <v>101999.85</v>
      </c>
      <c r="AE664" s="186">
        <f t="shared" ref="AE664:AE665" si="935">R664*(1+$AU664)</f>
        <v>-3895.59</v>
      </c>
      <c r="AF664" s="186">
        <f>T664*(1+$AV664)</f>
        <v>203440.57</v>
      </c>
      <c r="AG664" s="186">
        <f t="shared" ref="AG664" si="936">U664*(1+$AV664)</f>
        <v>139523.70000000001</v>
      </c>
      <c r="AH664" s="186">
        <f t="shared" ref="AH664" si="937">V664*(1+$AV664)</f>
        <v>96983.5</v>
      </c>
      <c r="AI664" s="186">
        <f t="shared" ref="AI664" si="938">W664*(1+$AV664)</f>
        <v>79246.740000000005</v>
      </c>
      <c r="AJ664" s="186">
        <f t="shared" ref="AJ664" si="939">X664*(1+$AV664)</f>
        <v>43080.66</v>
      </c>
      <c r="AK664" s="186">
        <f t="shared" ref="AK664" si="940">Y664*(1+$AV664)</f>
        <v>26511.08</v>
      </c>
      <c r="AL664" s="186">
        <f t="shared" ref="AL664" si="941">Z664*(1+$AV664)</f>
        <v>26100.420000000002</v>
      </c>
      <c r="AM664" s="186">
        <f t="shared" ref="AM664" si="942">AA664*(1+$AV664)</f>
        <v>23973.59</v>
      </c>
      <c r="AN664" s="186">
        <f t="shared" ref="AN664" si="943">AB664*(1+$AV664)</f>
        <v>30214.5</v>
      </c>
      <c r="AO664" s="186">
        <f t="shared" ref="AO664" si="944">AC664*(1+$AV664)</f>
        <v>74638.95</v>
      </c>
      <c r="AP664" s="186">
        <f t="shared" ref="AP664" si="945">AD664*(1+$AV664)</f>
        <v>101999.85</v>
      </c>
      <c r="AQ664" s="186">
        <f t="shared" ref="AQ664" si="946">AE664*(1+$AV664)</f>
        <v>-3895.59</v>
      </c>
      <c r="AR664" s="186">
        <f>SUM(G664:R664)</f>
        <v>841817.97</v>
      </c>
      <c r="AS664" s="186">
        <f>SUM(T664:AE664)</f>
        <v>841817.97</v>
      </c>
      <c r="AT664" s="186">
        <f>SUM(AF664:AQ664)</f>
        <v>841817.97</v>
      </c>
      <c r="AU664" s="171">
        <v>0</v>
      </c>
      <c r="AV664" s="171">
        <v>0</v>
      </c>
      <c r="AW664" s="30"/>
    </row>
    <row r="665" spans="2:49">
      <c r="B665" s="250">
        <v>756</v>
      </c>
      <c r="C665" s="212"/>
      <c r="D665" s="102"/>
      <c r="E665" s="102" t="s">
        <v>24</v>
      </c>
      <c r="F665" s="102"/>
      <c r="G665" s="186">
        <v>0</v>
      </c>
      <c r="H665" s="186">
        <v>0</v>
      </c>
      <c r="I665" s="186">
        <v>0</v>
      </c>
      <c r="J665" s="186">
        <v>0</v>
      </c>
      <c r="K665" s="186">
        <v>0</v>
      </c>
      <c r="L665" s="186">
        <v>0</v>
      </c>
      <c r="M665" s="186">
        <v>0</v>
      </c>
      <c r="N665" s="186">
        <v>0</v>
      </c>
      <c r="O665" s="186">
        <v>0</v>
      </c>
      <c r="P665" s="186">
        <v>0</v>
      </c>
      <c r="Q665" s="186">
        <v>0</v>
      </c>
      <c r="R665" s="186">
        <v>0</v>
      </c>
      <c r="S665" s="617"/>
      <c r="T665" s="204">
        <f t="shared" si="929"/>
        <v>0</v>
      </c>
      <c r="U665" s="204">
        <f t="shared" si="929"/>
        <v>0</v>
      </c>
      <c r="V665" s="204">
        <f t="shared" si="929"/>
        <v>0</v>
      </c>
      <c r="W665" s="204">
        <f t="shared" si="929"/>
        <v>0</v>
      </c>
      <c r="X665" s="204">
        <f t="shared" si="930"/>
        <v>0</v>
      </c>
      <c r="Y665" s="204">
        <f t="shared" si="930"/>
        <v>0</v>
      </c>
      <c r="Z665" s="204">
        <f t="shared" si="930"/>
        <v>0</v>
      </c>
      <c r="AA665" s="204">
        <f t="shared" si="931"/>
        <v>0</v>
      </c>
      <c r="AB665" s="204">
        <f t="shared" si="932"/>
        <v>0</v>
      </c>
      <c r="AC665" s="204">
        <f t="shared" si="933"/>
        <v>0</v>
      </c>
      <c r="AD665" s="204">
        <f t="shared" si="934"/>
        <v>0</v>
      </c>
      <c r="AE665" s="204">
        <f t="shared" si="935"/>
        <v>0</v>
      </c>
      <c r="AF665" s="204">
        <f>T665*(1+$AV665)</f>
        <v>0</v>
      </c>
      <c r="AG665" s="204">
        <f t="shared" ref="AG665" si="947">U665*(1+$AV665)</f>
        <v>0</v>
      </c>
      <c r="AH665" s="204">
        <f t="shared" ref="AH665" si="948">V665*(1+$AV665)</f>
        <v>0</v>
      </c>
      <c r="AI665" s="204">
        <f t="shared" ref="AI665" si="949">W665*(1+$AV665)</f>
        <v>0</v>
      </c>
      <c r="AJ665" s="204">
        <f t="shared" ref="AJ665" si="950">X665*(1+$AV665)</f>
        <v>0</v>
      </c>
      <c r="AK665" s="204">
        <f t="shared" ref="AK665" si="951">Y665*(1+$AV665)</f>
        <v>0</v>
      </c>
      <c r="AL665" s="204">
        <f t="shared" ref="AL665" si="952">Z665*(1+$AV665)</f>
        <v>0</v>
      </c>
      <c r="AM665" s="204">
        <f t="shared" ref="AM665" si="953">AA665*(1+$AV665)</f>
        <v>0</v>
      </c>
      <c r="AN665" s="204">
        <f t="shared" ref="AN665" si="954">AB665*(1+$AV665)</f>
        <v>0</v>
      </c>
      <c r="AO665" s="204">
        <f t="shared" ref="AO665" si="955">AC665*(1+$AV665)</f>
        <v>0</v>
      </c>
      <c r="AP665" s="204">
        <f t="shared" ref="AP665" si="956">AD665*(1+$AV665)</f>
        <v>0</v>
      </c>
      <c r="AQ665" s="204">
        <f t="shared" ref="AQ665" si="957">AE665*(1+$AV665)</f>
        <v>0</v>
      </c>
      <c r="AR665" s="204">
        <f>SUM(G665:R665)</f>
        <v>0</v>
      </c>
      <c r="AS665" s="204">
        <f>SUM(T665:AE665)</f>
        <v>0</v>
      </c>
      <c r="AT665" s="204">
        <f>SUM(AF665:AQ665)</f>
        <v>0</v>
      </c>
      <c r="AU665" s="618">
        <v>0</v>
      </c>
      <c r="AV665" s="618">
        <v>0</v>
      </c>
      <c r="AW665" s="30"/>
    </row>
    <row r="666" spans="2:49">
      <c r="B666" s="250">
        <v>757</v>
      </c>
      <c r="C666" s="212"/>
      <c r="D666" s="102"/>
      <c r="E666" s="102" t="s">
        <v>170</v>
      </c>
      <c r="F666" s="102"/>
      <c r="G666" s="1216">
        <v>203440.57</v>
      </c>
      <c r="H666" s="1216">
        <v>139523.70000000001</v>
      </c>
      <c r="I666" s="1216">
        <v>96983.5</v>
      </c>
      <c r="J666" s="1216">
        <v>79246.740000000005</v>
      </c>
      <c r="K666" s="1216">
        <v>43080.66</v>
      </c>
      <c r="L666" s="1216">
        <v>26511.08</v>
      </c>
      <c r="M666" s="1216">
        <v>26100.420000000002</v>
      </c>
      <c r="N666" s="1216">
        <v>23973.59</v>
      </c>
      <c r="O666" s="1216">
        <v>30214.5</v>
      </c>
      <c r="P666" s="1216">
        <v>74638.95</v>
      </c>
      <c r="Q666" s="1216">
        <v>101999.85</v>
      </c>
      <c r="R666" s="1216">
        <v>-3895.59</v>
      </c>
      <c r="S666" s="620"/>
      <c r="T666" s="131">
        <f t="shared" ref="T666:Y666" si="958">SUM(T664:T665)</f>
        <v>203440.57</v>
      </c>
      <c r="U666" s="131">
        <f t="shared" si="958"/>
        <v>139523.70000000001</v>
      </c>
      <c r="V666" s="131">
        <f t="shared" si="958"/>
        <v>96983.5</v>
      </c>
      <c r="W666" s="131">
        <f t="shared" si="958"/>
        <v>79246.740000000005</v>
      </c>
      <c r="X666" s="131">
        <f t="shared" si="958"/>
        <v>43080.66</v>
      </c>
      <c r="Y666" s="131">
        <f t="shared" si="958"/>
        <v>26511.08</v>
      </c>
      <c r="Z666" s="131">
        <f t="shared" ref="Z666:AE666" si="959">SUM(Z664:Z665)</f>
        <v>26100.420000000002</v>
      </c>
      <c r="AA666" s="131">
        <f t="shared" si="959"/>
        <v>23973.59</v>
      </c>
      <c r="AB666" s="131">
        <f t="shared" si="959"/>
        <v>30214.5</v>
      </c>
      <c r="AC666" s="131">
        <f t="shared" si="959"/>
        <v>74638.95</v>
      </c>
      <c r="AD666" s="131">
        <f t="shared" si="959"/>
        <v>101999.85</v>
      </c>
      <c r="AE666" s="131">
        <f t="shared" si="959"/>
        <v>-3895.59</v>
      </c>
      <c r="AF666" s="131">
        <f t="shared" ref="AF666:AQ666" si="960">SUM(AF664:AF665)</f>
        <v>203440.57</v>
      </c>
      <c r="AG666" s="131">
        <f t="shared" si="960"/>
        <v>139523.70000000001</v>
      </c>
      <c r="AH666" s="131">
        <f t="shared" si="960"/>
        <v>96983.5</v>
      </c>
      <c r="AI666" s="131">
        <f t="shared" si="960"/>
        <v>79246.740000000005</v>
      </c>
      <c r="AJ666" s="131">
        <f t="shared" si="960"/>
        <v>43080.66</v>
      </c>
      <c r="AK666" s="131">
        <f t="shared" si="960"/>
        <v>26511.08</v>
      </c>
      <c r="AL666" s="131">
        <f t="shared" si="960"/>
        <v>26100.420000000002</v>
      </c>
      <c r="AM666" s="131">
        <f t="shared" si="960"/>
        <v>23973.59</v>
      </c>
      <c r="AN666" s="131">
        <f t="shared" si="960"/>
        <v>30214.5</v>
      </c>
      <c r="AO666" s="131">
        <f t="shared" si="960"/>
        <v>74638.95</v>
      </c>
      <c r="AP666" s="131">
        <f t="shared" si="960"/>
        <v>101999.85</v>
      </c>
      <c r="AQ666" s="131">
        <f t="shared" si="960"/>
        <v>-3895.59</v>
      </c>
      <c r="AR666" s="131">
        <f>SUM(G666:R666)</f>
        <v>841817.97</v>
      </c>
      <c r="AS666" s="131">
        <f>SUM(T666:AE666)</f>
        <v>841817.97</v>
      </c>
      <c r="AT666" s="131">
        <f>SUM(AF666:AQ666)</f>
        <v>841817.97</v>
      </c>
      <c r="AU666" s="621"/>
      <c r="AV666" s="621"/>
      <c r="AW666" s="30"/>
    </row>
    <row r="667" spans="2:49">
      <c r="B667" s="250">
        <v>758</v>
      </c>
      <c r="C667" s="212"/>
      <c r="D667" s="102"/>
      <c r="E667" s="102"/>
      <c r="F667" s="102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71"/>
      <c r="AV667" s="171"/>
      <c r="AW667" s="30"/>
    </row>
    <row r="668" spans="2:49">
      <c r="B668" s="250">
        <v>759</v>
      </c>
      <c r="C668" s="212">
        <v>905</v>
      </c>
      <c r="D668" s="102" t="s">
        <v>408</v>
      </c>
      <c r="E668" s="102"/>
      <c r="F668" s="102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71"/>
      <c r="AV668" s="171"/>
      <c r="AW668" s="30"/>
    </row>
    <row r="669" spans="2:49">
      <c r="B669" s="250">
        <v>760</v>
      </c>
      <c r="C669" s="208"/>
      <c r="D669" s="102"/>
      <c r="E669" s="102" t="s">
        <v>14</v>
      </c>
      <c r="F669" s="102"/>
      <c r="G669" s="186">
        <v>0</v>
      </c>
      <c r="H669" s="186">
        <v>0</v>
      </c>
      <c r="I669" s="186">
        <v>0</v>
      </c>
      <c r="J669" s="186">
        <v>0</v>
      </c>
      <c r="K669" s="186">
        <v>0</v>
      </c>
      <c r="L669" s="186">
        <v>0</v>
      </c>
      <c r="M669" s="186">
        <v>0</v>
      </c>
      <c r="N669" s="186">
        <v>0</v>
      </c>
      <c r="O669" s="186">
        <v>0</v>
      </c>
      <c r="P669" s="186">
        <v>0</v>
      </c>
      <c r="Q669" s="186">
        <v>0</v>
      </c>
      <c r="R669" s="186">
        <v>0</v>
      </c>
      <c r="S669" s="186"/>
      <c r="T669" s="186">
        <f t="shared" ref="T669:W670" si="961">G669*(1+$AU669)</f>
        <v>0</v>
      </c>
      <c r="U669" s="186">
        <f t="shared" si="961"/>
        <v>0</v>
      </c>
      <c r="V669" s="186">
        <f t="shared" si="961"/>
        <v>0</v>
      </c>
      <c r="W669" s="186">
        <f t="shared" si="961"/>
        <v>0</v>
      </c>
      <c r="X669" s="186">
        <f t="shared" ref="X669:AE670" si="962">K669*(1+$AU669)</f>
        <v>0</v>
      </c>
      <c r="Y669" s="186">
        <f t="shared" si="962"/>
        <v>0</v>
      </c>
      <c r="Z669" s="186">
        <f t="shared" si="962"/>
        <v>0</v>
      </c>
      <c r="AA669" s="186">
        <f t="shared" si="962"/>
        <v>0</v>
      </c>
      <c r="AB669" s="186">
        <f t="shared" si="962"/>
        <v>0</v>
      </c>
      <c r="AC669" s="186">
        <f t="shared" si="962"/>
        <v>0</v>
      </c>
      <c r="AD669" s="186">
        <f t="shared" si="962"/>
        <v>0</v>
      </c>
      <c r="AE669" s="186">
        <f t="shared" si="962"/>
        <v>0</v>
      </c>
      <c r="AF669" s="186">
        <f t="shared" ref="AF669:AQ669" si="963">T669*(1+$AV$669)</f>
        <v>0</v>
      </c>
      <c r="AG669" s="186">
        <f t="shared" si="963"/>
        <v>0</v>
      </c>
      <c r="AH669" s="186">
        <f t="shared" si="963"/>
        <v>0</v>
      </c>
      <c r="AI669" s="186">
        <f t="shared" si="963"/>
        <v>0</v>
      </c>
      <c r="AJ669" s="186">
        <f t="shared" si="963"/>
        <v>0</v>
      </c>
      <c r="AK669" s="186">
        <f t="shared" si="963"/>
        <v>0</v>
      </c>
      <c r="AL669" s="186">
        <f t="shared" si="963"/>
        <v>0</v>
      </c>
      <c r="AM669" s="186">
        <f t="shared" si="963"/>
        <v>0</v>
      </c>
      <c r="AN669" s="186">
        <f t="shared" si="963"/>
        <v>0</v>
      </c>
      <c r="AO669" s="186">
        <f t="shared" si="963"/>
        <v>0</v>
      </c>
      <c r="AP669" s="186">
        <f t="shared" si="963"/>
        <v>0</v>
      </c>
      <c r="AQ669" s="186">
        <f t="shared" si="963"/>
        <v>0</v>
      </c>
      <c r="AR669" s="186">
        <f>SUM(G669:R669)</f>
        <v>0</v>
      </c>
      <c r="AS669" s="186">
        <f>SUM(T669:AE669)</f>
        <v>0</v>
      </c>
      <c r="AT669" s="186">
        <f>SUM(AF669:AQ669)</f>
        <v>0</v>
      </c>
      <c r="AU669" s="171">
        <v>6.0000000000000001E-3</v>
      </c>
      <c r="AV669" s="171">
        <v>0</v>
      </c>
      <c r="AW669" s="30"/>
    </row>
    <row r="670" spans="2:49">
      <c r="B670" s="250">
        <v>761</v>
      </c>
      <c r="C670" s="208"/>
      <c r="D670" s="102"/>
      <c r="E670" s="102" t="s">
        <v>24</v>
      </c>
      <c r="F670" s="102"/>
      <c r="G670" s="186">
        <v>0</v>
      </c>
      <c r="H670" s="186">
        <v>0</v>
      </c>
      <c r="I670" s="186">
        <v>0</v>
      </c>
      <c r="J670" s="186">
        <v>0</v>
      </c>
      <c r="K670" s="186">
        <v>0</v>
      </c>
      <c r="L670" s="186">
        <v>0</v>
      </c>
      <c r="M670" s="186">
        <v>0</v>
      </c>
      <c r="N670" s="186">
        <v>0</v>
      </c>
      <c r="O670" s="186">
        <v>0</v>
      </c>
      <c r="P670" s="186">
        <v>0</v>
      </c>
      <c r="Q670" s="186">
        <v>0</v>
      </c>
      <c r="R670" s="186">
        <v>0</v>
      </c>
      <c r="S670" s="617"/>
      <c r="T670" s="204">
        <f t="shared" si="961"/>
        <v>0</v>
      </c>
      <c r="U670" s="204">
        <f t="shared" si="961"/>
        <v>0</v>
      </c>
      <c r="V670" s="204">
        <f t="shared" si="961"/>
        <v>0</v>
      </c>
      <c r="W670" s="204">
        <f t="shared" si="961"/>
        <v>0</v>
      </c>
      <c r="X670" s="204">
        <f t="shared" si="962"/>
        <v>0</v>
      </c>
      <c r="Y670" s="204">
        <f t="shared" si="962"/>
        <v>0</v>
      </c>
      <c r="Z670" s="204">
        <f t="shared" si="962"/>
        <v>0</v>
      </c>
      <c r="AA670" s="204">
        <f t="shared" si="962"/>
        <v>0</v>
      </c>
      <c r="AB670" s="204">
        <f t="shared" si="962"/>
        <v>0</v>
      </c>
      <c r="AC670" s="204">
        <f t="shared" si="962"/>
        <v>0</v>
      </c>
      <c r="AD670" s="204">
        <f t="shared" si="962"/>
        <v>0</v>
      </c>
      <c r="AE670" s="204">
        <f t="shared" si="962"/>
        <v>0</v>
      </c>
      <c r="AF670" s="204">
        <f t="shared" ref="AF670:AQ670" si="964">T670*(1+$AV$670)</f>
        <v>0</v>
      </c>
      <c r="AG670" s="204">
        <f t="shared" si="964"/>
        <v>0</v>
      </c>
      <c r="AH670" s="204">
        <f t="shared" si="964"/>
        <v>0</v>
      </c>
      <c r="AI670" s="204">
        <f t="shared" si="964"/>
        <v>0</v>
      </c>
      <c r="AJ670" s="204">
        <f t="shared" si="964"/>
        <v>0</v>
      </c>
      <c r="AK670" s="204">
        <f t="shared" si="964"/>
        <v>0</v>
      </c>
      <c r="AL670" s="204">
        <f t="shared" si="964"/>
        <v>0</v>
      </c>
      <c r="AM670" s="204">
        <f t="shared" si="964"/>
        <v>0</v>
      </c>
      <c r="AN670" s="204">
        <f t="shared" si="964"/>
        <v>0</v>
      </c>
      <c r="AO670" s="204">
        <f t="shared" si="964"/>
        <v>0</v>
      </c>
      <c r="AP670" s="204">
        <f t="shared" si="964"/>
        <v>0</v>
      </c>
      <c r="AQ670" s="204">
        <f t="shared" si="964"/>
        <v>0</v>
      </c>
      <c r="AR670" s="204">
        <f>SUM(G670:R670)</f>
        <v>0</v>
      </c>
      <c r="AS670" s="204">
        <f>SUM(T670:AE670)</f>
        <v>0</v>
      </c>
      <c r="AT670" s="204">
        <f>SUM(AF670:AQ670)</f>
        <v>0</v>
      </c>
      <c r="AU670" s="618">
        <f>AU669</f>
        <v>6.0000000000000001E-3</v>
      </c>
      <c r="AV670" s="171">
        <f>AV669</f>
        <v>0</v>
      </c>
      <c r="AW670" s="30"/>
    </row>
    <row r="671" spans="2:49">
      <c r="B671" s="250">
        <v>762</v>
      </c>
      <c r="C671" s="208"/>
      <c r="D671" s="102"/>
      <c r="E671" s="102" t="s">
        <v>170</v>
      </c>
      <c r="F671" s="102"/>
      <c r="G671" s="1216">
        <v>0</v>
      </c>
      <c r="H671" s="1216">
        <v>0</v>
      </c>
      <c r="I671" s="1216">
        <v>0</v>
      </c>
      <c r="J671" s="1216">
        <v>0</v>
      </c>
      <c r="K671" s="1216">
        <v>0</v>
      </c>
      <c r="L671" s="1216">
        <v>0</v>
      </c>
      <c r="M671" s="1216">
        <v>0</v>
      </c>
      <c r="N671" s="1216">
        <v>0</v>
      </c>
      <c r="O671" s="1216">
        <v>0</v>
      </c>
      <c r="P671" s="1216">
        <v>0</v>
      </c>
      <c r="Q671" s="1216">
        <v>0</v>
      </c>
      <c r="R671" s="1216">
        <v>0</v>
      </c>
      <c r="S671" s="620"/>
      <c r="T671" s="131">
        <f t="shared" ref="T671:Y671" si="965">SUM(T669:T670)</f>
        <v>0</v>
      </c>
      <c r="U671" s="131">
        <f t="shared" si="965"/>
        <v>0</v>
      </c>
      <c r="V671" s="131">
        <f t="shared" si="965"/>
        <v>0</v>
      </c>
      <c r="W671" s="131">
        <f t="shared" si="965"/>
        <v>0</v>
      </c>
      <c r="X671" s="131">
        <f t="shared" si="965"/>
        <v>0</v>
      </c>
      <c r="Y671" s="131">
        <f t="shared" si="965"/>
        <v>0</v>
      </c>
      <c r="Z671" s="131">
        <f t="shared" ref="Z671:AE671" si="966">SUM(Z669:Z670)</f>
        <v>0</v>
      </c>
      <c r="AA671" s="131">
        <f t="shared" si="966"/>
        <v>0</v>
      </c>
      <c r="AB671" s="131">
        <f t="shared" si="966"/>
        <v>0</v>
      </c>
      <c r="AC671" s="131">
        <f t="shared" si="966"/>
        <v>0</v>
      </c>
      <c r="AD671" s="131">
        <f t="shared" si="966"/>
        <v>0</v>
      </c>
      <c r="AE671" s="131">
        <f t="shared" si="966"/>
        <v>0</v>
      </c>
      <c r="AF671" s="131">
        <f t="shared" ref="AF671:AQ671" si="967">SUM(AF669:AF670)</f>
        <v>0</v>
      </c>
      <c r="AG671" s="131">
        <f t="shared" si="967"/>
        <v>0</v>
      </c>
      <c r="AH671" s="131">
        <f t="shared" si="967"/>
        <v>0</v>
      </c>
      <c r="AI671" s="131">
        <f t="shared" si="967"/>
        <v>0</v>
      </c>
      <c r="AJ671" s="131">
        <f t="shared" si="967"/>
        <v>0</v>
      </c>
      <c r="AK671" s="131">
        <f t="shared" si="967"/>
        <v>0</v>
      </c>
      <c r="AL671" s="131">
        <f t="shared" si="967"/>
        <v>0</v>
      </c>
      <c r="AM671" s="131">
        <f t="shared" si="967"/>
        <v>0</v>
      </c>
      <c r="AN671" s="131">
        <f t="shared" si="967"/>
        <v>0</v>
      </c>
      <c r="AO671" s="131">
        <f t="shared" si="967"/>
        <v>0</v>
      </c>
      <c r="AP671" s="131">
        <f t="shared" si="967"/>
        <v>0</v>
      </c>
      <c r="AQ671" s="131">
        <f t="shared" si="967"/>
        <v>0</v>
      </c>
      <c r="AR671" s="131">
        <f>SUM(G671:R671)</f>
        <v>0</v>
      </c>
      <c r="AS671" s="131">
        <f>SUM(T671:AE671)</f>
        <v>0</v>
      </c>
      <c r="AT671" s="131">
        <f>SUM(AF671:AQ671)</f>
        <v>0</v>
      </c>
      <c r="AU671" s="621"/>
      <c r="AV671" s="621"/>
      <c r="AW671" s="30"/>
    </row>
    <row r="672" spans="2:49" ht="13.5" thickBot="1">
      <c r="B672" s="250">
        <v>763</v>
      </c>
      <c r="C672" s="208"/>
      <c r="D672" s="102"/>
      <c r="E672" s="102"/>
      <c r="F672" s="102"/>
      <c r="G672" s="1217"/>
      <c r="H672" s="1217"/>
      <c r="I672" s="1217"/>
      <c r="J672" s="1217"/>
      <c r="K672" s="1217"/>
      <c r="L672" s="1217"/>
      <c r="M672" s="1217"/>
      <c r="N672" s="1217"/>
      <c r="O672" s="1217"/>
      <c r="P672" s="1217"/>
      <c r="Q672" s="1217"/>
      <c r="R672" s="1217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622"/>
      <c r="AV672" s="622"/>
      <c r="AW672" s="30"/>
    </row>
    <row r="673" spans="2:49" ht="13.5" thickTop="1">
      <c r="B673" s="250">
        <v>764</v>
      </c>
      <c r="C673" s="49" t="s">
        <v>646</v>
      </c>
      <c r="D673" s="102"/>
      <c r="E673" s="102"/>
      <c r="F673" s="102"/>
      <c r="G673" s="1215"/>
      <c r="H673" s="1215"/>
      <c r="I673" s="1215"/>
      <c r="J673" s="1215"/>
      <c r="K673" s="1215"/>
      <c r="L673" s="1215"/>
      <c r="M673" s="1215"/>
      <c r="N673" s="1215"/>
      <c r="O673" s="1215"/>
      <c r="P673" s="1215"/>
      <c r="Q673" s="1215"/>
      <c r="R673" s="1215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  <c r="AE673" s="116"/>
      <c r="AF673" s="116"/>
      <c r="AG673" s="116"/>
      <c r="AH673" s="116"/>
      <c r="AI673" s="116"/>
      <c r="AJ673" s="116"/>
      <c r="AK673" s="116"/>
      <c r="AL673" s="116"/>
      <c r="AM673" s="116"/>
      <c r="AN673" s="116"/>
      <c r="AO673" s="116"/>
      <c r="AP673" s="116"/>
      <c r="AQ673" s="116"/>
      <c r="AR673" s="116"/>
      <c r="AS673" s="116"/>
      <c r="AT673" s="116"/>
      <c r="AU673" s="171"/>
      <c r="AV673" s="171"/>
      <c r="AW673" s="30"/>
    </row>
    <row r="674" spans="2:49">
      <c r="B674" s="250">
        <v>765</v>
      </c>
      <c r="C674" s="208"/>
      <c r="D674" s="102" t="s">
        <v>647</v>
      </c>
      <c r="E674" s="102"/>
      <c r="F674" s="102"/>
      <c r="G674" s="1219">
        <v>1028206.7799999999</v>
      </c>
      <c r="H674" s="1219">
        <v>460755.88000000006</v>
      </c>
      <c r="I674" s="1219">
        <v>500179.70000000007</v>
      </c>
      <c r="J674" s="1219">
        <v>773074.26</v>
      </c>
      <c r="K674" s="1219">
        <v>434863.08999999997</v>
      </c>
      <c r="L674" s="1219">
        <v>503674.88000000006</v>
      </c>
      <c r="M674" s="1219">
        <v>691215.05</v>
      </c>
      <c r="N674" s="1219">
        <v>662609</v>
      </c>
      <c r="O674" s="1219">
        <v>544671.72</v>
      </c>
      <c r="P674" s="1219">
        <v>679230.86</v>
      </c>
      <c r="Q674" s="1219">
        <v>678906.24</v>
      </c>
      <c r="R674" s="1219">
        <v>687725.1399999999</v>
      </c>
      <c r="S674" s="102"/>
      <c r="T674" s="102">
        <f t="shared" ref="T674:Y674" si="968">T669+T664+T659+T654+T649+T644+T639+T634+T629</f>
        <v>1039676.29146</v>
      </c>
      <c r="U674" s="102">
        <f t="shared" si="968"/>
        <v>463793.99348</v>
      </c>
      <c r="V674" s="102">
        <f t="shared" si="968"/>
        <v>505431.48322000005</v>
      </c>
      <c r="W674" s="102">
        <f t="shared" si="968"/>
        <v>784400.74094000005</v>
      </c>
      <c r="X674" s="102">
        <f t="shared" si="968"/>
        <v>441188.8778999999</v>
      </c>
      <c r="Y674" s="102">
        <f t="shared" si="968"/>
        <v>511668.01228000002</v>
      </c>
      <c r="Z674" s="102">
        <f t="shared" ref="Z674:AE675" si="969">Z669+Z664+Z659+Z654+Z649+Z644+Z639+Z634+Z629</f>
        <v>702698.67489999998</v>
      </c>
      <c r="AA674" s="102">
        <f t="shared" si="969"/>
        <v>673564.74042000005</v>
      </c>
      <c r="AB674" s="102">
        <f t="shared" si="969"/>
        <v>553401.90858000005</v>
      </c>
      <c r="AC674" s="102">
        <f t="shared" si="969"/>
        <v>689174.86603999999</v>
      </c>
      <c r="AD674" s="102">
        <f t="shared" si="969"/>
        <v>687235.10882000008</v>
      </c>
      <c r="AE674" s="102">
        <f t="shared" si="969"/>
        <v>700595.69629999995</v>
      </c>
      <c r="AF674" s="102">
        <f t="shared" ref="AF674:AP674" si="970">AF669+AF664+AF659+AF654+AF649+AF644+AF639+AF634+AF629</f>
        <v>1052447.61623258</v>
      </c>
      <c r="AG674" s="102">
        <f t="shared" si="970"/>
        <v>467000.19813242002</v>
      </c>
      <c r="AH674" s="102">
        <f t="shared" si="970"/>
        <v>511162.11843296001</v>
      </c>
      <c r="AI674" s="102">
        <f t="shared" si="970"/>
        <v>796973.5120882201</v>
      </c>
      <c r="AJ674" s="102">
        <f t="shared" si="970"/>
        <v>448115.87895364</v>
      </c>
      <c r="AK674" s="102">
        <f t="shared" si="970"/>
        <v>520502.47705926007</v>
      </c>
      <c r="AL674" s="102">
        <f t="shared" si="970"/>
        <v>715484.47220084001</v>
      </c>
      <c r="AM674" s="102">
        <f t="shared" si="970"/>
        <v>685781.84877161996</v>
      </c>
      <c r="AN674" s="102">
        <f t="shared" si="970"/>
        <v>563099.52983050002</v>
      </c>
      <c r="AO674" s="102">
        <f t="shared" si="970"/>
        <v>700214.3175733001</v>
      </c>
      <c r="AP674" s="102">
        <f t="shared" si="970"/>
        <v>696460.72945745999</v>
      </c>
      <c r="AQ674" s="102">
        <f>AQ669+AQ664+AQ659+AQ654+AQ649+AQ644+AQ639+AQ634+AQ629</f>
        <v>714769.50860850001</v>
      </c>
      <c r="AR674" s="102">
        <f>SUM(G674:R674)</f>
        <v>7645112.5999999996</v>
      </c>
      <c r="AS674" s="102">
        <f>SUM(T674:AE674)</f>
        <v>7752830.3943399992</v>
      </c>
      <c r="AT674" s="102">
        <f>SUM(AF674:AQ674)</f>
        <v>7872012.2073412985</v>
      </c>
      <c r="AU674" s="199"/>
      <c r="AV674" s="199"/>
      <c r="AW674" s="30"/>
    </row>
    <row r="675" spans="2:49">
      <c r="B675" s="250">
        <v>766</v>
      </c>
      <c r="C675" s="208"/>
      <c r="D675" s="102" t="s">
        <v>649</v>
      </c>
      <c r="E675" s="102"/>
      <c r="F675" s="102"/>
      <c r="G675" s="1219">
        <v>62632.37</v>
      </c>
      <c r="H675" s="1219">
        <v>47356.67</v>
      </c>
      <c r="I675" s="1219">
        <v>49839.83</v>
      </c>
      <c r="J675" s="1219">
        <v>57039.100000000006</v>
      </c>
      <c r="K675" s="1219">
        <v>45084.77</v>
      </c>
      <c r="L675" s="1219">
        <v>43397.55</v>
      </c>
      <c r="M675" s="1219">
        <v>48202.559999999998</v>
      </c>
      <c r="N675" s="1219">
        <v>49608.079999999994</v>
      </c>
      <c r="O675" s="1219">
        <v>44588.23000000001</v>
      </c>
      <c r="P675" s="1219">
        <v>48451.65</v>
      </c>
      <c r="Q675" s="1219">
        <v>56215.03</v>
      </c>
      <c r="R675" s="1219">
        <v>49642.79</v>
      </c>
      <c r="S675" s="102"/>
      <c r="T675" s="102">
        <f t="shared" ref="T675:Y675" si="971">T670+T665+T660+T655+T650+T645+T640+T635+T630</f>
        <v>63512.841440000004</v>
      </c>
      <c r="U675" s="102">
        <f t="shared" si="971"/>
        <v>48007.25346</v>
      </c>
      <c r="V675" s="102">
        <f t="shared" si="971"/>
        <v>50574.057140000004</v>
      </c>
      <c r="W675" s="102">
        <f t="shared" si="971"/>
        <v>57925.732900000003</v>
      </c>
      <c r="X675" s="102">
        <f t="shared" si="971"/>
        <v>45798.902719999998</v>
      </c>
      <c r="Y675" s="102">
        <f t="shared" si="971"/>
        <v>44127.974519999996</v>
      </c>
      <c r="Z675" s="102">
        <f t="shared" si="969"/>
        <v>49017.677840000004</v>
      </c>
      <c r="AA675" s="102">
        <f t="shared" si="969"/>
        <v>50451.84629999999</v>
      </c>
      <c r="AB675" s="102">
        <f t="shared" si="969"/>
        <v>45334.623000000007</v>
      </c>
      <c r="AC675" s="102">
        <f t="shared" si="969"/>
        <v>49190.10628</v>
      </c>
      <c r="AD675" s="102">
        <f t="shared" si="969"/>
        <v>57054.07796000001</v>
      </c>
      <c r="AE675" s="102">
        <f t="shared" si="969"/>
        <v>50594.724860000002</v>
      </c>
      <c r="AF675" s="102">
        <f t="shared" ref="AF675:AQ675" si="972">AF670+AF665+AF660+AF655+AF650+AF645+AF640+AF635+AF630</f>
        <v>64486.718296480009</v>
      </c>
      <c r="AG675" s="102">
        <f t="shared" si="972"/>
        <v>48718.282630480004</v>
      </c>
      <c r="AH675" s="102">
        <f t="shared" si="972"/>
        <v>51380.565857379996</v>
      </c>
      <c r="AI675" s="102">
        <f t="shared" si="972"/>
        <v>58908.566671080007</v>
      </c>
      <c r="AJ675" s="102">
        <f t="shared" si="972"/>
        <v>46585.683778959996</v>
      </c>
      <c r="AK675" s="102">
        <f t="shared" si="972"/>
        <v>44935.172144379998</v>
      </c>
      <c r="AL675" s="102">
        <f t="shared" si="972"/>
        <v>49921.447219680005</v>
      </c>
      <c r="AM675" s="102">
        <f t="shared" si="972"/>
        <v>51388.591712299989</v>
      </c>
      <c r="AN675" s="102">
        <f t="shared" si="972"/>
        <v>46159.790122060003</v>
      </c>
      <c r="AO675" s="102">
        <f t="shared" si="972"/>
        <v>50008.09828862</v>
      </c>
      <c r="AP675" s="102">
        <f t="shared" si="972"/>
        <v>57980.463471039999</v>
      </c>
      <c r="AQ675" s="102">
        <f t="shared" si="972"/>
        <v>51647.158641479997</v>
      </c>
      <c r="AR675" s="102">
        <f>SUM(G675:R675)</f>
        <v>602058.63000000012</v>
      </c>
      <c r="AS675" s="102">
        <f>SUM(T675:AE675)</f>
        <v>611589.81842000003</v>
      </c>
      <c r="AT675" s="102">
        <f>SUM(AF675:AQ675)</f>
        <v>622120.53883394005</v>
      </c>
      <c r="AU675" s="199"/>
      <c r="AV675" s="199"/>
      <c r="AW675" s="30"/>
    </row>
    <row r="676" spans="2:49" ht="13.5" thickBot="1">
      <c r="B676" s="250">
        <v>767</v>
      </c>
      <c r="C676" s="208"/>
      <c r="D676" s="102"/>
      <c r="E676" s="102"/>
      <c r="F676" s="102"/>
      <c r="G676" s="1218"/>
      <c r="H676" s="1218"/>
      <c r="I676" s="1218"/>
      <c r="J676" s="1218"/>
      <c r="K676" s="1218"/>
      <c r="L676" s="1218"/>
      <c r="M676" s="1218"/>
      <c r="N676" s="1218"/>
      <c r="O676" s="1218"/>
      <c r="P676" s="1218"/>
      <c r="Q676" s="1218"/>
      <c r="R676" s="1218"/>
      <c r="S676" s="623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409"/>
      <c r="AV676" s="409"/>
      <c r="AW676" s="30"/>
    </row>
    <row r="677" spans="2:49">
      <c r="B677" s="250">
        <v>768</v>
      </c>
      <c r="C677" s="208"/>
      <c r="D677" s="49" t="s">
        <v>646</v>
      </c>
      <c r="E677" s="102"/>
      <c r="F677" s="102"/>
      <c r="G677" s="1215">
        <v>1090839.1499999999</v>
      </c>
      <c r="H677" s="1215">
        <v>508112.55000000005</v>
      </c>
      <c r="I677" s="1215">
        <v>550019.53</v>
      </c>
      <c r="J677" s="1215">
        <v>830113.36</v>
      </c>
      <c r="K677" s="1215">
        <v>479947.86</v>
      </c>
      <c r="L677" s="1215">
        <v>547072.42999999993</v>
      </c>
      <c r="M677" s="1215">
        <v>739417.61</v>
      </c>
      <c r="N677" s="1215">
        <v>712217.08</v>
      </c>
      <c r="O677" s="1215">
        <v>589259.94999999995</v>
      </c>
      <c r="P677" s="1215">
        <v>727682.50999999989</v>
      </c>
      <c r="Q677" s="1215">
        <v>735121.2699999999</v>
      </c>
      <c r="R677" s="1215">
        <v>737367.93</v>
      </c>
      <c r="S677" s="116"/>
      <c r="T677" s="116">
        <f t="shared" ref="T677:Y677" si="973">T631+T636+T641+T646+T651++T656+T661+T666+T671</f>
        <v>1103189.1329000001</v>
      </c>
      <c r="U677" s="116">
        <f t="shared" si="973"/>
        <v>511801.24694000004</v>
      </c>
      <c r="V677" s="116">
        <f t="shared" si="973"/>
        <v>556005.54035999998</v>
      </c>
      <c r="W677" s="116">
        <f t="shared" si="973"/>
        <v>842326.47384000022</v>
      </c>
      <c r="X677" s="116">
        <f t="shared" si="973"/>
        <v>486987.78061999998</v>
      </c>
      <c r="Y677" s="116">
        <f t="shared" si="973"/>
        <v>555795.98680000007</v>
      </c>
      <c r="Z677" s="116">
        <f t="shared" ref="Z677:AE677" si="974">Z631+Z636+Z641+Z646+Z651++Z656+Z661+Z666+Z671</f>
        <v>751716.35274000012</v>
      </c>
      <c r="AA677" s="116">
        <f t="shared" si="974"/>
        <v>724016.58672000002</v>
      </c>
      <c r="AB677" s="116">
        <f t="shared" si="974"/>
        <v>598736.53158000007</v>
      </c>
      <c r="AC677" s="116">
        <f t="shared" si="974"/>
        <v>738364.97232000006</v>
      </c>
      <c r="AD677" s="116">
        <f t="shared" si="974"/>
        <v>744289.18677999999</v>
      </c>
      <c r="AE677" s="116">
        <f t="shared" si="974"/>
        <v>751190.42116000003</v>
      </c>
      <c r="AF677" s="116">
        <f t="shared" ref="AF677:AQ677" si="975">AF631+AF636+AF641+AF646+AF651++AF656+AF661+AF666+AF671</f>
        <v>1116934.3345290602</v>
      </c>
      <c r="AG677" s="116">
        <f t="shared" si="975"/>
        <v>515718.48076289997</v>
      </c>
      <c r="AH677" s="116">
        <f t="shared" si="975"/>
        <v>562542.68429033994</v>
      </c>
      <c r="AI677" s="116">
        <f t="shared" si="975"/>
        <v>855882.07875930017</v>
      </c>
      <c r="AJ677" s="116">
        <f t="shared" si="975"/>
        <v>494701.56273259991</v>
      </c>
      <c r="AK677" s="116">
        <f t="shared" si="975"/>
        <v>565437.64920364006</v>
      </c>
      <c r="AL677" s="116">
        <f t="shared" si="975"/>
        <v>765405.91942052008</v>
      </c>
      <c r="AM677" s="116">
        <f t="shared" si="975"/>
        <v>737170.44048392004</v>
      </c>
      <c r="AN677" s="116">
        <f t="shared" si="975"/>
        <v>609259.31995256012</v>
      </c>
      <c r="AO677" s="116">
        <f t="shared" si="975"/>
        <v>750222.4158619201</v>
      </c>
      <c r="AP677" s="116">
        <f t="shared" si="975"/>
        <v>754441.19292850012</v>
      </c>
      <c r="AQ677" s="116">
        <f t="shared" si="975"/>
        <v>766416.66724997992</v>
      </c>
      <c r="AR677" s="116">
        <f>SUM(G677:R677)</f>
        <v>8247171.2299999995</v>
      </c>
      <c r="AS677" s="116">
        <f>SUM(T677:AE677)</f>
        <v>8364420.2127600005</v>
      </c>
      <c r="AT677" s="116">
        <f>SUM(AF677:AQ677)</f>
        <v>8494132.7461752426</v>
      </c>
      <c r="AU677" s="171"/>
      <c r="AV677" s="171"/>
      <c r="AW677" s="30"/>
    </row>
    <row r="678" spans="2:49">
      <c r="B678" s="250">
        <v>769</v>
      </c>
      <c r="C678" s="208"/>
      <c r="D678" s="102"/>
      <c r="E678" s="102"/>
      <c r="F678" s="102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71">
        <f>AS677/AR677</f>
        <v>1.0142168726088159</v>
      </c>
      <c r="AT678" s="186"/>
      <c r="AU678" s="171"/>
      <c r="AV678" s="171"/>
      <c r="AW678" s="30"/>
    </row>
    <row r="679" spans="2:49">
      <c r="B679" s="250">
        <v>770</v>
      </c>
      <c r="C679" s="49" t="s">
        <v>409</v>
      </c>
      <c r="D679" s="102"/>
      <c r="E679" s="102"/>
      <c r="F679" s="102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86"/>
      <c r="X679" s="186"/>
      <c r="Y679" s="186"/>
      <c r="Z679" s="186"/>
      <c r="AA679" s="186"/>
      <c r="AB679" s="186"/>
      <c r="AC679" s="186"/>
      <c r="AD679" s="186"/>
      <c r="AE679" s="186"/>
      <c r="AF679" s="186"/>
      <c r="AG679" s="186"/>
      <c r="AH679" s="186"/>
      <c r="AI679" s="186"/>
      <c r="AJ679" s="186"/>
      <c r="AK679" s="186"/>
      <c r="AL679" s="186"/>
      <c r="AM679" s="186"/>
      <c r="AN679" s="186"/>
      <c r="AO679" s="186"/>
      <c r="AP679" s="186"/>
      <c r="AQ679" s="186"/>
      <c r="AR679" s="186"/>
      <c r="AS679" s="186"/>
      <c r="AT679" s="186"/>
      <c r="AU679" s="171"/>
      <c r="AV679" s="171"/>
      <c r="AW679" s="30"/>
    </row>
    <row r="680" spans="2:49">
      <c r="B680" s="250">
        <v>771</v>
      </c>
      <c r="C680" s="208"/>
      <c r="D680" s="102"/>
      <c r="E680" s="102"/>
      <c r="F680" s="102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71"/>
      <c r="AV680" s="171"/>
      <c r="AW680" s="30"/>
    </row>
    <row r="681" spans="2:49">
      <c r="B681" s="250">
        <v>772</v>
      </c>
      <c r="C681" s="212">
        <v>907</v>
      </c>
      <c r="D681" s="102" t="s">
        <v>402</v>
      </c>
      <c r="E681" s="102"/>
      <c r="F681" s="102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71"/>
      <c r="AV681" s="171"/>
      <c r="AW681" s="30"/>
    </row>
    <row r="682" spans="2:49">
      <c r="B682" s="250">
        <v>773</v>
      </c>
      <c r="C682" s="212"/>
      <c r="D682" s="102"/>
      <c r="E682" s="102" t="s">
        <v>14</v>
      </c>
      <c r="F682" s="102"/>
      <c r="G682" s="186">
        <v>8869.42</v>
      </c>
      <c r="H682" s="186">
        <v>15978.37</v>
      </c>
      <c r="I682" s="186">
        <v>5855.01</v>
      </c>
      <c r="J682" s="186">
        <v>9113.16</v>
      </c>
      <c r="K682" s="186">
        <v>7919.3499999999995</v>
      </c>
      <c r="L682" s="186">
        <v>7937.4499999999989</v>
      </c>
      <c r="M682" s="186">
        <v>7415.4400000000005</v>
      </c>
      <c r="N682" s="186">
        <v>8044.4</v>
      </c>
      <c r="O682" s="186">
        <v>17724.939999999999</v>
      </c>
      <c r="P682" s="186">
        <v>16435.54</v>
      </c>
      <c r="Q682" s="186">
        <v>21988.39</v>
      </c>
      <c r="R682" s="186">
        <v>17645.5</v>
      </c>
      <c r="S682" s="186"/>
      <c r="T682" s="186">
        <f t="shared" ref="T682:W683" si="976">G682*(1+$AU682)</f>
        <v>9064.5472399999999</v>
      </c>
      <c r="U682" s="186">
        <f t="shared" si="976"/>
        <v>16329.89414</v>
      </c>
      <c r="V682" s="186">
        <f t="shared" si="976"/>
        <v>5983.8202200000005</v>
      </c>
      <c r="W682" s="186">
        <f t="shared" si="976"/>
        <v>9313.6495200000008</v>
      </c>
      <c r="X682" s="186">
        <f t="shared" ref="X682:AE683" si="977">K682*(1+$AU682)</f>
        <v>8093.5756999999994</v>
      </c>
      <c r="Y682" s="186">
        <f t="shared" si="977"/>
        <v>8112.0738999999994</v>
      </c>
      <c r="Z682" s="186">
        <f t="shared" si="977"/>
        <v>7578.5796800000007</v>
      </c>
      <c r="AA682" s="186">
        <f t="shared" si="977"/>
        <v>8221.3768</v>
      </c>
      <c r="AB682" s="186">
        <f t="shared" si="977"/>
        <v>18114.88868</v>
      </c>
      <c r="AC682" s="186">
        <f t="shared" si="977"/>
        <v>16797.121880000002</v>
      </c>
      <c r="AD682" s="186">
        <f t="shared" si="977"/>
        <v>22472.134579999998</v>
      </c>
      <c r="AE682" s="186">
        <f t="shared" si="977"/>
        <v>18033.701000000001</v>
      </c>
      <c r="AF682" s="186">
        <f t="shared" ref="AF682:AQ682" si="978">T682*(1+$AV$682)</f>
        <v>9254.9027320399982</v>
      </c>
      <c r="AG682" s="186">
        <f t="shared" si="978"/>
        <v>16672.82191694</v>
      </c>
      <c r="AH682" s="186">
        <f t="shared" si="978"/>
        <v>6109.4804446199996</v>
      </c>
      <c r="AI682" s="186">
        <f t="shared" si="978"/>
        <v>9509.2361599199994</v>
      </c>
      <c r="AJ682" s="186">
        <f t="shared" si="978"/>
        <v>8263.5407896999986</v>
      </c>
      <c r="AK682" s="186">
        <f t="shared" si="978"/>
        <v>8282.4274518999991</v>
      </c>
      <c r="AL682" s="186">
        <f t="shared" si="978"/>
        <v>7737.7298532800005</v>
      </c>
      <c r="AM682" s="186">
        <f t="shared" si="978"/>
        <v>8394.0257127999994</v>
      </c>
      <c r="AN682" s="186">
        <f t="shared" si="978"/>
        <v>18495.30134228</v>
      </c>
      <c r="AO682" s="186">
        <f t="shared" si="978"/>
        <v>17149.861439480002</v>
      </c>
      <c r="AP682" s="186">
        <f t="shared" si="978"/>
        <v>22944.049406179995</v>
      </c>
      <c r="AQ682" s="186">
        <f t="shared" si="978"/>
        <v>18412.408721</v>
      </c>
      <c r="AR682" s="186">
        <f>SUM(G682:R682)</f>
        <v>144926.97000000003</v>
      </c>
      <c r="AS682" s="186">
        <f>SUM(T682:AE682)</f>
        <v>148115.36334000004</v>
      </c>
      <c r="AT682" s="186">
        <f>SUM(AF682:AQ682)</f>
        <v>151225.78597013996</v>
      </c>
      <c r="AU682" s="171">
        <v>2.2000000000000002E-2</v>
      </c>
      <c r="AV682" s="171">
        <v>2.1000000000000001E-2</v>
      </c>
      <c r="AW682" s="30"/>
    </row>
    <row r="683" spans="2:49">
      <c r="B683" s="250">
        <v>774</v>
      </c>
      <c r="C683" s="212"/>
      <c r="D683" s="102"/>
      <c r="E683" s="102" t="s">
        <v>24</v>
      </c>
      <c r="F683" s="102"/>
      <c r="G683" s="186">
        <v>1013.72</v>
      </c>
      <c r="H683" s="186">
        <v>647.69000000000005</v>
      </c>
      <c r="I683" s="186">
        <v>615.13</v>
      </c>
      <c r="J683" s="186">
        <v>1184.74</v>
      </c>
      <c r="K683" s="186">
        <v>910.05000000000007</v>
      </c>
      <c r="L683" s="186">
        <v>896.19</v>
      </c>
      <c r="M683" s="186">
        <v>946.94</v>
      </c>
      <c r="N683" s="186">
        <v>575.93000000000006</v>
      </c>
      <c r="O683" s="186">
        <v>791.33</v>
      </c>
      <c r="P683" s="186">
        <v>304.01</v>
      </c>
      <c r="Q683" s="186">
        <v>987.29000000000008</v>
      </c>
      <c r="R683" s="186">
        <v>806.81000000000006</v>
      </c>
      <c r="S683" s="617"/>
      <c r="T683" s="204">
        <f t="shared" si="976"/>
        <v>1036.0218400000001</v>
      </c>
      <c r="U683" s="204">
        <f t="shared" si="976"/>
        <v>661.93918000000008</v>
      </c>
      <c r="V683" s="204">
        <f t="shared" si="976"/>
        <v>628.66286000000002</v>
      </c>
      <c r="W683" s="204">
        <f t="shared" si="976"/>
        <v>1210.8042800000001</v>
      </c>
      <c r="X683" s="204">
        <f t="shared" si="977"/>
        <v>930.07110000000011</v>
      </c>
      <c r="Y683" s="204">
        <f t="shared" si="977"/>
        <v>915.90618000000006</v>
      </c>
      <c r="Z683" s="204">
        <f t="shared" si="977"/>
        <v>967.77268000000004</v>
      </c>
      <c r="AA683" s="204">
        <f t="shared" si="977"/>
        <v>588.60046000000011</v>
      </c>
      <c r="AB683" s="204">
        <f t="shared" si="977"/>
        <v>808.73926000000006</v>
      </c>
      <c r="AC683" s="204">
        <f t="shared" si="977"/>
        <v>310.69821999999999</v>
      </c>
      <c r="AD683" s="204">
        <f t="shared" si="977"/>
        <v>1009.0103800000001</v>
      </c>
      <c r="AE683" s="204">
        <f t="shared" si="977"/>
        <v>824.55982000000006</v>
      </c>
      <c r="AF683" s="204">
        <f t="shared" ref="AF683:AQ683" si="979">T683*(1+$AV$683)</f>
        <v>1057.77829864</v>
      </c>
      <c r="AG683" s="204">
        <f t="shared" si="979"/>
        <v>675.83990277999999</v>
      </c>
      <c r="AH683" s="204">
        <f t="shared" si="979"/>
        <v>641.86478005999993</v>
      </c>
      <c r="AI683" s="204">
        <f t="shared" si="979"/>
        <v>1236.2311698799999</v>
      </c>
      <c r="AJ683" s="204">
        <f t="shared" si="979"/>
        <v>949.60259310000004</v>
      </c>
      <c r="AK683" s="204">
        <f t="shared" si="979"/>
        <v>935.14020977999996</v>
      </c>
      <c r="AL683" s="204">
        <f t="shared" si="979"/>
        <v>988.09590627999989</v>
      </c>
      <c r="AM683" s="204">
        <f t="shared" si="979"/>
        <v>600.96106966000002</v>
      </c>
      <c r="AN683" s="204">
        <f t="shared" si="979"/>
        <v>825.72278445999996</v>
      </c>
      <c r="AO683" s="204">
        <f t="shared" si="979"/>
        <v>317.22288261999995</v>
      </c>
      <c r="AP683" s="204">
        <f t="shared" si="979"/>
        <v>1030.1995979799999</v>
      </c>
      <c r="AQ683" s="204">
        <f t="shared" si="979"/>
        <v>841.87557621999997</v>
      </c>
      <c r="AR683" s="204">
        <f>SUM(G683:R683)</f>
        <v>9679.8300000000017</v>
      </c>
      <c r="AS683" s="204">
        <f>SUM(T683:AE683)</f>
        <v>9892.7862600000008</v>
      </c>
      <c r="AT683" s="204">
        <f>SUM(AF683:AQ683)</f>
        <v>10100.534771459999</v>
      </c>
      <c r="AU683" s="618">
        <f>AU682</f>
        <v>2.2000000000000002E-2</v>
      </c>
      <c r="AV683" s="618">
        <f>AV682</f>
        <v>2.1000000000000001E-2</v>
      </c>
      <c r="AW683" s="30"/>
    </row>
    <row r="684" spans="2:49">
      <c r="B684" s="250">
        <v>775</v>
      </c>
      <c r="C684" s="212"/>
      <c r="D684" s="102"/>
      <c r="E684" s="102" t="s">
        <v>170</v>
      </c>
      <c r="F684" s="102"/>
      <c r="G684" s="1216">
        <v>9883.14</v>
      </c>
      <c r="H684" s="1216">
        <v>16626.060000000001</v>
      </c>
      <c r="I684" s="1216">
        <v>6470.14</v>
      </c>
      <c r="J684" s="1216">
        <v>10297.9</v>
      </c>
      <c r="K684" s="1216">
        <v>8829.4</v>
      </c>
      <c r="L684" s="1216">
        <v>8833.64</v>
      </c>
      <c r="M684" s="1216">
        <v>8362.380000000001</v>
      </c>
      <c r="N684" s="1216">
        <v>8620.33</v>
      </c>
      <c r="O684" s="1216">
        <v>18516.27</v>
      </c>
      <c r="P684" s="1216">
        <v>16739.55</v>
      </c>
      <c r="Q684" s="1216">
        <v>22975.68</v>
      </c>
      <c r="R684" s="1216">
        <v>18452.310000000001</v>
      </c>
      <c r="S684" s="620"/>
      <c r="T684" s="131">
        <f t="shared" ref="T684:Y684" si="980">SUM(T682:T683)</f>
        <v>10100.569079999999</v>
      </c>
      <c r="U684" s="131">
        <f t="shared" si="980"/>
        <v>16991.833320000002</v>
      </c>
      <c r="V684" s="131">
        <f t="shared" si="980"/>
        <v>6612.4830800000009</v>
      </c>
      <c r="W684" s="131">
        <f t="shared" si="980"/>
        <v>10524.453800000001</v>
      </c>
      <c r="X684" s="131">
        <f t="shared" si="980"/>
        <v>9023.6467999999986</v>
      </c>
      <c r="Y684" s="131">
        <f t="shared" si="980"/>
        <v>9027.9800799999994</v>
      </c>
      <c r="Z684" s="131">
        <f t="shared" ref="Z684:AE684" si="981">SUM(Z682:Z683)</f>
        <v>8546.3523600000008</v>
      </c>
      <c r="AA684" s="131">
        <f t="shared" si="981"/>
        <v>8809.9772599999997</v>
      </c>
      <c r="AB684" s="131">
        <f t="shared" si="981"/>
        <v>18923.627939999998</v>
      </c>
      <c r="AC684" s="131">
        <f t="shared" si="981"/>
        <v>17107.820100000001</v>
      </c>
      <c r="AD684" s="131">
        <f t="shared" si="981"/>
        <v>23481.144959999998</v>
      </c>
      <c r="AE684" s="131">
        <f t="shared" si="981"/>
        <v>18858.26082</v>
      </c>
      <c r="AF684" s="131">
        <f t="shared" ref="AF684:AQ684" si="982">SUM(AF682:AF683)</f>
        <v>10312.681030679998</v>
      </c>
      <c r="AG684" s="131">
        <f t="shared" si="982"/>
        <v>17348.66181972</v>
      </c>
      <c r="AH684" s="131">
        <f t="shared" si="982"/>
        <v>6751.3452246799998</v>
      </c>
      <c r="AI684" s="131">
        <f t="shared" si="982"/>
        <v>10745.4673298</v>
      </c>
      <c r="AJ684" s="131">
        <f t="shared" si="982"/>
        <v>9213.143382799999</v>
      </c>
      <c r="AK684" s="131">
        <f t="shared" si="982"/>
        <v>9217.5676616799992</v>
      </c>
      <c r="AL684" s="131">
        <f t="shared" si="982"/>
        <v>8725.8257595600007</v>
      </c>
      <c r="AM684" s="131">
        <f t="shared" si="982"/>
        <v>8994.9867824599987</v>
      </c>
      <c r="AN684" s="131">
        <f t="shared" si="982"/>
        <v>19321.024126739998</v>
      </c>
      <c r="AO684" s="131">
        <f t="shared" si="982"/>
        <v>17467.084322100003</v>
      </c>
      <c r="AP684" s="131">
        <f t="shared" si="982"/>
        <v>23974.249004159996</v>
      </c>
      <c r="AQ684" s="131">
        <f t="shared" si="982"/>
        <v>19254.284297220001</v>
      </c>
      <c r="AR684" s="131">
        <f>SUM(G684:R684)</f>
        <v>154606.80000000002</v>
      </c>
      <c r="AS684" s="131">
        <f>SUM(T684:AE684)</f>
        <v>158008.14959999998</v>
      </c>
      <c r="AT684" s="131">
        <f>SUM(AF684:AQ684)</f>
        <v>161326.32074159998</v>
      </c>
      <c r="AU684" s="621"/>
      <c r="AV684" s="621"/>
      <c r="AW684" s="30"/>
    </row>
    <row r="685" spans="2:49">
      <c r="B685" s="250">
        <v>776</v>
      </c>
      <c r="C685" s="212"/>
      <c r="D685" s="102"/>
      <c r="E685" s="102"/>
      <c r="F685" s="102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71"/>
      <c r="AV685" s="171"/>
      <c r="AW685" s="30"/>
    </row>
    <row r="686" spans="2:49">
      <c r="B686" s="250">
        <v>777</v>
      </c>
      <c r="C686" s="212">
        <v>908</v>
      </c>
      <c r="D686" s="102" t="s">
        <v>410</v>
      </c>
      <c r="E686" s="102"/>
      <c r="F686" s="102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71"/>
      <c r="AV686" s="171"/>
      <c r="AW686" s="30"/>
    </row>
    <row r="687" spans="2:49">
      <c r="B687" s="250">
        <v>778</v>
      </c>
      <c r="C687" s="212"/>
      <c r="D687" s="102"/>
      <c r="E687" s="102" t="s">
        <v>14</v>
      </c>
      <c r="F687" s="102"/>
      <c r="G687" s="186">
        <v>3591769.29</v>
      </c>
      <c r="H687" s="186">
        <v>3191439.9</v>
      </c>
      <c r="I687" s="186">
        <v>2140653</v>
      </c>
      <c r="J687" s="186">
        <v>1511733.06</v>
      </c>
      <c r="K687" s="186">
        <v>898879.47</v>
      </c>
      <c r="L687" s="186">
        <v>515598.23</v>
      </c>
      <c r="M687" s="186">
        <v>418621.67</v>
      </c>
      <c r="N687" s="186">
        <v>402771.45</v>
      </c>
      <c r="O687" s="186">
        <v>500813.12000000005</v>
      </c>
      <c r="P687" s="186">
        <v>1268366.8400000001</v>
      </c>
      <c r="Q687" s="186">
        <v>2506162.86</v>
      </c>
      <c r="R687" s="186">
        <v>3871633.68</v>
      </c>
      <c r="S687" s="186"/>
      <c r="T687" s="186">
        <f t="shared" ref="T687:W688" si="983">G687*(1+$AU687)</f>
        <v>3645645.8293499998</v>
      </c>
      <c r="U687" s="186">
        <f t="shared" si="983"/>
        <v>3239311.4984999998</v>
      </c>
      <c r="V687" s="186">
        <f t="shared" si="983"/>
        <v>2172762.7949999999</v>
      </c>
      <c r="W687" s="186">
        <f t="shared" si="983"/>
        <v>1534409.0558999998</v>
      </c>
      <c r="X687" s="186">
        <f t="shared" ref="X687:AE688" si="984">K687*(1+$AU687)</f>
        <v>912362.66204999993</v>
      </c>
      <c r="Y687" s="186">
        <f t="shared" si="984"/>
        <v>523332.20344999991</v>
      </c>
      <c r="Z687" s="186">
        <f t="shared" si="984"/>
        <v>424900.99504999997</v>
      </c>
      <c r="AA687" s="186">
        <f t="shared" si="984"/>
        <v>408813.02174999996</v>
      </c>
      <c r="AB687" s="186">
        <f t="shared" si="984"/>
        <v>508325.31680000003</v>
      </c>
      <c r="AC687" s="186">
        <f t="shared" si="984"/>
        <v>1287392.3425999999</v>
      </c>
      <c r="AD687" s="186">
        <f t="shared" si="984"/>
        <v>2543755.3028999995</v>
      </c>
      <c r="AE687" s="186">
        <f t="shared" si="984"/>
        <v>3929708.1851999997</v>
      </c>
      <c r="AF687" s="186">
        <f t="shared" ref="AF687:AQ687" si="985">T687*(1+$AV$687)</f>
        <v>3693039.2251315494</v>
      </c>
      <c r="AG687" s="186">
        <f t="shared" si="985"/>
        <v>3281422.5479804995</v>
      </c>
      <c r="AH687" s="186">
        <f t="shared" si="985"/>
        <v>2201008.7113349997</v>
      </c>
      <c r="AI687" s="186">
        <f t="shared" si="985"/>
        <v>1554356.3736266997</v>
      </c>
      <c r="AJ687" s="186">
        <f t="shared" si="985"/>
        <v>924223.37665664987</v>
      </c>
      <c r="AK687" s="186">
        <f t="shared" si="985"/>
        <v>530135.52209484985</v>
      </c>
      <c r="AL687" s="186">
        <f t="shared" si="985"/>
        <v>430424.70798564993</v>
      </c>
      <c r="AM687" s="186">
        <f t="shared" si="985"/>
        <v>414127.59103274992</v>
      </c>
      <c r="AN687" s="186">
        <f t="shared" si="985"/>
        <v>514933.54591839999</v>
      </c>
      <c r="AO687" s="186">
        <f t="shared" si="985"/>
        <v>1304128.4430537997</v>
      </c>
      <c r="AP687" s="186">
        <f t="shared" si="985"/>
        <v>2576824.1218376993</v>
      </c>
      <c r="AQ687" s="186">
        <f t="shared" si="985"/>
        <v>3980794.3916075993</v>
      </c>
      <c r="AR687" s="186">
        <f>SUM(G687:R687)</f>
        <v>20818442.57</v>
      </c>
      <c r="AS687" s="186">
        <f>SUM(T687:AE687)</f>
        <v>21130719.208549995</v>
      </c>
      <c r="AT687" s="186">
        <f>SUM(AF687:AQ687)</f>
        <v>21405418.558261141</v>
      </c>
      <c r="AU687" s="171">
        <v>1.4999999999999999E-2</v>
      </c>
      <c r="AV687" s="171">
        <v>1.3000000000000001E-2</v>
      </c>
      <c r="AW687" s="30"/>
    </row>
    <row r="688" spans="2:49">
      <c r="B688" s="250">
        <v>779</v>
      </c>
      <c r="C688" s="212"/>
      <c r="D688" s="102"/>
      <c r="E688" s="102" t="s">
        <v>24</v>
      </c>
      <c r="F688" s="102"/>
      <c r="G688" s="186">
        <v>33604.15</v>
      </c>
      <c r="H688" s="186">
        <v>31437.02</v>
      </c>
      <c r="I688" s="186">
        <v>25329.5</v>
      </c>
      <c r="J688" s="186">
        <v>22005.87</v>
      </c>
      <c r="K688" s="186">
        <v>15991.890000000001</v>
      </c>
      <c r="L688" s="186">
        <v>8628.9500000000007</v>
      </c>
      <c r="M688" s="186">
        <v>8566.9600000000009</v>
      </c>
      <c r="N688" s="186">
        <v>9031.33</v>
      </c>
      <c r="O688" s="186">
        <v>9160.61</v>
      </c>
      <c r="P688" s="186">
        <v>16096.98</v>
      </c>
      <c r="Q688" s="186">
        <v>26456.720000000001</v>
      </c>
      <c r="R688" s="186">
        <v>30892.55</v>
      </c>
      <c r="S688" s="617"/>
      <c r="T688" s="204">
        <f t="shared" si="983"/>
        <v>34108.212249999997</v>
      </c>
      <c r="U688" s="204">
        <f t="shared" si="983"/>
        <v>31908.575299999997</v>
      </c>
      <c r="V688" s="204">
        <f t="shared" si="983"/>
        <v>25709.442499999997</v>
      </c>
      <c r="W688" s="204">
        <f t="shared" si="983"/>
        <v>22335.958049999997</v>
      </c>
      <c r="X688" s="204">
        <f t="shared" si="984"/>
        <v>16231.76835</v>
      </c>
      <c r="Y688" s="204">
        <f t="shared" si="984"/>
        <v>8758.3842499999992</v>
      </c>
      <c r="Z688" s="204">
        <f t="shared" si="984"/>
        <v>8695.4644000000008</v>
      </c>
      <c r="AA688" s="204">
        <f t="shared" si="984"/>
        <v>9166.7999499999987</v>
      </c>
      <c r="AB688" s="204">
        <f t="shared" si="984"/>
        <v>9298.0191500000001</v>
      </c>
      <c r="AC688" s="204">
        <f t="shared" si="984"/>
        <v>16338.434699999998</v>
      </c>
      <c r="AD688" s="204">
        <f t="shared" si="984"/>
        <v>26853.570799999998</v>
      </c>
      <c r="AE688" s="204">
        <f t="shared" si="984"/>
        <v>31355.938249999996</v>
      </c>
      <c r="AF688" s="204">
        <f t="shared" ref="AF688:AQ688" si="986">T688*(1+$AV$688)</f>
        <v>34551.619009249996</v>
      </c>
      <c r="AG688" s="204">
        <f t="shared" si="986"/>
        <v>32323.386778899992</v>
      </c>
      <c r="AH688" s="204">
        <f t="shared" si="986"/>
        <v>26043.665252499995</v>
      </c>
      <c r="AI688" s="204">
        <f t="shared" si="986"/>
        <v>22626.325504649994</v>
      </c>
      <c r="AJ688" s="204">
        <f t="shared" si="986"/>
        <v>16442.781338549998</v>
      </c>
      <c r="AK688" s="204">
        <f t="shared" si="986"/>
        <v>8872.2432452499979</v>
      </c>
      <c r="AL688" s="204">
        <f t="shared" si="986"/>
        <v>8808.5054371999995</v>
      </c>
      <c r="AM688" s="204">
        <f t="shared" si="986"/>
        <v>9285.9683493499979</v>
      </c>
      <c r="AN688" s="204">
        <f t="shared" si="986"/>
        <v>9418.8933989499983</v>
      </c>
      <c r="AO688" s="204">
        <f t="shared" si="986"/>
        <v>16550.834351099995</v>
      </c>
      <c r="AP688" s="204">
        <f t="shared" si="986"/>
        <v>27202.667220399995</v>
      </c>
      <c r="AQ688" s="204">
        <f t="shared" si="986"/>
        <v>31763.565447249992</v>
      </c>
      <c r="AR688" s="204">
        <f>SUM(G688:R688)</f>
        <v>237202.52999999997</v>
      </c>
      <c r="AS688" s="204">
        <f>SUM(T688:AE688)</f>
        <v>240760.56794999994</v>
      </c>
      <c r="AT688" s="204">
        <f>SUM(AF688:AQ688)</f>
        <v>243890.45533334996</v>
      </c>
      <c r="AU688" s="618">
        <f>AU687</f>
        <v>1.4999999999999999E-2</v>
      </c>
      <c r="AV688" s="618">
        <f>AV687</f>
        <v>1.3000000000000001E-2</v>
      </c>
      <c r="AW688" s="30"/>
    </row>
    <row r="689" spans="2:49">
      <c r="B689" s="250">
        <v>780</v>
      </c>
      <c r="C689" s="212"/>
      <c r="D689" s="102"/>
      <c r="E689" s="102" t="s">
        <v>170</v>
      </c>
      <c r="F689" s="102"/>
      <c r="G689" s="1216">
        <v>3625373.44</v>
      </c>
      <c r="H689" s="1216">
        <v>3222876.92</v>
      </c>
      <c r="I689" s="1216">
        <v>2165982.5</v>
      </c>
      <c r="J689" s="1216">
        <v>1533738.9300000002</v>
      </c>
      <c r="K689" s="1216">
        <v>914871.36</v>
      </c>
      <c r="L689" s="1216">
        <v>524227.18</v>
      </c>
      <c r="M689" s="1216">
        <v>427188.63</v>
      </c>
      <c r="N689" s="1216">
        <v>411802.78</v>
      </c>
      <c r="O689" s="1216">
        <v>509973.73000000004</v>
      </c>
      <c r="P689" s="1216">
        <v>1284463.82</v>
      </c>
      <c r="Q689" s="1216">
        <v>2532619.58</v>
      </c>
      <c r="R689" s="1216">
        <v>3902526.23</v>
      </c>
      <c r="S689" s="620"/>
      <c r="T689" s="131">
        <f t="shared" ref="T689:Y689" si="987">SUM(T687:T688)</f>
        <v>3679754.0415999996</v>
      </c>
      <c r="U689" s="131">
        <f t="shared" si="987"/>
        <v>3271220.0737999999</v>
      </c>
      <c r="V689" s="131">
        <f t="shared" si="987"/>
        <v>2198472.2374999998</v>
      </c>
      <c r="W689" s="131">
        <f t="shared" si="987"/>
        <v>1556745.0139499998</v>
      </c>
      <c r="X689" s="131">
        <f t="shared" si="987"/>
        <v>928594.43039999995</v>
      </c>
      <c r="Y689" s="131">
        <f t="shared" si="987"/>
        <v>532090.58769999992</v>
      </c>
      <c r="Z689" s="131">
        <f t="shared" ref="Z689:AE689" si="988">SUM(Z687:Z688)</f>
        <v>433596.45944999997</v>
      </c>
      <c r="AA689" s="131">
        <f t="shared" si="988"/>
        <v>417979.82169999997</v>
      </c>
      <c r="AB689" s="131">
        <f t="shared" si="988"/>
        <v>517623.33595000004</v>
      </c>
      <c r="AC689" s="131">
        <f t="shared" si="988"/>
        <v>1303730.7773</v>
      </c>
      <c r="AD689" s="131">
        <f t="shared" si="988"/>
        <v>2570608.8736999994</v>
      </c>
      <c r="AE689" s="131">
        <f t="shared" si="988"/>
        <v>3961064.1234499998</v>
      </c>
      <c r="AF689" s="131">
        <f t="shared" ref="AF689:AQ689" si="989">SUM(AF687:AF688)</f>
        <v>3727590.8441407993</v>
      </c>
      <c r="AG689" s="131">
        <f t="shared" si="989"/>
        <v>3313745.9347593994</v>
      </c>
      <c r="AH689" s="131">
        <f t="shared" si="989"/>
        <v>2227052.3765874999</v>
      </c>
      <c r="AI689" s="131">
        <f t="shared" si="989"/>
        <v>1576982.6991313496</v>
      </c>
      <c r="AJ689" s="131">
        <f t="shared" si="989"/>
        <v>940666.1579951999</v>
      </c>
      <c r="AK689" s="131">
        <f t="shared" si="989"/>
        <v>539007.76534009981</v>
      </c>
      <c r="AL689" s="131">
        <f t="shared" si="989"/>
        <v>439233.21342284995</v>
      </c>
      <c r="AM689" s="131">
        <f t="shared" si="989"/>
        <v>423413.55938209989</v>
      </c>
      <c r="AN689" s="131">
        <f t="shared" si="989"/>
        <v>524352.43931735004</v>
      </c>
      <c r="AO689" s="131">
        <f t="shared" si="989"/>
        <v>1320679.2774048997</v>
      </c>
      <c r="AP689" s="131">
        <f t="shared" si="989"/>
        <v>2604026.7890580995</v>
      </c>
      <c r="AQ689" s="131">
        <f t="shared" si="989"/>
        <v>4012557.9570548492</v>
      </c>
      <c r="AR689" s="131">
        <f>SUM(G689:R689)</f>
        <v>21055645.099999998</v>
      </c>
      <c r="AS689" s="131">
        <f>SUM(T689:AE689)</f>
        <v>21371479.776499998</v>
      </c>
      <c r="AT689" s="131">
        <f>SUM(AF689:AQ689)</f>
        <v>21649309.013594493</v>
      </c>
      <c r="AU689" s="621"/>
      <c r="AV689" s="621"/>
      <c r="AW689" s="30"/>
    </row>
    <row r="690" spans="2:49">
      <c r="B690" s="250">
        <v>781</v>
      </c>
      <c r="C690" s="212"/>
      <c r="D690" s="102"/>
      <c r="E690" s="102"/>
      <c r="F690" s="102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71"/>
      <c r="AV690" s="171"/>
      <c r="AW690" s="30"/>
    </row>
    <row r="691" spans="2:49">
      <c r="B691" s="250">
        <v>782</v>
      </c>
      <c r="C691" s="212">
        <v>909</v>
      </c>
      <c r="D691" s="102" t="s">
        <v>423</v>
      </c>
      <c r="E691" s="102"/>
      <c r="F691" s="102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71"/>
      <c r="AV691" s="171"/>
      <c r="AW691" s="30"/>
    </row>
    <row r="692" spans="2:49">
      <c r="B692" s="250">
        <v>783</v>
      </c>
      <c r="C692" s="212"/>
      <c r="D692" s="102"/>
      <c r="E692" s="102" t="s">
        <v>14</v>
      </c>
      <c r="F692" s="102"/>
      <c r="G692" s="186">
        <v>11174</v>
      </c>
      <c r="H692" s="186">
        <v>75557.22</v>
      </c>
      <c r="I692" s="186">
        <v>73593.94</v>
      </c>
      <c r="J692" s="186">
        <v>98871.33</v>
      </c>
      <c r="K692" s="186">
        <v>57946.32</v>
      </c>
      <c r="L692" s="186">
        <v>47731.29</v>
      </c>
      <c r="M692" s="186">
        <v>34335.58</v>
      </c>
      <c r="N692" s="186">
        <v>31880.950000000004</v>
      </c>
      <c r="O692" s="186">
        <v>125165.25</v>
      </c>
      <c r="P692" s="186">
        <v>102987.89</v>
      </c>
      <c r="Q692" s="186">
        <v>153590.00000000003</v>
      </c>
      <c r="R692" s="186">
        <v>-67346.25</v>
      </c>
      <c r="S692" s="186"/>
      <c r="T692" s="186">
        <f t="shared" ref="T692:W693" si="990">G692*(1+$AU692)</f>
        <v>11274.565999999999</v>
      </c>
      <c r="U692" s="186">
        <f t="shared" si="990"/>
        <v>76237.234979999994</v>
      </c>
      <c r="V692" s="186">
        <f t="shared" si="990"/>
        <v>74256.285459999999</v>
      </c>
      <c r="W692" s="186">
        <f t="shared" si="990"/>
        <v>99761.171969999996</v>
      </c>
      <c r="X692" s="186">
        <f t="shared" ref="X692:AE693" si="991">K692*(1+$AU692)</f>
        <v>58467.836879999995</v>
      </c>
      <c r="Y692" s="186">
        <f t="shared" si="991"/>
        <v>48160.871609999995</v>
      </c>
      <c r="Z692" s="186">
        <f t="shared" si="991"/>
        <v>34644.60022</v>
      </c>
      <c r="AA692" s="186">
        <f t="shared" si="991"/>
        <v>32167.878550000001</v>
      </c>
      <c r="AB692" s="186">
        <f t="shared" si="991"/>
        <v>126291.73724999999</v>
      </c>
      <c r="AC692" s="186">
        <f t="shared" si="991"/>
        <v>103914.78100999999</v>
      </c>
      <c r="AD692" s="186">
        <f t="shared" si="991"/>
        <v>154972.31000000003</v>
      </c>
      <c r="AE692" s="186">
        <f t="shared" si="991"/>
        <v>-67952.366249999992</v>
      </c>
      <c r="AF692" s="186">
        <f t="shared" ref="AF692:AQ692" si="992">T692*(1+$AV$692)</f>
        <v>11409.860791999999</v>
      </c>
      <c r="AG692" s="186">
        <f t="shared" si="992"/>
        <v>77152.081799759995</v>
      </c>
      <c r="AH692" s="186">
        <f t="shared" si="992"/>
        <v>75147.36088552</v>
      </c>
      <c r="AI692" s="186">
        <f t="shared" si="992"/>
        <v>100958.30603363999</v>
      </c>
      <c r="AJ692" s="186">
        <f t="shared" si="992"/>
        <v>59169.450922559998</v>
      </c>
      <c r="AK692" s="186">
        <f t="shared" si="992"/>
        <v>48738.802069319994</v>
      </c>
      <c r="AL692" s="186">
        <f t="shared" si="992"/>
        <v>35060.335422640004</v>
      </c>
      <c r="AM692" s="186">
        <f t="shared" si="992"/>
        <v>32553.893092600003</v>
      </c>
      <c r="AN692" s="186">
        <f t="shared" si="992"/>
        <v>127807.23809699999</v>
      </c>
      <c r="AO692" s="186">
        <f t="shared" si="992"/>
        <v>105161.75838212</v>
      </c>
      <c r="AP692" s="186">
        <f t="shared" si="992"/>
        <v>156831.97772000002</v>
      </c>
      <c r="AQ692" s="186">
        <f t="shared" si="992"/>
        <v>-68767.794644999987</v>
      </c>
      <c r="AR692" s="186">
        <f>SUM(G692:R692)</f>
        <v>745487.52</v>
      </c>
      <c r="AS692" s="186">
        <f>SUM(T692:AE692)</f>
        <v>752196.90768000006</v>
      </c>
      <c r="AT692" s="186">
        <f>SUM(AF692:AQ692)</f>
        <v>761223.27057216014</v>
      </c>
      <c r="AU692" s="618">
        <v>9.0000000000000011E-3</v>
      </c>
      <c r="AV692" s="171">
        <v>1.2E-2</v>
      </c>
      <c r="AW692" s="30"/>
    </row>
    <row r="693" spans="2:49">
      <c r="B693" s="250">
        <v>784</v>
      </c>
      <c r="C693" s="212"/>
      <c r="D693" s="102"/>
      <c r="E693" s="102" t="s">
        <v>24</v>
      </c>
      <c r="F693" s="102"/>
      <c r="G693" s="186">
        <v>358.67</v>
      </c>
      <c r="H693" s="186">
        <v>1990.98</v>
      </c>
      <c r="I693" s="186">
        <v>1175.08</v>
      </c>
      <c r="J693" s="186">
        <v>3093.23</v>
      </c>
      <c r="K693" s="186">
        <v>1597.54</v>
      </c>
      <c r="L693" s="186">
        <v>1466.78</v>
      </c>
      <c r="M693" s="186">
        <v>1118.53</v>
      </c>
      <c r="N693" s="186">
        <v>1043.71</v>
      </c>
      <c r="O693" s="186">
        <v>1722.67</v>
      </c>
      <c r="P693" s="186">
        <v>3402.35</v>
      </c>
      <c r="Q693" s="186">
        <v>5060.83</v>
      </c>
      <c r="R693" s="186">
        <v>-1510.69</v>
      </c>
      <c r="S693" s="617"/>
      <c r="T693" s="204">
        <f t="shared" si="990"/>
        <v>361.89803000000001</v>
      </c>
      <c r="U693" s="204">
        <f t="shared" si="990"/>
        <v>2008.8988199999999</v>
      </c>
      <c r="V693" s="204">
        <f t="shared" si="990"/>
        <v>1185.6557199999997</v>
      </c>
      <c r="W693" s="204">
        <f t="shared" si="990"/>
        <v>3121.0690699999996</v>
      </c>
      <c r="X693" s="204">
        <f t="shared" si="991"/>
        <v>1611.9178599999998</v>
      </c>
      <c r="Y693" s="204">
        <f t="shared" si="991"/>
        <v>1479.9810199999997</v>
      </c>
      <c r="Z693" s="204">
        <f t="shared" si="991"/>
        <v>1128.5967699999999</v>
      </c>
      <c r="AA693" s="204">
        <f t="shared" si="991"/>
        <v>1053.10339</v>
      </c>
      <c r="AB693" s="204">
        <f t="shared" si="991"/>
        <v>1738.1740299999999</v>
      </c>
      <c r="AC693" s="204">
        <f t="shared" si="991"/>
        <v>3432.9711499999994</v>
      </c>
      <c r="AD693" s="204">
        <f t="shared" si="991"/>
        <v>5106.3774699999994</v>
      </c>
      <c r="AE693" s="204">
        <f t="shared" si="991"/>
        <v>-1524.28621</v>
      </c>
      <c r="AF693" s="204">
        <f t="shared" ref="AF693:AQ693" si="993">T693*(1+$AV$693)</f>
        <v>366.24080636000002</v>
      </c>
      <c r="AG693" s="204">
        <f t="shared" si="993"/>
        <v>2033.0056058399998</v>
      </c>
      <c r="AH693" s="204">
        <f t="shared" si="993"/>
        <v>1199.8835886399997</v>
      </c>
      <c r="AI693" s="204">
        <f t="shared" si="993"/>
        <v>3158.5218988399997</v>
      </c>
      <c r="AJ693" s="204">
        <f t="shared" si="993"/>
        <v>1631.2608743199999</v>
      </c>
      <c r="AK693" s="204">
        <f t="shared" si="993"/>
        <v>1497.7407922399998</v>
      </c>
      <c r="AL693" s="204">
        <f t="shared" si="993"/>
        <v>1142.1399312399999</v>
      </c>
      <c r="AM693" s="204">
        <f t="shared" si="993"/>
        <v>1065.7406306800001</v>
      </c>
      <c r="AN693" s="204">
        <f t="shared" si="993"/>
        <v>1759.0321183599999</v>
      </c>
      <c r="AO693" s="204">
        <f t="shared" si="993"/>
        <v>3474.1668037999993</v>
      </c>
      <c r="AP693" s="204">
        <f t="shared" si="993"/>
        <v>5167.6539996399997</v>
      </c>
      <c r="AQ693" s="204">
        <f t="shared" si="993"/>
        <v>-1542.5776445199999</v>
      </c>
      <c r="AR693" s="204">
        <f>SUM(G693:R693)</f>
        <v>20519.680000000004</v>
      </c>
      <c r="AS693" s="204">
        <f>SUM(T693:AE693)</f>
        <v>20704.357120000001</v>
      </c>
      <c r="AT693" s="204">
        <f>SUM(AF693:AQ693)</f>
        <v>20952.809405439995</v>
      </c>
      <c r="AU693" s="618">
        <f>AU692</f>
        <v>9.0000000000000011E-3</v>
      </c>
      <c r="AV693" s="618">
        <f>AV692</f>
        <v>1.2E-2</v>
      </c>
      <c r="AW693" s="30"/>
    </row>
    <row r="694" spans="2:49">
      <c r="B694" s="250">
        <v>785</v>
      </c>
      <c r="C694" s="212"/>
      <c r="D694" s="102"/>
      <c r="E694" s="102" t="s">
        <v>170</v>
      </c>
      <c r="F694" s="102"/>
      <c r="G694" s="1216">
        <v>11532.67</v>
      </c>
      <c r="H694" s="1216">
        <v>77548.2</v>
      </c>
      <c r="I694" s="1216">
        <v>74769.02</v>
      </c>
      <c r="J694" s="1216">
        <v>101964.56</v>
      </c>
      <c r="K694" s="1216">
        <v>59543.86</v>
      </c>
      <c r="L694" s="1216">
        <v>49198.07</v>
      </c>
      <c r="M694" s="1216">
        <v>35454.11</v>
      </c>
      <c r="N694" s="1216">
        <v>32924.660000000003</v>
      </c>
      <c r="O694" s="1216">
        <v>126887.92</v>
      </c>
      <c r="P694" s="1216">
        <v>106390.24</v>
      </c>
      <c r="Q694" s="1216">
        <v>158650.83000000002</v>
      </c>
      <c r="R694" s="1216">
        <v>-68856.94</v>
      </c>
      <c r="S694" s="620"/>
      <c r="T694" s="131">
        <f t="shared" ref="T694:Y694" si="994">SUM(T692:T693)</f>
        <v>11636.464029999999</v>
      </c>
      <c r="U694" s="131">
        <f t="shared" si="994"/>
        <v>78246.133799999996</v>
      </c>
      <c r="V694" s="131">
        <f t="shared" si="994"/>
        <v>75441.941179999994</v>
      </c>
      <c r="W694" s="131">
        <f t="shared" si="994"/>
        <v>102882.24103999999</v>
      </c>
      <c r="X694" s="131">
        <f t="shared" si="994"/>
        <v>60079.754739999997</v>
      </c>
      <c r="Y694" s="131">
        <f t="shared" si="994"/>
        <v>49640.852629999994</v>
      </c>
      <c r="Z694" s="131">
        <f t="shared" ref="Z694:AE694" si="995">SUM(Z692:Z693)</f>
        <v>35773.196989999997</v>
      </c>
      <c r="AA694" s="131">
        <f t="shared" si="995"/>
        <v>33220.981939999998</v>
      </c>
      <c r="AB694" s="131">
        <f t="shared" si="995"/>
        <v>128029.91127999999</v>
      </c>
      <c r="AC694" s="131">
        <f t="shared" si="995"/>
        <v>107347.75215999999</v>
      </c>
      <c r="AD694" s="131">
        <f t="shared" si="995"/>
        <v>160078.68747000003</v>
      </c>
      <c r="AE694" s="131">
        <f t="shared" si="995"/>
        <v>-69476.652459999998</v>
      </c>
      <c r="AF694" s="131">
        <f t="shared" ref="AF694:AQ694" si="996">SUM(AF692:AF693)</f>
        <v>11776.101598359999</v>
      </c>
      <c r="AG694" s="131">
        <f t="shared" si="996"/>
        <v>79185.087405599988</v>
      </c>
      <c r="AH694" s="131">
        <f t="shared" si="996"/>
        <v>76347.244474160005</v>
      </c>
      <c r="AI694" s="131">
        <f t="shared" si="996"/>
        <v>104116.82793248</v>
      </c>
      <c r="AJ694" s="131">
        <f t="shared" si="996"/>
        <v>60800.711796880001</v>
      </c>
      <c r="AK694" s="131">
        <f t="shared" si="996"/>
        <v>50236.542861559996</v>
      </c>
      <c r="AL694" s="131">
        <f t="shared" si="996"/>
        <v>36202.475353880007</v>
      </c>
      <c r="AM694" s="131">
        <f t="shared" si="996"/>
        <v>33619.63372328</v>
      </c>
      <c r="AN694" s="131">
        <f t="shared" si="996"/>
        <v>129566.27021536</v>
      </c>
      <c r="AO694" s="131">
        <f t="shared" si="996"/>
        <v>108635.92518592</v>
      </c>
      <c r="AP694" s="131">
        <f t="shared" si="996"/>
        <v>161999.63171964002</v>
      </c>
      <c r="AQ694" s="131">
        <f t="shared" si="996"/>
        <v>-70310.37228951999</v>
      </c>
      <c r="AR694" s="131">
        <f>SUM(G694:R694)</f>
        <v>766007.20000000019</v>
      </c>
      <c r="AS694" s="131">
        <f>SUM(T694:AE694)</f>
        <v>772901.2648</v>
      </c>
      <c r="AT694" s="131">
        <f>SUM(AF694:AQ694)</f>
        <v>782176.07997760002</v>
      </c>
      <c r="AU694" s="621"/>
      <c r="AV694" s="621"/>
      <c r="AW694" s="30"/>
    </row>
    <row r="695" spans="2:49">
      <c r="B695" s="250">
        <v>786</v>
      </c>
      <c r="C695" s="212"/>
      <c r="D695" s="102"/>
      <c r="E695" s="102"/>
      <c r="F695" s="102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71"/>
      <c r="AV695" s="171"/>
      <c r="AW695" s="30"/>
    </row>
    <row r="696" spans="2:49">
      <c r="B696" s="250">
        <v>787</v>
      </c>
      <c r="C696" s="212">
        <v>910</v>
      </c>
      <c r="D696" s="102" t="s">
        <v>424</v>
      </c>
      <c r="E696" s="102"/>
      <c r="F696" s="102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71"/>
      <c r="AV696" s="171"/>
      <c r="AW696" s="30"/>
    </row>
    <row r="697" spans="2:49">
      <c r="B697" s="250">
        <v>788</v>
      </c>
      <c r="C697" s="208"/>
      <c r="D697" s="102"/>
      <c r="E697" s="102" t="s">
        <v>14</v>
      </c>
      <c r="F697" s="102"/>
      <c r="G697" s="186">
        <v>0</v>
      </c>
      <c r="H697" s="186">
        <v>0</v>
      </c>
      <c r="I697" s="186">
        <v>0</v>
      </c>
      <c r="J697" s="186">
        <v>0</v>
      </c>
      <c r="K697" s="186">
        <v>0</v>
      </c>
      <c r="L697" s="186">
        <v>0</v>
      </c>
      <c r="M697" s="186">
        <v>0</v>
      </c>
      <c r="N697" s="186">
        <v>0</v>
      </c>
      <c r="O697" s="186">
        <v>0</v>
      </c>
      <c r="P697" s="186">
        <v>0</v>
      </c>
      <c r="Q697" s="186">
        <v>0</v>
      </c>
      <c r="R697" s="186">
        <v>0</v>
      </c>
      <c r="S697" s="186"/>
      <c r="T697" s="186">
        <f t="shared" ref="T697:W698" si="997">G697*(1+$AU697)</f>
        <v>0</v>
      </c>
      <c r="U697" s="186">
        <f t="shared" si="997"/>
        <v>0</v>
      </c>
      <c r="V697" s="186">
        <f t="shared" si="997"/>
        <v>0</v>
      </c>
      <c r="W697" s="186">
        <f t="shared" si="997"/>
        <v>0</v>
      </c>
      <c r="X697" s="186">
        <f t="shared" ref="X697:AE698" si="998">K697*(1+$AU697)</f>
        <v>0</v>
      </c>
      <c r="Y697" s="186">
        <f t="shared" si="998"/>
        <v>0</v>
      </c>
      <c r="Z697" s="186">
        <f t="shared" si="998"/>
        <v>0</v>
      </c>
      <c r="AA697" s="186">
        <f t="shared" si="998"/>
        <v>0</v>
      </c>
      <c r="AB697" s="186">
        <f t="shared" si="998"/>
        <v>0</v>
      </c>
      <c r="AC697" s="186">
        <f t="shared" si="998"/>
        <v>0</v>
      </c>
      <c r="AD697" s="186">
        <f t="shared" si="998"/>
        <v>0</v>
      </c>
      <c r="AE697" s="186">
        <f t="shared" si="998"/>
        <v>0</v>
      </c>
      <c r="AF697" s="186">
        <f t="shared" ref="AF697:AQ697" si="999">T697*(1+$AV$697)</f>
        <v>0</v>
      </c>
      <c r="AG697" s="186">
        <f t="shared" si="999"/>
        <v>0</v>
      </c>
      <c r="AH697" s="186">
        <f t="shared" si="999"/>
        <v>0</v>
      </c>
      <c r="AI697" s="186">
        <f t="shared" si="999"/>
        <v>0</v>
      </c>
      <c r="AJ697" s="186">
        <f t="shared" si="999"/>
        <v>0</v>
      </c>
      <c r="AK697" s="186">
        <f t="shared" si="999"/>
        <v>0</v>
      </c>
      <c r="AL697" s="186">
        <f t="shared" si="999"/>
        <v>0</v>
      </c>
      <c r="AM697" s="186">
        <f t="shared" si="999"/>
        <v>0</v>
      </c>
      <c r="AN697" s="186">
        <f t="shared" si="999"/>
        <v>0</v>
      </c>
      <c r="AO697" s="186">
        <f t="shared" si="999"/>
        <v>0</v>
      </c>
      <c r="AP697" s="186">
        <f t="shared" si="999"/>
        <v>0</v>
      </c>
      <c r="AQ697" s="186">
        <f t="shared" si="999"/>
        <v>0</v>
      </c>
      <c r="AR697" s="186">
        <f>SUM(G697:R697)</f>
        <v>0</v>
      </c>
      <c r="AS697" s="186">
        <f>SUM(T697:AE697)</f>
        <v>0</v>
      </c>
      <c r="AT697" s="186">
        <f>SUM(AF697:AQ697)</f>
        <v>0</v>
      </c>
      <c r="AU697" s="171">
        <v>0.01</v>
      </c>
      <c r="AV697" s="171">
        <v>6.9999999999999993E-3</v>
      </c>
      <c r="AW697" s="30"/>
    </row>
    <row r="698" spans="2:49">
      <c r="B698" s="250">
        <v>789</v>
      </c>
      <c r="C698" s="208"/>
      <c r="D698" s="102"/>
      <c r="E698" s="102" t="s">
        <v>24</v>
      </c>
      <c r="F698" s="102"/>
      <c r="G698" s="186">
        <v>0</v>
      </c>
      <c r="H698" s="186">
        <v>0</v>
      </c>
      <c r="I698" s="186">
        <v>0</v>
      </c>
      <c r="J698" s="186">
        <v>0</v>
      </c>
      <c r="K698" s="186">
        <v>0</v>
      </c>
      <c r="L698" s="186">
        <v>0</v>
      </c>
      <c r="M698" s="186">
        <v>0</v>
      </c>
      <c r="N698" s="186">
        <v>0</v>
      </c>
      <c r="O698" s="186">
        <v>0</v>
      </c>
      <c r="P698" s="186">
        <v>0</v>
      </c>
      <c r="Q698" s="186">
        <v>0</v>
      </c>
      <c r="R698" s="186">
        <v>0</v>
      </c>
      <c r="S698" s="617"/>
      <c r="T698" s="204">
        <f t="shared" si="997"/>
        <v>0</v>
      </c>
      <c r="U698" s="204">
        <f t="shared" si="997"/>
        <v>0</v>
      </c>
      <c r="V698" s="204">
        <f t="shared" si="997"/>
        <v>0</v>
      </c>
      <c r="W698" s="204">
        <f t="shared" si="997"/>
        <v>0</v>
      </c>
      <c r="X698" s="204">
        <f t="shared" si="998"/>
        <v>0</v>
      </c>
      <c r="Y698" s="204">
        <f t="shared" si="998"/>
        <v>0</v>
      </c>
      <c r="Z698" s="204">
        <f t="shared" si="998"/>
        <v>0</v>
      </c>
      <c r="AA698" s="204">
        <f t="shared" si="998"/>
        <v>0</v>
      </c>
      <c r="AB698" s="204">
        <f t="shared" si="998"/>
        <v>0</v>
      </c>
      <c r="AC698" s="204">
        <f t="shared" si="998"/>
        <v>0</v>
      </c>
      <c r="AD698" s="204">
        <f t="shared" si="998"/>
        <v>0</v>
      </c>
      <c r="AE698" s="204">
        <f t="shared" si="998"/>
        <v>0</v>
      </c>
      <c r="AF698" s="204">
        <f t="shared" ref="AF698:AQ698" si="1000">T698*(1+$AV$698)</f>
        <v>0</v>
      </c>
      <c r="AG698" s="204">
        <f t="shared" si="1000"/>
        <v>0</v>
      </c>
      <c r="AH698" s="204">
        <f t="shared" si="1000"/>
        <v>0</v>
      </c>
      <c r="AI698" s="204">
        <f t="shared" si="1000"/>
        <v>0</v>
      </c>
      <c r="AJ698" s="204">
        <f t="shared" si="1000"/>
        <v>0</v>
      </c>
      <c r="AK698" s="204">
        <f t="shared" si="1000"/>
        <v>0</v>
      </c>
      <c r="AL698" s="204">
        <f t="shared" si="1000"/>
        <v>0</v>
      </c>
      <c r="AM698" s="204">
        <f t="shared" si="1000"/>
        <v>0</v>
      </c>
      <c r="AN698" s="204">
        <f t="shared" si="1000"/>
        <v>0</v>
      </c>
      <c r="AO698" s="204">
        <f t="shared" si="1000"/>
        <v>0</v>
      </c>
      <c r="AP698" s="204">
        <f t="shared" si="1000"/>
        <v>0</v>
      </c>
      <c r="AQ698" s="204">
        <f t="shared" si="1000"/>
        <v>0</v>
      </c>
      <c r="AR698" s="204">
        <f>SUM(G698:R698)</f>
        <v>0</v>
      </c>
      <c r="AS698" s="204">
        <f>SUM(T698:AE698)</f>
        <v>0</v>
      </c>
      <c r="AT698" s="204">
        <f>SUM(AF698:AQ698)</f>
        <v>0</v>
      </c>
      <c r="AU698" s="618">
        <f>AU697</f>
        <v>0.01</v>
      </c>
      <c r="AV698" s="618">
        <f>AV697</f>
        <v>6.9999999999999993E-3</v>
      </c>
      <c r="AW698" s="30"/>
    </row>
    <row r="699" spans="2:49">
      <c r="B699" s="250">
        <v>790</v>
      </c>
      <c r="C699" s="208"/>
      <c r="D699" s="102"/>
      <c r="E699" s="102" t="s">
        <v>170</v>
      </c>
      <c r="F699" s="102"/>
      <c r="G699" s="1216">
        <v>0</v>
      </c>
      <c r="H699" s="1216">
        <v>0</v>
      </c>
      <c r="I699" s="1216">
        <v>0</v>
      </c>
      <c r="J699" s="1216">
        <v>0</v>
      </c>
      <c r="K699" s="1216">
        <v>0</v>
      </c>
      <c r="L699" s="1216">
        <v>0</v>
      </c>
      <c r="M699" s="1216">
        <v>0</v>
      </c>
      <c r="N699" s="1216">
        <v>0</v>
      </c>
      <c r="O699" s="1216">
        <v>0</v>
      </c>
      <c r="P699" s="1216">
        <v>0</v>
      </c>
      <c r="Q699" s="1216">
        <v>0</v>
      </c>
      <c r="R699" s="1216">
        <v>0</v>
      </c>
      <c r="S699" s="620"/>
      <c r="T699" s="131">
        <f t="shared" ref="T699:Y699" si="1001">SUM(T697:T698)</f>
        <v>0</v>
      </c>
      <c r="U699" s="131">
        <f t="shared" si="1001"/>
        <v>0</v>
      </c>
      <c r="V699" s="131">
        <f t="shared" si="1001"/>
        <v>0</v>
      </c>
      <c r="W699" s="131">
        <f t="shared" si="1001"/>
        <v>0</v>
      </c>
      <c r="X699" s="131">
        <f t="shared" si="1001"/>
        <v>0</v>
      </c>
      <c r="Y699" s="131">
        <f t="shared" si="1001"/>
        <v>0</v>
      </c>
      <c r="Z699" s="131">
        <f t="shared" ref="Z699:AE699" si="1002">SUM(Z697:Z698)</f>
        <v>0</v>
      </c>
      <c r="AA699" s="131">
        <f t="shared" si="1002"/>
        <v>0</v>
      </c>
      <c r="AB699" s="131">
        <f t="shared" si="1002"/>
        <v>0</v>
      </c>
      <c r="AC699" s="131">
        <f t="shared" si="1002"/>
        <v>0</v>
      </c>
      <c r="AD699" s="131">
        <f t="shared" si="1002"/>
        <v>0</v>
      </c>
      <c r="AE699" s="131">
        <f t="shared" si="1002"/>
        <v>0</v>
      </c>
      <c r="AF699" s="131">
        <f t="shared" ref="AF699:AQ699" si="1003">SUM(AF697:AF698)</f>
        <v>0</v>
      </c>
      <c r="AG699" s="131">
        <f t="shared" si="1003"/>
        <v>0</v>
      </c>
      <c r="AH699" s="131">
        <f t="shared" si="1003"/>
        <v>0</v>
      </c>
      <c r="AI699" s="131">
        <f t="shared" si="1003"/>
        <v>0</v>
      </c>
      <c r="AJ699" s="131">
        <f t="shared" si="1003"/>
        <v>0</v>
      </c>
      <c r="AK699" s="131">
        <f t="shared" si="1003"/>
        <v>0</v>
      </c>
      <c r="AL699" s="131">
        <f t="shared" si="1003"/>
        <v>0</v>
      </c>
      <c r="AM699" s="131">
        <f t="shared" si="1003"/>
        <v>0</v>
      </c>
      <c r="AN699" s="131">
        <f t="shared" si="1003"/>
        <v>0</v>
      </c>
      <c r="AO699" s="131">
        <f t="shared" si="1003"/>
        <v>0</v>
      </c>
      <c r="AP699" s="131">
        <f t="shared" si="1003"/>
        <v>0</v>
      </c>
      <c r="AQ699" s="131">
        <f t="shared" si="1003"/>
        <v>0</v>
      </c>
      <c r="AR699" s="131">
        <f>SUM(G699:R699)</f>
        <v>0</v>
      </c>
      <c r="AS699" s="131">
        <f>SUM(T699:AE699)</f>
        <v>0</v>
      </c>
      <c r="AT699" s="131">
        <f>SUM(AF699:AQ699)</f>
        <v>0</v>
      </c>
      <c r="AU699" s="621"/>
      <c r="AV699" s="621"/>
      <c r="AW699" s="30"/>
    </row>
    <row r="700" spans="2:49" ht="13.5" thickBot="1">
      <c r="B700" s="250">
        <v>791</v>
      </c>
      <c r="C700" s="208"/>
      <c r="D700" s="102"/>
      <c r="E700" s="102"/>
      <c r="F700" s="102"/>
      <c r="G700" s="1217"/>
      <c r="H700" s="1217"/>
      <c r="I700" s="1217"/>
      <c r="J700" s="1217"/>
      <c r="K700" s="1217"/>
      <c r="L700" s="1217"/>
      <c r="M700" s="1217"/>
      <c r="N700" s="1217"/>
      <c r="O700" s="1217"/>
      <c r="P700" s="1217"/>
      <c r="Q700" s="1217"/>
      <c r="R700" s="1217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622"/>
      <c r="AV700" s="622"/>
      <c r="AW700" s="30"/>
    </row>
    <row r="701" spans="2:49" ht="13.5" thickTop="1">
      <c r="B701" s="250">
        <v>792</v>
      </c>
      <c r="C701" s="49" t="s">
        <v>650</v>
      </c>
      <c r="D701" s="102"/>
      <c r="E701" s="102"/>
      <c r="F701" s="102"/>
      <c r="G701" s="1215"/>
      <c r="H701" s="1215"/>
      <c r="I701" s="1215"/>
      <c r="J701" s="1215"/>
      <c r="K701" s="1215"/>
      <c r="L701" s="1215"/>
      <c r="M701" s="1215"/>
      <c r="N701" s="1215"/>
      <c r="O701" s="1215"/>
      <c r="P701" s="1215"/>
      <c r="Q701" s="1215"/>
      <c r="R701" s="1215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  <c r="AE701" s="116"/>
      <c r="AF701" s="116"/>
      <c r="AG701" s="116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71"/>
      <c r="AV701" s="171"/>
      <c r="AW701" s="30"/>
    </row>
    <row r="702" spans="2:49">
      <c r="B702" s="250">
        <v>793</v>
      </c>
      <c r="C702" s="208"/>
      <c r="D702" s="208" t="s">
        <v>651</v>
      </c>
      <c r="E702" s="102"/>
      <c r="F702" s="102"/>
      <c r="G702" s="1215">
        <v>3611812.71</v>
      </c>
      <c r="H702" s="1215">
        <v>3282975.49</v>
      </c>
      <c r="I702" s="1215">
        <v>2220101.9499999997</v>
      </c>
      <c r="J702" s="1215">
        <v>1619717.55</v>
      </c>
      <c r="K702" s="1215">
        <v>964745.1399999999</v>
      </c>
      <c r="L702" s="1215">
        <v>571266.97</v>
      </c>
      <c r="M702" s="1215">
        <v>460372.69</v>
      </c>
      <c r="N702" s="1215">
        <v>442696.80000000005</v>
      </c>
      <c r="O702" s="1215">
        <v>643703.31000000006</v>
      </c>
      <c r="P702" s="1215">
        <v>1387790.27</v>
      </c>
      <c r="Q702" s="1215">
        <v>2681741.25</v>
      </c>
      <c r="R702" s="1215">
        <v>3821932.93</v>
      </c>
      <c r="S702" s="116"/>
      <c r="T702" s="116">
        <f t="shared" ref="T702:Y702" si="1004">T682+T687+T692+T697</f>
        <v>3665984.9425900001</v>
      </c>
      <c r="U702" s="116">
        <f t="shared" si="1004"/>
        <v>3331878.6276199999</v>
      </c>
      <c r="V702" s="116">
        <f t="shared" si="1004"/>
        <v>2253002.90068</v>
      </c>
      <c r="W702" s="116">
        <f t="shared" si="1004"/>
        <v>1643483.8773899998</v>
      </c>
      <c r="X702" s="116">
        <f t="shared" si="1004"/>
        <v>978924.07462999993</v>
      </c>
      <c r="Y702" s="116">
        <f t="shared" si="1004"/>
        <v>579605.1489599999</v>
      </c>
      <c r="Z702" s="116">
        <f t="shared" ref="Z702:AE703" si="1005">Z682+Z687+Z692+Z697</f>
        <v>467124.17495000002</v>
      </c>
      <c r="AA702" s="116">
        <f t="shared" si="1005"/>
        <v>449202.27710000001</v>
      </c>
      <c r="AB702" s="116">
        <f t="shared" si="1005"/>
        <v>652731.94273000001</v>
      </c>
      <c r="AC702" s="116">
        <f t="shared" si="1005"/>
        <v>1408104.2454899999</v>
      </c>
      <c r="AD702" s="116">
        <f t="shared" si="1005"/>
        <v>2721199.7474799994</v>
      </c>
      <c r="AE702" s="116">
        <f t="shared" si="1005"/>
        <v>3879789.5199499996</v>
      </c>
      <c r="AF702" s="116">
        <f t="shared" ref="AF702:AQ702" si="1006">AF682+AF687+AF692+AF697</f>
        <v>3713703.9886555891</v>
      </c>
      <c r="AG702" s="116">
        <f t="shared" si="1006"/>
        <v>3375247.4516971996</v>
      </c>
      <c r="AH702" s="116">
        <f t="shared" si="1006"/>
        <v>2282265.5526651395</v>
      </c>
      <c r="AI702" s="116">
        <f t="shared" si="1006"/>
        <v>1664823.9158202596</v>
      </c>
      <c r="AJ702" s="116">
        <f t="shared" si="1006"/>
        <v>991656.36836890981</v>
      </c>
      <c r="AK702" s="116">
        <f t="shared" si="1006"/>
        <v>587156.75161606981</v>
      </c>
      <c r="AL702" s="116">
        <f t="shared" si="1006"/>
        <v>473222.77326156996</v>
      </c>
      <c r="AM702" s="116">
        <f t="shared" si="1006"/>
        <v>455075.50983814988</v>
      </c>
      <c r="AN702" s="116">
        <f t="shared" si="1006"/>
        <v>661236.08535767999</v>
      </c>
      <c r="AO702" s="116">
        <f t="shared" si="1006"/>
        <v>1426440.0628753996</v>
      </c>
      <c r="AP702" s="116">
        <f t="shared" si="1006"/>
        <v>2756600.1489638793</v>
      </c>
      <c r="AQ702" s="116">
        <f t="shared" si="1006"/>
        <v>3930439.0056835995</v>
      </c>
      <c r="AR702" s="116">
        <f>SUM(G702:R702)</f>
        <v>21708857.060000002</v>
      </c>
      <c r="AS702" s="116">
        <f>SUM(T702:AE702)</f>
        <v>22031031.479569998</v>
      </c>
      <c r="AT702" s="116">
        <f>SUM(AF702:AQ702)</f>
        <v>22317867.614803445</v>
      </c>
      <c r="AU702" s="171"/>
      <c r="AV702" s="171"/>
      <c r="AW702" s="30"/>
    </row>
    <row r="703" spans="2:49">
      <c r="B703" s="250">
        <v>794</v>
      </c>
      <c r="C703" s="208"/>
      <c r="D703" s="208" t="s">
        <v>652</v>
      </c>
      <c r="E703" s="102"/>
      <c r="F703" s="102"/>
      <c r="G703" s="1215">
        <v>34976.54</v>
      </c>
      <c r="H703" s="1215">
        <v>34075.69</v>
      </c>
      <c r="I703" s="1215">
        <v>27119.71</v>
      </c>
      <c r="J703" s="1215">
        <v>26283.84</v>
      </c>
      <c r="K703" s="1215">
        <v>18499.480000000003</v>
      </c>
      <c r="L703" s="1215">
        <v>10991.920000000002</v>
      </c>
      <c r="M703" s="1215">
        <v>10632.430000000002</v>
      </c>
      <c r="N703" s="1215">
        <v>10650.970000000001</v>
      </c>
      <c r="O703" s="1215">
        <v>11674.61</v>
      </c>
      <c r="P703" s="1215">
        <v>19803.339999999997</v>
      </c>
      <c r="Q703" s="1215">
        <v>32504.840000000004</v>
      </c>
      <c r="R703" s="1215">
        <v>30188.670000000002</v>
      </c>
      <c r="S703" s="116"/>
      <c r="T703" s="116">
        <f t="shared" ref="T703:Y703" si="1007">T683+T688+T693+T698</f>
        <v>35506.132119999995</v>
      </c>
      <c r="U703" s="116">
        <f t="shared" si="1007"/>
        <v>34579.4133</v>
      </c>
      <c r="V703" s="116">
        <f t="shared" si="1007"/>
        <v>27523.761079999997</v>
      </c>
      <c r="W703" s="116">
        <f t="shared" si="1007"/>
        <v>26667.831399999995</v>
      </c>
      <c r="X703" s="116">
        <f t="shared" si="1007"/>
        <v>18773.757310000001</v>
      </c>
      <c r="Y703" s="116">
        <f t="shared" si="1007"/>
        <v>11154.271449999998</v>
      </c>
      <c r="Z703" s="116">
        <f t="shared" si="1005"/>
        <v>10791.833850000001</v>
      </c>
      <c r="AA703" s="116">
        <f t="shared" si="1005"/>
        <v>10808.503799999999</v>
      </c>
      <c r="AB703" s="116">
        <f t="shared" si="1005"/>
        <v>11844.93244</v>
      </c>
      <c r="AC703" s="116">
        <f t="shared" si="1005"/>
        <v>20082.104069999994</v>
      </c>
      <c r="AD703" s="116">
        <f t="shared" si="1005"/>
        <v>32968.95865</v>
      </c>
      <c r="AE703" s="116">
        <f t="shared" si="1005"/>
        <v>30656.211859999996</v>
      </c>
      <c r="AF703" s="116">
        <f t="shared" ref="AF703:AQ703" si="1008">AF683+AF688+AF693+AF698</f>
        <v>35975.638114249996</v>
      </c>
      <c r="AG703" s="116">
        <f t="shared" si="1008"/>
        <v>35032.23228751999</v>
      </c>
      <c r="AH703" s="116">
        <f t="shared" si="1008"/>
        <v>27885.413621199998</v>
      </c>
      <c r="AI703" s="116">
        <f t="shared" si="1008"/>
        <v>27021.078573369996</v>
      </c>
      <c r="AJ703" s="116">
        <f t="shared" si="1008"/>
        <v>19023.644805969998</v>
      </c>
      <c r="AK703" s="116">
        <f t="shared" si="1008"/>
        <v>11305.124247269998</v>
      </c>
      <c r="AL703" s="116">
        <f t="shared" si="1008"/>
        <v>10938.74127472</v>
      </c>
      <c r="AM703" s="116">
        <f t="shared" si="1008"/>
        <v>10952.670049689998</v>
      </c>
      <c r="AN703" s="116">
        <f t="shared" si="1008"/>
        <v>12003.648301769997</v>
      </c>
      <c r="AO703" s="116">
        <f t="shared" si="1008"/>
        <v>20342.224037519994</v>
      </c>
      <c r="AP703" s="116">
        <f t="shared" si="1008"/>
        <v>33400.520818019999</v>
      </c>
      <c r="AQ703" s="116">
        <f t="shared" si="1008"/>
        <v>31062.863378949995</v>
      </c>
      <c r="AR703" s="116">
        <f>SUM(G703:R703)</f>
        <v>267402.03999999998</v>
      </c>
      <c r="AS703" s="116">
        <f>SUM(T703:AE703)</f>
        <v>271357.71132999996</v>
      </c>
      <c r="AT703" s="116">
        <f>SUM(AF703:AQ703)</f>
        <v>274943.79951024998</v>
      </c>
      <c r="AU703" s="171"/>
      <c r="AV703" s="171"/>
      <c r="AW703" s="30"/>
    </row>
    <row r="704" spans="2:49" ht="13.5" thickBot="1">
      <c r="B704" s="250">
        <v>795</v>
      </c>
      <c r="C704" s="208"/>
      <c r="D704" s="102"/>
      <c r="E704" s="102"/>
      <c r="F704" s="102"/>
      <c r="G704" s="1218"/>
      <c r="H704" s="1218"/>
      <c r="I704" s="1218"/>
      <c r="J704" s="1218"/>
      <c r="K704" s="1218"/>
      <c r="L704" s="1218"/>
      <c r="M704" s="1218"/>
      <c r="N704" s="1218"/>
      <c r="O704" s="1218"/>
      <c r="P704" s="1218"/>
      <c r="Q704" s="1218"/>
      <c r="R704" s="1218"/>
      <c r="S704" s="623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409"/>
      <c r="AV704" s="409"/>
      <c r="AW704" s="30"/>
    </row>
    <row r="705" spans="2:49">
      <c r="B705" s="250">
        <v>796</v>
      </c>
      <c r="C705" s="208"/>
      <c r="D705" s="49" t="s">
        <v>650</v>
      </c>
      <c r="E705" s="102"/>
      <c r="F705" s="102"/>
      <c r="G705" s="1215">
        <v>3646789.25</v>
      </c>
      <c r="H705" s="1215">
        <v>3317051.18</v>
      </c>
      <c r="I705" s="1215">
        <v>2247221.66</v>
      </c>
      <c r="J705" s="1215">
        <v>1646001.3900000001</v>
      </c>
      <c r="K705" s="1215">
        <v>983244.62</v>
      </c>
      <c r="L705" s="1215">
        <v>582258.8899999999</v>
      </c>
      <c r="M705" s="1215">
        <v>471005.12</v>
      </c>
      <c r="N705" s="1215">
        <v>453347.77</v>
      </c>
      <c r="O705" s="1215">
        <v>655377.92000000004</v>
      </c>
      <c r="P705" s="1215">
        <v>1407593.61</v>
      </c>
      <c r="Q705" s="1215">
        <v>2714246.0900000003</v>
      </c>
      <c r="R705" s="1215">
        <v>3852121.6</v>
      </c>
      <c r="S705" s="116"/>
      <c r="T705" s="116">
        <f t="shared" ref="T705:Y705" si="1009">T684+T689+T694+T699</f>
        <v>3701491.0747099994</v>
      </c>
      <c r="U705" s="116">
        <f t="shared" si="1009"/>
        <v>3366458.0409200001</v>
      </c>
      <c r="V705" s="116">
        <f t="shared" si="1009"/>
        <v>2280526.66176</v>
      </c>
      <c r="W705" s="116">
        <f t="shared" si="1009"/>
        <v>1670151.7087899998</v>
      </c>
      <c r="X705" s="116">
        <f t="shared" si="1009"/>
        <v>997697.83193999995</v>
      </c>
      <c r="Y705" s="116">
        <f t="shared" si="1009"/>
        <v>590759.4204099999</v>
      </c>
      <c r="Z705" s="116">
        <f t="shared" ref="Z705:AE705" si="1010">Z684+Z689+Z694+Z699</f>
        <v>477916.00879999995</v>
      </c>
      <c r="AA705" s="116">
        <f t="shared" si="1010"/>
        <v>460010.78090000001</v>
      </c>
      <c r="AB705" s="116">
        <f t="shared" si="1010"/>
        <v>664576.87517000001</v>
      </c>
      <c r="AC705" s="116">
        <f t="shared" si="1010"/>
        <v>1428186.3495599998</v>
      </c>
      <c r="AD705" s="116">
        <f t="shared" si="1010"/>
        <v>2754168.7061299998</v>
      </c>
      <c r="AE705" s="116">
        <f t="shared" si="1010"/>
        <v>3910445.7318099998</v>
      </c>
      <c r="AF705" s="116">
        <f t="shared" ref="AF705:AQ705" si="1011">AF684+AF689+AF694+AF699</f>
        <v>3749679.6267698393</v>
      </c>
      <c r="AG705" s="116">
        <f t="shared" si="1011"/>
        <v>3410279.6839847197</v>
      </c>
      <c r="AH705" s="116">
        <f t="shared" si="1011"/>
        <v>2310150.9662863398</v>
      </c>
      <c r="AI705" s="116">
        <f t="shared" si="1011"/>
        <v>1691844.9943936295</v>
      </c>
      <c r="AJ705" s="116">
        <f t="shared" si="1011"/>
        <v>1010680.0131748799</v>
      </c>
      <c r="AK705" s="116">
        <f t="shared" si="1011"/>
        <v>598461.87586333987</v>
      </c>
      <c r="AL705" s="116">
        <f t="shared" si="1011"/>
        <v>484161.51453628996</v>
      </c>
      <c r="AM705" s="116">
        <f t="shared" si="1011"/>
        <v>466028.17988783988</v>
      </c>
      <c r="AN705" s="116">
        <f t="shared" si="1011"/>
        <v>673239.73365944996</v>
      </c>
      <c r="AO705" s="116">
        <f t="shared" si="1011"/>
        <v>1446782.2869129197</v>
      </c>
      <c r="AP705" s="116">
        <f t="shared" si="1011"/>
        <v>2790000.6697818995</v>
      </c>
      <c r="AQ705" s="116">
        <f t="shared" si="1011"/>
        <v>3961501.8690625494</v>
      </c>
      <c r="AR705" s="116">
        <f>SUM(G705:R705)</f>
        <v>21976259.100000001</v>
      </c>
      <c r="AS705" s="116">
        <f>SUM(T705:AE705)</f>
        <v>22302389.190899998</v>
      </c>
      <c r="AT705" s="116">
        <f>SUM(AF705:AQ705)</f>
        <v>22592811.4143137</v>
      </c>
      <c r="AU705" s="171"/>
      <c r="AV705" s="171"/>
      <c r="AW705" s="30"/>
    </row>
    <row r="706" spans="2:49">
      <c r="B706" s="250">
        <v>797</v>
      </c>
      <c r="C706" s="208"/>
      <c r="D706" s="102"/>
      <c r="E706" s="102"/>
      <c r="F706" s="102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71">
        <f>AS705/AR705</f>
        <v>1.0148401094752288</v>
      </c>
      <c r="AT706" s="186"/>
      <c r="AU706" s="171"/>
      <c r="AV706" s="171"/>
      <c r="AW706" s="30"/>
    </row>
    <row r="707" spans="2:49">
      <c r="B707" s="250">
        <v>798</v>
      </c>
      <c r="C707" s="49" t="s">
        <v>425</v>
      </c>
      <c r="D707" s="102"/>
      <c r="E707" s="102"/>
      <c r="F707" s="102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/>
      <c r="V707" s="186"/>
      <c r="W707" s="186"/>
      <c r="X707" s="186"/>
      <c r="Y707" s="186"/>
      <c r="Z707" s="186"/>
      <c r="AA707" s="186"/>
      <c r="AB707" s="186"/>
      <c r="AC707" s="186"/>
      <c r="AD707" s="186"/>
      <c r="AE707" s="186"/>
      <c r="AF707" s="186"/>
      <c r="AG707" s="186"/>
      <c r="AH707" s="186"/>
      <c r="AI707" s="186"/>
      <c r="AJ707" s="186"/>
      <c r="AK707" s="186"/>
      <c r="AL707" s="186"/>
      <c r="AM707" s="186"/>
      <c r="AN707" s="186"/>
      <c r="AO707" s="186"/>
      <c r="AP707" s="186"/>
      <c r="AQ707" s="186"/>
      <c r="AR707" s="186"/>
      <c r="AS707" s="186"/>
      <c r="AT707" s="186"/>
      <c r="AU707" s="171"/>
      <c r="AV707" s="171"/>
      <c r="AW707" s="30"/>
    </row>
    <row r="708" spans="2:49">
      <c r="B708" s="250">
        <v>799</v>
      </c>
      <c r="C708" s="208"/>
      <c r="D708" s="102"/>
      <c r="E708" s="102"/>
      <c r="F708" s="102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71"/>
      <c r="AV708" s="171"/>
      <c r="AW708" s="30"/>
    </row>
    <row r="709" spans="2:49">
      <c r="B709" s="250">
        <v>800</v>
      </c>
      <c r="C709" s="212">
        <v>920</v>
      </c>
      <c r="D709" s="102" t="s">
        <v>426</v>
      </c>
      <c r="E709" s="102"/>
      <c r="F709" s="10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AU709" s="199"/>
      <c r="AV709" s="199"/>
      <c r="AW709" s="30"/>
    </row>
    <row r="710" spans="2:49">
      <c r="B710" s="250">
        <f>+B709+1</f>
        <v>801</v>
      </c>
      <c r="C710" s="212"/>
      <c r="D710" s="102"/>
      <c r="E710" s="102" t="s">
        <v>14</v>
      </c>
      <c r="F710" s="102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>
        <f t="shared" ref="T710:W711" si="1012">G710*(1+$AU710)</f>
        <v>0</v>
      </c>
      <c r="U710" s="186">
        <f t="shared" si="1012"/>
        <v>0</v>
      </c>
      <c r="V710" s="186">
        <f t="shared" si="1012"/>
        <v>0</v>
      </c>
      <c r="W710" s="186">
        <f t="shared" si="1012"/>
        <v>0</v>
      </c>
      <c r="X710" s="186">
        <f t="shared" ref="X710:AE711" si="1013">K710*(1+$AU710)</f>
        <v>0</v>
      </c>
      <c r="Y710" s="186">
        <f t="shared" si="1013"/>
        <v>0</v>
      </c>
      <c r="Z710" s="186">
        <f t="shared" si="1013"/>
        <v>0</v>
      </c>
      <c r="AA710" s="186">
        <f t="shared" si="1013"/>
        <v>0</v>
      </c>
      <c r="AB710" s="186">
        <f t="shared" si="1013"/>
        <v>0</v>
      </c>
      <c r="AC710" s="186">
        <f t="shared" si="1013"/>
        <v>0</v>
      </c>
      <c r="AD710" s="186">
        <f t="shared" si="1013"/>
        <v>0</v>
      </c>
      <c r="AE710" s="186">
        <f t="shared" si="1013"/>
        <v>0</v>
      </c>
      <c r="AF710" s="186">
        <f t="shared" ref="AF710:AQ710" si="1014">T710*(1+$AV$710)</f>
        <v>0</v>
      </c>
      <c r="AG710" s="186">
        <f t="shared" si="1014"/>
        <v>0</v>
      </c>
      <c r="AH710" s="186">
        <f t="shared" si="1014"/>
        <v>0</v>
      </c>
      <c r="AI710" s="186">
        <f t="shared" si="1014"/>
        <v>0</v>
      </c>
      <c r="AJ710" s="186">
        <f t="shared" si="1014"/>
        <v>0</v>
      </c>
      <c r="AK710" s="186">
        <f t="shared" si="1014"/>
        <v>0</v>
      </c>
      <c r="AL710" s="186">
        <f t="shared" si="1014"/>
        <v>0</v>
      </c>
      <c r="AM710" s="186">
        <f t="shared" si="1014"/>
        <v>0</v>
      </c>
      <c r="AN710" s="186">
        <f t="shared" si="1014"/>
        <v>0</v>
      </c>
      <c r="AO710" s="186">
        <f t="shared" si="1014"/>
        <v>0</v>
      </c>
      <c r="AP710" s="186">
        <f t="shared" si="1014"/>
        <v>0</v>
      </c>
      <c r="AQ710" s="186">
        <f t="shared" si="1014"/>
        <v>0</v>
      </c>
      <c r="AR710" s="186">
        <f>SUM(G710:R710)</f>
        <v>0</v>
      </c>
      <c r="AS710" s="186">
        <f>SUM(T710:AE710)</f>
        <v>0</v>
      </c>
      <c r="AT710" s="186">
        <f>SUM(AF710:AQ710)</f>
        <v>0</v>
      </c>
      <c r="AU710" s="171">
        <v>0</v>
      </c>
      <c r="AV710" s="171">
        <v>0</v>
      </c>
      <c r="AW710" s="30"/>
    </row>
    <row r="711" spans="2:49">
      <c r="B711" s="250">
        <f t="shared" ref="B711:B762" si="1015">+B710+1</f>
        <v>802</v>
      </c>
      <c r="C711" s="212"/>
      <c r="D711" s="102"/>
      <c r="E711" s="102" t="s">
        <v>24</v>
      </c>
      <c r="F711" s="102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617"/>
      <c r="T711" s="204">
        <f t="shared" si="1012"/>
        <v>0</v>
      </c>
      <c r="U711" s="204">
        <f t="shared" si="1012"/>
        <v>0</v>
      </c>
      <c r="V711" s="204">
        <f t="shared" si="1012"/>
        <v>0</v>
      </c>
      <c r="W711" s="204">
        <f t="shared" si="1012"/>
        <v>0</v>
      </c>
      <c r="X711" s="204">
        <f t="shared" si="1013"/>
        <v>0</v>
      </c>
      <c r="Y711" s="204">
        <f t="shared" si="1013"/>
        <v>0</v>
      </c>
      <c r="Z711" s="204">
        <f t="shared" si="1013"/>
        <v>0</v>
      </c>
      <c r="AA711" s="204">
        <f t="shared" si="1013"/>
        <v>0</v>
      </c>
      <c r="AB711" s="204">
        <f t="shared" si="1013"/>
        <v>0</v>
      </c>
      <c r="AC711" s="204">
        <f t="shared" si="1013"/>
        <v>0</v>
      </c>
      <c r="AD711" s="204">
        <f t="shared" si="1013"/>
        <v>0</v>
      </c>
      <c r="AE711" s="204">
        <f t="shared" si="1013"/>
        <v>0</v>
      </c>
      <c r="AF711" s="204">
        <f t="shared" ref="AF711:AQ711" si="1016">T711*(1+$AV$711)</f>
        <v>0</v>
      </c>
      <c r="AG711" s="204">
        <f t="shared" si="1016"/>
        <v>0</v>
      </c>
      <c r="AH711" s="204">
        <f t="shared" si="1016"/>
        <v>0</v>
      </c>
      <c r="AI711" s="204">
        <f t="shared" si="1016"/>
        <v>0</v>
      </c>
      <c r="AJ711" s="204">
        <f t="shared" si="1016"/>
        <v>0</v>
      </c>
      <c r="AK711" s="204">
        <f t="shared" si="1016"/>
        <v>0</v>
      </c>
      <c r="AL711" s="204">
        <f t="shared" si="1016"/>
        <v>0</v>
      </c>
      <c r="AM711" s="204">
        <f t="shared" si="1016"/>
        <v>0</v>
      </c>
      <c r="AN711" s="204">
        <f t="shared" si="1016"/>
        <v>0</v>
      </c>
      <c r="AO711" s="204">
        <f t="shared" si="1016"/>
        <v>0</v>
      </c>
      <c r="AP711" s="204">
        <f t="shared" si="1016"/>
        <v>0</v>
      </c>
      <c r="AQ711" s="204">
        <f t="shared" si="1016"/>
        <v>0</v>
      </c>
      <c r="AR711" s="204">
        <f>SUM(G711:R711)</f>
        <v>0</v>
      </c>
      <c r="AS711" s="204">
        <f>SUM(T711:AE711)</f>
        <v>0</v>
      </c>
      <c r="AT711" s="204">
        <f>SUM(AF711:AQ711)</f>
        <v>0</v>
      </c>
      <c r="AU711" s="618">
        <v>0</v>
      </c>
      <c r="AV711" s="618">
        <v>0</v>
      </c>
      <c r="AW711" s="30"/>
    </row>
    <row r="712" spans="2:49">
      <c r="B712" s="250">
        <f t="shared" si="1015"/>
        <v>803</v>
      </c>
      <c r="C712" s="212"/>
      <c r="D712" s="102"/>
      <c r="E712" s="102" t="s">
        <v>170</v>
      </c>
      <c r="F712" s="102"/>
      <c r="G712" s="1216">
        <v>0</v>
      </c>
      <c r="H712" s="1216">
        <v>0</v>
      </c>
      <c r="I712" s="1216">
        <v>0</v>
      </c>
      <c r="J712" s="1216">
        <v>0</v>
      </c>
      <c r="K712" s="1216">
        <v>0</v>
      </c>
      <c r="L712" s="1216">
        <v>0</v>
      </c>
      <c r="M712" s="1216">
        <v>0</v>
      </c>
      <c r="N712" s="1216">
        <v>0</v>
      </c>
      <c r="O712" s="1216">
        <v>0</v>
      </c>
      <c r="P712" s="1216">
        <v>0</v>
      </c>
      <c r="Q712" s="1216">
        <v>0</v>
      </c>
      <c r="R712" s="1216">
        <v>0</v>
      </c>
      <c r="S712" s="620"/>
      <c r="T712" s="131">
        <f t="shared" ref="T712:Y712" si="1017">SUM(T710:T711)</f>
        <v>0</v>
      </c>
      <c r="U712" s="131">
        <f t="shared" si="1017"/>
        <v>0</v>
      </c>
      <c r="V712" s="131">
        <f t="shared" si="1017"/>
        <v>0</v>
      </c>
      <c r="W712" s="131">
        <f t="shared" si="1017"/>
        <v>0</v>
      </c>
      <c r="X712" s="131">
        <f t="shared" si="1017"/>
        <v>0</v>
      </c>
      <c r="Y712" s="131">
        <f t="shared" si="1017"/>
        <v>0</v>
      </c>
      <c r="Z712" s="131">
        <f t="shared" ref="Z712:AE712" si="1018">SUM(Z710:Z711)</f>
        <v>0</v>
      </c>
      <c r="AA712" s="131">
        <f t="shared" si="1018"/>
        <v>0</v>
      </c>
      <c r="AB712" s="131">
        <f t="shared" si="1018"/>
        <v>0</v>
      </c>
      <c r="AC712" s="131">
        <f t="shared" si="1018"/>
        <v>0</v>
      </c>
      <c r="AD712" s="131">
        <f t="shared" si="1018"/>
        <v>0</v>
      </c>
      <c r="AE712" s="131">
        <f t="shared" si="1018"/>
        <v>0</v>
      </c>
      <c r="AF712" s="131">
        <f t="shared" ref="AF712:AQ712" si="1019">SUM(AF710:AF711)</f>
        <v>0</v>
      </c>
      <c r="AG712" s="131">
        <f t="shared" si="1019"/>
        <v>0</v>
      </c>
      <c r="AH712" s="131">
        <f t="shared" si="1019"/>
        <v>0</v>
      </c>
      <c r="AI712" s="131">
        <f t="shared" si="1019"/>
        <v>0</v>
      </c>
      <c r="AJ712" s="131">
        <f t="shared" si="1019"/>
        <v>0</v>
      </c>
      <c r="AK712" s="131">
        <f t="shared" si="1019"/>
        <v>0</v>
      </c>
      <c r="AL712" s="131">
        <f t="shared" si="1019"/>
        <v>0</v>
      </c>
      <c r="AM712" s="131">
        <f t="shared" si="1019"/>
        <v>0</v>
      </c>
      <c r="AN712" s="131">
        <f t="shared" si="1019"/>
        <v>0</v>
      </c>
      <c r="AO712" s="131">
        <f t="shared" si="1019"/>
        <v>0</v>
      </c>
      <c r="AP712" s="131">
        <f t="shared" si="1019"/>
        <v>0</v>
      </c>
      <c r="AQ712" s="131">
        <f t="shared" si="1019"/>
        <v>0</v>
      </c>
      <c r="AR712" s="131">
        <f>SUM(G712:R712)</f>
        <v>0</v>
      </c>
      <c r="AS712" s="131">
        <f>SUM(T712:AE712)</f>
        <v>0</v>
      </c>
      <c r="AT712" s="131">
        <f>SUM(AF712:AQ712)</f>
        <v>0</v>
      </c>
      <c r="AU712" s="621"/>
      <c r="AV712" s="621"/>
      <c r="AW712" s="30"/>
    </row>
    <row r="713" spans="2:49">
      <c r="B713" s="250">
        <f t="shared" si="1015"/>
        <v>804</v>
      </c>
      <c r="C713" s="212">
        <v>921</v>
      </c>
      <c r="D713" s="102" t="s">
        <v>427</v>
      </c>
      <c r="E713" s="102"/>
      <c r="F713" s="102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AU713" s="199"/>
      <c r="AV713" s="199"/>
      <c r="AW713" s="30"/>
    </row>
    <row r="714" spans="2:49">
      <c r="B714" s="250">
        <f t="shared" si="1015"/>
        <v>805</v>
      </c>
      <c r="C714" s="212"/>
      <c r="D714" s="102"/>
      <c r="E714" s="102" t="s">
        <v>14</v>
      </c>
      <c r="F714" s="102"/>
      <c r="G714" s="186">
        <v>958087.95</v>
      </c>
      <c r="H714" s="186">
        <v>707300.86</v>
      </c>
      <c r="I714" s="186">
        <v>1768171.0999999999</v>
      </c>
      <c r="J714" s="186">
        <v>368051.42</v>
      </c>
      <c r="K714" s="186">
        <v>1380027.2699999998</v>
      </c>
      <c r="L714" s="186">
        <v>1022876.84</v>
      </c>
      <c r="M714" s="186">
        <v>897894.89</v>
      </c>
      <c r="N714" s="186">
        <v>1078589.04</v>
      </c>
      <c r="O714" s="186">
        <v>933393.49</v>
      </c>
      <c r="P714" s="186">
        <v>1033877.14</v>
      </c>
      <c r="Q714" s="186">
        <v>1198550.6599999999</v>
      </c>
      <c r="R714" s="186">
        <v>871629.76</v>
      </c>
      <c r="S714" s="186"/>
      <c r="T714" s="186">
        <f t="shared" ref="T714:W715" si="1020">G714*(1+$AU714)</f>
        <v>972459.2692499999</v>
      </c>
      <c r="U714" s="186">
        <f t="shared" si="1020"/>
        <v>717910.37289999996</v>
      </c>
      <c r="V714" s="186">
        <f t="shared" si="1020"/>
        <v>1794693.6664999996</v>
      </c>
      <c r="W714" s="186">
        <f t="shared" si="1020"/>
        <v>373572.19129999995</v>
      </c>
      <c r="X714" s="186">
        <f t="shared" ref="X714:AE715" si="1021">K714*(1+$AU714)</f>
        <v>1400727.6790499997</v>
      </c>
      <c r="Y714" s="186">
        <f t="shared" si="1021"/>
        <v>1038219.9925999999</v>
      </c>
      <c r="Z714" s="186">
        <f t="shared" si="1021"/>
        <v>911363.31334999995</v>
      </c>
      <c r="AA714" s="186">
        <f t="shared" si="1021"/>
        <v>1094767.8755999999</v>
      </c>
      <c r="AB714" s="186">
        <f t="shared" si="1021"/>
        <v>947394.39234999986</v>
      </c>
      <c r="AC714" s="186">
        <f t="shared" si="1021"/>
        <v>1049385.2970999999</v>
      </c>
      <c r="AD714" s="186">
        <f t="shared" si="1021"/>
        <v>1216528.9198999999</v>
      </c>
      <c r="AE714" s="186">
        <f t="shared" si="1021"/>
        <v>884704.20639999991</v>
      </c>
      <c r="AF714" s="186">
        <f t="shared" ref="AF714:AQ714" si="1022">T714*(1+$AV$714)</f>
        <v>986073.69901949994</v>
      </c>
      <c r="AG714" s="186">
        <f t="shared" si="1022"/>
        <v>727961.1181206</v>
      </c>
      <c r="AH714" s="186">
        <f t="shared" si="1022"/>
        <v>1819819.3778309997</v>
      </c>
      <c r="AI714" s="186">
        <f t="shared" si="1022"/>
        <v>378802.20197819994</v>
      </c>
      <c r="AJ714" s="186">
        <f t="shared" si="1022"/>
        <v>1420337.8665566996</v>
      </c>
      <c r="AK714" s="186">
        <f t="shared" si="1022"/>
        <v>1052755.0724964</v>
      </c>
      <c r="AL714" s="186">
        <f t="shared" si="1022"/>
        <v>924122.3997369</v>
      </c>
      <c r="AM714" s="186">
        <f t="shared" si="1022"/>
        <v>1110094.6258584</v>
      </c>
      <c r="AN714" s="186">
        <f t="shared" si="1022"/>
        <v>960657.91384289984</v>
      </c>
      <c r="AO714" s="186">
        <f t="shared" si="1022"/>
        <v>1064076.6912593998</v>
      </c>
      <c r="AP714" s="186">
        <f t="shared" si="1022"/>
        <v>1233560.3247785999</v>
      </c>
      <c r="AQ714" s="186">
        <f t="shared" si="1022"/>
        <v>897090.06528959994</v>
      </c>
      <c r="AR714" s="186">
        <f>SUM(G714:R714)</f>
        <v>12218450.42</v>
      </c>
      <c r="AS714" s="186">
        <f>SUM(T714:AE714)</f>
        <v>12401727.176299999</v>
      </c>
      <c r="AT714" s="186">
        <f>SUM(AF714:AQ714)</f>
        <v>12575351.356768196</v>
      </c>
      <c r="AU714" s="171">
        <v>1.4999999999999999E-2</v>
      </c>
      <c r="AV714" s="171">
        <v>1.3999999999999999E-2</v>
      </c>
      <c r="AW714" s="30"/>
    </row>
    <row r="715" spans="2:49">
      <c r="B715" s="250">
        <f t="shared" si="1015"/>
        <v>806</v>
      </c>
      <c r="C715" s="212"/>
      <c r="D715" s="102"/>
      <c r="E715" s="102" t="s">
        <v>24</v>
      </c>
      <c r="F715" s="102"/>
      <c r="G715" s="186">
        <v>121974.73</v>
      </c>
      <c r="H715" s="186">
        <v>152798.78</v>
      </c>
      <c r="I715" s="186">
        <v>148815.05000000002</v>
      </c>
      <c r="J715" s="186">
        <v>102002.58</v>
      </c>
      <c r="K715" s="186">
        <v>153375.59</v>
      </c>
      <c r="L715" s="186">
        <v>98017.13</v>
      </c>
      <c r="M715" s="186">
        <v>115758.22</v>
      </c>
      <c r="N715" s="186">
        <v>113071.1</v>
      </c>
      <c r="O715" s="186">
        <v>140078.28</v>
      </c>
      <c r="P715" s="186">
        <v>115762.81999999999</v>
      </c>
      <c r="Q715" s="186">
        <v>126461.29</v>
      </c>
      <c r="R715" s="186">
        <v>100784.8</v>
      </c>
      <c r="S715" s="617"/>
      <c r="T715" s="204">
        <f t="shared" si="1020"/>
        <v>123804.35094999998</v>
      </c>
      <c r="U715" s="204">
        <f t="shared" si="1020"/>
        <v>155090.76169999997</v>
      </c>
      <c r="V715" s="204">
        <f t="shared" si="1020"/>
        <v>151047.27575</v>
      </c>
      <c r="W715" s="204">
        <f t="shared" si="1020"/>
        <v>103532.61869999999</v>
      </c>
      <c r="X715" s="204">
        <f t="shared" si="1021"/>
        <v>155676.22384999998</v>
      </c>
      <c r="Y715" s="204">
        <f t="shared" si="1021"/>
        <v>99487.38695</v>
      </c>
      <c r="Z715" s="204">
        <f t="shared" si="1021"/>
        <v>117494.59329999999</v>
      </c>
      <c r="AA715" s="204">
        <f t="shared" si="1021"/>
        <v>114767.16649999999</v>
      </c>
      <c r="AB715" s="204">
        <f t="shared" si="1021"/>
        <v>142179.45419999998</v>
      </c>
      <c r="AC715" s="204">
        <f t="shared" si="1021"/>
        <v>117499.26229999999</v>
      </c>
      <c r="AD715" s="204">
        <f t="shared" si="1021"/>
        <v>128358.20934999998</v>
      </c>
      <c r="AE715" s="204">
        <f t="shared" si="1021"/>
        <v>102296.572</v>
      </c>
      <c r="AF715" s="204">
        <f t="shared" ref="AF715:AQ715" si="1023">T715*(1+$AV$715)</f>
        <v>125537.61186329999</v>
      </c>
      <c r="AG715" s="204">
        <f t="shared" si="1023"/>
        <v>157262.03236379998</v>
      </c>
      <c r="AH715" s="204">
        <f t="shared" si="1023"/>
        <v>153161.9376105</v>
      </c>
      <c r="AI715" s="204">
        <f t="shared" si="1023"/>
        <v>104982.07536179999</v>
      </c>
      <c r="AJ715" s="204">
        <f t="shared" si="1023"/>
        <v>157855.69098389999</v>
      </c>
      <c r="AK715" s="204">
        <f t="shared" si="1023"/>
        <v>100880.21036729999</v>
      </c>
      <c r="AL715" s="204">
        <f t="shared" si="1023"/>
        <v>119139.5176062</v>
      </c>
      <c r="AM715" s="204">
        <f t="shared" si="1023"/>
        <v>116373.906831</v>
      </c>
      <c r="AN715" s="204">
        <f t="shared" si="1023"/>
        <v>144169.96655879999</v>
      </c>
      <c r="AO715" s="204">
        <f t="shared" si="1023"/>
        <v>119144.25197219999</v>
      </c>
      <c r="AP715" s="204">
        <f t="shared" si="1023"/>
        <v>130155.22428089997</v>
      </c>
      <c r="AQ715" s="204">
        <f t="shared" si="1023"/>
        <v>103728.724008</v>
      </c>
      <c r="AR715" s="204">
        <f>SUM(G715:R715)</f>
        <v>1488900.37</v>
      </c>
      <c r="AS715" s="204">
        <f>SUM(T715:AE715)</f>
        <v>1511233.8755499998</v>
      </c>
      <c r="AT715" s="204">
        <f>SUM(AF715:AQ715)</f>
        <v>1532391.1498077</v>
      </c>
      <c r="AU715" s="618">
        <f>AU714</f>
        <v>1.4999999999999999E-2</v>
      </c>
      <c r="AV715" s="618">
        <f>AV714</f>
        <v>1.3999999999999999E-2</v>
      </c>
      <c r="AW715" s="30"/>
    </row>
    <row r="716" spans="2:49">
      <c r="B716" s="250">
        <f t="shared" si="1015"/>
        <v>807</v>
      </c>
      <c r="C716" s="212"/>
      <c r="D716" s="102"/>
      <c r="E716" s="102" t="s">
        <v>170</v>
      </c>
      <c r="F716" s="102"/>
      <c r="G716" s="1216">
        <v>1080062.68</v>
      </c>
      <c r="H716" s="1216">
        <v>860099.64</v>
      </c>
      <c r="I716" s="1216">
        <v>1916986.15</v>
      </c>
      <c r="J716" s="1216">
        <v>470054</v>
      </c>
      <c r="K716" s="1216">
        <v>1533402.8599999999</v>
      </c>
      <c r="L716" s="1216">
        <v>1120893.97</v>
      </c>
      <c r="M716" s="1216">
        <v>1013653.11</v>
      </c>
      <c r="N716" s="1216">
        <v>1191660.1400000001</v>
      </c>
      <c r="O716" s="1216">
        <v>1073471.77</v>
      </c>
      <c r="P716" s="1216">
        <v>1149639.96</v>
      </c>
      <c r="Q716" s="1216">
        <v>1325011.95</v>
      </c>
      <c r="R716" s="1216">
        <v>972414.56</v>
      </c>
      <c r="S716" s="620"/>
      <c r="T716" s="131">
        <f t="shared" ref="T716:Y716" si="1024">SUM(T714:T715)</f>
        <v>1096263.6201999998</v>
      </c>
      <c r="U716" s="131">
        <f t="shared" si="1024"/>
        <v>873001.13459999999</v>
      </c>
      <c r="V716" s="131">
        <f t="shared" si="1024"/>
        <v>1945740.9422499996</v>
      </c>
      <c r="W716" s="131">
        <f t="shared" si="1024"/>
        <v>477104.80999999994</v>
      </c>
      <c r="X716" s="131">
        <f t="shared" si="1024"/>
        <v>1556403.9028999996</v>
      </c>
      <c r="Y716" s="131">
        <f t="shared" si="1024"/>
        <v>1137707.37955</v>
      </c>
      <c r="Z716" s="131">
        <f t="shared" ref="Z716:AE716" si="1025">SUM(Z714:Z715)</f>
        <v>1028857.9066499999</v>
      </c>
      <c r="AA716" s="131">
        <f t="shared" si="1025"/>
        <v>1209535.0421</v>
      </c>
      <c r="AB716" s="131">
        <f t="shared" si="1025"/>
        <v>1089573.8465499999</v>
      </c>
      <c r="AC716" s="131">
        <f t="shared" si="1025"/>
        <v>1166884.5593999999</v>
      </c>
      <c r="AD716" s="131">
        <f t="shared" si="1025"/>
        <v>1344887.1292499998</v>
      </c>
      <c r="AE716" s="131">
        <f t="shared" si="1025"/>
        <v>987000.77839999995</v>
      </c>
      <c r="AF716" s="131">
        <f t="shared" ref="AF716:AQ716" si="1026">SUM(AF714:AF715)</f>
        <v>1111611.3108828</v>
      </c>
      <c r="AG716" s="131">
        <f t="shared" si="1026"/>
        <v>885223.15048439999</v>
      </c>
      <c r="AH716" s="131">
        <f t="shared" si="1026"/>
        <v>1972981.3154414997</v>
      </c>
      <c r="AI716" s="131">
        <f t="shared" si="1026"/>
        <v>483784.27733999991</v>
      </c>
      <c r="AJ716" s="131">
        <f t="shared" si="1026"/>
        <v>1578193.5575405997</v>
      </c>
      <c r="AK716" s="131">
        <f t="shared" si="1026"/>
        <v>1153635.2828637001</v>
      </c>
      <c r="AL716" s="131">
        <f t="shared" si="1026"/>
        <v>1043261.9173431</v>
      </c>
      <c r="AM716" s="131">
        <f t="shared" si="1026"/>
        <v>1226468.5326894</v>
      </c>
      <c r="AN716" s="131">
        <f t="shared" si="1026"/>
        <v>1104827.8804016998</v>
      </c>
      <c r="AO716" s="131">
        <f t="shared" si="1026"/>
        <v>1183220.9432315996</v>
      </c>
      <c r="AP716" s="131">
        <f t="shared" si="1026"/>
        <v>1363715.5490595</v>
      </c>
      <c r="AQ716" s="131">
        <f t="shared" si="1026"/>
        <v>1000818.7892975999</v>
      </c>
      <c r="AR716" s="131">
        <f>SUM(G716:R716)</f>
        <v>13707350.790000001</v>
      </c>
      <c r="AS716" s="131">
        <f>SUM(T716:AE716)</f>
        <v>13912961.051849997</v>
      </c>
      <c r="AT716" s="131">
        <f>SUM(AF716:AQ716)</f>
        <v>14107742.506575897</v>
      </c>
      <c r="AU716" s="621"/>
      <c r="AV716" s="621"/>
      <c r="AW716" s="30"/>
    </row>
    <row r="717" spans="2:49">
      <c r="B717" s="250">
        <f t="shared" si="1015"/>
        <v>808</v>
      </c>
      <c r="C717" s="212">
        <v>922</v>
      </c>
      <c r="D717" s="102" t="s">
        <v>428</v>
      </c>
      <c r="E717" s="102"/>
      <c r="F717" s="10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AU717" s="199"/>
      <c r="AV717" s="199"/>
      <c r="AW717" s="30"/>
    </row>
    <row r="718" spans="2:49">
      <c r="B718" s="250">
        <f t="shared" si="1015"/>
        <v>809</v>
      </c>
      <c r="C718" s="212"/>
      <c r="D718" s="102"/>
      <c r="E718" s="102" t="s">
        <v>14</v>
      </c>
      <c r="F718" s="102"/>
      <c r="G718" s="186">
        <v>-280696.39</v>
      </c>
      <c r="H718" s="186">
        <v>-280528.98</v>
      </c>
      <c r="I718" s="186">
        <v>-280092.39</v>
      </c>
      <c r="J718" s="186">
        <v>-318719.01</v>
      </c>
      <c r="K718" s="186">
        <v>-318674.53999999998</v>
      </c>
      <c r="L718" s="186">
        <v>-318566.14</v>
      </c>
      <c r="M718" s="186">
        <v>-255408.15000000002</v>
      </c>
      <c r="N718" s="186">
        <v>-255377.88</v>
      </c>
      <c r="O718" s="186">
        <v>-496322.93</v>
      </c>
      <c r="P718" s="186">
        <v>-317097.49</v>
      </c>
      <c r="Q718" s="186">
        <v>-316173</v>
      </c>
      <c r="R718" s="186">
        <v>-365249.99</v>
      </c>
      <c r="S718" s="186"/>
      <c r="T718" s="186">
        <f t="shared" ref="T718:W719" si="1027">G718*(1+$AU718)</f>
        <v>-280696.39</v>
      </c>
      <c r="U718" s="186">
        <f t="shared" si="1027"/>
        <v>-280528.98</v>
      </c>
      <c r="V718" s="186">
        <f t="shared" si="1027"/>
        <v>-280092.39</v>
      </c>
      <c r="W718" s="186">
        <f t="shared" si="1027"/>
        <v>-318719.01</v>
      </c>
      <c r="X718" s="186">
        <f t="shared" ref="X718:AE719" si="1028">K718*(1+$AU718)</f>
        <v>-318674.53999999998</v>
      </c>
      <c r="Y718" s="186">
        <f t="shared" si="1028"/>
        <v>-318566.14</v>
      </c>
      <c r="Z718" s="186">
        <f t="shared" si="1028"/>
        <v>-255408.15000000002</v>
      </c>
      <c r="AA718" s="186">
        <f t="shared" si="1028"/>
        <v>-255377.88</v>
      </c>
      <c r="AB718" s="186">
        <f t="shared" si="1028"/>
        <v>-496322.93</v>
      </c>
      <c r="AC718" s="186">
        <f t="shared" si="1028"/>
        <v>-317097.49</v>
      </c>
      <c r="AD718" s="186">
        <f t="shared" si="1028"/>
        <v>-316173</v>
      </c>
      <c r="AE718" s="186">
        <f t="shared" si="1028"/>
        <v>-365249.99</v>
      </c>
      <c r="AF718" s="186">
        <f t="shared" ref="AF718:AQ718" si="1029">T718*(1+$AV$718)</f>
        <v>-280696.39</v>
      </c>
      <c r="AG718" s="186">
        <f t="shared" si="1029"/>
        <v>-280528.98</v>
      </c>
      <c r="AH718" s="186">
        <f t="shared" si="1029"/>
        <v>-280092.39</v>
      </c>
      <c r="AI718" s="186">
        <f t="shared" si="1029"/>
        <v>-318719.01</v>
      </c>
      <c r="AJ718" s="186">
        <f t="shared" si="1029"/>
        <v>-318674.53999999998</v>
      </c>
      <c r="AK718" s="186">
        <f t="shared" si="1029"/>
        <v>-318566.14</v>
      </c>
      <c r="AL718" s="186">
        <f t="shared" si="1029"/>
        <v>-255408.15000000002</v>
      </c>
      <c r="AM718" s="186">
        <f t="shared" si="1029"/>
        <v>-255377.88</v>
      </c>
      <c r="AN718" s="186">
        <f t="shared" si="1029"/>
        <v>-496322.93</v>
      </c>
      <c r="AO718" s="186">
        <f t="shared" si="1029"/>
        <v>-317097.49</v>
      </c>
      <c r="AP718" s="186">
        <f t="shared" si="1029"/>
        <v>-316173</v>
      </c>
      <c r="AQ718" s="186">
        <f t="shared" si="1029"/>
        <v>-365249.99</v>
      </c>
      <c r="AR718" s="186">
        <f>SUM(G718:R718)</f>
        <v>-3802906.8900000006</v>
      </c>
      <c r="AS718" s="186">
        <f>SUM(T718:AE718)</f>
        <v>-3802906.8900000006</v>
      </c>
      <c r="AT718" s="186">
        <f>SUM(AF718:AQ718)</f>
        <v>-3802906.8900000006</v>
      </c>
      <c r="AU718" s="171">
        <v>0</v>
      </c>
      <c r="AV718" s="171">
        <v>0</v>
      </c>
      <c r="AW718" s="30"/>
    </row>
    <row r="719" spans="2:49">
      <c r="B719" s="250">
        <f t="shared" si="1015"/>
        <v>810</v>
      </c>
      <c r="C719" s="212"/>
      <c r="D719" s="102"/>
      <c r="E719" s="102" t="s">
        <v>24</v>
      </c>
      <c r="F719" s="102"/>
      <c r="G719" s="186">
        <v>-9009.86</v>
      </c>
      <c r="H719" s="186">
        <v>-9064.27</v>
      </c>
      <c r="I719" s="186">
        <v>-9378.86</v>
      </c>
      <c r="J719" s="186">
        <v>-10638.24</v>
      </c>
      <c r="K719" s="186">
        <v>-10568.710000000001</v>
      </c>
      <c r="L719" s="186">
        <v>-10565.11</v>
      </c>
      <c r="M719" s="186">
        <v>-8443.24</v>
      </c>
      <c r="N719" s="186">
        <v>-8360.51</v>
      </c>
      <c r="O719" s="186">
        <v>-16301.460000000001</v>
      </c>
      <c r="P719" s="186">
        <v>-10414.9</v>
      </c>
      <c r="Q719" s="186">
        <v>-10452</v>
      </c>
      <c r="R719" s="186">
        <v>-12035.4</v>
      </c>
      <c r="S719" s="617"/>
      <c r="T719" s="204">
        <f t="shared" si="1027"/>
        <v>-9009.86</v>
      </c>
      <c r="U719" s="204">
        <f t="shared" si="1027"/>
        <v>-9064.27</v>
      </c>
      <c r="V719" s="204">
        <f t="shared" si="1027"/>
        <v>-9378.86</v>
      </c>
      <c r="W719" s="204">
        <f t="shared" si="1027"/>
        <v>-10638.24</v>
      </c>
      <c r="X719" s="204">
        <f t="shared" si="1028"/>
        <v>-10568.710000000001</v>
      </c>
      <c r="Y719" s="204">
        <f t="shared" si="1028"/>
        <v>-10565.11</v>
      </c>
      <c r="Z719" s="204">
        <f t="shared" si="1028"/>
        <v>-8443.24</v>
      </c>
      <c r="AA719" s="204">
        <f t="shared" si="1028"/>
        <v>-8360.51</v>
      </c>
      <c r="AB719" s="204">
        <f t="shared" si="1028"/>
        <v>-16301.460000000001</v>
      </c>
      <c r="AC719" s="204">
        <f t="shared" si="1028"/>
        <v>-10414.9</v>
      </c>
      <c r="AD719" s="204">
        <f t="shared" si="1028"/>
        <v>-10452</v>
      </c>
      <c r="AE719" s="204">
        <f t="shared" si="1028"/>
        <v>-12035.4</v>
      </c>
      <c r="AF719" s="204">
        <f t="shared" ref="AF719:AQ719" si="1030">T719*(1+$AV$719)</f>
        <v>-9009.86</v>
      </c>
      <c r="AG719" s="204">
        <f t="shared" si="1030"/>
        <v>-9064.27</v>
      </c>
      <c r="AH719" s="204">
        <f t="shared" si="1030"/>
        <v>-9378.86</v>
      </c>
      <c r="AI719" s="204">
        <f t="shared" si="1030"/>
        <v>-10638.24</v>
      </c>
      <c r="AJ719" s="204">
        <f t="shared" si="1030"/>
        <v>-10568.710000000001</v>
      </c>
      <c r="AK719" s="204">
        <f t="shared" si="1030"/>
        <v>-10565.11</v>
      </c>
      <c r="AL719" s="204">
        <f t="shared" si="1030"/>
        <v>-8443.24</v>
      </c>
      <c r="AM719" s="204">
        <f t="shared" si="1030"/>
        <v>-8360.51</v>
      </c>
      <c r="AN719" s="204">
        <f t="shared" si="1030"/>
        <v>-16301.460000000001</v>
      </c>
      <c r="AO719" s="204">
        <f t="shared" si="1030"/>
        <v>-10414.9</v>
      </c>
      <c r="AP719" s="204">
        <f t="shared" si="1030"/>
        <v>-10452</v>
      </c>
      <c r="AQ719" s="204">
        <f t="shared" si="1030"/>
        <v>-12035.4</v>
      </c>
      <c r="AR719" s="204">
        <f>SUM(G719:R719)</f>
        <v>-125232.56</v>
      </c>
      <c r="AS719" s="204">
        <f>SUM(T719:AE719)</f>
        <v>-125232.56</v>
      </c>
      <c r="AT719" s="204">
        <f>SUM(AF719:AQ719)</f>
        <v>-125232.56</v>
      </c>
      <c r="AU719" s="618">
        <v>0</v>
      </c>
      <c r="AV719" s="618">
        <v>0</v>
      </c>
      <c r="AW719" s="30"/>
    </row>
    <row r="720" spans="2:49">
      <c r="B720" s="250">
        <f t="shared" si="1015"/>
        <v>811</v>
      </c>
      <c r="C720" s="212"/>
      <c r="D720" s="102"/>
      <c r="E720" s="102" t="s">
        <v>170</v>
      </c>
      <c r="F720" s="102"/>
      <c r="G720" s="1216">
        <v>-289706.25</v>
      </c>
      <c r="H720" s="1216">
        <v>-289593.25</v>
      </c>
      <c r="I720" s="1216">
        <v>-289471.25</v>
      </c>
      <c r="J720" s="1216">
        <v>-329357.25</v>
      </c>
      <c r="K720" s="1216">
        <v>-329243.25</v>
      </c>
      <c r="L720" s="1216">
        <v>-329131.25</v>
      </c>
      <c r="M720" s="1216">
        <v>-263851.39</v>
      </c>
      <c r="N720" s="1216">
        <v>-263738.39</v>
      </c>
      <c r="O720" s="1216">
        <v>-512624.39</v>
      </c>
      <c r="P720" s="1216">
        <v>-327512.39</v>
      </c>
      <c r="Q720" s="1216">
        <v>-326625</v>
      </c>
      <c r="R720" s="1216">
        <v>-377285.39</v>
      </c>
      <c r="S720" s="620"/>
      <c r="T720" s="131">
        <f t="shared" ref="T720:Y720" si="1031">SUM(T718:T719)</f>
        <v>-289706.25</v>
      </c>
      <c r="U720" s="131">
        <f t="shared" si="1031"/>
        <v>-289593.25</v>
      </c>
      <c r="V720" s="131">
        <f t="shared" si="1031"/>
        <v>-289471.25</v>
      </c>
      <c r="W720" s="131">
        <f t="shared" si="1031"/>
        <v>-329357.25</v>
      </c>
      <c r="X720" s="131">
        <f t="shared" si="1031"/>
        <v>-329243.25</v>
      </c>
      <c r="Y720" s="131">
        <f t="shared" si="1031"/>
        <v>-329131.25</v>
      </c>
      <c r="Z720" s="131">
        <f t="shared" ref="Z720:AE720" si="1032">SUM(Z718:Z719)</f>
        <v>-263851.39</v>
      </c>
      <c r="AA720" s="131">
        <f t="shared" si="1032"/>
        <v>-263738.39</v>
      </c>
      <c r="AB720" s="131">
        <f t="shared" si="1032"/>
        <v>-512624.39</v>
      </c>
      <c r="AC720" s="131">
        <f t="shared" si="1032"/>
        <v>-327512.39</v>
      </c>
      <c r="AD720" s="131">
        <f t="shared" si="1032"/>
        <v>-326625</v>
      </c>
      <c r="AE720" s="131">
        <f t="shared" si="1032"/>
        <v>-377285.39</v>
      </c>
      <c r="AF720" s="131">
        <f t="shared" ref="AF720:AQ720" si="1033">SUM(AF718:AF719)</f>
        <v>-289706.25</v>
      </c>
      <c r="AG720" s="131">
        <f t="shared" si="1033"/>
        <v>-289593.25</v>
      </c>
      <c r="AH720" s="131">
        <f t="shared" si="1033"/>
        <v>-289471.25</v>
      </c>
      <c r="AI720" s="131">
        <f t="shared" si="1033"/>
        <v>-329357.25</v>
      </c>
      <c r="AJ720" s="131">
        <f t="shared" si="1033"/>
        <v>-329243.25</v>
      </c>
      <c r="AK720" s="131">
        <f t="shared" si="1033"/>
        <v>-329131.25</v>
      </c>
      <c r="AL720" s="131">
        <f t="shared" si="1033"/>
        <v>-263851.39</v>
      </c>
      <c r="AM720" s="131">
        <f t="shared" si="1033"/>
        <v>-263738.39</v>
      </c>
      <c r="AN720" s="131">
        <f t="shared" si="1033"/>
        <v>-512624.39</v>
      </c>
      <c r="AO720" s="131">
        <f t="shared" si="1033"/>
        <v>-327512.39</v>
      </c>
      <c r="AP720" s="131">
        <f t="shared" si="1033"/>
        <v>-326625</v>
      </c>
      <c r="AQ720" s="131">
        <f t="shared" si="1033"/>
        <v>-377285.39</v>
      </c>
      <c r="AR720" s="131">
        <f>SUM(G720:R720)</f>
        <v>-3928139.4500000007</v>
      </c>
      <c r="AS720" s="131">
        <f>SUM(T720:AE720)</f>
        <v>-3928139.4500000007</v>
      </c>
      <c r="AT720" s="131">
        <f>SUM(AF720:AQ720)</f>
        <v>-3928139.4500000007</v>
      </c>
      <c r="AU720" s="621"/>
      <c r="AV720" s="621"/>
      <c r="AW720" s="30"/>
    </row>
    <row r="721" spans="2:49">
      <c r="B721" s="250">
        <f t="shared" si="1015"/>
        <v>812</v>
      </c>
      <c r="C721" s="212">
        <v>923</v>
      </c>
      <c r="D721" s="102" t="s">
        <v>429</v>
      </c>
      <c r="E721" s="102"/>
      <c r="F721" s="102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6"/>
      <c r="W721" s="186"/>
      <c r="X721" s="186"/>
      <c r="Y721" s="186"/>
      <c r="Z721" s="186"/>
      <c r="AA721" s="186"/>
      <c r="AB721" s="186"/>
      <c r="AC721" s="186"/>
      <c r="AD721" s="186"/>
      <c r="AE721" s="186"/>
      <c r="AF721" s="186"/>
      <c r="AG721" s="186"/>
      <c r="AH721" s="186"/>
      <c r="AI721" s="186"/>
      <c r="AJ721" s="186"/>
      <c r="AK721" s="186"/>
      <c r="AL721" s="186"/>
      <c r="AM721" s="186"/>
      <c r="AN721" s="186"/>
      <c r="AO721" s="186"/>
      <c r="AP721" s="186"/>
      <c r="AQ721" s="186"/>
      <c r="AR721" s="186"/>
      <c r="AS721" s="186"/>
      <c r="AT721" s="186"/>
      <c r="AU721" s="171"/>
      <c r="AV721" s="171"/>
      <c r="AW721" s="30"/>
    </row>
    <row r="722" spans="2:49">
      <c r="B722" s="250">
        <f t="shared" si="1015"/>
        <v>813</v>
      </c>
      <c r="C722" s="212"/>
      <c r="D722" s="102"/>
      <c r="E722" s="102" t="s">
        <v>14</v>
      </c>
      <c r="F722" s="102"/>
      <c r="G722" s="186">
        <v>-275530.63</v>
      </c>
      <c r="H722" s="186">
        <v>413323.71</v>
      </c>
      <c r="I722" s="186">
        <v>-20229.27</v>
      </c>
      <c r="J722" s="186">
        <v>-113091.31000000001</v>
      </c>
      <c r="K722" s="186">
        <v>231144.72000000003</v>
      </c>
      <c r="L722" s="186">
        <v>162006.09000000003</v>
      </c>
      <c r="M722" s="186">
        <v>44208.7</v>
      </c>
      <c r="N722" s="186">
        <v>68628.84</v>
      </c>
      <c r="O722" s="186">
        <v>155559.48000000001</v>
      </c>
      <c r="P722" s="186">
        <v>220665.40000000002</v>
      </c>
      <c r="Q722" s="186">
        <v>84492.590000000011</v>
      </c>
      <c r="R722" s="186">
        <v>346826.51</v>
      </c>
      <c r="S722" s="186"/>
      <c r="T722" s="186">
        <f t="shared" ref="T722:W723" si="1034">G722*(1+$AU722)</f>
        <v>-278561.46693</v>
      </c>
      <c r="U722" s="186">
        <f t="shared" si="1034"/>
        <v>417870.27080999996</v>
      </c>
      <c r="V722" s="186">
        <f t="shared" si="1034"/>
        <v>-20451.791969999998</v>
      </c>
      <c r="W722" s="186">
        <f t="shared" si="1034"/>
        <v>-114335.31441000001</v>
      </c>
      <c r="X722" s="186">
        <f t="shared" ref="X722:AE723" si="1035">K722*(1+$AU722)</f>
        <v>233687.31192000001</v>
      </c>
      <c r="Y722" s="186">
        <f t="shared" si="1035"/>
        <v>163788.15699000002</v>
      </c>
      <c r="Z722" s="186">
        <f t="shared" si="1035"/>
        <v>44694.995699999992</v>
      </c>
      <c r="AA722" s="186">
        <f t="shared" si="1035"/>
        <v>69383.757239999992</v>
      </c>
      <c r="AB722" s="186">
        <f t="shared" si="1035"/>
        <v>157270.63428</v>
      </c>
      <c r="AC722" s="186">
        <f t="shared" si="1035"/>
        <v>223092.7194</v>
      </c>
      <c r="AD722" s="186">
        <f t="shared" si="1035"/>
        <v>85422.008490000007</v>
      </c>
      <c r="AE722" s="186">
        <f t="shared" si="1035"/>
        <v>350641.60160999995</v>
      </c>
      <c r="AF722" s="186">
        <f t="shared" ref="AF722:AQ722" si="1036">T722*(1+$AV$722)</f>
        <v>-284968.38066938997</v>
      </c>
      <c r="AG722" s="186">
        <f t="shared" si="1036"/>
        <v>427481.28703862993</v>
      </c>
      <c r="AH722" s="186">
        <f t="shared" si="1036"/>
        <v>-20922.183185309997</v>
      </c>
      <c r="AI722" s="186">
        <f t="shared" si="1036"/>
        <v>-116965.02664143</v>
      </c>
      <c r="AJ722" s="186">
        <f t="shared" si="1036"/>
        <v>239062.12009416</v>
      </c>
      <c r="AK722" s="186">
        <f t="shared" si="1036"/>
        <v>167555.28460077001</v>
      </c>
      <c r="AL722" s="186">
        <f t="shared" si="1036"/>
        <v>45722.980601099989</v>
      </c>
      <c r="AM722" s="186">
        <f t="shared" si="1036"/>
        <v>70979.583656519986</v>
      </c>
      <c r="AN722" s="186">
        <f t="shared" si="1036"/>
        <v>160887.85886843997</v>
      </c>
      <c r="AO722" s="186">
        <f t="shared" si="1036"/>
        <v>228223.85194619998</v>
      </c>
      <c r="AP722" s="186">
        <f t="shared" si="1036"/>
        <v>87386.714685269995</v>
      </c>
      <c r="AQ722" s="186">
        <f t="shared" si="1036"/>
        <v>358706.3584470299</v>
      </c>
      <c r="AR722" s="186">
        <f>SUM(G722:R722)</f>
        <v>1318004.83</v>
      </c>
      <c r="AS722" s="186">
        <f>SUM(T722:AE722)</f>
        <v>1332502.88313</v>
      </c>
      <c r="AT722" s="186">
        <f>SUM(AF722:AQ722)</f>
        <v>1363150.4494419899</v>
      </c>
      <c r="AU722" s="171">
        <v>1.1000000000000001E-2</v>
      </c>
      <c r="AV722" s="171">
        <v>2.3E-2</v>
      </c>
      <c r="AW722" s="30"/>
    </row>
    <row r="723" spans="2:49">
      <c r="B723" s="250">
        <f t="shared" si="1015"/>
        <v>814</v>
      </c>
      <c r="C723" s="212"/>
      <c r="D723" s="102"/>
      <c r="E723" s="102" t="s">
        <v>24</v>
      </c>
      <c r="F723" s="102"/>
      <c r="G723" s="186">
        <v>-19835.12</v>
      </c>
      <c r="H723" s="186">
        <v>33031.69</v>
      </c>
      <c r="I723" s="186">
        <v>-4732.47</v>
      </c>
      <c r="J723" s="186">
        <v>-7945.7</v>
      </c>
      <c r="K723" s="186">
        <v>21641.39</v>
      </c>
      <c r="L723" s="186">
        <v>12539.02</v>
      </c>
      <c r="M723" s="186">
        <v>1620.19</v>
      </c>
      <c r="N723" s="186">
        <v>5876.55</v>
      </c>
      <c r="O723" s="186">
        <v>10145.58</v>
      </c>
      <c r="P723" s="186">
        <v>10434.460000000001</v>
      </c>
      <c r="Q723" s="186">
        <v>1841.31</v>
      </c>
      <c r="R723" s="186">
        <v>17035.370000000003</v>
      </c>
      <c r="S723" s="617"/>
      <c r="T723" s="204">
        <f t="shared" si="1034"/>
        <v>-20053.306319999996</v>
      </c>
      <c r="U723" s="204">
        <f t="shared" si="1034"/>
        <v>33395.038589999996</v>
      </c>
      <c r="V723" s="204">
        <f t="shared" si="1034"/>
        <v>-4784.5271699999994</v>
      </c>
      <c r="W723" s="204">
        <f t="shared" si="1034"/>
        <v>-8033.1026999999995</v>
      </c>
      <c r="X723" s="204">
        <f t="shared" si="1035"/>
        <v>21879.445289999996</v>
      </c>
      <c r="Y723" s="204">
        <f t="shared" si="1035"/>
        <v>12676.949219999999</v>
      </c>
      <c r="Z723" s="204">
        <f t="shared" si="1035"/>
        <v>1638.0120899999999</v>
      </c>
      <c r="AA723" s="204">
        <f t="shared" si="1035"/>
        <v>5941.1920499999997</v>
      </c>
      <c r="AB723" s="204">
        <f t="shared" si="1035"/>
        <v>10257.181379999998</v>
      </c>
      <c r="AC723" s="204">
        <f t="shared" si="1035"/>
        <v>10549.23906</v>
      </c>
      <c r="AD723" s="204">
        <f t="shared" si="1035"/>
        <v>1861.5644099999997</v>
      </c>
      <c r="AE723" s="204">
        <f t="shared" si="1035"/>
        <v>17222.75907</v>
      </c>
      <c r="AF723" s="204">
        <f t="shared" ref="AF723:AQ723" si="1037">T723*(1+$AV$723)</f>
        <v>-20514.532365359995</v>
      </c>
      <c r="AG723" s="204">
        <f t="shared" si="1037"/>
        <v>34163.124477569996</v>
      </c>
      <c r="AH723" s="204">
        <f t="shared" si="1037"/>
        <v>-4894.5712949099989</v>
      </c>
      <c r="AI723" s="204">
        <f t="shared" si="1037"/>
        <v>-8217.8640620999995</v>
      </c>
      <c r="AJ723" s="204">
        <f t="shared" si="1037"/>
        <v>22382.672531669992</v>
      </c>
      <c r="AK723" s="204">
        <f t="shared" si="1037"/>
        <v>12968.519052059997</v>
      </c>
      <c r="AL723" s="204">
        <f t="shared" si="1037"/>
        <v>1675.6863680699998</v>
      </c>
      <c r="AM723" s="204">
        <f t="shared" si="1037"/>
        <v>6077.8394671499991</v>
      </c>
      <c r="AN723" s="204">
        <f t="shared" si="1037"/>
        <v>10493.096551739996</v>
      </c>
      <c r="AO723" s="204">
        <f t="shared" si="1037"/>
        <v>10791.871558379999</v>
      </c>
      <c r="AP723" s="204">
        <f t="shared" si="1037"/>
        <v>1904.3803914299995</v>
      </c>
      <c r="AQ723" s="204">
        <f t="shared" si="1037"/>
        <v>17618.88252861</v>
      </c>
      <c r="AR723" s="204">
        <f>SUM(G723:R723)</f>
        <v>81652.27</v>
      </c>
      <c r="AS723" s="204">
        <f>SUM(T723:AE723)</f>
        <v>82550.444969999997</v>
      </c>
      <c r="AT723" s="204">
        <f>SUM(AF723:AQ723)</f>
        <v>84449.105204309992</v>
      </c>
      <c r="AU723" s="618">
        <f>AU722</f>
        <v>1.1000000000000001E-2</v>
      </c>
      <c r="AV723" s="618">
        <f>AV722</f>
        <v>2.3E-2</v>
      </c>
      <c r="AW723" s="30"/>
    </row>
    <row r="724" spans="2:49">
      <c r="B724" s="250">
        <f t="shared" si="1015"/>
        <v>815</v>
      </c>
      <c r="C724" s="212"/>
      <c r="D724" s="102"/>
      <c r="E724" s="102" t="s">
        <v>170</v>
      </c>
      <c r="F724" s="102"/>
      <c r="G724" s="1216">
        <v>-295365.75</v>
      </c>
      <c r="H724" s="1216">
        <v>446355.4</v>
      </c>
      <c r="I724" s="1216">
        <v>-24961.74</v>
      </c>
      <c r="J724" s="1216">
        <v>-121037.01000000001</v>
      </c>
      <c r="K724" s="1216">
        <v>252786.11000000002</v>
      </c>
      <c r="L724" s="1216">
        <v>174545.11000000002</v>
      </c>
      <c r="M724" s="1216">
        <v>45828.89</v>
      </c>
      <c r="N724" s="1216">
        <v>74505.39</v>
      </c>
      <c r="O724" s="1216">
        <v>165705.06</v>
      </c>
      <c r="P724" s="1216">
        <v>231099.86000000002</v>
      </c>
      <c r="Q724" s="1216">
        <v>86333.900000000009</v>
      </c>
      <c r="R724" s="1216">
        <v>363861.88</v>
      </c>
      <c r="S724" s="620"/>
      <c r="T724" s="131">
        <f t="shared" ref="T724:Y724" si="1038">SUM(T722:T723)</f>
        <v>-298614.77324999997</v>
      </c>
      <c r="U724" s="131">
        <f t="shared" si="1038"/>
        <v>451265.30939999997</v>
      </c>
      <c r="V724" s="131">
        <f t="shared" si="1038"/>
        <v>-25236.31914</v>
      </c>
      <c r="W724" s="131">
        <f t="shared" si="1038"/>
        <v>-122368.41711000001</v>
      </c>
      <c r="X724" s="131">
        <f t="shared" si="1038"/>
        <v>255566.75721000001</v>
      </c>
      <c r="Y724" s="131">
        <f t="shared" si="1038"/>
        <v>176465.10621000003</v>
      </c>
      <c r="Z724" s="131">
        <f t="shared" ref="Z724:AE724" si="1039">SUM(Z722:Z723)</f>
        <v>46333.007789999989</v>
      </c>
      <c r="AA724" s="131">
        <f t="shared" si="1039"/>
        <v>75324.94928999999</v>
      </c>
      <c r="AB724" s="131">
        <f t="shared" si="1039"/>
        <v>167527.81565999999</v>
      </c>
      <c r="AC724" s="131">
        <f t="shared" si="1039"/>
        <v>233641.95845999999</v>
      </c>
      <c r="AD724" s="131">
        <f t="shared" si="1039"/>
        <v>87283.572900000014</v>
      </c>
      <c r="AE724" s="131">
        <f t="shared" si="1039"/>
        <v>367864.36067999993</v>
      </c>
      <c r="AF724" s="131">
        <f t="shared" ref="AF724:AQ724" si="1040">SUM(AF722:AF723)</f>
        <v>-305482.91303474997</v>
      </c>
      <c r="AG724" s="131">
        <f t="shared" si="1040"/>
        <v>461644.41151619994</v>
      </c>
      <c r="AH724" s="131">
        <f t="shared" si="1040"/>
        <v>-25816.754480219995</v>
      </c>
      <c r="AI724" s="131">
        <f t="shared" si="1040"/>
        <v>-125182.89070352999</v>
      </c>
      <c r="AJ724" s="131">
        <f t="shared" si="1040"/>
        <v>261444.79262582998</v>
      </c>
      <c r="AK724" s="131">
        <f t="shared" si="1040"/>
        <v>180523.80365283001</v>
      </c>
      <c r="AL724" s="131">
        <f t="shared" si="1040"/>
        <v>47398.666969169986</v>
      </c>
      <c r="AM724" s="131">
        <f t="shared" si="1040"/>
        <v>77057.423123669985</v>
      </c>
      <c r="AN724" s="131">
        <f t="shared" si="1040"/>
        <v>171380.95542017996</v>
      </c>
      <c r="AO724" s="131">
        <f t="shared" si="1040"/>
        <v>239015.72350457998</v>
      </c>
      <c r="AP724" s="131">
        <f t="shared" si="1040"/>
        <v>89291.095076699989</v>
      </c>
      <c r="AQ724" s="131">
        <f t="shared" si="1040"/>
        <v>376325.2409756399</v>
      </c>
      <c r="AR724" s="131">
        <f>SUM(G724:R724)</f>
        <v>1399657.1</v>
      </c>
      <c r="AS724" s="131">
        <f>SUM(T724:AE724)</f>
        <v>1415053.3281</v>
      </c>
      <c r="AT724" s="131">
        <f>SUM(AF724:AQ724)</f>
        <v>1447599.5546462997</v>
      </c>
      <c r="AU724" s="621"/>
      <c r="AV724" s="621"/>
      <c r="AW724" s="30"/>
    </row>
    <row r="725" spans="2:49">
      <c r="B725" s="250">
        <f t="shared" si="1015"/>
        <v>816</v>
      </c>
      <c r="C725" s="212">
        <v>924</v>
      </c>
      <c r="D725" s="102" t="s">
        <v>430</v>
      </c>
      <c r="E725" s="102"/>
      <c r="F725" s="102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71"/>
      <c r="AV725" s="171"/>
      <c r="AW725" s="30"/>
    </row>
    <row r="726" spans="2:49">
      <c r="B726" s="250">
        <f t="shared" si="1015"/>
        <v>817</v>
      </c>
      <c r="C726" s="212"/>
      <c r="D726" s="102"/>
      <c r="E726" s="102" t="s">
        <v>14</v>
      </c>
      <c r="F726" s="102"/>
      <c r="G726" s="186">
        <v>32529.91</v>
      </c>
      <c r="H726" s="186">
        <v>63101.19</v>
      </c>
      <c r="I726" s="186">
        <v>38808.549999999996</v>
      </c>
      <c r="J726" s="186">
        <v>52546.11</v>
      </c>
      <c r="K726" s="186">
        <v>79905.95</v>
      </c>
      <c r="L726" s="186">
        <v>52556.97</v>
      </c>
      <c r="M726" s="186">
        <v>52562.400000000001</v>
      </c>
      <c r="N726" s="186">
        <v>79938.97</v>
      </c>
      <c r="O726" s="186">
        <v>-195774.57</v>
      </c>
      <c r="P726" s="186">
        <v>2931.27</v>
      </c>
      <c r="Q726" s="186">
        <v>1139.6499999999999</v>
      </c>
      <c r="R726" s="186">
        <v>44351.6</v>
      </c>
      <c r="S726" s="186"/>
      <c r="T726" s="186">
        <f t="shared" ref="T726:W727" si="1041">G726*(1+$AU726)</f>
        <v>33245.568019999999</v>
      </c>
      <c r="U726" s="186">
        <f t="shared" si="1041"/>
        <v>64489.41618</v>
      </c>
      <c r="V726" s="186">
        <f t="shared" si="1041"/>
        <v>39662.338099999994</v>
      </c>
      <c r="W726" s="186">
        <f t="shared" si="1041"/>
        <v>53702.12442</v>
      </c>
      <c r="X726" s="186">
        <f t="shared" ref="X726:AE727" si="1042">K726*(1+$AU726)</f>
        <v>81663.880900000004</v>
      </c>
      <c r="Y726" s="186">
        <f t="shared" si="1042"/>
        <v>53713.223340000004</v>
      </c>
      <c r="Z726" s="186">
        <f t="shared" si="1042"/>
        <v>53718.772800000006</v>
      </c>
      <c r="AA726" s="186">
        <f t="shared" si="1042"/>
        <v>81697.627340000006</v>
      </c>
      <c r="AB726" s="186">
        <f t="shared" si="1042"/>
        <v>-200081.61054000002</v>
      </c>
      <c r="AC726" s="186">
        <f t="shared" si="1042"/>
        <v>2995.75794</v>
      </c>
      <c r="AD726" s="186">
        <f t="shared" si="1042"/>
        <v>1164.7222999999999</v>
      </c>
      <c r="AE726" s="186">
        <f t="shared" si="1042"/>
        <v>45327.335200000001</v>
      </c>
      <c r="AF726" s="186">
        <f t="shared" ref="AF726:AQ726" si="1043">T726*(1+$AV$726)</f>
        <v>34010.216084459993</v>
      </c>
      <c r="AG726" s="186">
        <f t="shared" si="1043"/>
        <v>65972.672752139988</v>
      </c>
      <c r="AH726" s="186">
        <f t="shared" si="1043"/>
        <v>40574.57187629999</v>
      </c>
      <c r="AI726" s="186">
        <f t="shared" si="1043"/>
        <v>54937.273281659996</v>
      </c>
      <c r="AJ726" s="186">
        <f t="shared" si="1043"/>
        <v>83542.150160699995</v>
      </c>
      <c r="AK726" s="186">
        <f t="shared" si="1043"/>
        <v>54948.627476820002</v>
      </c>
      <c r="AL726" s="186">
        <f t="shared" si="1043"/>
        <v>54954.304574400005</v>
      </c>
      <c r="AM726" s="186">
        <f t="shared" si="1043"/>
        <v>83576.672768820004</v>
      </c>
      <c r="AN726" s="186">
        <f t="shared" si="1043"/>
        <v>-204683.48758242</v>
      </c>
      <c r="AO726" s="186">
        <f t="shared" si="1043"/>
        <v>3064.6603726199996</v>
      </c>
      <c r="AP726" s="186">
        <f t="shared" si="1043"/>
        <v>1191.5109128999998</v>
      </c>
      <c r="AQ726" s="186">
        <f t="shared" si="1043"/>
        <v>46369.863909599997</v>
      </c>
      <c r="AR726" s="186">
        <f>SUM(G726:R726)</f>
        <v>304598</v>
      </c>
      <c r="AS726" s="186">
        <f>SUM(T726:AE726)</f>
        <v>311299.15600000008</v>
      </c>
      <c r="AT726" s="186">
        <f>SUM(AF726:AQ726)</f>
        <v>318459.03658799996</v>
      </c>
      <c r="AU726" s="171">
        <v>2.2000000000000002E-2</v>
      </c>
      <c r="AV726" s="171">
        <v>2.3E-2</v>
      </c>
      <c r="AW726" s="30"/>
    </row>
    <row r="727" spans="2:49">
      <c r="B727" s="250">
        <f t="shared" si="1015"/>
        <v>818</v>
      </c>
      <c r="C727" s="212"/>
      <c r="D727" s="102"/>
      <c r="E727" s="102" t="s">
        <v>24</v>
      </c>
      <c r="F727" s="102"/>
      <c r="G727" s="186">
        <v>1044.1600000000001</v>
      </c>
      <c r="H727" s="186">
        <v>2038.88</v>
      </c>
      <c r="I727" s="186">
        <v>1299.51</v>
      </c>
      <c r="J727" s="186">
        <v>1753.89</v>
      </c>
      <c r="K727" s="186">
        <v>2650.05</v>
      </c>
      <c r="L727" s="186">
        <v>1743.03</v>
      </c>
      <c r="M727" s="186">
        <v>1737.6000000000001</v>
      </c>
      <c r="N727" s="186">
        <v>2617.0300000000002</v>
      </c>
      <c r="O727" s="186">
        <v>-6430.1100000000006</v>
      </c>
      <c r="P727" s="186">
        <v>96.28</v>
      </c>
      <c r="Q727" s="186">
        <v>37.68</v>
      </c>
      <c r="R727" s="186">
        <v>1461.43</v>
      </c>
      <c r="S727" s="617"/>
      <c r="T727" s="204">
        <f t="shared" si="1041"/>
        <v>1067.1315200000001</v>
      </c>
      <c r="U727" s="204">
        <f t="shared" si="1041"/>
        <v>2083.7353600000001</v>
      </c>
      <c r="V727" s="204">
        <f t="shared" si="1041"/>
        <v>1328.0992200000001</v>
      </c>
      <c r="W727" s="204">
        <f t="shared" si="1041"/>
        <v>1792.47558</v>
      </c>
      <c r="X727" s="204">
        <f t="shared" si="1042"/>
        <v>2708.3511000000003</v>
      </c>
      <c r="Y727" s="204">
        <f t="shared" si="1042"/>
        <v>1781.3766599999999</v>
      </c>
      <c r="Z727" s="204">
        <f t="shared" si="1042"/>
        <v>1775.8272000000002</v>
      </c>
      <c r="AA727" s="204">
        <f t="shared" si="1042"/>
        <v>2674.6046600000004</v>
      </c>
      <c r="AB727" s="204">
        <f t="shared" si="1042"/>
        <v>-6571.5724200000004</v>
      </c>
      <c r="AC727" s="204">
        <f t="shared" si="1042"/>
        <v>98.398160000000004</v>
      </c>
      <c r="AD727" s="204">
        <f t="shared" si="1042"/>
        <v>38.508960000000002</v>
      </c>
      <c r="AE727" s="204">
        <f t="shared" si="1042"/>
        <v>1493.5814600000001</v>
      </c>
      <c r="AF727" s="204">
        <f t="shared" ref="AF727:AQ727" si="1044">T727*(1+$AV$727)</f>
        <v>1091.67554496</v>
      </c>
      <c r="AG727" s="204">
        <f t="shared" si="1044"/>
        <v>2131.6612732799999</v>
      </c>
      <c r="AH727" s="204">
        <f t="shared" si="1044"/>
        <v>1358.6455020599999</v>
      </c>
      <c r="AI727" s="204">
        <f t="shared" si="1044"/>
        <v>1833.7025183399999</v>
      </c>
      <c r="AJ727" s="204">
        <f t="shared" si="1044"/>
        <v>2770.6431753000002</v>
      </c>
      <c r="AK727" s="204">
        <f t="shared" si="1044"/>
        <v>1822.3483231799996</v>
      </c>
      <c r="AL727" s="204">
        <f t="shared" si="1044"/>
        <v>1816.6712256000001</v>
      </c>
      <c r="AM727" s="204">
        <f t="shared" si="1044"/>
        <v>2736.1205671800003</v>
      </c>
      <c r="AN727" s="204">
        <f t="shared" si="1044"/>
        <v>-6722.7185856599999</v>
      </c>
      <c r="AO727" s="204">
        <f t="shared" si="1044"/>
        <v>100.66131768</v>
      </c>
      <c r="AP727" s="204">
        <f t="shared" si="1044"/>
        <v>39.39466608</v>
      </c>
      <c r="AQ727" s="204">
        <f t="shared" si="1044"/>
        <v>1527.9338335800001</v>
      </c>
      <c r="AR727" s="204">
        <f>SUM(G727:R727)</f>
        <v>10049.430000000004</v>
      </c>
      <c r="AS727" s="204">
        <f>SUM(T727:AE727)</f>
        <v>10270.517460000001</v>
      </c>
      <c r="AT727" s="204">
        <f>SUM(AF727:AQ727)</f>
        <v>10506.739361579999</v>
      </c>
      <c r="AU727" s="618">
        <f>AU726</f>
        <v>2.2000000000000002E-2</v>
      </c>
      <c r="AV727" s="618">
        <f>AV726</f>
        <v>2.3E-2</v>
      </c>
      <c r="AW727" s="30"/>
    </row>
    <row r="728" spans="2:49">
      <c r="B728" s="250">
        <f t="shared" si="1015"/>
        <v>819</v>
      </c>
      <c r="C728" s="212"/>
      <c r="D728" s="102"/>
      <c r="E728" s="102" t="s">
        <v>170</v>
      </c>
      <c r="F728" s="102"/>
      <c r="G728" s="1216">
        <v>33574.07</v>
      </c>
      <c r="H728" s="1216">
        <v>65140.07</v>
      </c>
      <c r="I728" s="1216">
        <v>40108.06</v>
      </c>
      <c r="J728" s="1216">
        <v>54300</v>
      </c>
      <c r="K728" s="1216">
        <v>82556</v>
      </c>
      <c r="L728" s="1216">
        <v>54300</v>
      </c>
      <c r="M728" s="1216">
        <v>54300</v>
      </c>
      <c r="N728" s="1216">
        <v>82556</v>
      </c>
      <c r="O728" s="1216">
        <v>-202204.68</v>
      </c>
      <c r="P728" s="1216">
        <v>3027.55</v>
      </c>
      <c r="Q728" s="1216">
        <v>1177.33</v>
      </c>
      <c r="R728" s="1216">
        <v>45813.03</v>
      </c>
      <c r="S728" s="620"/>
      <c r="T728" s="131">
        <f t="shared" ref="T728:Y728" si="1045">SUM(T726:T727)</f>
        <v>34312.699540000001</v>
      </c>
      <c r="U728" s="131">
        <f t="shared" si="1045"/>
        <v>66573.151540000006</v>
      </c>
      <c r="V728" s="131">
        <f t="shared" si="1045"/>
        <v>40990.437319999997</v>
      </c>
      <c r="W728" s="131">
        <f t="shared" si="1045"/>
        <v>55494.6</v>
      </c>
      <c r="X728" s="131">
        <f t="shared" si="1045"/>
        <v>84372.232000000004</v>
      </c>
      <c r="Y728" s="131">
        <f t="shared" si="1045"/>
        <v>55494.600000000006</v>
      </c>
      <c r="Z728" s="131">
        <f t="shared" ref="Z728:AE728" si="1046">SUM(Z726:Z727)</f>
        <v>55494.600000000006</v>
      </c>
      <c r="AA728" s="131">
        <f t="shared" si="1046"/>
        <v>84372.232000000004</v>
      </c>
      <c r="AB728" s="131">
        <f t="shared" si="1046"/>
        <v>-206653.18296000003</v>
      </c>
      <c r="AC728" s="131">
        <f t="shared" si="1046"/>
        <v>3094.1561000000002</v>
      </c>
      <c r="AD728" s="131">
        <f t="shared" si="1046"/>
        <v>1203.23126</v>
      </c>
      <c r="AE728" s="131">
        <f t="shared" si="1046"/>
        <v>46820.916660000003</v>
      </c>
      <c r="AF728" s="131">
        <f t="shared" ref="AF728:AQ728" si="1047">SUM(AF726:AF727)</f>
        <v>35101.891629419995</v>
      </c>
      <c r="AG728" s="131">
        <f t="shared" si="1047"/>
        <v>68104.334025419987</v>
      </c>
      <c r="AH728" s="131">
        <f t="shared" si="1047"/>
        <v>41933.217378359986</v>
      </c>
      <c r="AI728" s="131">
        <f t="shared" si="1047"/>
        <v>56770.975799999993</v>
      </c>
      <c r="AJ728" s="131">
        <f t="shared" si="1047"/>
        <v>86312.793336000002</v>
      </c>
      <c r="AK728" s="131">
        <f t="shared" si="1047"/>
        <v>56770.9758</v>
      </c>
      <c r="AL728" s="131">
        <f t="shared" si="1047"/>
        <v>56770.975800000007</v>
      </c>
      <c r="AM728" s="131">
        <f t="shared" si="1047"/>
        <v>86312.793336000002</v>
      </c>
      <c r="AN728" s="131">
        <f t="shared" si="1047"/>
        <v>-211406.20616808001</v>
      </c>
      <c r="AO728" s="131">
        <f t="shared" si="1047"/>
        <v>3165.3216902999998</v>
      </c>
      <c r="AP728" s="131">
        <f t="shared" si="1047"/>
        <v>1230.9055789799997</v>
      </c>
      <c r="AQ728" s="131">
        <f t="shared" si="1047"/>
        <v>47897.797743179995</v>
      </c>
      <c r="AR728" s="131">
        <f>SUM(G728:R728)</f>
        <v>314647.43000000005</v>
      </c>
      <c r="AS728" s="131">
        <f>SUM(T728:AE728)</f>
        <v>321569.6734599999</v>
      </c>
      <c r="AT728" s="131">
        <f>SUM(AF728:AQ728)</f>
        <v>328965.77594957995</v>
      </c>
      <c r="AU728" s="621"/>
      <c r="AV728" s="621"/>
      <c r="AW728" s="30"/>
    </row>
    <row r="729" spans="2:49">
      <c r="B729" s="250">
        <f t="shared" si="1015"/>
        <v>820</v>
      </c>
      <c r="C729" s="212">
        <v>925</v>
      </c>
      <c r="D729" s="102" t="s">
        <v>431</v>
      </c>
      <c r="E729" s="102"/>
      <c r="F729" s="102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71"/>
      <c r="AV729" s="171"/>
      <c r="AW729" s="30"/>
    </row>
    <row r="730" spans="2:49">
      <c r="B730" s="250">
        <f t="shared" si="1015"/>
        <v>821</v>
      </c>
      <c r="C730" s="212"/>
      <c r="D730" s="102"/>
      <c r="E730" s="102" t="s">
        <v>14</v>
      </c>
      <c r="F730" s="102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>
        <f t="shared" ref="T730:W731" si="1048">G730*(1+$AU730)</f>
        <v>0</v>
      </c>
      <c r="U730" s="186">
        <f t="shared" si="1048"/>
        <v>0</v>
      </c>
      <c r="V730" s="186">
        <f t="shared" si="1048"/>
        <v>0</v>
      </c>
      <c r="W730" s="186">
        <f t="shared" si="1048"/>
        <v>0</v>
      </c>
      <c r="X730" s="186">
        <f t="shared" ref="X730:AE731" si="1049">K730*(1+$AU730)</f>
        <v>0</v>
      </c>
      <c r="Y730" s="186">
        <f t="shared" si="1049"/>
        <v>0</v>
      </c>
      <c r="Z730" s="186">
        <f t="shared" si="1049"/>
        <v>0</v>
      </c>
      <c r="AA730" s="186">
        <f t="shared" si="1049"/>
        <v>0</v>
      </c>
      <c r="AB730" s="186">
        <f t="shared" si="1049"/>
        <v>0</v>
      </c>
      <c r="AC730" s="186">
        <f t="shared" si="1049"/>
        <v>0</v>
      </c>
      <c r="AD730" s="186">
        <f t="shared" si="1049"/>
        <v>0</v>
      </c>
      <c r="AE730" s="186">
        <f t="shared" si="1049"/>
        <v>0</v>
      </c>
      <c r="AF730" s="186">
        <f t="shared" ref="AF730:AQ730" si="1050">T730*(1+$AV$730)</f>
        <v>0</v>
      </c>
      <c r="AG730" s="186">
        <f t="shared" si="1050"/>
        <v>0</v>
      </c>
      <c r="AH730" s="186">
        <f t="shared" si="1050"/>
        <v>0</v>
      </c>
      <c r="AI730" s="186">
        <f t="shared" si="1050"/>
        <v>0</v>
      </c>
      <c r="AJ730" s="186">
        <f t="shared" si="1050"/>
        <v>0</v>
      </c>
      <c r="AK730" s="186">
        <f t="shared" si="1050"/>
        <v>0</v>
      </c>
      <c r="AL730" s="186">
        <f t="shared" si="1050"/>
        <v>0</v>
      </c>
      <c r="AM730" s="186">
        <f t="shared" si="1050"/>
        <v>0</v>
      </c>
      <c r="AN730" s="186">
        <f t="shared" si="1050"/>
        <v>0</v>
      </c>
      <c r="AO730" s="186">
        <f t="shared" si="1050"/>
        <v>0</v>
      </c>
      <c r="AP730" s="186">
        <f t="shared" si="1050"/>
        <v>0</v>
      </c>
      <c r="AQ730" s="186">
        <f t="shared" si="1050"/>
        <v>0</v>
      </c>
      <c r="AR730" s="186">
        <f>SUM(G730:R730)</f>
        <v>0</v>
      </c>
      <c r="AS730" s="186">
        <f>SUM(T730:AE730)</f>
        <v>0</v>
      </c>
      <c r="AT730" s="186">
        <f>SUM(AF730:AQ730)</f>
        <v>0</v>
      </c>
      <c r="AU730" s="171">
        <v>3.0000000000000001E-3</v>
      </c>
      <c r="AV730" s="171">
        <v>0.02</v>
      </c>
      <c r="AW730" s="30"/>
    </row>
    <row r="731" spans="2:49">
      <c r="B731" s="250">
        <f t="shared" si="1015"/>
        <v>822</v>
      </c>
      <c r="C731" s="212"/>
      <c r="D731" s="102"/>
      <c r="E731" s="102" t="s">
        <v>24</v>
      </c>
      <c r="F731" s="102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617"/>
      <c r="T731" s="204">
        <f t="shared" si="1048"/>
        <v>0</v>
      </c>
      <c r="U731" s="204">
        <f t="shared" si="1048"/>
        <v>0</v>
      </c>
      <c r="V731" s="204">
        <f t="shared" si="1048"/>
        <v>0</v>
      </c>
      <c r="W731" s="204">
        <f t="shared" si="1048"/>
        <v>0</v>
      </c>
      <c r="X731" s="204">
        <f t="shared" si="1049"/>
        <v>0</v>
      </c>
      <c r="Y731" s="204">
        <f t="shared" si="1049"/>
        <v>0</v>
      </c>
      <c r="Z731" s="204">
        <f t="shared" si="1049"/>
        <v>0</v>
      </c>
      <c r="AA731" s="204">
        <f t="shared" si="1049"/>
        <v>0</v>
      </c>
      <c r="AB731" s="204">
        <f t="shared" si="1049"/>
        <v>0</v>
      </c>
      <c r="AC731" s="204">
        <f t="shared" si="1049"/>
        <v>0</v>
      </c>
      <c r="AD731" s="204">
        <f t="shared" si="1049"/>
        <v>0</v>
      </c>
      <c r="AE731" s="204">
        <f t="shared" si="1049"/>
        <v>0</v>
      </c>
      <c r="AF731" s="204">
        <f t="shared" ref="AF731:AQ731" si="1051">T731*(1+$AV$731)</f>
        <v>0</v>
      </c>
      <c r="AG731" s="204">
        <f t="shared" si="1051"/>
        <v>0</v>
      </c>
      <c r="AH731" s="204">
        <f t="shared" si="1051"/>
        <v>0</v>
      </c>
      <c r="AI731" s="204">
        <f t="shared" si="1051"/>
        <v>0</v>
      </c>
      <c r="AJ731" s="204">
        <f t="shared" si="1051"/>
        <v>0</v>
      </c>
      <c r="AK731" s="204">
        <f t="shared" si="1051"/>
        <v>0</v>
      </c>
      <c r="AL731" s="204">
        <f t="shared" si="1051"/>
        <v>0</v>
      </c>
      <c r="AM731" s="204">
        <f t="shared" si="1051"/>
        <v>0</v>
      </c>
      <c r="AN731" s="204">
        <f t="shared" si="1051"/>
        <v>0</v>
      </c>
      <c r="AO731" s="204">
        <f t="shared" si="1051"/>
        <v>0</v>
      </c>
      <c r="AP731" s="204">
        <f t="shared" si="1051"/>
        <v>0</v>
      </c>
      <c r="AQ731" s="204">
        <f t="shared" si="1051"/>
        <v>0</v>
      </c>
      <c r="AR731" s="204">
        <f>SUM(G731:R731)</f>
        <v>0</v>
      </c>
      <c r="AS731" s="204">
        <f>SUM(T731:AE731)</f>
        <v>0</v>
      </c>
      <c r="AT731" s="204">
        <f>SUM(AF731:AQ731)</f>
        <v>0</v>
      </c>
      <c r="AU731" s="618">
        <f>AU730</f>
        <v>3.0000000000000001E-3</v>
      </c>
      <c r="AV731" s="618">
        <f>AV730</f>
        <v>0.02</v>
      </c>
      <c r="AW731" s="30"/>
    </row>
    <row r="732" spans="2:49">
      <c r="B732" s="250">
        <f t="shared" si="1015"/>
        <v>823</v>
      </c>
      <c r="C732" s="212"/>
      <c r="D732" s="102"/>
      <c r="E732" s="102" t="s">
        <v>170</v>
      </c>
      <c r="F732" s="102"/>
      <c r="G732" s="1216">
        <v>0</v>
      </c>
      <c r="H732" s="1216">
        <v>0</v>
      </c>
      <c r="I732" s="1216">
        <v>0</v>
      </c>
      <c r="J732" s="1216">
        <v>0</v>
      </c>
      <c r="K732" s="1216">
        <v>0</v>
      </c>
      <c r="L732" s="1216">
        <v>0</v>
      </c>
      <c r="M732" s="1216">
        <v>0</v>
      </c>
      <c r="N732" s="1216">
        <v>0</v>
      </c>
      <c r="O732" s="1216">
        <v>0</v>
      </c>
      <c r="P732" s="1216">
        <v>0</v>
      </c>
      <c r="Q732" s="1216">
        <v>0</v>
      </c>
      <c r="R732" s="1216">
        <v>0</v>
      </c>
      <c r="S732" s="620"/>
      <c r="T732" s="131">
        <f t="shared" ref="T732:Y732" si="1052">SUM(T730:T731)</f>
        <v>0</v>
      </c>
      <c r="U732" s="131">
        <f t="shared" si="1052"/>
        <v>0</v>
      </c>
      <c r="V732" s="131">
        <f t="shared" si="1052"/>
        <v>0</v>
      </c>
      <c r="W732" s="131">
        <f t="shared" si="1052"/>
        <v>0</v>
      </c>
      <c r="X732" s="131">
        <f t="shared" si="1052"/>
        <v>0</v>
      </c>
      <c r="Y732" s="131">
        <f t="shared" si="1052"/>
        <v>0</v>
      </c>
      <c r="Z732" s="131">
        <f t="shared" ref="Z732:AE732" si="1053">SUM(Z730:Z731)</f>
        <v>0</v>
      </c>
      <c r="AA732" s="131">
        <f t="shared" si="1053"/>
        <v>0</v>
      </c>
      <c r="AB732" s="131">
        <f t="shared" si="1053"/>
        <v>0</v>
      </c>
      <c r="AC732" s="131">
        <f t="shared" si="1053"/>
        <v>0</v>
      </c>
      <c r="AD732" s="131">
        <f t="shared" si="1053"/>
        <v>0</v>
      </c>
      <c r="AE732" s="131">
        <f t="shared" si="1053"/>
        <v>0</v>
      </c>
      <c r="AF732" s="131">
        <f t="shared" ref="AF732:AQ732" si="1054">SUM(AF730:AF731)</f>
        <v>0</v>
      </c>
      <c r="AG732" s="131">
        <f t="shared" si="1054"/>
        <v>0</v>
      </c>
      <c r="AH732" s="131">
        <f t="shared" si="1054"/>
        <v>0</v>
      </c>
      <c r="AI732" s="131">
        <f t="shared" si="1054"/>
        <v>0</v>
      </c>
      <c r="AJ732" s="131">
        <f t="shared" si="1054"/>
        <v>0</v>
      </c>
      <c r="AK732" s="131">
        <f t="shared" si="1054"/>
        <v>0</v>
      </c>
      <c r="AL732" s="131">
        <f t="shared" si="1054"/>
        <v>0</v>
      </c>
      <c r="AM732" s="131">
        <f t="shared" si="1054"/>
        <v>0</v>
      </c>
      <c r="AN732" s="131">
        <f t="shared" si="1054"/>
        <v>0</v>
      </c>
      <c r="AO732" s="131">
        <f t="shared" si="1054"/>
        <v>0</v>
      </c>
      <c r="AP732" s="131">
        <f t="shared" si="1054"/>
        <v>0</v>
      </c>
      <c r="AQ732" s="131">
        <f t="shared" si="1054"/>
        <v>0</v>
      </c>
      <c r="AR732" s="131">
        <f>SUM(G732:R732)</f>
        <v>0</v>
      </c>
      <c r="AS732" s="131">
        <f>SUM(T732:AE732)</f>
        <v>0</v>
      </c>
      <c r="AT732" s="131">
        <f>SUM(AF732:AQ732)</f>
        <v>0</v>
      </c>
      <c r="AU732" s="621"/>
      <c r="AV732" s="621"/>
      <c r="AW732" s="30"/>
    </row>
    <row r="733" spans="2:49">
      <c r="B733" s="250">
        <f t="shared" si="1015"/>
        <v>824</v>
      </c>
      <c r="C733" s="212">
        <v>926</v>
      </c>
      <c r="D733" s="102" t="s">
        <v>432</v>
      </c>
      <c r="E733" s="102"/>
      <c r="F733" s="102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71"/>
      <c r="AV733" s="171"/>
      <c r="AW733" s="30"/>
    </row>
    <row r="734" spans="2:49">
      <c r="B734" s="250">
        <f t="shared" si="1015"/>
        <v>825</v>
      </c>
      <c r="C734" s="212"/>
      <c r="D734" s="102"/>
      <c r="E734" s="102" t="s">
        <v>14</v>
      </c>
      <c r="F734" s="102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>
        <f t="shared" ref="T734:W735" si="1055">G734*(1+$AU734)</f>
        <v>0</v>
      </c>
      <c r="U734" s="186">
        <f t="shared" si="1055"/>
        <v>0</v>
      </c>
      <c r="V734" s="186">
        <f t="shared" si="1055"/>
        <v>0</v>
      </c>
      <c r="W734" s="186">
        <f t="shared" si="1055"/>
        <v>0</v>
      </c>
      <c r="X734" s="186">
        <f t="shared" ref="X734:AE735" si="1056">K734*(1+$AU734)</f>
        <v>0</v>
      </c>
      <c r="Y734" s="186">
        <f t="shared" si="1056"/>
        <v>0</v>
      </c>
      <c r="Z734" s="186">
        <f t="shared" si="1056"/>
        <v>0</v>
      </c>
      <c r="AA734" s="186">
        <f t="shared" si="1056"/>
        <v>0</v>
      </c>
      <c r="AB734" s="186">
        <f t="shared" si="1056"/>
        <v>0</v>
      </c>
      <c r="AC734" s="186">
        <f t="shared" si="1056"/>
        <v>0</v>
      </c>
      <c r="AD734" s="186">
        <f t="shared" si="1056"/>
        <v>0</v>
      </c>
      <c r="AE734" s="186">
        <f t="shared" si="1056"/>
        <v>0</v>
      </c>
      <c r="AF734" s="186">
        <f t="shared" ref="AF734:AQ734" si="1057">T734*(1+$AV$734)</f>
        <v>0</v>
      </c>
      <c r="AG734" s="186">
        <f t="shared" si="1057"/>
        <v>0</v>
      </c>
      <c r="AH734" s="186">
        <f t="shared" si="1057"/>
        <v>0</v>
      </c>
      <c r="AI734" s="186">
        <f t="shared" si="1057"/>
        <v>0</v>
      </c>
      <c r="AJ734" s="186">
        <f t="shared" si="1057"/>
        <v>0</v>
      </c>
      <c r="AK734" s="186">
        <f t="shared" si="1057"/>
        <v>0</v>
      </c>
      <c r="AL734" s="186">
        <f t="shared" si="1057"/>
        <v>0</v>
      </c>
      <c r="AM734" s="186">
        <f t="shared" si="1057"/>
        <v>0</v>
      </c>
      <c r="AN734" s="186">
        <f t="shared" si="1057"/>
        <v>0</v>
      </c>
      <c r="AO734" s="186">
        <f t="shared" si="1057"/>
        <v>0</v>
      </c>
      <c r="AP734" s="186">
        <f t="shared" si="1057"/>
        <v>0</v>
      </c>
      <c r="AQ734" s="186">
        <f t="shared" si="1057"/>
        <v>0</v>
      </c>
      <c r="AR734" s="186">
        <f>SUM(G734:R734)</f>
        <v>0</v>
      </c>
      <c r="AS734" s="186">
        <f>SUM(T734:AE734)</f>
        <v>0</v>
      </c>
      <c r="AT734" s="186">
        <f>SUM(AF734:AQ734)</f>
        <v>0</v>
      </c>
      <c r="AU734" s="171">
        <v>2.1000000000000001E-2</v>
      </c>
      <c r="AV734" s="171">
        <v>3.3000000000000002E-2</v>
      </c>
      <c r="AW734" s="30"/>
    </row>
    <row r="735" spans="2:49">
      <c r="B735" s="250">
        <f t="shared" si="1015"/>
        <v>826</v>
      </c>
      <c r="C735" s="212"/>
      <c r="D735" s="102"/>
      <c r="E735" s="102" t="s">
        <v>24</v>
      </c>
      <c r="F735" s="102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617"/>
      <c r="T735" s="204">
        <f t="shared" si="1055"/>
        <v>0</v>
      </c>
      <c r="U735" s="204">
        <f t="shared" si="1055"/>
        <v>0</v>
      </c>
      <c r="V735" s="204">
        <f t="shared" si="1055"/>
        <v>0</v>
      </c>
      <c r="W735" s="204">
        <f t="shared" si="1055"/>
        <v>0</v>
      </c>
      <c r="X735" s="204">
        <f t="shared" si="1056"/>
        <v>0</v>
      </c>
      <c r="Y735" s="204">
        <f t="shared" si="1056"/>
        <v>0</v>
      </c>
      <c r="Z735" s="204">
        <f t="shared" si="1056"/>
        <v>0</v>
      </c>
      <c r="AA735" s="204">
        <f t="shared" si="1056"/>
        <v>0</v>
      </c>
      <c r="AB735" s="204">
        <f t="shared" si="1056"/>
        <v>0</v>
      </c>
      <c r="AC735" s="204">
        <f t="shared" si="1056"/>
        <v>0</v>
      </c>
      <c r="AD735" s="204">
        <f t="shared" si="1056"/>
        <v>0</v>
      </c>
      <c r="AE735" s="204">
        <f t="shared" si="1056"/>
        <v>0</v>
      </c>
      <c r="AF735" s="204">
        <f t="shared" ref="AF735:AQ735" si="1058">T735*(1+$AV$735)</f>
        <v>0</v>
      </c>
      <c r="AG735" s="204">
        <f t="shared" si="1058"/>
        <v>0</v>
      </c>
      <c r="AH735" s="204">
        <f t="shared" si="1058"/>
        <v>0</v>
      </c>
      <c r="AI735" s="204">
        <f t="shared" si="1058"/>
        <v>0</v>
      </c>
      <c r="AJ735" s="204">
        <f t="shared" si="1058"/>
        <v>0</v>
      </c>
      <c r="AK735" s="204">
        <f t="shared" si="1058"/>
        <v>0</v>
      </c>
      <c r="AL735" s="204">
        <f t="shared" si="1058"/>
        <v>0</v>
      </c>
      <c r="AM735" s="204">
        <f t="shared" si="1058"/>
        <v>0</v>
      </c>
      <c r="AN735" s="204">
        <f t="shared" si="1058"/>
        <v>0</v>
      </c>
      <c r="AO735" s="204">
        <f t="shared" si="1058"/>
        <v>0</v>
      </c>
      <c r="AP735" s="204">
        <f t="shared" si="1058"/>
        <v>0</v>
      </c>
      <c r="AQ735" s="204">
        <f t="shared" si="1058"/>
        <v>0</v>
      </c>
      <c r="AR735" s="204">
        <f>SUM(G735:R735)</f>
        <v>0</v>
      </c>
      <c r="AS735" s="204">
        <f>SUM(T735:AE735)</f>
        <v>0</v>
      </c>
      <c r="AT735" s="204">
        <f>SUM(AF735:AQ735)</f>
        <v>0</v>
      </c>
      <c r="AU735" s="618">
        <f>AU734</f>
        <v>2.1000000000000001E-2</v>
      </c>
      <c r="AV735" s="618">
        <f>AV734</f>
        <v>3.3000000000000002E-2</v>
      </c>
      <c r="AW735" s="30"/>
    </row>
    <row r="736" spans="2:49">
      <c r="B736" s="250">
        <f t="shared" si="1015"/>
        <v>827</v>
      </c>
      <c r="C736" s="212"/>
      <c r="D736" s="102"/>
      <c r="E736" s="102" t="s">
        <v>170</v>
      </c>
      <c r="F736" s="102"/>
      <c r="G736" s="1216">
        <v>0</v>
      </c>
      <c r="H736" s="1216">
        <v>0</v>
      </c>
      <c r="I736" s="1216">
        <v>0</v>
      </c>
      <c r="J736" s="1216">
        <v>0</v>
      </c>
      <c r="K736" s="1216">
        <v>0</v>
      </c>
      <c r="L736" s="1216">
        <v>0</v>
      </c>
      <c r="M736" s="1216">
        <v>0</v>
      </c>
      <c r="N736" s="1216">
        <v>0</v>
      </c>
      <c r="O736" s="1216">
        <v>0</v>
      </c>
      <c r="P736" s="1216">
        <v>0</v>
      </c>
      <c r="Q736" s="1216">
        <v>0</v>
      </c>
      <c r="R736" s="1216">
        <v>0</v>
      </c>
      <c r="S736" s="620"/>
      <c r="T736" s="131">
        <f t="shared" ref="T736:Y736" si="1059">SUM(T734:T735)</f>
        <v>0</v>
      </c>
      <c r="U736" s="131">
        <f t="shared" si="1059"/>
        <v>0</v>
      </c>
      <c r="V736" s="131">
        <f t="shared" si="1059"/>
        <v>0</v>
      </c>
      <c r="W736" s="131">
        <f t="shared" si="1059"/>
        <v>0</v>
      </c>
      <c r="X736" s="131">
        <f t="shared" si="1059"/>
        <v>0</v>
      </c>
      <c r="Y736" s="131">
        <f t="shared" si="1059"/>
        <v>0</v>
      </c>
      <c r="Z736" s="131">
        <f t="shared" ref="Z736:AE736" si="1060">SUM(Z734:Z735)</f>
        <v>0</v>
      </c>
      <c r="AA736" s="131">
        <f t="shared" si="1060"/>
        <v>0</v>
      </c>
      <c r="AB736" s="131">
        <f t="shared" si="1060"/>
        <v>0</v>
      </c>
      <c r="AC736" s="131">
        <f t="shared" si="1060"/>
        <v>0</v>
      </c>
      <c r="AD736" s="131">
        <f t="shared" si="1060"/>
        <v>0</v>
      </c>
      <c r="AE736" s="131">
        <f t="shared" si="1060"/>
        <v>0</v>
      </c>
      <c r="AF736" s="131">
        <f t="shared" ref="AF736:AQ736" si="1061">SUM(AF734:AF735)</f>
        <v>0</v>
      </c>
      <c r="AG736" s="131">
        <f t="shared" si="1061"/>
        <v>0</v>
      </c>
      <c r="AH736" s="131">
        <f t="shared" si="1061"/>
        <v>0</v>
      </c>
      <c r="AI736" s="131">
        <f t="shared" si="1061"/>
        <v>0</v>
      </c>
      <c r="AJ736" s="131">
        <f t="shared" si="1061"/>
        <v>0</v>
      </c>
      <c r="AK736" s="131">
        <f t="shared" si="1061"/>
        <v>0</v>
      </c>
      <c r="AL736" s="131">
        <f t="shared" si="1061"/>
        <v>0</v>
      </c>
      <c r="AM736" s="131">
        <f t="shared" si="1061"/>
        <v>0</v>
      </c>
      <c r="AN736" s="131">
        <f t="shared" si="1061"/>
        <v>0</v>
      </c>
      <c r="AO736" s="131">
        <f t="shared" si="1061"/>
        <v>0</v>
      </c>
      <c r="AP736" s="131">
        <f t="shared" si="1061"/>
        <v>0</v>
      </c>
      <c r="AQ736" s="131">
        <f t="shared" si="1061"/>
        <v>0</v>
      </c>
      <c r="AR736" s="131">
        <f>SUM(G736:R736)</f>
        <v>0</v>
      </c>
      <c r="AS736" s="131">
        <f>SUM(T736:AE736)</f>
        <v>0</v>
      </c>
      <c r="AT736" s="131">
        <f>SUM(AF736:AQ736)</f>
        <v>0</v>
      </c>
      <c r="AU736" s="621"/>
      <c r="AV736" s="621"/>
      <c r="AW736" s="30"/>
    </row>
    <row r="737" spans="2:49">
      <c r="B737" s="250">
        <f t="shared" si="1015"/>
        <v>828</v>
      </c>
      <c r="C737" s="212">
        <v>928</v>
      </c>
      <c r="D737" s="102" t="s">
        <v>1040</v>
      </c>
      <c r="E737" s="102"/>
      <c r="F737" s="102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71"/>
      <c r="AV737" s="171"/>
      <c r="AW737" s="30"/>
    </row>
    <row r="738" spans="2:49">
      <c r="B738" s="250">
        <f t="shared" si="1015"/>
        <v>829</v>
      </c>
      <c r="C738" s="212"/>
      <c r="D738" s="102"/>
      <c r="E738" s="102" t="s">
        <v>14</v>
      </c>
      <c r="F738" s="102"/>
      <c r="G738" s="186">
        <v>0</v>
      </c>
      <c r="H738" s="186">
        <v>0</v>
      </c>
      <c r="I738" s="186">
        <v>0</v>
      </c>
      <c r="J738" s="186">
        <v>0</v>
      </c>
      <c r="K738" s="186">
        <v>0</v>
      </c>
      <c r="L738" s="186">
        <v>0</v>
      </c>
      <c r="M738" s="186">
        <v>0</v>
      </c>
      <c r="N738" s="186">
        <v>0</v>
      </c>
      <c r="O738" s="186">
        <v>0</v>
      </c>
      <c r="P738" s="186">
        <v>0</v>
      </c>
      <c r="Q738" s="186">
        <v>0</v>
      </c>
      <c r="R738" s="186">
        <v>0</v>
      </c>
      <c r="S738" s="186"/>
      <c r="T738" s="186">
        <f t="shared" ref="T738:W739" si="1062">G738*(1+$AU738)</f>
        <v>0</v>
      </c>
      <c r="U738" s="186">
        <f t="shared" si="1062"/>
        <v>0</v>
      </c>
      <c r="V738" s="186">
        <f t="shared" si="1062"/>
        <v>0</v>
      </c>
      <c r="W738" s="186">
        <f t="shared" si="1062"/>
        <v>0</v>
      </c>
      <c r="X738" s="186">
        <f t="shared" ref="X738:AE739" si="1063">K738*(1+$AU738)</f>
        <v>0</v>
      </c>
      <c r="Y738" s="186">
        <f t="shared" si="1063"/>
        <v>0</v>
      </c>
      <c r="Z738" s="186">
        <f t="shared" si="1063"/>
        <v>0</v>
      </c>
      <c r="AA738" s="186">
        <f t="shared" si="1063"/>
        <v>0</v>
      </c>
      <c r="AB738" s="186">
        <f t="shared" si="1063"/>
        <v>0</v>
      </c>
      <c r="AC738" s="186">
        <f t="shared" si="1063"/>
        <v>0</v>
      </c>
      <c r="AD738" s="186">
        <f t="shared" si="1063"/>
        <v>0</v>
      </c>
      <c r="AE738" s="186">
        <f t="shared" si="1063"/>
        <v>0</v>
      </c>
      <c r="AF738" s="186">
        <f t="shared" ref="AF738:AQ738" si="1064">T738*(1+$AV$738)</f>
        <v>0</v>
      </c>
      <c r="AG738" s="186">
        <f t="shared" si="1064"/>
        <v>0</v>
      </c>
      <c r="AH738" s="186">
        <f t="shared" si="1064"/>
        <v>0</v>
      </c>
      <c r="AI738" s="186">
        <f t="shared" si="1064"/>
        <v>0</v>
      </c>
      <c r="AJ738" s="186">
        <f t="shared" si="1064"/>
        <v>0</v>
      </c>
      <c r="AK738" s="186">
        <f t="shared" si="1064"/>
        <v>0</v>
      </c>
      <c r="AL738" s="186">
        <f t="shared" si="1064"/>
        <v>0</v>
      </c>
      <c r="AM738" s="186">
        <f t="shared" si="1064"/>
        <v>0</v>
      </c>
      <c r="AN738" s="186">
        <f t="shared" si="1064"/>
        <v>0</v>
      </c>
      <c r="AO738" s="186">
        <f t="shared" si="1064"/>
        <v>0</v>
      </c>
      <c r="AP738" s="186">
        <f t="shared" si="1064"/>
        <v>0</v>
      </c>
      <c r="AQ738" s="186">
        <f t="shared" si="1064"/>
        <v>0</v>
      </c>
      <c r="AR738" s="186">
        <f>SUM(G738:R738)</f>
        <v>0</v>
      </c>
      <c r="AS738" s="186">
        <f>SUM(T738:AE738)</f>
        <v>0</v>
      </c>
      <c r="AT738" s="186">
        <f>SUM(AF738:AQ738)</f>
        <v>0</v>
      </c>
      <c r="AU738" s="171">
        <v>1.3999999999999999E-2</v>
      </c>
      <c r="AV738" s="171">
        <v>1.7000000000000001E-2</v>
      </c>
      <c r="AW738" s="30"/>
    </row>
    <row r="739" spans="2:49">
      <c r="B739" s="250">
        <f t="shared" si="1015"/>
        <v>830</v>
      </c>
      <c r="C739" s="212"/>
      <c r="D739" s="102"/>
      <c r="E739" s="102" t="s">
        <v>24</v>
      </c>
      <c r="F739" s="102"/>
      <c r="G739" s="186">
        <v>0</v>
      </c>
      <c r="H739" s="186">
        <v>0</v>
      </c>
      <c r="I739" s="186">
        <v>0</v>
      </c>
      <c r="J739" s="186">
        <v>0</v>
      </c>
      <c r="K739" s="186">
        <v>0</v>
      </c>
      <c r="L739" s="186">
        <v>0</v>
      </c>
      <c r="M739" s="186">
        <v>0</v>
      </c>
      <c r="N739" s="186">
        <v>0</v>
      </c>
      <c r="O739" s="186">
        <v>0</v>
      </c>
      <c r="P739" s="186">
        <v>0</v>
      </c>
      <c r="Q739" s="186">
        <v>0</v>
      </c>
      <c r="R739" s="186">
        <v>0</v>
      </c>
      <c r="S739" s="617"/>
      <c r="T739" s="204">
        <f t="shared" si="1062"/>
        <v>0</v>
      </c>
      <c r="U739" s="204">
        <f t="shared" si="1062"/>
        <v>0</v>
      </c>
      <c r="V739" s="204">
        <f t="shared" si="1062"/>
        <v>0</v>
      </c>
      <c r="W739" s="204">
        <f t="shared" si="1062"/>
        <v>0</v>
      </c>
      <c r="X739" s="204">
        <f t="shared" si="1063"/>
        <v>0</v>
      </c>
      <c r="Y739" s="204">
        <f t="shared" si="1063"/>
        <v>0</v>
      </c>
      <c r="Z739" s="204">
        <f t="shared" si="1063"/>
        <v>0</v>
      </c>
      <c r="AA739" s="204">
        <f t="shared" si="1063"/>
        <v>0</v>
      </c>
      <c r="AB739" s="204">
        <f t="shared" si="1063"/>
        <v>0</v>
      </c>
      <c r="AC739" s="204">
        <f t="shared" si="1063"/>
        <v>0</v>
      </c>
      <c r="AD739" s="204">
        <f t="shared" si="1063"/>
        <v>0</v>
      </c>
      <c r="AE739" s="204">
        <f t="shared" si="1063"/>
        <v>0</v>
      </c>
      <c r="AF739" s="204">
        <f t="shared" ref="AF739:AQ739" si="1065">T739*(1+$AV$739)</f>
        <v>0</v>
      </c>
      <c r="AG739" s="204">
        <f t="shared" si="1065"/>
        <v>0</v>
      </c>
      <c r="AH739" s="204">
        <f t="shared" si="1065"/>
        <v>0</v>
      </c>
      <c r="AI739" s="204">
        <f t="shared" si="1065"/>
        <v>0</v>
      </c>
      <c r="AJ739" s="204">
        <f t="shared" si="1065"/>
        <v>0</v>
      </c>
      <c r="AK739" s="204">
        <f t="shared" si="1065"/>
        <v>0</v>
      </c>
      <c r="AL739" s="204">
        <f t="shared" si="1065"/>
        <v>0</v>
      </c>
      <c r="AM739" s="204">
        <f t="shared" si="1065"/>
        <v>0</v>
      </c>
      <c r="AN739" s="204">
        <f t="shared" si="1065"/>
        <v>0</v>
      </c>
      <c r="AO739" s="204">
        <f t="shared" si="1065"/>
        <v>0</v>
      </c>
      <c r="AP739" s="204">
        <f t="shared" si="1065"/>
        <v>0</v>
      </c>
      <c r="AQ739" s="204">
        <f t="shared" si="1065"/>
        <v>0</v>
      </c>
      <c r="AR739" s="204">
        <f>SUM(G739:R739)</f>
        <v>0</v>
      </c>
      <c r="AS739" s="204">
        <f>SUM(T739:AE739)</f>
        <v>0</v>
      </c>
      <c r="AT739" s="204">
        <f>SUM(AF739:AQ739)</f>
        <v>0</v>
      </c>
      <c r="AU739" s="618">
        <f>AU738</f>
        <v>1.3999999999999999E-2</v>
      </c>
      <c r="AV739" s="618">
        <f>AV738</f>
        <v>1.7000000000000001E-2</v>
      </c>
      <c r="AW739" s="30"/>
    </row>
    <row r="740" spans="2:49">
      <c r="B740" s="250">
        <f t="shared" si="1015"/>
        <v>831</v>
      </c>
      <c r="C740" s="212"/>
      <c r="D740" s="102"/>
      <c r="E740" s="102" t="s">
        <v>170</v>
      </c>
      <c r="F740" s="102"/>
      <c r="G740" s="1216">
        <v>0</v>
      </c>
      <c r="H740" s="1216">
        <v>0</v>
      </c>
      <c r="I740" s="1216">
        <v>0</v>
      </c>
      <c r="J740" s="1216">
        <v>0</v>
      </c>
      <c r="K740" s="1216">
        <v>0</v>
      </c>
      <c r="L740" s="1216">
        <v>0</v>
      </c>
      <c r="M740" s="1216">
        <v>0</v>
      </c>
      <c r="N740" s="1216">
        <v>0</v>
      </c>
      <c r="O740" s="1216">
        <v>0</v>
      </c>
      <c r="P740" s="1216">
        <v>0</v>
      </c>
      <c r="Q740" s="1216">
        <v>0</v>
      </c>
      <c r="R740" s="1216">
        <v>0</v>
      </c>
      <c r="S740" s="620"/>
      <c r="T740" s="131">
        <f t="shared" ref="T740:Y740" si="1066">SUM(T738:T739)</f>
        <v>0</v>
      </c>
      <c r="U740" s="131">
        <f t="shared" si="1066"/>
        <v>0</v>
      </c>
      <c r="V740" s="131">
        <f t="shared" si="1066"/>
        <v>0</v>
      </c>
      <c r="W740" s="131">
        <f t="shared" si="1066"/>
        <v>0</v>
      </c>
      <c r="X740" s="131">
        <f t="shared" si="1066"/>
        <v>0</v>
      </c>
      <c r="Y740" s="131">
        <f t="shared" si="1066"/>
        <v>0</v>
      </c>
      <c r="Z740" s="131">
        <f t="shared" ref="Z740:AE740" si="1067">SUM(Z738:Z739)</f>
        <v>0</v>
      </c>
      <c r="AA740" s="131">
        <f t="shared" si="1067"/>
        <v>0</v>
      </c>
      <c r="AB740" s="131">
        <f t="shared" si="1067"/>
        <v>0</v>
      </c>
      <c r="AC740" s="131">
        <f t="shared" si="1067"/>
        <v>0</v>
      </c>
      <c r="AD740" s="131">
        <f t="shared" si="1067"/>
        <v>0</v>
      </c>
      <c r="AE740" s="131">
        <f t="shared" si="1067"/>
        <v>0</v>
      </c>
      <c r="AF740" s="131">
        <f t="shared" ref="AF740:AQ740" si="1068">SUM(AF738:AF739)</f>
        <v>0</v>
      </c>
      <c r="AG740" s="131">
        <f t="shared" si="1068"/>
        <v>0</v>
      </c>
      <c r="AH740" s="131">
        <f t="shared" si="1068"/>
        <v>0</v>
      </c>
      <c r="AI740" s="131">
        <f t="shared" si="1068"/>
        <v>0</v>
      </c>
      <c r="AJ740" s="131">
        <f t="shared" si="1068"/>
        <v>0</v>
      </c>
      <c r="AK740" s="131">
        <f t="shared" si="1068"/>
        <v>0</v>
      </c>
      <c r="AL740" s="131">
        <f t="shared" si="1068"/>
        <v>0</v>
      </c>
      <c r="AM740" s="131">
        <f t="shared" si="1068"/>
        <v>0</v>
      </c>
      <c r="AN740" s="131">
        <f t="shared" si="1068"/>
        <v>0</v>
      </c>
      <c r="AO740" s="131">
        <f t="shared" si="1068"/>
        <v>0</v>
      </c>
      <c r="AP740" s="131">
        <f t="shared" si="1068"/>
        <v>0</v>
      </c>
      <c r="AQ740" s="131">
        <f t="shared" si="1068"/>
        <v>0</v>
      </c>
      <c r="AR740" s="131">
        <f>SUM(G740:R740)</f>
        <v>0</v>
      </c>
      <c r="AS740" s="131">
        <f>SUM(T740:AE740)</f>
        <v>0</v>
      </c>
      <c r="AT740" s="131">
        <f>SUM(AF740:AQ740)</f>
        <v>0</v>
      </c>
      <c r="AU740" s="621"/>
      <c r="AV740" s="621"/>
      <c r="AW740" s="30"/>
    </row>
    <row r="741" spans="2:49">
      <c r="B741" s="250">
        <f t="shared" si="1015"/>
        <v>832</v>
      </c>
      <c r="C741" s="212">
        <v>9301</v>
      </c>
      <c r="D741" s="102" t="s">
        <v>433</v>
      </c>
      <c r="E741" s="102"/>
      <c r="F741" s="102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71"/>
      <c r="AV741" s="171"/>
      <c r="AW741" s="30"/>
    </row>
    <row r="742" spans="2:49">
      <c r="B742" s="250">
        <f t="shared" si="1015"/>
        <v>833</v>
      </c>
      <c r="C742" s="212"/>
      <c r="D742" s="102"/>
      <c r="E742" s="102" t="s">
        <v>14</v>
      </c>
      <c r="F742" s="102"/>
      <c r="G742" s="186">
        <v>0</v>
      </c>
      <c r="H742" s="186">
        <v>0</v>
      </c>
      <c r="I742" s="186">
        <v>0</v>
      </c>
      <c r="J742" s="186">
        <v>0</v>
      </c>
      <c r="K742" s="186">
        <v>0</v>
      </c>
      <c r="L742" s="186">
        <v>0</v>
      </c>
      <c r="M742" s="186">
        <v>0</v>
      </c>
      <c r="N742" s="186">
        <v>0</v>
      </c>
      <c r="O742" s="186">
        <v>0</v>
      </c>
      <c r="P742" s="186">
        <v>0</v>
      </c>
      <c r="Q742" s="186">
        <v>0</v>
      </c>
      <c r="R742" s="186">
        <v>0</v>
      </c>
      <c r="S742" s="186"/>
      <c r="T742" s="186">
        <f t="shared" ref="T742:W743" si="1069">G742*(1+$AU742)</f>
        <v>0</v>
      </c>
      <c r="U742" s="186">
        <f t="shared" si="1069"/>
        <v>0</v>
      </c>
      <c r="V742" s="186">
        <f t="shared" si="1069"/>
        <v>0</v>
      </c>
      <c r="W742" s="186">
        <f t="shared" si="1069"/>
        <v>0</v>
      </c>
      <c r="X742" s="186">
        <f t="shared" ref="X742:AE743" si="1070">K742*(1+$AU742)</f>
        <v>0</v>
      </c>
      <c r="Y742" s="186">
        <f t="shared" si="1070"/>
        <v>0</v>
      </c>
      <c r="Z742" s="186">
        <f t="shared" si="1070"/>
        <v>0</v>
      </c>
      <c r="AA742" s="186">
        <f t="shared" si="1070"/>
        <v>0</v>
      </c>
      <c r="AB742" s="186">
        <f t="shared" si="1070"/>
        <v>0</v>
      </c>
      <c r="AC742" s="186">
        <f t="shared" si="1070"/>
        <v>0</v>
      </c>
      <c r="AD742" s="186">
        <f t="shared" si="1070"/>
        <v>0</v>
      </c>
      <c r="AE742" s="186">
        <f t="shared" si="1070"/>
        <v>0</v>
      </c>
      <c r="AF742" s="186">
        <f t="shared" ref="AF742:AQ742" si="1071">T742*(1+$AV$742)</f>
        <v>0</v>
      </c>
      <c r="AG742" s="186">
        <f t="shared" si="1071"/>
        <v>0</v>
      </c>
      <c r="AH742" s="186">
        <f t="shared" si="1071"/>
        <v>0</v>
      </c>
      <c r="AI742" s="186">
        <f t="shared" si="1071"/>
        <v>0</v>
      </c>
      <c r="AJ742" s="186">
        <f t="shared" si="1071"/>
        <v>0</v>
      </c>
      <c r="AK742" s="186">
        <f t="shared" si="1071"/>
        <v>0</v>
      </c>
      <c r="AL742" s="186">
        <f t="shared" si="1071"/>
        <v>0</v>
      </c>
      <c r="AM742" s="186">
        <f t="shared" si="1071"/>
        <v>0</v>
      </c>
      <c r="AN742" s="186">
        <f t="shared" si="1071"/>
        <v>0</v>
      </c>
      <c r="AO742" s="186">
        <f t="shared" si="1071"/>
        <v>0</v>
      </c>
      <c r="AP742" s="186">
        <f t="shared" si="1071"/>
        <v>0</v>
      </c>
      <c r="AQ742" s="186">
        <f t="shared" si="1071"/>
        <v>0</v>
      </c>
      <c r="AR742" s="186">
        <f>SUM(G742:R742)</f>
        <v>0</v>
      </c>
      <c r="AS742" s="186">
        <f>SUM(T742:AE742)</f>
        <v>0</v>
      </c>
      <c r="AT742" s="186">
        <f>SUM(AF742:AQ742)</f>
        <v>0</v>
      </c>
      <c r="AU742" s="171">
        <v>1.1000000000000001E-2</v>
      </c>
      <c r="AV742" s="171">
        <v>1.3000000000000001E-2</v>
      </c>
      <c r="AW742" s="30"/>
    </row>
    <row r="743" spans="2:49">
      <c r="B743" s="250">
        <f t="shared" si="1015"/>
        <v>834</v>
      </c>
      <c r="C743" s="212"/>
      <c r="D743" s="102"/>
      <c r="E743" s="102" t="s">
        <v>24</v>
      </c>
      <c r="F743" s="102"/>
      <c r="G743" s="186">
        <v>0</v>
      </c>
      <c r="H743" s="186">
        <v>0</v>
      </c>
      <c r="I743" s="186">
        <v>0</v>
      </c>
      <c r="J743" s="186">
        <v>0</v>
      </c>
      <c r="K743" s="186">
        <v>0</v>
      </c>
      <c r="L743" s="186">
        <v>0</v>
      </c>
      <c r="M743" s="186">
        <v>0</v>
      </c>
      <c r="N743" s="186">
        <v>0</v>
      </c>
      <c r="O743" s="186">
        <v>0</v>
      </c>
      <c r="P743" s="186">
        <v>0</v>
      </c>
      <c r="Q743" s="186">
        <v>0</v>
      </c>
      <c r="R743" s="186">
        <v>0</v>
      </c>
      <c r="S743" s="617"/>
      <c r="T743" s="204">
        <f t="shared" si="1069"/>
        <v>0</v>
      </c>
      <c r="U743" s="204">
        <f t="shared" si="1069"/>
        <v>0</v>
      </c>
      <c r="V743" s="204">
        <f t="shared" si="1069"/>
        <v>0</v>
      </c>
      <c r="W743" s="204">
        <f t="shared" si="1069"/>
        <v>0</v>
      </c>
      <c r="X743" s="204">
        <f t="shared" si="1070"/>
        <v>0</v>
      </c>
      <c r="Y743" s="204">
        <f t="shared" si="1070"/>
        <v>0</v>
      </c>
      <c r="Z743" s="204">
        <f t="shared" si="1070"/>
        <v>0</v>
      </c>
      <c r="AA743" s="204">
        <f t="shared" si="1070"/>
        <v>0</v>
      </c>
      <c r="AB743" s="204">
        <f t="shared" si="1070"/>
        <v>0</v>
      </c>
      <c r="AC743" s="204">
        <f t="shared" si="1070"/>
        <v>0</v>
      </c>
      <c r="AD743" s="204">
        <f t="shared" si="1070"/>
        <v>0</v>
      </c>
      <c r="AE743" s="204">
        <f t="shared" si="1070"/>
        <v>0</v>
      </c>
      <c r="AF743" s="204">
        <f t="shared" ref="AF743:AQ743" si="1072">T743*(1+$AV$743)</f>
        <v>0</v>
      </c>
      <c r="AG743" s="204">
        <f t="shared" si="1072"/>
        <v>0</v>
      </c>
      <c r="AH743" s="204">
        <f t="shared" si="1072"/>
        <v>0</v>
      </c>
      <c r="AI743" s="204">
        <f t="shared" si="1072"/>
        <v>0</v>
      </c>
      <c r="AJ743" s="204">
        <f t="shared" si="1072"/>
        <v>0</v>
      </c>
      <c r="AK743" s="204">
        <f t="shared" si="1072"/>
        <v>0</v>
      </c>
      <c r="AL743" s="204">
        <f t="shared" si="1072"/>
        <v>0</v>
      </c>
      <c r="AM743" s="204">
        <f t="shared" si="1072"/>
        <v>0</v>
      </c>
      <c r="AN743" s="204">
        <f t="shared" si="1072"/>
        <v>0</v>
      </c>
      <c r="AO743" s="204">
        <f t="shared" si="1072"/>
        <v>0</v>
      </c>
      <c r="AP743" s="204">
        <f t="shared" si="1072"/>
        <v>0</v>
      </c>
      <c r="AQ743" s="204">
        <f t="shared" si="1072"/>
        <v>0</v>
      </c>
      <c r="AR743" s="204">
        <f>SUM(G743:R743)</f>
        <v>0</v>
      </c>
      <c r="AS743" s="204">
        <f>SUM(T743:AE743)</f>
        <v>0</v>
      </c>
      <c r="AT743" s="204">
        <f>SUM(AF743:AQ743)</f>
        <v>0</v>
      </c>
      <c r="AU743" s="618">
        <f>AU742</f>
        <v>1.1000000000000001E-2</v>
      </c>
      <c r="AV743" s="618">
        <f>AV742</f>
        <v>1.3000000000000001E-2</v>
      </c>
      <c r="AW743" s="30"/>
    </row>
    <row r="744" spans="2:49">
      <c r="B744" s="250">
        <f t="shared" si="1015"/>
        <v>835</v>
      </c>
      <c r="C744" s="212"/>
      <c r="D744" s="102"/>
      <c r="E744" s="102" t="s">
        <v>170</v>
      </c>
      <c r="F744" s="102"/>
      <c r="G744" s="1216">
        <v>0</v>
      </c>
      <c r="H744" s="1216">
        <v>0</v>
      </c>
      <c r="I744" s="1216">
        <v>0</v>
      </c>
      <c r="J744" s="1216">
        <v>0</v>
      </c>
      <c r="K744" s="1216">
        <v>0</v>
      </c>
      <c r="L744" s="1216">
        <v>0</v>
      </c>
      <c r="M744" s="1216">
        <v>0</v>
      </c>
      <c r="N744" s="1216">
        <v>0</v>
      </c>
      <c r="O744" s="1216">
        <v>0</v>
      </c>
      <c r="P744" s="1216">
        <v>0</v>
      </c>
      <c r="Q744" s="1216">
        <v>0</v>
      </c>
      <c r="R744" s="1216">
        <v>0</v>
      </c>
      <c r="S744" s="620"/>
      <c r="T744" s="131">
        <f t="shared" ref="T744:Y744" si="1073">SUM(T742:T743)</f>
        <v>0</v>
      </c>
      <c r="U744" s="131">
        <f t="shared" si="1073"/>
        <v>0</v>
      </c>
      <c r="V744" s="131">
        <f t="shared" si="1073"/>
        <v>0</v>
      </c>
      <c r="W744" s="131">
        <f t="shared" si="1073"/>
        <v>0</v>
      </c>
      <c r="X744" s="131">
        <f t="shared" si="1073"/>
        <v>0</v>
      </c>
      <c r="Y744" s="131">
        <f t="shared" si="1073"/>
        <v>0</v>
      </c>
      <c r="Z744" s="131">
        <f t="shared" ref="Z744:AE744" si="1074">SUM(Z742:Z743)</f>
        <v>0</v>
      </c>
      <c r="AA744" s="131">
        <f t="shared" si="1074"/>
        <v>0</v>
      </c>
      <c r="AB744" s="131">
        <f t="shared" si="1074"/>
        <v>0</v>
      </c>
      <c r="AC744" s="131">
        <f t="shared" si="1074"/>
        <v>0</v>
      </c>
      <c r="AD744" s="131">
        <f t="shared" si="1074"/>
        <v>0</v>
      </c>
      <c r="AE744" s="131">
        <f t="shared" si="1074"/>
        <v>0</v>
      </c>
      <c r="AF744" s="131">
        <f t="shared" ref="AF744:AQ744" si="1075">SUM(AF742:AF743)</f>
        <v>0</v>
      </c>
      <c r="AG744" s="131">
        <f t="shared" si="1075"/>
        <v>0</v>
      </c>
      <c r="AH744" s="131">
        <f t="shared" si="1075"/>
        <v>0</v>
      </c>
      <c r="AI744" s="131">
        <f t="shared" si="1075"/>
        <v>0</v>
      </c>
      <c r="AJ744" s="131">
        <f t="shared" si="1075"/>
        <v>0</v>
      </c>
      <c r="AK744" s="131">
        <f t="shared" si="1075"/>
        <v>0</v>
      </c>
      <c r="AL744" s="131">
        <f t="shared" si="1075"/>
        <v>0</v>
      </c>
      <c r="AM744" s="131">
        <f t="shared" si="1075"/>
        <v>0</v>
      </c>
      <c r="AN744" s="131">
        <f t="shared" si="1075"/>
        <v>0</v>
      </c>
      <c r="AO744" s="131">
        <f t="shared" si="1075"/>
        <v>0</v>
      </c>
      <c r="AP744" s="131">
        <f t="shared" si="1075"/>
        <v>0</v>
      </c>
      <c r="AQ744" s="131">
        <f t="shared" si="1075"/>
        <v>0</v>
      </c>
      <c r="AR744" s="131">
        <f>SUM(G744:R744)</f>
        <v>0</v>
      </c>
      <c r="AS744" s="131">
        <f>SUM(T744:AE744)</f>
        <v>0</v>
      </c>
      <c r="AT744" s="131">
        <f>SUM(AF744:AQ744)</f>
        <v>0</v>
      </c>
      <c r="AU744" s="621"/>
      <c r="AV744" s="621"/>
      <c r="AW744" s="30"/>
    </row>
    <row r="745" spans="2:49">
      <c r="B745" s="250">
        <f t="shared" si="1015"/>
        <v>836</v>
      </c>
      <c r="C745" s="212">
        <v>9302</v>
      </c>
      <c r="D745" s="102" t="s">
        <v>435</v>
      </c>
      <c r="E745" s="102"/>
      <c r="F745" s="102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71"/>
      <c r="AV745" s="171"/>
      <c r="AW745" s="30"/>
    </row>
    <row r="746" spans="2:49">
      <c r="B746" s="250">
        <f t="shared" si="1015"/>
        <v>837</v>
      </c>
      <c r="C746" s="212"/>
      <c r="D746" s="102"/>
      <c r="E746" s="102" t="s">
        <v>14</v>
      </c>
      <c r="F746" s="102"/>
      <c r="G746" s="186">
        <v>149376.06000000003</v>
      </c>
      <c r="H746" s="186">
        <v>149899.09</v>
      </c>
      <c r="I746" s="186">
        <v>150309.83000000002</v>
      </c>
      <c r="J746" s="186">
        <v>150887.12</v>
      </c>
      <c r="K746" s="186">
        <v>147050.26</v>
      </c>
      <c r="L746" s="186">
        <v>147670.32</v>
      </c>
      <c r="M746" s="186">
        <v>147106.78</v>
      </c>
      <c r="N746" s="186">
        <v>146552.49000000002</v>
      </c>
      <c r="O746" s="186">
        <v>147213.56</v>
      </c>
      <c r="P746" s="186">
        <v>146490.95000000001</v>
      </c>
      <c r="Q746" s="186">
        <v>147795.33000000002</v>
      </c>
      <c r="R746" s="186">
        <v>198842.38</v>
      </c>
      <c r="S746" s="186"/>
      <c r="T746" s="186">
        <f t="shared" ref="T746:W747" si="1076">G746*(1+$AU746)</f>
        <v>151616.70090000003</v>
      </c>
      <c r="U746" s="186">
        <f t="shared" si="1076"/>
        <v>152147.57634999999</v>
      </c>
      <c r="V746" s="186">
        <f t="shared" si="1076"/>
        <v>152564.47745000001</v>
      </c>
      <c r="W746" s="186">
        <f t="shared" si="1076"/>
        <v>153150.42679999999</v>
      </c>
      <c r="X746" s="186">
        <f t="shared" ref="X746:AE747" si="1077">K746*(1+$AU746)</f>
        <v>149256.01389999999</v>
      </c>
      <c r="Y746" s="186">
        <f t="shared" si="1077"/>
        <v>149885.37479999999</v>
      </c>
      <c r="Z746" s="186">
        <f t="shared" si="1077"/>
        <v>149313.3817</v>
      </c>
      <c r="AA746" s="186">
        <f t="shared" si="1077"/>
        <v>148750.77735000002</v>
      </c>
      <c r="AB746" s="186">
        <f t="shared" si="1077"/>
        <v>149421.7634</v>
      </c>
      <c r="AC746" s="186">
        <f t="shared" si="1077"/>
        <v>148688.31425</v>
      </c>
      <c r="AD746" s="186">
        <f t="shared" si="1077"/>
        <v>150012.25995000001</v>
      </c>
      <c r="AE746" s="186">
        <f t="shared" si="1077"/>
        <v>201825.01569999999</v>
      </c>
      <c r="AF746" s="186">
        <f t="shared" ref="AF746:AQ746" si="1078">T746*(1+$AV$746)</f>
        <v>153587.71801170002</v>
      </c>
      <c r="AG746" s="186">
        <f t="shared" si="1078"/>
        <v>154125.49484254996</v>
      </c>
      <c r="AH746" s="186">
        <f t="shared" si="1078"/>
        <v>154547.81565685</v>
      </c>
      <c r="AI746" s="186">
        <f t="shared" si="1078"/>
        <v>155141.38234839996</v>
      </c>
      <c r="AJ746" s="186">
        <f t="shared" si="1078"/>
        <v>151196.34208069998</v>
      </c>
      <c r="AK746" s="186">
        <f t="shared" si="1078"/>
        <v>151833.88467239999</v>
      </c>
      <c r="AL746" s="186">
        <f t="shared" si="1078"/>
        <v>151254.45566209999</v>
      </c>
      <c r="AM746" s="186">
        <f t="shared" si="1078"/>
        <v>150684.53745555002</v>
      </c>
      <c r="AN746" s="186">
        <f t="shared" si="1078"/>
        <v>151364.24632419998</v>
      </c>
      <c r="AO746" s="186">
        <f t="shared" si="1078"/>
        <v>150621.26233524998</v>
      </c>
      <c r="AP746" s="186">
        <f t="shared" si="1078"/>
        <v>151962.41932935</v>
      </c>
      <c r="AQ746" s="186">
        <f t="shared" si="1078"/>
        <v>204448.74090409998</v>
      </c>
      <c r="AR746" s="186">
        <f>SUM(G746:R746)</f>
        <v>1829194.1700000004</v>
      </c>
      <c r="AS746" s="186">
        <f>SUM(T746:AE746)</f>
        <v>1856632.0825500004</v>
      </c>
      <c r="AT746" s="186">
        <f>SUM(AF746:AQ746)</f>
        <v>1880768.2996231497</v>
      </c>
      <c r="AU746" s="171">
        <v>1.4999999999999999E-2</v>
      </c>
      <c r="AV746" s="171">
        <v>1.3000000000000001E-2</v>
      </c>
      <c r="AW746" s="30"/>
    </row>
    <row r="747" spans="2:49">
      <c r="B747" s="250">
        <f t="shared" si="1015"/>
        <v>838</v>
      </c>
      <c r="C747" s="212"/>
      <c r="D747" s="102"/>
      <c r="E747" s="102" t="s">
        <v>24</v>
      </c>
      <c r="F747" s="102"/>
      <c r="G747" s="186">
        <v>3279.08</v>
      </c>
      <c r="H747" s="186">
        <v>3482.01</v>
      </c>
      <c r="I747" s="186">
        <v>3929.27</v>
      </c>
      <c r="J747" s="186">
        <v>3566.48</v>
      </c>
      <c r="K747" s="186">
        <v>3757.59</v>
      </c>
      <c r="L747" s="186">
        <v>3203.53</v>
      </c>
      <c r="M747" s="186">
        <v>3783.57</v>
      </c>
      <c r="N747" s="186">
        <v>3842.86</v>
      </c>
      <c r="O747" s="186">
        <v>3363.29</v>
      </c>
      <c r="P747" s="186">
        <v>4234.3999999999996</v>
      </c>
      <c r="Q747" s="186">
        <v>3392.02</v>
      </c>
      <c r="R747" s="186">
        <v>2706.03</v>
      </c>
      <c r="S747" s="617"/>
      <c r="T747" s="204">
        <f t="shared" si="1076"/>
        <v>3328.2661999999996</v>
      </c>
      <c r="U747" s="204">
        <f t="shared" si="1076"/>
        <v>3534.2401500000001</v>
      </c>
      <c r="V747" s="204">
        <f t="shared" si="1076"/>
        <v>3988.2090499999995</v>
      </c>
      <c r="W747" s="204">
        <f t="shared" si="1076"/>
        <v>3619.9771999999998</v>
      </c>
      <c r="X747" s="204">
        <f t="shared" si="1077"/>
        <v>3813.9538499999999</v>
      </c>
      <c r="Y747" s="204">
        <f t="shared" si="1077"/>
        <v>3251.58295</v>
      </c>
      <c r="Z747" s="204">
        <f t="shared" si="1077"/>
        <v>3840.3235499999996</v>
      </c>
      <c r="AA747" s="204">
        <f t="shared" si="1077"/>
        <v>3900.5029</v>
      </c>
      <c r="AB747" s="204">
        <f t="shared" si="1077"/>
        <v>3413.7393499999998</v>
      </c>
      <c r="AC747" s="204">
        <f t="shared" si="1077"/>
        <v>4297.9159999999993</v>
      </c>
      <c r="AD747" s="204">
        <f t="shared" si="1077"/>
        <v>3442.9002999999998</v>
      </c>
      <c r="AE747" s="204">
        <f t="shared" si="1077"/>
        <v>2746.6204499999999</v>
      </c>
      <c r="AF747" s="204">
        <f t="shared" ref="AF747:AQ747" si="1079">T747*(1+$AV$747)</f>
        <v>3371.5336605999992</v>
      </c>
      <c r="AG747" s="204">
        <f t="shared" si="1079"/>
        <v>3580.1852719499998</v>
      </c>
      <c r="AH747" s="204">
        <f t="shared" si="1079"/>
        <v>4040.0557676499989</v>
      </c>
      <c r="AI747" s="204">
        <f t="shared" si="1079"/>
        <v>3667.0369035999993</v>
      </c>
      <c r="AJ747" s="204">
        <f t="shared" si="1079"/>
        <v>3863.5352500499994</v>
      </c>
      <c r="AK747" s="204">
        <f t="shared" si="1079"/>
        <v>3293.8535283499996</v>
      </c>
      <c r="AL747" s="204">
        <f t="shared" si="1079"/>
        <v>3890.2477561499991</v>
      </c>
      <c r="AM747" s="204">
        <f t="shared" si="1079"/>
        <v>3951.2094376999994</v>
      </c>
      <c r="AN747" s="204">
        <f t="shared" si="1079"/>
        <v>3458.1179615499996</v>
      </c>
      <c r="AO747" s="204">
        <f t="shared" si="1079"/>
        <v>4353.7889079999986</v>
      </c>
      <c r="AP747" s="204">
        <f t="shared" si="1079"/>
        <v>3487.6580038999996</v>
      </c>
      <c r="AQ747" s="204">
        <f t="shared" si="1079"/>
        <v>2782.3265158499994</v>
      </c>
      <c r="AR747" s="204">
        <f>SUM(G747:R747)</f>
        <v>42540.13</v>
      </c>
      <c r="AS747" s="204">
        <f>SUM(T747:AE747)</f>
        <v>43178.231950000001</v>
      </c>
      <c r="AT747" s="204">
        <f>SUM(AF747:AQ747)</f>
        <v>43739.548965349983</v>
      </c>
      <c r="AU747" s="618">
        <f>AU746</f>
        <v>1.4999999999999999E-2</v>
      </c>
      <c r="AV747" s="618">
        <f>AV746</f>
        <v>1.3000000000000001E-2</v>
      </c>
      <c r="AW747" s="30"/>
    </row>
    <row r="748" spans="2:49">
      <c r="B748" s="250">
        <f t="shared" si="1015"/>
        <v>839</v>
      </c>
      <c r="C748" s="212"/>
      <c r="D748" s="102"/>
      <c r="E748" s="102" t="s">
        <v>170</v>
      </c>
      <c r="F748" s="102"/>
      <c r="G748" s="1216">
        <v>152655.14000000001</v>
      </c>
      <c r="H748" s="1216">
        <v>153381.1</v>
      </c>
      <c r="I748" s="1216">
        <v>154239.1</v>
      </c>
      <c r="J748" s="1216">
        <v>154453.6</v>
      </c>
      <c r="K748" s="1216">
        <v>150807.85</v>
      </c>
      <c r="L748" s="1216">
        <v>150873.85</v>
      </c>
      <c r="M748" s="1216">
        <v>150890.35</v>
      </c>
      <c r="N748" s="1216">
        <v>150395.35</v>
      </c>
      <c r="O748" s="1216">
        <v>150576.85</v>
      </c>
      <c r="P748" s="1216">
        <v>150725.35</v>
      </c>
      <c r="Q748" s="1216">
        <v>151187.35</v>
      </c>
      <c r="R748" s="1216">
        <v>201548.41</v>
      </c>
      <c r="S748" s="620"/>
      <c r="T748" s="131">
        <f t="shared" ref="T748:Y748" si="1080">SUM(T746:T747)</f>
        <v>154944.96710000004</v>
      </c>
      <c r="U748" s="131">
        <f t="shared" si="1080"/>
        <v>155681.81649999999</v>
      </c>
      <c r="V748" s="131">
        <f t="shared" si="1080"/>
        <v>156552.68650000001</v>
      </c>
      <c r="W748" s="131">
        <f t="shared" si="1080"/>
        <v>156770.40399999998</v>
      </c>
      <c r="X748" s="131">
        <f t="shared" si="1080"/>
        <v>153069.96774999998</v>
      </c>
      <c r="Y748" s="131">
        <f t="shared" si="1080"/>
        <v>153136.95775</v>
      </c>
      <c r="Z748" s="131">
        <f t="shared" ref="Z748:AE748" si="1081">SUM(Z746:Z747)</f>
        <v>153153.70525</v>
      </c>
      <c r="AA748" s="131">
        <f t="shared" si="1081"/>
        <v>152651.28025000001</v>
      </c>
      <c r="AB748" s="131">
        <f t="shared" si="1081"/>
        <v>152835.50274999999</v>
      </c>
      <c r="AC748" s="131">
        <f t="shared" si="1081"/>
        <v>152986.23024999999</v>
      </c>
      <c r="AD748" s="131">
        <f t="shared" si="1081"/>
        <v>153455.16025000002</v>
      </c>
      <c r="AE748" s="131">
        <f t="shared" si="1081"/>
        <v>204571.63614999998</v>
      </c>
      <c r="AF748" s="131">
        <f t="shared" ref="AF748:AQ748" si="1082">SUM(AF746:AF747)</f>
        <v>156959.25167230002</v>
      </c>
      <c r="AG748" s="131">
        <f t="shared" si="1082"/>
        <v>157705.68011449996</v>
      </c>
      <c r="AH748" s="131">
        <f t="shared" si="1082"/>
        <v>158587.87142449999</v>
      </c>
      <c r="AI748" s="131">
        <f t="shared" si="1082"/>
        <v>158808.41925199996</v>
      </c>
      <c r="AJ748" s="131">
        <f t="shared" si="1082"/>
        <v>155059.87733074997</v>
      </c>
      <c r="AK748" s="131">
        <f t="shared" si="1082"/>
        <v>155127.73820075</v>
      </c>
      <c r="AL748" s="131">
        <f t="shared" si="1082"/>
        <v>155144.70341824999</v>
      </c>
      <c r="AM748" s="131">
        <f t="shared" si="1082"/>
        <v>154635.74689325001</v>
      </c>
      <c r="AN748" s="131">
        <f t="shared" si="1082"/>
        <v>154822.36428574997</v>
      </c>
      <c r="AO748" s="131">
        <f t="shared" si="1082"/>
        <v>154975.05124324997</v>
      </c>
      <c r="AP748" s="131">
        <f t="shared" si="1082"/>
        <v>155450.07733325</v>
      </c>
      <c r="AQ748" s="131">
        <f t="shared" si="1082"/>
        <v>207231.06741994998</v>
      </c>
      <c r="AR748" s="131">
        <f>SUM(G748:R748)</f>
        <v>1871734.3000000003</v>
      </c>
      <c r="AS748" s="131">
        <f>SUM(T748:AE748)</f>
        <v>1899810.3145000001</v>
      </c>
      <c r="AT748" s="131">
        <f>SUM(AF748:AQ748)</f>
        <v>1924507.8485884999</v>
      </c>
      <c r="AU748" s="621"/>
      <c r="AV748" s="621"/>
      <c r="AW748" s="30"/>
    </row>
    <row r="749" spans="2:49">
      <c r="B749" s="250">
        <f t="shared" si="1015"/>
        <v>840</v>
      </c>
      <c r="C749" s="212">
        <v>931</v>
      </c>
      <c r="D749" s="102" t="s">
        <v>385</v>
      </c>
      <c r="E749" s="102"/>
      <c r="F749" s="102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  <c r="AA749" s="186"/>
      <c r="AB749" s="186"/>
      <c r="AC749" s="186"/>
      <c r="AD749" s="186"/>
      <c r="AE749" s="186"/>
      <c r="AF749" s="186"/>
      <c r="AG749" s="186"/>
      <c r="AH749" s="186"/>
      <c r="AI749" s="186"/>
      <c r="AJ749" s="186"/>
      <c r="AK749" s="186"/>
      <c r="AL749" s="186"/>
      <c r="AM749" s="186"/>
      <c r="AN749" s="186"/>
      <c r="AO749" s="186"/>
      <c r="AP749" s="186"/>
      <c r="AQ749" s="186"/>
      <c r="AR749" s="186"/>
      <c r="AS749" s="186"/>
      <c r="AT749" s="186"/>
      <c r="AU749" s="171"/>
      <c r="AV749" s="171"/>
      <c r="AW749" s="30"/>
    </row>
    <row r="750" spans="2:49">
      <c r="B750" s="250">
        <f t="shared" si="1015"/>
        <v>841</v>
      </c>
      <c r="C750" s="212"/>
      <c r="D750" s="102"/>
      <c r="E750" s="102" t="s">
        <v>14</v>
      </c>
      <c r="F750" s="102"/>
      <c r="G750" s="186">
        <v>70304.45</v>
      </c>
      <c r="H750" s="186">
        <v>69226.37000000001</v>
      </c>
      <c r="I750" s="186">
        <v>72066.459999999992</v>
      </c>
      <c r="J750" s="186">
        <v>68412.92</v>
      </c>
      <c r="K750" s="186">
        <v>70549.040000000008</v>
      </c>
      <c r="L750" s="186">
        <v>70565.310000000012</v>
      </c>
      <c r="M750" s="186">
        <v>72818.8</v>
      </c>
      <c r="N750" s="186">
        <v>70958.45</v>
      </c>
      <c r="O750" s="186">
        <v>71587.64</v>
      </c>
      <c r="P750" s="186">
        <v>69928.44</v>
      </c>
      <c r="Q750" s="186">
        <v>67875.08</v>
      </c>
      <c r="R750" s="186">
        <v>75291.12000000001</v>
      </c>
      <c r="S750" s="186"/>
      <c r="T750" s="186">
        <f t="shared" ref="T750:W751" si="1083">G750*(1+$AU750)</f>
        <v>71007.494500000001</v>
      </c>
      <c r="U750" s="186">
        <f t="shared" si="1083"/>
        <v>69918.633700000006</v>
      </c>
      <c r="V750" s="186">
        <f t="shared" si="1083"/>
        <v>72787.124599999996</v>
      </c>
      <c r="W750" s="186">
        <f t="shared" si="1083"/>
        <v>69097.049199999994</v>
      </c>
      <c r="X750" s="186">
        <f t="shared" ref="X750:AE751" si="1084">K750*(1+$AU750)</f>
        <v>71254.530400000003</v>
      </c>
      <c r="Y750" s="186">
        <f t="shared" si="1084"/>
        <v>71270.963100000008</v>
      </c>
      <c r="Z750" s="186">
        <f t="shared" si="1084"/>
        <v>73546.987999999998</v>
      </c>
      <c r="AA750" s="186">
        <f t="shared" si="1084"/>
        <v>71668.034499999994</v>
      </c>
      <c r="AB750" s="186">
        <f t="shared" si="1084"/>
        <v>72303.516399999993</v>
      </c>
      <c r="AC750" s="186">
        <f t="shared" si="1084"/>
        <v>70627.724400000006</v>
      </c>
      <c r="AD750" s="186">
        <f t="shared" si="1084"/>
        <v>68553.830799999996</v>
      </c>
      <c r="AE750" s="186">
        <f t="shared" si="1084"/>
        <v>76044.031200000012</v>
      </c>
      <c r="AF750" s="186">
        <f t="shared" ref="AF750:AQ750" si="1085">T750*(1+$AV$750)</f>
        <v>72143.614411999995</v>
      </c>
      <c r="AG750" s="186">
        <f t="shared" si="1085"/>
        <v>71037.331839200007</v>
      </c>
      <c r="AH750" s="186">
        <f t="shared" si="1085"/>
        <v>73951.718593600002</v>
      </c>
      <c r="AI750" s="186">
        <f t="shared" si="1085"/>
        <v>70202.601987199989</v>
      </c>
      <c r="AJ750" s="186">
        <f t="shared" si="1085"/>
        <v>72394.602886400011</v>
      </c>
      <c r="AK750" s="186">
        <f t="shared" si="1085"/>
        <v>72411.298509600005</v>
      </c>
      <c r="AL750" s="186">
        <f t="shared" si="1085"/>
        <v>74723.739807999998</v>
      </c>
      <c r="AM750" s="186">
        <f t="shared" si="1085"/>
        <v>72814.723052000001</v>
      </c>
      <c r="AN750" s="186">
        <f t="shared" si="1085"/>
        <v>73460.372662399997</v>
      </c>
      <c r="AO750" s="186">
        <f t="shared" si="1085"/>
        <v>71757.767990400011</v>
      </c>
      <c r="AP750" s="186">
        <f t="shared" si="1085"/>
        <v>69650.692092800004</v>
      </c>
      <c r="AQ750" s="186">
        <f t="shared" si="1085"/>
        <v>77260.735699200013</v>
      </c>
      <c r="AR750" s="186">
        <f>SUM(G750:R750)</f>
        <v>849584.07999999984</v>
      </c>
      <c r="AS750" s="186">
        <f>SUM(T750:AE750)</f>
        <v>858079.92079999996</v>
      </c>
      <c r="AT750" s="186">
        <f>SUM(AF750:AQ750)</f>
        <v>871809.19953280012</v>
      </c>
      <c r="AU750" s="171">
        <v>0.01</v>
      </c>
      <c r="AV750" s="171">
        <v>1.6E-2</v>
      </c>
      <c r="AW750" s="30"/>
    </row>
    <row r="751" spans="2:49">
      <c r="B751" s="250">
        <f t="shared" si="1015"/>
        <v>842</v>
      </c>
      <c r="C751" s="212"/>
      <c r="D751" s="102"/>
      <c r="E751" s="102" t="s">
        <v>24</v>
      </c>
      <c r="F751" s="102"/>
      <c r="G751" s="186">
        <v>2245.7400000000002</v>
      </c>
      <c r="H751" s="186">
        <v>2222.59</v>
      </c>
      <c r="I751" s="186">
        <v>2398.41</v>
      </c>
      <c r="J751" s="186">
        <v>2268.81</v>
      </c>
      <c r="K751" s="186">
        <v>2325.14</v>
      </c>
      <c r="L751" s="186">
        <v>2325.6799999999998</v>
      </c>
      <c r="M751" s="186">
        <v>2392.69</v>
      </c>
      <c r="N751" s="186">
        <v>2308.61</v>
      </c>
      <c r="O751" s="186">
        <v>2336.81</v>
      </c>
      <c r="P751" s="186">
        <v>2282.31</v>
      </c>
      <c r="Q751" s="186">
        <v>2229.2600000000002</v>
      </c>
      <c r="R751" s="186">
        <v>2466.4299999999998</v>
      </c>
      <c r="S751" s="617"/>
      <c r="T751" s="204">
        <f t="shared" si="1083"/>
        <v>2268.1974000000005</v>
      </c>
      <c r="U751" s="204">
        <f t="shared" si="1083"/>
        <v>2244.8159000000001</v>
      </c>
      <c r="V751" s="204">
        <f t="shared" si="1083"/>
        <v>2422.3941</v>
      </c>
      <c r="W751" s="204">
        <f t="shared" si="1083"/>
        <v>2291.4980999999998</v>
      </c>
      <c r="X751" s="204">
        <f t="shared" si="1084"/>
        <v>2348.3914</v>
      </c>
      <c r="Y751" s="204">
        <f t="shared" si="1084"/>
        <v>2348.9367999999999</v>
      </c>
      <c r="Z751" s="204">
        <f t="shared" si="1084"/>
        <v>2416.6169</v>
      </c>
      <c r="AA751" s="204">
        <f t="shared" si="1084"/>
        <v>2331.6961000000001</v>
      </c>
      <c r="AB751" s="204">
        <f t="shared" si="1084"/>
        <v>2360.1781000000001</v>
      </c>
      <c r="AC751" s="204">
        <f t="shared" si="1084"/>
        <v>2305.1331</v>
      </c>
      <c r="AD751" s="204">
        <f t="shared" si="1084"/>
        <v>2251.5526000000004</v>
      </c>
      <c r="AE751" s="204">
        <f t="shared" si="1084"/>
        <v>2491.0942999999997</v>
      </c>
      <c r="AF751" s="204">
        <f t="shared" ref="AF751:AQ751" si="1086">T751*(1+$AV$751)</f>
        <v>2304.4885584000003</v>
      </c>
      <c r="AG751" s="204">
        <f t="shared" si="1086"/>
        <v>2280.7329543999999</v>
      </c>
      <c r="AH751" s="204">
        <f t="shared" si="1086"/>
        <v>2461.1524055999998</v>
      </c>
      <c r="AI751" s="204">
        <f t="shared" si="1086"/>
        <v>2328.1620696</v>
      </c>
      <c r="AJ751" s="204">
        <f t="shared" si="1086"/>
        <v>2385.9656623999999</v>
      </c>
      <c r="AK751" s="204">
        <f t="shared" si="1086"/>
        <v>2386.5197887999998</v>
      </c>
      <c r="AL751" s="204">
        <f t="shared" si="1086"/>
        <v>2455.2827704000001</v>
      </c>
      <c r="AM751" s="204">
        <f t="shared" si="1086"/>
        <v>2369.0032376000004</v>
      </c>
      <c r="AN751" s="204">
        <f t="shared" si="1086"/>
        <v>2397.9409496000003</v>
      </c>
      <c r="AO751" s="204">
        <f t="shared" si="1086"/>
        <v>2342.0152296000001</v>
      </c>
      <c r="AP751" s="204">
        <f t="shared" si="1086"/>
        <v>2287.5774416000004</v>
      </c>
      <c r="AQ751" s="204">
        <f t="shared" si="1086"/>
        <v>2530.9518088</v>
      </c>
      <c r="AR751" s="204">
        <f>SUM(G751:R751)</f>
        <v>27802.480000000003</v>
      </c>
      <c r="AS751" s="204">
        <f>SUM(T751:AE751)</f>
        <v>28080.504800000002</v>
      </c>
      <c r="AT751" s="204">
        <f>SUM(AF751:AQ751)</f>
        <v>28529.792876800002</v>
      </c>
      <c r="AU751" s="618">
        <f>AU750</f>
        <v>0.01</v>
      </c>
      <c r="AV751" s="618">
        <f>AV750</f>
        <v>1.6E-2</v>
      </c>
      <c r="AW751" s="30"/>
    </row>
    <row r="752" spans="2:49">
      <c r="B752" s="250">
        <f t="shared" si="1015"/>
        <v>843</v>
      </c>
      <c r="C752" s="212"/>
      <c r="D752" s="102"/>
      <c r="E752" s="102" t="s">
        <v>170</v>
      </c>
      <c r="F752" s="102"/>
      <c r="G752" s="1216">
        <v>72550.19</v>
      </c>
      <c r="H752" s="1216">
        <v>71448.960000000006</v>
      </c>
      <c r="I752" s="1216">
        <v>74464.87</v>
      </c>
      <c r="J752" s="1216">
        <v>70681.73</v>
      </c>
      <c r="K752" s="1216">
        <v>72874.180000000008</v>
      </c>
      <c r="L752" s="1216">
        <v>72890.990000000005</v>
      </c>
      <c r="M752" s="1216">
        <v>75211.490000000005</v>
      </c>
      <c r="N752" s="1216">
        <v>73267.06</v>
      </c>
      <c r="O752" s="1216">
        <v>73924.45</v>
      </c>
      <c r="P752" s="1216">
        <v>72210.75</v>
      </c>
      <c r="Q752" s="1216">
        <v>70104.34</v>
      </c>
      <c r="R752" s="1216">
        <v>77757.55</v>
      </c>
      <c r="S752" s="620"/>
      <c r="T752" s="131">
        <f t="shared" ref="T752:Y752" si="1087">SUM(T750:T751)</f>
        <v>73275.691900000005</v>
      </c>
      <c r="U752" s="131">
        <f t="shared" si="1087"/>
        <v>72163.449600000007</v>
      </c>
      <c r="V752" s="131">
        <f t="shared" si="1087"/>
        <v>75209.518700000001</v>
      </c>
      <c r="W752" s="131">
        <f t="shared" si="1087"/>
        <v>71388.547299999991</v>
      </c>
      <c r="X752" s="131">
        <f t="shared" si="1087"/>
        <v>73602.921799999996</v>
      </c>
      <c r="Y752" s="131">
        <f t="shared" si="1087"/>
        <v>73619.899900000004</v>
      </c>
      <c r="Z752" s="131">
        <f t="shared" ref="Z752:AE752" si="1088">SUM(Z750:Z751)</f>
        <v>75963.604899999991</v>
      </c>
      <c r="AA752" s="131">
        <f t="shared" si="1088"/>
        <v>73999.730599999995</v>
      </c>
      <c r="AB752" s="131">
        <f t="shared" si="1088"/>
        <v>74663.694499999998</v>
      </c>
      <c r="AC752" s="131">
        <f t="shared" si="1088"/>
        <v>72932.857500000013</v>
      </c>
      <c r="AD752" s="131">
        <f t="shared" si="1088"/>
        <v>70805.383399999992</v>
      </c>
      <c r="AE752" s="131">
        <f t="shared" si="1088"/>
        <v>78535.125500000009</v>
      </c>
      <c r="AF752" s="131">
        <f t="shared" ref="AF752:AQ752" si="1089">SUM(AF750:AF751)</f>
        <v>74448.102970399996</v>
      </c>
      <c r="AG752" s="131">
        <f t="shared" si="1089"/>
        <v>73318.064793600002</v>
      </c>
      <c r="AH752" s="131">
        <f t="shared" si="1089"/>
        <v>76412.870999200008</v>
      </c>
      <c r="AI752" s="131">
        <f t="shared" si="1089"/>
        <v>72530.764056799992</v>
      </c>
      <c r="AJ752" s="131">
        <f t="shared" si="1089"/>
        <v>74780.568548800016</v>
      </c>
      <c r="AK752" s="131">
        <f t="shared" si="1089"/>
        <v>74797.818298400001</v>
      </c>
      <c r="AL752" s="131">
        <f t="shared" si="1089"/>
        <v>77179.022578399992</v>
      </c>
      <c r="AM752" s="131">
        <f t="shared" si="1089"/>
        <v>75183.726289600003</v>
      </c>
      <c r="AN752" s="131">
        <f t="shared" si="1089"/>
        <v>75858.313611999998</v>
      </c>
      <c r="AO752" s="131">
        <f t="shared" si="1089"/>
        <v>74099.783220000012</v>
      </c>
      <c r="AP752" s="131">
        <f t="shared" si="1089"/>
        <v>71938.269534400009</v>
      </c>
      <c r="AQ752" s="131">
        <f t="shared" si="1089"/>
        <v>79791.687508000017</v>
      </c>
      <c r="AR752" s="131">
        <f>SUM(G752:R752)</f>
        <v>877386.55999999994</v>
      </c>
      <c r="AS752" s="131">
        <f>SUM(T752:AE752)</f>
        <v>886160.42560000008</v>
      </c>
      <c r="AT752" s="131">
        <f>SUM(AF752:AQ752)</f>
        <v>900338.99240959994</v>
      </c>
      <c r="AU752" s="621"/>
      <c r="AV752" s="621"/>
      <c r="AW752" s="30"/>
    </row>
    <row r="753" spans="2:50">
      <c r="B753" s="250">
        <f t="shared" si="1015"/>
        <v>844</v>
      </c>
      <c r="C753" s="212">
        <v>935</v>
      </c>
      <c r="D753" s="102" t="s">
        <v>436</v>
      </c>
      <c r="E753" s="102"/>
      <c r="F753" s="102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71"/>
      <c r="AV753" s="171"/>
      <c r="AW753" s="30"/>
    </row>
    <row r="754" spans="2:50">
      <c r="B754" s="250">
        <f t="shared" si="1015"/>
        <v>845</v>
      </c>
      <c r="C754" s="212"/>
      <c r="D754" s="102"/>
      <c r="E754" s="102" t="s">
        <v>14</v>
      </c>
      <c r="F754" s="102"/>
      <c r="G754" s="186">
        <v>0</v>
      </c>
      <c r="H754" s="186">
        <v>0</v>
      </c>
      <c r="I754" s="186">
        <v>0</v>
      </c>
      <c r="J754" s="186">
        <v>0</v>
      </c>
      <c r="K754" s="186">
        <v>0</v>
      </c>
      <c r="L754" s="186">
        <v>0</v>
      </c>
      <c r="M754" s="186">
        <v>0</v>
      </c>
      <c r="N754" s="186">
        <v>0</v>
      </c>
      <c r="O754" s="186">
        <v>0</v>
      </c>
      <c r="P754" s="186">
        <v>0</v>
      </c>
      <c r="Q754" s="186">
        <v>0</v>
      </c>
      <c r="R754" s="186">
        <v>0</v>
      </c>
      <c r="S754" s="186"/>
      <c r="T754" s="186">
        <f t="shared" ref="T754:W755" si="1090">G754*(1+$AU754)</f>
        <v>0</v>
      </c>
      <c r="U754" s="186">
        <f t="shared" si="1090"/>
        <v>0</v>
      </c>
      <c r="V754" s="186">
        <f t="shared" si="1090"/>
        <v>0</v>
      </c>
      <c r="W754" s="186">
        <f t="shared" si="1090"/>
        <v>0</v>
      </c>
      <c r="X754" s="186">
        <f t="shared" ref="X754:AE755" si="1091">K754*(1+$AU754)</f>
        <v>0</v>
      </c>
      <c r="Y754" s="186">
        <f t="shared" si="1091"/>
        <v>0</v>
      </c>
      <c r="Z754" s="186">
        <f t="shared" si="1091"/>
        <v>0</v>
      </c>
      <c r="AA754" s="186">
        <f t="shared" si="1091"/>
        <v>0</v>
      </c>
      <c r="AB754" s="186">
        <f t="shared" si="1091"/>
        <v>0</v>
      </c>
      <c r="AC754" s="186">
        <f t="shared" si="1091"/>
        <v>0</v>
      </c>
      <c r="AD754" s="186">
        <f t="shared" si="1091"/>
        <v>0</v>
      </c>
      <c r="AE754" s="186">
        <f t="shared" si="1091"/>
        <v>0</v>
      </c>
      <c r="AF754" s="186">
        <f t="shared" ref="AF754:AQ754" si="1092">T754*(1+$AV$754)</f>
        <v>0</v>
      </c>
      <c r="AG754" s="186">
        <f t="shared" si="1092"/>
        <v>0</v>
      </c>
      <c r="AH754" s="186">
        <f t="shared" si="1092"/>
        <v>0</v>
      </c>
      <c r="AI754" s="186">
        <f t="shared" si="1092"/>
        <v>0</v>
      </c>
      <c r="AJ754" s="186">
        <f t="shared" si="1092"/>
        <v>0</v>
      </c>
      <c r="AK754" s="186">
        <f t="shared" si="1092"/>
        <v>0</v>
      </c>
      <c r="AL754" s="186">
        <f t="shared" si="1092"/>
        <v>0</v>
      </c>
      <c r="AM754" s="186">
        <f t="shared" si="1092"/>
        <v>0</v>
      </c>
      <c r="AN754" s="186">
        <f t="shared" si="1092"/>
        <v>0</v>
      </c>
      <c r="AO754" s="186">
        <f t="shared" si="1092"/>
        <v>0</v>
      </c>
      <c r="AP754" s="186">
        <f t="shared" si="1092"/>
        <v>0</v>
      </c>
      <c r="AQ754" s="186">
        <f t="shared" si="1092"/>
        <v>0</v>
      </c>
      <c r="AR754" s="186">
        <f>SUM(G754:R754)</f>
        <v>0</v>
      </c>
      <c r="AS754" s="186">
        <f>SUM(T754:AE754)</f>
        <v>0</v>
      </c>
      <c r="AT754" s="186">
        <f>SUM(AF754:AQ754)</f>
        <v>0</v>
      </c>
      <c r="AU754" s="171"/>
      <c r="AV754" s="171"/>
      <c r="AW754" s="30"/>
    </row>
    <row r="755" spans="2:50">
      <c r="B755" s="250">
        <f t="shared" si="1015"/>
        <v>846</v>
      </c>
      <c r="C755" s="212"/>
      <c r="D755" s="102"/>
      <c r="E755" s="102" t="s">
        <v>24</v>
      </c>
      <c r="F755" s="102"/>
      <c r="G755" s="186">
        <v>0</v>
      </c>
      <c r="H755" s="186">
        <v>0</v>
      </c>
      <c r="I755" s="186">
        <v>0</v>
      </c>
      <c r="J755" s="186">
        <v>0</v>
      </c>
      <c r="K755" s="186">
        <v>0</v>
      </c>
      <c r="L755" s="186">
        <v>0</v>
      </c>
      <c r="M755" s="186">
        <v>0</v>
      </c>
      <c r="N755" s="186">
        <v>0</v>
      </c>
      <c r="O755" s="186">
        <v>0</v>
      </c>
      <c r="P755" s="186">
        <v>0</v>
      </c>
      <c r="Q755" s="186">
        <v>0</v>
      </c>
      <c r="R755" s="186">
        <v>0</v>
      </c>
      <c r="S755" s="617"/>
      <c r="T755" s="204">
        <f t="shared" si="1090"/>
        <v>0</v>
      </c>
      <c r="U755" s="204">
        <f t="shared" si="1090"/>
        <v>0</v>
      </c>
      <c r="V755" s="204">
        <f t="shared" si="1090"/>
        <v>0</v>
      </c>
      <c r="W755" s="204">
        <f t="shared" si="1090"/>
        <v>0</v>
      </c>
      <c r="X755" s="204">
        <f t="shared" si="1091"/>
        <v>0</v>
      </c>
      <c r="Y755" s="204">
        <f t="shared" si="1091"/>
        <v>0</v>
      </c>
      <c r="Z755" s="204">
        <f t="shared" si="1091"/>
        <v>0</v>
      </c>
      <c r="AA755" s="204">
        <f t="shared" si="1091"/>
        <v>0</v>
      </c>
      <c r="AB755" s="204">
        <f t="shared" si="1091"/>
        <v>0</v>
      </c>
      <c r="AC755" s="204">
        <f t="shared" si="1091"/>
        <v>0</v>
      </c>
      <c r="AD755" s="204">
        <f t="shared" si="1091"/>
        <v>0</v>
      </c>
      <c r="AE755" s="204">
        <f t="shared" si="1091"/>
        <v>0</v>
      </c>
      <c r="AF755" s="204">
        <f t="shared" ref="AF755:AQ755" si="1093">T755*(1+$AV$755)</f>
        <v>0</v>
      </c>
      <c r="AG755" s="204">
        <f t="shared" si="1093"/>
        <v>0</v>
      </c>
      <c r="AH755" s="204">
        <f t="shared" si="1093"/>
        <v>0</v>
      </c>
      <c r="AI755" s="204">
        <f t="shared" si="1093"/>
        <v>0</v>
      </c>
      <c r="AJ755" s="204">
        <f t="shared" si="1093"/>
        <v>0</v>
      </c>
      <c r="AK755" s="204">
        <f t="shared" si="1093"/>
        <v>0</v>
      </c>
      <c r="AL755" s="204">
        <f t="shared" si="1093"/>
        <v>0</v>
      </c>
      <c r="AM755" s="204">
        <f t="shared" si="1093"/>
        <v>0</v>
      </c>
      <c r="AN755" s="204">
        <f t="shared" si="1093"/>
        <v>0</v>
      </c>
      <c r="AO755" s="204">
        <f t="shared" si="1093"/>
        <v>0</v>
      </c>
      <c r="AP755" s="204">
        <f t="shared" si="1093"/>
        <v>0</v>
      </c>
      <c r="AQ755" s="204">
        <f t="shared" si="1093"/>
        <v>0</v>
      </c>
      <c r="AR755" s="204">
        <f>SUM(G755:R755)</f>
        <v>0</v>
      </c>
      <c r="AS755" s="204">
        <f>SUM(T755:AE755)</f>
        <v>0</v>
      </c>
      <c r="AT755" s="204">
        <f>SUM(AF755:AQ755)</f>
        <v>0</v>
      </c>
      <c r="AU755" s="618"/>
      <c r="AV755" s="618"/>
      <c r="AW755" s="30"/>
    </row>
    <row r="756" spans="2:50">
      <c r="B756" s="250">
        <f t="shared" si="1015"/>
        <v>847</v>
      </c>
      <c r="C756" s="212"/>
      <c r="D756" s="102"/>
      <c r="E756" s="102" t="s">
        <v>170</v>
      </c>
      <c r="F756" s="102"/>
      <c r="G756" s="1216">
        <v>0</v>
      </c>
      <c r="H756" s="1216">
        <v>0</v>
      </c>
      <c r="I756" s="1216">
        <v>0</v>
      </c>
      <c r="J756" s="1216">
        <v>0</v>
      </c>
      <c r="K756" s="1216">
        <v>0</v>
      </c>
      <c r="L756" s="1216">
        <v>0</v>
      </c>
      <c r="M756" s="1216">
        <v>0</v>
      </c>
      <c r="N756" s="1216">
        <v>0</v>
      </c>
      <c r="O756" s="1216">
        <v>0</v>
      </c>
      <c r="P756" s="1216">
        <v>0</v>
      </c>
      <c r="Q756" s="1216">
        <v>0</v>
      </c>
      <c r="R756" s="1216">
        <v>0</v>
      </c>
      <c r="S756" s="620"/>
      <c r="T756" s="131">
        <f t="shared" ref="T756:Y756" si="1094">SUM(T754:T755)</f>
        <v>0</v>
      </c>
      <c r="U756" s="131">
        <f t="shared" si="1094"/>
        <v>0</v>
      </c>
      <c r="V756" s="131">
        <f t="shared" si="1094"/>
        <v>0</v>
      </c>
      <c r="W756" s="131">
        <f t="shared" si="1094"/>
        <v>0</v>
      </c>
      <c r="X756" s="131">
        <f t="shared" si="1094"/>
        <v>0</v>
      </c>
      <c r="Y756" s="131">
        <f t="shared" si="1094"/>
        <v>0</v>
      </c>
      <c r="Z756" s="131">
        <f t="shared" ref="Z756:AE756" si="1095">SUM(Z754:Z755)</f>
        <v>0</v>
      </c>
      <c r="AA756" s="131">
        <f t="shared" si="1095"/>
        <v>0</v>
      </c>
      <c r="AB756" s="131">
        <f t="shared" si="1095"/>
        <v>0</v>
      </c>
      <c r="AC756" s="131">
        <f t="shared" si="1095"/>
        <v>0</v>
      </c>
      <c r="AD756" s="131">
        <f t="shared" si="1095"/>
        <v>0</v>
      </c>
      <c r="AE756" s="131">
        <f t="shared" si="1095"/>
        <v>0</v>
      </c>
      <c r="AF756" s="131">
        <f t="shared" ref="AF756:AQ756" si="1096">SUM(AF754:AF755)</f>
        <v>0</v>
      </c>
      <c r="AG756" s="131">
        <f t="shared" si="1096"/>
        <v>0</v>
      </c>
      <c r="AH756" s="131">
        <f t="shared" si="1096"/>
        <v>0</v>
      </c>
      <c r="AI756" s="131">
        <f t="shared" si="1096"/>
        <v>0</v>
      </c>
      <c r="AJ756" s="131">
        <f t="shared" si="1096"/>
        <v>0</v>
      </c>
      <c r="AK756" s="131">
        <f t="shared" si="1096"/>
        <v>0</v>
      </c>
      <c r="AL756" s="131">
        <f t="shared" si="1096"/>
        <v>0</v>
      </c>
      <c r="AM756" s="131">
        <f t="shared" si="1096"/>
        <v>0</v>
      </c>
      <c r="AN756" s="131">
        <f t="shared" si="1096"/>
        <v>0</v>
      </c>
      <c r="AO756" s="131">
        <f t="shared" si="1096"/>
        <v>0</v>
      </c>
      <c r="AP756" s="131">
        <f t="shared" si="1096"/>
        <v>0</v>
      </c>
      <c r="AQ756" s="131">
        <f t="shared" si="1096"/>
        <v>0</v>
      </c>
      <c r="AR756" s="131">
        <f>SUM(G756:R756)</f>
        <v>0</v>
      </c>
      <c r="AS756" s="131">
        <f>SUM(T756:AE756)</f>
        <v>0</v>
      </c>
      <c r="AT756" s="131">
        <f>SUM(AF756:AQ756)</f>
        <v>0</v>
      </c>
      <c r="AU756" s="621"/>
      <c r="AV756" s="621"/>
      <c r="AW756" s="30"/>
    </row>
    <row r="757" spans="2:50">
      <c r="B757" s="250">
        <f>+B756+1</f>
        <v>848</v>
      </c>
      <c r="C757" s="212"/>
      <c r="D757" s="102"/>
      <c r="E757" s="102"/>
      <c r="F757" s="102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/>
      <c r="V757" s="186"/>
      <c r="W757" s="186"/>
      <c r="X757" s="186"/>
      <c r="Y757" s="186"/>
      <c r="Z757" s="186"/>
      <c r="AA757" s="186"/>
      <c r="AB757" s="186"/>
      <c r="AC757" s="186"/>
      <c r="AD757" s="186"/>
      <c r="AE757" s="186"/>
      <c r="AF757" s="186"/>
      <c r="AG757" s="186"/>
      <c r="AH757" s="186"/>
      <c r="AI757" s="186"/>
      <c r="AJ757" s="186"/>
      <c r="AK757" s="186"/>
      <c r="AL757" s="186"/>
      <c r="AM757" s="186"/>
      <c r="AN757" s="186"/>
      <c r="AO757" s="186"/>
      <c r="AP757" s="186"/>
      <c r="AQ757" s="186"/>
      <c r="AR757" s="186"/>
      <c r="AS757" s="186"/>
      <c r="AT757" s="186"/>
      <c r="AU757" s="171"/>
      <c r="AV757" s="171"/>
      <c r="AW757" s="30"/>
    </row>
    <row r="758" spans="2:50" ht="13.5" thickBot="1">
      <c r="B758" s="250">
        <f t="shared" si="1015"/>
        <v>849</v>
      </c>
      <c r="C758" s="208"/>
      <c r="D758" s="102"/>
      <c r="E758" s="102"/>
      <c r="F758" s="102"/>
      <c r="G758" s="1218"/>
      <c r="H758" s="1218"/>
      <c r="I758" s="1218"/>
      <c r="J758" s="1218"/>
      <c r="K758" s="1218"/>
      <c r="L758" s="1218"/>
      <c r="M758" s="1218"/>
      <c r="N758" s="1218"/>
      <c r="O758" s="1218"/>
      <c r="P758" s="1218"/>
      <c r="Q758" s="1218"/>
      <c r="R758" s="1218"/>
      <c r="S758" s="623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409"/>
      <c r="AV758" s="409"/>
      <c r="AW758" s="30"/>
    </row>
    <row r="759" spans="2:50">
      <c r="B759" s="250">
        <f t="shared" si="1015"/>
        <v>850</v>
      </c>
      <c r="C759" s="102"/>
      <c r="D759" s="49" t="s">
        <v>437</v>
      </c>
      <c r="E759" s="102"/>
      <c r="F759" s="102"/>
      <c r="G759" s="1215">
        <f t="shared" ref="G759:Q759" si="1097">SUM(G710:G756)/2</f>
        <v>753770.07999999984</v>
      </c>
      <c r="H759" s="1215">
        <f t="shared" si="1097"/>
        <v>1306831.9199999997</v>
      </c>
      <c r="I759" s="1215">
        <f t="shared" si="1097"/>
        <v>1871365.1899999997</v>
      </c>
      <c r="J759" s="1215">
        <f t="shared" si="1097"/>
        <v>299095.07</v>
      </c>
      <c r="K759" s="1215">
        <f t="shared" si="1097"/>
        <v>1763183.7500000002</v>
      </c>
      <c r="L759" s="1215">
        <f t="shared" si="1097"/>
        <v>1244372.6700000002</v>
      </c>
      <c r="M759" s="1215">
        <f t="shared" si="1097"/>
        <v>1076032.45</v>
      </c>
      <c r="N759" s="1215">
        <f t="shared" si="1097"/>
        <v>1308645.5500000003</v>
      </c>
      <c r="O759" s="1215">
        <f t="shared" si="1097"/>
        <v>748849.06000000017</v>
      </c>
      <c r="P759" s="1215">
        <f t="shared" si="1097"/>
        <v>1279191.0799999998</v>
      </c>
      <c r="Q759" s="1215">
        <f t="shared" si="1097"/>
        <v>1307189.8700000001</v>
      </c>
      <c r="R759" s="1215">
        <f>SUM(R710:R756)/2</f>
        <v>1284110.0400000003</v>
      </c>
      <c r="S759" s="116"/>
      <c r="T759" s="116">
        <f t="shared" ref="T759:Y759" si="1098">SUM(T710:T756)/2</f>
        <v>770475.95548999973</v>
      </c>
      <c r="U759" s="116">
        <f t="shared" si="1098"/>
        <v>1329091.61164</v>
      </c>
      <c r="V759" s="116">
        <f t="shared" si="1098"/>
        <v>1903786.0156299998</v>
      </c>
      <c r="W759" s="116">
        <f t="shared" si="1098"/>
        <v>309032.69418999989</v>
      </c>
      <c r="X759" s="116">
        <f t="shared" si="1098"/>
        <v>1793772.5316600001</v>
      </c>
      <c r="Y759" s="116">
        <f t="shared" si="1098"/>
        <v>1267292.6934100001</v>
      </c>
      <c r="Z759" s="116">
        <f t="shared" ref="Z759:AE759" si="1099">SUM(Z710:Z756)/2</f>
        <v>1095951.43459</v>
      </c>
      <c r="AA759" s="116">
        <f t="shared" si="1099"/>
        <v>1332144.84424</v>
      </c>
      <c r="AB759" s="116">
        <f t="shared" si="1099"/>
        <v>765323.28649999981</v>
      </c>
      <c r="AC759" s="116">
        <f t="shared" si="1099"/>
        <v>1302027.3717100001</v>
      </c>
      <c r="AD759" s="116">
        <f t="shared" si="1099"/>
        <v>1331009.4770599997</v>
      </c>
      <c r="AE759" s="116">
        <f t="shared" si="1099"/>
        <v>1307507.4273900001</v>
      </c>
      <c r="AF759" s="116">
        <f t="shared" ref="AF759:AQ759" si="1100">SUM(AF710:AF756)/2</f>
        <v>782931.3941201698</v>
      </c>
      <c r="AG759" s="116">
        <f t="shared" si="1100"/>
        <v>1356402.3909341199</v>
      </c>
      <c r="AH759" s="116">
        <f t="shared" si="1100"/>
        <v>1934627.2707633397</v>
      </c>
      <c r="AI759" s="116">
        <f t="shared" si="1100"/>
        <v>317354.29574526986</v>
      </c>
      <c r="AJ759" s="116">
        <f t="shared" si="1100"/>
        <v>1826548.3393819795</v>
      </c>
      <c r="AK759" s="116">
        <f t="shared" si="1100"/>
        <v>1291724.3688156803</v>
      </c>
      <c r="AL759" s="116">
        <f t="shared" si="1100"/>
        <v>1115903.89610892</v>
      </c>
      <c r="AM759" s="116">
        <f t="shared" si="1100"/>
        <v>1355919.83233192</v>
      </c>
      <c r="AN759" s="116">
        <f t="shared" si="1100"/>
        <v>782858.91755154973</v>
      </c>
      <c r="AO759" s="116">
        <f t="shared" si="1100"/>
        <v>1326964.43288973</v>
      </c>
      <c r="AP759" s="116">
        <f t="shared" si="1100"/>
        <v>1355000.8965828305</v>
      </c>
      <c r="AQ759" s="116">
        <f t="shared" si="1100"/>
        <v>1334779.19294437</v>
      </c>
      <c r="AR759" s="116">
        <f>SUM(G759:R759)</f>
        <v>14242636.730000002</v>
      </c>
      <c r="AS759" s="116">
        <f>SUM(T759:AE759)</f>
        <v>14507415.34351</v>
      </c>
      <c r="AT759" s="116">
        <f>SUM(AF759:AQ759)</f>
        <v>14781015.228169879</v>
      </c>
      <c r="AU759" s="171"/>
      <c r="AV759" s="171"/>
      <c r="AW759" s="30"/>
    </row>
    <row r="760" spans="2:50" ht="13.5" thickBot="1">
      <c r="B760" s="250">
        <f t="shared" si="1015"/>
        <v>851</v>
      </c>
      <c r="C760" s="208"/>
      <c r="D760" s="14" t="s">
        <v>1046</v>
      </c>
      <c r="E760" s="14"/>
      <c r="F760" s="102"/>
      <c r="G760" s="1217">
        <f t="shared" ref="G760:Q760" si="1101">+G754+G750+G746+G742+G738+G734+G730+G726+G722+G718+G714+G710</f>
        <v>654071.35</v>
      </c>
      <c r="H760" s="1217">
        <f t="shared" si="1101"/>
        <v>1122322.2400000002</v>
      </c>
      <c r="I760" s="1217">
        <f t="shared" si="1101"/>
        <v>1729034.2799999998</v>
      </c>
      <c r="J760" s="1217">
        <f t="shared" si="1101"/>
        <v>208087.24999999994</v>
      </c>
      <c r="K760" s="1217">
        <f t="shared" si="1101"/>
        <v>1590002.6999999997</v>
      </c>
      <c r="L760" s="1217">
        <f t="shared" si="1101"/>
        <v>1137109.3899999999</v>
      </c>
      <c r="M760" s="1217">
        <f t="shared" si="1101"/>
        <v>959183.42</v>
      </c>
      <c r="N760" s="1217">
        <f t="shared" si="1101"/>
        <v>1189289.9100000001</v>
      </c>
      <c r="O760" s="1217">
        <f t="shared" si="1101"/>
        <v>615656.67000000004</v>
      </c>
      <c r="P760" s="1217">
        <f t="shared" si="1101"/>
        <v>1156795.71</v>
      </c>
      <c r="Q760" s="1217">
        <f t="shared" si="1101"/>
        <v>1183680.31</v>
      </c>
      <c r="R760" s="1217">
        <f>+R754+R750+R746+R742+R738+R734+R730+R726+R722+R718+R714+R710</f>
        <v>1171691.3799999999</v>
      </c>
      <c r="S760" s="235"/>
      <c r="T760" s="235">
        <f t="shared" ref="T760:Y760" si="1102">+T754+T750+T746+T742+T738+T734+T730+T726+T722+T718+T714+T710</f>
        <v>669071.17573999986</v>
      </c>
      <c r="U760" s="235">
        <f t="shared" si="1102"/>
        <v>1141807.28994</v>
      </c>
      <c r="V760" s="235">
        <f t="shared" si="1102"/>
        <v>1759163.4246799995</v>
      </c>
      <c r="W760" s="235">
        <f t="shared" si="1102"/>
        <v>216467.46730999992</v>
      </c>
      <c r="X760" s="235">
        <f t="shared" si="1102"/>
        <v>1617914.8761699996</v>
      </c>
      <c r="Y760" s="235">
        <f t="shared" si="1102"/>
        <v>1158311.5708299999</v>
      </c>
      <c r="Z760" s="235">
        <f t="shared" ref="Z760:AE761" si="1103">+Z754+Z750+Z746+Z742+Z738+Z734+Z730+Z726+Z722+Z718+Z714+Z710</f>
        <v>977229.30154999986</v>
      </c>
      <c r="AA760" s="235">
        <f t="shared" si="1103"/>
        <v>1210890.19203</v>
      </c>
      <c r="AB760" s="235">
        <f t="shared" si="1103"/>
        <v>629985.76588999981</v>
      </c>
      <c r="AC760" s="235">
        <f t="shared" si="1103"/>
        <v>1177692.3230899998</v>
      </c>
      <c r="AD760" s="235">
        <f t="shared" si="1103"/>
        <v>1205508.74144</v>
      </c>
      <c r="AE760" s="235">
        <f t="shared" si="1103"/>
        <v>1193292.2001100001</v>
      </c>
      <c r="AF760" s="235">
        <f t="shared" ref="AF760:AQ760" si="1104">+AF754+AF750+AF746+AF742+AF738+AF734+AF730+AF726+AF722+AF718+AF714+AF710</f>
        <v>680150.47685827001</v>
      </c>
      <c r="AG760" s="235">
        <f t="shared" si="1104"/>
        <v>1166048.9245931199</v>
      </c>
      <c r="AH760" s="235">
        <f t="shared" si="1104"/>
        <v>1787878.9107724396</v>
      </c>
      <c r="AI760" s="235">
        <f t="shared" si="1104"/>
        <v>223399.42295402987</v>
      </c>
      <c r="AJ760" s="235">
        <f t="shared" si="1104"/>
        <v>1647858.5417786597</v>
      </c>
      <c r="AK760" s="235">
        <f t="shared" si="1104"/>
        <v>1180938.0277559902</v>
      </c>
      <c r="AL760" s="235">
        <f t="shared" si="1104"/>
        <v>995369.73038249998</v>
      </c>
      <c r="AM760" s="235">
        <f t="shared" si="1104"/>
        <v>1232772.2627912899</v>
      </c>
      <c r="AN760" s="235">
        <f t="shared" si="1104"/>
        <v>645363.97411551978</v>
      </c>
      <c r="AO760" s="235">
        <f t="shared" si="1104"/>
        <v>1200646.7439038698</v>
      </c>
      <c r="AP760" s="235">
        <f t="shared" si="1104"/>
        <v>1227578.66179892</v>
      </c>
      <c r="AQ760" s="235">
        <f t="shared" si="1104"/>
        <v>1218625.7742495299</v>
      </c>
      <c r="AR760" s="235">
        <f>SUM(G760:R760)</f>
        <v>12716924.609999999</v>
      </c>
      <c r="AS760" s="235">
        <f>SUM(T760:AE760)</f>
        <v>12957334.328779999</v>
      </c>
      <c r="AT760" s="235">
        <f>SUM(AF760:AQ760)</f>
        <v>13206631.451954141</v>
      </c>
      <c r="AU760" s="622"/>
      <c r="AV760" s="622"/>
      <c r="AW760" s="30"/>
    </row>
    <row r="761" spans="2:50" ht="14.25" thickTop="1" thickBot="1">
      <c r="B761" s="250">
        <f t="shared" si="1015"/>
        <v>852</v>
      </c>
      <c r="C761" s="208"/>
      <c r="D761" s="14" t="s">
        <v>1047</v>
      </c>
      <c r="E761" s="14"/>
      <c r="F761" s="102"/>
      <c r="G761" s="1217">
        <f t="shared" ref="G761:Q761" si="1105">+G755+G751+G747+G743+G739+G735+G731+G727+G723+G719+G715+G711</f>
        <v>99698.73</v>
      </c>
      <c r="H761" s="1217">
        <f t="shared" si="1105"/>
        <v>184509.68</v>
      </c>
      <c r="I761" s="1217">
        <f t="shared" si="1105"/>
        <v>142330.91</v>
      </c>
      <c r="J761" s="1217">
        <f t="shared" si="1105"/>
        <v>91007.82</v>
      </c>
      <c r="K761" s="1217">
        <f t="shared" si="1105"/>
        <v>173181.05</v>
      </c>
      <c r="L761" s="1217">
        <f t="shared" si="1105"/>
        <v>107263.28</v>
      </c>
      <c r="M761" s="1217">
        <f t="shared" si="1105"/>
        <v>116849.03</v>
      </c>
      <c r="N761" s="1217">
        <f t="shared" si="1105"/>
        <v>119355.64</v>
      </c>
      <c r="O761" s="1217">
        <f t="shared" si="1105"/>
        <v>133192.38999999998</v>
      </c>
      <c r="P761" s="1217">
        <f t="shared" si="1105"/>
        <v>122395.37</v>
      </c>
      <c r="Q761" s="1217">
        <f t="shared" si="1105"/>
        <v>123509.56</v>
      </c>
      <c r="R761" s="1217">
        <f>+R755+R751+R747+R743+R739+R735+R731+R727+R723+R719+R715+R711</f>
        <v>112418.66</v>
      </c>
      <c r="S761" s="235"/>
      <c r="T761" s="235">
        <f t="shared" ref="T761:Y761" si="1106">+T755+T751+T747+T743+T739+T735+T731+T727+T723+T719+T715+T711</f>
        <v>101404.77974999999</v>
      </c>
      <c r="U761" s="235">
        <f t="shared" si="1106"/>
        <v>187284.32169999997</v>
      </c>
      <c r="V761" s="235">
        <f t="shared" si="1106"/>
        <v>144622.59095000001</v>
      </c>
      <c r="W761" s="235">
        <f t="shared" si="1106"/>
        <v>92565.226879999987</v>
      </c>
      <c r="X761" s="235">
        <f t="shared" si="1106"/>
        <v>175857.65548999998</v>
      </c>
      <c r="Y761" s="235">
        <f t="shared" si="1106"/>
        <v>108981.12258</v>
      </c>
      <c r="Z761" s="235">
        <f t="shared" si="1103"/>
        <v>118722.13303999999</v>
      </c>
      <c r="AA761" s="235">
        <f t="shared" si="1103"/>
        <v>121254.65221</v>
      </c>
      <c r="AB761" s="235">
        <f t="shared" si="1103"/>
        <v>135337.52060999998</v>
      </c>
      <c r="AC761" s="235">
        <f t="shared" si="1103"/>
        <v>124335.04861999999</v>
      </c>
      <c r="AD761" s="235">
        <f t="shared" si="1103"/>
        <v>125500.73561999998</v>
      </c>
      <c r="AE761" s="235">
        <f t="shared" si="1103"/>
        <v>114215.22728000001</v>
      </c>
      <c r="AF761" s="235">
        <f t="shared" ref="AF761:AQ761" si="1107">+AF755+AF751+AF747+AF743+AF739+AF735+AF731+AF727+AF723+AF719+AF715+AF711</f>
        <v>102780.91726189999</v>
      </c>
      <c r="AG761" s="235">
        <f t="shared" si="1107"/>
        <v>190353.46634099999</v>
      </c>
      <c r="AH761" s="235">
        <f t="shared" si="1107"/>
        <v>146748.3599909</v>
      </c>
      <c r="AI761" s="235">
        <f t="shared" si="1107"/>
        <v>93954.872791239992</v>
      </c>
      <c r="AJ761" s="235">
        <f t="shared" si="1107"/>
        <v>178689.79760331998</v>
      </c>
      <c r="AK761" s="235">
        <f t="shared" si="1107"/>
        <v>110786.34105968999</v>
      </c>
      <c r="AL761" s="235">
        <f t="shared" si="1107"/>
        <v>120534.16572641999</v>
      </c>
      <c r="AM761" s="235">
        <f t="shared" si="1107"/>
        <v>123147.56954062999</v>
      </c>
      <c r="AN761" s="235">
        <f t="shared" si="1107"/>
        <v>137494.94343602998</v>
      </c>
      <c r="AO761" s="235">
        <f t="shared" si="1107"/>
        <v>126317.68898585999</v>
      </c>
      <c r="AP761" s="235">
        <f t="shared" si="1107"/>
        <v>127422.23478390997</v>
      </c>
      <c r="AQ761" s="235">
        <f t="shared" si="1107"/>
        <v>116153.41869484</v>
      </c>
      <c r="AR761" s="235">
        <f>SUM(G761:R761)</f>
        <v>1525712.1199999999</v>
      </c>
      <c r="AS761" s="235">
        <f>SUM(T761:AE761)</f>
        <v>1550081.0147299997</v>
      </c>
      <c r="AT761" s="235">
        <f>SUM(AF761:AQ761)</f>
        <v>1574383.77621574</v>
      </c>
      <c r="AU761" s="622"/>
      <c r="AV761" s="622"/>
      <c r="AW761" s="30"/>
    </row>
    <row r="762" spans="2:50" ht="13.5" thickTop="1">
      <c r="B762" s="250">
        <f t="shared" si="1015"/>
        <v>853</v>
      </c>
      <c r="C762" s="102"/>
      <c r="D762" s="49" t="s">
        <v>653</v>
      </c>
      <c r="E762" s="102"/>
      <c r="F762" s="102"/>
      <c r="G762" s="1215">
        <f t="shared" ref="G762:Q762" si="1108">G521+G624+G677+G705+G759</f>
        <v>7770004.5</v>
      </c>
      <c r="H762" s="1215">
        <f t="shared" si="1108"/>
        <v>6600642.1399999997</v>
      </c>
      <c r="I762" s="1215">
        <f t="shared" si="1108"/>
        <v>7079085.459999999</v>
      </c>
      <c r="J762" s="1215">
        <f t="shared" si="1108"/>
        <v>5080741.8100000005</v>
      </c>
      <c r="K762" s="1215">
        <f t="shared" si="1108"/>
        <v>5401430.9000000004</v>
      </c>
      <c r="L762" s="1215">
        <f t="shared" si="1108"/>
        <v>4829624.66</v>
      </c>
      <c r="M762" s="1215">
        <f t="shared" si="1108"/>
        <v>4329059.5999999996</v>
      </c>
      <c r="N762" s="1215">
        <f t="shared" si="1108"/>
        <v>4713478.3900000006</v>
      </c>
      <c r="O762" s="1215">
        <f t="shared" si="1108"/>
        <v>4239069.4400000004</v>
      </c>
      <c r="P762" s="1215">
        <f t="shared" si="1108"/>
        <v>5984487.9699999997</v>
      </c>
      <c r="Q762" s="1215">
        <f t="shared" si="1108"/>
        <v>6742596.4100000001</v>
      </c>
      <c r="R762" s="1215">
        <f>R521+R624+R677+R705+R759</f>
        <v>8457982.5099999998</v>
      </c>
      <c r="S762" s="116"/>
      <c r="T762" s="116">
        <f t="shared" ref="T762:Y762" si="1109">T521+T624+T677+T705+T759</f>
        <v>7913458.7741799997</v>
      </c>
      <c r="U762" s="116">
        <f t="shared" si="1109"/>
        <v>6719103.3215700006</v>
      </c>
      <c r="V762" s="116">
        <f t="shared" si="1109"/>
        <v>7213788.93279</v>
      </c>
      <c r="W762" s="116">
        <f t="shared" si="1109"/>
        <v>5190620.9190699998</v>
      </c>
      <c r="X762" s="116">
        <f t="shared" si="1109"/>
        <v>5511979.7870899998</v>
      </c>
      <c r="Y762" s="116">
        <f t="shared" si="1109"/>
        <v>4934154.9654400004</v>
      </c>
      <c r="Z762" s="116">
        <f t="shared" ref="Z762:AE762" si="1110">Z521+Z624+Z677+Z705+Z759</f>
        <v>4422633.6123000002</v>
      </c>
      <c r="AA762" s="116">
        <f t="shared" si="1110"/>
        <v>4813633.5265100002</v>
      </c>
      <c r="AB762" s="116">
        <f t="shared" si="1110"/>
        <v>4333251.5442500003</v>
      </c>
      <c r="AC762" s="116">
        <f t="shared" si="1110"/>
        <v>6105884.4180800002</v>
      </c>
      <c r="AD762" s="116">
        <f t="shared" si="1110"/>
        <v>6870302.9497499997</v>
      </c>
      <c r="AE762" s="116">
        <f t="shared" si="1110"/>
        <v>8619376.9042199999</v>
      </c>
      <c r="AF762" s="116">
        <f t="shared" ref="AF762:AQ762" si="1111">AF521+AF624+AF677+AF705+AF759</f>
        <v>8032625.1281694379</v>
      </c>
      <c r="AG762" s="116">
        <f t="shared" si="1111"/>
        <v>6820599.6998437997</v>
      </c>
      <c r="AH762" s="116">
        <f t="shared" si="1111"/>
        <v>7325645.8427731795</v>
      </c>
      <c r="AI762" s="116">
        <f t="shared" si="1111"/>
        <v>5275694.5529577192</v>
      </c>
      <c r="AJ762" s="116">
        <f t="shared" si="1111"/>
        <v>5604055.3739805995</v>
      </c>
      <c r="AK762" s="116">
        <f t="shared" si="1111"/>
        <v>5020624.8569573006</v>
      </c>
      <c r="AL762" s="116">
        <f t="shared" si="1111"/>
        <v>4500270.5588166807</v>
      </c>
      <c r="AM762" s="116">
        <f t="shared" si="1111"/>
        <v>4897563.6944515295</v>
      </c>
      <c r="AN762" s="116">
        <f t="shared" si="1111"/>
        <v>4410577.4455750007</v>
      </c>
      <c r="AO762" s="116">
        <f t="shared" si="1111"/>
        <v>6208431.9874921292</v>
      </c>
      <c r="AP762" s="116">
        <f t="shared" si="1111"/>
        <v>6975790.2043050304</v>
      </c>
      <c r="AQ762" s="116">
        <f t="shared" si="1111"/>
        <v>8760875.1631364804</v>
      </c>
      <c r="AR762" s="116">
        <f>SUM(G762:R762)</f>
        <v>71228203.790000007</v>
      </c>
      <c r="AS762" s="116">
        <f>SUM(T762:AE762)</f>
        <v>72648189.655250013</v>
      </c>
      <c r="AT762" s="116">
        <f>SUM(AF762:AQ762)</f>
        <v>73832754.508458883</v>
      </c>
      <c r="AU762" s="213"/>
      <c r="AV762" s="213"/>
      <c r="AW762" s="30"/>
      <c r="AX762" s="30"/>
    </row>
    <row r="763" spans="2:50">
      <c r="U763" s="199"/>
      <c r="AR763" s="30"/>
      <c r="AS763" s="171"/>
      <c r="AT763" s="30">
        <f>AS762-AR762</f>
        <v>1419985.8652500063</v>
      </c>
      <c r="AU763" s="30">
        <f>AT762-AS762</f>
        <v>1184564.8532088697</v>
      </c>
    </row>
    <row r="764" spans="2:50">
      <c r="W764" s="30"/>
      <c r="X764" s="30"/>
      <c r="Y764" s="30"/>
      <c r="AT764" s="101">
        <f>AT763/AR762</f>
        <v>1.9935724750781425E-2</v>
      </c>
      <c r="AU764" s="101">
        <f>AU763/AS762</f>
        <v>1.6305497202754669E-2</v>
      </c>
    </row>
    <row r="765" spans="2:50">
      <c r="AR765" s="30"/>
      <c r="AT765" s="30"/>
    </row>
    <row r="766" spans="2:50">
      <c r="W766" s="1313"/>
      <c r="X766" s="1313"/>
      <c r="Y766" s="1313"/>
      <c r="AT766" s="199"/>
    </row>
    <row r="767" spans="2:50">
      <c r="AT767" s="199"/>
    </row>
    <row r="770" spans="23:25">
      <c r="W770" s="716"/>
      <c r="X770" s="716"/>
      <c r="Y770" s="716"/>
    </row>
  </sheetData>
  <mergeCells count="2">
    <mergeCell ref="E3:F3"/>
    <mergeCell ref="C5:E5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BC293"/>
  <sheetViews>
    <sheetView topLeftCell="AQ6" workbookViewId="0">
      <pane ySplit="1110" topLeftCell="A171" activePane="bottomLeft"/>
      <selection activeCell="AE169" sqref="AE169"/>
      <selection pane="bottomLeft" activeCell="AX185" sqref="AX185"/>
    </sheetView>
  </sheetViews>
  <sheetFormatPr defaultRowHeight="12.75"/>
  <cols>
    <col min="1" max="1" width="12.140625" style="15" customWidth="1"/>
    <col min="2" max="2" width="11.28515625" style="15" customWidth="1"/>
    <col min="3" max="4" width="7.42578125" style="15" customWidth="1"/>
    <col min="5" max="5" width="46.140625" style="15" customWidth="1"/>
    <col min="6" max="15" width="14" style="980" bestFit="1" customWidth="1"/>
    <col min="16" max="16" width="15.140625" style="980" bestFit="1" customWidth="1"/>
    <col min="17" max="17" width="17.140625" style="980" customWidth="1"/>
    <col min="18" max="18" width="14" style="980" bestFit="1" customWidth="1"/>
    <col min="19" max="19" width="4.7109375" style="15" customWidth="1"/>
    <col min="20" max="20" width="16.85546875" style="15" customWidth="1"/>
    <col min="21" max="21" width="18.42578125" style="15" customWidth="1"/>
    <col min="22" max="32" width="16.85546875" style="1004" customWidth="1"/>
    <col min="33" max="33" width="20" style="1004" customWidth="1"/>
    <col min="34" max="34" width="17.7109375" style="15" customWidth="1"/>
    <col min="35" max="35" width="20.28515625" style="551" customWidth="1"/>
    <col min="36" max="36" width="16.85546875" style="15" customWidth="1"/>
    <col min="37" max="37" width="18.42578125" style="15" customWidth="1"/>
    <col min="38" max="49" width="16.85546875" style="1022" customWidth="1"/>
    <col min="50" max="50" width="17.7109375" style="15" customWidth="1"/>
    <col min="51" max="51" width="14.140625" style="551" bestFit="1" customWidth="1"/>
    <col min="52" max="52" width="5.28515625" style="551" customWidth="1"/>
    <col min="53" max="53" width="16.85546875" style="15" customWidth="1"/>
    <col min="54" max="55" width="11.7109375" style="15" bestFit="1" customWidth="1"/>
    <col min="56" max="16384" width="9.140625" style="15"/>
  </cols>
  <sheetData>
    <row r="1" spans="1:53" ht="15.75"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571"/>
      <c r="T1" s="571"/>
      <c r="U1" s="571"/>
      <c r="V1" s="997"/>
      <c r="W1" s="997"/>
      <c r="X1" s="997"/>
      <c r="Y1" s="997"/>
      <c r="Z1" s="997"/>
      <c r="AA1" s="997"/>
      <c r="AB1" s="997"/>
      <c r="AC1" s="997"/>
      <c r="AD1" s="997"/>
      <c r="AE1" s="997"/>
      <c r="AF1" s="997"/>
      <c r="AG1" s="997"/>
      <c r="AH1" s="750"/>
      <c r="AI1" s="751"/>
      <c r="AJ1" s="571"/>
      <c r="AK1" s="571"/>
      <c r="AL1" s="1015"/>
      <c r="AM1" s="1015"/>
      <c r="AN1" s="1015"/>
      <c r="AO1" s="1015"/>
      <c r="AP1" s="1015"/>
      <c r="AQ1" s="1015"/>
      <c r="AR1" s="1015"/>
      <c r="AS1" s="1015"/>
      <c r="AT1" s="1015"/>
      <c r="AU1" s="1015"/>
      <c r="AV1" s="1015"/>
      <c r="AW1" s="1015"/>
      <c r="AX1" s="750"/>
      <c r="AY1" s="751"/>
      <c r="AZ1" s="751"/>
      <c r="BA1" s="571"/>
    </row>
    <row r="2" spans="1:53" ht="15.75">
      <c r="A2" s="118"/>
      <c r="B2" s="400" t="s">
        <v>1230</v>
      </c>
      <c r="C2" s="400"/>
      <c r="D2" s="400"/>
      <c r="E2" s="400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Q2" s="974"/>
      <c r="R2" s="974"/>
      <c r="S2" s="116"/>
      <c r="T2" s="116"/>
      <c r="U2" s="116"/>
      <c r="V2" s="998"/>
      <c r="W2" s="998"/>
      <c r="X2" s="998"/>
      <c r="Y2" s="998"/>
      <c r="Z2" s="998"/>
      <c r="AA2" s="998"/>
      <c r="AB2" s="998"/>
      <c r="AC2" s="998"/>
      <c r="AD2" s="998"/>
      <c r="AE2" s="998"/>
      <c r="AF2" s="998"/>
      <c r="AG2" s="998"/>
      <c r="AH2" s="106"/>
      <c r="AI2" s="133"/>
      <c r="AJ2" s="116"/>
      <c r="AK2" s="116"/>
      <c r="AL2" s="1016"/>
      <c r="AM2" s="1016"/>
      <c r="AN2" s="1016"/>
      <c r="AO2" s="1016"/>
      <c r="AP2" s="1016"/>
      <c r="AQ2" s="1016"/>
      <c r="AR2" s="1016"/>
      <c r="AS2" s="1016"/>
      <c r="AT2" s="1016"/>
      <c r="AU2" s="1016"/>
      <c r="AV2" s="1016"/>
      <c r="AW2" s="1016"/>
      <c r="AX2" s="106"/>
      <c r="AY2" s="133"/>
      <c r="AZ2" s="133"/>
      <c r="BA2" s="116"/>
    </row>
    <row r="3" spans="1:53" ht="15.75">
      <c r="A3" s="118"/>
      <c r="B3" s="401"/>
      <c r="C3" s="401"/>
      <c r="D3" s="401"/>
      <c r="E3" s="401"/>
      <c r="F3" s="974"/>
      <c r="G3" s="974"/>
      <c r="H3" s="974"/>
      <c r="I3" s="974"/>
      <c r="J3" s="974"/>
      <c r="K3" s="974"/>
      <c r="L3" s="974"/>
      <c r="M3" s="974"/>
      <c r="N3" s="974"/>
      <c r="O3" s="974"/>
      <c r="P3" s="974"/>
      <c r="Q3" s="974"/>
      <c r="R3" s="974"/>
      <c r="S3" s="116"/>
      <c r="T3" s="116"/>
      <c r="U3" s="116"/>
      <c r="V3" s="998"/>
      <c r="W3" s="998"/>
      <c r="X3" s="998"/>
      <c r="Y3" s="998"/>
      <c r="Z3" s="998"/>
      <c r="AA3" s="998"/>
      <c r="AB3" s="998"/>
      <c r="AC3" s="998"/>
      <c r="AD3" s="998"/>
      <c r="AE3" s="998"/>
      <c r="AF3" s="998"/>
      <c r="AG3" s="998"/>
      <c r="AH3" s="106"/>
      <c r="AI3" s="133"/>
      <c r="AJ3" s="116"/>
      <c r="AK3" s="116"/>
      <c r="AL3" s="1016"/>
      <c r="AM3" s="1016"/>
      <c r="AN3" s="1016"/>
      <c r="AO3" s="1016"/>
      <c r="AP3" s="1016"/>
      <c r="AQ3" s="1016"/>
      <c r="AR3" s="1016"/>
      <c r="AS3" s="1016"/>
      <c r="AT3" s="1016"/>
      <c r="AU3" s="1016"/>
      <c r="AV3" s="1016"/>
      <c r="AW3" s="1016"/>
      <c r="AX3" s="106"/>
      <c r="AY3" s="133"/>
      <c r="AZ3" s="133"/>
      <c r="BA3" s="116"/>
    </row>
    <row r="4" spans="1:53" ht="15.75">
      <c r="A4" s="118"/>
      <c r="B4" s="400"/>
      <c r="C4" s="400"/>
      <c r="D4" s="400"/>
      <c r="E4" s="400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116"/>
      <c r="T4" s="240"/>
      <c r="U4" s="116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106"/>
      <c r="AI4" s="133"/>
      <c r="AJ4" s="240"/>
      <c r="AK4" s="116"/>
      <c r="AL4" s="1016"/>
      <c r="AM4" s="1016"/>
      <c r="AN4" s="1016"/>
      <c r="AO4" s="1016"/>
      <c r="AP4" s="1016"/>
      <c r="AQ4" s="1016"/>
      <c r="AR4" s="1016"/>
      <c r="AS4" s="1016"/>
      <c r="AT4" s="1016"/>
      <c r="AU4" s="1016"/>
      <c r="AV4" s="1016"/>
      <c r="AW4" s="1016"/>
      <c r="AX4" s="106"/>
      <c r="AY4" s="133"/>
      <c r="AZ4" s="133"/>
      <c r="BA4" s="240"/>
    </row>
    <row r="5" spans="1:53">
      <c r="A5" s="118"/>
      <c r="B5" s="1558"/>
      <c r="C5" s="1558"/>
      <c r="D5" s="1558"/>
      <c r="E5" s="1558"/>
      <c r="F5" s="974"/>
      <c r="G5" s="974"/>
      <c r="H5" s="974"/>
      <c r="I5" s="974"/>
      <c r="J5" s="974"/>
      <c r="K5" s="974"/>
      <c r="L5" s="974"/>
      <c r="M5" s="974"/>
      <c r="N5" s="974"/>
      <c r="O5" s="974"/>
      <c r="P5" s="974"/>
      <c r="Q5" s="974"/>
      <c r="R5" s="974"/>
      <c r="S5" s="116"/>
      <c r="T5" s="240" t="s">
        <v>913</v>
      </c>
      <c r="U5" s="116"/>
      <c r="V5" s="998"/>
      <c r="W5" s="998"/>
      <c r="X5" s="998"/>
      <c r="Y5" s="998"/>
      <c r="Z5" s="998"/>
      <c r="AA5" s="998"/>
      <c r="AB5" s="998"/>
      <c r="AC5" s="998"/>
      <c r="AD5" s="998"/>
      <c r="AE5" s="998"/>
      <c r="AF5" s="998"/>
      <c r="AG5" s="998"/>
      <c r="AH5" s="33"/>
      <c r="AI5" s="100"/>
      <c r="AJ5" s="240" t="s">
        <v>913</v>
      </c>
      <c r="AK5" s="116"/>
      <c r="AL5" s="1016"/>
      <c r="AM5" s="1016"/>
      <c r="AN5" s="1016"/>
      <c r="AO5" s="1016"/>
      <c r="AP5" s="1016"/>
      <c r="AQ5" s="1016"/>
      <c r="AR5" s="1016"/>
      <c r="AS5" s="1016"/>
      <c r="AT5" s="1016"/>
      <c r="AU5" s="1016"/>
      <c r="AV5" s="1016"/>
      <c r="AW5" s="1016"/>
      <c r="AX5" s="33"/>
      <c r="AY5" s="100"/>
      <c r="AZ5" s="100"/>
      <c r="BA5" s="240" t="s">
        <v>913</v>
      </c>
    </row>
    <row r="6" spans="1:53">
      <c r="A6" s="118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240"/>
      <c r="T6" s="240" t="s">
        <v>1064</v>
      </c>
      <c r="U6" s="116"/>
      <c r="V6" s="998"/>
      <c r="W6" s="998"/>
      <c r="X6" s="998"/>
      <c r="Y6" s="998"/>
      <c r="Z6" s="998"/>
      <c r="AA6" s="998"/>
      <c r="AB6" s="998"/>
      <c r="AC6" s="998"/>
      <c r="AD6" s="998"/>
      <c r="AE6" s="998"/>
      <c r="AF6" s="998"/>
      <c r="AG6" s="998"/>
      <c r="AH6" s="33" t="s">
        <v>1339</v>
      </c>
      <c r="AI6" s="100" t="s">
        <v>1288</v>
      </c>
      <c r="AJ6" s="240" t="s">
        <v>1064</v>
      </c>
      <c r="AK6" s="116"/>
      <c r="AL6" s="1016"/>
      <c r="AM6" s="1016"/>
      <c r="AN6" s="1016"/>
      <c r="AO6" s="1016"/>
      <c r="AP6" s="1016"/>
      <c r="AQ6" s="1016"/>
      <c r="AR6" s="1016"/>
      <c r="AS6" s="1016"/>
      <c r="AT6" s="1016"/>
      <c r="AU6" s="1016"/>
      <c r="AV6" s="1016"/>
      <c r="AW6" s="1016"/>
      <c r="AX6" s="33" t="s">
        <v>1065</v>
      </c>
      <c r="AY6" s="100"/>
      <c r="AZ6" s="100"/>
      <c r="BA6" s="240" t="s">
        <v>1064</v>
      </c>
    </row>
    <row r="7" spans="1:53">
      <c r="A7" s="118"/>
      <c r="F7" s="976" t="s">
        <v>854</v>
      </c>
      <c r="G7" s="976" t="s">
        <v>854</v>
      </c>
      <c r="H7" s="976" t="s">
        <v>854</v>
      </c>
      <c r="I7" s="976" t="s">
        <v>854</v>
      </c>
      <c r="J7" s="976" t="s">
        <v>854</v>
      </c>
      <c r="K7" s="976" t="s">
        <v>854</v>
      </c>
      <c r="L7" s="976" t="s">
        <v>854</v>
      </c>
      <c r="M7" s="976" t="s">
        <v>854</v>
      </c>
      <c r="N7" s="976" t="s">
        <v>854</v>
      </c>
      <c r="O7" s="976" t="s">
        <v>854</v>
      </c>
      <c r="P7" s="976" t="s">
        <v>854</v>
      </c>
      <c r="Q7" s="976" t="s">
        <v>854</v>
      </c>
      <c r="R7" s="976" t="s">
        <v>854</v>
      </c>
      <c r="S7" s="582"/>
      <c r="T7" s="582" t="s">
        <v>1061</v>
      </c>
      <c r="U7" s="582" t="s">
        <v>1063</v>
      </c>
      <c r="V7" s="999" t="s">
        <v>854</v>
      </c>
      <c r="W7" s="999" t="s">
        <v>854</v>
      </c>
      <c r="X7" s="999" t="s">
        <v>854</v>
      </c>
      <c r="Y7" s="999" t="s">
        <v>854</v>
      </c>
      <c r="Z7" s="999" t="s">
        <v>854</v>
      </c>
      <c r="AA7" s="999" t="s">
        <v>854</v>
      </c>
      <c r="AB7" s="999" t="s">
        <v>193</v>
      </c>
      <c r="AC7" s="999" t="s">
        <v>193</v>
      </c>
      <c r="AD7" s="999" t="s">
        <v>193</v>
      </c>
      <c r="AE7" s="999" t="s">
        <v>193</v>
      </c>
      <c r="AF7" s="999" t="s">
        <v>193</v>
      </c>
      <c r="AG7" s="999" t="s">
        <v>193</v>
      </c>
      <c r="AH7" s="563" t="s">
        <v>1062</v>
      </c>
      <c r="AI7" s="100"/>
      <c r="AJ7" s="582" t="s">
        <v>1061</v>
      </c>
      <c r="AK7" s="582" t="s">
        <v>193</v>
      </c>
      <c r="AL7" s="1017" t="s">
        <v>193</v>
      </c>
      <c r="AM7" s="1017" t="s">
        <v>193</v>
      </c>
      <c r="AN7" s="1017" t="s">
        <v>193</v>
      </c>
      <c r="AO7" s="1017" t="s">
        <v>193</v>
      </c>
      <c r="AP7" s="1017" t="s">
        <v>193</v>
      </c>
      <c r="AQ7" s="1017" t="s">
        <v>193</v>
      </c>
      <c r="AR7" s="1017" t="s">
        <v>193</v>
      </c>
      <c r="AS7" s="1017" t="s">
        <v>193</v>
      </c>
      <c r="AT7" s="1017" t="s">
        <v>193</v>
      </c>
      <c r="AU7" s="1017" t="s">
        <v>193</v>
      </c>
      <c r="AV7" s="1017" t="s">
        <v>193</v>
      </c>
      <c r="AW7" s="1017" t="s">
        <v>193</v>
      </c>
      <c r="AX7" s="563" t="s">
        <v>1062</v>
      </c>
      <c r="AY7" s="100" t="s">
        <v>679</v>
      </c>
      <c r="AZ7" s="100"/>
      <c r="BA7" s="582" t="s">
        <v>1061</v>
      </c>
    </row>
    <row r="8" spans="1:53">
      <c r="A8" s="383"/>
      <c r="B8" s="383"/>
      <c r="C8" s="383"/>
      <c r="D8" s="383"/>
      <c r="E8" s="383"/>
      <c r="F8" s="977">
        <f>'Rate Base'!S9</f>
        <v>42720</v>
      </c>
      <c r="G8" s="977">
        <f>'Rate Base'!T9</f>
        <v>42756</v>
      </c>
      <c r="H8" s="977">
        <f>'Rate Base'!U9</f>
        <v>42786</v>
      </c>
      <c r="I8" s="977">
        <f>'Rate Base'!V9</f>
        <v>42815</v>
      </c>
      <c r="J8" s="977">
        <f>'Rate Base'!W9</f>
        <v>42845</v>
      </c>
      <c r="K8" s="977">
        <f>'Rate Base'!X9</f>
        <v>42875</v>
      </c>
      <c r="L8" s="977">
        <f>'Rate Base'!Y9</f>
        <v>42905</v>
      </c>
      <c r="M8" s="977">
        <f>'Rate Base'!Z9</f>
        <v>42935</v>
      </c>
      <c r="N8" s="977">
        <f>'Rate Base'!AA9</f>
        <v>42965</v>
      </c>
      <c r="O8" s="977">
        <f>'Rate Base'!AB9</f>
        <v>42995</v>
      </c>
      <c r="P8" s="977">
        <f>'Rate Base'!AC9</f>
        <v>43025</v>
      </c>
      <c r="Q8" s="977">
        <f>'Rate Base'!AD9</f>
        <v>43055</v>
      </c>
      <c r="R8" s="977">
        <f>'Rate Base'!AE9</f>
        <v>43085</v>
      </c>
      <c r="S8" s="391"/>
      <c r="T8" s="391">
        <f>+R8</f>
        <v>43085</v>
      </c>
      <c r="U8" s="383">
        <f>R8</f>
        <v>43085</v>
      </c>
      <c r="V8" s="1000">
        <f>U8+30</f>
        <v>43115</v>
      </c>
      <c r="W8" s="1000">
        <f t="shared" ref="W8:AG8" si="0">V8+30</f>
        <v>43145</v>
      </c>
      <c r="X8" s="1000">
        <f t="shared" si="0"/>
        <v>43175</v>
      </c>
      <c r="Y8" s="1000">
        <f t="shared" si="0"/>
        <v>43205</v>
      </c>
      <c r="Z8" s="1000">
        <f t="shared" si="0"/>
        <v>43235</v>
      </c>
      <c r="AA8" s="1000">
        <f t="shared" si="0"/>
        <v>43265</v>
      </c>
      <c r="AB8" s="1000">
        <f t="shared" si="0"/>
        <v>43295</v>
      </c>
      <c r="AC8" s="1000">
        <f t="shared" si="0"/>
        <v>43325</v>
      </c>
      <c r="AD8" s="1000">
        <f t="shared" si="0"/>
        <v>43355</v>
      </c>
      <c r="AE8" s="1000">
        <f t="shared" si="0"/>
        <v>43385</v>
      </c>
      <c r="AF8" s="1000">
        <f t="shared" si="0"/>
        <v>43415</v>
      </c>
      <c r="AG8" s="1000">
        <f t="shared" si="0"/>
        <v>43445</v>
      </c>
      <c r="AH8" s="1042">
        <f>AG8</f>
        <v>43445</v>
      </c>
      <c r="AI8" s="392"/>
      <c r="AJ8" s="391">
        <f>+AG8</f>
        <v>43445</v>
      </c>
      <c r="AK8" s="383">
        <f>AG8</f>
        <v>43445</v>
      </c>
      <c r="AL8" s="1018">
        <f>AK8+30</f>
        <v>43475</v>
      </c>
      <c r="AM8" s="1018">
        <f t="shared" ref="AM8:AW8" si="1">AL8+30</f>
        <v>43505</v>
      </c>
      <c r="AN8" s="1018">
        <f t="shared" si="1"/>
        <v>43535</v>
      </c>
      <c r="AO8" s="1018">
        <f t="shared" si="1"/>
        <v>43565</v>
      </c>
      <c r="AP8" s="1018">
        <f t="shared" si="1"/>
        <v>43595</v>
      </c>
      <c r="AQ8" s="1018">
        <f t="shared" si="1"/>
        <v>43625</v>
      </c>
      <c r="AR8" s="1018">
        <f t="shared" si="1"/>
        <v>43655</v>
      </c>
      <c r="AS8" s="1018">
        <f t="shared" si="1"/>
        <v>43685</v>
      </c>
      <c r="AT8" s="1018">
        <f t="shared" si="1"/>
        <v>43715</v>
      </c>
      <c r="AU8" s="1018">
        <f t="shared" si="1"/>
        <v>43745</v>
      </c>
      <c r="AV8" s="1018">
        <f t="shared" si="1"/>
        <v>43775</v>
      </c>
      <c r="AW8" s="1018">
        <f t="shared" si="1"/>
        <v>43805</v>
      </c>
      <c r="AX8" s="383">
        <f>AW8</f>
        <v>43805</v>
      </c>
      <c r="AY8" s="392" t="s">
        <v>1060</v>
      </c>
      <c r="AZ8" s="392"/>
      <c r="BA8" s="391">
        <f>+AW8</f>
        <v>43805</v>
      </c>
    </row>
    <row r="9" spans="1:53">
      <c r="A9" s="61"/>
      <c r="F9" s="978"/>
      <c r="G9" s="978"/>
      <c r="H9" s="978"/>
      <c r="I9" s="978"/>
      <c r="J9" s="978"/>
      <c r="K9" s="978"/>
      <c r="L9" s="978"/>
      <c r="M9" s="978"/>
      <c r="N9" s="978"/>
      <c r="O9" s="978"/>
      <c r="P9" s="978"/>
      <c r="Q9" s="978"/>
      <c r="R9" s="975"/>
      <c r="S9" s="240"/>
      <c r="T9" s="398"/>
      <c r="U9" s="398"/>
      <c r="V9" s="1001"/>
      <c r="W9" s="1001"/>
      <c r="X9" s="1001"/>
      <c r="Y9" s="1001"/>
      <c r="Z9" s="1001"/>
      <c r="AA9" s="1001"/>
      <c r="AB9" s="1001"/>
      <c r="AC9" s="1001"/>
      <c r="AD9" s="1001"/>
      <c r="AE9" s="1001"/>
      <c r="AF9" s="1001"/>
      <c r="AG9" s="1001"/>
      <c r="AH9" s="33"/>
      <c r="AI9" s="399"/>
      <c r="AJ9" s="398"/>
      <c r="AK9" s="398"/>
      <c r="AL9" s="1019"/>
      <c r="AM9" s="1019"/>
      <c r="AN9" s="1019"/>
      <c r="AO9" s="1019"/>
      <c r="AP9" s="1019"/>
      <c r="AQ9" s="1019"/>
      <c r="AR9" s="1019"/>
      <c r="AS9" s="1019"/>
      <c r="AT9" s="1019"/>
      <c r="AU9" s="1019"/>
      <c r="AV9" s="1019"/>
      <c r="AW9" s="1019"/>
      <c r="AX9" s="33"/>
      <c r="AY9" s="399"/>
      <c r="AZ9" s="399"/>
      <c r="BA9" s="398"/>
    </row>
    <row r="10" spans="1:53">
      <c r="A10" s="118"/>
      <c r="B10" s="208" t="s">
        <v>297</v>
      </c>
      <c r="C10" s="102"/>
      <c r="D10" s="102"/>
      <c r="E10" s="102"/>
      <c r="F10" s="979"/>
      <c r="G10" s="979" t="s">
        <v>838</v>
      </c>
      <c r="H10" s="979"/>
      <c r="I10" s="979"/>
      <c r="J10" s="979"/>
      <c r="K10" s="979"/>
      <c r="L10" s="979"/>
      <c r="M10" s="979"/>
      <c r="N10" s="979"/>
      <c r="O10" s="979"/>
      <c r="P10" s="979"/>
      <c r="Q10" s="979"/>
      <c r="R10" s="974"/>
      <c r="S10" s="116"/>
      <c r="T10" s="389"/>
      <c r="U10" s="389"/>
      <c r="V10" s="1002"/>
      <c r="W10" s="1002"/>
      <c r="X10" s="1002"/>
      <c r="Y10" s="1002"/>
      <c r="Z10" s="1002"/>
      <c r="AA10" s="1002"/>
      <c r="AB10" s="1002"/>
      <c r="AC10" s="1002"/>
      <c r="AD10" s="1002"/>
      <c r="AE10" s="1002"/>
      <c r="AF10" s="1002"/>
      <c r="AG10" s="1002"/>
      <c r="AH10" s="106"/>
      <c r="AI10" s="390"/>
      <c r="AJ10" s="389"/>
      <c r="AK10" s="389"/>
      <c r="AL10" s="1020"/>
      <c r="AM10" s="1020"/>
      <c r="AN10" s="1020"/>
      <c r="AO10" s="1020"/>
      <c r="AP10" s="1020"/>
      <c r="AQ10" s="1020"/>
      <c r="AR10" s="1020"/>
      <c r="AS10" s="1020"/>
      <c r="AT10" s="1020"/>
      <c r="AU10" s="1020"/>
      <c r="AV10" s="1020"/>
      <c r="AW10" s="1020"/>
      <c r="AX10" s="106"/>
      <c r="AY10" s="390"/>
      <c r="AZ10" s="390"/>
      <c r="BA10" s="389"/>
    </row>
    <row r="11" spans="1:53">
      <c r="A11" s="250"/>
      <c r="B11" s="1559"/>
      <c r="C11" s="1559" t="s">
        <v>302</v>
      </c>
      <c r="D11" s="1559"/>
      <c r="E11" s="1559"/>
      <c r="F11" s="979"/>
      <c r="G11" s="979"/>
      <c r="H11" s="979"/>
      <c r="I11" s="979"/>
      <c r="J11" s="979"/>
      <c r="K11" s="979"/>
      <c r="L11" s="979"/>
      <c r="M11" s="979"/>
      <c r="N11" s="979"/>
      <c r="O11" s="979"/>
      <c r="P11" s="979"/>
      <c r="Q11" s="979"/>
      <c r="T11" s="389"/>
      <c r="U11" s="389"/>
      <c r="V11" s="1002"/>
      <c r="W11" s="1002"/>
      <c r="X11" s="1002"/>
      <c r="Y11" s="1002"/>
      <c r="Z11" s="1002"/>
      <c r="AA11" s="1002"/>
      <c r="AB11" s="1002"/>
      <c r="AC11" s="1002"/>
      <c r="AD11" s="1002"/>
      <c r="AE11" s="1002"/>
      <c r="AF11" s="1002"/>
      <c r="AG11" s="1002"/>
      <c r="AH11" s="106"/>
      <c r="AI11" s="390"/>
      <c r="AJ11" s="389"/>
      <c r="AK11" s="389"/>
      <c r="AL11" s="1020"/>
      <c r="AM11" s="1020"/>
      <c r="AN11" s="1020"/>
      <c r="AO11" s="1020"/>
      <c r="AP11" s="1020"/>
      <c r="AQ11" s="1020"/>
      <c r="AR11" s="1020"/>
      <c r="AS11" s="1020"/>
      <c r="AT11" s="1020"/>
      <c r="AU11" s="1020"/>
      <c r="AV11" s="1020"/>
      <c r="AW11" s="1020"/>
      <c r="AX11" s="106"/>
      <c r="AY11" s="390"/>
      <c r="AZ11" s="390"/>
      <c r="BA11" s="389"/>
    </row>
    <row r="12" spans="1:53">
      <c r="A12" s="250"/>
      <c r="B12" s="49"/>
      <c r="C12" s="102"/>
      <c r="D12" s="102"/>
      <c r="E12" s="102"/>
      <c r="F12" s="979"/>
      <c r="G12" s="979"/>
      <c r="H12" s="979"/>
      <c r="I12" s="979"/>
      <c r="J12" s="979"/>
      <c r="K12" s="979"/>
      <c r="L12" s="979"/>
      <c r="M12" s="979"/>
      <c r="N12" s="979"/>
      <c r="O12" s="979"/>
      <c r="P12" s="979"/>
      <c r="Q12" s="979"/>
      <c r="R12" s="974"/>
      <c r="S12" s="116"/>
      <c r="T12" s="389"/>
      <c r="U12" s="389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106"/>
      <c r="AI12" s="390"/>
      <c r="AJ12" s="389"/>
      <c r="AK12" s="389"/>
      <c r="AL12" s="1020"/>
      <c r="AM12" s="1020"/>
      <c r="AN12" s="1020"/>
      <c r="AO12" s="1020"/>
      <c r="AP12" s="1020"/>
      <c r="AQ12" s="1020"/>
      <c r="AR12" s="1020"/>
      <c r="AS12" s="1020"/>
      <c r="AT12" s="1020"/>
      <c r="AU12" s="1020"/>
      <c r="AV12" s="1020"/>
      <c r="AW12" s="1020"/>
      <c r="AX12" s="106"/>
      <c r="AY12" s="390"/>
      <c r="AZ12" s="390"/>
      <c r="BA12" s="389"/>
    </row>
    <row r="13" spans="1:53">
      <c r="A13" s="250"/>
      <c r="B13" s="208"/>
      <c r="C13" s="102" t="s">
        <v>217</v>
      </c>
      <c r="D13" s="102"/>
      <c r="E13" s="102"/>
      <c r="F13" s="979"/>
      <c r="G13" s="979"/>
      <c r="H13" s="979"/>
      <c r="I13" s="979"/>
      <c r="J13" s="979"/>
      <c r="K13" s="979"/>
      <c r="L13" s="979"/>
      <c r="M13" s="979"/>
      <c r="N13" s="979"/>
      <c r="O13" s="979"/>
      <c r="P13" s="979"/>
      <c r="Q13" s="979"/>
      <c r="R13" s="974"/>
      <c r="S13" s="116"/>
      <c r="T13" s="389"/>
      <c r="U13" s="389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106"/>
      <c r="AI13" s="390"/>
      <c r="AJ13" s="389"/>
      <c r="AK13" s="389"/>
      <c r="AL13" s="1020"/>
      <c r="AM13" s="1020"/>
      <c r="AN13" s="1020"/>
      <c r="AO13" s="1020"/>
      <c r="AP13" s="1020"/>
      <c r="AQ13" s="1020"/>
      <c r="AR13" s="1020"/>
      <c r="AS13" s="1020"/>
      <c r="AT13" s="1020"/>
      <c r="AU13" s="1020"/>
      <c r="AV13" s="1020"/>
      <c r="AW13" s="1020"/>
      <c r="AX13" s="106"/>
      <c r="AY13" s="390"/>
      <c r="AZ13" s="390"/>
      <c r="BA13" s="389"/>
    </row>
    <row r="14" spans="1:53">
      <c r="A14" s="250"/>
      <c r="B14" s="14" t="s">
        <v>204</v>
      </c>
      <c r="C14" s="102" t="s">
        <v>298</v>
      </c>
      <c r="D14" s="102"/>
      <c r="E14" s="102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4"/>
      <c r="S14" s="116"/>
      <c r="T14" s="389"/>
      <c r="U14" s="389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106"/>
      <c r="AI14" s="390"/>
      <c r="AJ14" s="389"/>
      <c r="AK14" s="389"/>
      <c r="AL14" s="1020"/>
      <c r="AM14" s="1020"/>
      <c r="AN14" s="1020"/>
      <c r="AO14" s="1020"/>
      <c r="AP14" s="1020"/>
      <c r="AQ14" s="1020"/>
      <c r="AR14" s="1020"/>
      <c r="AS14" s="1020"/>
      <c r="AT14" s="1020"/>
      <c r="AU14" s="1020"/>
      <c r="AV14" s="1020"/>
      <c r="AW14" s="1020"/>
      <c r="AX14" s="106"/>
      <c r="AY14" s="390"/>
      <c r="AZ14" s="390"/>
      <c r="BA14" s="389"/>
    </row>
    <row r="15" spans="1:53">
      <c r="A15" s="250"/>
      <c r="B15" s="208"/>
      <c r="C15" s="253"/>
      <c r="D15" s="102" t="s">
        <v>217</v>
      </c>
      <c r="E15" s="102"/>
      <c r="F15" s="979"/>
      <c r="G15" s="979"/>
      <c r="H15" s="979"/>
      <c r="I15" s="979"/>
      <c r="J15" s="979"/>
      <c r="K15" s="979"/>
      <c r="L15" s="979"/>
      <c r="M15" s="979"/>
      <c r="N15" s="979"/>
      <c r="O15" s="979"/>
      <c r="P15" s="979"/>
      <c r="Q15" s="979"/>
      <c r="R15" s="979"/>
      <c r="S15" s="389"/>
      <c r="T15" s="389"/>
      <c r="U15" s="389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106"/>
      <c r="AI15" s="390"/>
      <c r="AJ15" s="389"/>
      <c r="AK15" s="389"/>
      <c r="AL15" s="1020"/>
      <c r="AM15" s="1020"/>
      <c r="AN15" s="1020"/>
      <c r="AO15" s="1020"/>
      <c r="AP15" s="1020"/>
      <c r="AQ15" s="1020"/>
      <c r="AR15" s="1020"/>
      <c r="AS15" s="1020"/>
      <c r="AT15" s="1020"/>
      <c r="AU15" s="1020"/>
      <c r="AV15" s="1020"/>
      <c r="AW15" s="1020"/>
      <c r="AX15" s="106"/>
      <c r="AY15" s="390"/>
      <c r="AZ15" s="390"/>
      <c r="BA15" s="389"/>
    </row>
    <row r="16" spans="1:53">
      <c r="A16" s="250">
        <v>1</v>
      </c>
      <c r="B16" s="208"/>
      <c r="C16" s="102" t="s">
        <v>218</v>
      </c>
      <c r="D16" s="102" t="s">
        <v>219</v>
      </c>
      <c r="E16" s="102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389"/>
      <c r="T16" s="389"/>
      <c r="U16" s="389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106"/>
      <c r="AI16" s="390"/>
      <c r="AJ16" s="389"/>
      <c r="AK16" s="389"/>
      <c r="AL16" s="1020"/>
      <c r="AM16" s="1020"/>
      <c r="AN16" s="1020"/>
      <c r="AO16" s="1020"/>
      <c r="AP16" s="1020"/>
      <c r="AQ16" s="1020"/>
      <c r="AR16" s="1020"/>
      <c r="AS16" s="1020"/>
      <c r="AT16" s="1020"/>
      <c r="AU16" s="1020"/>
      <c r="AV16" s="1020"/>
      <c r="AW16" s="1020"/>
      <c r="AX16" s="106"/>
      <c r="AY16" s="390"/>
      <c r="AZ16" s="390"/>
      <c r="BA16" s="389"/>
    </row>
    <row r="17" spans="1:53">
      <c r="A17" s="250">
        <f t="shared" ref="A17:A80" si="2">+A16+1</f>
        <v>2</v>
      </c>
      <c r="B17" s="208"/>
      <c r="C17" s="102"/>
      <c r="D17" s="102" t="s">
        <v>592</v>
      </c>
      <c r="E17" s="102"/>
      <c r="F17" s="974">
        <f>'Rate Base'!S15</f>
        <v>10883.08</v>
      </c>
      <c r="G17" s="974">
        <f>'Rate Base'!T15</f>
        <v>10883.08</v>
      </c>
      <c r="H17" s="974">
        <f>'Rate Base'!U15</f>
        <v>10883.08</v>
      </c>
      <c r="I17" s="974">
        <f>'Rate Base'!V15</f>
        <v>10883.08</v>
      </c>
      <c r="J17" s="974">
        <f>'Rate Base'!W15</f>
        <v>10883.08</v>
      </c>
      <c r="K17" s="974">
        <f>'Rate Base'!X15</f>
        <v>10883.08</v>
      </c>
      <c r="L17" s="974">
        <f>'Rate Base'!Y15</f>
        <v>10883.08</v>
      </c>
      <c r="M17" s="974">
        <f>'Rate Base'!Z15</f>
        <v>10883.08</v>
      </c>
      <c r="N17" s="974">
        <f>'Rate Base'!AA15</f>
        <v>10883.08</v>
      </c>
      <c r="O17" s="974">
        <f>'Rate Base'!AB15</f>
        <v>10883.08</v>
      </c>
      <c r="P17" s="974">
        <f>'Rate Base'!AC15</f>
        <v>10883.08</v>
      </c>
      <c r="Q17" s="974">
        <f>'Rate Base'!AD15</f>
        <v>10883.08</v>
      </c>
      <c r="R17" s="974">
        <f>'Rate Base'!AE15</f>
        <v>10883.08</v>
      </c>
      <c r="S17" s="116"/>
      <c r="T17" s="116">
        <f>((F17/2)+SUM(G17:Q17)+(R17/2))/12</f>
        <v>10883.08</v>
      </c>
      <c r="U17" s="106">
        <f>+R17</f>
        <v>10883.08</v>
      </c>
      <c r="V17" s="998">
        <f>(U17/U20)*V20</f>
        <v>10883.08</v>
      </c>
      <c r="W17" s="998">
        <f t="shared" ref="W17:AA17" si="3">(V17/V20)*W20</f>
        <v>10883.08</v>
      </c>
      <c r="X17" s="998">
        <f t="shared" si="3"/>
        <v>10883.08</v>
      </c>
      <c r="Y17" s="998">
        <f t="shared" si="3"/>
        <v>10883.08</v>
      </c>
      <c r="Z17" s="998">
        <f t="shared" si="3"/>
        <v>10883.08</v>
      </c>
      <c r="AA17" s="998">
        <f t="shared" si="3"/>
        <v>10883.08</v>
      </c>
      <c r="AB17" s="998">
        <f>(AA17/AA20)*AB20</f>
        <v>10883.08</v>
      </c>
      <c r="AC17" s="998">
        <f t="shared" ref="AC17:AG17" si="4">(AB17/AB20)*AC20</f>
        <v>10883.08</v>
      </c>
      <c r="AD17" s="998">
        <f t="shared" si="4"/>
        <v>10883.08</v>
      </c>
      <c r="AE17" s="998">
        <f t="shared" si="4"/>
        <v>10883.08</v>
      </c>
      <c r="AF17" s="998">
        <f t="shared" si="4"/>
        <v>10883.08</v>
      </c>
      <c r="AG17" s="998">
        <f t="shared" si="4"/>
        <v>10883.08</v>
      </c>
      <c r="AH17" s="106"/>
      <c r="AI17" s="133"/>
      <c r="AJ17" s="116">
        <f>((U17/2)+SUM(V17:AF17)+(AG17/2))/12</f>
        <v>10883.08</v>
      </c>
      <c r="AK17" s="106">
        <f>AG17</f>
        <v>10883.08</v>
      </c>
      <c r="AL17" s="1016">
        <f>(AK17/AK20)*AL20</f>
        <v>10883.08</v>
      </c>
      <c r="AM17" s="1016">
        <f t="shared" ref="AM17:AW17" si="5">(AL17/AL20)*AM20</f>
        <v>10883.08</v>
      </c>
      <c r="AN17" s="1016">
        <f>(AM17/AM20)*AN20</f>
        <v>10883.08</v>
      </c>
      <c r="AO17" s="1016">
        <f t="shared" si="5"/>
        <v>10883.08</v>
      </c>
      <c r="AP17" s="1016">
        <f t="shared" si="5"/>
        <v>10883.08</v>
      </c>
      <c r="AQ17" s="1016">
        <f t="shared" si="5"/>
        <v>10883.08</v>
      </c>
      <c r="AR17" s="1016">
        <f t="shared" si="5"/>
        <v>10883.08</v>
      </c>
      <c r="AS17" s="1016">
        <f t="shared" si="5"/>
        <v>10883.08</v>
      </c>
      <c r="AT17" s="1016">
        <f t="shared" si="5"/>
        <v>10883.08</v>
      </c>
      <c r="AU17" s="1016">
        <f t="shared" si="5"/>
        <v>10883.08</v>
      </c>
      <c r="AV17" s="1016">
        <f t="shared" si="5"/>
        <v>10883.08</v>
      </c>
      <c r="AW17" s="1016">
        <f t="shared" si="5"/>
        <v>10883.08</v>
      </c>
      <c r="AX17" s="106"/>
      <c r="AY17" s="133"/>
      <c r="AZ17" s="133"/>
      <c r="BA17" s="116">
        <f>((AK17/2)+SUM(AL17:AV17)+(AW17/2))/12</f>
        <v>10883.08</v>
      </c>
    </row>
    <row r="18" spans="1:53">
      <c r="A18" s="250">
        <f t="shared" si="2"/>
        <v>3</v>
      </c>
      <c r="B18" s="208"/>
      <c r="C18" s="102"/>
      <c r="D18" s="102" t="s">
        <v>593</v>
      </c>
      <c r="E18" s="102"/>
      <c r="F18" s="974">
        <f>'Rate Base'!S16</f>
        <v>58742.880000000005</v>
      </c>
      <c r="G18" s="974">
        <f>'Rate Base'!T16</f>
        <v>58742.880000000005</v>
      </c>
      <c r="H18" s="974">
        <f>'Rate Base'!U16</f>
        <v>58742.880000000005</v>
      </c>
      <c r="I18" s="974">
        <f>'Rate Base'!V16</f>
        <v>58742.880000000005</v>
      </c>
      <c r="J18" s="974">
        <f>'Rate Base'!W16</f>
        <v>58742.880000000005</v>
      </c>
      <c r="K18" s="974">
        <f>'Rate Base'!X16</f>
        <v>58742.880000000005</v>
      </c>
      <c r="L18" s="974">
        <f>'Rate Base'!Y16</f>
        <v>58742.880000000005</v>
      </c>
      <c r="M18" s="974">
        <f>'Rate Base'!Z16</f>
        <v>58742.880000000005</v>
      </c>
      <c r="N18" s="974">
        <f>'Rate Base'!AA16</f>
        <v>58742.880000000005</v>
      </c>
      <c r="O18" s="974">
        <f>'Rate Base'!AB16</f>
        <v>58742.880000000005</v>
      </c>
      <c r="P18" s="974">
        <f>'Rate Base'!AC16</f>
        <v>58742.880000000005</v>
      </c>
      <c r="Q18" s="974">
        <f>'Rate Base'!AD16</f>
        <v>58742.880000000005</v>
      </c>
      <c r="R18" s="974">
        <f>'Rate Base'!AE16</f>
        <v>58742.880000000005</v>
      </c>
      <c r="S18" s="116"/>
      <c r="T18" s="116">
        <f>((F18/2)+SUM(G18:Q18)+(R18/2))/12</f>
        <v>58742.880000000005</v>
      </c>
      <c r="U18" s="106">
        <f>+R18</f>
        <v>58742.880000000005</v>
      </c>
      <c r="V18" s="998">
        <f t="shared" ref="V18" si="6">(U18/U20)*V20</f>
        <v>58742.879999999997</v>
      </c>
      <c r="W18" s="998">
        <f t="shared" ref="W18" si="7">(V18/V20)*W20</f>
        <v>58742.879999999997</v>
      </c>
      <c r="X18" s="998">
        <f t="shared" ref="X18" si="8">(W18/W20)*X20</f>
        <v>58742.879999999997</v>
      </c>
      <c r="Y18" s="998">
        <f t="shared" ref="Y18" si="9">(X18/X20)*Y20</f>
        <v>58742.879999999997</v>
      </c>
      <c r="Z18" s="998">
        <f t="shared" ref="Z18" si="10">(Y18/Y20)*Z20</f>
        <v>58742.879999999997</v>
      </c>
      <c r="AA18" s="998">
        <f t="shared" ref="AA18" si="11">(Z18/Z20)*AA20</f>
        <v>58742.879999999997</v>
      </c>
      <c r="AB18" s="998">
        <f t="shared" ref="AB18" si="12">(AA18/AA20)*AB20</f>
        <v>58742.879999999997</v>
      </c>
      <c r="AC18" s="998">
        <f t="shared" ref="AC18" si="13">(AB18/AB20)*AC20</f>
        <v>58742.879999999997</v>
      </c>
      <c r="AD18" s="998">
        <f t="shared" ref="AD18" si="14">(AC18/AC20)*AD20</f>
        <v>58742.879999999997</v>
      </c>
      <c r="AE18" s="998">
        <f t="shared" ref="AE18" si="15">(AD18/AD20)*AE20</f>
        <v>58742.879999999997</v>
      </c>
      <c r="AF18" s="998">
        <f t="shared" ref="AF18" si="16">(AE18/AE20)*AF20</f>
        <v>58742.879999999997</v>
      </c>
      <c r="AG18" s="998">
        <f t="shared" ref="AG18" si="17">(AF18/AF20)*AG20</f>
        <v>58742.879999999997</v>
      </c>
      <c r="AH18" s="106"/>
      <c r="AI18" s="133"/>
      <c r="AJ18" s="116">
        <f>((U18/2)+SUM(V18:AF18)+(AG18/2))/12</f>
        <v>58742.879999999983</v>
      </c>
      <c r="AK18" s="106">
        <f>AG18</f>
        <v>58742.879999999997</v>
      </c>
      <c r="AL18" s="1016">
        <f>(AK18/AK20)*AL20</f>
        <v>58742.879999999997</v>
      </c>
      <c r="AM18" s="1016">
        <f t="shared" ref="AM18:AW18" si="18">(AL18/AL20)*AM20</f>
        <v>58742.879999999997</v>
      </c>
      <c r="AN18" s="1016">
        <f t="shared" si="18"/>
        <v>58742.879999999997</v>
      </c>
      <c r="AO18" s="1016">
        <f t="shared" si="18"/>
        <v>58742.879999999997</v>
      </c>
      <c r="AP18" s="1016">
        <f t="shared" si="18"/>
        <v>58742.879999999997</v>
      </c>
      <c r="AQ18" s="1016">
        <f t="shared" si="18"/>
        <v>58742.879999999997</v>
      </c>
      <c r="AR18" s="1016">
        <f t="shared" si="18"/>
        <v>58742.879999999997</v>
      </c>
      <c r="AS18" s="1016">
        <f t="shared" si="18"/>
        <v>58742.879999999997</v>
      </c>
      <c r="AT18" s="1016">
        <f t="shared" si="18"/>
        <v>58742.879999999997</v>
      </c>
      <c r="AU18" s="1016">
        <f t="shared" si="18"/>
        <v>58742.879999999997</v>
      </c>
      <c r="AV18" s="1016">
        <f t="shared" si="18"/>
        <v>58742.879999999997</v>
      </c>
      <c r="AW18" s="1016">
        <f t="shared" si="18"/>
        <v>58742.879999999997</v>
      </c>
      <c r="AX18" s="106"/>
      <c r="AY18" s="133"/>
      <c r="AZ18" s="133"/>
      <c r="BA18" s="116">
        <f>((AK18/2)+SUM(AL18:AV18)+(AW18/2))/12</f>
        <v>58742.879999999983</v>
      </c>
    </row>
    <row r="19" spans="1:53">
      <c r="A19" s="250">
        <f t="shared" si="2"/>
        <v>4</v>
      </c>
      <c r="B19" s="208"/>
      <c r="C19" s="14"/>
      <c r="D19" s="102"/>
      <c r="E19" s="102"/>
      <c r="F19" s="981"/>
      <c r="G19" s="981"/>
      <c r="H19" s="981"/>
      <c r="I19" s="981"/>
      <c r="J19" s="981"/>
      <c r="K19" s="981"/>
      <c r="L19" s="981"/>
      <c r="M19" s="981"/>
      <c r="N19" s="981"/>
      <c r="O19" s="981"/>
      <c r="P19" s="981"/>
      <c r="Q19" s="981"/>
      <c r="R19" s="981"/>
      <c r="S19" s="579"/>
      <c r="T19" s="255"/>
      <c r="U19" s="397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397"/>
      <c r="AI19" s="174"/>
      <c r="AJ19" s="255"/>
      <c r="AK19" s="397"/>
      <c r="AL19" s="1021"/>
      <c r="AM19" s="1021"/>
      <c r="AN19" s="1021"/>
      <c r="AO19" s="1021"/>
      <c r="AP19" s="1021"/>
      <c r="AQ19" s="1021"/>
      <c r="AR19" s="1021"/>
      <c r="AS19" s="1021"/>
      <c r="AT19" s="1021"/>
      <c r="AU19" s="1021"/>
      <c r="AV19" s="1021"/>
      <c r="AW19" s="1021"/>
      <c r="AX19" s="397"/>
      <c r="AY19" s="174"/>
      <c r="AZ19" s="174"/>
      <c r="BA19" s="255"/>
    </row>
    <row r="20" spans="1:53">
      <c r="A20" s="250">
        <f t="shared" si="2"/>
        <v>5</v>
      </c>
      <c r="B20" s="208"/>
      <c r="C20" s="102"/>
      <c r="D20" s="102" t="s">
        <v>220</v>
      </c>
      <c r="E20" s="102"/>
      <c r="F20" s="974">
        <f t="shared" ref="F20:R20" si="19">SUM(F17:F18)</f>
        <v>69625.960000000006</v>
      </c>
      <c r="G20" s="974">
        <f t="shared" si="19"/>
        <v>69625.960000000006</v>
      </c>
      <c r="H20" s="974">
        <f t="shared" si="19"/>
        <v>69625.960000000006</v>
      </c>
      <c r="I20" s="974">
        <f t="shared" si="19"/>
        <v>69625.960000000006</v>
      </c>
      <c r="J20" s="974">
        <f t="shared" si="19"/>
        <v>69625.960000000006</v>
      </c>
      <c r="K20" s="974">
        <f t="shared" si="19"/>
        <v>69625.960000000006</v>
      </c>
      <c r="L20" s="974">
        <f t="shared" si="19"/>
        <v>69625.960000000006</v>
      </c>
      <c r="M20" s="974">
        <f t="shared" si="19"/>
        <v>69625.960000000006</v>
      </c>
      <c r="N20" s="974">
        <f t="shared" si="19"/>
        <v>69625.960000000006</v>
      </c>
      <c r="O20" s="974">
        <f t="shared" si="19"/>
        <v>69625.960000000006</v>
      </c>
      <c r="P20" s="974">
        <f t="shared" si="19"/>
        <v>69625.960000000006</v>
      </c>
      <c r="Q20" s="974">
        <f t="shared" si="19"/>
        <v>69625.960000000006</v>
      </c>
      <c r="R20" s="974">
        <f t="shared" si="19"/>
        <v>69625.960000000006</v>
      </c>
      <c r="S20" s="116"/>
      <c r="T20" s="116">
        <f>SUM(T17:T19)</f>
        <v>69625.960000000006</v>
      </c>
      <c r="U20" s="106">
        <f>+R20</f>
        <v>69625.960000000006</v>
      </c>
      <c r="V20" s="998">
        <f t="shared" ref="V20:AA20" si="20">IF($R20-$F20=0,U20+$AH20,U20+((G20-F20)/($R20-$F20))*$AH20)</f>
        <v>69625.960000000006</v>
      </c>
      <c r="W20" s="998">
        <f t="shared" si="20"/>
        <v>69625.960000000006</v>
      </c>
      <c r="X20" s="998">
        <f t="shared" si="20"/>
        <v>69625.960000000006</v>
      </c>
      <c r="Y20" s="998">
        <f t="shared" si="20"/>
        <v>69625.960000000006</v>
      </c>
      <c r="Z20" s="998">
        <f t="shared" si="20"/>
        <v>69625.960000000006</v>
      </c>
      <c r="AA20" s="998">
        <f t="shared" si="20"/>
        <v>69625.960000000006</v>
      </c>
      <c r="AB20" s="998">
        <f>IF($R20-$F20=0,AA20+$AH20,AA20+((M20-L20)/($R20-$F20))*$AH20)</f>
        <v>69625.960000000006</v>
      </c>
      <c r="AC20" s="998">
        <f t="shared" ref="AC20" si="21">IF($R20-$F20=0,AB20+$AH20,AB20+((N20-M20)/($R20-$F20))*$AH20)</f>
        <v>69625.960000000006</v>
      </c>
      <c r="AD20" s="998">
        <f t="shared" ref="AD20" si="22">IF($R20-$F20=0,AC20+$AH20,AC20+((O20-N20)/($R20-$F20))*$AH20)</f>
        <v>69625.960000000006</v>
      </c>
      <c r="AE20" s="998">
        <f t="shared" ref="AE20" si="23">IF($R20-$F20=0,AD20+$AH20,AD20+((P20-O20)/($R20-$F20))*$AH20)</f>
        <v>69625.960000000006</v>
      </c>
      <c r="AF20" s="998">
        <f t="shared" ref="AF20" si="24">IF($R20-$F20=0,AE20+$AH20,AE20+((Q20-P20)/($R20-$F20))*$AH20)</f>
        <v>69625.960000000006</v>
      </c>
      <c r="AG20" s="998">
        <f t="shared" ref="AG20" si="25">IF($R20-$F20=0,AF20+$AH20,AF20+((R20-Q20)/($R20-$F20))*$AH20)</f>
        <v>69625.960000000006</v>
      </c>
      <c r="AH20" s="106">
        <f>'101_106 PROJECTION'!N6</f>
        <v>0</v>
      </c>
      <c r="AI20" s="752">
        <f>+AG20-U20</f>
        <v>0</v>
      </c>
      <c r="AJ20" s="116">
        <f>SUM(AJ17:AJ19)</f>
        <v>69625.959999999977</v>
      </c>
      <c r="AK20" s="106">
        <f>AG20</f>
        <v>69625.960000000006</v>
      </c>
      <c r="AL20" s="1041">
        <f>IF($R20-$F20=0,AK20+$AX20/12,AK20+((G20-F20)/($R20-$F20))*$AX20)</f>
        <v>69625.960000000006</v>
      </c>
      <c r="AM20" s="1041">
        <f t="shared" ref="AM20:AW20" si="26">IF($R20-$F20=0,AL20+$AX20/12,AL20+((H20-G20)/($R20-$F20))*$AX20)</f>
        <v>69625.960000000006</v>
      </c>
      <c r="AN20" s="1041">
        <f>IF($R20-$F20=0,AM20+$AX20/12,AM20+((I20-H20)/($R20-$F20))*$AX20)</f>
        <v>69625.960000000006</v>
      </c>
      <c r="AO20" s="1041">
        <f t="shared" si="26"/>
        <v>69625.960000000006</v>
      </c>
      <c r="AP20" s="1041">
        <f t="shared" si="26"/>
        <v>69625.960000000006</v>
      </c>
      <c r="AQ20" s="1041">
        <f t="shared" si="26"/>
        <v>69625.960000000006</v>
      </c>
      <c r="AR20" s="1041">
        <f t="shared" si="26"/>
        <v>69625.960000000006</v>
      </c>
      <c r="AS20" s="1041">
        <f t="shared" si="26"/>
        <v>69625.960000000006</v>
      </c>
      <c r="AT20" s="1041">
        <f t="shared" si="26"/>
        <v>69625.960000000006</v>
      </c>
      <c r="AU20" s="1041">
        <f t="shared" si="26"/>
        <v>69625.960000000006</v>
      </c>
      <c r="AV20" s="1041">
        <f t="shared" si="26"/>
        <v>69625.960000000006</v>
      </c>
      <c r="AW20" s="1041">
        <f t="shared" si="26"/>
        <v>69625.960000000006</v>
      </c>
      <c r="AX20" s="106">
        <v>0</v>
      </c>
      <c r="AY20" s="551">
        <f>+AW20-AK20</f>
        <v>0</v>
      </c>
      <c r="BA20" s="116">
        <f>SUM(BA17:BA19)</f>
        <v>69625.959999999977</v>
      </c>
    </row>
    <row r="21" spans="1:53">
      <c r="A21" s="250">
        <f t="shared" si="2"/>
        <v>6</v>
      </c>
      <c r="B21" s="14"/>
      <c r="C21" s="102"/>
      <c r="D21" s="102"/>
      <c r="E21" s="102"/>
      <c r="U21" s="102"/>
      <c r="AH21" s="102"/>
      <c r="AK21" s="102"/>
      <c r="AX21" s="102"/>
    </row>
    <row r="22" spans="1:53">
      <c r="A22" s="250">
        <f t="shared" si="2"/>
        <v>7</v>
      </c>
      <c r="B22" s="208"/>
      <c r="C22" s="253"/>
      <c r="D22" s="102" t="s">
        <v>221</v>
      </c>
      <c r="E22" s="102"/>
      <c r="U22" s="102"/>
      <c r="AH22" s="102"/>
      <c r="AK22" s="102"/>
      <c r="AX22" s="102"/>
    </row>
    <row r="23" spans="1:53">
      <c r="A23" s="250">
        <f t="shared" si="2"/>
        <v>8</v>
      </c>
      <c r="B23" s="208"/>
      <c r="C23" s="253" t="s">
        <v>222</v>
      </c>
      <c r="D23" s="102" t="s">
        <v>223</v>
      </c>
      <c r="E23" s="102"/>
      <c r="F23" s="974">
        <f>'Rate Base'!S21</f>
        <v>6266900.6900000004</v>
      </c>
      <c r="G23" s="974">
        <f>'Rate Base'!T21</f>
        <v>6266900.6900000004</v>
      </c>
      <c r="H23" s="974">
        <f>'Rate Base'!U21</f>
        <v>6266900.6900000004</v>
      </c>
      <c r="I23" s="974">
        <f>'Rate Base'!V21</f>
        <v>6266900.6900000004</v>
      </c>
      <c r="J23" s="974">
        <f>'Rate Base'!W21</f>
        <v>6266900.6900000004</v>
      </c>
      <c r="K23" s="974">
        <f>'Rate Base'!X21</f>
        <v>6266900.6900000004</v>
      </c>
      <c r="L23" s="974">
        <f>'Rate Base'!Y21</f>
        <v>6266900.6900000004</v>
      </c>
      <c r="M23" s="974">
        <f>'Rate Base'!Z21</f>
        <v>6266900.6900000004</v>
      </c>
      <c r="N23" s="974">
        <f>'Rate Base'!AA21</f>
        <v>6266900.6900000004</v>
      </c>
      <c r="O23" s="974">
        <f>'Rate Base'!AB21</f>
        <v>6266900.6900000004</v>
      </c>
      <c r="P23" s="974">
        <f>'Rate Base'!AC21</f>
        <v>6266900.6900000004</v>
      </c>
      <c r="Q23" s="974">
        <f>'Rate Base'!AD21</f>
        <v>6266900.6900000004</v>
      </c>
      <c r="R23" s="974">
        <f>'Rate Base'!AE21</f>
        <v>6266900.6900000004</v>
      </c>
      <c r="S23" s="116"/>
      <c r="T23" s="116">
        <f t="shared" ref="T23:T29" si="27">((F23/2)+SUM(G23:Q23)+(R23/2))/12</f>
        <v>6266900.6899999985</v>
      </c>
      <c r="U23" s="106">
        <f t="shared" ref="U23:U29" si="28">+R23</f>
        <v>6266900.6900000004</v>
      </c>
      <c r="V23" s="998">
        <f t="shared" ref="V23:V29" si="29">(U23/U$31)*V$31</f>
        <v>6266900.6899999995</v>
      </c>
      <c r="W23" s="998">
        <f t="shared" ref="W23:W29" si="30">(V23/V$31)*W$31</f>
        <v>6266900.6899999995</v>
      </c>
      <c r="X23" s="998">
        <f t="shared" ref="X23:X29" si="31">(W23/W$31)*X$31</f>
        <v>6266900.6899999995</v>
      </c>
      <c r="Y23" s="998">
        <f t="shared" ref="Y23:Y29" si="32">(X23/X$31)*Y$31</f>
        <v>6266900.6899999995</v>
      </c>
      <c r="Z23" s="998">
        <f t="shared" ref="Z23:Z29" si="33">(Y23/Y$31)*Z$31</f>
        <v>6266900.6899999995</v>
      </c>
      <c r="AA23" s="998">
        <f t="shared" ref="AA23:AA29" si="34">(Z23/Z$31)*AA$31</f>
        <v>6266900.6899999995</v>
      </c>
      <c r="AB23" s="998">
        <f t="shared" ref="AB23:AB28" si="35">(AA23/AA$31)*AB$31</f>
        <v>6266900.6899999995</v>
      </c>
      <c r="AC23" s="998">
        <f t="shared" ref="AC23:AC29" si="36">(AB23/AB$31)*AC$31</f>
        <v>6266900.6899999995</v>
      </c>
      <c r="AD23" s="998">
        <f t="shared" ref="AD23:AD29" si="37">(AC23/AC$31)*AD$31</f>
        <v>6266900.6899999995</v>
      </c>
      <c r="AE23" s="998">
        <f t="shared" ref="AE23:AE29" si="38">(AD23/AD$31)*AE$31</f>
        <v>6266900.6899999995</v>
      </c>
      <c r="AF23" s="998">
        <f t="shared" ref="AF23:AF29" si="39">(AE23/AE$31)*AF$31</f>
        <v>6266900.6899999995</v>
      </c>
      <c r="AG23" s="998">
        <f t="shared" ref="AG23:AG29" si="40">(AF23/AF$31)*AG$31</f>
        <v>6266900.6899999995</v>
      </c>
      <c r="AH23" s="106"/>
      <c r="AI23" s="133"/>
      <c r="AJ23" s="116">
        <f t="shared" ref="AJ23:AJ29" si="41">((U23/2)+SUM(V23:AF23)+(AG23/2))/12</f>
        <v>6266900.6899999985</v>
      </c>
      <c r="AK23" s="106">
        <f t="shared" ref="AK23:AK29" si="42">AG23</f>
        <v>6266900.6899999995</v>
      </c>
      <c r="AL23" s="1016">
        <f>(AK23/AK31)*AL31</f>
        <v>6266900.6899999995</v>
      </c>
      <c r="AM23" s="1016">
        <f t="shared" ref="AM23:AW23" si="43">(AL23/AL31)*AM31</f>
        <v>6266900.6899999995</v>
      </c>
      <c r="AN23" s="1016">
        <f t="shared" si="43"/>
        <v>6266900.6899999995</v>
      </c>
      <c r="AO23" s="1016">
        <f t="shared" si="43"/>
        <v>6266900.6899999995</v>
      </c>
      <c r="AP23" s="1016">
        <f t="shared" si="43"/>
        <v>6266900.6899999995</v>
      </c>
      <c r="AQ23" s="1016">
        <f t="shared" si="43"/>
        <v>6266900.6899999995</v>
      </c>
      <c r="AR23" s="1016">
        <f t="shared" si="43"/>
        <v>6266900.6899999995</v>
      </c>
      <c r="AS23" s="1016">
        <f t="shared" si="43"/>
        <v>6266900.6899999995</v>
      </c>
      <c r="AT23" s="1016">
        <f t="shared" si="43"/>
        <v>6266900.6899999995</v>
      </c>
      <c r="AU23" s="1016">
        <f t="shared" si="43"/>
        <v>6266900.6899999995</v>
      </c>
      <c r="AV23" s="1016">
        <f t="shared" si="43"/>
        <v>6266900.6899999995</v>
      </c>
      <c r="AW23" s="1016">
        <f t="shared" si="43"/>
        <v>6266900.6899999995</v>
      </c>
      <c r="AX23" s="106"/>
      <c r="AY23" s="133"/>
      <c r="AZ23" s="133"/>
      <c r="BA23" s="116">
        <f t="shared" ref="BA23:BA29" si="44">((AK23/2)+SUM(AL23:AV23)+(AW23/2))/12</f>
        <v>6266900.6899999985</v>
      </c>
    </row>
    <row r="24" spans="1:53">
      <c r="A24" s="250">
        <f t="shared" si="2"/>
        <v>9</v>
      </c>
      <c r="B24" s="208"/>
      <c r="C24" s="253" t="s">
        <v>224</v>
      </c>
      <c r="D24" s="102" t="s">
        <v>225</v>
      </c>
      <c r="E24" s="102"/>
      <c r="F24" s="974">
        <f>'Rate Base'!S22</f>
        <v>1437567.99</v>
      </c>
      <c r="G24" s="974">
        <f>'Rate Base'!T22</f>
        <v>1437567.99</v>
      </c>
      <c r="H24" s="974">
        <f>'Rate Base'!U22</f>
        <v>1437567.99</v>
      </c>
      <c r="I24" s="974">
        <f>'Rate Base'!V22</f>
        <v>1437567.99</v>
      </c>
      <c r="J24" s="974">
        <f>'Rate Base'!W22</f>
        <v>1437567.99</v>
      </c>
      <c r="K24" s="974">
        <f>'Rate Base'!X22</f>
        <v>1437567.99</v>
      </c>
      <c r="L24" s="974">
        <f>'Rate Base'!Y22</f>
        <v>1437567.99</v>
      </c>
      <c r="M24" s="974">
        <f>'Rate Base'!Z22</f>
        <v>1437567.99</v>
      </c>
      <c r="N24" s="974">
        <f>'Rate Base'!AA22</f>
        <v>1437567.99</v>
      </c>
      <c r="O24" s="974">
        <f>'Rate Base'!AB22</f>
        <v>1437567.99</v>
      </c>
      <c r="P24" s="974">
        <f>'Rate Base'!AC22</f>
        <v>1437567.99</v>
      </c>
      <c r="Q24" s="974">
        <f>'Rate Base'!AD22</f>
        <v>1437567.99</v>
      </c>
      <c r="R24" s="974">
        <f>'Rate Base'!AE22</f>
        <v>1437567.99</v>
      </c>
      <c r="S24" s="116"/>
      <c r="T24" s="116">
        <f t="shared" si="27"/>
        <v>1437567.99</v>
      </c>
      <c r="U24" s="106">
        <f t="shared" si="28"/>
        <v>1437567.99</v>
      </c>
      <c r="V24" s="998">
        <f t="shared" si="29"/>
        <v>1437567.99</v>
      </c>
      <c r="W24" s="998">
        <f t="shared" si="30"/>
        <v>1437567.99</v>
      </c>
      <c r="X24" s="998">
        <f t="shared" si="31"/>
        <v>1437567.99</v>
      </c>
      <c r="Y24" s="998">
        <f t="shared" si="32"/>
        <v>1437567.99</v>
      </c>
      <c r="Z24" s="998">
        <f t="shared" si="33"/>
        <v>1437567.99</v>
      </c>
      <c r="AA24" s="998">
        <f t="shared" si="34"/>
        <v>1437567.99</v>
      </c>
      <c r="AB24" s="998">
        <f t="shared" si="35"/>
        <v>1437567.99</v>
      </c>
      <c r="AC24" s="998">
        <f t="shared" si="36"/>
        <v>1437567.99</v>
      </c>
      <c r="AD24" s="998">
        <f t="shared" si="37"/>
        <v>1437567.99</v>
      </c>
      <c r="AE24" s="998">
        <f t="shared" si="38"/>
        <v>1437567.99</v>
      </c>
      <c r="AF24" s="998">
        <f t="shared" si="39"/>
        <v>1437567.99</v>
      </c>
      <c r="AG24" s="998">
        <f t="shared" si="40"/>
        <v>1437567.99</v>
      </c>
      <c r="AH24" s="106"/>
      <c r="AI24" s="133"/>
      <c r="AJ24" s="116">
        <f t="shared" si="41"/>
        <v>1437567.99</v>
      </c>
      <c r="AK24" s="106">
        <f t="shared" si="42"/>
        <v>1437567.99</v>
      </c>
      <c r="AL24" s="1016">
        <f>(AK24/AK31)*AL31</f>
        <v>1437567.99</v>
      </c>
      <c r="AM24" s="1016">
        <f t="shared" ref="AM24:AW24" si="45">(AL24/AL31)*AM31</f>
        <v>1437567.99</v>
      </c>
      <c r="AN24" s="1016">
        <f t="shared" si="45"/>
        <v>1437567.99</v>
      </c>
      <c r="AO24" s="1016">
        <f t="shared" si="45"/>
        <v>1437567.99</v>
      </c>
      <c r="AP24" s="1016">
        <f t="shared" si="45"/>
        <v>1437567.99</v>
      </c>
      <c r="AQ24" s="1016">
        <f t="shared" si="45"/>
        <v>1437567.99</v>
      </c>
      <c r="AR24" s="1016">
        <f t="shared" si="45"/>
        <v>1437567.99</v>
      </c>
      <c r="AS24" s="1016">
        <f t="shared" si="45"/>
        <v>1437567.99</v>
      </c>
      <c r="AT24" s="1016">
        <f t="shared" si="45"/>
        <v>1437567.99</v>
      </c>
      <c r="AU24" s="1016">
        <f t="shared" si="45"/>
        <v>1437567.99</v>
      </c>
      <c r="AV24" s="1016">
        <f t="shared" si="45"/>
        <v>1437567.99</v>
      </c>
      <c r="AW24" s="1016">
        <f t="shared" si="45"/>
        <v>1437567.99</v>
      </c>
      <c r="AX24" s="106"/>
      <c r="AY24" s="133"/>
      <c r="AZ24" s="133"/>
      <c r="BA24" s="116">
        <f t="shared" si="44"/>
        <v>1437567.99</v>
      </c>
    </row>
    <row r="25" spans="1:53">
      <c r="A25" s="250">
        <f t="shared" si="2"/>
        <v>10</v>
      </c>
      <c r="B25" s="208"/>
      <c r="C25" s="253" t="s">
        <v>226</v>
      </c>
      <c r="D25" s="102" t="s">
        <v>227</v>
      </c>
      <c r="E25" s="102"/>
      <c r="F25" s="974">
        <f>'Rate Base'!S23</f>
        <v>52175293.810000002</v>
      </c>
      <c r="G25" s="974">
        <f>'Rate Base'!T23</f>
        <v>52175293.810000002</v>
      </c>
      <c r="H25" s="974">
        <f>'Rate Base'!U23</f>
        <v>52175293.810000002</v>
      </c>
      <c r="I25" s="974">
        <f>'Rate Base'!V23</f>
        <v>52175293.810000002</v>
      </c>
      <c r="J25" s="974">
        <f>'Rate Base'!W23</f>
        <v>52175293.810000002</v>
      </c>
      <c r="K25" s="974">
        <f>'Rate Base'!X23</f>
        <v>52175293.810000002</v>
      </c>
      <c r="L25" s="974">
        <f>'Rate Base'!Y23</f>
        <v>52175293.810000002</v>
      </c>
      <c r="M25" s="974">
        <f>'Rate Base'!Z23</f>
        <v>52175293.810000002</v>
      </c>
      <c r="N25" s="974">
        <f>'Rate Base'!AA23</f>
        <v>52175293.810000002</v>
      </c>
      <c r="O25" s="974">
        <f>'Rate Base'!AB23</f>
        <v>52175293.810000002</v>
      </c>
      <c r="P25" s="974">
        <f>'Rate Base'!AC23</f>
        <v>52175293.810000002</v>
      </c>
      <c r="Q25" s="974">
        <f>'Rate Base'!AD23</f>
        <v>52175293.810000002</v>
      </c>
      <c r="R25" s="974">
        <f>'Rate Base'!AE23</f>
        <v>52175293.810000002</v>
      </c>
      <c r="S25" s="116"/>
      <c r="T25" s="116">
        <f t="shared" si="27"/>
        <v>52175293.810000002</v>
      </c>
      <c r="U25" s="106">
        <f t="shared" si="28"/>
        <v>52175293.810000002</v>
      </c>
      <c r="V25" s="998">
        <f t="shared" si="29"/>
        <v>52175293.810000002</v>
      </c>
      <c r="W25" s="998">
        <f t="shared" si="30"/>
        <v>52175293.810000002</v>
      </c>
      <c r="X25" s="998">
        <f t="shared" si="31"/>
        <v>52175293.810000002</v>
      </c>
      <c r="Y25" s="998">
        <f t="shared" si="32"/>
        <v>52175293.810000002</v>
      </c>
      <c r="Z25" s="998">
        <f t="shared" si="33"/>
        <v>52175293.810000002</v>
      </c>
      <c r="AA25" s="998">
        <f t="shared" si="34"/>
        <v>52175293.810000002</v>
      </c>
      <c r="AB25" s="998">
        <f t="shared" si="35"/>
        <v>52175293.810000002</v>
      </c>
      <c r="AC25" s="998">
        <f t="shared" si="36"/>
        <v>52175293.810000002</v>
      </c>
      <c r="AD25" s="998">
        <f t="shared" si="37"/>
        <v>52175293.810000002</v>
      </c>
      <c r="AE25" s="998">
        <f t="shared" si="38"/>
        <v>52175293.810000002</v>
      </c>
      <c r="AF25" s="998">
        <f t="shared" si="39"/>
        <v>52175293.810000002</v>
      </c>
      <c r="AG25" s="998">
        <f t="shared" si="40"/>
        <v>52175293.810000002</v>
      </c>
      <c r="AH25" s="106"/>
      <c r="AI25" s="133"/>
      <c r="AJ25" s="116">
        <f t="shared" si="41"/>
        <v>52175293.810000002</v>
      </c>
      <c r="AK25" s="106">
        <f t="shared" si="42"/>
        <v>52175293.810000002</v>
      </c>
      <c r="AL25" s="1016">
        <f>(AK25/AK31)*AL31</f>
        <v>52175293.810000002</v>
      </c>
      <c r="AM25" s="1016">
        <f t="shared" ref="AM25:AW25" si="46">(AL25/AL31)*AM31</f>
        <v>52175293.810000002</v>
      </c>
      <c r="AN25" s="1016">
        <f t="shared" si="46"/>
        <v>52175293.810000002</v>
      </c>
      <c r="AO25" s="1016">
        <f t="shared" si="46"/>
        <v>52175293.810000002</v>
      </c>
      <c r="AP25" s="1016">
        <f t="shared" si="46"/>
        <v>52175293.810000002</v>
      </c>
      <c r="AQ25" s="1016">
        <f t="shared" si="46"/>
        <v>52175293.810000002</v>
      </c>
      <c r="AR25" s="1016">
        <f t="shared" si="46"/>
        <v>52175293.810000002</v>
      </c>
      <c r="AS25" s="1016">
        <f t="shared" si="46"/>
        <v>52175293.810000002</v>
      </c>
      <c r="AT25" s="1016">
        <f t="shared" si="46"/>
        <v>52175293.810000002</v>
      </c>
      <c r="AU25" s="1016">
        <f t="shared" si="46"/>
        <v>52175293.810000002</v>
      </c>
      <c r="AV25" s="1016">
        <f t="shared" si="46"/>
        <v>52175293.810000002</v>
      </c>
      <c r="AW25" s="1016">
        <f t="shared" si="46"/>
        <v>52175293.810000002</v>
      </c>
      <c r="AX25" s="106"/>
      <c r="AY25" s="133"/>
      <c r="AZ25" s="133"/>
      <c r="BA25" s="116">
        <f t="shared" si="44"/>
        <v>52175293.810000002</v>
      </c>
    </row>
    <row r="26" spans="1:53">
      <c r="A26" s="250">
        <f t="shared" si="2"/>
        <v>11</v>
      </c>
      <c r="B26" s="208"/>
      <c r="C26" s="253" t="s">
        <v>228</v>
      </c>
      <c r="D26" s="102" t="s">
        <v>229</v>
      </c>
      <c r="E26" s="102"/>
      <c r="F26" s="974">
        <f>'Rate Base'!S24</f>
        <v>17216356.050000001</v>
      </c>
      <c r="G26" s="974">
        <f>'Rate Base'!T24</f>
        <v>17216356.050000001</v>
      </c>
      <c r="H26" s="974">
        <f>'Rate Base'!U24</f>
        <v>17216356.050000001</v>
      </c>
      <c r="I26" s="974">
        <f>'Rate Base'!V24</f>
        <v>17216356.050000001</v>
      </c>
      <c r="J26" s="974">
        <f>'Rate Base'!W24</f>
        <v>17216356.050000001</v>
      </c>
      <c r="K26" s="974">
        <f>'Rate Base'!X24</f>
        <v>17216356.050000001</v>
      </c>
      <c r="L26" s="974">
        <f>'Rate Base'!Y24</f>
        <v>17216356.050000001</v>
      </c>
      <c r="M26" s="974">
        <f>'Rate Base'!Z24</f>
        <v>17216356.050000001</v>
      </c>
      <c r="N26" s="974">
        <f>'Rate Base'!AA24</f>
        <v>17216356.050000001</v>
      </c>
      <c r="O26" s="974">
        <f>'Rate Base'!AB24</f>
        <v>17216356.050000001</v>
      </c>
      <c r="P26" s="974">
        <f>'Rate Base'!AC24</f>
        <v>17216356.050000001</v>
      </c>
      <c r="Q26" s="974">
        <f>'Rate Base'!AD24</f>
        <v>17216356.050000001</v>
      </c>
      <c r="R26" s="974">
        <f>'Rate Base'!AE24</f>
        <v>17216356.050000001</v>
      </c>
      <c r="S26" s="116"/>
      <c r="T26" s="116">
        <f t="shared" si="27"/>
        <v>17216356.050000004</v>
      </c>
      <c r="U26" s="106">
        <f t="shared" si="28"/>
        <v>17216356.050000001</v>
      </c>
      <c r="V26" s="998">
        <f t="shared" si="29"/>
        <v>17216356.050000001</v>
      </c>
      <c r="W26" s="998">
        <f t="shared" si="30"/>
        <v>17216356.050000001</v>
      </c>
      <c r="X26" s="998">
        <f t="shared" si="31"/>
        <v>17216356.050000001</v>
      </c>
      <c r="Y26" s="998">
        <f t="shared" si="32"/>
        <v>17216356.050000001</v>
      </c>
      <c r="Z26" s="998">
        <f t="shared" si="33"/>
        <v>17216356.050000001</v>
      </c>
      <c r="AA26" s="998">
        <f t="shared" si="34"/>
        <v>17216356.050000001</v>
      </c>
      <c r="AB26" s="998">
        <f t="shared" si="35"/>
        <v>17216356.050000001</v>
      </c>
      <c r="AC26" s="998">
        <f t="shared" si="36"/>
        <v>17216356.050000001</v>
      </c>
      <c r="AD26" s="998">
        <f t="shared" si="37"/>
        <v>17216356.050000001</v>
      </c>
      <c r="AE26" s="998">
        <f t="shared" si="38"/>
        <v>17216356.050000001</v>
      </c>
      <c r="AF26" s="998">
        <f t="shared" si="39"/>
        <v>17216356.050000001</v>
      </c>
      <c r="AG26" s="998">
        <f t="shared" si="40"/>
        <v>17216356.050000001</v>
      </c>
      <c r="AH26" s="106"/>
      <c r="AI26" s="133"/>
      <c r="AJ26" s="116">
        <f t="shared" si="41"/>
        <v>17216356.050000004</v>
      </c>
      <c r="AK26" s="106">
        <f t="shared" si="42"/>
        <v>17216356.050000001</v>
      </c>
      <c r="AL26" s="1016">
        <f>(AK26/AK31)*AL31</f>
        <v>17216356.050000001</v>
      </c>
      <c r="AM26" s="1016">
        <f t="shared" ref="AM26:AW26" si="47">(AL26/AL31)*AM31</f>
        <v>17216356.050000001</v>
      </c>
      <c r="AN26" s="1016">
        <f t="shared" si="47"/>
        <v>17216356.050000001</v>
      </c>
      <c r="AO26" s="1016">
        <f t="shared" si="47"/>
        <v>17216356.050000001</v>
      </c>
      <c r="AP26" s="1016">
        <f t="shared" si="47"/>
        <v>17216356.050000001</v>
      </c>
      <c r="AQ26" s="1016">
        <f t="shared" si="47"/>
        <v>17216356.050000001</v>
      </c>
      <c r="AR26" s="1016">
        <f t="shared" si="47"/>
        <v>17216356.050000001</v>
      </c>
      <c r="AS26" s="1016">
        <f t="shared" si="47"/>
        <v>17216356.050000001</v>
      </c>
      <c r="AT26" s="1016">
        <f t="shared" si="47"/>
        <v>17216356.050000001</v>
      </c>
      <c r="AU26" s="1016">
        <f t="shared" si="47"/>
        <v>17216356.050000001</v>
      </c>
      <c r="AV26" s="1016">
        <f t="shared" si="47"/>
        <v>17216356.050000001</v>
      </c>
      <c r="AW26" s="1016">
        <f t="shared" si="47"/>
        <v>17216356.050000001</v>
      </c>
      <c r="AX26" s="106"/>
      <c r="AY26" s="133"/>
      <c r="AZ26" s="133"/>
      <c r="BA26" s="116">
        <f t="shared" si="44"/>
        <v>17216356.050000004</v>
      </c>
    </row>
    <row r="27" spans="1:53">
      <c r="A27" s="250">
        <f t="shared" si="2"/>
        <v>12</v>
      </c>
      <c r="B27" s="208"/>
      <c r="C27" s="253" t="s">
        <v>230</v>
      </c>
      <c r="D27" s="102" t="s">
        <v>231</v>
      </c>
      <c r="E27" s="102"/>
      <c r="F27" s="974">
        <f>'Rate Base'!S25</f>
        <v>2693816.12</v>
      </c>
      <c r="G27" s="974">
        <f>'Rate Base'!T25</f>
        <v>2693816.12</v>
      </c>
      <c r="H27" s="974">
        <f>'Rate Base'!U25</f>
        <v>2693816.12</v>
      </c>
      <c r="I27" s="974">
        <f>'Rate Base'!V25</f>
        <v>2693816.12</v>
      </c>
      <c r="J27" s="974">
        <f>'Rate Base'!W25</f>
        <v>2693816.12</v>
      </c>
      <c r="K27" s="974">
        <f>'Rate Base'!X25</f>
        <v>2693816.12</v>
      </c>
      <c r="L27" s="974">
        <f>'Rate Base'!Y25</f>
        <v>2693816.12</v>
      </c>
      <c r="M27" s="974">
        <f>'Rate Base'!Z25</f>
        <v>2693816.12</v>
      </c>
      <c r="N27" s="974">
        <f>'Rate Base'!AA25</f>
        <v>2693816.12</v>
      </c>
      <c r="O27" s="974">
        <f>'Rate Base'!AB25</f>
        <v>2693816.12</v>
      </c>
      <c r="P27" s="974">
        <f>'Rate Base'!AC25</f>
        <v>2693816.12</v>
      </c>
      <c r="Q27" s="974">
        <f>'Rate Base'!AD25</f>
        <v>2693816.12</v>
      </c>
      <c r="R27" s="974">
        <f>'Rate Base'!AE25</f>
        <v>2693816.12</v>
      </c>
      <c r="S27" s="116"/>
      <c r="T27" s="116">
        <f t="shared" si="27"/>
        <v>2693816.1200000006</v>
      </c>
      <c r="U27" s="106">
        <f t="shared" si="28"/>
        <v>2693816.12</v>
      </c>
      <c r="V27" s="998">
        <f t="shared" si="29"/>
        <v>2693816.12</v>
      </c>
      <c r="W27" s="998">
        <f t="shared" si="30"/>
        <v>2693816.12</v>
      </c>
      <c r="X27" s="998">
        <f t="shared" si="31"/>
        <v>2693816.12</v>
      </c>
      <c r="Y27" s="998">
        <f t="shared" si="32"/>
        <v>2693816.12</v>
      </c>
      <c r="Z27" s="998">
        <f t="shared" si="33"/>
        <v>2693816.12</v>
      </c>
      <c r="AA27" s="998">
        <f t="shared" si="34"/>
        <v>2693816.12</v>
      </c>
      <c r="AB27" s="998">
        <f t="shared" si="35"/>
        <v>2693816.12</v>
      </c>
      <c r="AC27" s="998">
        <f t="shared" si="36"/>
        <v>2693816.12</v>
      </c>
      <c r="AD27" s="998">
        <f t="shared" si="37"/>
        <v>2693816.12</v>
      </c>
      <c r="AE27" s="998">
        <f t="shared" si="38"/>
        <v>2693816.12</v>
      </c>
      <c r="AF27" s="998">
        <f t="shared" si="39"/>
        <v>2693816.12</v>
      </c>
      <c r="AG27" s="998">
        <f t="shared" si="40"/>
        <v>2693816.12</v>
      </c>
      <c r="AH27" s="106"/>
      <c r="AI27" s="133"/>
      <c r="AJ27" s="116">
        <f t="shared" si="41"/>
        <v>2693816.1200000006</v>
      </c>
      <c r="AK27" s="106">
        <f t="shared" si="42"/>
        <v>2693816.12</v>
      </c>
      <c r="AL27" s="1016">
        <f>(AK27/AK31)*AL31</f>
        <v>2693816.12</v>
      </c>
      <c r="AM27" s="1016">
        <f t="shared" ref="AM27:AW27" si="48">(AL27/AL31)*AM31</f>
        <v>2693816.12</v>
      </c>
      <c r="AN27" s="1016">
        <f t="shared" si="48"/>
        <v>2693816.12</v>
      </c>
      <c r="AO27" s="1016">
        <f t="shared" si="48"/>
        <v>2693816.12</v>
      </c>
      <c r="AP27" s="1016">
        <f t="shared" si="48"/>
        <v>2693816.12</v>
      </c>
      <c r="AQ27" s="1016">
        <f t="shared" si="48"/>
        <v>2693816.12</v>
      </c>
      <c r="AR27" s="1016">
        <f t="shared" si="48"/>
        <v>2693816.12</v>
      </c>
      <c r="AS27" s="1016">
        <f t="shared" si="48"/>
        <v>2693816.12</v>
      </c>
      <c r="AT27" s="1016">
        <f t="shared" si="48"/>
        <v>2693816.12</v>
      </c>
      <c r="AU27" s="1016">
        <f t="shared" si="48"/>
        <v>2693816.12</v>
      </c>
      <c r="AV27" s="1016">
        <f t="shared" si="48"/>
        <v>2693816.12</v>
      </c>
      <c r="AW27" s="1016">
        <f t="shared" si="48"/>
        <v>2693816.12</v>
      </c>
      <c r="AX27" s="106"/>
      <c r="AY27" s="133"/>
      <c r="AZ27" s="133"/>
      <c r="BA27" s="116">
        <f t="shared" si="44"/>
        <v>2693816.1200000006</v>
      </c>
    </row>
    <row r="28" spans="1:53">
      <c r="A28" s="250">
        <f t="shared" si="2"/>
        <v>13</v>
      </c>
      <c r="B28" s="208"/>
      <c r="C28" s="253" t="s">
        <v>232</v>
      </c>
      <c r="D28" s="102" t="s">
        <v>233</v>
      </c>
      <c r="E28" s="102"/>
      <c r="F28" s="974">
        <f>'Rate Base'!S26</f>
        <v>57014.71</v>
      </c>
      <c r="G28" s="974">
        <f>'Rate Base'!T26</f>
        <v>57014.71</v>
      </c>
      <c r="H28" s="974">
        <f>'Rate Base'!U26</f>
        <v>57014.71</v>
      </c>
      <c r="I28" s="974">
        <f>'Rate Base'!V26</f>
        <v>57014.71</v>
      </c>
      <c r="J28" s="974">
        <f>'Rate Base'!W26</f>
        <v>57014.71</v>
      </c>
      <c r="K28" s="974">
        <f>'Rate Base'!X26</f>
        <v>57014.71</v>
      </c>
      <c r="L28" s="974">
        <f>'Rate Base'!Y26</f>
        <v>57014.71</v>
      </c>
      <c r="M28" s="974">
        <f>'Rate Base'!Z26</f>
        <v>57014.71</v>
      </c>
      <c r="N28" s="974">
        <f>'Rate Base'!AA26</f>
        <v>57014.71</v>
      </c>
      <c r="O28" s="974">
        <f>'Rate Base'!AB26</f>
        <v>57014.71</v>
      </c>
      <c r="P28" s="974">
        <f>'Rate Base'!AC26</f>
        <v>57014.71</v>
      </c>
      <c r="Q28" s="974">
        <f>'Rate Base'!AD26</f>
        <v>57014.71</v>
      </c>
      <c r="R28" s="974">
        <f>'Rate Base'!AE26</f>
        <v>57014.71</v>
      </c>
      <c r="S28" s="116"/>
      <c r="T28" s="116">
        <f t="shared" si="27"/>
        <v>57014.71</v>
      </c>
      <c r="U28" s="106">
        <f t="shared" si="28"/>
        <v>57014.71</v>
      </c>
      <c r="V28" s="998">
        <f t="shared" si="29"/>
        <v>57014.71</v>
      </c>
      <c r="W28" s="998">
        <f t="shared" si="30"/>
        <v>57014.71</v>
      </c>
      <c r="X28" s="998">
        <f t="shared" si="31"/>
        <v>57014.71</v>
      </c>
      <c r="Y28" s="998">
        <f t="shared" si="32"/>
        <v>57014.71</v>
      </c>
      <c r="Z28" s="998">
        <f t="shared" si="33"/>
        <v>57014.71</v>
      </c>
      <c r="AA28" s="998">
        <f t="shared" si="34"/>
        <v>57014.71</v>
      </c>
      <c r="AB28" s="998">
        <f t="shared" si="35"/>
        <v>57014.71</v>
      </c>
      <c r="AC28" s="998">
        <f t="shared" si="36"/>
        <v>57014.71</v>
      </c>
      <c r="AD28" s="998">
        <f t="shared" si="37"/>
        <v>57014.71</v>
      </c>
      <c r="AE28" s="998">
        <f t="shared" si="38"/>
        <v>57014.71</v>
      </c>
      <c r="AF28" s="998">
        <f t="shared" si="39"/>
        <v>57014.71</v>
      </c>
      <c r="AG28" s="998">
        <f t="shared" si="40"/>
        <v>57014.71</v>
      </c>
      <c r="AH28" s="106"/>
      <c r="AI28" s="133"/>
      <c r="AJ28" s="116">
        <f t="shared" si="41"/>
        <v>57014.71</v>
      </c>
      <c r="AK28" s="106">
        <f t="shared" si="42"/>
        <v>57014.71</v>
      </c>
      <c r="AL28" s="1016">
        <f>(AK28/AK31)*AL31</f>
        <v>57014.71</v>
      </c>
      <c r="AM28" s="1016">
        <f t="shared" ref="AM28:AW28" si="49">(AL28/AL31)*AM31</f>
        <v>57014.71</v>
      </c>
      <c r="AN28" s="1016">
        <f t="shared" si="49"/>
        <v>57014.71</v>
      </c>
      <c r="AO28" s="1016">
        <f t="shared" si="49"/>
        <v>57014.71</v>
      </c>
      <c r="AP28" s="1016">
        <f t="shared" si="49"/>
        <v>57014.71</v>
      </c>
      <c r="AQ28" s="1016">
        <f t="shared" si="49"/>
        <v>57014.71</v>
      </c>
      <c r="AR28" s="1016">
        <f t="shared" si="49"/>
        <v>57014.71</v>
      </c>
      <c r="AS28" s="1016">
        <f t="shared" si="49"/>
        <v>57014.71</v>
      </c>
      <c r="AT28" s="1016">
        <f t="shared" si="49"/>
        <v>57014.71</v>
      </c>
      <c r="AU28" s="1016">
        <f t="shared" si="49"/>
        <v>57014.71</v>
      </c>
      <c r="AV28" s="1016">
        <f t="shared" si="49"/>
        <v>57014.71</v>
      </c>
      <c r="AW28" s="1016">
        <f t="shared" si="49"/>
        <v>57014.71</v>
      </c>
      <c r="AX28" s="106"/>
      <c r="AY28" s="133"/>
      <c r="AZ28" s="133"/>
      <c r="BA28" s="116">
        <f t="shared" si="44"/>
        <v>57014.71</v>
      </c>
    </row>
    <row r="29" spans="1:53">
      <c r="A29" s="250">
        <f t="shared" si="2"/>
        <v>14</v>
      </c>
      <c r="B29" s="208"/>
      <c r="C29" s="102" t="s">
        <v>234</v>
      </c>
      <c r="D29" s="102" t="s">
        <v>235</v>
      </c>
      <c r="E29" s="102"/>
      <c r="F29" s="974">
        <f>'Rate Base'!S27</f>
        <v>121186.63</v>
      </c>
      <c r="G29" s="974">
        <f>'Rate Base'!T27</f>
        <v>121186.63</v>
      </c>
      <c r="H29" s="974">
        <f>'Rate Base'!U27</f>
        <v>121186.63</v>
      </c>
      <c r="I29" s="974">
        <f>'Rate Base'!V27</f>
        <v>121186.63</v>
      </c>
      <c r="J29" s="974">
        <f>'Rate Base'!W27</f>
        <v>121186.63</v>
      </c>
      <c r="K29" s="974">
        <f>'Rate Base'!X27</f>
        <v>121186.63</v>
      </c>
      <c r="L29" s="974">
        <f>'Rate Base'!Y27</f>
        <v>121186.63</v>
      </c>
      <c r="M29" s="974">
        <f>'Rate Base'!Z27</f>
        <v>121186.63</v>
      </c>
      <c r="N29" s="974">
        <f>'Rate Base'!AA27</f>
        <v>121186.63</v>
      </c>
      <c r="O29" s="974">
        <f>'Rate Base'!AB27</f>
        <v>121186.63</v>
      </c>
      <c r="P29" s="974">
        <f>'Rate Base'!AC27</f>
        <v>121186.63</v>
      </c>
      <c r="Q29" s="974">
        <f>'Rate Base'!AD27</f>
        <v>121186.63</v>
      </c>
      <c r="R29" s="974">
        <f>'Rate Base'!AE27</f>
        <v>121186.63</v>
      </c>
      <c r="S29" s="116"/>
      <c r="T29" s="116">
        <f t="shared" si="27"/>
        <v>121186.62999999996</v>
      </c>
      <c r="U29" s="106">
        <f t="shared" si="28"/>
        <v>121186.63</v>
      </c>
      <c r="V29" s="998">
        <f t="shared" si="29"/>
        <v>121186.62999999999</v>
      </c>
      <c r="W29" s="998">
        <f t="shared" si="30"/>
        <v>121186.62999999999</v>
      </c>
      <c r="X29" s="998">
        <f t="shared" si="31"/>
        <v>121186.62999999999</v>
      </c>
      <c r="Y29" s="998">
        <f t="shared" si="32"/>
        <v>121186.62999999999</v>
      </c>
      <c r="Z29" s="998">
        <f t="shared" si="33"/>
        <v>121186.62999999999</v>
      </c>
      <c r="AA29" s="998">
        <f t="shared" si="34"/>
        <v>121186.62999999999</v>
      </c>
      <c r="AB29" s="998">
        <f t="shared" ref="AB29" si="50">(AA29/AA$31)*AB$31</f>
        <v>121186.62999999999</v>
      </c>
      <c r="AC29" s="998">
        <f t="shared" si="36"/>
        <v>121186.62999999999</v>
      </c>
      <c r="AD29" s="998">
        <f t="shared" si="37"/>
        <v>121186.62999999999</v>
      </c>
      <c r="AE29" s="998">
        <f t="shared" si="38"/>
        <v>121186.62999999999</v>
      </c>
      <c r="AF29" s="998">
        <f t="shared" si="39"/>
        <v>121186.62999999999</v>
      </c>
      <c r="AG29" s="998">
        <f t="shared" si="40"/>
        <v>121186.62999999999</v>
      </c>
      <c r="AH29" s="106"/>
      <c r="AI29" s="133"/>
      <c r="AJ29" s="116">
        <f t="shared" si="41"/>
        <v>121186.62999999996</v>
      </c>
      <c r="AK29" s="106">
        <f t="shared" si="42"/>
        <v>121186.62999999999</v>
      </c>
      <c r="AL29" s="1016">
        <f>(AK29/AK31)*AL31</f>
        <v>121186.62999999999</v>
      </c>
      <c r="AM29" s="1016">
        <f t="shared" ref="AM29:AW29" si="51">(AL29/AL31)*AM31</f>
        <v>121186.62999999999</v>
      </c>
      <c r="AN29" s="1016">
        <f t="shared" si="51"/>
        <v>121186.62999999999</v>
      </c>
      <c r="AO29" s="1016">
        <f t="shared" si="51"/>
        <v>121186.62999999999</v>
      </c>
      <c r="AP29" s="1016">
        <f t="shared" si="51"/>
        <v>121186.62999999999</v>
      </c>
      <c r="AQ29" s="1016">
        <f t="shared" si="51"/>
        <v>121186.62999999999</v>
      </c>
      <c r="AR29" s="1016">
        <f t="shared" si="51"/>
        <v>121186.62999999999</v>
      </c>
      <c r="AS29" s="1016">
        <f t="shared" si="51"/>
        <v>121186.62999999999</v>
      </c>
      <c r="AT29" s="1016">
        <f t="shared" si="51"/>
        <v>121186.62999999999</v>
      </c>
      <c r="AU29" s="1016">
        <f t="shared" si="51"/>
        <v>121186.62999999999</v>
      </c>
      <c r="AV29" s="1016">
        <f t="shared" si="51"/>
        <v>121186.62999999999</v>
      </c>
      <c r="AW29" s="1016">
        <f t="shared" si="51"/>
        <v>121186.62999999999</v>
      </c>
      <c r="AX29" s="106"/>
      <c r="AY29" s="133"/>
      <c r="AZ29" s="133"/>
      <c r="BA29" s="116">
        <f t="shared" si="44"/>
        <v>121186.62999999996</v>
      </c>
    </row>
    <row r="30" spans="1:53">
      <c r="A30" s="250">
        <f t="shared" si="2"/>
        <v>15</v>
      </c>
      <c r="B30" s="208"/>
      <c r="C30" s="14"/>
      <c r="D30" s="102"/>
      <c r="E30" s="102"/>
      <c r="F30" s="981"/>
      <c r="G30" s="981"/>
      <c r="H30" s="981"/>
      <c r="I30" s="981"/>
      <c r="J30" s="981"/>
      <c r="K30" s="981"/>
      <c r="L30" s="981"/>
      <c r="M30" s="981"/>
      <c r="N30" s="981"/>
      <c r="O30" s="981"/>
      <c r="P30" s="981"/>
      <c r="Q30" s="981"/>
      <c r="R30" s="981"/>
      <c r="S30" s="579"/>
      <c r="T30" s="255"/>
      <c r="U30" s="397"/>
      <c r="V30" s="1003"/>
      <c r="W30" s="1003"/>
      <c r="X30" s="1003"/>
      <c r="Y30" s="1003"/>
      <c r="Z30" s="1003"/>
      <c r="AA30" s="1003"/>
      <c r="AB30" s="1003"/>
      <c r="AC30" s="1003"/>
      <c r="AD30" s="1003"/>
      <c r="AE30" s="1003"/>
      <c r="AF30" s="1003"/>
      <c r="AG30" s="1003"/>
      <c r="AH30" s="397"/>
      <c r="AI30" s="174"/>
      <c r="AJ30" s="255"/>
      <c r="AK30" s="397"/>
      <c r="AL30" s="1021"/>
      <c r="AM30" s="1021"/>
      <c r="AN30" s="1021"/>
      <c r="AO30" s="1021"/>
      <c r="AP30" s="1021"/>
      <c r="AQ30" s="1021"/>
      <c r="AR30" s="1021"/>
      <c r="AS30" s="1021"/>
      <c r="AT30" s="1021"/>
      <c r="AU30" s="1021"/>
      <c r="AV30" s="1021"/>
      <c r="AW30" s="1021"/>
      <c r="AX30" s="397"/>
      <c r="AY30" s="174"/>
      <c r="AZ30" s="174"/>
      <c r="BA30" s="255"/>
    </row>
    <row r="31" spans="1:53">
      <c r="A31" s="250">
        <f t="shared" si="2"/>
        <v>16</v>
      </c>
      <c r="B31" s="208"/>
      <c r="C31" s="102"/>
      <c r="D31" s="102" t="s">
        <v>236</v>
      </c>
      <c r="E31" s="102"/>
      <c r="F31" s="982">
        <f t="shared" ref="F31:R31" si="52">SUM(F23:F29)</f>
        <v>79968136</v>
      </c>
      <c r="G31" s="982">
        <f t="shared" si="52"/>
        <v>79968136</v>
      </c>
      <c r="H31" s="982">
        <f t="shared" si="52"/>
        <v>79968136</v>
      </c>
      <c r="I31" s="982">
        <f t="shared" si="52"/>
        <v>79968136</v>
      </c>
      <c r="J31" s="982">
        <f t="shared" si="52"/>
        <v>79968136</v>
      </c>
      <c r="K31" s="982">
        <f t="shared" si="52"/>
        <v>79968136</v>
      </c>
      <c r="L31" s="982">
        <f t="shared" si="52"/>
        <v>79968136</v>
      </c>
      <c r="M31" s="982">
        <f t="shared" si="52"/>
        <v>79968136</v>
      </c>
      <c r="N31" s="982">
        <f t="shared" si="52"/>
        <v>79968136</v>
      </c>
      <c r="O31" s="982">
        <f t="shared" si="52"/>
        <v>79968136</v>
      </c>
      <c r="P31" s="982">
        <f t="shared" si="52"/>
        <v>79968136</v>
      </c>
      <c r="Q31" s="982">
        <f t="shared" si="52"/>
        <v>79968136</v>
      </c>
      <c r="R31" s="982">
        <f t="shared" si="52"/>
        <v>79968136</v>
      </c>
      <c r="S31" s="254"/>
      <c r="T31" s="254">
        <f>SUM(T23:T29)</f>
        <v>79968136</v>
      </c>
      <c r="U31" s="106">
        <f>+R31</f>
        <v>79968136</v>
      </c>
      <c r="V31" s="998">
        <f t="shared" ref="V31:AA31" si="53">IF($R31-$F31=0,U31+$AH31/12,U31+((G31-F31)/($R31-$F31))*$AH31)</f>
        <v>79968136</v>
      </c>
      <c r="W31" s="998">
        <f t="shared" si="53"/>
        <v>79968136</v>
      </c>
      <c r="X31" s="998">
        <f t="shared" si="53"/>
        <v>79968136</v>
      </c>
      <c r="Y31" s="998">
        <f t="shared" si="53"/>
        <v>79968136</v>
      </c>
      <c r="Z31" s="998">
        <f t="shared" si="53"/>
        <v>79968136</v>
      </c>
      <c r="AA31" s="998">
        <f t="shared" si="53"/>
        <v>79968136</v>
      </c>
      <c r="AB31" s="998">
        <f>IF($R31-$F31=0,AA31+$AH31/12,AA31+((M31-L31)/($R31-$F31))*$AH31)</f>
        <v>79968136</v>
      </c>
      <c r="AC31" s="998">
        <f t="shared" ref="AC31" si="54">IF($R31-$F31=0,AB31+$AH31/12,AB31+((N31-M31)/($R31-$F31))*$AH31)</f>
        <v>79968136</v>
      </c>
      <c r="AD31" s="998">
        <f t="shared" ref="AD31" si="55">IF($R31-$F31=0,AC31+$AH31/12,AC31+((O31-N31)/($R31-$F31))*$AH31)</f>
        <v>79968136</v>
      </c>
      <c r="AE31" s="998">
        <f t="shared" ref="AE31" si="56">IF($R31-$F31=0,AD31+$AH31/12,AD31+((P31-O31)/($R31-$F31))*$AH31)</f>
        <v>79968136</v>
      </c>
      <c r="AF31" s="998">
        <f t="shared" ref="AF31" si="57">IF($R31-$F31=0,AE31+$AH31/12,AE31+((Q31-P31)/($R31-$F31))*$AH31)</f>
        <v>79968136</v>
      </c>
      <c r="AG31" s="998">
        <f t="shared" ref="AG31" si="58">IF($R31-$F31=0,AF31+$AH31/12,AF31+((R31-Q31)/($R31-$F31))*$AH31)</f>
        <v>79968136</v>
      </c>
      <c r="AH31" s="106">
        <f>SUM('101_106 PROJECTION'!N7:N13)</f>
        <v>0</v>
      </c>
      <c r="AI31" s="752">
        <f>+AG31-U31</f>
        <v>0</v>
      </c>
      <c r="AJ31" s="254">
        <f>SUM(AJ23:AJ29)</f>
        <v>79968136</v>
      </c>
      <c r="AK31" s="106">
        <f>AG31</f>
        <v>79968136</v>
      </c>
      <c r="AL31" s="1041">
        <f>IF($R31-$F31=0,AK31+$AX31/12,AK31+((G31-F31)/($R31-$F31))*$AX31)</f>
        <v>79968136</v>
      </c>
      <c r="AM31" s="1041">
        <f t="shared" ref="AM31" si="59">IF($R31-$F31=0,AL31+$AX31/12,AL31+((H31-G31)/($R31-$F31))*$AX31)</f>
        <v>79968136</v>
      </c>
      <c r="AN31" s="1041">
        <f t="shared" ref="AN31" si="60">IF($R31-$F31=0,AM31+$AX31/12,AM31+((I31-H31)/($R31-$F31))*$AX31)</f>
        <v>79968136</v>
      </c>
      <c r="AO31" s="1041">
        <f t="shared" ref="AO31" si="61">IF($R31-$F31=0,AN31+$AX31/12,AN31+((J31-I31)/($R31-$F31))*$AX31)</f>
        <v>79968136</v>
      </c>
      <c r="AP31" s="1041">
        <f t="shared" ref="AP31" si="62">IF($R31-$F31=0,AO31+$AX31/12,AO31+((K31-J31)/($R31-$F31))*$AX31)</f>
        <v>79968136</v>
      </c>
      <c r="AQ31" s="1041">
        <f t="shared" ref="AQ31" si="63">IF($R31-$F31=0,AP31+$AX31/12,AP31+((L31-K31)/($R31-$F31))*$AX31)</f>
        <v>79968136</v>
      </c>
      <c r="AR31" s="1041">
        <f t="shared" ref="AR31" si="64">IF($R31-$F31=0,AQ31+$AX31/12,AQ31+((M31-L31)/($R31-$F31))*$AX31)</f>
        <v>79968136</v>
      </c>
      <c r="AS31" s="1041">
        <f t="shared" ref="AS31" si="65">IF($R31-$F31=0,AR31+$AX31/12,AR31+((N31-M31)/($R31-$F31))*$AX31)</f>
        <v>79968136</v>
      </c>
      <c r="AT31" s="1041">
        <f t="shared" ref="AT31" si="66">IF($R31-$F31=0,AS31+$AX31/12,AS31+((O31-N31)/($R31-$F31))*$AX31)</f>
        <v>79968136</v>
      </c>
      <c r="AU31" s="1041">
        <f t="shared" ref="AU31" si="67">IF($R31-$F31=0,AT31+$AX31/12,AT31+((P31-O31)/($R31-$F31))*$AX31)</f>
        <v>79968136</v>
      </c>
      <c r="AV31" s="1041">
        <f t="shared" ref="AV31" si="68">IF($R31-$F31=0,AU31+$AX31/12,AU31+((Q31-P31)/($R31-$F31))*$AX31)</f>
        <v>79968136</v>
      </c>
      <c r="AW31" s="1041">
        <f t="shared" ref="AW31" si="69">IF($R31-$F31=0,AV31+$AX31/12,AV31+((R31-Q31)/($R31-$F31))*$AX31)</f>
        <v>79968136</v>
      </c>
      <c r="AX31" s="106">
        <v>0</v>
      </c>
      <c r="AY31" s="551">
        <f>+AW31-AK31</f>
        <v>0</v>
      </c>
      <c r="BA31" s="254">
        <f>SUM(BA23:BA29)</f>
        <v>79968136</v>
      </c>
    </row>
    <row r="32" spans="1:53">
      <c r="A32" s="250">
        <f t="shared" si="2"/>
        <v>17</v>
      </c>
      <c r="B32" s="14"/>
      <c r="C32" s="102"/>
      <c r="D32" s="102"/>
      <c r="E32" s="102"/>
      <c r="F32" s="983"/>
      <c r="G32" s="983">
        <f>+G31/G152</f>
        <v>2.937475973138419E-2</v>
      </c>
      <c r="U32" s="102"/>
      <c r="AH32" s="102"/>
      <c r="AK32" s="102"/>
      <c r="AX32" s="102"/>
    </row>
    <row r="33" spans="1:53">
      <c r="A33" s="250">
        <f t="shared" si="2"/>
        <v>18</v>
      </c>
      <c r="B33" s="208"/>
      <c r="C33" s="102"/>
      <c r="D33" s="102" t="s">
        <v>237</v>
      </c>
      <c r="E33" s="102"/>
      <c r="U33" s="102"/>
      <c r="AH33" s="102"/>
      <c r="AK33" s="102"/>
      <c r="AX33" s="102"/>
    </row>
    <row r="34" spans="1:53">
      <c r="A34" s="250">
        <f t="shared" si="2"/>
        <v>19</v>
      </c>
      <c r="B34" s="208"/>
      <c r="C34" s="102" t="s">
        <v>238</v>
      </c>
      <c r="D34" s="102" t="s">
        <v>223</v>
      </c>
      <c r="E34" s="102"/>
      <c r="F34" s="984"/>
      <c r="G34" s="984"/>
      <c r="H34" s="984"/>
      <c r="I34" s="984"/>
      <c r="J34" s="984"/>
      <c r="K34" s="984"/>
      <c r="L34" s="984"/>
      <c r="M34" s="984"/>
      <c r="N34" s="984"/>
      <c r="O34" s="984"/>
      <c r="P34" s="984"/>
      <c r="Q34" s="984"/>
      <c r="R34" s="984"/>
      <c r="S34" s="579"/>
      <c r="T34" s="579"/>
      <c r="U34" s="33"/>
      <c r="V34" s="1005"/>
      <c r="W34" s="1005"/>
      <c r="X34" s="1005"/>
      <c r="Y34" s="1005"/>
      <c r="Z34" s="1005"/>
      <c r="AA34" s="1005"/>
      <c r="AB34" s="1005"/>
      <c r="AC34" s="1005"/>
      <c r="AD34" s="1005"/>
      <c r="AE34" s="1005"/>
      <c r="AF34" s="1005"/>
      <c r="AG34" s="1005"/>
      <c r="AH34" s="33"/>
      <c r="AI34" s="260"/>
      <c r="AJ34" s="579"/>
      <c r="AK34" s="33"/>
      <c r="AL34" s="1023"/>
      <c r="AM34" s="1023"/>
      <c r="AN34" s="1023"/>
      <c r="AO34" s="1023"/>
      <c r="AP34" s="1023"/>
      <c r="AQ34" s="1023"/>
      <c r="AR34" s="1023"/>
      <c r="AS34" s="1023"/>
      <c r="AT34" s="1023"/>
      <c r="AU34" s="1023"/>
      <c r="AV34" s="1023"/>
      <c r="AW34" s="1023"/>
      <c r="AX34" s="33"/>
      <c r="AY34" s="260"/>
      <c r="AZ34" s="260"/>
      <c r="BA34" s="579"/>
    </row>
    <row r="35" spans="1:53">
      <c r="A35" s="250">
        <f t="shared" si="2"/>
        <v>20</v>
      </c>
      <c r="B35" s="208"/>
      <c r="C35" s="102"/>
      <c r="D35" s="102"/>
      <c r="E35" s="102" t="s">
        <v>24</v>
      </c>
      <c r="F35" s="974">
        <f>'Rate Base'!S33</f>
        <v>400188.28</v>
      </c>
      <c r="G35" s="974">
        <f>'Rate Base'!T33</f>
        <v>400188.28</v>
      </c>
      <c r="H35" s="974">
        <f>'Rate Base'!U33</f>
        <v>400188.28</v>
      </c>
      <c r="I35" s="974">
        <f>'Rate Base'!V33</f>
        <v>400188.28</v>
      </c>
      <c r="J35" s="974">
        <f>'Rate Base'!W33</f>
        <v>434507.8</v>
      </c>
      <c r="K35" s="974">
        <f>'Rate Base'!X33</f>
        <v>434507.8</v>
      </c>
      <c r="L35" s="974">
        <f>'Rate Base'!Y33</f>
        <v>434507.8</v>
      </c>
      <c r="M35" s="974">
        <f>'Rate Base'!Z33</f>
        <v>434507.8</v>
      </c>
      <c r="N35" s="974">
        <f>'Rate Base'!AA33</f>
        <v>434507.8</v>
      </c>
      <c r="O35" s="974">
        <f>'Rate Base'!AB33</f>
        <v>434507.8</v>
      </c>
      <c r="P35" s="974">
        <f>'Rate Base'!AC33</f>
        <v>434507.8</v>
      </c>
      <c r="Q35" s="974">
        <f>'Rate Base'!AD33</f>
        <v>434507.8</v>
      </c>
      <c r="R35" s="974">
        <f>'Rate Base'!AE33</f>
        <v>434011.18</v>
      </c>
      <c r="S35" s="116"/>
      <c r="T35" s="116">
        <f>((F35/2)+SUM(G35:Q35)+(R35/2))/12</f>
        <v>424477.24749999988</v>
      </c>
      <c r="U35" s="106">
        <f>+R35</f>
        <v>434011.18</v>
      </c>
      <c r="V35" s="998">
        <f t="shared" ref="V35" si="70">(U35/U37)*V37</f>
        <v>434011.18000000005</v>
      </c>
      <c r="W35" s="998">
        <f t="shared" ref="W35" si="71">(V35/V37)*W37</f>
        <v>434011.18000000005</v>
      </c>
      <c r="X35" s="998">
        <f t="shared" ref="X35" si="72">(W35/W37)*X37</f>
        <v>433991.16210220946</v>
      </c>
      <c r="Y35" s="998">
        <f t="shared" ref="Y35" si="73">(X35/X37)*Y37</f>
        <v>433973.8334509547</v>
      </c>
      <c r="Z35" s="998">
        <f t="shared" ref="Z35" si="74">(Y35/Y37)*Z37</f>
        <v>433973.8145529126</v>
      </c>
      <c r="AA35" s="998">
        <f t="shared" ref="AA35" si="75">(Z35/Z37)*AA37</f>
        <v>433973.80680186383</v>
      </c>
      <c r="AB35" s="998">
        <f t="shared" ref="AB35" si="76">(AA35/AA37)*AB37</f>
        <v>433973.80680186383</v>
      </c>
      <c r="AC35" s="998">
        <f t="shared" ref="AC35" si="77">(AB35/AB37)*AC37</f>
        <v>433973.67021184001</v>
      </c>
      <c r="AD35" s="998">
        <f t="shared" ref="AD35" si="78">(AC35/AC37)*AD37</f>
        <v>433973.67021184001</v>
      </c>
      <c r="AE35" s="998">
        <f t="shared" ref="AE35" si="79">(AD35/AD37)*AE37</f>
        <v>433973.67021184001</v>
      </c>
      <c r="AF35" s="998">
        <f t="shared" ref="AF35" si="80">(AE35/AE37)*AF37</f>
        <v>433973.62220294186</v>
      </c>
      <c r="AG35" s="998">
        <f t="shared" ref="AG35" si="81">(AF35/AF37)*AG37</f>
        <v>433973.61389030138</v>
      </c>
      <c r="AH35" s="106"/>
      <c r="AI35" s="133"/>
      <c r="AJ35" s="116">
        <f>((U35/2)+SUM(V35:AF35)+(AG35/2))/12</f>
        <v>433982.9844577848</v>
      </c>
      <c r="AK35" s="106">
        <f>AG35</f>
        <v>433973.61389030138</v>
      </c>
      <c r="AL35" s="1016">
        <f>(AK35/AK37)*AL37</f>
        <v>433973.61389030138</v>
      </c>
      <c r="AM35" s="1016">
        <f t="shared" ref="AM35:AW35" si="82">(AL35/AL37)*AM37</f>
        <v>433973.61389030138</v>
      </c>
      <c r="AN35" s="1016">
        <f t="shared" si="82"/>
        <v>433973.61389030138</v>
      </c>
      <c r="AO35" s="1016">
        <f t="shared" si="82"/>
        <v>433973.61389030138</v>
      </c>
      <c r="AP35" s="1016">
        <f t="shared" si="82"/>
        <v>433973.61389030138</v>
      </c>
      <c r="AQ35" s="1016">
        <f t="shared" si="82"/>
        <v>433973.61389030138</v>
      </c>
      <c r="AR35" s="1016">
        <f t="shared" si="82"/>
        <v>433973.61389030138</v>
      </c>
      <c r="AS35" s="1016">
        <f t="shared" si="82"/>
        <v>433973.61389030138</v>
      </c>
      <c r="AT35" s="1016">
        <f t="shared" si="82"/>
        <v>433973.61389030138</v>
      </c>
      <c r="AU35" s="1016">
        <f t="shared" si="82"/>
        <v>433973.61389030138</v>
      </c>
      <c r="AV35" s="1016">
        <f t="shared" si="82"/>
        <v>433973.61389030138</v>
      </c>
      <c r="AW35" s="1016">
        <f t="shared" si="82"/>
        <v>433973.61389030138</v>
      </c>
      <c r="AX35" s="106"/>
      <c r="AY35" s="133"/>
      <c r="AZ35" s="133"/>
      <c r="BA35" s="116">
        <f>((AK35/2)+SUM(AL35:AV35)+(AW35/2))/12</f>
        <v>433973.61389030138</v>
      </c>
    </row>
    <row r="36" spans="1:53">
      <c r="A36" s="250">
        <f t="shared" si="2"/>
        <v>21</v>
      </c>
      <c r="B36" s="208"/>
      <c r="C36" s="102"/>
      <c r="D36" s="102"/>
      <c r="E36" s="102" t="s">
        <v>14</v>
      </c>
      <c r="F36" s="985">
        <f>'Rate Base'!S34</f>
        <v>18477460.699999999</v>
      </c>
      <c r="G36" s="985">
        <f>'Rate Base'!T34</f>
        <v>18477460.699999999</v>
      </c>
      <c r="H36" s="985">
        <f>'Rate Base'!U34</f>
        <v>18477460.699999999</v>
      </c>
      <c r="I36" s="985">
        <f>'Rate Base'!V34</f>
        <v>19326879.5</v>
      </c>
      <c r="J36" s="985">
        <f>'Rate Base'!W34</f>
        <v>20027866.07</v>
      </c>
      <c r="K36" s="985">
        <f>'Rate Base'!X34</f>
        <v>20028667.969999999</v>
      </c>
      <c r="L36" s="985">
        <f>'Rate Base'!Y34</f>
        <v>20028996.870000001</v>
      </c>
      <c r="M36" s="985">
        <f>'Rate Base'!Z34</f>
        <v>20028996.870000001</v>
      </c>
      <c r="N36" s="985">
        <f>'Rate Base'!AA34</f>
        <v>20034792.789999999</v>
      </c>
      <c r="O36" s="985">
        <f>'Rate Base'!AB34</f>
        <v>20034792.789999999</v>
      </c>
      <c r="P36" s="985">
        <f>'Rate Base'!AC34</f>
        <v>20034792.789999999</v>
      </c>
      <c r="Q36" s="985">
        <f>'Rate Base'!AD34</f>
        <v>20036829.949999999</v>
      </c>
      <c r="R36" s="985">
        <f>'Rate Base'!AE34</f>
        <v>20037679.300000001</v>
      </c>
      <c r="S36" s="116"/>
      <c r="T36" s="256">
        <f>((F36/2)+SUM(G36:Q36)+(R36/2))/12</f>
        <v>19649592.249999996</v>
      </c>
      <c r="U36" s="396">
        <f>+R36</f>
        <v>20037679.300000001</v>
      </c>
      <c r="V36" s="998">
        <f t="shared" ref="V36" si="83">(U36/U37)*V37</f>
        <v>20037679.300000001</v>
      </c>
      <c r="W36" s="998">
        <f t="shared" ref="W36" si="84">(V36/V37)*W37</f>
        <v>20037679.300000001</v>
      </c>
      <c r="X36" s="998">
        <f t="shared" ref="X36" si="85">(W36/W37)*X37</f>
        <v>20036755.102111395</v>
      </c>
      <c r="Y36" s="998">
        <f t="shared" ref="Y36" si="86">(X36/X37)*Y37</f>
        <v>20035955.062912997</v>
      </c>
      <c r="Z36" s="998">
        <f t="shared" ref="Z36" si="87">(Y36/Y37)*Z37</f>
        <v>20035954.190417256</v>
      </c>
      <c r="AA36" s="998">
        <f t="shared" ref="AA36" si="88">(Z36/Z37)*AA37</f>
        <v>20035953.83256235</v>
      </c>
      <c r="AB36" s="998">
        <f t="shared" ref="AB36" si="89">(AA36/AA37)*AB37</f>
        <v>20035953.83256235</v>
      </c>
      <c r="AC36" s="998">
        <f t="shared" ref="AC36" si="90">(AB36/AB37)*AC37</f>
        <v>20035947.52639509</v>
      </c>
      <c r="AD36" s="998">
        <f t="shared" ref="AD36" si="91">(AC36/AC37)*AD37</f>
        <v>20035947.52639509</v>
      </c>
      <c r="AE36" s="998">
        <f t="shared" ref="AE36" si="92">(AD36/AD37)*AE37</f>
        <v>20035947.52639509</v>
      </c>
      <c r="AF36" s="998">
        <f t="shared" ref="AF36" si="93">(AE36/AE37)*AF37</f>
        <v>20035945.309892498</v>
      </c>
      <c r="AG36" s="998">
        <f t="shared" ref="AG36" si="94">(AF36/AF37)*AG37</f>
        <v>20035944.926109701</v>
      </c>
      <c r="AH36" s="396"/>
      <c r="AI36" s="395"/>
      <c r="AJ36" s="256">
        <f>((U36/2)+SUM(V36:AF36)+(AG36/2))/12</f>
        <v>20036377.55189158</v>
      </c>
      <c r="AK36" s="106">
        <f>AG36</f>
        <v>20035944.926109701</v>
      </c>
      <c r="AL36" s="1016">
        <f>(AK36/AK37)*AL37</f>
        <v>20035944.926109701</v>
      </c>
      <c r="AM36" s="1016">
        <f t="shared" ref="AM36:AW36" si="95">(AL36/AL37)*AM37</f>
        <v>20035944.926109701</v>
      </c>
      <c r="AN36" s="1016">
        <f t="shared" si="95"/>
        <v>20035944.926109701</v>
      </c>
      <c r="AO36" s="1016">
        <f t="shared" si="95"/>
        <v>20035944.926109701</v>
      </c>
      <c r="AP36" s="1016">
        <f t="shared" si="95"/>
        <v>20035944.926109701</v>
      </c>
      <c r="AQ36" s="1016">
        <f t="shared" si="95"/>
        <v>20035944.926109701</v>
      </c>
      <c r="AR36" s="1016">
        <f t="shared" si="95"/>
        <v>20035944.926109701</v>
      </c>
      <c r="AS36" s="1016">
        <f t="shared" si="95"/>
        <v>20035944.926109701</v>
      </c>
      <c r="AT36" s="1016">
        <f t="shared" si="95"/>
        <v>20035944.926109701</v>
      </c>
      <c r="AU36" s="1016">
        <f t="shared" si="95"/>
        <v>20035944.926109701</v>
      </c>
      <c r="AV36" s="1016">
        <f t="shared" si="95"/>
        <v>20035944.926109701</v>
      </c>
      <c r="AW36" s="1016">
        <f t="shared" si="95"/>
        <v>20035944.926109701</v>
      </c>
      <c r="AX36" s="396"/>
      <c r="AY36" s="395"/>
      <c r="AZ36" s="395"/>
      <c r="BA36" s="256">
        <f>((AK36/2)+SUM(AL36:AV36)+(AW36/2))/12</f>
        <v>20035944.926109701</v>
      </c>
    </row>
    <row r="37" spans="1:53">
      <c r="A37" s="250">
        <f t="shared" si="2"/>
        <v>22</v>
      </c>
      <c r="B37" s="208"/>
      <c r="C37" s="102"/>
      <c r="D37" s="102"/>
      <c r="E37" s="102" t="s">
        <v>170</v>
      </c>
      <c r="F37" s="986">
        <f t="shared" ref="F37:R37" si="96">SUM(F35:F36)</f>
        <v>18877648.98</v>
      </c>
      <c r="G37" s="986">
        <f t="shared" si="96"/>
        <v>18877648.98</v>
      </c>
      <c r="H37" s="986">
        <f t="shared" si="96"/>
        <v>18877648.98</v>
      </c>
      <c r="I37" s="986">
        <f t="shared" si="96"/>
        <v>19727067.780000001</v>
      </c>
      <c r="J37" s="986">
        <f t="shared" si="96"/>
        <v>20462373.870000001</v>
      </c>
      <c r="K37" s="986">
        <f t="shared" si="96"/>
        <v>20463175.77</v>
      </c>
      <c r="L37" s="986">
        <f t="shared" si="96"/>
        <v>20463504.670000002</v>
      </c>
      <c r="M37" s="986">
        <f t="shared" si="96"/>
        <v>20463504.670000002</v>
      </c>
      <c r="N37" s="986">
        <f t="shared" si="96"/>
        <v>20469300.59</v>
      </c>
      <c r="O37" s="986">
        <f t="shared" si="96"/>
        <v>20469300.59</v>
      </c>
      <c r="P37" s="986">
        <f t="shared" si="96"/>
        <v>20469300.59</v>
      </c>
      <c r="Q37" s="986">
        <f t="shared" si="96"/>
        <v>20471337.75</v>
      </c>
      <c r="R37" s="986">
        <f t="shared" si="96"/>
        <v>20471690.48</v>
      </c>
      <c r="S37" s="186"/>
      <c r="T37" s="186">
        <f>SUM(T35:T36)</f>
        <v>20074069.497499995</v>
      </c>
      <c r="U37" s="106">
        <f>+R37</f>
        <v>20471690.48</v>
      </c>
      <c r="V37" s="1269">
        <f t="shared" ref="V37:AA37" si="97">IF($R37-$F37=0,U37+$AH37/12,U37+((G37-F37)/($R37-$F37))*$AH37)</f>
        <v>20471690.48</v>
      </c>
      <c r="W37" s="1269">
        <f t="shared" si="97"/>
        <v>20471690.48</v>
      </c>
      <c r="X37" s="1269">
        <f t="shared" si="97"/>
        <v>20470746.264213603</v>
      </c>
      <c r="Y37" s="1269">
        <f t="shared" si="97"/>
        <v>20469928.896363948</v>
      </c>
      <c r="Z37" s="1269">
        <f t="shared" si="97"/>
        <v>20469928.004970163</v>
      </c>
      <c r="AA37" s="1269">
        <f t="shared" si="97"/>
        <v>20469927.639364209</v>
      </c>
      <c r="AB37" s="1269">
        <f>IF($R37-$F37=0,AA37+$AH37/12,AA37+((M37-L37)/($R37-$F37))*$AH37)</f>
        <v>20469927.639364209</v>
      </c>
      <c r="AC37" s="1269">
        <f t="shared" ref="AC37" si="98">IF($R37-$F37=0,AB37+$AH37/12,AB37+((N37-M37)/($R37-$F37))*$AH37)</f>
        <v>20469921.196606927</v>
      </c>
      <c r="AD37" s="1269">
        <f t="shared" ref="AD37" si="99">IF($R37-$F37=0,AC37+$AH37/12,AC37+((O37-N37)/($R37-$F37))*$AH37)</f>
        <v>20469921.196606927</v>
      </c>
      <c r="AE37" s="1269">
        <f t="shared" ref="AE37" si="100">IF($R37-$F37=0,AD37+$AH37/12,AD37+((P37-O37)/($R37-$F37))*$AH37)</f>
        <v>20469921.196606927</v>
      </c>
      <c r="AF37" s="1269">
        <f t="shared" ref="AF37" si="101">IF($R37-$F37=0,AE37+$AH37/12,AE37+((Q37-P37)/($R37-$F37))*$AH37)</f>
        <v>20469918.932095438</v>
      </c>
      <c r="AG37" s="1269">
        <f t="shared" ref="AG37" si="102">IF($R37-$F37=0,AF37+$AH37/12,AF37+((R37-Q37)/($R37-$F37))*$AH37)</f>
        <v>20469918.540000003</v>
      </c>
      <c r="AH37" s="389">
        <f>+'101_106 PROJECTION'!N14</f>
        <v>-1771.94</v>
      </c>
      <c r="AI37" s="752">
        <f>+AG37-U37</f>
        <v>-1771.9399999976158</v>
      </c>
      <c r="AJ37" s="186">
        <f>SUM(AJ35:AJ36)</f>
        <v>20470360.536349364</v>
      </c>
      <c r="AK37" s="1039">
        <f>AG37</f>
        <v>20469918.540000003</v>
      </c>
      <c r="AL37" s="1041">
        <f>IF($R37-$F37=0,AK37+$AX37/12,AK37+((G37-F37)/($R37-$F37))*$AX37)</f>
        <v>20469918.540000003</v>
      </c>
      <c r="AM37" s="1041">
        <f t="shared" ref="AM37" si="103">IF($R37-$F37=0,AL37+$AX37/12,AL37+((H37-G37)/($R37-$F37))*$AX37)</f>
        <v>20469918.540000003</v>
      </c>
      <c r="AN37" s="1041">
        <f t="shared" ref="AN37" si="104">IF($R37-$F37=0,AM37+$AX37/12,AM37+((I37-H37)/($R37-$F37))*$AX37)</f>
        <v>20469918.540000003</v>
      </c>
      <c r="AO37" s="1041">
        <f t="shared" ref="AO37" si="105">IF($R37-$F37=0,AN37+$AX37/12,AN37+((J37-I37)/($R37-$F37))*$AX37)</f>
        <v>20469918.540000003</v>
      </c>
      <c r="AP37" s="1041">
        <f t="shared" ref="AP37" si="106">IF($R37-$F37=0,AO37+$AX37/12,AO37+((K37-J37)/($R37-$F37))*$AX37)</f>
        <v>20469918.540000003</v>
      </c>
      <c r="AQ37" s="1041">
        <f t="shared" ref="AQ37" si="107">IF($R37-$F37=0,AP37+$AX37/12,AP37+((L37-K37)/($R37-$F37))*$AX37)</f>
        <v>20469918.540000003</v>
      </c>
      <c r="AR37" s="1041">
        <f t="shared" ref="AR37" si="108">IF($R37-$F37=0,AQ37+$AX37/12,AQ37+((M37-L37)/($R37-$F37))*$AX37)</f>
        <v>20469918.540000003</v>
      </c>
      <c r="AS37" s="1041">
        <f t="shared" ref="AS37" si="109">IF($R37-$F37=0,AR37+$AX37/12,AR37+((N37-M37)/($R37-$F37))*$AX37)</f>
        <v>20469918.540000003</v>
      </c>
      <c r="AT37" s="1041">
        <f t="shared" ref="AT37" si="110">IF($R37-$F37=0,AS37+$AX37/12,AS37+((O37-N37)/($R37-$F37))*$AX37)</f>
        <v>20469918.540000003</v>
      </c>
      <c r="AU37" s="1041">
        <f t="shared" ref="AU37" si="111">IF($R37-$F37=0,AT37+$AX37/12,AT37+((P37-O37)/($R37-$F37))*$AX37)</f>
        <v>20469918.540000003</v>
      </c>
      <c r="AV37" s="1041">
        <f t="shared" ref="AV37" si="112">IF($R37-$F37=0,AU37+$AX37/12,AU37+((Q37-P37)/($R37-$F37))*$AX37)</f>
        <v>20469918.540000003</v>
      </c>
      <c r="AW37" s="1041">
        <f t="shared" ref="AW37" si="113">IF($R37-$F37=0,AV37+$AX37/12,AV37+((R37-Q37)/($R37-$F37))*$AX37)</f>
        <v>20469918.540000003</v>
      </c>
      <c r="AX37" s="106">
        <f>'101_106 PROJECTION'!$T$14</f>
        <v>0</v>
      </c>
      <c r="AY37" s="102">
        <f>+AW37-AK37</f>
        <v>0</v>
      </c>
      <c r="AZ37" s="102"/>
      <c r="BA37" s="186">
        <f>SUM(BA35:BA36)</f>
        <v>20469918.540000003</v>
      </c>
    </row>
    <row r="38" spans="1:53">
      <c r="A38" s="250">
        <f t="shared" si="2"/>
        <v>23</v>
      </c>
      <c r="B38" s="208"/>
      <c r="C38" s="102"/>
      <c r="D38" s="102"/>
      <c r="E38" s="102"/>
      <c r="Q38" s="987" t="s">
        <v>1194</v>
      </c>
      <c r="R38" s="988">
        <v>4324138.68</v>
      </c>
      <c r="U38" s="102"/>
      <c r="AH38" s="102"/>
      <c r="AK38" s="102"/>
      <c r="AL38" s="1024"/>
      <c r="AM38" s="1024"/>
      <c r="AN38" s="1024"/>
      <c r="AO38" s="1024"/>
      <c r="AP38" s="1024"/>
      <c r="AQ38" s="1024"/>
      <c r="AR38" s="1025"/>
      <c r="AX38" s="102"/>
    </row>
    <row r="39" spans="1:53">
      <c r="A39" s="250">
        <f t="shared" si="2"/>
        <v>24</v>
      </c>
      <c r="B39" s="208"/>
      <c r="C39" s="102" t="s">
        <v>239</v>
      </c>
      <c r="D39" s="102" t="s">
        <v>240</v>
      </c>
      <c r="E39" s="102"/>
      <c r="Q39" s="987" t="s">
        <v>1195</v>
      </c>
      <c r="R39" s="989">
        <f>R38/R37</f>
        <v>0.21122528616894171</v>
      </c>
      <c r="U39" s="102"/>
      <c r="AH39" s="102"/>
      <c r="AK39" s="102"/>
      <c r="AL39" s="1025"/>
      <c r="AX39" s="102"/>
    </row>
    <row r="40" spans="1:53">
      <c r="A40" s="250">
        <f t="shared" si="2"/>
        <v>25</v>
      </c>
      <c r="B40" s="208"/>
      <c r="C40" s="102"/>
      <c r="D40" s="102"/>
      <c r="E40" s="102" t="s">
        <v>24</v>
      </c>
      <c r="F40" s="974">
        <f>'Rate Base'!S38</f>
        <v>982959.23</v>
      </c>
      <c r="G40" s="974">
        <f>'Rate Base'!T38</f>
        <v>982959.23</v>
      </c>
      <c r="H40" s="974">
        <f>'Rate Base'!U38</f>
        <v>1006934.23</v>
      </c>
      <c r="I40" s="974">
        <f>'Rate Base'!V38</f>
        <v>1006934.23</v>
      </c>
      <c r="J40" s="974">
        <f>'Rate Base'!W38</f>
        <v>1006934.23</v>
      </c>
      <c r="K40" s="974">
        <f>'Rate Base'!X38</f>
        <v>1006934.23</v>
      </c>
      <c r="L40" s="974">
        <f>'Rate Base'!Y38</f>
        <v>1006934.23</v>
      </c>
      <c r="M40" s="974">
        <f>'Rate Base'!Z38</f>
        <v>1006934.23</v>
      </c>
      <c r="N40" s="974">
        <f>'Rate Base'!AA38</f>
        <v>1006934.23</v>
      </c>
      <c r="O40" s="974">
        <f>'Rate Base'!AB38</f>
        <v>1006934.23</v>
      </c>
      <c r="P40" s="974">
        <f>'Rate Base'!AC38</f>
        <v>1006934.23</v>
      </c>
      <c r="Q40" s="974">
        <f>'Rate Base'!AD38</f>
        <v>1006934.23</v>
      </c>
      <c r="R40" s="974">
        <f>'Rate Base'!AE38</f>
        <v>1004474.53</v>
      </c>
      <c r="S40" s="116"/>
      <c r="T40" s="116">
        <f>((F40/2)+SUM(G40:Q40)+(R40/2))/12</f>
        <v>1003834.8675000003</v>
      </c>
      <c r="U40" s="106">
        <f>+R40</f>
        <v>1004474.53</v>
      </c>
      <c r="V40" s="998">
        <f t="shared" ref="V40" si="114">(U40/U42)*V42</f>
        <v>1004474.53</v>
      </c>
      <c r="W40" s="998">
        <f t="shared" ref="W40" si="115">(V40/V42)*W42</f>
        <v>1058530.3390460531</v>
      </c>
      <c r="X40" s="998">
        <f t="shared" ref="X40" si="116">(W40/W42)*X42</f>
        <v>941129.49663014535</v>
      </c>
      <c r="Y40" s="998">
        <f t="shared" ref="Y40" si="117">(X40/X42)*Y42</f>
        <v>946848.88004603563</v>
      </c>
      <c r="Z40" s="998">
        <f t="shared" ref="Z40" si="118">(Y40/Y42)*Z42</f>
        <v>950224.21217795822</v>
      </c>
      <c r="AA40" s="998">
        <f t="shared" ref="AA40" si="119">(Z40/Z42)*AA42</f>
        <v>950224.21217795822</v>
      </c>
      <c r="AB40" s="998">
        <f t="shared" ref="AB40" si="120">(AA40/AA42)*AB42</f>
        <v>950224.21217795822</v>
      </c>
      <c r="AC40" s="998">
        <f t="shared" ref="AC40" si="121">(AB40/AB42)*AC42</f>
        <v>949946.62387198803</v>
      </c>
      <c r="AD40" s="998">
        <f t="shared" ref="AD40" si="122">(AC40/AC42)*AD42</f>
        <v>949946.62387198803</v>
      </c>
      <c r="AE40" s="998">
        <f t="shared" ref="AE40" si="123">(AD40/AD42)*AE42</f>
        <v>948077.01283633313</v>
      </c>
      <c r="AF40" s="998">
        <f t="shared" ref="AF40" si="124">(AE40/AE42)*AF42</f>
        <v>968369.8742045426</v>
      </c>
      <c r="AG40" s="998">
        <f t="shared" ref="AG40" si="125">(AF40/AF42)*AG42</f>
        <v>965576.27057473909</v>
      </c>
      <c r="AH40" s="106"/>
      <c r="AI40" s="133"/>
      <c r="AJ40" s="116">
        <f>((U40/2)+SUM(V40:AF40)+(AG40/2))/12</f>
        <v>966918.45144402748</v>
      </c>
      <c r="AK40" s="106">
        <f>AG40</f>
        <v>965576.27057473909</v>
      </c>
      <c r="AL40" s="1016">
        <f>(AK40/AK42)*AL42</f>
        <v>965576.27057473909</v>
      </c>
      <c r="AM40" s="1016">
        <f t="shared" ref="AM40:AW40" si="126">(AL40/AL42)*AM42</f>
        <v>965576.27057473909</v>
      </c>
      <c r="AN40" s="1016">
        <f t="shared" si="126"/>
        <v>965576.27057473909</v>
      </c>
      <c r="AO40" s="1016">
        <f t="shared" si="126"/>
        <v>965576.27057473909</v>
      </c>
      <c r="AP40" s="1016">
        <f t="shared" si="126"/>
        <v>965576.27057473909</v>
      </c>
      <c r="AQ40" s="1016">
        <f t="shared" si="126"/>
        <v>965576.27057473909</v>
      </c>
      <c r="AR40" s="1016">
        <f t="shared" si="126"/>
        <v>965576.27057473909</v>
      </c>
      <c r="AS40" s="1016">
        <f t="shared" si="126"/>
        <v>965576.27057473909</v>
      </c>
      <c r="AT40" s="1016">
        <f t="shared" si="126"/>
        <v>965576.27057473909</v>
      </c>
      <c r="AU40" s="1016">
        <f t="shared" si="126"/>
        <v>965576.27057473909</v>
      </c>
      <c r="AV40" s="1016">
        <f t="shared" si="126"/>
        <v>965576.27057473909</v>
      </c>
      <c r="AW40" s="1016">
        <f t="shared" si="126"/>
        <v>965576.27057473909</v>
      </c>
      <c r="AX40" s="106"/>
      <c r="AY40" s="133"/>
      <c r="AZ40" s="133"/>
      <c r="BA40" s="116">
        <f>((AK40/2)+SUM(AL40:AV40)+(AW40/2))/12</f>
        <v>965576.27057473885</v>
      </c>
    </row>
    <row r="41" spans="1:53">
      <c r="A41" s="250">
        <f t="shared" si="2"/>
        <v>26</v>
      </c>
      <c r="B41" s="208"/>
      <c r="C41" s="102"/>
      <c r="D41" s="102"/>
      <c r="E41" s="102" t="s">
        <v>14</v>
      </c>
      <c r="F41" s="985">
        <f>'Rate Base'!S39</f>
        <v>15717299.49</v>
      </c>
      <c r="G41" s="985">
        <f>'Rate Base'!T39</f>
        <v>15717299.49</v>
      </c>
      <c r="H41" s="985">
        <f>'Rate Base'!U39</f>
        <v>15963930.390000001</v>
      </c>
      <c r="I41" s="985">
        <f>'Rate Base'!V39</f>
        <v>15376216.299999999</v>
      </c>
      <c r="J41" s="985">
        <f>'Rate Base'!W39</f>
        <v>15404847.799999999</v>
      </c>
      <c r="K41" s="985">
        <f>'Rate Base'!X39</f>
        <v>15421744.869999999</v>
      </c>
      <c r="L41" s="985">
        <f>'Rate Base'!Y39</f>
        <v>15421744.869999999</v>
      </c>
      <c r="M41" s="985">
        <f>'Rate Base'!Z39</f>
        <v>15421744.869999999</v>
      </c>
      <c r="N41" s="985">
        <f>'Rate Base'!AA39</f>
        <v>15420355.25</v>
      </c>
      <c r="O41" s="985">
        <f>'Rate Base'!AB39</f>
        <v>15420355.25</v>
      </c>
      <c r="P41" s="985">
        <f>'Rate Base'!AC39</f>
        <v>15410995.889999999</v>
      </c>
      <c r="Q41" s="985">
        <f>'Rate Base'!AD39</f>
        <v>15512582.9</v>
      </c>
      <c r="R41" s="985">
        <f>'Rate Base'!AE39</f>
        <v>15501057.690000001</v>
      </c>
      <c r="S41" s="116"/>
      <c r="T41" s="256">
        <f>((F41/2)+SUM(G41:Q41)+(R41/2))/12</f>
        <v>15508416.372500001</v>
      </c>
      <c r="U41" s="396">
        <f>+R41</f>
        <v>15501057.690000001</v>
      </c>
      <c r="V41" s="998">
        <f t="shared" ref="V41" si="127">(U41/U42)*V42</f>
        <v>15501057.690000001</v>
      </c>
      <c r="W41" s="998">
        <f t="shared" ref="W41" si="128">(V41/V42)*W42</f>
        <v>16335247.298075473</v>
      </c>
      <c r="X41" s="998">
        <f t="shared" ref="X41" si="129">(W41/W42)*X42</f>
        <v>14523516.709801041</v>
      </c>
      <c r="Y41" s="998">
        <f t="shared" ref="Y41" si="130">(X41/X42)*Y42</f>
        <v>14611778.273069294</v>
      </c>
      <c r="Z41" s="998">
        <f t="shared" ref="Z41" si="131">(Y41/Y42)*Z42</f>
        <v>14663866.421187736</v>
      </c>
      <c r="AA41" s="998">
        <f t="shared" ref="AA41" si="132">(Z41/Z42)*AA42</f>
        <v>14663866.421187736</v>
      </c>
      <c r="AB41" s="998">
        <f t="shared" ref="AB41" si="133">(AA41/AA42)*AB42</f>
        <v>14663866.421187736</v>
      </c>
      <c r="AC41" s="998">
        <f t="shared" ref="AC41" si="134">(AB41/AB42)*AC42</f>
        <v>14659582.676586553</v>
      </c>
      <c r="AD41" s="998">
        <f t="shared" ref="AD41" si="135">(AC41/AC42)*AD42</f>
        <v>14659582.676586553</v>
      </c>
      <c r="AE41" s="998">
        <f t="shared" ref="AE41" si="136">(AD41/AD42)*AE42</f>
        <v>14630730.826533623</v>
      </c>
      <c r="AF41" s="998">
        <f t="shared" ref="AF41" si="137">(AE41/AE42)*AF42</f>
        <v>14943890.39939386</v>
      </c>
      <c r="AG41" s="998">
        <f t="shared" ref="AG41" si="138">(AF41/AF42)*AG42</f>
        <v>14900779.489425264</v>
      </c>
      <c r="AH41" s="396"/>
      <c r="AI41" s="395"/>
      <c r="AJ41" s="256">
        <f>((U41/2)+SUM(V41:AF41)+(AG41/2))/12</f>
        <v>14921492.033610182</v>
      </c>
      <c r="AK41" s="106">
        <f>AG41</f>
        <v>14900779.489425264</v>
      </c>
      <c r="AL41" s="1016">
        <f>(AK41/AK42)*AL42</f>
        <v>14900779.489425264</v>
      </c>
      <c r="AM41" s="1016">
        <f t="shared" ref="AM41" si="139">(AL41/AL42)*AM42</f>
        <v>14900779.489425264</v>
      </c>
      <c r="AN41" s="1016">
        <f t="shared" ref="AN41" si="140">(AM41/AM42)*AN42</f>
        <v>14900779.489425264</v>
      </c>
      <c r="AO41" s="1016">
        <f t="shared" ref="AO41" si="141">(AN41/AN42)*AO42</f>
        <v>14900779.489425264</v>
      </c>
      <c r="AP41" s="1016">
        <f t="shared" ref="AP41" si="142">(AO41/AO42)*AP42</f>
        <v>14900779.489425264</v>
      </c>
      <c r="AQ41" s="1016">
        <f t="shared" ref="AQ41" si="143">(AP41/AP42)*AQ42</f>
        <v>14900779.489425264</v>
      </c>
      <c r="AR41" s="1016">
        <f t="shared" ref="AR41" si="144">(AQ41/AQ42)*AR42</f>
        <v>14900779.489425264</v>
      </c>
      <c r="AS41" s="1016">
        <f t="shared" ref="AS41" si="145">(AR41/AR42)*AS42</f>
        <v>14900779.489425264</v>
      </c>
      <c r="AT41" s="1016">
        <f t="shared" ref="AT41" si="146">(AS41/AS42)*AT42</f>
        <v>14900779.489425264</v>
      </c>
      <c r="AU41" s="1016">
        <f t="shared" ref="AU41" si="147">(AT41/AT42)*AU42</f>
        <v>14900779.489425264</v>
      </c>
      <c r="AV41" s="1016">
        <f t="shared" ref="AV41" si="148">(AU41/AU42)*AV42</f>
        <v>14900779.489425264</v>
      </c>
      <c r="AW41" s="1016">
        <f t="shared" ref="AW41" si="149">(AV41/AV42)*AW42</f>
        <v>14900779.489425264</v>
      </c>
      <c r="AX41" s="396"/>
      <c r="AY41" s="395"/>
      <c r="AZ41" s="395"/>
      <c r="BA41" s="256">
        <f>((AK41/2)+SUM(AL41:AV41)+(AW41/2))/12</f>
        <v>14900779.489425266</v>
      </c>
    </row>
    <row r="42" spans="1:53">
      <c r="A42" s="250">
        <f t="shared" si="2"/>
        <v>27</v>
      </c>
      <c r="B42" s="208"/>
      <c r="C42" s="102"/>
      <c r="D42" s="102"/>
      <c r="E42" s="102" t="s">
        <v>170</v>
      </c>
      <c r="F42" s="974">
        <f t="shared" ref="F42:R42" si="150">SUM(F40:F41)</f>
        <v>16700258.720000001</v>
      </c>
      <c r="G42" s="974">
        <f t="shared" si="150"/>
        <v>16700258.720000001</v>
      </c>
      <c r="H42" s="974">
        <f t="shared" si="150"/>
        <v>16970864.620000001</v>
      </c>
      <c r="I42" s="974">
        <f t="shared" si="150"/>
        <v>16383150.529999999</v>
      </c>
      <c r="J42" s="974">
        <f t="shared" si="150"/>
        <v>16411782.029999999</v>
      </c>
      <c r="K42" s="974">
        <f t="shared" si="150"/>
        <v>16428679.1</v>
      </c>
      <c r="L42" s="974">
        <f t="shared" si="150"/>
        <v>16428679.1</v>
      </c>
      <c r="M42" s="974">
        <f t="shared" si="150"/>
        <v>16428679.1</v>
      </c>
      <c r="N42" s="974">
        <f t="shared" si="150"/>
        <v>16427289.48</v>
      </c>
      <c r="O42" s="974">
        <f t="shared" si="150"/>
        <v>16427289.48</v>
      </c>
      <c r="P42" s="974">
        <f t="shared" si="150"/>
        <v>16417930.119999999</v>
      </c>
      <c r="Q42" s="974">
        <f t="shared" si="150"/>
        <v>16519517.130000001</v>
      </c>
      <c r="R42" s="974">
        <f t="shared" si="150"/>
        <v>16505532.220000001</v>
      </c>
      <c r="S42" s="116"/>
      <c r="T42" s="116">
        <f>SUM(T40:T41)</f>
        <v>16512251.24</v>
      </c>
      <c r="U42" s="106">
        <f>+R42</f>
        <v>16505532.220000001</v>
      </c>
      <c r="V42" s="1269">
        <f t="shared" ref="V42:AA42" si="151">IF($R42-$F42=0,U42+$AH42/12,U42+((G42-F42)/($R42-$F42))*$AH42)</f>
        <v>16505532.220000001</v>
      </c>
      <c r="W42" s="1269">
        <f t="shared" si="151"/>
        <v>17393777.637121525</v>
      </c>
      <c r="X42" s="1269">
        <f t="shared" si="151"/>
        <v>15464646.206431184</v>
      </c>
      <c r="Y42" s="1269">
        <f t="shared" si="151"/>
        <v>15558627.153115328</v>
      </c>
      <c r="Z42" s="1269">
        <f t="shared" si="151"/>
        <v>15614090.633365693</v>
      </c>
      <c r="AA42" s="1269">
        <f t="shared" si="151"/>
        <v>15614090.633365693</v>
      </c>
      <c r="AB42" s="1269">
        <f>IF($R42-$F42=0,AA42+$AH42/12,AA42+((M42-L42)/($R42-$F42))*$AH42)</f>
        <v>15614090.633365693</v>
      </c>
      <c r="AC42" s="1269">
        <f t="shared" ref="AC42" si="152">IF($R42-$F42=0,AB42+$AH42/12,AB42+((N42-M42)/($R42-$F42))*$AH42)</f>
        <v>15609529.300458539</v>
      </c>
      <c r="AD42" s="1269">
        <f t="shared" ref="AD42" si="153">IF($R42-$F42=0,AC42+$AH42/12,AC42+((O42-N42)/($R42-$F42))*$AH42)</f>
        <v>15609529.300458539</v>
      </c>
      <c r="AE42" s="1269">
        <f t="shared" ref="AE42" si="154">IF($R42-$F42=0,AD42+$AH42/12,AD42+((P42-O42)/($R42-$F42))*$AH42)</f>
        <v>15578807.839369955</v>
      </c>
      <c r="AF42" s="1269">
        <f t="shared" ref="AF42" si="155">IF($R42-$F42=0,AE42+$AH42/12,AE42+((Q42-P42)/($R42-$F42))*$AH42)</f>
        <v>15912260.273598401</v>
      </c>
      <c r="AG42" s="1269">
        <f t="shared" ref="AG42" si="156">IF($R42-$F42=0,AF42+$AH42/12,AF42+((R42-Q42)/($R42-$F42))*$AH42)</f>
        <v>15866355.760000002</v>
      </c>
      <c r="AH42" s="106">
        <f>+'101_106 PROJECTION'!N15</f>
        <v>-639176.46</v>
      </c>
      <c r="AI42" s="1237">
        <f>+AG42-U42</f>
        <v>-639176.45999999903</v>
      </c>
      <c r="AJ42" s="116">
        <f>SUM(AJ40:AJ41)</f>
        <v>15888410.48505421</v>
      </c>
      <c r="AK42" s="1039">
        <f>AG42</f>
        <v>15866355.760000002</v>
      </c>
      <c r="AL42" s="1041">
        <f>IF($R42-$F42=0,AK42+$AX42/12,AK42+((G42-F42)/($R42-$F42))*$AX42)</f>
        <v>15866355.760000002</v>
      </c>
      <c r="AM42" s="1041">
        <f t="shared" ref="AM42" si="157">IF($R42-$F42=0,AL42+$AX42/12,AL42+((H42-G42)/($R42-$F42))*$AX42)</f>
        <v>15866355.760000002</v>
      </c>
      <c r="AN42" s="1041">
        <f t="shared" ref="AN42" si="158">IF($R42-$F42=0,AM42+$AX42/12,AM42+((I42-H42)/($R42-$F42))*$AX42)</f>
        <v>15866355.760000002</v>
      </c>
      <c r="AO42" s="1041">
        <f t="shared" ref="AO42" si="159">IF($R42-$F42=0,AN42+$AX42/12,AN42+((J42-I42)/($R42-$F42))*$AX42)</f>
        <v>15866355.760000002</v>
      </c>
      <c r="AP42" s="1041">
        <f t="shared" ref="AP42" si="160">IF($R42-$F42=0,AO42+$AX42/12,AO42+((K42-J42)/($R42-$F42))*$AX42)</f>
        <v>15866355.760000002</v>
      </c>
      <c r="AQ42" s="1041">
        <f t="shared" ref="AQ42" si="161">IF($R42-$F42=0,AP42+$AX42/12,AP42+((L42-K42)/($R42-$F42))*$AX42)</f>
        <v>15866355.760000002</v>
      </c>
      <c r="AR42" s="1041">
        <f t="shared" ref="AR42" si="162">IF($R42-$F42=0,AQ42+$AX42/12,AQ42+((M42-L42)/($R42-$F42))*$AX42)</f>
        <v>15866355.760000002</v>
      </c>
      <c r="AS42" s="1041">
        <f t="shared" ref="AS42" si="163">IF($R42-$F42=0,AR42+$AX42/12,AR42+((N42-M42)/($R42-$F42))*$AX42)</f>
        <v>15866355.760000002</v>
      </c>
      <c r="AT42" s="1041">
        <f t="shared" ref="AT42" si="164">IF($R42-$F42=0,AS42+$AX42/12,AS42+((O42-N42)/($R42-$F42))*$AX42)</f>
        <v>15866355.760000002</v>
      </c>
      <c r="AU42" s="1041">
        <f t="shared" ref="AU42" si="165">IF($R42-$F42=0,AT42+$AX42/12,AT42+((P42-O42)/($R42-$F42))*$AX42)</f>
        <v>15866355.760000002</v>
      </c>
      <c r="AV42" s="1041">
        <f t="shared" ref="AV42" si="166">IF($R42-$F42=0,AU42+$AX42/12,AU42+((Q42-P42)/($R42-$F42))*$AX42)</f>
        <v>15866355.760000002</v>
      </c>
      <c r="AW42" s="1041">
        <f t="shared" ref="AW42" si="167">IF($R42-$F42=0,AV42+$AX42/12,AV42+((R42-Q42)/($R42-$F42))*$AX42)</f>
        <v>15866355.760000002</v>
      </c>
      <c r="AX42" s="106">
        <f>'101_106 PROJECTION'!$T$15</f>
        <v>0</v>
      </c>
      <c r="AY42" s="393">
        <f>+AW42-AK42</f>
        <v>0</v>
      </c>
      <c r="AZ42" s="393"/>
      <c r="BA42" s="116">
        <f>SUM(BA40:BA41)</f>
        <v>15866355.760000005</v>
      </c>
    </row>
    <row r="43" spans="1:53">
      <c r="A43" s="250">
        <f t="shared" si="2"/>
        <v>28</v>
      </c>
      <c r="B43" s="208"/>
      <c r="C43" s="102"/>
      <c r="D43" s="102"/>
      <c r="E43" s="102"/>
      <c r="I43" s="990">
        <f>I42-H42</f>
        <v>-587714.09000000171</v>
      </c>
      <c r="J43" s="990">
        <f t="shared" ref="J43:R43" si="168">J42-I42</f>
        <v>28631.5</v>
      </c>
      <c r="K43" s="990">
        <f t="shared" si="168"/>
        <v>16897.070000000298</v>
      </c>
      <c r="L43" s="990">
        <f t="shared" si="168"/>
        <v>0</v>
      </c>
      <c r="M43" s="990">
        <f t="shared" si="168"/>
        <v>0</v>
      </c>
      <c r="N43" s="990">
        <f t="shared" si="168"/>
        <v>-1389.6199999991804</v>
      </c>
      <c r="O43" s="990">
        <f t="shared" si="168"/>
        <v>0</v>
      </c>
      <c r="P43" s="990">
        <f t="shared" si="168"/>
        <v>-9359.3600000012666</v>
      </c>
      <c r="Q43" s="990">
        <f t="shared" si="168"/>
        <v>101587.01000000164</v>
      </c>
      <c r="R43" s="990">
        <f t="shared" si="168"/>
        <v>-13984.910000000149</v>
      </c>
      <c r="U43" s="102"/>
      <c r="AH43" s="95"/>
      <c r="AK43" s="102">
        <f>+AG43</f>
        <v>0</v>
      </c>
      <c r="AL43" s="1025"/>
    </row>
    <row r="44" spans="1:53">
      <c r="A44" s="250">
        <f t="shared" si="2"/>
        <v>29</v>
      </c>
      <c r="B44" s="208"/>
      <c r="C44" s="102" t="s">
        <v>244</v>
      </c>
      <c r="D44" s="102" t="s">
        <v>245</v>
      </c>
      <c r="E44" s="102"/>
      <c r="R44" s="990">
        <f>R42-H42</f>
        <v>-465332.40000000037</v>
      </c>
      <c r="U44" s="102"/>
      <c r="V44" s="1007"/>
      <c r="W44" s="1007"/>
      <c r="X44" s="1007"/>
      <c r="Y44" s="1007"/>
      <c r="Z44" s="1007"/>
      <c r="AA44" s="1007"/>
      <c r="AB44" s="1007"/>
      <c r="AC44" s="1007"/>
      <c r="AD44" s="1007"/>
      <c r="AE44" s="1007"/>
      <c r="AF44" s="1007"/>
      <c r="AG44" s="1007"/>
      <c r="AH44" s="102"/>
      <c r="AK44" s="102"/>
      <c r="AX44" s="102"/>
    </row>
    <row r="45" spans="1:53">
      <c r="A45" s="250">
        <f t="shared" si="2"/>
        <v>30</v>
      </c>
      <c r="B45" s="208"/>
      <c r="C45" s="102"/>
      <c r="D45" s="102"/>
      <c r="E45" s="102" t="s">
        <v>57</v>
      </c>
      <c r="F45" s="974"/>
      <c r="G45" s="974"/>
      <c r="H45" s="974"/>
      <c r="I45" s="974"/>
      <c r="J45" s="974"/>
      <c r="K45" s="974"/>
      <c r="L45" s="974"/>
      <c r="M45" s="974"/>
      <c r="N45" s="974"/>
      <c r="O45" s="974"/>
      <c r="P45" s="974"/>
      <c r="Q45" s="974"/>
      <c r="R45" s="974"/>
      <c r="S45" s="116"/>
      <c r="T45" s="116"/>
      <c r="U45" s="106"/>
      <c r="V45" s="998"/>
      <c r="W45" s="998"/>
      <c r="X45" s="998"/>
      <c r="Y45" s="998"/>
      <c r="Z45" s="998"/>
      <c r="AA45" s="998"/>
      <c r="AB45" s="998"/>
      <c r="AC45" s="998"/>
      <c r="AD45" s="998"/>
      <c r="AE45" s="998"/>
      <c r="AF45" s="998"/>
      <c r="AG45" s="998"/>
      <c r="AH45" s="106"/>
      <c r="AI45" s="133"/>
      <c r="AJ45" s="116"/>
      <c r="AK45" s="106"/>
      <c r="AL45" s="1016"/>
      <c r="AM45" s="1016"/>
      <c r="AN45" s="1016"/>
      <c r="AO45" s="1016"/>
      <c r="AP45" s="1016"/>
      <c r="AQ45" s="1016"/>
      <c r="AR45" s="1016"/>
      <c r="AS45" s="1016"/>
      <c r="AT45" s="1016"/>
      <c r="AU45" s="1016"/>
      <c r="AV45" s="1016"/>
      <c r="AW45" s="1016"/>
      <c r="AX45" s="106"/>
      <c r="AY45" s="133"/>
      <c r="AZ45" s="133"/>
      <c r="BA45" s="116"/>
    </row>
    <row r="46" spans="1:53">
      <c r="A46" s="250">
        <f t="shared" si="2"/>
        <v>31</v>
      </c>
      <c r="B46" s="208"/>
      <c r="C46" s="102"/>
      <c r="D46" s="102"/>
      <c r="E46" s="102" t="s">
        <v>532</v>
      </c>
      <c r="F46" s="974"/>
      <c r="G46" s="974"/>
      <c r="H46" s="974"/>
      <c r="I46" s="974"/>
      <c r="J46" s="974"/>
      <c r="K46" s="974"/>
      <c r="L46" s="974"/>
      <c r="M46" s="974"/>
      <c r="N46" s="974"/>
      <c r="O46" s="974"/>
      <c r="P46" s="974"/>
      <c r="Q46" s="974"/>
      <c r="R46" s="974"/>
      <c r="S46" s="116"/>
      <c r="T46" s="116"/>
      <c r="U46" s="106"/>
      <c r="V46" s="998"/>
      <c r="W46" s="998"/>
      <c r="X46" s="998"/>
      <c r="Y46" s="998"/>
      <c r="Z46" s="998"/>
      <c r="AA46" s="998"/>
      <c r="AB46" s="998"/>
      <c r="AC46" s="998"/>
      <c r="AD46" s="998"/>
      <c r="AE46" s="998"/>
      <c r="AF46" s="998"/>
      <c r="AG46" s="998"/>
      <c r="AH46" s="106"/>
      <c r="AI46" s="133"/>
      <c r="AJ46" s="116"/>
      <c r="AK46" s="106"/>
      <c r="AL46" s="1016"/>
      <c r="AM46" s="1016"/>
      <c r="AN46" s="1016"/>
      <c r="AO46" s="1016"/>
      <c r="AP46" s="1016"/>
      <c r="AQ46" s="1016"/>
      <c r="AR46" s="1016"/>
      <c r="AS46" s="1016"/>
      <c r="AT46" s="1016"/>
      <c r="AU46" s="1016"/>
      <c r="AV46" s="1016"/>
      <c r="AW46" s="1016"/>
      <c r="AX46" s="106"/>
      <c r="AY46" s="133"/>
      <c r="AZ46" s="133"/>
      <c r="BA46" s="116"/>
    </row>
    <row r="47" spans="1:53">
      <c r="A47" s="250">
        <f t="shared" si="2"/>
        <v>32</v>
      </c>
      <c r="B47" s="208"/>
      <c r="C47" s="102"/>
      <c r="D47" s="102"/>
      <c r="E47" s="102" t="s">
        <v>533</v>
      </c>
      <c r="F47" s="974"/>
      <c r="G47" s="974"/>
      <c r="H47" s="974"/>
      <c r="I47" s="974"/>
      <c r="J47" s="974"/>
      <c r="K47" s="974"/>
      <c r="L47" s="974"/>
      <c r="M47" s="974"/>
      <c r="N47" s="974"/>
      <c r="O47" s="974"/>
      <c r="P47" s="974"/>
      <c r="Q47" s="974"/>
      <c r="R47" s="974"/>
      <c r="S47" s="116"/>
      <c r="T47" s="116"/>
      <c r="U47" s="106"/>
      <c r="V47" s="998"/>
      <c r="W47" s="998"/>
      <c r="X47" s="998"/>
      <c r="Y47" s="998"/>
      <c r="Z47" s="998"/>
      <c r="AA47" s="998"/>
      <c r="AB47" s="998"/>
      <c r="AC47" s="998"/>
      <c r="AD47" s="998"/>
      <c r="AE47" s="998"/>
      <c r="AF47" s="998"/>
      <c r="AG47" s="998"/>
      <c r="AH47" s="106"/>
      <c r="AI47" s="133"/>
      <c r="AJ47" s="116"/>
      <c r="AK47" s="106"/>
      <c r="AL47" s="1016"/>
      <c r="AM47" s="1016"/>
      <c r="AN47" s="1016"/>
      <c r="AO47" s="1016"/>
      <c r="AP47" s="1016"/>
      <c r="AQ47" s="1016"/>
      <c r="AR47" s="1016"/>
      <c r="AS47" s="1016"/>
      <c r="AT47" s="1016"/>
      <c r="AU47" s="1016"/>
      <c r="AV47" s="1016"/>
      <c r="AW47" s="1016"/>
      <c r="AX47" s="106"/>
      <c r="AY47" s="133"/>
      <c r="AZ47" s="133"/>
      <c r="BA47" s="116"/>
    </row>
    <row r="48" spans="1:53">
      <c r="A48" s="250">
        <f t="shared" si="2"/>
        <v>33</v>
      </c>
      <c r="B48" s="208"/>
      <c r="C48" s="102"/>
      <c r="D48" s="102"/>
      <c r="E48" s="102" t="s">
        <v>24</v>
      </c>
      <c r="F48" s="974">
        <f>'Rate Base'!S46</f>
        <v>39044359.799999997</v>
      </c>
      <c r="G48" s="974">
        <f>'Rate Base'!T46</f>
        <v>39090198.479999997</v>
      </c>
      <c r="H48" s="974">
        <f>'Rate Base'!U46</f>
        <v>39250212.109999999</v>
      </c>
      <c r="I48" s="974">
        <f>'Rate Base'!V46</f>
        <v>39192146.390000001</v>
      </c>
      <c r="J48" s="974">
        <f>'Rate Base'!W46</f>
        <v>39229270.780000001</v>
      </c>
      <c r="K48" s="974">
        <f>'Rate Base'!X46</f>
        <v>39231919.189999998</v>
      </c>
      <c r="L48" s="974">
        <f>'Rate Base'!Y46</f>
        <v>39235900.380000003</v>
      </c>
      <c r="M48" s="974">
        <f>'Rate Base'!Z46</f>
        <v>39238064.979999997</v>
      </c>
      <c r="N48" s="974">
        <f>'Rate Base'!AA46</f>
        <v>39357142.270000003</v>
      </c>
      <c r="O48" s="974">
        <f>'Rate Base'!AB46</f>
        <v>39357142.270000003</v>
      </c>
      <c r="P48" s="974">
        <f>'Rate Base'!AC46</f>
        <v>40238540.549999997</v>
      </c>
      <c r="Q48" s="974">
        <f>'Rate Base'!AD46</f>
        <v>40419135.759999998</v>
      </c>
      <c r="R48" s="974">
        <f>'Rate Base'!AE46</f>
        <v>41533025.009999998</v>
      </c>
      <c r="S48" s="116"/>
      <c r="T48" s="116">
        <f>((F48/2)+SUM(G48:Q48)+(R48/2))/12</f>
        <v>39510697.130416662</v>
      </c>
      <c r="U48" s="106">
        <f>+R48</f>
        <v>41533025.009999998</v>
      </c>
      <c r="V48" s="998">
        <f t="shared" ref="V48" ca="1" si="169">(U48/U53)*V53</f>
        <v>41597602.474441901</v>
      </c>
      <c r="W48" s="998">
        <f t="shared" ref="W48" ca="1" si="170">(V48/V53)*W53</f>
        <v>41653168.883163624</v>
      </c>
      <c r="X48" s="998">
        <f t="shared" ref="X48" ca="1" si="171">(W48/W53)*X53</f>
        <v>41987134.070918761</v>
      </c>
      <c r="Y48" s="998">
        <f t="shared" ref="Y48" ca="1" si="172">(X48/X53)*Y53</f>
        <v>42450557.966000319</v>
      </c>
      <c r="Z48" s="998">
        <f t="shared" ref="Z48" ca="1" si="173">(Y48/Y53)*Z53</f>
        <v>42487119.146933347</v>
      </c>
      <c r="AA48" s="998">
        <f t="shared" ref="AA48" ca="1" si="174">(Z48/Z53)*AA53</f>
        <v>42611296.07994765</v>
      </c>
      <c r="AB48" s="998">
        <f t="shared" ref="AB48" ca="1" si="175">(AA48/AA53)*AB53</f>
        <v>42619155.827539518</v>
      </c>
      <c r="AC48" s="998">
        <f t="shared" ref="AC48" ca="1" si="176">(AB48/AB53)*AC53</f>
        <v>43987107.573188223</v>
      </c>
      <c r="AD48" s="998">
        <f t="shared" ref="AD48" ca="1" si="177">(AC48/AC53)*AD53</f>
        <v>44017875.438069582</v>
      </c>
      <c r="AE48" s="998">
        <f t="shared" ref="AE48" ca="1" si="178">(AD48/AD53)*AE53</f>
        <v>44757945.101928495</v>
      </c>
      <c r="AF48" s="998">
        <f t="shared" ref="AF48" ca="1" si="179">(AE48/AE53)*AF53</f>
        <v>44913930.52240032</v>
      </c>
      <c r="AG48" s="998">
        <f t="shared" ref="AG48" ca="1" si="180">(AF48/AF53)*AG53</f>
        <v>45140094.047994956</v>
      </c>
      <c r="AH48" s="106"/>
      <c r="AI48" s="133"/>
      <c r="AJ48" s="116">
        <f ca="1">((U48/2)+SUM(V48:AF48)+(AG48/2))/12</f>
        <v>43034954.38446077</v>
      </c>
      <c r="AK48" s="106">
        <f ca="1">AG48</f>
        <v>45140094.047994956</v>
      </c>
      <c r="AL48" s="1016">
        <f ca="1">(AK48/AK53)*AL53</f>
        <v>45206987.780942053</v>
      </c>
      <c r="AM48" s="1016">
        <f t="shared" ref="AM48:AW48" ca="1" si="181">(AL48/AL53)*AM53</f>
        <v>45264547.249062777</v>
      </c>
      <c r="AN48" s="1016">
        <f t="shared" ca="1" si="181"/>
        <v>45610491.120913319</v>
      </c>
      <c r="AO48" s="1016">
        <f t="shared" ca="1" si="181"/>
        <v>46090537.133044735</v>
      </c>
      <c r="AP48" s="1016">
        <f t="shared" ca="1" si="181"/>
        <v>46128409.692686103</v>
      </c>
      <c r="AQ48" s="1016">
        <f t="shared" ca="1" si="181"/>
        <v>46257040.61164581</v>
      </c>
      <c r="AR48" s="1016">
        <f t="shared" ca="1" si="181"/>
        <v>46265182.273152426</v>
      </c>
      <c r="AS48" s="1016">
        <f t="shared" ca="1" si="181"/>
        <v>47682199.796971098</v>
      </c>
      <c r="AT48" s="1016">
        <f t="shared" ca="1" si="181"/>
        <v>47714071.245540865</v>
      </c>
      <c r="AU48" s="1016">
        <f t="shared" ca="1" si="181"/>
        <v>48480685.774065301</v>
      </c>
      <c r="AV48" s="1016">
        <f t="shared" ca="1" si="181"/>
        <v>48642266.089286134</v>
      </c>
      <c r="AW48" s="1016">
        <f t="shared" ca="1" si="181"/>
        <v>48876541.662262745</v>
      </c>
      <c r="AX48" s="106"/>
      <c r="AY48" s="133"/>
      <c r="AZ48" s="133"/>
      <c r="BA48" s="116">
        <f ca="1">((AK48/2)+SUM(AL48:AV48)+(AW48/2))/12</f>
        <v>46695894.718536623</v>
      </c>
    </row>
    <row r="49" spans="1:53">
      <c r="A49" s="250">
        <f t="shared" si="2"/>
        <v>34</v>
      </c>
      <c r="B49" s="208"/>
      <c r="C49" s="102"/>
      <c r="D49" s="102"/>
      <c r="E49" s="102" t="s">
        <v>535</v>
      </c>
      <c r="F49" s="974"/>
      <c r="G49" s="974"/>
      <c r="H49" s="974"/>
      <c r="I49" s="974"/>
      <c r="J49" s="974"/>
      <c r="K49" s="974"/>
      <c r="L49" s="974"/>
      <c r="M49" s="974"/>
      <c r="N49" s="974"/>
      <c r="O49" s="974"/>
      <c r="P49" s="974"/>
      <c r="Q49" s="974"/>
      <c r="R49" s="974"/>
      <c r="S49" s="116"/>
      <c r="T49" s="116">
        <f>((F49/2)+SUM(G49:Q49)+(R49/2))/12</f>
        <v>0</v>
      </c>
      <c r="U49" s="106"/>
      <c r="V49" s="998"/>
      <c r="W49" s="998"/>
      <c r="X49" s="998"/>
      <c r="Y49" s="998"/>
      <c r="Z49" s="998"/>
      <c r="AA49" s="998"/>
      <c r="AB49" s="998"/>
      <c r="AC49" s="998"/>
      <c r="AD49" s="998"/>
      <c r="AE49" s="998"/>
      <c r="AF49" s="998"/>
      <c r="AG49" s="998"/>
      <c r="AH49" s="106"/>
      <c r="AI49" s="133"/>
      <c r="AJ49" s="116">
        <f>((U49/2)+SUM(V49:AF49)+(AG49/2))/12</f>
        <v>0</v>
      </c>
      <c r="AK49" s="106"/>
      <c r="AL49" s="1016"/>
      <c r="AM49" s="1016"/>
      <c r="AN49" s="1016"/>
      <c r="AO49" s="1016"/>
      <c r="AP49" s="1016"/>
      <c r="AQ49" s="1016"/>
      <c r="AR49" s="1016"/>
      <c r="AS49" s="1016"/>
      <c r="AT49" s="1016"/>
      <c r="AU49" s="1016"/>
      <c r="AV49" s="1016"/>
      <c r="AW49" s="1016"/>
      <c r="AX49" s="106"/>
      <c r="AY49" s="133"/>
      <c r="AZ49" s="133"/>
      <c r="BA49" s="116">
        <f>((AK49/2)+SUM(AL49:AV49)+(AW49/2))/12</f>
        <v>0</v>
      </c>
    </row>
    <row r="50" spans="1:53">
      <c r="A50" s="250">
        <f t="shared" si="2"/>
        <v>35</v>
      </c>
      <c r="B50" s="208"/>
      <c r="C50" s="102"/>
      <c r="D50" s="102"/>
      <c r="E50" s="102" t="s">
        <v>536</v>
      </c>
      <c r="F50" s="974"/>
      <c r="G50" s="974"/>
      <c r="H50" s="974"/>
      <c r="I50" s="974"/>
      <c r="J50" s="974"/>
      <c r="K50" s="974"/>
      <c r="L50" s="974"/>
      <c r="M50" s="974"/>
      <c r="N50" s="974"/>
      <c r="O50" s="974"/>
      <c r="P50" s="974"/>
      <c r="Q50" s="974"/>
      <c r="R50" s="974"/>
      <c r="S50" s="116"/>
      <c r="T50" s="116">
        <f>((F50/2)+SUM(G50:Q50)+(R50/2))/12</f>
        <v>0</v>
      </c>
      <c r="U50" s="106"/>
      <c r="V50" s="998"/>
      <c r="W50" s="998"/>
      <c r="X50" s="998"/>
      <c r="Y50" s="998"/>
      <c r="Z50" s="998"/>
      <c r="AA50" s="998"/>
      <c r="AB50" s="998"/>
      <c r="AC50" s="998"/>
      <c r="AD50" s="998"/>
      <c r="AE50" s="998"/>
      <c r="AF50" s="998"/>
      <c r="AG50" s="998"/>
      <c r="AH50" s="106"/>
      <c r="AI50" s="133"/>
      <c r="AJ50" s="116">
        <f>((U50/2)+SUM(V50:AF50)+(AG50/2))/12</f>
        <v>0</v>
      </c>
      <c r="AK50" s="106"/>
      <c r="AL50" s="1016"/>
      <c r="AM50" s="1016"/>
      <c r="AN50" s="1016"/>
      <c r="AO50" s="1016"/>
      <c r="AP50" s="1016"/>
      <c r="AQ50" s="1016"/>
      <c r="AR50" s="1016"/>
      <c r="AS50" s="1016"/>
      <c r="AT50" s="1016"/>
      <c r="AU50" s="1016"/>
      <c r="AV50" s="1016"/>
      <c r="AW50" s="1016"/>
      <c r="AX50" s="106"/>
      <c r="AY50" s="133"/>
      <c r="AZ50" s="133"/>
      <c r="BA50" s="116">
        <f>((AK50/2)+SUM(AL50:AV50)+(AW50/2))/12</f>
        <v>0</v>
      </c>
    </row>
    <row r="51" spans="1:53">
      <c r="A51" s="250">
        <f t="shared" si="2"/>
        <v>36</v>
      </c>
      <c r="B51" s="208"/>
      <c r="C51" s="102"/>
      <c r="D51" s="102"/>
      <c r="E51" s="102" t="s">
        <v>537</v>
      </c>
      <c r="F51" s="974"/>
      <c r="G51" s="974"/>
      <c r="H51" s="974"/>
      <c r="I51" s="974"/>
      <c r="J51" s="974"/>
      <c r="K51" s="974"/>
      <c r="L51" s="974"/>
      <c r="M51" s="974"/>
      <c r="N51" s="974"/>
      <c r="O51" s="974"/>
      <c r="P51" s="974"/>
      <c r="Q51" s="974"/>
      <c r="R51" s="974"/>
      <c r="S51" s="116"/>
      <c r="T51" s="116">
        <f>((F51/2)+SUM(G51:Q51)+(R51/2))/12</f>
        <v>0</v>
      </c>
      <c r="U51" s="106"/>
      <c r="V51" s="998"/>
      <c r="W51" s="998"/>
      <c r="X51" s="998"/>
      <c r="Y51" s="998"/>
      <c r="Z51" s="998"/>
      <c r="AA51" s="998"/>
      <c r="AB51" s="998"/>
      <c r="AC51" s="998"/>
      <c r="AD51" s="998"/>
      <c r="AE51" s="998"/>
      <c r="AF51" s="998"/>
      <c r="AG51" s="998"/>
      <c r="AH51" s="106"/>
      <c r="AI51" s="133"/>
      <c r="AJ51" s="116">
        <f>((U51/2)+SUM(V51:AF51)+(AG51/2))/12</f>
        <v>0</v>
      </c>
      <c r="AK51" s="106"/>
      <c r="AL51" s="1016"/>
      <c r="AM51" s="1016"/>
      <c r="AN51" s="1016"/>
      <c r="AO51" s="1016"/>
      <c r="AP51" s="1016"/>
      <c r="AQ51" s="1016"/>
      <c r="AR51" s="1016"/>
      <c r="AS51" s="1016"/>
      <c r="AT51" s="1016"/>
      <c r="AU51" s="1016"/>
      <c r="AV51" s="1016"/>
      <c r="AW51" s="1016"/>
      <c r="AX51" s="106"/>
      <c r="AY51" s="133"/>
      <c r="AZ51" s="133"/>
      <c r="BA51" s="116">
        <f>((AK51/2)+SUM(AL51:AV51)+(AW51/2))/12</f>
        <v>0</v>
      </c>
    </row>
    <row r="52" spans="1:53">
      <c r="A52" s="250">
        <f t="shared" si="2"/>
        <v>37</v>
      </c>
      <c r="B52" s="208"/>
      <c r="C52" s="102"/>
      <c r="D52" s="102"/>
      <c r="E52" s="102" t="s">
        <v>14</v>
      </c>
      <c r="F52" s="985">
        <f>'Rate Base'!S50</f>
        <v>1447530588.71</v>
      </c>
      <c r="G52" s="985">
        <f>'Rate Base'!T50</f>
        <v>1449459876.51</v>
      </c>
      <c r="H52" s="985">
        <f>'Rate Base'!U50</f>
        <v>1450999382.7700002</v>
      </c>
      <c r="I52" s="985">
        <f>'Rate Base'!V50</f>
        <v>1461271901.6499999</v>
      </c>
      <c r="J52" s="985">
        <f>'Rate Base'!W50</f>
        <v>1475408774.5599999</v>
      </c>
      <c r="K52" s="985">
        <f>'Rate Base'!X50</f>
        <v>1476524363.8699999</v>
      </c>
      <c r="L52" s="985">
        <f>'Rate Base'!Y50</f>
        <v>1480318381.7299998</v>
      </c>
      <c r="M52" s="985">
        <f>'Rate Base'!Z50</f>
        <v>1480556610.52</v>
      </c>
      <c r="N52" s="985">
        <f>'Rate Base'!AA50</f>
        <v>1522276861.23</v>
      </c>
      <c r="O52" s="985">
        <f>'Rate Base'!AB50</f>
        <v>1523217908.1600001</v>
      </c>
      <c r="P52" s="985">
        <f>'Rate Base'!AC50</f>
        <v>1544971823.96</v>
      </c>
      <c r="Q52" s="985">
        <f>'Rate Base'!AD50</f>
        <v>1549562102.5699999</v>
      </c>
      <c r="R52" s="985">
        <f>'Rate Base'!AE50</f>
        <v>1555365511.3599999</v>
      </c>
      <c r="S52" s="116"/>
      <c r="T52" s="256">
        <f>((F52/2)+SUM(G52:Q52)+(R52/2))/12</f>
        <v>1493001336.4637499</v>
      </c>
      <c r="U52" s="396">
        <f>+R52</f>
        <v>1555365511.3599999</v>
      </c>
      <c r="V52" s="998">
        <f t="shared" ref="V52" ca="1" si="182">(U52/U53)*V53</f>
        <v>1557783865.4524319</v>
      </c>
      <c r="W52" s="998">
        <f t="shared" ref="W52" ca="1" si="183">(V52/V53)*W53</f>
        <v>1559864765.5480812</v>
      </c>
      <c r="X52" s="998">
        <f t="shared" ref="X52" ca="1" si="184">(W52/W53)*X53</f>
        <v>1572371389.7321887</v>
      </c>
      <c r="Y52" s="998">
        <f t="shared" ref="Y52" ca="1" si="185">(X52/X53)*Y53</f>
        <v>1589726098.2653723</v>
      </c>
      <c r="Z52" s="998">
        <f t="shared" ref="Z52" ca="1" si="186">(Y52/Y53)*Z53</f>
        <v>1591095273.7555788</v>
      </c>
      <c r="AA52" s="998">
        <f t="shared" ref="AA52" ca="1" si="187">(Z52/Z53)*AA53</f>
        <v>1595745561.541513</v>
      </c>
      <c r="AB52" s="998">
        <f t="shared" ref="AB52" ca="1" si="188">(AA52/AA53)*AB53</f>
        <v>1596039900.331655</v>
      </c>
      <c r="AC52" s="998">
        <f t="shared" ref="AC52" ca="1" si="189">(AB52/AB53)*AC53</f>
        <v>1647268169.0617661</v>
      </c>
      <c r="AD52" s="998">
        <f t="shared" ref="AD52" ca="1" si="190">(AC52/AC53)*AD53</f>
        <v>1648420391.3206344</v>
      </c>
      <c r="AE52" s="998">
        <f t="shared" ref="AE52" ca="1" si="191">(AD52/AD53)*AE53</f>
        <v>1676135175.6613557</v>
      </c>
      <c r="AF52" s="998">
        <f t="shared" ref="AF52" ca="1" si="192">(AE52/AE53)*AF53</f>
        <v>1681976655.8621945</v>
      </c>
      <c r="AG52" s="998">
        <f t="shared" ref="AG52" ca="1" si="193">(AF52/AF53)*AG53</f>
        <v>1690446227.908844</v>
      </c>
      <c r="AH52" s="396"/>
      <c r="AI52" s="395"/>
      <c r="AJ52" s="256">
        <f ca="1">((U52/2)+SUM(V52:AF52)+(AG52/2))/12</f>
        <v>1611611093.0139329</v>
      </c>
      <c r="AK52" s="106">
        <f ca="1">AG52</f>
        <v>1690446227.908844</v>
      </c>
      <c r="AL52" s="1016">
        <f ca="1">(AK52/AK53)*AL53</f>
        <v>1692951323.6760557</v>
      </c>
      <c r="AM52" s="1016">
        <f t="shared" ref="AM52:AW52" ca="1" si="194">(AL52/AL53)*AM53</f>
        <v>1695106861.6255703</v>
      </c>
      <c r="AN52" s="1016">
        <f t="shared" ca="1" si="194"/>
        <v>1708062074.1826408</v>
      </c>
      <c r="AO52" s="1016">
        <f t="shared" ca="1" si="194"/>
        <v>1726039262.4793117</v>
      </c>
      <c r="AP52" s="1016">
        <f t="shared" ca="1" si="194"/>
        <v>1727457547.6410339</v>
      </c>
      <c r="AQ52" s="1016">
        <f t="shared" ca="1" si="194"/>
        <v>1732274632.2380817</v>
      </c>
      <c r="AR52" s="1016">
        <f t="shared" ca="1" si="194"/>
        <v>1732579528.3902285</v>
      </c>
      <c r="AS52" s="1016">
        <f t="shared" ca="1" si="194"/>
        <v>1785645255.8446977</v>
      </c>
      <c r="AT52" s="1016">
        <f t="shared" ca="1" si="194"/>
        <v>1786838806.083106</v>
      </c>
      <c r="AU52" s="1016">
        <f t="shared" ca="1" si="194"/>
        <v>1815547666.0297949</v>
      </c>
      <c r="AV52" s="1016">
        <f t="shared" ca="1" si="194"/>
        <v>1821598668.8052645</v>
      </c>
      <c r="AW52" s="1016">
        <f t="shared" ca="1" si="194"/>
        <v>1830372027.9880881</v>
      </c>
      <c r="AX52" s="396"/>
      <c r="AY52" s="395"/>
      <c r="AZ52" s="395"/>
      <c r="BA52" s="256">
        <f ca="1">((AK52/2)+SUM(AL52:AV52)+(AW52/2))/12</f>
        <v>1748709229.5786879</v>
      </c>
    </row>
    <row r="53" spans="1:53">
      <c r="A53" s="250">
        <f t="shared" si="2"/>
        <v>38</v>
      </c>
      <c r="B53" s="208"/>
      <c r="C53" s="102"/>
      <c r="D53" s="102"/>
      <c r="E53" s="102" t="s">
        <v>170</v>
      </c>
      <c r="F53" s="974">
        <f t="shared" ref="F53:R53" si="195">SUM(F46:F52)</f>
        <v>1486574948.51</v>
      </c>
      <c r="G53" s="974">
        <f t="shared" si="195"/>
        <v>1488550074.99</v>
      </c>
      <c r="H53" s="974">
        <f t="shared" si="195"/>
        <v>1490249594.8800001</v>
      </c>
      <c r="I53" s="974">
        <f t="shared" si="195"/>
        <v>1500464048.04</v>
      </c>
      <c r="J53" s="974">
        <f t="shared" si="195"/>
        <v>1514638045.3399999</v>
      </c>
      <c r="K53" s="974">
        <f t="shared" si="195"/>
        <v>1515756283.0599999</v>
      </c>
      <c r="L53" s="974">
        <f t="shared" si="195"/>
        <v>1519554282.1099999</v>
      </c>
      <c r="M53" s="974">
        <f t="shared" si="195"/>
        <v>1519794675.5</v>
      </c>
      <c r="N53" s="974">
        <f t="shared" si="195"/>
        <v>1561634003.5</v>
      </c>
      <c r="O53" s="974">
        <f t="shared" si="195"/>
        <v>1562575050.4300001</v>
      </c>
      <c r="P53" s="974">
        <f t="shared" si="195"/>
        <v>1585210364.51</v>
      </c>
      <c r="Q53" s="974">
        <f t="shared" si="195"/>
        <v>1589981238.3299999</v>
      </c>
      <c r="R53" s="974">
        <f t="shared" si="195"/>
        <v>1596898536.3699999</v>
      </c>
      <c r="S53" s="116"/>
      <c r="T53" s="116">
        <f>SUM(T46:T52)</f>
        <v>1532512033.5941665</v>
      </c>
      <c r="U53" s="106">
        <f>+R53</f>
        <v>1596898536.3699999</v>
      </c>
      <c r="V53" s="1269">
        <f t="shared" ref="V53:AA53" ca="1" si="196">IF($R53-$F53=0,U53+$AH53/12,U53+((G53-F53)/($R53-$F53))*$AH53)</f>
        <v>1599381467.9268737</v>
      </c>
      <c r="W53" s="1269">
        <f t="shared" ca="1" si="196"/>
        <v>1601517934.4312446</v>
      </c>
      <c r="X53" s="1269">
        <f t="shared" ca="1" si="196"/>
        <v>1614358523.8031073</v>
      </c>
      <c r="Y53" s="1269">
        <f t="shared" ca="1" si="196"/>
        <v>1632176656.2313724</v>
      </c>
      <c r="Z53" s="1269">
        <f t="shared" ca="1" si="196"/>
        <v>1633582392.9025118</v>
      </c>
      <c r="AA53" s="1269">
        <f t="shared" ca="1" si="196"/>
        <v>1638356857.6214604</v>
      </c>
      <c r="AB53" s="1269">
        <f ca="1">IF($R53-$F53=0,AA53+$AH53/12,AA53+((M53-L53)/($R53-$F53))*$AH53)</f>
        <v>1638659056.1591942</v>
      </c>
      <c r="AC53" s="1269">
        <f t="shared" ref="AC53" ca="1" si="197">IF($R53-$F53=0,AB53+$AH53/12,AB53+((N53-M53)/($R53-$F53))*$AH53)</f>
        <v>1691255276.634954</v>
      </c>
      <c r="AD53" s="1269">
        <f t="shared" ref="AD53" ca="1" si="198">IF($R53-$F53=0,AC53+$AH53/12,AC53+((O53-N53)/($R53-$F53))*$AH53)</f>
        <v>1692438266.7587035</v>
      </c>
      <c r="AE53" s="1269">
        <f t="shared" ref="AE53" ca="1" si="199">IF($R53-$F53=0,AD53+$AH53/12,AD53+((P53-O53)/($R53-$F53))*$AH53)</f>
        <v>1720893120.7632837</v>
      </c>
      <c r="AF53" s="1269">
        <f ca="1">IF($R53-$F53=0,AE53+$AH53/12,AE53+((Q53-P53)/($R53-$F53))*$AH53)</f>
        <v>1726890586.3845944</v>
      </c>
      <c r="AG53" s="1269">
        <f t="shared" ref="AG53" ca="1" si="200">IF($R53-$F53=0,AF53+$AH53/12,AF53+((R53-Q53)/($R53-$F53))*$AH53)</f>
        <v>1735586321.9568384</v>
      </c>
      <c r="AH53" s="106">
        <f ca="1">'101_106 PROJECTION'!N16</f>
        <v>138687785.58683819</v>
      </c>
      <c r="AI53" s="393">
        <f ca="1">+AG53-U53</f>
        <v>138687785.58683848</v>
      </c>
      <c r="AJ53" s="116">
        <f ca="1">SUM(AJ46:AJ52)</f>
        <v>1654646047.3983936</v>
      </c>
      <c r="AK53" s="1039">
        <f ca="1">AG53</f>
        <v>1735586321.9568384</v>
      </c>
      <c r="AL53" s="1041">
        <f ca="1">IF($R53-$F53=0,AK53+$AX53/12,AK53+((G53-F53)/($R53-$F53))*$AX53)</f>
        <v>1738158311.4569972</v>
      </c>
      <c r="AM53" s="1041">
        <f t="shared" ref="AM53" ca="1" si="201">IF($R53-$F53=0,AL53+$AX53/12,AL53+((H53-G53)/($R53-$F53))*$AX53)</f>
        <v>1740371408.8746326</v>
      </c>
      <c r="AN53" s="1041">
        <f t="shared" ref="AN53" ca="1" si="202">IF($R53-$F53=0,AM53+$AX53/12,AM53+((I53-H53)/($R53-$F53))*$AX53)</f>
        <v>1753672565.3035536</v>
      </c>
      <c r="AO53" s="1041">
        <f t="shared" ref="AO53" ca="1" si="203">IF($R53-$F53=0,AN53+$AX53/12,AN53+((J53-I53)/($R53-$F53))*$AX53)</f>
        <v>1772129799.6123559</v>
      </c>
      <c r="AP53" s="1041">
        <f t="shared" ref="AP53" ca="1" si="204">IF($R53-$F53=0,AO53+$AX53/12,AO53+((K53-J53)/($R53-$F53))*$AX53)</f>
        <v>1773585957.3337195</v>
      </c>
      <c r="AQ53" s="1041">
        <f t="shared" ref="AQ53" ca="1" si="205">IF($R53-$F53=0,AP53+$AX53/12,AP53+((L53-K53)/($R53-$F53))*$AX53)</f>
        <v>1778531672.8497269</v>
      </c>
      <c r="AR53" s="1041">
        <f t="shared" ref="AR53" ca="1" si="206">IF($R53-$F53=0,AQ53+$AX53/12,AQ53+((M53-L53)/($R53-$F53))*$AX53)</f>
        <v>1778844710.6633801</v>
      </c>
      <c r="AS53" s="1041">
        <f t="shared" ref="AS53" ca="1" si="207">IF($R53-$F53=0,AR53+$AX53/12,AR53+((N53-M53)/($R53-$F53))*$AX53)</f>
        <v>1833327455.6416678</v>
      </c>
      <c r="AT53" s="1041">
        <f t="shared" ref="AT53" ca="1" si="208">IF($R53-$F53=0,AS53+$AX53/12,AS53+((O53-N53)/($R53-$F53))*$AX53)</f>
        <v>1834552877.3286459</v>
      </c>
      <c r="AU53" s="1041">
        <f t="shared" ref="AU53" ca="1" si="209">IF($R53-$F53=0,AT53+$AX53/12,AT53+((P53-O53)/($R53-$F53))*$AX53)</f>
        <v>1864028351.8038592</v>
      </c>
      <c r="AV53" s="1041">
        <f t="shared" ref="AV53" ca="1" si="210">IF($R53-$F53=0,AU53+$AX53/12,AU53+((Q53-P53)/($R53-$F53))*$AX53)</f>
        <v>1870240934.8945496</v>
      </c>
      <c r="AW53" s="1041">
        <f t="shared" ref="AW53" ca="1" si="211">IF($R53-$F53=0,AV53+$AX53/12,AV53+((R53-Q53)/($R53-$F53))*$AX53)</f>
        <v>1879248569.6503499</v>
      </c>
      <c r="AX53" s="106">
        <f ca="1">'101_106 PROJECTION'!$T$16</f>
        <v>143662247.69351184</v>
      </c>
      <c r="AY53" s="393">
        <f ca="1">+AW53-AK53</f>
        <v>143662247.69351149</v>
      </c>
      <c r="AZ53" s="393"/>
      <c r="BA53" s="116">
        <f ca="1">SUM(BA46:BA52)</f>
        <v>1795405124.2972245</v>
      </c>
    </row>
    <row r="54" spans="1:53">
      <c r="A54" s="250">
        <f t="shared" si="2"/>
        <v>39</v>
      </c>
      <c r="B54" s="208"/>
      <c r="C54" s="102"/>
      <c r="D54" s="102"/>
      <c r="E54" s="102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4"/>
      <c r="Q54" s="974"/>
      <c r="R54" s="974"/>
      <c r="S54" s="116"/>
      <c r="T54" s="116"/>
      <c r="U54" s="106"/>
      <c r="V54" s="998"/>
      <c r="W54" s="998"/>
      <c r="X54" s="998"/>
      <c r="Y54" s="998"/>
      <c r="Z54" s="998"/>
      <c r="AA54" s="998"/>
      <c r="AB54" s="998"/>
      <c r="AC54" s="998"/>
      <c r="AD54" s="998"/>
      <c r="AE54" s="998"/>
      <c r="AF54" s="998"/>
      <c r="AG54" s="998"/>
      <c r="AH54" s="106"/>
      <c r="AI54" s="133"/>
      <c r="AJ54" s="116"/>
      <c r="AK54" s="106">
        <f>+AG54</f>
        <v>0</v>
      </c>
      <c r="AL54" s="1016"/>
      <c r="AM54" s="1016"/>
      <c r="AN54" s="1016"/>
      <c r="AO54" s="1016"/>
      <c r="AP54" s="1016"/>
      <c r="AQ54" s="1016"/>
      <c r="AR54" s="1016"/>
      <c r="AS54" s="1016"/>
      <c r="AT54" s="1016"/>
      <c r="AU54" s="1016"/>
      <c r="AV54" s="1016"/>
      <c r="AW54" s="1016"/>
      <c r="AX54" s="106"/>
      <c r="AY54" s="133"/>
      <c r="AZ54" s="133"/>
      <c r="BA54" s="116"/>
    </row>
    <row r="55" spans="1:53">
      <c r="A55" s="250">
        <f t="shared" si="2"/>
        <v>40</v>
      </c>
      <c r="B55" s="208"/>
      <c r="C55" s="102" t="s">
        <v>246</v>
      </c>
      <c r="D55" s="102" t="s">
        <v>248</v>
      </c>
      <c r="E55" s="102"/>
      <c r="F55" s="974"/>
      <c r="G55" s="974"/>
      <c r="H55" s="974"/>
      <c r="I55" s="974"/>
      <c r="J55" s="974"/>
      <c r="K55" s="974"/>
      <c r="L55" s="974"/>
      <c r="M55" s="974"/>
      <c r="N55" s="1493"/>
      <c r="O55" s="974"/>
      <c r="P55" s="1493"/>
      <c r="Q55" s="974"/>
      <c r="R55" s="974"/>
      <c r="S55" s="116"/>
      <c r="T55" s="116"/>
      <c r="U55" s="106"/>
      <c r="V55" s="998"/>
      <c r="W55" s="998"/>
      <c r="X55" s="998"/>
      <c r="Y55" s="998"/>
      <c r="Z55" s="998"/>
      <c r="AA55" s="998"/>
      <c r="AB55" s="998"/>
      <c r="AC55" s="998"/>
      <c r="AD55" s="998"/>
      <c r="AE55" s="998"/>
      <c r="AF55" s="998"/>
      <c r="AG55" s="998"/>
      <c r="AH55" s="106"/>
      <c r="AI55" s="133"/>
      <c r="AJ55" s="116"/>
      <c r="AK55" s="106"/>
      <c r="AL55" s="1026"/>
      <c r="AM55" s="1016"/>
      <c r="AN55" s="1016"/>
      <c r="AO55" s="1016"/>
      <c r="AP55" s="1016"/>
      <c r="AQ55" s="1016"/>
      <c r="AR55" s="1016"/>
      <c r="AS55" s="1016"/>
      <c r="AT55" s="1016"/>
      <c r="AU55" s="1016"/>
      <c r="AV55" s="1016"/>
      <c r="AW55" s="1016"/>
      <c r="AX55" s="106"/>
      <c r="AY55" s="133"/>
      <c r="AZ55" s="133"/>
      <c r="BA55" s="116"/>
    </row>
    <row r="56" spans="1:53">
      <c r="A56" s="250">
        <f t="shared" si="2"/>
        <v>41</v>
      </c>
      <c r="B56" s="208"/>
      <c r="C56" s="102"/>
      <c r="D56" s="102"/>
      <c r="E56" s="102" t="s">
        <v>24</v>
      </c>
      <c r="F56" s="974">
        <f>'Rate Base'!S54</f>
        <v>0</v>
      </c>
      <c r="G56" s="974">
        <f>'Rate Base'!T54</f>
        <v>0</v>
      </c>
      <c r="H56" s="974">
        <f>'Rate Base'!U54</f>
        <v>0</v>
      </c>
      <c r="I56" s="974">
        <f>'Rate Base'!V54</f>
        <v>0</v>
      </c>
      <c r="J56" s="974">
        <f>'Rate Base'!W54</f>
        <v>0</v>
      </c>
      <c r="K56" s="974">
        <f>'Rate Base'!X54</f>
        <v>0</v>
      </c>
      <c r="L56" s="974">
        <f>'Rate Base'!Y54</f>
        <v>0</v>
      </c>
      <c r="M56" s="974">
        <f>'Rate Base'!Z54</f>
        <v>0</v>
      </c>
      <c r="N56" s="974">
        <f>'Rate Base'!AA54</f>
        <v>0</v>
      </c>
      <c r="O56" s="974">
        <f>'Rate Base'!AB54</f>
        <v>0</v>
      </c>
      <c r="P56" s="974">
        <f>'Rate Base'!AC54</f>
        <v>0</v>
      </c>
      <c r="Q56" s="974">
        <f>'Rate Base'!AD54</f>
        <v>0</v>
      </c>
      <c r="R56" s="974">
        <f>'Rate Base'!AE54</f>
        <v>0</v>
      </c>
      <c r="S56" s="116"/>
      <c r="T56" s="116">
        <f>((F56/2)+SUM(G56:Q56)+(R56/2))/12</f>
        <v>0</v>
      </c>
      <c r="U56" s="106">
        <v>0</v>
      </c>
      <c r="V56" s="998">
        <f t="shared" ref="V56" ca="1" si="212">(U56/U58)*V58</f>
        <v>0</v>
      </c>
      <c r="W56" s="998">
        <f t="shared" ref="W56" ca="1" si="213">(V56/V58)*W58</f>
        <v>0</v>
      </c>
      <c r="X56" s="998">
        <f t="shared" ref="X56" ca="1" si="214">(W56/W58)*X58</f>
        <v>0</v>
      </c>
      <c r="Y56" s="998">
        <f t="shared" ref="Y56" ca="1" si="215">(X56/X58)*Y58</f>
        <v>0</v>
      </c>
      <c r="Z56" s="998">
        <f t="shared" ref="Z56" ca="1" si="216">(Y56/Y58)*Z58</f>
        <v>0</v>
      </c>
      <c r="AA56" s="998">
        <f t="shared" ref="AA56" ca="1" si="217">(Z56/Z58)*AA58</f>
        <v>0</v>
      </c>
      <c r="AB56" s="998">
        <f t="shared" ref="AB56" ca="1" si="218">(AA56/AA58)*AB58</f>
        <v>0</v>
      </c>
      <c r="AC56" s="998">
        <f t="shared" ref="AC56" ca="1" si="219">(AB56/AB58)*AC58</f>
        <v>0</v>
      </c>
      <c r="AD56" s="998">
        <f t="shared" ref="AD56" ca="1" si="220">(AC56/AC58)*AD58</f>
        <v>0</v>
      </c>
      <c r="AE56" s="998">
        <f t="shared" ref="AE56" ca="1" si="221">(AD56/AD58)*AE58</f>
        <v>0</v>
      </c>
      <c r="AF56" s="998">
        <f t="shared" ref="AF56" ca="1" si="222">(AE56/AE58)*AF58</f>
        <v>0</v>
      </c>
      <c r="AG56" s="998">
        <f t="shared" ref="AG56" ca="1" si="223">(AF56/AF58)*AG58</f>
        <v>0</v>
      </c>
      <c r="AH56" s="106"/>
      <c r="AI56" s="133"/>
      <c r="AJ56" s="116">
        <f ca="1">((U56/2)+SUM(V56:AF56)+(AG56/2))/12</f>
        <v>0</v>
      </c>
      <c r="AK56" s="106">
        <v>0</v>
      </c>
      <c r="AL56" s="1016">
        <f ca="1">(AK56/AK58)*AL58</f>
        <v>0</v>
      </c>
      <c r="AM56" s="1016">
        <f t="shared" ref="AM56:AW56" ca="1" si="224">(AL56/AL58)*AM58</f>
        <v>0</v>
      </c>
      <c r="AN56" s="1016">
        <f t="shared" ca="1" si="224"/>
        <v>0</v>
      </c>
      <c r="AO56" s="1016">
        <f t="shared" ca="1" si="224"/>
        <v>0</v>
      </c>
      <c r="AP56" s="1016">
        <f t="shared" ca="1" si="224"/>
        <v>0</v>
      </c>
      <c r="AQ56" s="1016">
        <f t="shared" ca="1" si="224"/>
        <v>0</v>
      </c>
      <c r="AR56" s="1016">
        <f t="shared" ca="1" si="224"/>
        <v>0</v>
      </c>
      <c r="AS56" s="1016">
        <f t="shared" ca="1" si="224"/>
        <v>0</v>
      </c>
      <c r="AT56" s="1016">
        <f t="shared" ca="1" si="224"/>
        <v>0</v>
      </c>
      <c r="AU56" s="1016">
        <f t="shared" ca="1" si="224"/>
        <v>0</v>
      </c>
      <c r="AV56" s="1016">
        <f t="shared" ca="1" si="224"/>
        <v>0</v>
      </c>
      <c r="AW56" s="1016">
        <f t="shared" ca="1" si="224"/>
        <v>0</v>
      </c>
      <c r="AX56" s="106"/>
      <c r="AY56" s="133"/>
      <c r="AZ56" s="133"/>
      <c r="BA56" s="116">
        <f ca="1">((AK56/2)+SUM(AL56:AV56)+(AW56/2))/12</f>
        <v>0</v>
      </c>
    </row>
    <row r="57" spans="1:53">
      <c r="A57" s="250">
        <f t="shared" si="2"/>
        <v>42</v>
      </c>
      <c r="B57" s="208"/>
      <c r="C57" s="102"/>
      <c r="D57" s="102"/>
      <c r="E57" s="102" t="s">
        <v>14</v>
      </c>
      <c r="F57" s="985">
        <f>'Rate Base'!S55</f>
        <v>18299037.550000001</v>
      </c>
      <c r="G57" s="985">
        <f>'Rate Base'!T55</f>
        <v>18299037.550000001</v>
      </c>
      <c r="H57" s="985">
        <f>'Rate Base'!U55</f>
        <v>18299037.550000001</v>
      </c>
      <c r="I57" s="985">
        <f>'Rate Base'!V55</f>
        <v>14286566.039999999</v>
      </c>
      <c r="J57" s="985">
        <f>'Rate Base'!W55</f>
        <v>14286566.039999999</v>
      </c>
      <c r="K57" s="985">
        <f>'Rate Base'!X55</f>
        <v>14286566.039999999</v>
      </c>
      <c r="L57" s="985">
        <f>'Rate Base'!Y55</f>
        <v>14286566.039999999</v>
      </c>
      <c r="M57" s="985">
        <f>'Rate Base'!Z55</f>
        <v>14286566.039999999</v>
      </c>
      <c r="N57" s="985">
        <f>'Rate Base'!AA55</f>
        <v>14286566.039999999</v>
      </c>
      <c r="O57" s="985">
        <f>'Rate Base'!AB55</f>
        <v>14286566.039999999</v>
      </c>
      <c r="P57" s="985">
        <f>'Rate Base'!AC55</f>
        <v>14286566.039999999</v>
      </c>
      <c r="Q57" s="985">
        <f>'Rate Base'!AD55</f>
        <v>14286566.039999999</v>
      </c>
      <c r="R57" s="985">
        <f>'Rate Base'!AE55</f>
        <v>14286566.039999999</v>
      </c>
      <c r="S57" s="116"/>
      <c r="T57" s="256">
        <f>((F57/2)+SUM(G57:Q57)+(R57/2))/12</f>
        <v>15122497.60458333</v>
      </c>
      <c r="U57" s="396">
        <f>+R57</f>
        <v>14286566.039999999</v>
      </c>
      <c r="V57" s="998">
        <f t="shared" ref="V57" ca="1" si="225">(U57/U58)*V58</f>
        <v>14286566.039999999</v>
      </c>
      <c r="W57" s="998">
        <f t="shared" ref="W57" ca="1" si="226">(V57/V58)*W58</f>
        <v>14286566.039999999</v>
      </c>
      <c r="X57" s="998">
        <f t="shared" ref="X57" ca="1" si="227">(W57/W58)*X58</f>
        <v>10231180.68</v>
      </c>
      <c r="Y57" s="998">
        <f t="shared" ref="Y57" ca="1" si="228">(X57/X58)*Y58</f>
        <v>10231180.68</v>
      </c>
      <c r="Z57" s="998">
        <f t="shared" ref="Z57" ca="1" si="229">(Y57/Y58)*Z58</f>
        <v>10231180.68</v>
      </c>
      <c r="AA57" s="998">
        <f t="shared" ref="AA57" ca="1" si="230">(Z57/Z58)*AA58</f>
        <v>10231180.68</v>
      </c>
      <c r="AB57" s="998">
        <f t="shared" ref="AB57" ca="1" si="231">(AA57/AA58)*AB58</f>
        <v>10231180.68</v>
      </c>
      <c r="AC57" s="998">
        <f t="shared" ref="AC57" ca="1" si="232">(AB57/AB58)*AC58</f>
        <v>10231180.68</v>
      </c>
      <c r="AD57" s="998">
        <f t="shared" ref="AD57" ca="1" si="233">(AC57/AC58)*AD58</f>
        <v>10231180.68</v>
      </c>
      <c r="AE57" s="998">
        <f t="shared" ref="AE57" ca="1" si="234">(AD57/AD58)*AE58</f>
        <v>10231180.68</v>
      </c>
      <c r="AF57" s="998">
        <f t="shared" ref="AF57" ca="1" si="235">(AE57/AE58)*AF58</f>
        <v>10231180.68</v>
      </c>
      <c r="AG57" s="998">
        <f t="shared" ref="AG57" ca="1" si="236">(AF57/AF58)*AG58</f>
        <v>10231180.68</v>
      </c>
      <c r="AH57" s="396"/>
      <c r="AI57" s="395"/>
      <c r="AJ57" s="256">
        <f ca="1">((U57/2)+SUM(V57:AF57)+(AG57/2))/12</f>
        <v>11076052.630000001</v>
      </c>
      <c r="AK57" s="106">
        <f ca="1">AG57</f>
        <v>10231180.68</v>
      </c>
      <c r="AL57" s="1016">
        <f ca="1">(AK57/AK58)*AL58</f>
        <v>10231180.68</v>
      </c>
      <c r="AM57" s="1016">
        <f t="shared" ref="AM57" ca="1" si="237">(AL57/AL58)*AM58</f>
        <v>10231180.68</v>
      </c>
      <c r="AN57" s="1016">
        <f t="shared" ref="AN57" ca="1" si="238">(AM57/AM58)*AN58</f>
        <v>6535249.2240120526</v>
      </c>
      <c r="AO57" s="1016">
        <f t="shared" ref="AO57" ca="1" si="239">(AN57/AN58)*AO58</f>
        <v>6535249.2240120526</v>
      </c>
      <c r="AP57" s="1016">
        <f t="shared" ref="AP57" ca="1" si="240">(AO57/AO58)*AP58</f>
        <v>6535249.2240120526</v>
      </c>
      <c r="AQ57" s="1016">
        <f t="shared" ref="AQ57" ca="1" si="241">(AP57/AP58)*AQ58</f>
        <v>6535249.2240120526</v>
      </c>
      <c r="AR57" s="1016">
        <f t="shared" ref="AR57" ca="1" si="242">(AQ57/AQ58)*AR58</f>
        <v>6535249.2240120526</v>
      </c>
      <c r="AS57" s="1016">
        <f t="shared" ref="AS57" ca="1" si="243">(AR57/AR58)*AS58</f>
        <v>6535249.2240120526</v>
      </c>
      <c r="AT57" s="1016">
        <f t="shared" ref="AT57" ca="1" si="244">(AS57/AS58)*AT58</f>
        <v>6535249.2240120526</v>
      </c>
      <c r="AU57" s="1016">
        <f t="shared" ref="AU57" ca="1" si="245">(AT57/AT58)*AU58</f>
        <v>6535249.2240120526</v>
      </c>
      <c r="AV57" s="1016">
        <f t="shared" ref="AV57" ca="1" si="246">(AU57/AU58)*AV58</f>
        <v>6535249.2240120526</v>
      </c>
      <c r="AW57" s="1016">
        <f t="shared" ref="AW57" ca="1" si="247">(AV57/AV58)*AW58</f>
        <v>6535249.2240120526</v>
      </c>
      <c r="AX57" s="396"/>
      <c r="AY57" s="395"/>
      <c r="AZ57" s="395"/>
      <c r="BA57" s="256">
        <f ca="1">((AK57/2)+SUM(AL57:AV57)+(AW57/2))/12</f>
        <v>7305234.9440095425</v>
      </c>
    </row>
    <row r="58" spans="1:53">
      <c r="A58" s="250">
        <f>+A57+1</f>
        <v>43</v>
      </c>
      <c r="B58" s="208"/>
      <c r="C58" s="102"/>
      <c r="D58" s="102"/>
      <c r="E58" s="102" t="s">
        <v>170</v>
      </c>
      <c r="F58" s="974">
        <f t="shared" ref="F58:R58" si="248">SUM(F56:F57)</f>
        <v>18299037.550000001</v>
      </c>
      <c r="G58" s="974">
        <f t="shared" si="248"/>
        <v>18299037.550000001</v>
      </c>
      <c r="H58" s="974">
        <f t="shared" si="248"/>
        <v>18299037.550000001</v>
      </c>
      <c r="I58" s="974">
        <f t="shared" si="248"/>
        <v>14286566.039999999</v>
      </c>
      <c r="J58" s="974">
        <f t="shared" si="248"/>
        <v>14286566.039999999</v>
      </c>
      <c r="K58" s="974">
        <f t="shared" si="248"/>
        <v>14286566.039999999</v>
      </c>
      <c r="L58" s="974">
        <f t="shared" si="248"/>
        <v>14286566.039999999</v>
      </c>
      <c r="M58" s="974">
        <f t="shared" si="248"/>
        <v>14286566.039999999</v>
      </c>
      <c r="N58" s="974">
        <f t="shared" si="248"/>
        <v>14286566.039999999</v>
      </c>
      <c r="O58" s="974">
        <f t="shared" si="248"/>
        <v>14286566.039999999</v>
      </c>
      <c r="P58" s="974">
        <f t="shared" si="248"/>
        <v>14286566.039999999</v>
      </c>
      <c r="Q58" s="974">
        <f t="shared" si="248"/>
        <v>14286566.039999999</v>
      </c>
      <c r="R58" s="974">
        <f t="shared" si="248"/>
        <v>14286566.039999999</v>
      </c>
      <c r="S58" s="116"/>
      <c r="T58" s="116">
        <f>SUM(T56:T57)</f>
        <v>15122497.60458333</v>
      </c>
      <c r="U58" s="106">
        <f>+R58</f>
        <v>14286566.039999999</v>
      </c>
      <c r="V58" s="1269">
        <f t="shared" ref="V58:AA58" ca="1" si="249">IF($R58-$F58=0,U58+$AH58/12,U58+((G58-F58)/($R58-$F58))*$AH58)</f>
        <v>14286566.039999999</v>
      </c>
      <c r="W58" s="1269">
        <f t="shared" ca="1" si="249"/>
        <v>14286566.039999999</v>
      </c>
      <c r="X58" s="1269">
        <f t="shared" ca="1" si="249"/>
        <v>10231180.68</v>
      </c>
      <c r="Y58" s="1269">
        <f t="shared" ca="1" si="249"/>
        <v>10231180.68</v>
      </c>
      <c r="Z58" s="1269">
        <f t="shared" ca="1" si="249"/>
        <v>10231180.68</v>
      </c>
      <c r="AA58" s="1269">
        <f t="shared" ca="1" si="249"/>
        <v>10231180.68</v>
      </c>
      <c r="AB58" s="1269">
        <f ca="1">IF($R58-$F58=0,AA58+$AH58/12,AA58+((M58-L58)/($R58-$F58))*$AH58)</f>
        <v>10231180.68</v>
      </c>
      <c r="AC58" s="1269">
        <f t="shared" ref="AC58" ca="1" si="250">IF($R58-$F58=0,AB58+$AH58/12,AB58+((N58-M58)/($R58-$F58))*$AH58)</f>
        <v>10231180.68</v>
      </c>
      <c r="AD58" s="1269">
        <f t="shared" ref="AD58" ca="1" si="251">IF($R58-$F58=0,AC58+$AH58/12,AC58+((O58-N58)/($R58-$F58))*$AH58)</f>
        <v>10231180.68</v>
      </c>
      <c r="AE58" s="1269">
        <f t="shared" ref="AE58" ca="1" si="252">IF($R58-$F58=0,AD58+$AH58/12,AD58+((P58-O58)/($R58-$F58))*$AH58)</f>
        <v>10231180.68</v>
      </c>
      <c r="AF58" s="1269">
        <f t="shared" ref="AF58" ca="1" si="253">IF($R58-$F58=0,AE58+$AH58/12,AE58+((Q58-P58)/($R58-$F58))*$AH58)</f>
        <v>10231180.68</v>
      </c>
      <c r="AG58" s="1269">
        <f t="shared" ref="AG58" ca="1" si="254">IF($R58-$F58=0,AF58+$AH58/12,AF58+((R58-Q58)/($R58-$F58))*$AH58)</f>
        <v>10231180.68</v>
      </c>
      <c r="AH58" s="106">
        <f ca="1">'101_106 PROJECTION'!N17</f>
        <v>-4055385.36</v>
      </c>
      <c r="AI58" s="393">
        <f ca="1">+AG58-U58</f>
        <v>-4055385.3599999994</v>
      </c>
      <c r="AJ58" s="116">
        <f ca="1">SUM(AJ56:AJ57)</f>
        <v>11076052.630000001</v>
      </c>
      <c r="AK58" s="1039">
        <f ca="1">AG58</f>
        <v>10231180.68</v>
      </c>
      <c r="AL58" s="1041">
        <f ca="1">IF($R58-$F58=0,AK58+$AX58/12,AK58+((G58-F58)/($R58-$F58))*$AX58)</f>
        <v>10231180.68</v>
      </c>
      <c r="AM58" s="1041">
        <f t="shared" ref="AM58" ca="1" si="255">IF($R58-$F58=0,AL58+$AX58/12,AL58+((H58-G58)/($R58-$F58))*$AX58)</f>
        <v>10231180.68</v>
      </c>
      <c r="AN58" s="1041">
        <f t="shared" ref="AN58" ca="1" si="256">IF($R58-$F58=0,AM58+$AX58/12,AM58+((I58-H58)/($R58-$F58))*$AX58)</f>
        <v>6535249.2240120526</v>
      </c>
      <c r="AO58" s="1041">
        <f t="shared" ref="AO58" ca="1" si="257">IF($R58-$F58=0,AN58+$AX58/12,AN58+((J58-I58)/($R58-$F58))*$AX58)</f>
        <v>6535249.2240120526</v>
      </c>
      <c r="AP58" s="1041">
        <f t="shared" ref="AP58" ca="1" si="258">IF($R58-$F58=0,AO58+$AX58/12,AO58+((K58-J58)/($R58-$F58))*$AX58)</f>
        <v>6535249.2240120526</v>
      </c>
      <c r="AQ58" s="1041">
        <f t="shared" ref="AQ58" ca="1" si="259">IF($R58-$F58=0,AP58+$AX58/12,AP58+((L58-K58)/($R58-$F58))*$AX58)</f>
        <v>6535249.2240120526</v>
      </c>
      <c r="AR58" s="1041">
        <f t="shared" ref="AR58" ca="1" si="260">IF($R58-$F58=0,AQ58+$AX58/12,AQ58+((M58-L58)/($R58-$F58))*$AX58)</f>
        <v>6535249.2240120526</v>
      </c>
      <c r="AS58" s="1041">
        <f t="shared" ref="AS58" ca="1" si="261">IF($R58-$F58=0,AR58+$AX58/12,AR58+((N58-M58)/($R58-$F58))*$AX58)</f>
        <v>6535249.2240120526</v>
      </c>
      <c r="AT58" s="1041">
        <f t="shared" ref="AT58" ca="1" si="262">IF($R58-$F58=0,AS58+$AX58/12,AS58+((O58-N58)/($R58-$F58))*$AX58)</f>
        <v>6535249.2240120526</v>
      </c>
      <c r="AU58" s="1041">
        <f t="shared" ref="AU58" ca="1" si="263">IF($R58-$F58=0,AT58+$AX58/12,AT58+((P58-O58)/($R58-$F58))*$AX58)</f>
        <v>6535249.2240120526</v>
      </c>
      <c r="AV58" s="1041">
        <f t="shared" ref="AV58" ca="1" si="264">IF($R58-$F58=0,AU58+$AX58/12,AU58+((Q58-P58)/($R58-$F58))*$AX58)</f>
        <v>6535249.2240120526</v>
      </c>
      <c r="AW58" s="1041">
        <f t="shared" ref="AW58" ca="1" si="265">IF($R58-$F58=0,AV58+$AX58/12,AV58+((R58-Q58)/($R58-$F58))*$AX58)</f>
        <v>6535249.2240120526</v>
      </c>
      <c r="AX58" s="106">
        <f ca="1">'101_106 PROJECTION'!$T$17</f>
        <v>-3695931.4559879475</v>
      </c>
      <c r="AY58" s="393">
        <f ca="1">+AW58-AK58</f>
        <v>-3695931.4559879471</v>
      </c>
      <c r="AZ58" s="393"/>
      <c r="BA58" s="116">
        <f ca="1">SUM(BA56:BA57)</f>
        <v>7305234.9440095425</v>
      </c>
    </row>
    <row r="59" spans="1:53">
      <c r="A59" s="250">
        <f t="shared" si="2"/>
        <v>44</v>
      </c>
      <c r="B59" s="208"/>
      <c r="C59" s="102"/>
      <c r="D59" s="102"/>
      <c r="E59" s="102"/>
      <c r="U59" s="102"/>
      <c r="AH59" s="106"/>
      <c r="AK59" s="102">
        <f>+AG59</f>
        <v>0</v>
      </c>
      <c r="AW59" s="1016"/>
      <c r="AX59" s="106"/>
    </row>
    <row r="60" spans="1:53">
      <c r="A60" s="250">
        <f t="shared" si="2"/>
        <v>45</v>
      </c>
      <c r="B60" s="208"/>
      <c r="C60" s="102" t="s">
        <v>249</v>
      </c>
      <c r="D60" s="102" t="s">
        <v>250</v>
      </c>
      <c r="E60" s="102"/>
      <c r="U60" s="102"/>
      <c r="AH60" s="102"/>
      <c r="AK60" s="102"/>
      <c r="AX60" s="102"/>
    </row>
    <row r="61" spans="1:53">
      <c r="A61" s="250">
        <f t="shared" si="2"/>
        <v>46</v>
      </c>
      <c r="B61" s="208"/>
      <c r="C61" s="102"/>
      <c r="D61" s="102"/>
      <c r="E61" s="102" t="s">
        <v>24</v>
      </c>
      <c r="F61" s="974">
        <f>'Rate Base'!S59</f>
        <v>7415821.6100000003</v>
      </c>
      <c r="G61" s="974">
        <f>'Rate Base'!T59</f>
        <v>7415821.6100000003</v>
      </c>
      <c r="H61" s="974">
        <f>'Rate Base'!U59</f>
        <v>7610196.4800000004</v>
      </c>
      <c r="I61" s="974">
        <f>'Rate Base'!V59</f>
        <v>7652724.2199999997</v>
      </c>
      <c r="J61" s="974">
        <f>'Rate Base'!W59</f>
        <v>7657526.3700000001</v>
      </c>
      <c r="K61" s="974">
        <f>'Rate Base'!X59</f>
        <v>7657526.3700000001</v>
      </c>
      <c r="L61" s="974">
        <f>'Rate Base'!Y59</f>
        <v>7657526.3700000001</v>
      </c>
      <c r="M61" s="974">
        <f>'Rate Base'!Z59</f>
        <v>7657526.3700000001</v>
      </c>
      <c r="N61" s="974">
        <f>'Rate Base'!AA59</f>
        <v>7657082.8099999996</v>
      </c>
      <c r="O61" s="974">
        <f>'Rate Base'!AB59</f>
        <v>7657082.8099999996</v>
      </c>
      <c r="P61" s="974">
        <f>'Rate Base'!AC59</f>
        <v>7657082.8099999996</v>
      </c>
      <c r="Q61" s="974">
        <f>'Rate Base'!AD59</f>
        <v>7657082.8099999996</v>
      </c>
      <c r="R61" s="974">
        <f>'Rate Base'!AE59</f>
        <v>7646803.6600000001</v>
      </c>
      <c r="S61" s="116"/>
      <c r="T61" s="116">
        <f>((F61/2)+SUM(G61:Q61)+(R61/2))/12</f>
        <v>7622374.3054166669</v>
      </c>
      <c r="U61" s="106">
        <f>+R61</f>
        <v>7646803.6600000001</v>
      </c>
      <c r="V61" s="998">
        <f t="shared" ref="V61" ca="1" si="266">(U61/U63)*V63</f>
        <v>7771451.1679210393</v>
      </c>
      <c r="W61" s="998">
        <f t="shared" ref="W61" ca="1" si="267">(V61/V63)*W63</f>
        <v>8047986.5363787888</v>
      </c>
      <c r="X61" s="998">
        <f t="shared" ref="X61" ca="1" si="268">(W61/W63)*X63</f>
        <v>8107682.3968898579</v>
      </c>
      <c r="Y61" s="998">
        <f t="shared" ref="Y61" ca="1" si="269">(X61/X63)*Y63</f>
        <v>8165460.184801423</v>
      </c>
      <c r="Z61" s="998">
        <f t="shared" ref="Z61" ca="1" si="270">(Y61/Y63)*Z63</f>
        <v>8206467.524066044</v>
      </c>
      <c r="AA61" s="998">
        <f t="shared" ref="AA61" ca="1" si="271">(Z61/Z63)*AA63</f>
        <v>8230610.2220019167</v>
      </c>
      <c r="AB61" s="998">
        <f t="shared" ref="AB61" ca="1" si="272">(AA61/AA63)*AB63</f>
        <v>8230610.2220019167</v>
      </c>
      <c r="AC61" s="998">
        <f t="shared" ref="AC61" ca="1" si="273">(AB61/AB63)*AC63</f>
        <v>8325884.1621259581</v>
      </c>
      <c r="AD61" s="998">
        <f t="shared" ref="AD61" ca="1" si="274">(AC61/AC63)*AD63</f>
        <v>8325884.1621259581</v>
      </c>
      <c r="AE61" s="998">
        <f t="shared" ref="AE61" ca="1" si="275">(AD61/AD63)*AE63</f>
        <v>8420761.2465128414</v>
      </c>
      <c r="AF61" s="998">
        <f t="shared" ref="AF61" ca="1" si="276">(AE61/AE63)*AF63</f>
        <v>8794225.9792379998</v>
      </c>
      <c r="AG61" s="998">
        <f t="shared" ref="AG61" ca="1" si="277">(AF61/AF63)*AG63</f>
        <v>8902345.9236790296</v>
      </c>
      <c r="AH61" s="106"/>
      <c r="AI61" s="133"/>
      <c r="AJ61" s="116">
        <f ca="1">((U61/2)+SUM(V61:AF61)+(AG61/2))/12</f>
        <v>8241799.8829919389</v>
      </c>
      <c r="AK61" s="106">
        <f ca="1">AG61</f>
        <v>8902345.9236790296</v>
      </c>
      <c r="AL61" s="1016">
        <f ca="1">(AK61/AK63)*AL63</f>
        <v>8967598.0334129035</v>
      </c>
      <c r="AM61" s="1016">
        <f t="shared" ref="AM61:AW61" ca="1" si="278">(AL61/AL63)*AM63</f>
        <v>9112362.3893864974</v>
      </c>
      <c r="AN61" s="1016">
        <f t="shared" ca="1" si="278"/>
        <v>9143612.7601776551</v>
      </c>
      <c r="AO61" s="1016">
        <f t="shared" ca="1" si="278"/>
        <v>9173859.0332068298</v>
      </c>
      <c r="AP61" s="1016">
        <f t="shared" ca="1" si="278"/>
        <v>9195326.0921654757</v>
      </c>
      <c r="AQ61" s="1016">
        <f t="shared" ca="1" si="278"/>
        <v>9207964.6278350484</v>
      </c>
      <c r="AR61" s="1016">
        <f t="shared" ca="1" si="278"/>
        <v>9207964.6278350484</v>
      </c>
      <c r="AS61" s="1016">
        <f t="shared" ca="1" si="278"/>
        <v>9257839.8776450213</v>
      </c>
      <c r="AT61" s="1016">
        <f t="shared" ca="1" si="278"/>
        <v>9257839.8776450213</v>
      </c>
      <c r="AU61" s="1016">
        <f t="shared" ca="1" si="278"/>
        <v>9307507.3762167916</v>
      </c>
      <c r="AV61" s="1016">
        <f t="shared" ca="1" si="278"/>
        <v>9503013.5851090811</v>
      </c>
      <c r="AW61" s="1016">
        <f t="shared" ca="1" si="278"/>
        <v>9559613.629480252</v>
      </c>
      <c r="AX61" s="106"/>
      <c r="AY61" s="133"/>
      <c r="AZ61" s="133"/>
      <c r="BA61" s="116">
        <f ca="1">((AK61/2)+SUM(AL61:AV61)+(AW61/2))/12</f>
        <v>9213822.3381012511</v>
      </c>
    </row>
    <row r="62" spans="1:53">
      <c r="A62" s="250">
        <f t="shared" si="2"/>
        <v>47</v>
      </c>
      <c r="B62" s="208"/>
      <c r="C62" s="102"/>
      <c r="D62" s="102"/>
      <c r="E62" s="102" t="s">
        <v>14</v>
      </c>
      <c r="F62" s="985">
        <f>'Rate Base'!S60</f>
        <v>93390624.239999995</v>
      </c>
      <c r="G62" s="985">
        <f>'Rate Base'!T60</f>
        <v>94192625.209999993</v>
      </c>
      <c r="H62" s="985">
        <f>'Rate Base'!U60</f>
        <v>95777520.839999989</v>
      </c>
      <c r="I62" s="985">
        <f>'Rate Base'!V60</f>
        <v>96119085.320000008</v>
      </c>
      <c r="J62" s="985">
        <f>'Rate Base'!W60</f>
        <v>96486034.219999999</v>
      </c>
      <c r="K62" s="985">
        <f>'Rate Base'!X60</f>
        <v>96749881.659999996</v>
      </c>
      <c r="L62" s="985">
        <f>'Rate Base'!Y60</f>
        <v>96905219.439999998</v>
      </c>
      <c r="M62" s="985">
        <f>'Rate Base'!Z60</f>
        <v>96905219.439999998</v>
      </c>
      <c r="N62" s="985">
        <f>'Rate Base'!AA60</f>
        <v>97518669.980000004</v>
      </c>
      <c r="O62" s="985">
        <f>'Rate Base'!AB60</f>
        <v>97518669.980000004</v>
      </c>
      <c r="P62" s="985">
        <f>'Rate Base'!AC60</f>
        <v>98129123.530000001</v>
      </c>
      <c r="Q62" s="985">
        <f>'Rate Base'!AD60</f>
        <v>100532052.25999999</v>
      </c>
      <c r="R62" s="985">
        <f>'Rate Base'!AE60</f>
        <v>101237991.53</v>
      </c>
      <c r="S62" s="116"/>
      <c r="T62" s="256">
        <f>((F62/2)+SUM(G62:Q62)+(R62/2))/12</f>
        <v>97012367.48041667</v>
      </c>
      <c r="U62" s="396">
        <f>+R62</f>
        <v>101237991.53</v>
      </c>
      <c r="V62" s="998">
        <f t="shared" ref="V62" ca="1" si="279">(U62/U63)*V63</f>
        <v>102888231.80191328</v>
      </c>
      <c r="W62" s="998">
        <f t="shared" ref="W62" ca="1" si="280">(V62/V63)*W63</f>
        <v>106549354.34859458</v>
      </c>
      <c r="X62" s="998">
        <f t="shared" ref="X62" ca="1" si="281">(W62/W63)*X63</f>
        <v>107339683.13033234</v>
      </c>
      <c r="Y62" s="998">
        <f t="shared" ref="Y62" ca="1" si="282">(X62/X63)*Y63</f>
        <v>108104618.05782506</v>
      </c>
      <c r="Z62" s="998">
        <f t="shared" ref="Z62" ca="1" si="283">(Y62/Y63)*Z63</f>
        <v>108647524.72180229</v>
      </c>
      <c r="AA62" s="998">
        <f t="shared" ref="AA62" ca="1" si="284">(Z62/Z63)*AA63</f>
        <v>108967156.08123271</v>
      </c>
      <c r="AB62" s="998">
        <f t="shared" ref="AB62" ca="1" si="285">(AA62/AA63)*AB63</f>
        <v>108967156.08123271</v>
      </c>
      <c r="AC62" s="998">
        <f t="shared" ref="AC62" ca="1" si="286">(AB62/AB63)*AC63</f>
        <v>110228512.16832066</v>
      </c>
      <c r="AD62" s="998">
        <f t="shared" ref="AD62" ca="1" si="287">(AC62/AC63)*AD63</f>
        <v>110228512.16832066</v>
      </c>
      <c r="AE62" s="998">
        <f t="shared" ref="AE62" ca="1" si="288">(AD62/AD63)*AE63</f>
        <v>111484614.18069406</v>
      </c>
      <c r="AF62" s="998">
        <f t="shared" ref="AF62" ca="1" si="289">(AE62/AE63)*AF63</f>
        <v>116429009.39854948</v>
      </c>
      <c r="AG62" s="998">
        <f t="shared" ref="AG62" ca="1" si="290">(AF62/AF63)*AG63</f>
        <v>117860437.02586024</v>
      </c>
      <c r="AH62" s="396"/>
      <c r="AI62" s="395"/>
      <c r="AJ62" s="256">
        <f ca="1">((U62/2)+SUM(V62:AF62)+(AG62/2))/12</f>
        <v>109115298.86806233</v>
      </c>
      <c r="AK62" s="106">
        <f ca="1">AG62</f>
        <v>117860437.02586024</v>
      </c>
      <c r="AL62" s="1016">
        <f ca="1">(AK62/AK63)*AL63</f>
        <v>118724326.41367179</v>
      </c>
      <c r="AM62" s="1016">
        <f t="shared" ref="AM62" ca="1" si="291">(AL62/AL63)*AM63</f>
        <v>120640898.78763811</v>
      </c>
      <c r="AN62" s="1016">
        <f t="shared" ref="AN62" ca="1" si="292">(AM62/AM63)*AN63</f>
        <v>121054630.44783671</v>
      </c>
      <c r="AO62" s="1016">
        <f t="shared" ref="AO62" ca="1" si="293">(AN62/AN63)*AO63</f>
        <v>121455068.60067686</v>
      </c>
      <c r="AP62" s="1016">
        <f t="shared" ref="AP62" ca="1" si="294">(AO62/AO63)*AP63</f>
        <v>121739276.49062149</v>
      </c>
      <c r="AQ62" s="1016">
        <f t="shared" ref="AQ62" ca="1" si="295">(AP62/AP63)*AQ63</f>
        <v>121906601.30030121</v>
      </c>
      <c r="AR62" s="1016">
        <f t="shared" ref="AR62" ca="1" si="296">(AQ62/AQ63)*AR63</f>
        <v>121906601.30030121</v>
      </c>
      <c r="AS62" s="1016">
        <f t="shared" ref="AS62" ca="1" si="297">(AR62/AR63)*AS63</f>
        <v>122566912.50251389</v>
      </c>
      <c r="AT62" s="1016">
        <f t="shared" ref="AT62" ca="1" si="298">(AS62/AS63)*AT63</f>
        <v>122566912.50251389</v>
      </c>
      <c r="AU62" s="1016">
        <f t="shared" ref="AU62" ca="1" si="299">(AT62/AT63)*AU63</f>
        <v>123224473.23289168</v>
      </c>
      <c r="AV62" s="1016">
        <f t="shared" ref="AV62" ca="1" si="300">(AU62/AU63)*AV63</f>
        <v>125812829.9895107</v>
      </c>
      <c r="AW62" s="1016">
        <f t="shared" ref="AW62" ca="1" si="301">(AV62/AV63)*AW63</f>
        <v>126562172.46872459</v>
      </c>
      <c r="AX62" s="396"/>
      <c r="AY62" s="395"/>
      <c r="AZ62" s="395"/>
      <c r="BA62" s="256">
        <f ca="1">((AK62/2)+SUM(AL62:AV62)+(AW62/2))/12</f>
        <v>121984153.02631415</v>
      </c>
    </row>
    <row r="63" spans="1:53">
      <c r="A63" s="250">
        <f t="shared" si="2"/>
        <v>48</v>
      </c>
      <c r="B63" s="208"/>
      <c r="C63" s="102"/>
      <c r="D63" s="102"/>
      <c r="E63" s="102" t="s">
        <v>170</v>
      </c>
      <c r="F63" s="974">
        <f t="shared" ref="F63:R63" si="302">SUM(F61:F62)</f>
        <v>100806445.84999999</v>
      </c>
      <c r="G63" s="974">
        <f t="shared" si="302"/>
        <v>101608446.81999999</v>
      </c>
      <c r="H63" s="974">
        <f t="shared" si="302"/>
        <v>103387717.31999999</v>
      </c>
      <c r="I63" s="974">
        <f t="shared" si="302"/>
        <v>103771809.54000001</v>
      </c>
      <c r="J63" s="974">
        <f t="shared" si="302"/>
        <v>104143560.59</v>
      </c>
      <c r="K63" s="974">
        <f t="shared" si="302"/>
        <v>104407408.03</v>
      </c>
      <c r="L63" s="974">
        <f t="shared" si="302"/>
        <v>104562745.81</v>
      </c>
      <c r="M63" s="974">
        <f t="shared" si="302"/>
        <v>104562745.81</v>
      </c>
      <c r="N63" s="974">
        <f t="shared" si="302"/>
        <v>105175752.79000001</v>
      </c>
      <c r="O63" s="974">
        <f t="shared" si="302"/>
        <v>105175752.79000001</v>
      </c>
      <c r="P63" s="974">
        <f t="shared" si="302"/>
        <v>105786206.34</v>
      </c>
      <c r="Q63" s="974">
        <f t="shared" si="302"/>
        <v>108189135.06999999</v>
      </c>
      <c r="R63" s="974">
        <f t="shared" si="302"/>
        <v>108884795.19</v>
      </c>
      <c r="S63" s="116"/>
      <c r="T63" s="116">
        <f>SUM(T61:T62)</f>
        <v>104634741.78583334</v>
      </c>
      <c r="U63" s="106">
        <f>+R63</f>
        <v>108884795.19</v>
      </c>
      <c r="V63" s="1269">
        <f t="shared" ref="V63:AA63" ca="1" si="303">IF($R63-$F63=0,U63+$AH63/12,U63+((G63-F63)/($R63-$F63))*$AH63)</f>
        <v>110659682.96983431</v>
      </c>
      <c r="W63" s="1269">
        <f t="shared" ca="1" si="303"/>
        <v>114597340.88497336</v>
      </c>
      <c r="X63" s="1269">
        <f t="shared" ca="1" si="303"/>
        <v>115447365.52722219</v>
      </c>
      <c r="Y63" s="1269">
        <f t="shared" ca="1" si="303"/>
        <v>116270078.24262647</v>
      </c>
      <c r="Z63" s="1269">
        <f t="shared" ca="1" si="303"/>
        <v>116853992.24586834</v>
      </c>
      <c r="AA63" s="1269">
        <f t="shared" ca="1" si="303"/>
        <v>117197766.30323462</v>
      </c>
      <c r="AB63" s="1269">
        <f ca="1">IF($R63-$F63=0,AA63+$AH63/12,AA63+((M63-L63)/($R63-$F63))*$AH63)</f>
        <v>117197766.30323462</v>
      </c>
      <c r="AC63" s="1269">
        <f t="shared" ref="AC63" ca="1" si="304">IF($R63-$F63=0,AB63+$AH63/12,AB63+((N63-M63)/($R63-$F63))*$AH63)</f>
        <v>118554396.33044662</v>
      </c>
      <c r="AD63" s="1269">
        <f t="shared" ref="AD63" ca="1" si="305">IF($R63-$F63=0,AC63+$AH63/12,AC63+((O63-N63)/($R63-$F63))*$AH63)</f>
        <v>118554396.33044662</v>
      </c>
      <c r="AE63" s="1269">
        <f ca="1">IF($R63-$F63=0,AD63+$AH63/12,AD63+((P63-O63)/($R63-$F63))*$AH63)</f>
        <v>119905375.4272069</v>
      </c>
      <c r="AF63" s="1269">
        <f t="shared" ref="AF63" ca="1" si="306">IF($R63-$F63=0,AE63+$AH63/12,AE63+((Q63-P63)/($R63-$F63))*$AH63)</f>
        <v>125223235.37778749</v>
      </c>
      <c r="AG63" s="1269">
        <f t="shared" ref="AG63" ca="1" si="307">IF($R63-$F63=0,AF63+$AH63/12,AF63+((R63-Q63)/($R63-$F63))*$AH63)</f>
        <v>126762782.94953927</v>
      </c>
      <c r="AH63" s="106">
        <f ca="1">'101_106 PROJECTION'!N18</f>
        <v>17877987.759539299</v>
      </c>
      <c r="AI63" s="393">
        <f ca="1">+AG63-U63</f>
        <v>17877987.759539276</v>
      </c>
      <c r="AJ63" s="116">
        <f ca="1">SUM(AJ61:AJ62)</f>
        <v>117357098.75105427</v>
      </c>
      <c r="AK63" s="1039">
        <f ca="1">AG63</f>
        <v>126762782.94953927</v>
      </c>
      <c r="AL63" s="1041">
        <f ca="1">IF($R63-$F63=0,AK63+$AX63/12,AK63+((G63-F63)/($R63-$F63))*$AX63)</f>
        <v>127691924.44708471</v>
      </c>
      <c r="AM63" s="1041">
        <f t="shared" ref="AM63" ca="1" si="308">IF($R63-$F63=0,AL63+$AX63/12,AL63+((H63-G63)/($R63-$F63))*$AX63)</f>
        <v>129753261.17702462</v>
      </c>
      <c r="AN63" s="1041">
        <f t="shared" ref="AN63" ca="1" si="309">IF($R63-$F63=0,AM63+$AX63/12,AM63+((I63-H63)/($R63-$F63))*$AX63)</f>
        <v>130198243.20801438</v>
      </c>
      <c r="AO63" s="1041">
        <f t="shared" ref="AO63" ca="1" si="310">IF($R63-$F63=0,AN63+$AX63/12,AN63+((J63-I63)/($R63-$F63))*$AX63)</f>
        <v>130628927.6338837</v>
      </c>
      <c r="AP63" s="1041">
        <f t="shared" ref="AP63" ca="1" si="311">IF($R63-$F63=0,AO63+$AX63/12,AO63+((K63-J63)/($R63-$F63))*$AX63)</f>
        <v>130934602.58278698</v>
      </c>
      <c r="AQ63" s="1041">
        <f t="shared" ref="AQ63" ca="1" si="312">IF($R63-$F63=0,AP63+$AX63/12,AP63+((L63-K63)/($R63-$F63))*$AX63)</f>
        <v>131114565.92813627</v>
      </c>
      <c r="AR63" s="1041">
        <f t="shared" ref="AR63" ca="1" si="313">IF($R63-$F63=0,AQ63+$AX63/12,AQ63+((M63-L63)/($R63-$F63))*$AX63)</f>
        <v>131114565.92813627</v>
      </c>
      <c r="AS63" s="1041">
        <f t="shared" ref="AS63" ca="1" si="314">IF($R63-$F63=0,AR63+$AX63/12,AR63+((N63-M63)/($R63-$F63))*$AX63)</f>
        <v>131824752.38015892</v>
      </c>
      <c r="AT63" s="1041">
        <f t="shared" ref="AT63" ca="1" si="315">IF($R63-$F63=0,AS63+$AX63/12,AS63+((O63-N63)/($R63-$F63))*$AX63)</f>
        <v>131824752.38015892</v>
      </c>
      <c r="AU63" s="1041">
        <f t="shared" ref="AU63" ca="1" si="316">IF($R63-$F63=0,AT63+$AX63/12,AT63+((P63-O63)/($R63-$F63))*$AX63)</f>
        <v>132531980.60910848</v>
      </c>
      <c r="AV63" s="1041">
        <f t="shared" ref="AV63" ca="1" si="317">IF($R63-$F63=0,AU63+$AX63/12,AU63+((Q63-P63)/($R63-$F63))*$AX63)</f>
        <v>135315843.5746198</v>
      </c>
      <c r="AW63" s="1041">
        <f t="shared" ref="AW63" ca="1" si="318">IF($R63-$F63=0,AV63+$AX63/12,AV63+((R63-Q63)/($R63-$F63))*$AX63)</f>
        <v>136121786.09820485</v>
      </c>
      <c r="AX63" s="106">
        <f ca="1">'101_106 PROJECTION'!$T$18</f>
        <v>9359003.1486655902</v>
      </c>
      <c r="AY63" s="393">
        <f ca="1">+AW63-AK63</f>
        <v>9359003.1486655772</v>
      </c>
      <c r="AZ63" s="393"/>
      <c r="BA63" s="116">
        <f ca="1">SUM(BA61:BA62)</f>
        <v>131197975.36441541</v>
      </c>
    </row>
    <row r="64" spans="1:53">
      <c r="A64" s="250">
        <f t="shared" si="2"/>
        <v>49</v>
      </c>
      <c r="B64" s="208"/>
      <c r="C64" s="102"/>
      <c r="D64" s="102"/>
      <c r="E64" s="102"/>
      <c r="F64" s="990"/>
      <c r="G64" s="990"/>
      <c r="H64" s="990"/>
      <c r="I64" s="990"/>
      <c r="J64" s="990"/>
      <c r="K64" s="990"/>
      <c r="L64" s="990"/>
      <c r="M64" s="990"/>
      <c r="N64" s="990"/>
      <c r="O64" s="990"/>
      <c r="P64" s="990"/>
      <c r="Q64" s="990"/>
      <c r="R64" s="990"/>
      <c r="S64" s="30"/>
      <c r="U64" s="102">
        <f>+R64</f>
        <v>0</v>
      </c>
      <c r="AH64" s="106"/>
      <c r="AK64" s="102">
        <f>+AG64</f>
        <v>0</v>
      </c>
      <c r="AL64" s="1025"/>
      <c r="AX64" s="106"/>
    </row>
    <row r="65" spans="1:53">
      <c r="A65" s="250">
        <f t="shared" si="2"/>
        <v>50</v>
      </c>
      <c r="B65" s="208"/>
      <c r="C65" s="102" t="s">
        <v>251</v>
      </c>
      <c r="D65" s="102" t="s">
        <v>780</v>
      </c>
      <c r="E65" s="102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199"/>
      <c r="U65" s="102"/>
      <c r="AH65" s="102"/>
      <c r="AK65" s="102"/>
      <c r="AX65" s="102"/>
    </row>
    <row r="66" spans="1:53">
      <c r="A66" s="250">
        <f t="shared" si="2"/>
        <v>51</v>
      </c>
      <c r="B66" s="208"/>
      <c r="C66" s="102"/>
      <c r="D66" s="102"/>
      <c r="E66" s="102" t="s">
        <v>24</v>
      </c>
      <c r="F66" s="974">
        <f>'Rate Base'!S64</f>
        <v>18560613.77</v>
      </c>
      <c r="G66" s="974">
        <f>'Rate Base'!T64</f>
        <v>18615215.960000001</v>
      </c>
      <c r="H66" s="974">
        <f>'Rate Base'!U64</f>
        <v>18615281.229999997</v>
      </c>
      <c r="I66" s="974">
        <f>'Rate Base'!V64</f>
        <v>18704577.069999997</v>
      </c>
      <c r="J66" s="974">
        <f>'Rate Base'!W64</f>
        <v>18761099.129999999</v>
      </c>
      <c r="K66" s="974">
        <f>'Rate Base'!X64</f>
        <v>18761510.43</v>
      </c>
      <c r="L66" s="974">
        <f>'Rate Base'!Y64</f>
        <v>18814962.66</v>
      </c>
      <c r="M66" s="974">
        <f>'Rate Base'!Z64</f>
        <v>18975847.969999999</v>
      </c>
      <c r="N66" s="974">
        <f>'Rate Base'!AA64</f>
        <v>19365906.030000001</v>
      </c>
      <c r="O66" s="974">
        <f>'Rate Base'!AB64</f>
        <v>19365906.029999997</v>
      </c>
      <c r="P66" s="974">
        <f>'Rate Base'!AC64</f>
        <v>20048852.029999997</v>
      </c>
      <c r="Q66" s="974">
        <f>'Rate Base'!AD64</f>
        <v>20063771.109999999</v>
      </c>
      <c r="R66" s="974">
        <f>'Rate Base'!AE64</f>
        <v>20117572.069999997</v>
      </c>
      <c r="S66" s="116"/>
      <c r="T66" s="116">
        <f>((F66/2)+SUM(G66:Q66)+(R66/2))/12</f>
        <v>19119335.214166664</v>
      </c>
      <c r="U66" s="106">
        <f>+R66</f>
        <v>20117572.069999997</v>
      </c>
      <c r="V66" s="998">
        <f t="shared" ref="V66" ca="1" si="319">(U66/U68)*V68</f>
        <v>20189226.287349403</v>
      </c>
      <c r="W66" s="998">
        <f t="shared" ref="W66" ca="1" si="320">(V66/V68)*W68</f>
        <v>20189624.375404425</v>
      </c>
      <c r="X66" s="998">
        <f t="shared" ref="X66" ca="1" si="321">(W66/W68)*X68</f>
        <v>20298072.314076047</v>
      </c>
      <c r="Y66" s="998">
        <f t="shared" ref="Y66" ca="1" si="322">(X66/X68)*Y68</f>
        <v>20327786.175530098</v>
      </c>
      <c r="Z66" s="998">
        <f t="shared" ref="Z66" ca="1" si="323">(Y66/Y68)*Z68</f>
        <v>20339412.031509493</v>
      </c>
      <c r="AA66" s="998">
        <f t="shared" ref="AA66" ca="1" si="324">(Z66/Z68)*AA68</f>
        <v>20361280.843884438</v>
      </c>
      <c r="AB66" s="998">
        <f t="shared" ref="AB66" ca="1" si="325">(AA66/AA68)*AB68</f>
        <v>20383835.207276631</v>
      </c>
      <c r="AC66" s="998">
        <f t="shared" ref="AC66" ca="1" si="326">(AB66/AB68)*AC68</f>
        <v>20417728.82194877</v>
      </c>
      <c r="AD66" s="998">
        <f t="shared" ref="AD66" ca="1" si="327">(AC66/AC68)*AD68</f>
        <v>20417728.82194877</v>
      </c>
      <c r="AE66" s="998">
        <f t="shared" ref="AE66" ca="1" si="328">(AD66/AD68)*AE68</f>
        <v>20471069.271069936</v>
      </c>
      <c r="AF66" s="998">
        <f t="shared" ref="AF66" ca="1" si="329">(AE66/AE68)*AF68</f>
        <v>20500311.936102554</v>
      </c>
      <c r="AG66" s="998">
        <f t="shared" ref="AG66" ca="1" si="330">(AF66/AF68)*AG68</f>
        <v>20560718.011990003</v>
      </c>
      <c r="AH66" s="106"/>
      <c r="AI66" s="133"/>
      <c r="AJ66" s="116">
        <f ca="1">((U66/2)+SUM(V66:AF66)+(AG66/2))/12</f>
        <v>20352935.09392463</v>
      </c>
      <c r="AK66" s="106">
        <f ca="1">AG66</f>
        <v>20560718.011990003</v>
      </c>
      <c r="AL66" s="1016">
        <f ca="1">(AK66/AK68)*AL68</f>
        <v>20669381.097542387</v>
      </c>
      <c r="AM66" s="1016">
        <f t="shared" ref="AM66:AW66" ca="1" si="331">(AL66/AL68)*AM68</f>
        <v>20669984.795105215</v>
      </c>
      <c r="AN66" s="1016">
        <f t="shared" ca="1" si="331"/>
        <v>20834445.284295838</v>
      </c>
      <c r="AO66" s="1016">
        <f t="shared" ca="1" si="331"/>
        <v>20879506.133310892</v>
      </c>
      <c r="AP66" s="1016">
        <f t="shared" ca="1" si="331"/>
        <v>20897136.657090791</v>
      </c>
      <c r="AQ66" s="1016">
        <f t="shared" ca="1" si="331"/>
        <v>20930300.547758106</v>
      </c>
      <c r="AR66" s="1016">
        <f t="shared" ca="1" si="331"/>
        <v>20964504.071423918</v>
      </c>
      <c r="AS66" s="1016">
        <f t="shared" ca="1" si="331"/>
        <v>21015903.484983057</v>
      </c>
      <c r="AT66" s="1016">
        <f t="shared" ca="1" si="331"/>
        <v>21015903.484983057</v>
      </c>
      <c r="AU66" s="1016">
        <f t="shared" ca="1" si="331"/>
        <v>21096793.877770297</v>
      </c>
      <c r="AV66" s="1016">
        <f t="shared" ca="1" si="331"/>
        <v>21141140.160930768</v>
      </c>
      <c r="AW66" s="1016">
        <f t="shared" ca="1" si="331"/>
        <v>21232745.523948468</v>
      </c>
      <c r="AX66" s="106"/>
      <c r="AY66" s="133"/>
      <c r="AZ66" s="133"/>
      <c r="BA66" s="116">
        <f ca="1">((AK66/2)+SUM(AL66:AV66)+(AW66/2))/12</f>
        <v>20917644.280263633</v>
      </c>
    </row>
    <row r="67" spans="1:53">
      <c r="A67" s="250">
        <f t="shared" si="2"/>
        <v>52</v>
      </c>
      <c r="B67" s="208"/>
      <c r="C67" s="102"/>
      <c r="D67" s="102"/>
      <c r="E67" s="102" t="s">
        <v>14</v>
      </c>
      <c r="F67" s="985">
        <f>'Rate Base'!S65</f>
        <v>372177276.20000005</v>
      </c>
      <c r="G67" s="985">
        <f>'Rate Base'!T65</f>
        <v>375791949.81</v>
      </c>
      <c r="H67" s="985">
        <f>'Rate Base'!U65</f>
        <v>375812269.87</v>
      </c>
      <c r="I67" s="985">
        <f>'Rate Base'!V65</f>
        <v>381276386.12</v>
      </c>
      <c r="J67" s="985">
        <f>'Rate Base'!W65</f>
        <v>382741454.23000002</v>
      </c>
      <c r="K67" s="985">
        <f>'Rate Base'!X65</f>
        <v>383336380.83999997</v>
      </c>
      <c r="L67" s="985">
        <f>'Rate Base'!Y65</f>
        <v>384402788.77999997</v>
      </c>
      <c r="M67" s="985">
        <f>'Rate Base'!Z65</f>
        <v>385396869.39999998</v>
      </c>
      <c r="N67" s="985">
        <f>'Rate Base'!AA65</f>
        <v>386742438.70000005</v>
      </c>
      <c r="O67" s="985">
        <f>'Rate Base'!AB65</f>
        <v>386742438.70000005</v>
      </c>
      <c r="P67" s="985">
        <f>'Rate Base'!AC65</f>
        <v>388790955.36000001</v>
      </c>
      <c r="Q67" s="985">
        <f>'Rate Base'!AD65</f>
        <v>390273497.38</v>
      </c>
      <c r="R67" s="985">
        <f>'Rate Base'!AE65</f>
        <v>393312976.35000002</v>
      </c>
      <c r="S67" s="116"/>
      <c r="T67" s="256">
        <f>((F67/2)+SUM(G67:Q67)+(R67/2))/12</f>
        <v>383671046.28874999</v>
      </c>
      <c r="U67" s="396">
        <f>+R67</f>
        <v>393312976.35000002</v>
      </c>
      <c r="V67" s="998">
        <f t="shared" ref="V67" ca="1" si="332">(U67/U68)*V68</f>
        <v>394713867.73965985</v>
      </c>
      <c r="W67" s="998">
        <f t="shared" ref="W67" ca="1" si="333">(V67/V68)*W68</f>
        <v>394721650.64692247</v>
      </c>
      <c r="X67" s="998">
        <f t="shared" ref="X67" ca="1" si="334">(W67/W68)*X68</f>
        <v>396841885.70260125</v>
      </c>
      <c r="Y67" s="998">
        <f t="shared" ref="Y67" ca="1" si="335">(X67/X68)*Y68</f>
        <v>397422813.02557439</v>
      </c>
      <c r="Z67" s="998">
        <f t="shared" ref="Z67" ca="1" si="336">(Y67/Y68)*Z68</f>
        <v>397650106.85615999</v>
      </c>
      <c r="AA67" s="998">
        <f t="shared" ref="AA67" ca="1" si="337">(Z67/Z68)*AA68</f>
        <v>398077657.83768499</v>
      </c>
      <c r="AB67" s="998">
        <f t="shared" ref="AB67" ca="1" si="338">(AA67/AA68)*AB68</f>
        <v>398518611.83375353</v>
      </c>
      <c r="AC67" s="998">
        <f t="shared" ref="AC67" ca="1" si="339">(AB67/AB68)*AC68</f>
        <v>399181256.33278024</v>
      </c>
      <c r="AD67" s="998">
        <f t="shared" ref="AD67" ca="1" si="340">(AC67/AC68)*AD68</f>
        <v>399181256.33278024</v>
      </c>
      <c r="AE67" s="998">
        <f t="shared" ref="AE67" ca="1" si="341">(AD67/AD68)*AE68</f>
        <v>400224100.40614522</v>
      </c>
      <c r="AF67" s="998">
        <f t="shared" ref="AF67" ca="1" si="342">(AE67/AE68)*AF68</f>
        <v>400795815.50080794</v>
      </c>
      <c r="AG67" s="998">
        <f t="shared" ref="AG67" ca="1" si="343">(AF67/AF68)*AG68</f>
        <v>401976797.64985889</v>
      </c>
      <c r="AH67" s="396"/>
      <c r="AI67" s="395"/>
      <c r="AJ67" s="256">
        <f ca="1">((U67/2)+SUM(V67:AF67)+(AG67/2))/12</f>
        <v>397914492.43456668</v>
      </c>
      <c r="AK67" s="106">
        <f ca="1">AG67</f>
        <v>401976797.64985889</v>
      </c>
      <c r="AL67" s="1016">
        <f ca="1">(AK67/AK68)*AL68</f>
        <v>404101238.98151028</v>
      </c>
      <c r="AM67" s="1016">
        <f t="shared" ref="AM67" ca="1" si="344">(AL67/AL68)*AM68</f>
        <v>404113041.70225739</v>
      </c>
      <c r="AN67" s="1016">
        <f t="shared" ref="AN67" ca="1" si="345">(AM67/AM68)*AN68</f>
        <v>407328362.33192724</v>
      </c>
      <c r="AO67" s="1016">
        <f t="shared" ref="AO67" ca="1" si="346">(AN67/AN68)*AO68</f>
        <v>408209334.27930236</v>
      </c>
      <c r="AP67" s="1016">
        <f t="shared" ref="AP67" ca="1" si="347">(AO67/AO68)*AP68</f>
        <v>408554023.67613178</v>
      </c>
      <c r="AQ67" s="1016">
        <f t="shared" ref="AQ67" ca="1" si="348">(AP67/AP68)*AQ68</f>
        <v>409202401.54699618</v>
      </c>
      <c r="AR67" s="1016">
        <f t="shared" ref="AR67" ca="1" si="349">(AQ67/AQ68)*AR68</f>
        <v>409871104.9893325</v>
      </c>
      <c r="AS67" s="1016">
        <f t="shared" ref="AS67" ca="1" si="350">(AR67/AR68)*AS68</f>
        <v>410876000.42399263</v>
      </c>
      <c r="AT67" s="1016">
        <f t="shared" ref="AT67" ca="1" si="351">(AS67/AS68)*AT68</f>
        <v>410876000.42399263</v>
      </c>
      <c r="AU67" s="1016">
        <f t="shared" ref="AU67" ca="1" si="352">(AT67/AT68)*AU68</f>
        <v>412457465.67410171</v>
      </c>
      <c r="AV67" s="1016">
        <f t="shared" ref="AV67" ca="1" si="353">(AU67/AU68)*AV68</f>
        <v>413324467.34603381</v>
      </c>
      <c r="AW67" s="1016">
        <f t="shared" ref="AW67" ca="1" si="354">(AV67/AV68)*AW68</f>
        <v>415115417.95641303</v>
      </c>
      <c r="AX67" s="396"/>
      <c r="AY67" s="395"/>
      <c r="AZ67" s="395"/>
      <c r="BA67" s="256">
        <f ca="1">((AK67/2)+SUM(AL67:AV67)+(AW67/2))/12</f>
        <v>408954962.43155956</v>
      </c>
    </row>
    <row r="68" spans="1:53">
      <c r="A68" s="250">
        <f t="shared" si="2"/>
        <v>53</v>
      </c>
      <c r="B68" s="208"/>
      <c r="C68" s="102"/>
      <c r="D68" s="102"/>
      <c r="E68" s="102" t="s">
        <v>170</v>
      </c>
      <c r="F68" s="974">
        <f t="shared" ref="F68:R68" si="355">SUM(F66:F67)</f>
        <v>390737889.97000003</v>
      </c>
      <c r="G68" s="974">
        <f t="shared" si="355"/>
        <v>394407165.76999998</v>
      </c>
      <c r="H68" s="974">
        <f t="shared" si="355"/>
        <v>394427551.10000002</v>
      </c>
      <c r="I68" s="974">
        <f t="shared" si="355"/>
        <v>399980963.19</v>
      </c>
      <c r="J68" s="974">
        <f t="shared" si="355"/>
        <v>401502553.36000001</v>
      </c>
      <c r="K68" s="974">
        <f t="shared" si="355"/>
        <v>402097891.26999998</v>
      </c>
      <c r="L68" s="974">
        <f t="shared" si="355"/>
        <v>403217751.44</v>
      </c>
      <c r="M68" s="974">
        <f t="shared" si="355"/>
        <v>404372717.37</v>
      </c>
      <c r="N68" s="974">
        <f t="shared" si="355"/>
        <v>406108344.73000002</v>
      </c>
      <c r="O68" s="974">
        <f t="shared" si="355"/>
        <v>406108344.73000002</v>
      </c>
      <c r="P68" s="974">
        <f t="shared" si="355"/>
        <v>408839807.38999999</v>
      </c>
      <c r="Q68" s="974">
        <f t="shared" si="355"/>
        <v>410337268.49000001</v>
      </c>
      <c r="R68" s="974">
        <f t="shared" si="355"/>
        <v>413430548.42000002</v>
      </c>
      <c r="S68" s="116"/>
      <c r="T68" s="116">
        <f>SUM(T66:T67)</f>
        <v>402790381.50291663</v>
      </c>
      <c r="U68" s="106">
        <f>+R68</f>
        <v>413430548.42000002</v>
      </c>
      <c r="V68" s="1269">
        <f t="shared" ref="V68:AA68" ca="1" si="356">IF($R68-$F68=0,U68+$AH68/12,U68+((G68-F68)/($R68-$F68))*$AH68)</f>
        <v>414903094.02700925</v>
      </c>
      <c r="W68" s="1269">
        <f t="shared" ca="1" si="356"/>
        <v>414911275.02232689</v>
      </c>
      <c r="X68" s="1269">
        <f t="shared" ca="1" si="356"/>
        <v>417139958.01667732</v>
      </c>
      <c r="Y68" s="1269">
        <f t="shared" ca="1" si="356"/>
        <v>417750599.20110452</v>
      </c>
      <c r="Z68" s="1269">
        <f t="shared" ca="1" si="356"/>
        <v>417989518.8876695</v>
      </c>
      <c r="AA68" s="1269">
        <f t="shared" ca="1" si="356"/>
        <v>418438938.68156946</v>
      </c>
      <c r="AB68" s="1269">
        <f ca="1">IF($R68-$F68=0,AA68+$AH68/12,AA68+((M68-L68)/($R68-$F68))*$AH68)</f>
        <v>418902447.04103017</v>
      </c>
      <c r="AC68" s="1269">
        <f t="shared" ref="AC68" ca="1" si="357">IF($R68-$F68=0,AB68+$AH68/12,AB68+((N68-M68)/($R68-$F68))*$AH68)</f>
        <v>419598985.15472907</v>
      </c>
      <c r="AD68" s="1269">
        <f t="shared" ref="AD68" ca="1" si="358">IF($R68-$F68=0,AC68+$AH68/12,AC68+((O68-N68)/($R68-$F68))*$AH68)</f>
        <v>419598985.15472907</v>
      </c>
      <c r="AE68" s="1269">
        <f t="shared" ref="AE68" ca="1" si="359">IF($R68-$F68=0,AD68+$AH68/12,AD68+((P68-O68)/($R68-$F68))*$AH68)</f>
        <v>420695169.67721516</v>
      </c>
      <c r="AF68" s="1269">
        <f t="shared" ref="AF68" ca="1" si="360">IF($R68-$F68=0,AE68+$AH68/12,AE68+((Q68-P68)/($R68-$F68))*$AH68)</f>
        <v>421296127.43691051</v>
      </c>
      <c r="AG68" s="1269">
        <f t="shared" ref="AG68" ca="1" si="361">IF($R68-$F68=0,AF68+$AH68/12,AF68+((R68-Q68)/($R68-$F68))*$AH68)</f>
        <v>422537515.6618489</v>
      </c>
      <c r="AH68" s="106">
        <f ca="1">'101_106 PROJECTION'!N19</f>
        <v>9106967.2418489102</v>
      </c>
      <c r="AI68" s="393">
        <f ca="1">+AG68-U68</f>
        <v>9106967.241848886</v>
      </c>
      <c r="AJ68" s="116">
        <f ca="1">SUM(AJ66:AJ67)</f>
        <v>418267427.52849132</v>
      </c>
      <c r="AK68" s="1039">
        <f ca="1">AG68</f>
        <v>422537515.6618489</v>
      </c>
      <c r="AL68" s="1041">
        <f ca="1">IF($R68-$F68=0,AK68+$AX68/12,AK68+((G68-F68)/($R68-$F68))*$AX68)</f>
        <v>424770620.07905263</v>
      </c>
      <c r="AM68" s="1041">
        <f t="shared" ref="AM68" ca="1" si="362">IF($R68-$F68=0,AL68+$AX68/12,AL68+((H68-G68)/($R68-$F68))*$AX68)</f>
        <v>424783026.49736255</v>
      </c>
      <c r="AN68" s="1041">
        <f t="shared" ref="AN68" ca="1" si="363">IF($R68-$F68=0,AM68+$AX68/12,AM68+((I68-H68)/($R68-$F68))*$AX68)</f>
        <v>428162807.61622304</v>
      </c>
      <c r="AO68" s="1041">
        <f t="shared" ref="AO68" ca="1" si="364">IF($R68-$F68=0,AN68+$AX68/12,AN68+((J68-I68)/($R68-$F68))*$AX68)</f>
        <v>429088840.41261321</v>
      </c>
      <c r="AP68" s="1041">
        <f t="shared" ref="AP68" ca="1" si="365">IF($R68-$F68=0,AO68+$AX68/12,AO68+((K68-J68)/($R68-$F68))*$AX68)</f>
        <v>429451160.33322257</v>
      </c>
      <c r="AQ68" s="1041">
        <f t="shared" ref="AQ68" ca="1" si="366">IF($R68-$F68=0,AP68+$AX68/12,AP68+((L68-K68)/($R68-$F68))*$AX68)</f>
        <v>430132702.09475428</v>
      </c>
      <c r="AR68" s="1041">
        <f t="shared" ref="AR68" ca="1" si="367">IF($R68-$F68=0,AQ68+$AX68/12,AQ68+((M68-L68)/($R68-$F68))*$AX68)</f>
        <v>430835609.06075639</v>
      </c>
      <c r="AS68" s="1041">
        <f t="shared" ref="AS68" ca="1" si="368">IF($R68-$F68=0,AR68+$AX68/12,AR68+((N68-M68)/($R68-$F68))*$AX68)</f>
        <v>431891903.90897566</v>
      </c>
      <c r="AT68" s="1041">
        <f t="shared" ref="AT68" ca="1" si="369">IF($R68-$F68=0,AS68+$AX68/12,AS68+((O68-N68)/($R68-$F68))*$AX68)</f>
        <v>431891903.90897566</v>
      </c>
      <c r="AU68" s="1041">
        <f t="shared" ref="AU68" ca="1" si="370">IF($R68-$F68=0,AT68+$AX68/12,AT68+((P68-O68)/($R68-$F68))*$AX68)</f>
        <v>433554259.55187201</v>
      </c>
      <c r="AV68" s="1041">
        <f t="shared" ref="AV68" ca="1" si="371">IF($R68-$F68=0,AU68+$AX68/12,AU68+((Q68-P68)/($R68-$F68))*$AX68)</f>
        <v>434465607.50696462</v>
      </c>
      <c r="AW68" s="1041">
        <f t="shared" ref="AW68" ca="1" si="372">IF($R68-$F68=0,AV68+$AX68/12,AV68+((R68-Q68)/($R68-$F68))*$AX68)</f>
        <v>436348163.48036152</v>
      </c>
      <c r="AX68" s="106">
        <f ca="1">'101_106 PROJECTION'!$T$19</f>
        <v>13810647.81851266</v>
      </c>
      <c r="AY68" s="393">
        <f ca="1">+AW68-AK68</f>
        <v>13810647.818512619</v>
      </c>
      <c r="AZ68" s="393"/>
      <c r="BA68" s="116">
        <f ca="1">SUM(BA66:BA67)</f>
        <v>429872606.71182323</v>
      </c>
    </row>
    <row r="69" spans="1:53">
      <c r="A69" s="250">
        <f t="shared" si="2"/>
        <v>54</v>
      </c>
      <c r="B69" s="208"/>
      <c r="C69" s="102"/>
      <c r="D69" s="102"/>
      <c r="E69" s="102"/>
      <c r="U69" s="102">
        <f>+R69</f>
        <v>0</v>
      </c>
      <c r="AH69" s="106"/>
      <c r="AK69" s="106">
        <f>AG69</f>
        <v>0</v>
      </c>
      <c r="AL69" s="1025"/>
      <c r="AW69" s="1016"/>
      <c r="AX69" s="106"/>
    </row>
    <row r="70" spans="1:53">
      <c r="A70" s="250">
        <f t="shared" si="2"/>
        <v>55</v>
      </c>
      <c r="B70" s="208"/>
      <c r="C70" s="102" t="s">
        <v>252</v>
      </c>
      <c r="D70" s="102" t="s">
        <v>253</v>
      </c>
      <c r="E70" s="102"/>
      <c r="F70" s="974"/>
      <c r="G70" s="974"/>
      <c r="U70" s="102"/>
      <c r="AH70" s="102"/>
      <c r="AK70" s="102"/>
      <c r="AX70" s="102"/>
    </row>
    <row r="71" spans="1:53">
      <c r="A71" s="250">
        <f t="shared" si="2"/>
        <v>56</v>
      </c>
      <c r="B71" s="208"/>
      <c r="C71" s="102"/>
      <c r="D71" s="102"/>
      <c r="E71" s="102" t="s">
        <v>24</v>
      </c>
      <c r="F71" s="974">
        <f>'Rate Base'!S69</f>
        <v>9680436.6140000001</v>
      </c>
      <c r="G71" s="974">
        <f>'Rate Base'!T69</f>
        <v>9728463.6699999999</v>
      </c>
      <c r="H71" s="974">
        <f>'Rate Base'!U69</f>
        <v>9742610.5539999995</v>
      </c>
      <c r="I71" s="974">
        <f>'Rate Base'!V69</f>
        <v>9790277.074000001</v>
      </c>
      <c r="J71" s="974">
        <f>'Rate Base'!W69</f>
        <v>9815017.6140000001</v>
      </c>
      <c r="K71" s="974">
        <f>'Rate Base'!X69</f>
        <v>9826048.4539999999</v>
      </c>
      <c r="L71" s="974">
        <f>'Rate Base'!Y69</f>
        <v>9804010.2139999997</v>
      </c>
      <c r="M71" s="974">
        <f>'Rate Base'!Z69</f>
        <v>9190454.1940000001</v>
      </c>
      <c r="N71" s="974">
        <f>'Rate Base'!AA69</f>
        <v>10744765.4</v>
      </c>
      <c r="O71" s="974">
        <f>'Rate Base'!AB69</f>
        <v>10737602.813999999</v>
      </c>
      <c r="P71" s="974">
        <f>'Rate Base'!AC69</f>
        <v>10421673.044</v>
      </c>
      <c r="Q71" s="974">
        <f>'Rate Base'!AD69</f>
        <v>10438278.604</v>
      </c>
      <c r="R71" s="974">
        <f>'Rate Base'!AE69</f>
        <v>10480480.653999999</v>
      </c>
      <c r="S71" s="116"/>
      <c r="T71" s="116">
        <f>((F71/2)+SUM(G71:Q71)+(R71/2))/12</f>
        <v>10026638.355833335</v>
      </c>
      <c r="U71" s="106">
        <f>+R71</f>
        <v>10480480.653999999</v>
      </c>
      <c r="V71" s="998">
        <f t="shared" ref="V71" ca="1" si="373">(U71/U73)*V73</f>
        <v>10599210.055685384</v>
      </c>
      <c r="W71" s="998">
        <f t="shared" ref="W71" ca="1" si="374">(V71/V73)*W73</f>
        <v>10664590.438275822</v>
      </c>
      <c r="X71" s="998">
        <f t="shared" ref="X71" ca="1" si="375">(W71/W73)*X73</f>
        <v>10728053.146827698</v>
      </c>
      <c r="Y71" s="998">
        <f t="shared" ref="Y71" ca="1" si="376">(X71/X73)*Y73</f>
        <v>10784830.157920782</v>
      </c>
      <c r="Z71" s="998">
        <f t="shared" ref="Z71" ca="1" si="377">(Y71/Y73)*Z73</f>
        <v>10922935.734615192</v>
      </c>
      <c r="AA71" s="998">
        <f t="shared" ref="AA71" ca="1" si="378">(Z71/Z73)*AA73</f>
        <v>10958285.209401581</v>
      </c>
      <c r="AB71" s="998">
        <f t="shared" ref="AB71" ca="1" si="379">(AA71/AA73)*AB73</f>
        <v>11089306.508242287</v>
      </c>
      <c r="AC71" s="998">
        <f t="shared" ref="AC71" ca="1" si="380">(AB71/AB73)*AC73</f>
        <v>11192325.4839184</v>
      </c>
      <c r="AD71" s="998">
        <f t="shared" ref="AD71" ca="1" si="381">(AC71/AC73)*AD73</f>
        <v>11186134.640932932</v>
      </c>
      <c r="AE71" s="998">
        <f t="shared" ref="AE71" ca="1" si="382">(AD71/AD73)*AE73</f>
        <v>11297978.858995155</v>
      </c>
      <c r="AF71" s="998">
        <f t="shared" ref="AF71" ca="1" si="383">(AE71/AE73)*AF73</f>
        <v>11406315.754239729</v>
      </c>
      <c r="AG71" s="998">
        <f t="shared" ref="AG71" ca="1" si="384">(AF71/AF73)*AG73</f>
        <v>11598300.827468775</v>
      </c>
      <c r="AH71" s="106"/>
      <c r="AI71" s="133"/>
      <c r="AJ71" s="116">
        <f ca="1">((U71/2)+SUM(V71:AF71)+(AG71/2))/12</f>
        <v>10989113.060815779</v>
      </c>
      <c r="AK71" s="106">
        <f ca="1">AG71</f>
        <v>11598300.827468775</v>
      </c>
      <c r="AL71" s="1016">
        <f ca="1">(AK71/AK73)*AL73</f>
        <v>11673277.816071352</v>
      </c>
      <c r="AM71" s="1016">
        <f t="shared" ref="AM71:AW71" ca="1" si="385">(AL71/AL73)*AM73</f>
        <v>11714565.181548901</v>
      </c>
      <c r="AN71" s="1016">
        <f t="shared" ca="1" si="385"/>
        <v>11754641.546023399</v>
      </c>
      <c r="AO71" s="1016">
        <f t="shared" ca="1" si="385"/>
        <v>11790495.927947218</v>
      </c>
      <c r="AP71" s="1016">
        <f t="shared" ca="1" si="385"/>
        <v>11877708.868489169</v>
      </c>
      <c r="AQ71" s="1016">
        <f t="shared" ca="1" si="385"/>
        <v>11900031.874674184</v>
      </c>
      <c r="AR71" s="1016">
        <f t="shared" ca="1" si="385"/>
        <v>11982771.131256184</v>
      </c>
      <c r="AS71" s="1016">
        <f t="shared" ca="1" si="385"/>
        <v>12047827.069005996</v>
      </c>
      <c r="AT71" s="1016">
        <f t="shared" ca="1" si="385"/>
        <v>12043917.584435428</v>
      </c>
      <c r="AU71" s="1016">
        <f t="shared" ca="1" si="385"/>
        <v>12114546.616030617</v>
      </c>
      <c r="AV71" s="1016">
        <f t="shared" ca="1" si="385"/>
        <v>12182960.791834474</v>
      </c>
      <c r="AW71" s="1016">
        <f t="shared" ca="1" si="385"/>
        <v>12304198.349196227</v>
      </c>
      <c r="AX71" s="106"/>
      <c r="AY71" s="133"/>
      <c r="AZ71" s="133"/>
      <c r="BA71" s="116">
        <f ca="1">((AK71/2)+SUM(AL71:AV71)+(AW71/2))/12</f>
        <v>11919499.499637453</v>
      </c>
    </row>
    <row r="72" spans="1:53">
      <c r="A72" s="250">
        <f t="shared" si="2"/>
        <v>57</v>
      </c>
      <c r="B72" s="208"/>
      <c r="C72" s="102"/>
      <c r="D72" s="102"/>
      <c r="E72" s="102" t="s">
        <v>14</v>
      </c>
      <c r="F72" s="985">
        <f>'Rate Base'!S70</f>
        <v>302623091.46600002</v>
      </c>
      <c r="G72" s="985">
        <f>'Rate Base'!T70</f>
        <v>305777058.38</v>
      </c>
      <c r="H72" s="985">
        <f>'Rate Base'!U70</f>
        <v>307526144.426</v>
      </c>
      <c r="I72" s="985">
        <f>'Rate Base'!V70</f>
        <v>309189993.39600003</v>
      </c>
      <c r="J72" s="985">
        <f>'Rate Base'!W70</f>
        <v>310696462.85599995</v>
      </c>
      <c r="K72" s="985">
        <f>'Rate Base'!X70</f>
        <v>314409978.90600002</v>
      </c>
      <c r="L72" s="985">
        <f>'Rate Base'!Y70</f>
        <v>315385351.39600003</v>
      </c>
      <c r="M72" s="985">
        <f>'Rate Base'!Z70</f>
        <v>319532399.56599998</v>
      </c>
      <c r="N72" s="985">
        <f>'Rate Base'!AA70</f>
        <v>320756390.40000004</v>
      </c>
      <c r="O72" s="985">
        <f>'Rate Base'!AB70</f>
        <v>320596593.14600003</v>
      </c>
      <c r="P72" s="985">
        <f>'Rate Base'!AC70</f>
        <v>323928831.48599994</v>
      </c>
      <c r="Q72" s="985">
        <f>'Rate Base'!AD70</f>
        <v>326833946.07600003</v>
      </c>
      <c r="R72" s="985">
        <f>'Rate Base'!AE70</f>
        <v>331969358.31600004</v>
      </c>
      <c r="S72" s="116"/>
      <c r="T72" s="256">
        <f>((F72/2)+SUM(G72:Q72)+(R72/2))/12</f>
        <v>315994114.57708335</v>
      </c>
      <c r="U72" s="396">
        <f>+R72</f>
        <v>331969358.31600004</v>
      </c>
      <c r="V72" s="998">
        <f t="shared" ref="V72" ca="1" si="386">(U72/U73)*V73</f>
        <v>335730113.6278947</v>
      </c>
      <c r="W72" s="998">
        <f t="shared" ref="W72" ca="1" si="387">(V72/V73)*W73</f>
        <v>337801038.07988715</v>
      </c>
      <c r="X72" s="998">
        <f t="shared" ref="X72" ca="1" si="388">(W72/W73)*X73</f>
        <v>339811220.18226248</v>
      </c>
      <c r="Y72" s="998">
        <f t="shared" ref="Y72" ca="1" si="389">(X72/X73)*Y73</f>
        <v>341609632.73240423</v>
      </c>
      <c r="Z72" s="998">
        <f t="shared" ref="Z72" ca="1" si="390">(Y72/Y73)*Z73</f>
        <v>345984128.6347087</v>
      </c>
      <c r="AA72" s="998">
        <f t="shared" ref="AA72" ca="1" si="391">(Z72/Z73)*AA73</f>
        <v>347103823.6991871</v>
      </c>
      <c r="AB72" s="998">
        <f t="shared" ref="AB72" ca="1" si="392">(AA72/AA73)*AB73</f>
        <v>351253925.01016825</v>
      </c>
      <c r="AC72" s="998">
        <f t="shared" ref="AC72" ca="1" si="393">(AB72/AB73)*AC73</f>
        <v>354517052.37794966</v>
      </c>
      <c r="AD72" s="998">
        <f t="shared" ref="AD72" ca="1" si="394">(AC72/AC73)*AD73</f>
        <v>354320957.34746683</v>
      </c>
      <c r="AE72" s="998">
        <f t="shared" ref="AE72" ca="1" si="395">(AD72/AD73)*AE73</f>
        <v>357863624.38032854</v>
      </c>
      <c r="AF72" s="998">
        <f t="shared" ref="AF72" ca="1" si="396">(AE72/AE73)*AF73</f>
        <v>361295196.91823137</v>
      </c>
      <c r="AG72" s="998">
        <f t="shared" ref="AG72" ca="1" si="397">(AF72/AF73)*AG73</f>
        <v>367376326.56010252</v>
      </c>
      <c r="AH72" s="396"/>
      <c r="AI72" s="395"/>
      <c r="AJ72" s="256">
        <f ca="1">((U72/2)+SUM(V72:AF72)+(AG72/2))/12</f>
        <v>348080296.28571171</v>
      </c>
      <c r="AK72" s="106">
        <f ca="1">AG72</f>
        <v>367376326.56010252</v>
      </c>
      <c r="AL72" s="1016">
        <f ca="1">(AK72/AK73)*AL73</f>
        <v>369751223.62986273</v>
      </c>
      <c r="AM72" s="1016">
        <f t="shared" ref="AM72" ca="1" si="398">(AL72/AL73)*AM73</f>
        <v>371059001.45767725</v>
      </c>
      <c r="AN72" s="1016">
        <f t="shared" ref="AN72" ca="1" si="399">(AM72/AM73)*AN73</f>
        <v>372328420.81328273</v>
      </c>
      <c r="AO72" s="1016">
        <f t="shared" ref="AO72" ca="1" si="400">(AN72/AN73)*AO73</f>
        <v>373464108.81777555</v>
      </c>
      <c r="AP72" s="1016">
        <f t="shared" ref="AP72" ca="1" si="401">(AO72/AO73)*AP73</f>
        <v>376226579.82119399</v>
      </c>
      <c r="AQ72" s="1016">
        <f t="shared" ref="AQ72" ca="1" si="402">(AP72/AP73)*AQ73</f>
        <v>376933661.3266682</v>
      </c>
      <c r="AR72" s="1016">
        <f t="shared" ref="AR72" ca="1" si="403">(AQ72/AQ73)*AR73</f>
        <v>379554428.33362657</v>
      </c>
      <c r="AS72" s="1016">
        <f t="shared" ref="AS72" ca="1" si="404">(AR72/AR73)*AS73</f>
        <v>381615075.99115634</v>
      </c>
      <c r="AT72" s="1016">
        <f t="shared" ref="AT72" ca="1" si="405">(AS72/AS73)*AT73</f>
        <v>381491243.01754719</v>
      </c>
      <c r="AU72" s="1016">
        <f t="shared" ref="AU72" ca="1" si="406">(AT72/AT73)*AU73</f>
        <v>383728418.49367261</v>
      </c>
      <c r="AV72" s="1016">
        <f t="shared" ref="AV72" ca="1" si="407">(AU72/AU73)*AV73</f>
        <v>385895438.38437355</v>
      </c>
      <c r="AW72" s="1016">
        <f t="shared" ref="AW72" ca="1" si="408">(AV72/AV73)*AW73</f>
        <v>389735639.55929005</v>
      </c>
      <c r="AX72" s="396"/>
      <c r="AY72" s="395"/>
      <c r="AZ72" s="395"/>
      <c r="BA72" s="256">
        <f ca="1">((AK72/2)+SUM(AL72:AV72)+(AW72/2))/12</f>
        <v>377550298.5955444</v>
      </c>
    </row>
    <row r="73" spans="1:53">
      <c r="A73" s="250">
        <f t="shared" si="2"/>
        <v>58</v>
      </c>
      <c r="B73" s="208"/>
      <c r="C73" s="102"/>
      <c r="D73" s="102"/>
      <c r="E73" s="102" t="s">
        <v>170</v>
      </c>
      <c r="F73" s="974">
        <f t="shared" ref="F73:R73" si="409">SUM(F71:F72)</f>
        <v>312303528.08000004</v>
      </c>
      <c r="G73" s="974">
        <f t="shared" si="409"/>
        <v>315505522.05000001</v>
      </c>
      <c r="H73" s="974">
        <f t="shared" si="409"/>
        <v>317268754.98000002</v>
      </c>
      <c r="I73" s="974">
        <f t="shared" si="409"/>
        <v>318980270.47000003</v>
      </c>
      <c r="J73" s="974">
        <f t="shared" si="409"/>
        <v>320511480.46999997</v>
      </c>
      <c r="K73" s="974">
        <f t="shared" si="409"/>
        <v>324236027.36000001</v>
      </c>
      <c r="L73" s="974">
        <f t="shared" si="409"/>
        <v>325189361.61000001</v>
      </c>
      <c r="M73" s="974">
        <f t="shared" si="409"/>
        <v>328722853.75999999</v>
      </c>
      <c r="N73" s="974">
        <f t="shared" si="409"/>
        <v>331501155.80000001</v>
      </c>
      <c r="O73" s="974">
        <f t="shared" si="409"/>
        <v>331334195.96000004</v>
      </c>
      <c r="P73" s="974">
        <f t="shared" si="409"/>
        <v>334350504.52999997</v>
      </c>
      <c r="Q73" s="974">
        <f t="shared" si="409"/>
        <v>337272224.68000001</v>
      </c>
      <c r="R73" s="974">
        <f t="shared" si="409"/>
        <v>342449838.97000003</v>
      </c>
      <c r="S73" s="116"/>
      <c r="T73" s="116">
        <f>SUM(T71:T72)</f>
        <v>326020752.9329167</v>
      </c>
      <c r="U73" s="106">
        <f>+R73</f>
        <v>342449838.97000003</v>
      </c>
      <c r="V73" s="1269">
        <f t="shared" ref="V73:AA73" ca="1" si="410">IF($R73-$F73=0,U73+$AH73/12,U73+((G73-F73)/($R73-$F73))*$AH73)</f>
        <v>346329323.6835801</v>
      </c>
      <c r="W73" s="1269">
        <f t="shared" ca="1" si="410"/>
        <v>348465628.51816297</v>
      </c>
      <c r="X73" s="1269">
        <f t="shared" ca="1" si="410"/>
        <v>350539273.32909018</v>
      </c>
      <c r="Y73" s="1269">
        <f t="shared" ca="1" si="410"/>
        <v>352394462.89032501</v>
      </c>
      <c r="Z73" s="1269">
        <f t="shared" ca="1" si="410"/>
        <v>356907064.36932391</v>
      </c>
      <c r="AA73" s="1269">
        <f t="shared" ca="1" si="410"/>
        <v>358062108.90858871</v>
      </c>
      <c r="AB73" s="1269">
        <f ca="1">IF($R73-$F73=0,AA73+$AH73/12,AA73+((M73-L73)/($R73-$F73))*$AH73)</f>
        <v>362343231.51841056</v>
      </c>
      <c r="AC73" s="1269">
        <f t="shared" ref="AC73" ca="1" si="411">IF($R73-$F73=0,AB73+$AH73/12,AB73+((N73-M73)/($R73-$F73))*$AH73)</f>
        <v>365709377.86186808</v>
      </c>
      <c r="AD73" s="1269">
        <f t="shared" ref="AD73" ca="1" si="412">IF($R73-$F73=0,AC73+$AH73/12,AC73+((O73-N73)/($R73-$F73))*$AH73)</f>
        <v>365507091.9883998</v>
      </c>
      <c r="AE73" s="1269">
        <f t="shared" ref="AE73" ca="1" si="413">IF($R73-$F73=0,AD73+$AH73/12,AD73+((P73-O73)/($R73-$F73))*$AH73)</f>
        <v>369161603.23932374</v>
      </c>
      <c r="AF73" s="1269">
        <f t="shared" ref="AF73" ca="1" si="414">IF($R73-$F73=0,AE73+$AH73/12,AE73+((Q73-P73)/($R73-$F73))*$AH73)</f>
        <v>372701512.67247117</v>
      </c>
      <c r="AG73" s="1269">
        <f t="shared" ref="AG73" ca="1" si="415">IF($R73-$F73=0,AF73+$AH73/12,AF73+((R73-Q73)/($R73-$F73))*$AH73)</f>
        <v>378974627.38757139</v>
      </c>
      <c r="AH73" s="106">
        <f ca="1">'101_106 PROJECTION'!N20</f>
        <v>36524788.417571336</v>
      </c>
      <c r="AI73" s="393">
        <f ca="1">+AG73-U73</f>
        <v>36524788.417571366</v>
      </c>
      <c r="AJ73" s="116">
        <f ca="1">SUM(AJ71:AJ72)</f>
        <v>359069409.34652746</v>
      </c>
      <c r="AK73" s="1039">
        <f ca="1">AG73</f>
        <v>378974627.38757139</v>
      </c>
      <c r="AL73" s="1041">
        <f ca="1">IF($R73-$F73=0,AK73+$AX73/12,AK73+((G73-F73)/($R73-$F73))*$AX73)</f>
        <v>381424501.44593418</v>
      </c>
      <c r="AM73" s="1041">
        <f t="shared" ref="AM73" ca="1" si="416">IF($R73-$F73=0,AL73+$AX73/12,AL73+((H73-G73)/($R73-$F73))*$AX73)</f>
        <v>382773566.63922626</v>
      </c>
      <c r="AN73" s="1041">
        <f t="shared" ref="AN73" ca="1" si="417">IF($R73-$F73=0,AM73+$AX73/12,AM73+((I73-H73)/($R73-$F73))*$AX73)</f>
        <v>384083062.35930628</v>
      </c>
      <c r="AO73" s="1041">
        <f t="shared" ref="AO73" ca="1" si="418">IF($R73-$F73=0,AN73+$AX73/12,AN73+((J73-I73)/($R73-$F73))*$AX73)</f>
        <v>385254604.74572295</v>
      </c>
      <c r="AP73" s="1041">
        <f t="shared" ref="AP73" ca="1" si="419">IF($R73-$F73=0,AO73+$AX73/12,AO73+((K73-J73)/($R73-$F73))*$AX73)</f>
        <v>388104288.68968332</v>
      </c>
      <c r="AQ73" s="1041">
        <f t="shared" ref="AQ73" ca="1" si="420">IF($R73-$F73=0,AP73+$AX73/12,AP73+((L73-K73)/($R73-$F73))*$AX73)</f>
        <v>388833693.20134258</v>
      </c>
      <c r="AR73" s="1041">
        <f t="shared" ref="AR73" ca="1" si="421">IF($R73-$F73=0,AQ73+$AX73/12,AQ73+((M73-L73)/($R73-$F73))*$AX73)</f>
        <v>391537199.46488297</v>
      </c>
      <c r="AS73" s="1041">
        <f t="shared" ref="AS73" ca="1" si="422">IF($R73-$F73=0,AR73+$AX73/12,AR73+((N73-M73)/($R73-$F73))*$AX73)</f>
        <v>393662903.06016254</v>
      </c>
      <c r="AT73" s="1041">
        <f t="shared" ref="AT73" ca="1" si="423">IF($R73-$F73=0,AS73+$AX73/12,AS73+((O73-N73)/($R73-$F73))*$AX73)</f>
        <v>393535160.60198283</v>
      </c>
      <c r="AU73" s="1041">
        <f t="shared" ref="AU73" ca="1" si="424">IF($R73-$F73=0,AT73+$AX73/12,AT73+((P73-O73)/($R73-$F73))*$AX73)</f>
        <v>395842965.10970342</v>
      </c>
      <c r="AV73" s="1041">
        <f t="shared" ref="AV73" ca="1" si="425">IF($R73-$F73=0,AU73+$AX73/12,AU73+((Q73-P73)/($R73-$F73))*$AX73)</f>
        <v>398078399.1762082</v>
      </c>
      <c r="AW73" s="1041">
        <f t="shared" ref="AW73" ca="1" si="426">IF($R73-$F73=0,AV73+$AX73/12,AV73+((R73-Q73)/($R73-$F73))*$AX73)</f>
        <v>402039837.90848649</v>
      </c>
      <c r="AX73" s="106">
        <f ca="1">'101_106 PROJECTION'!$T$20</f>
        <v>23065210.520915128</v>
      </c>
      <c r="AY73" s="393">
        <f ca="1">+AW73-AK73</f>
        <v>23065210.520915091</v>
      </c>
      <c r="AZ73" s="393"/>
      <c r="BA73" s="116">
        <f ca="1">SUM(BA71:BA72)</f>
        <v>389469798.09518182</v>
      </c>
    </row>
    <row r="74" spans="1:53">
      <c r="A74" s="250">
        <f t="shared" si="2"/>
        <v>59</v>
      </c>
      <c r="B74" s="208"/>
      <c r="C74" s="102"/>
      <c r="D74" s="102"/>
      <c r="E74" s="102"/>
      <c r="U74" s="102"/>
      <c r="AH74" s="106"/>
      <c r="AK74" s="106">
        <f>AG74</f>
        <v>0</v>
      </c>
      <c r="AL74" s="1024"/>
      <c r="AW74" s="1016"/>
      <c r="AX74" s="106"/>
    </row>
    <row r="75" spans="1:53">
      <c r="A75" s="250">
        <f t="shared" si="2"/>
        <v>60</v>
      </c>
      <c r="B75" s="208"/>
      <c r="C75" s="102" t="s">
        <v>254</v>
      </c>
      <c r="D75" s="102" t="s">
        <v>255</v>
      </c>
      <c r="E75" s="102"/>
      <c r="U75" s="102"/>
      <c r="AH75" s="102"/>
      <c r="AK75" s="102"/>
      <c r="AL75" s="1027"/>
      <c r="AX75" s="102"/>
    </row>
    <row r="76" spans="1:53">
      <c r="A76" s="250">
        <f t="shared" si="2"/>
        <v>61</v>
      </c>
      <c r="B76" s="208"/>
      <c r="C76" s="102"/>
      <c r="D76" s="102"/>
      <c r="E76" s="102" t="s">
        <v>24</v>
      </c>
      <c r="F76" s="974">
        <f>'Rate Base'!S74</f>
        <v>777059.48</v>
      </c>
      <c r="G76" s="974">
        <f>'Rate Base'!T74</f>
        <v>776409.34</v>
      </c>
      <c r="H76" s="974">
        <f>'Rate Base'!U74</f>
        <v>776300.98</v>
      </c>
      <c r="I76" s="974">
        <f>'Rate Base'!V74</f>
        <v>772616.83</v>
      </c>
      <c r="J76" s="974">
        <f>'Rate Base'!W74</f>
        <v>768390.8899999999</v>
      </c>
      <c r="K76" s="974">
        <f>'Rate Base'!X74</f>
        <v>765194.35000000009</v>
      </c>
      <c r="L76" s="974">
        <f>'Rate Base'!Y74</f>
        <v>764869.28</v>
      </c>
      <c r="M76" s="974">
        <f>'Rate Base'!Z74</f>
        <v>763894.06</v>
      </c>
      <c r="N76" s="974">
        <f>'Rate Base'!AA74</f>
        <v>762593.77</v>
      </c>
      <c r="O76" s="974">
        <f>'Rate Base'!AB74</f>
        <v>761293.48</v>
      </c>
      <c r="P76" s="974">
        <f>'Rate Base'!AC74</f>
        <v>760372.44</v>
      </c>
      <c r="Q76" s="974">
        <f>'Rate Base'!AD74</f>
        <v>759234.69</v>
      </c>
      <c r="R76" s="974">
        <f>'Rate Base'!AE74</f>
        <v>759017.98</v>
      </c>
      <c r="S76" s="116"/>
      <c r="T76" s="116">
        <f>((F76/2)+SUM(G76:Q76)+(R76/2))/12</f>
        <v>766600.73666666669</v>
      </c>
      <c r="U76" s="106">
        <f t="shared" ref="U76:U83" si="427">+R76</f>
        <v>759017.98</v>
      </c>
      <c r="V76" s="998">
        <f t="shared" ref="V76" si="428">(U76/U78)*V78</f>
        <v>758841.69292046293</v>
      </c>
      <c r="W76" s="998">
        <f t="shared" ref="W76" si="429">(V76/V78)*W78</f>
        <v>758725.89774916554</v>
      </c>
      <c r="X76" s="998">
        <f t="shared" ref="X76" si="430">(W76/W78)*X78</f>
        <v>758293.35398615012</v>
      </c>
      <c r="Y76" s="998">
        <f t="shared" ref="Y76" si="431">(X76/X78)*Y78</f>
        <v>757806.1947935014</v>
      </c>
      <c r="Z76" s="998">
        <f t="shared" ref="Z76" si="432">(Y76/Y78)*Z78</f>
        <v>757264.11966651864</v>
      </c>
      <c r="AA76" s="998">
        <f t="shared" ref="AA76" si="433">(Z76/Z78)*AA78</f>
        <v>756958.28022729116</v>
      </c>
      <c r="AB76" s="998">
        <f t="shared" ref="AB76" si="434">(AA76/AA78)*AB78</f>
        <v>756638.47459813091</v>
      </c>
      <c r="AC76" s="998">
        <f t="shared" ref="AC76" si="435">(AB76/AB78)*AC78</f>
        <v>756356.9775993916</v>
      </c>
      <c r="AD76" s="998">
        <f t="shared" ref="AD76" si="436">(AC76/AC78)*AD78</f>
        <v>755919.44015531649</v>
      </c>
      <c r="AE76" s="998">
        <f t="shared" ref="AE76" si="437">(AD76/AD78)*AE78</f>
        <v>755871.55488719465</v>
      </c>
      <c r="AF76" s="998">
        <f t="shared" ref="AF76" si="438">(AE76/AE78)*AF78</f>
        <v>755456.19604179938</v>
      </c>
      <c r="AG76" s="998">
        <f t="shared" ref="AG76" si="439">(AF76/AF78)*AG78</f>
        <v>755407.98583347327</v>
      </c>
      <c r="AH76" s="106"/>
      <c r="AI76" s="133"/>
      <c r="AJ76" s="116">
        <f>((U76/2)+SUM(V76:AF76)+(AG76/2))/12</f>
        <v>757112.09712847148</v>
      </c>
      <c r="AK76" s="106">
        <f>AG76</f>
        <v>755407.98583347327</v>
      </c>
      <c r="AL76" s="1016">
        <f>(AK76/AK78)*AL78</f>
        <v>755116.11806148698</v>
      </c>
      <c r="AM76" s="1016">
        <f t="shared" ref="AM76:AW76" si="440">(AL76/AL78)*AM78</f>
        <v>754924.40305468033</v>
      </c>
      <c r="AN76" s="1016">
        <f t="shared" si="440"/>
        <v>754208.26671201969</v>
      </c>
      <c r="AO76" s="1016">
        <f t="shared" si="440"/>
        <v>753401.7069316064</v>
      </c>
      <c r="AP76" s="1016">
        <f t="shared" si="440"/>
        <v>752504.22618612472</v>
      </c>
      <c r="AQ76" s="1016">
        <f t="shared" si="440"/>
        <v>751997.86646908044</v>
      </c>
      <c r="AR76" s="1016">
        <f t="shared" si="440"/>
        <v>751468.38378267572</v>
      </c>
      <c r="AS76" s="1016">
        <f t="shared" si="440"/>
        <v>751002.32636055106</v>
      </c>
      <c r="AT76" s="1016">
        <f t="shared" si="440"/>
        <v>750277.92228455073</v>
      </c>
      <c r="AU76" s="1016">
        <f t="shared" si="440"/>
        <v>750198.64156497456</v>
      </c>
      <c r="AV76" s="1016">
        <f t="shared" si="440"/>
        <v>749510.95724290889</v>
      </c>
      <c r="AW76" s="1016">
        <f t="shared" si="440"/>
        <v>749431.13853964314</v>
      </c>
      <c r="AX76" s="106"/>
      <c r="AY76" s="133"/>
      <c r="AZ76" s="133"/>
      <c r="BA76" s="116">
        <f>((AK76/2)+SUM(AL76:AV76)+(AW76/2))/12</f>
        <v>752252.53173643479</v>
      </c>
    </row>
    <row r="77" spans="1:53">
      <c r="A77" s="250">
        <f t="shared" si="2"/>
        <v>62</v>
      </c>
      <c r="B77" s="208"/>
      <c r="C77" s="102"/>
      <c r="D77" s="102"/>
      <c r="E77" s="102" t="s">
        <v>14</v>
      </c>
      <c r="F77" s="985">
        <f>'Rate Base'!S75</f>
        <v>13940732.08</v>
      </c>
      <c r="G77" s="985">
        <f>'Rate Base'!T75</f>
        <v>13937991.460000001</v>
      </c>
      <c r="H77" s="985">
        <f>'Rate Base'!U75</f>
        <v>13935872.579999998</v>
      </c>
      <c r="I77" s="985">
        <f>'Rate Base'!V75</f>
        <v>13931237.049999999</v>
      </c>
      <c r="J77" s="985">
        <f>'Rate Base'!W75</f>
        <v>13926092.819999998</v>
      </c>
      <c r="K77" s="985">
        <f>'Rate Base'!X75</f>
        <v>13918862.92</v>
      </c>
      <c r="L77" s="985">
        <f>'Rate Base'!Y75</f>
        <v>13913305.380000001</v>
      </c>
      <c r="M77" s="985">
        <f>'Rate Base'!Z75</f>
        <v>13908129.359999999</v>
      </c>
      <c r="N77" s="985">
        <f>'Rate Base'!AA75</f>
        <v>13904015.25</v>
      </c>
      <c r="O77" s="985">
        <f>'Rate Base'!AB75</f>
        <v>13896899.809999999</v>
      </c>
      <c r="P77" s="985">
        <f>'Rate Base'!AC75</f>
        <v>13896899.810000001</v>
      </c>
      <c r="Q77" s="985">
        <f>'Rate Base'!AD75</f>
        <v>13890048.42</v>
      </c>
      <c r="R77" s="985">
        <f>'Rate Base'!AE75</f>
        <v>13889337.84</v>
      </c>
      <c r="S77" s="116"/>
      <c r="T77" s="256">
        <f>((F77/2)+SUM(G77:Q77)+(R77/2))/12</f>
        <v>13914532.484999998</v>
      </c>
      <c r="U77" s="396">
        <f t="shared" si="427"/>
        <v>13889337.84</v>
      </c>
      <c r="V77" s="998">
        <f t="shared" ref="V77" si="441">(U77/U78)*V78</f>
        <v>13886111.946978973</v>
      </c>
      <c r="W77" s="998">
        <f t="shared" ref="W77" si="442">(V77/V78)*W78</f>
        <v>13883993.000792231</v>
      </c>
      <c r="X77" s="998">
        <f t="shared" ref="X77" si="443">(W77/W78)*X78</f>
        <v>13876077.843821764</v>
      </c>
      <c r="Y77" s="998">
        <f t="shared" ref="Y77" si="444">(X77/X78)*Y78</f>
        <v>13867163.27422414</v>
      </c>
      <c r="Z77" s="998">
        <f t="shared" ref="Z77" si="445">(Y77/Y78)*Z78</f>
        <v>13857243.793036982</v>
      </c>
      <c r="AA77" s="998">
        <f t="shared" ref="AA77" si="446">(Z77/Z78)*AA78</f>
        <v>13851647.209809499</v>
      </c>
      <c r="AB77" s="998">
        <f t="shared" ref="AB77" si="447">(AA77/AA78)*AB78</f>
        <v>13845795.058024451</v>
      </c>
      <c r="AC77" s="998">
        <f t="shared" ref="AC77" si="448">(AB77/AB78)*AC78</f>
        <v>13840643.919290639</v>
      </c>
      <c r="AD77" s="998">
        <f t="shared" ref="AD77" si="449">(AC77/AC78)*AD78</f>
        <v>13832637.38250424</v>
      </c>
      <c r="AE77" s="998">
        <f t="shared" ref="AE77" si="450">(AD77/AD78)*AE78</f>
        <v>13831761.12570397</v>
      </c>
      <c r="AF77" s="998">
        <f t="shared" ref="AF77" si="451">(AE77/AE78)*AF78</f>
        <v>13824160.437076638</v>
      </c>
      <c r="AG77" s="998">
        <f t="shared" ref="AG77" si="452">(AF77/AF78)*AG78</f>
        <v>13823278.234166533</v>
      </c>
      <c r="AH77" s="396"/>
      <c r="AI77" s="395"/>
      <c r="AJ77" s="256">
        <f>((U77/2)+SUM(V77:AF77)+(AG77/2))/12</f>
        <v>13854461.919028899</v>
      </c>
      <c r="AK77" s="106">
        <f>AG77</f>
        <v>13823278.234166533</v>
      </c>
      <c r="AL77" s="1016">
        <f>(AK77/AK78)*AL78</f>
        <v>13817937.319726368</v>
      </c>
      <c r="AM77" s="1016">
        <f t="shared" ref="AM77" si="453">(AL77/AL78)*AM78</f>
        <v>13814429.109685631</v>
      </c>
      <c r="AN77" s="1016">
        <f t="shared" ref="AN77" si="454">(AM77/AM78)*AN78</f>
        <v>13801324.466759104</v>
      </c>
      <c r="AO77" s="1016">
        <f t="shared" ref="AO77" si="455">(AN77/AN78)*AO78</f>
        <v>13786565.157265125</v>
      </c>
      <c r="AP77" s="1016">
        <f t="shared" ref="AP77" si="456">(AO77/AO78)*AP78</f>
        <v>13770142.076906882</v>
      </c>
      <c r="AQ77" s="1016">
        <f t="shared" ref="AQ77" si="457">(AP77/AP78)*AQ78</f>
        <v>13760876.155197632</v>
      </c>
      <c r="AR77" s="1016">
        <f t="shared" ref="AR77" si="458">(AQ77/AQ78)*AR78</f>
        <v>13751187.104205841</v>
      </c>
      <c r="AS77" s="1016">
        <f t="shared" ref="AS77" si="459">(AR77/AR78)*AS78</f>
        <v>13742658.677792637</v>
      </c>
      <c r="AT77" s="1016">
        <f t="shared" ref="AT77" si="460">(AS77/AS78)*AT78</f>
        <v>13729402.742874939</v>
      </c>
      <c r="AU77" s="1016">
        <f t="shared" ref="AU77" si="461">(AT77/AT78)*AU78</f>
        <v>13727951.977903085</v>
      </c>
      <c r="AV77" s="1016">
        <f t="shared" ref="AV77" si="462">(AU77/AU78)*AV78</f>
        <v>13715367.981043823</v>
      </c>
      <c r="AW77" s="1016">
        <f t="shared" ref="AW77" si="463">(AV77/AV78)*AW78</f>
        <v>13713907.371460361</v>
      </c>
      <c r="AX77" s="396"/>
      <c r="AY77" s="395"/>
      <c r="AZ77" s="395"/>
      <c r="BA77" s="256">
        <f>((AK77/2)+SUM(AL77:AV77)+(AW77/2))/12</f>
        <v>13765536.297681211</v>
      </c>
    </row>
    <row r="78" spans="1:53">
      <c r="A78" s="250">
        <f t="shared" si="2"/>
        <v>63</v>
      </c>
      <c r="B78" s="208"/>
      <c r="C78" s="102"/>
      <c r="D78" s="102"/>
      <c r="E78" s="102" t="s">
        <v>170</v>
      </c>
      <c r="F78" s="974">
        <f t="shared" ref="F78:R78" si="464">SUM(F76:F77)</f>
        <v>14717791.560000001</v>
      </c>
      <c r="G78" s="974">
        <f t="shared" si="464"/>
        <v>14714400.800000001</v>
      </c>
      <c r="H78" s="974">
        <f t="shared" si="464"/>
        <v>14712173.559999999</v>
      </c>
      <c r="I78" s="974">
        <f t="shared" si="464"/>
        <v>14703853.879999999</v>
      </c>
      <c r="J78" s="974">
        <f t="shared" si="464"/>
        <v>14694483.709999999</v>
      </c>
      <c r="K78" s="974">
        <f t="shared" si="464"/>
        <v>14684057.27</v>
      </c>
      <c r="L78" s="974">
        <f t="shared" si="464"/>
        <v>14678174.66</v>
      </c>
      <c r="M78" s="974">
        <f t="shared" si="464"/>
        <v>14672023.42</v>
      </c>
      <c r="N78" s="974">
        <f t="shared" si="464"/>
        <v>14666609.02</v>
      </c>
      <c r="O78" s="974">
        <f t="shared" si="464"/>
        <v>14658193.289999999</v>
      </c>
      <c r="P78" s="974">
        <f t="shared" si="464"/>
        <v>14657272.25</v>
      </c>
      <c r="Q78" s="974">
        <f t="shared" si="464"/>
        <v>14649283.109999999</v>
      </c>
      <c r="R78" s="974">
        <f t="shared" si="464"/>
        <v>14648355.82</v>
      </c>
      <c r="S78" s="116"/>
      <c r="T78" s="116">
        <f>SUM(T76:T77)</f>
        <v>14681133.221666664</v>
      </c>
      <c r="U78" s="106">
        <f t="shared" si="427"/>
        <v>14648355.82</v>
      </c>
      <c r="V78" s="1269">
        <f t="shared" ref="V78:AA78" si="465">IF($R78-$F78=0,U78+$AH78/12,U78+((G78-F78)/($R78-$F78))*$AH78)</f>
        <v>14644953.639899436</v>
      </c>
      <c r="W78" s="1269">
        <f t="shared" si="465"/>
        <v>14642718.898541396</v>
      </c>
      <c r="X78" s="1269">
        <f t="shared" si="465"/>
        <v>14634371.197807914</v>
      </c>
      <c r="Y78" s="1269">
        <f t="shared" si="465"/>
        <v>14624969.46901764</v>
      </c>
      <c r="Z78" s="1269">
        <f t="shared" si="465"/>
        <v>14614507.912703499</v>
      </c>
      <c r="AA78" s="1269">
        <f t="shared" si="465"/>
        <v>14608605.490036787</v>
      </c>
      <c r="AB78" s="1269">
        <f>IF($R78-$F78=0,AA78+$AH78/12,AA78+((M78-L78)/($R78-$F78))*$AH78)</f>
        <v>14602433.532622579</v>
      </c>
      <c r="AC78" s="1269">
        <f t="shared" ref="AC78" si="466">IF($R78-$F78=0,AB78+$AH78/12,AB78+((N78-M78)/($R78-$F78))*$AH78)</f>
        <v>14597000.896890029</v>
      </c>
      <c r="AD78" s="1269">
        <f t="shared" ref="AD78" si="467">IF($R78-$F78=0,AC78+$AH78/12,AC78+((O78-N78)/($R78-$F78))*$AH78)</f>
        <v>14588556.822659554</v>
      </c>
      <c r="AE78" s="1269">
        <f t="shared" ref="AE78" si="468">IF($R78-$F78=0,AD78+$AH78/12,AD78+((P78-O78)/($R78-$F78))*$AH78)</f>
        <v>14587632.680591162</v>
      </c>
      <c r="AF78" s="1269">
        <f t="shared" ref="AF78" si="469">IF($R78-$F78=0,AE78+$AH78/12,AE78+((Q78-P78)/($R78-$F78))*$AH78)</f>
        <v>14579616.633118434</v>
      </c>
      <c r="AG78" s="1269">
        <f t="shared" ref="AG78" si="470">IF($R78-$F78=0,AF78+$AH78/12,AF78+((R78-Q78)/($R78-$F78))*$AH78)</f>
        <v>14578686.220000003</v>
      </c>
      <c r="AH78" s="106">
        <f>+'101_106 PROJECTION'!N21</f>
        <v>-69669.600000000006</v>
      </c>
      <c r="AI78" s="393">
        <f>+AG78-U78</f>
        <v>-69669.599999997765</v>
      </c>
      <c r="AJ78" s="116">
        <f>SUM(AJ76:AJ77)</f>
        <v>14611574.01615737</v>
      </c>
      <c r="AK78" s="1039">
        <f>AG78</f>
        <v>14578686.220000003</v>
      </c>
      <c r="AL78" s="1041">
        <f>IF($R78-$F78=0,AK78+$AX78/12,AK78+((G78-F78)/($R78-$F78))*$AX78)</f>
        <v>14573053.437787851</v>
      </c>
      <c r="AM78" s="1041">
        <f t="shared" ref="AM78" si="471">IF($R78-$F78=0,AL78+$AX78/12,AL78+((H78-G78)/($R78-$F78))*$AX78)</f>
        <v>14569353.512740308</v>
      </c>
      <c r="AN78" s="1041">
        <f t="shared" ref="AN78" si="472">IF($R78-$F78=0,AM78+$AX78/12,AM78+((I78-H78)/($R78-$F78))*$AX78)</f>
        <v>14555532.73347112</v>
      </c>
      <c r="AO78" s="1041">
        <f t="shared" ref="AO78" si="473">IF($R78-$F78=0,AN78+$AX78/12,AN78+((J78-I78)/($R78-$F78))*$AX78)</f>
        <v>14539966.864196727</v>
      </c>
      <c r="AP78" s="1041">
        <f t="shared" ref="AP78" si="474">IF($R78-$F78=0,AO78+$AX78/12,AO78+((K78-J78)/($R78-$F78))*$AX78)</f>
        <v>14522646.303093003</v>
      </c>
      <c r="AQ78" s="1041">
        <f t="shared" ref="AQ78" si="475">IF($R78-$F78=0,AP78+$AX78/12,AP78+((L78-K78)/($R78-$F78))*$AX78)</f>
        <v>14512874.021666707</v>
      </c>
      <c r="AR78" s="1041">
        <f t="shared" ref="AR78" si="476">IF($R78-$F78=0,AQ78+$AX78/12,AQ78+((M78-L78)/($R78-$F78))*$AX78)</f>
        <v>14502655.487988511</v>
      </c>
      <c r="AS78" s="1041">
        <f t="shared" ref="AS78" si="477">IF($R78-$F78=0,AR78+$AX78/12,AR78+((N78-M78)/($R78-$F78))*$AX78)</f>
        <v>14493661.004153183</v>
      </c>
      <c r="AT78" s="1041">
        <f t="shared" ref="AT78" si="478">IF($R78-$F78=0,AS78+$AX78/12,AS78+((O78-N78)/($R78-$F78))*$AX78)</f>
        <v>14479680.665159484</v>
      </c>
      <c r="AU78" s="1041">
        <f t="shared" ref="AU78" si="479">IF($R78-$F78=0,AT78+$AX78/12,AT78+((P78-O78)/($R78-$F78))*$AX78)</f>
        <v>14478150.619468054</v>
      </c>
      <c r="AV78" s="1041">
        <f t="shared" ref="AV78" si="480">IF($R78-$F78=0,AU78+$AX78/12,AU78+((Q78-P78)/($R78-$F78))*$AX78)</f>
        <v>14464878.938286727</v>
      </c>
      <c r="AW78" s="1041">
        <f>IF($R78-$F78=0,AV78+$AX78/12,AV78+((R78-Q78)/($R78-$F78))*$AX78)</f>
        <v>14463338.51</v>
      </c>
      <c r="AX78" s="106">
        <v>-115347.71</v>
      </c>
      <c r="AY78" s="133">
        <f>+AW78-AK78</f>
        <v>-115347.71000000276</v>
      </c>
      <c r="AZ78" s="133"/>
      <c r="BA78" s="116">
        <f>SUM(BA76:BA77)</f>
        <v>14517788.829417646</v>
      </c>
    </row>
    <row r="79" spans="1:53">
      <c r="A79" s="250">
        <f t="shared" si="2"/>
        <v>64</v>
      </c>
      <c r="B79" s="208"/>
      <c r="C79" s="102"/>
      <c r="D79" s="102"/>
      <c r="E79" s="102"/>
      <c r="U79" s="102"/>
      <c r="AH79" s="102"/>
      <c r="AK79" s="106">
        <f>AG79</f>
        <v>0</v>
      </c>
      <c r="AL79" s="1028"/>
      <c r="AW79" s="1016"/>
      <c r="AX79" s="102"/>
    </row>
    <row r="80" spans="1:53">
      <c r="A80" s="250">
        <f t="shared" si="2"/>
        <v>65</v>
      </c>
      <c r="B80" s="208"/>
      <c r="C80" s="102" t="s">
        <v>256</v>
      </c>
      <c r="D80" s="102" t="s">
        <v>235</v>
      </c>
      <c r="E80" s="102"/>
      <c r="U80" s="102"/>
      <c r="AH80" s="102"/>
      <c r="AK80" s="102">
        <f t="shared" ref="AK80" si="481">+AG80</f>
        <v>0</v>
      </c>
      <c r="AX80" s="102"/>
    </row>
    <row r="81" spans="1:53">
      <c r="A81" s="250">
        <f t="shared" ref="A81:A139" si="482">+A80+1</f>
        <v>66</v>
      </c>
      <c r="B81" s="208"/>
      <c r="C81" s="102"/>
      <c r="D81" s="102"/>
      <c r="E81" s="102" t="s">
        <v>24</v>
      </c>
      <c r="F81" s="974">
        <f>'Rate Base'!S79</f>
        <v>68977.440000000002</v>
      </c>
      <c r="G81" s="974">
        <f>'Rate Base'!T79</f>
        <v>68977.440000000002</v>
      </c>
      <c r="H81" s="974">
        <f>'Rate Base'!U79</f>
        <v>68977.440000000002</v>
      </c>
      <c r="I81" s="974">
        <f>'Rate Base'!V79</f>
        <v>68977.440000000002</v>
      </c>
      <c r="J81" s="974">
        <f>'Rate Base'!W79</f>
        <v>68977.440000000002</v>
      </c>
      <c r="K81" s="974">
        <f>'Rate Base'!X79</f>
        <v>68977.440000000002</v>
      </c>
      <c r="L81" s="974">
        <f>'Rate Base'!Y79</f>
        <v>68977.440000000002</v>
      </c>
      <c r="M81" s="974">
        <f>'Rate Base'!Z79</f>
        <v>68977.440000000002</v>
      </c>
      <c r="N81" s="974">
        <f>'Rate Base'!AA79</f>
        <v>68977.440000000002</v>
      </c>
      <c r="O81" s="974">
        <f>'Rate Base'!AB79</f>
        <v>68977.440000000002</v>
      </c>
      <c r="P81" s="974">
        <f>'Rate Base'!AC79</f>
        <v>68977.440000000002</v>
      </c>
      <c r="Q81" s="974">
        <f>'Rate Base'!AD79</f>
        <v>68977.440000000002</v>
      </c>
      <c r="R81" s="974">
        <f>'Rate Base'!AE79</f>
        <v>68977.440000000002</v>
      </c>
      <c r="S81" s="116"/>
      <c r="T81" s="116">
        <f>((F81/2)+SUM(G81:Q81)+(R81/2))/12</f>
        <v>68977.439999999988</v>
      </c>
      <c r="U81" s="106">
        <f t="shared" si="427"/>
        <v>68977.440000000002</v>
      </c>
      <c r="V81" s="998">
        <f t="shared" ref="V81" si="483">(U81/U83)*V83</f>
        <v>68977.440000000002</v>
      </c>
      <c r="W81" s="998">
        <f t="shared" ref="W81" si="484">(V81/V83)*W83</f>
        <v>68977.440000000002</v>
      </c>
      <c r="X81" s="998">
        <f t="shared" ref="X81" si="485">(W81/W83)*X83</f>
        <v>68977.440000000002</v>
      </c>
      <c r="Y81" s="998">
        <f t="shared" ref="Y81" si="486">(X81/X83)*Y83</f>
        <v>68977.440000000002</v>
      </c>
      <c r="Z81" s="998">
        <f t="shared" ref="Z81" si="487">(Y81/Y83)*Z83</f>
        <v>68977.440000000002</v>
      </c>
      <c r="AA81" s="998">
        <f t="shared" ref="AA81" si="488">(Z81/Z83)*AA83</f>
        <v>68977.440000000002</v>
      </c>
      <c r="AB81" s="998">
        <f t="shared" ref="AB81" si="489">(AA81/AA83)*AB83</f>
        <v>68977.440000000002</v>
      </c>
      <c r="AC81" s="998">
        <f t="shared" ref="AC81" si="490">(AB81/AB83)*AC83</f>
        <v>68977.440000000002</v>
      </c>
      <c r="AD81" s="998">
        <f t="shared" ref="AD81" si="491">(AC81/AC83)*AD83</f>
        <v>68977.440000000002</v>
      </c>
      <c r="AE81" s="998">
        <f t="shared" ref="AE81" si="492">(AD81/AD83)*AE83</f>
        <v>68977.440000000002</v>
      </c>
      <c r="AF81" s="998">
        <f t="shared" ref="AF81" si="493">(AE81/AE83)*AF83</f>
        <v>68977.440000000002</v>
      </c>
      <c r="AG81" s="998">
        <f t="shared" ref="AG81" si="494">(AF81/AF83)*AG83</f>
        <v>68977.440000000002</v>
      </c>
      <c r="AH81" s="106"/>
      <c r="AI81" s="133"/>
      <c r="AJ81" s="116">
        <f>((U81/2)+SUM(V81:AF81)+(AG81/2))/12</f>
        <v>68977.439999999988</v>
      </c>
      <c r="AK81" s="106">
        <f>AG81</f>
        <v>68977.440000000002</v>
      </c>
      <c r="AL81" s="1016">
        <f>(AK81/AK83)*AL83</f>
        <v>68977.440000000002</v>
      </c>
      <c r="AM81" s="1016">
        <f t="shared" ref="AM81:AW81" si="495">(AL81/AL83)*AM83</f>
        <v>68977.440000000002</v>
      </c>
      <c r="AN81" s="1016">
        <f t="shared" si="495"/>
        <v>68977.440000000002</v>
      </c>
      <c r="AO81" s="1016">
        <f t="shared" si="495"/>
        <v>68977.440000000002</v>
      </c>
      <c r="AP81" s="1016">
        <f t="shared" si="495"/>
        <v>68977.440000000002</v>
      </c>
      <c r="AQ81" s="1016">
        <f t="shared" si="495"/>
        <v>68977.440000000002</v>
      </c>
      <c r="AR81" s="1016">
        <f t="shared" si="495"/>
        <v>68977.440000000002</v>
      </c>
      <c r="AS81" s="1016">
        <f t="shared" si="495"/>
        <v>68977.440000000002</v>
      </c>
      <c r="AT81" s="1016">
        <f t="shared" si="495"/>
        <v>68977.440000000002</v>
      </c>
      <c r="AU81" s="1016">
        <f t="shared" si="495"/>
        <v>68977.440000000002</v>
      </c>
      <c r="AV81" s="1016">
        <f t="shared" si="495"/>
        <v>68977.440000000002</v>
      </c>
      <c r="AW81" s="1016">
        <f t="shared" si="495"/>
        <v>68977.440000000002</v>
      </c>
      <c r="AX81" s="106"/>
      <c r="AY81" s="133"/>
      <c r="AZ81" s="133"/>
      <c r="BA81" s="116">
        <f>((AK81/2)+SUM(AL81:AV81)+(AW81/2))/12</f>
        <v>68977.439999999988</v>
      </c>
    </row>
    <row r="82" spans="1:53">
      <c r="A82" s="250">
        <f t="shared" si="482"/>
        <v>67</v>
      </c>
      <c r="B82" s="208"/>
      <c r="C82" s="102"/>
      <c r="D82" s="102"/>
      <c r="E82" s="102" t="s">
        <v>14</v>
      </c>
      <c r="F82" s="985">
        <f>'Rate Base'!S80</f>
        <v>2231447.98</v>
      </c>
      <c r="G82" s="985">
        <f>'Rate Base'!T80</f>
        <v>2231447.98</v>
      </c>
      <c r="H82" s="985">
        <f>'Rate Base'!U80</f>
        <v>2236827.67</v>
      </c>
      <c r="I82" s="985">
        <f>'Rate Base'!V80</f>
        <v>2237018.35</v>
      </c>
      <c r="J82" s="985">
        <f>'Rate Base'!W80</f>
        <v>2237018.35</v>
      </c>
      <c r="K82" s="985">
        <f>'Rate Base'!X80</f>
        <v>2237018.35</v>
      </c>
      <c r="L82" s="985">
        <f>'Rate Base'!Y80</f>
        <v>2237018.35</v>
      </c>
      <c r="M82" s="985">
        <f>'Rate Base'!Z80</f>
        <v>2237018.35</v>
      </c>
      <c r="N82" s="985">
        <f>'Rate Base'!AA80</f>
        <v>2237018.35</v>
      </c>
      <c r="O82" s="985">
        <f>'Rate Base'!AB80</f>
        <v>2237018.35</v>
      </c>
      <c r="P82" s="985">
        <f>'Rate Base'!AC80</f>
        <v>2237018.35</v>
      </c>
      <c r="Q82" s="985">
        <f>'Rate Base'!AD80</f>
        <v>2237018.35</v>
      </c>
      <c r="R82" s="985">
        <f>'Rate Base'!AE80</f>
        <v>2237018.35</v>
      </c>
      <c r="S82" s="116"/>
      <c r="T82" s="256">
        <f>((F82/2)+SUM(G82:Q82)+(R82/2))/12</f>
        <v>2236306.1637500003</v>
      </c>
      <c r="U82" s="396">
        <f t="shared" si="427"/>
        <v>2237018.35</v>
      </c>
      <c r="V82" s="998">
        <f t="shared" ref="V82" si="496">(U82/U83)*V83</f>
        <v>2237018.35</v>
      </c>
      <c r="W82" s="998">
        <f t="shared" ref="W82" si="497">(V82/V83)*W83</f>
        <v>2237018.35</v>
      </c>
      <c r="X82" s="998">
        <f t="shared" ref="X82" si="498">(W82/W83)*X83</f>
        <v>2237018.35</v>
      </c>
      <c r="Y82" s="998">
        <f t="shared" ref="Y82" si="499">(X82/X83)*Y83</f>
        <v>2237018.35</v>
      </c>
      <c r="Z82" s="998">
        <f t="shared" ref="Z82" si="500">(Y82/Y83)*Z83</f>
        <v>2237018.35</v>
      </c>
      <c r="AA82" s="998">
        <f t="shared" ref="AA82" si="501">(Z82/Z83)*AA83</f>
        <v>2237018.35</v>
      </c>
      <c r="AB82" s="998">
        <f t="shared" ref="AB82" si="502">(AA82/AA83)*AB83</f>
        <v>2237018.35</v>
      </c>
      <c r="AC82" s="998">
        <f t="shared" ref="AC82" si="503">(AB82/AB83)*AC83</f>
        <v>2237018.35</v>
      </c>
      <c r="AD82" s="998">
        <f t="shared" ref="AD82" si="504">(AC82/AC83)*AD83</f>
        <v>2237018.35</v>
      </c>
      <c r="AE82" s="998">
        <f t="shared" ref="AE82" si="505">(AD82/AD83)*AE83</f>
        <v>2237018.35</v>
      </c>
      <c r="AF82" s="998">
        <f t="shared" ref="AF82" si="506">(AE82/AE83)*AF83</f>
        <v>2237018.35</v>
      </c>
      <c r="AG82" s="998">
        <f t="shared" ref="AG82" si="507">(AF82/AF83)*AG83</f>
        <v>2237018.35</v>
      </c>
      <c r="AH82" s="396"/>
      <c r="AI82" s="395"/>
      <c r="AJ82" s="256">
        <f>((U82/2)+SUM(V82:AF82)+(AG82/2))/12</f>
        <v>2237018.3500000006</v>
      </c>
      <c r="AK82" s="106">
        <f>AG82</f>
        <v>2237018.35</v>
      </c>
      <c r="AL82" s="1016">
        <f>(AK82/AK83)*AL83</f>
        <v>2237018.35</v>
      </c>
      <c r="AM82" s="1016">
        <f t="shared" ref="AM82" si="508">(AL82/AL83)*AM83</f>
        <v>2237018.35</v>
      </c>
      <c r="AN82" s="1016">
        <f t="shared" ref="AN82" si="509">(AM82/AM83)*AN83</f>
        <v>2237018.35</v>
      </c>
      <c r="AO82" s="1016">
        <f t="shared" ref="AO82" si="510">(AN82/AN83)*AO83</f>
        <v>2237018.35</v>
      </c>
      <c r="AP82" s="1016">
        <f t="shared" ref="AP82" si="511">(AO82/AO83)*AP83</f>
        <v>2237018.35</v>
      </c>
      <c r="AQ82" s="1016">
        <f t="shared" ref="AQ82" si="512">(AP82/AP83)*AQ83</f>
        <v>2237018.35</v>
      </c>
      <c r="AR82" s="1016">
        <f t="shared" ref="AR82" si="513">(AQ82/AQ83)*AR83</f>
        <v>2237018.35</v>
      </c>
      <c r="AS82" s="1016">
        <f t="shared" ref="AS82" si="514">(AR82/AR83)*AS83</f>
        <v>2237018.35</v>
      </c>
      <c r="AT82" s="1016">
        <f t="shared" ref="AT82" si="515">(AS82/AS83)*AT83</f>
        <v>2237018.35</v>
      </c>
      <c r="AU82" s="1016">
        <f t="shared" ref="AU82" si="516">(AT82/AT83)*AU83</f>
        <v>2237018.35</v>
      </c>
      <c r="AV82" s="1016">
        <f t="shared" ref="AV82" si="517">(AU82/AU83)*AV83</f>
        <v>2237018.35</v>
      </c>
      <c r="AW82" s="1016">
        <f t="shared" ref="AW82" si="518">(AV82/AV83)*AW83</f>
        <v>2237018.35</v>
      </c>
      <c r="AX82" s="396"/>
      <c r="AY82" s="395"/>
      <c r="AZ82" s="395"/>
      <c r="BA82" s="256">
        <f>((AK82/2)+SUM(AL82:AV82)+(AW82/2))/12</f>
        <v>2237018.3500000006</v>
      </c>
    </row>
    <row r="83" spans="1:53">
      <c r="A83" s="250">
        <f t="shared" si="482"/>
        <v>68</v>
      </c>
      <c r="B83" s="208"/>
      <c r="C83" s="102"/>
      <c r="D83" s="102"/>
      <c r="E83" s="102" t="s">
        <v>170</v>
      </c>
      <c r="F83" s="974">
        <f t="shared" ref="F83:R83" si="519">SUM(F81:F82)</f>
        <v>2300425.42</v>
      </c>
      <c r="G83" s="974">
        <f t="shared" si="519"/>
        <v>2300425.42</v>
      </c>
      <c r="H83" s="974">
        <f t="shared" si="519"/>
        <v>2305805.11</v>
      </c>
      <c r="I83" s="974">
        <f t="shared" si="519"/>
        <v>2305995.79</v>
      </c>
      <c r="J83" s="974">
        <f t="shared" si="519"/>
        <v>2305995.79</v>
      </c>
      <c r="K83" s="974">
        <f t="shared" si="519"/>
        <v>2305995.79</v>
      </c>
      <c r="L83" s="974">
        <f t="shared" si="519"/>
        <v>2305995.79</v>
      </c>
      <c r="M83" s="974">
        <f t="shared" si="519"/>
        <v>2305995.79</v>
      </c>
      <c r="N83" s="974">
        <f t="shared" si="519"/>
        <v>2305995.79</v>
      </c>
      <c r="O83" s="974">
        <f t="shared" si="519"/>
        <v>2305995.79</v>
      </c>
      <c r="P83" s="974">
        <f t="shared" si="519"/>
        <v>2305995.79</v>
      </c>
      <c r="Q83" s="974">
        <f t="shared" si="519"/>
        <v>2305995.79</v>
      </c>
      <c r="R83" s="974">
        <f t="shared" si="519"/>
        <v>2305995.79</v>
      </c>
      <c r="S83" s="116"/>
      <c r="T83" s="116">
        <f>SUM(T81:T82)</f>
        <v>2305283.6037500002</v>
      </c>
      <c r="U83" s="106">
        <f t="shared" si="427"/>
        <v>2305995.79</v>
      </c>
      <c r="V83" s="1269">
        <f t="shared" ref="V83:AA83" si="520">IF($R83-$F83=0,U83+$AH83/12,U83+((G83-F83)/($R83-$F83))*$AH83)</f>
        <v>2305995.79</v>
      </c>
      <c r="W83" s="1269">
        <f t="shared" si="520"/>
        <v>2305995.79</v>
      </c>
      <c r="X83" s="1269">
        <f t="shared" si="520"/>
        <v>2305995.79</v>
      </c>
      <c r="Y83" s="1269">
        <f t="shared" si="520"/>
        <v>2305995.79</v>
      </c>
      <c r="Z83" s="1269">
        <f t="shared" si="520"/>
        <v>2305995.79</v>
      </c>
      <c r="AA83" s="1269">
        <f t="shared" si="520"/>
        <v>2305995.79</v>
      </c>
      <c r="AB83" s="1269">
        <f>IF($R83-$F83=0,AA83+$AH83/12,AA83+((M83-L83)/($R83-$F83))*$AH83)</f>
        <v>2305995.79</v>
      </c>
      <c r="AC83" s="1269">
        <f t="shared" ref="AC83" si="521">IF($R83-$F83=0,AB83+$AH83/12,AB83+((N83-M83)/($R83-$F83))*$AH83)</f>
        <v>2305995.79</v>
      </c>
      <c r="AD83" s="1269">
        <f t="shared" ref="AD83" si="522">IF($R83-$F83=0,AC83+$AH83/12,AC83+((O83-N83)/($R83-$F83))*$AH83)</f>
        <v>2305995.79</v>
      </c>
      <c r="AE83" s="1269">
        <f t="shared" ref="AE83" si="523">IF($R83-$F83=0,AD83+$AH83/12,AD83+((P83-O83)/($R83-$F83))*$AH83)</f>
        <v>2305995.79</v>
      </c>
      <c r="AF83" s="1269">
        <f t="shared" ref="AF83" si="524">IF($R83-$F83=0,AE83+$AH83/12,AE83+((Q83-P83)/($R83-$F83))*$AH83)</f>
        <v>2305995.79</v>
      </c>
      <c r="AG83" s="1269">
        <f t="shared" ref="AG83" si="525">IF($R83-$F83=0,AF83+$AH83/12,AF83+((R83-Q83)/($R83-$F83))*$AH83)</f>
        <v>2305995.79</v>
      </c>
      <c r="AH83" s="106">
        <f>'101_106 PROJECTION'!N22</f>
        <v>0</v>
      </c>
      <c r="AI83" s="393">
        <f>+AG83-U83</f>
        <v>0</v>
      </c>
      <c r="AJ83" s="116">
        <f>SUM(AJ81:AJ82)</f>
        <v>2305995.7900000005</v>
      </c>
      <c r="AK83" s="1039">
        <f>AG83</f>
        <v>2305995.79</v>
      </c>
      <c r="AL83" s="1041">
        <f>IF($R83-$F83=0,AK83+$AX83/12,AK83+((G83-F83)/($R83-$F83))*$AX83)</f>
        <v>2305995.79</v>
      </c>
      <c r="AM83" s="1041">
        <f t="shared" ref="AM83" si="526">IF($R83-$F83=0,AL83+$AX83/12,AL83+((H83-G83)/($R83-$F83))*$AX83)</f>
        <v>2305995.79</v>
      </c>
      <c r="AN83" s="1041">
        <f t="shared" ref="AN83" si="527">IF($R83-$F83=0,AM83+$AX83/12,AM83+((I83-H83)/($R83-$F83))*$AX83)</f>
        <v>2305995.79</v>
      </c>
      <c r="AO83" s="1041">
        <f t="shared" ref="AO83" si="528">IF($R83-$F83=0,AN83+$AX83/12,AN83+((J83-I83)/($R83-$F83))*$AX83)</f>
        <v>2305995.79</v>
      </c>
      <c r="AP83" s="1041">
        <f t="shared" ref="AP83" si="529">IF($R83-$F83=0,AO83+$AX83/12,AO83+((K83-J83)/($R83-$F83))*$AX83)</f>
        <v>2305995.79</v>
      </c>
      <c r="AQ83" s="1041">
        <f t="shared" ref="AQ83" si="530">IF($R83-$F83=0,AP83+$AX83/12,AP83+((L83-K83)/($R83-$F83))*$AX83)</f>
        <v>2305995.79</v>
      </c>
      <c r="AR83" s="1041">
        <f t="shared" ref="AR83" si="531">IF($R83-$F83=0,AQ83+$AX83/12,AQ83+((M83-L83)/($R83-$F83))*$AX83)</f>
        <v>2305995.79</v>
      </c>
      <c r="AS83" s="1041">
        <f t="shared" ref="AS83" si="532">IF($R83-$F83=0,AR83+$AX83/12,AR83+((N83-M83)/($R83-$F83))*$AX83)</f>
        <v>2305995.79</v>
      </c>
      <c r="AT83" s="1041">
        <f t="shared" ref="AT83" si="533">IF($R83-$F83=0,AS83+$AX83/12,AS83+((O83-N83)/($R83-$F83))*$AX83)</f>
        <v>2305995.79</v>
      </c>
      <c r="AU83" s="1041">
        <f t="shared" ref="AU83" si="534">IF($R83-$F83=0,AT83+$AX83/12,AT83+((P83-O83)/($R83-$F83))*$AX83)</f>
        <v>2305995.79</v>
      </c>
      <c r="AV83" s="1041">
        <f t="shared" ref="AV83" si="535">IF($R83-$F83=0,AU83+$AX83/12,AU83+((Q83-P83)/($R83-$F83))*$AX83)</f>
        <v>2305995.79</v>
      </c>
      <c r="AW83" s="1041">
        <f t="shared" ref="AW83" si="536">IF($R83-$F83=0,AV83+$AX83/12,AV83+((R83-Q83)/($R83-$F83))*$AX83)</f>
        <v>2305995.79</v>
      </c>
      <c r="AX83" s="106">
        <f>'101_106 PROJECTION'!$T$22</f>
        <v>0</v>
      </c>
      <c r="AY83" s="133">
        <f>+AW83-AK83</f>
        <v>0</v>
      </c>
      <c r="AZ83" s="133"/>
      <c r="BA83" s="116">
        <f>SUM(BA81:BA82)</f>
        <v>2305995.7900000005</v>
      </c>
    </row>
    <row r="84" spans="1:53">
      <c r="A84" s="250">
        <f t="shared" si="482"/>
        <v>69</v>
      </c>
      <c r="B84" s="208"/>
      <c r="C84" s="102"/>
      <c r="D84" s="102"/>
      <c r="E84" s="102"/>
      <c r="U84" s="102"/>
      <c r="AH84" s="106"/>
      <c r="AK84" s="106">
        <f>AG84</f>
        <v>0</v>
      </c>
      <c r="AW84" s="1016"/>
      <c r="AX84" s="106"/>
    </row>
    <row r="85" spans="1:53">
      <c r="A85" s="250">
        <f t="shared" si="482"/>
        <v>70</v>
      </c>
      <c r="B85" s="208"/>
      <c r="C85" s="102"/>
      <c r="D85" s="102" t="s">
        <v>257</v>
      </c>
      <c r="E85" s="102"/>
      <c r="F85" s="974">
        <f>F37+F42+F53+F58+F63+F68+F73+F78+F83</f>
        <v>2361317974.6399999</v>
      </c>
      <c r="G85" s="974">
        <f t="shared" ref="G85:AW85" si="537">G37+G42+G53+G58+G63+G68+G73+G78+G83</f>
        <v>2370962981.1000004</v>
      </c>
      <c r="H85" s="974">
        <f t="shared" si="537"/>
        <v>2376499148.0999999</v>
      </c>
      <c r="I85" s="974">
        <f t="shared" si="537"/>
        <v>2390603725.2600002</v>
      </c>
      <c r="J85" s="974">
        <f t="shared" si="537"/>
        <v>2408956841.1999998</v>
      </c>
      <c r="K85" s="974">
        <f t="shared" si="537"/>
        <v>2414666083.6899996</v>
      </c>
      <c r="L85" s="974">
        <f t="shared" si="537"/>
        <v>2420687061.2299995</v>
      </c>
      <c r="M85" s="974">
        <f t="shared" si="537"/>
        <v>2425609761.46</v>
      </c>
      <c r="N85" s="974">
        <f t="shared" si="537"/>
        <v>2472575017.7399998</v>
      </c>
      <c r="O85" s="974">
        <f t="shared" si="537"/>
        <v>2473340689.0999999</v>
      </c>
      <c r="P85" s="974">
        <f t="shared" si="537"/>
        <v>2502323947.5599995</v>
      </c>
      <c r="Q85" s="974">
        <f t="shared" si="537"/>
        <v>2514012566.3899999</v>
      </c>
      <c r="R85" s="974">
        <f t="shared" si="537"/>
        <v>2529881859.2999997</v>
      </c>
      <c r="S85" s="116"/>
      <c r="T85" s="116">
        <f t="shared" si="537"/>
        <v>2434653144.9833336</v>
      </c>
      <c r="U85" s="106">
        <f>+R85</f>
        <v>2529881859.2999997</v>
      </c>
      <c r="V85" s="998">
        <f t="shared" ref="V85:AA85" ca="1" si="538">V37+V42+V53+V58+V63+V68+V73+V78+V83</f>
        <v>2539488306.7771964</v>
      </c>
      <c r="W85" s="998">
        <f t="shared" ca="1" si="538"/>
        <v>2548592927.7023706</v>
      </c>
      <c r="X85" s="998">
        <f t="shared" ca="1" si="538"/>
        <v>2560592060.8145494</v>
      </c>
      <c r="Y85" s="998">
        <f t="shared" ca="1" si="538"/>
        <v>2581782498.553925</v>
      </c>
      <c r="Z85" s="998">
        <f t="shared" ca="1" si="538"/>
        <v>2588568671.4264131</v>
      </c>
      <c r="AA85" s="998">
        <f t="shared" ca="1" si="538"/>
        <v>2595285471.7476201</v>
      </c>
      <c r="AB85" s="998">
        <f t="shared" ca="1" si="537"/>
        <v>2600326129.2972226</v>
      </c>
      <c r="AC85" s="998">
        <f t="shared" ca="1" si="537"/>
        <v>2658331663.8459535</v>
      </c>
      <c r="AD85" s="998">
        <f t="shared" ca="1" si="537"/>
        <v>2659303924.0220041</v>
      </c>
      <c r="AE85" s="998">
        <f t="shared" ca="1" si="537"/>
        <v>2693828807.2935977</v>
      </c>
      <c r="AF85" s="998">
        <f t="shared" ca="1" si="537"/>
        <v>2709610434.1805758</v>
      </c>
      <c r="AG85" s="998">
        <f t="shared" ca="1" si="537"/>
        <v>2727313384.9457974</v>
      </c>
      <c r="AH85" s="116">
        <f t="shared" ca="1" si="537"/>
        <v>197431525.64579773</v>
      </c>
      <c r="AI85" s="393">
        <f t="shared" ca="1" si="537"/>
        <v>197431525.645798</v>
      </c>
      <c r="AJ85" s="116">
        <f t="shared" ca="1" si="537"/>
        <v>2613692376.4820275</v>
      </c>
      <c r="AK85" s="106">
        <f ca="1">AG85</f>
        <v>2727313384.9457974</v>
      </c>
      <c r="AL85" s="1016">
        <f t="shared" ca="1" si="537"/>
        <v>2735491861.6368566</v>
      </c>
      <c r="AM85" s="1016">
        <f t="shared" ca="1" si="537"/>
        <v>2741124067.4709864</v>
      </c>
      <c r="AN85" s="1016">
        <f t="shared" ca="1" si="537"/>
        <v>2755849730.5345802</v>
      </c>
      <c r="AO85" s="1016">
        <f t="shared" ca="1" si="537"/>
        <v>2776819658.5827847</v>
      </c>
      <c r="AP85" s="1016">
        <f t="shared" ca="1" si="537"/>
        <v>2781776174.5565176</v>
      </c>
      <c r="AQ85" s="1016">
        <f t="shared" ca="1" si="537"/>
        <v>2788303027.4096389</v>
      </c>
      <c r="AR85" s="1016">
        <f t="shared" ca="1" si="537"/>
        <v>2792012259.9191561</v>
      </c>
      <c r="AS85" s="1016">
        <f t="shared" ca="1" si="537"/>
        <v>2850378195.3091302</v>
      </c>
      <c r="AT85" s="1016">
        <f t="shared" ca="1" si="537"/>
        <v>2851461894.198935</v>
      </c>
      <c r="AU85" s="1016">
        <f t="shared" ca="1" si="537"/>
        <v>2885613227.0080233</v>
      </c>
      <c r="AV85" s="1016">
        <f t="shared" ca="1" si="537"/>
        <v>2897743183.4046407</v>
      </c>
      <c r="AW85" s="1016">
        <f t="shared" ca="1" si="537"/>
        <v>2913399214.9614148</v>
      </c>
      <c r="AX85" s="106"/>
      <c r="AY85" s="133">
        <f ca="1">+AW85-AK85</f>
        <v>186085830.01561737</v>
      </c>
      <c r="AZ85" s="133"/>
      <c r="BA85" s="116">
        <f t="shared" ref="BA85" ca="1" si="539">BA37+BA42+BA53+BA58+BA63+BA68+BA73+BA78+BA83</f>
        <v>2806410798.3320723</v>
      </c>
    </row>
    <row r="86" spans="1:53">
      <c r="A86" s="250">
        <f t="shared" si="482"/>
        <v>71</v>
      </c>
      <c r="U86" s="102"/>
      <c r="AH86" s="102"/>
      <c r="AK86" s="102"/>
      <c r="AX86" s="102"/>
    </row>
    <row r="87" spans="1:53">
      <c r="A87" s="250">
        <f t="shared" si="482"/>
        <v>72</v>
      </c>
      <c r="B87" s="208" t="s">
        <v>714</v>
      </c>
      <c r="C87" s="102"/>
      <c r="D87" s="102"/>
      <c r="E87" s="102"/>
      <c r="F87" s="974"/>
      <c r="G87" s="974"/>
      <c r="H87" s="974"/>
      <c r="I87" s="974"/>
      <c r="J87" s="974"/>
      <c r="K87" s="974"/>
      <c r="L87" s="974"/>
      <c r="M87" s="974"/>
      <c r="N87" s="974"/>
      <c r="O87" s="974"/>
      <c r="P87" s="974"/>
      <c r="Q87" s="974"/>
      <c r="R87" s="974"/>
      <c r="S87" s="116"/>
      <c r="T87" s="116"/>
      <c r="U87" s="106"/>
      <c r="V87" s="998"/>
      <c r="W87" s="998"/>
      <c r="X87" s="998"/>
      <c r="Y87" s="998"/>
      <c r="Z87" s="998"/>
      <c r="AA87" s="998"/>
      <c r="AB87" s="998"/>
      <c r="AC87" s="998"/>
      <c r="AD87" s="998"/>
      <c r="AE87" s="998"/>
      <c r="AF87" s="998"/>
      <c r="AG87" s="998"/>
      <c r="AH87" s="106"/>
      <c r="AI87" s="133"/>
      <c r="AJ87" s="116"/>
      <c r="AK87" s="106"/>
      <c r="AL87" s="1016"/>
      <c r="AM87" s="1016"/>
      <c r="AN87" s="1016"/>
      <c r="AO87" s="1016"/>
      <c r="AP87" s="1016"/>
      <c r="AQ87" s="1016"/>
      <c r="AR87" s="1016"/>
      <c r="AS87" s="1016"/>
      <c r="AT87" s="1016"/>
      <c r="AU87" s="1016"/>
      <c r="AV87" s="1016"/>
      <c r="AW87" s="1016"/>
      <c r="AX87" s="106"/>
      <c r="AY87" s="133"/>
      <c r="AZ87" s="133"/>
      <c r="BA87" s="116"/>
    </row>
    <row r="88" spans="1:53">
      <c r="A88" s="250">
        <f t="shared" si="482"/>
        <v>73</v>
      </c>
      <c r="B88" s="208"/>
      <c r="C88" s="102" t="s">
        <v>258</v>
      </c>
      <c r="D88" s="102" t="s">
        <v>223</v>
      </c>
      <c r="E88" s="102"/>
      <c r="U88" s="102"/>
      <c r="AH88" s="102"/>
      <c r="AK88" s="102"/>
      <c r="AW88" s="1029"/>
      <c r="AX88" s="102"/>
    </row>
    <row r="89" spans="1:53">
      <c r="A89" s="250">
        <f t="shared" si="482"/>
        <v>74</v>
      </c>
      <c r="B89" s="208"/>
      <c r="C89" s="102"/>
      <c r="D89" s="102"/>
      <c r="E89" s="102" t="s">
        <v>592</v>
      </c>
      <c r="F89" s="974">
        <f>'Rate Base'!S87</f>
        <v>11584.02</v>
      </c>
      <c r="G89" s="974">
        <f>'Rate Base'!T87</f>
        <v>11584.02</v>
      </c>
      <c r="H89" s="974">
        <f>'Rate Base'!U87</f>
        <v>11584.02</v>
      </c>
      <c r="I89" s="974">
        <f>'Rate Base'!V87</f>
        <v>11584.02</v>
      </c>
      <c r="J89" s="974">
        <f>'Rate Base'!W87</f>
        <v>11584.02</v>
      </c>
      <c r="K89" s="974">
        <f>'Rate Base'!X87</f>
        <v>11584.02</v>
      </c>
      <c r="L89" s="974">
        <f>'Rate Base'!Y87</f>
        <v>11584.02</v>
      </c>
      <c r="M89" s="974">
        <f>'Rate Base'!Z87</f>
        <v>11584.02</v>
      </c>
      <c r="N89" s="974">
        <f>'Rate Base'!AA87</f>
        <v>11584.02</v>
      </c>
      <c r="O89" s="974">
        <f>'Rate Base'!AB87</f>
        <v>11584.02</v>
      </c>
      <c r="P89" s="974">
        <f>'Rate Base'!AC87</f>
        <v>11584.02</v>
      </c>
      <c r="Q89" s="974">
        <f>'Rate Base'!AD87</f>
        <v>11584.02</v>
      </c>
      <c r="R89" s="974">
        <f>'Rate Base'!AE87</f>
        <v>11584.02</v>
      </c>
      <c r="S89" s="116"/>
      <c r="T89" s="116">
        <f>((F89/2)+SUM(G89:Q89)+(R89/2))/12</f>
        <v>11584.020000000004</v>
      </c>
      <c r="U89" s="116">
        <f>+R89</f>
        <v>11584.02</v>
      </c>
      <c r="V89" s="998">
        <f t="shared" ref="V89" si="540">(U89/U91)*V91</f>
        <v>11584.02</v>
      </c>
      <c r="W89" s="998">
        <f t="shared" ref="W89" si="541">(V89/V91)*W91</f>
        <v>11584.02</v>
      </c>
      <c r="X89" s="998">
        <f t="shared" ref="X89" si="542">(W89/W91)*X91</f>
        <v>11584.02</v>
      </c>
      <c r="Y89" s="998">
        <f t="shared" ref="Y89" si="543">(X89/X91)*Y91</f>
        <v>11584.02</v>
      </c>
      <c r="Z89" s="998">
        <f t="shared" ref="Z89" si="544">(Y89/Y91)*Z91</f>
        <v>11584.02</v>
      </c>
      <c r="AA89" s="998">
        <f t="shared" ref="AA89" si="545">(Z89/Z91)*AA91</f>
        <v>11584.02</v>
      </c>
      <c r="AB89" s="998">
        <f t="shared" ref="AB89" si="546">(AA89/AA91)*AB91</f>
        <v>11584.02</v>
      </c>
      <c r="AC89" s="998">
        <f t="shared" ref="AC89" si="547">(AB89/AB91)*AC91</f>
        <v>11584.02</v>
      </c>
      <c r="AD89" s="998">
        <f t="shared" ref="AD89" si="548">(AC89/AC91)*AD91</f>
        <v>11584.02</v>
      </c>
      <c r="AE89" s="998">
        <f t="shared" ref="AE89" si="549">(AD89/AD91)*AE91</f>
        <v>11584.02</v>
      </c>
      <c r="AF89" s="998">
        <f t="shared" ref="AF89" si="550">(AE89/AE91)*AF91</f>
        <v>11584.02</v>
      </c>
      <c r="AG89" s="998">
        <f t="shared" ref="AG89" si="551">(AF89/AF91)*AG91</f>
        <v>11584.02</v>
      </c>
      <c r="AH89" s="106"/>
      <c r="AI89" s="133"/>
      <c r="AJ89" s="116">
        <f>((U89/2)+SUM(V89:AF89)+(AG89/2))/12</f>
        <v>11584.020000000004</v>
      </c>
      <c r="AK89" s="106">
        <f>AG89</f>
        <v>11584.02</v>
      </c>
      <c r="AL89" s="1016">
        <f>(AK89/AK91)*AL91</f>
        <v>11584.02</v>
      </c>
      <c r="AM89" s="1016">
        <f t="shared" ref="AM89:AW89" si="552">(AL89/AL91)*AM91</f>
        <v>11584.02</v>
      </c>
      <c r="AN89" s="1016">
        <f t="shared" si="552"/>
        <v>11584.02</v>
      </c>
      <c r="AO89" s="1016">
        <f t="shared" si="552"/>
        <v>11584.02</v>
      </c>
      <c r="AP89" s="1016">
        <f t="shared" si="552"/>
        <v>11584.02</v>
      </c>
      <c r="AQ89" s="1016">
        <f t="shared" si="552"/>
        <v>11584.02</v>
      </c>
      <c r="AR89" s="1016">
        <f t="shared" si="552"/>
        <v>11584.02</v>
      </c>
      <c r="AS89" s="1016">
        <f t="shared" si="552"/>
        <v>11584.02</v>
      </c>
      <c r="AT89" s="1016">
        <f t="shared" si="552"/>
        <v>11584.02</v>
      </c>
      <c r="AU89" s="1016">
        <f t="shared" si="552"/>
        <v>11584.02</v>
      </c>
      <c r="AV89" s="1016">
        <f t="shared" si="552"/>
        <v>11584.02</v>
      </c>
      <c r="AW89" s="1016">
        <f t="shared" si="552"/>
        <v>11584.02</v>
      </c>
      <c r="AX89" s="102"/>
      <c r="AY89" s="116"/>
      <c r="AZ89" s="116"/>
      <c r="BA89" s="116">
        <f>((AK89/2)+SUM(AL89:AV89)+(AW89/2))/12</f>
        <v>11584.020000000004</v>
      </c>
    </row>
    <row r="90" spans="1:53">
      <c r="A90" s="250">
        <f t="shared" si="482"/>
        <v>75</v>
      </c>
      <c r="B90" s="208"/>
      <c r="C90" s="102"/>
      <c r="D90" s="102"/>
      <c r="E90" s="102" t="s">
        <v>593</v>
      </c>
      <c r="F90" s="985">
        <f>'Rate Base'!S88</f>
        <v>3775953.85</v>
      </c>
      <c r="G90" s="985">
        <f>'Rate Base'!T88</f>
        <v>3775953.85</v>
      </c>
      <c r="H90" s="985">
        <f>'Rate Base'!U88</f>
        <v>3775953.85</v>
      </c>
      <c r="I90" s="985">
        <f>'Rate Base'!V88</f>
        <v>3775953.85</v>
      </c>
      <c r="J90" s="985">
        <f>'Rate Base'!W88</f>
        <v>3775953.85</v>
      </c>
      <c r="K90" s="985">
        <f>'Rate Base'!X88</f>
        <v>3775953.85</v>
      </c>
      <c r="L90" s="985">
        <f>'Rate Base'!Y88</f>
        <v>3775953.85</v>
      </c>
      <c r="M90" s="985">
        <f>'Rate Base'!Z88</f>
        <v>3775953.85</v>
      </c>
      <c r="N90" s="985">
        <f>'Rate Base'!AA88</f>
        <v>3775953.85</v>
      </c>
      <c r="O90" s="985">
        <f>'Rate Base'!AB88</f>
        <v>3775953.85</v>
      </c>
      <c r="P90" s="985">
        <f>'Rate Base'!AC88</f>
        <v>3775953.85</v>
      </c>
      <c r="Q90" s="985">
        <f>'Rate Base'!AD88</f>
        <v>3775953.85</v>
      </c>
      <c r="R90" s="985">
        <f>'Rate Base'!AE88</f>
        <v>3775953.85</v>
      </c>
      <c r="S90" s="116"/>
      <c r="T90" s="256">
        <f>((F90/2)+SUM(G90:Q90)+(R90/2))/12</f>
        <v>3775953.85</v>
      </c>
      <c r="U90" s="256">
        <f>+R90</f>
        <v>3775953.85</v>
      </c>
      <c r="V90" s="998">
        <f t="shared" ref="V90" si="553">(U90/U91)*V91</f>
        <v>3775953.85</v>
      </c>
      <c r="W90" s="998">
        <f t="shared" ref="W90" si="554">(V90/V91)*W91</f>
        <v>3775953.85</v>
      </c>
      <c r="X90" s="998">
        <f t="shared" ref="X90" si="555">(W90/W91)*X91</f>
        <v>3775953.85</v>
      </c>
      <c r="Y90" s="998">
        <f t="shared" ref="Y90" si="556">(X90/X91)*Y91</f>
        <v>3775953.85</v>
      </c>
      <c r="Z90" s="998">
        <f t="shared" ref="Z90" si="557">(Y90/Y91)*Z91</f>
        <v>3775953.85</v>
      </c>
      <c r="AA90" s="998">
        <f t="shared" ref="AA90" si="558">(Z90/Z91)*AA91</f>
        <v>3775953.85</v>
      </c>
      <c r="AB90" s="998">
        <f t="shared" ref="AB90" si="559">(AA90/AA91)*AB91</f>
        <v>3775953.85</v>
      </c>
      <c r="AC90" s="998">
        <f t="shared" ref="AC90" si="560">(AB90/AB91)*AC91</f>
        <v>3775953.85</v>
      </c>
      <c r="AD90" s="998">
        <f t="shared" ref="AD90" si="561">(AC90/AC91)*AD91</f>
        <v>3775953.85</v>
      </c>
      <c r="AE90" s="998">
        <f t="shared" ref="AE90" si="562">(AD90/AD91)*AE91</f>
        <v>3775953.85</v>
      </c>
      <c r="AF90" s="998">
        <f t="shared" ref="AF90" si="563">(AE90/AE91)*AF91</f>
        <v>3775953.85</v>
      </c>
      <c r="AG90" s="998">
        <f t="shared" ref="AG90" si="564">(AF90/AF91)*AG91</f>
        <v>3775953.85</v>
      </c>
      <c r="AH90" s="396"/>
      <c r="AI90" s="395"/>
      <c r="AJ90" s="256">
        <f>((U90/2)+SUM(V90:AF90)+(AG90/2))/12</f>
        <v>3775953.85</v>
      </c>
      <c r="AK90" s="106">
        <f>AG90</f>
        <v>3775953.85</v>
      </c>
      <c r="AL90" s="1016">
        <f>(AK90/AK91)*AL91</f>
        <v>3775953.85</v>
      </c>
      <c r="AM90" s="1016">
        <f t="shared" ref="AM90" si="565">(AL90/AL91)*AM91</f>
        <v>3775953.85</v>
      </c>
      <c r="AN90" s="1016">
        <f t="shared" ref="AN90" si="566">(AM90/AM91)*AN91</f>
        <v>3775953.85</v>
      </c>
      <c r="AO90" s="1016">
        <f t="shared" ref="AO90" si="567">(AN90/AN91)*AO91</f>
        <v>3775953.85</v>
      </c>
      <c r="AP90" s="1016">
        <f t="shared" ref="AP90" si="568">(AO90/AO91)*AP91</f>
        <v>3775953.85</v>
      </c>
      <c r="AQ90" s="1016">
        <f t="shared" ref="AQ90" si="569">(AP90/AP91)*AQ91</f>
        <v>3775953.85</v>
      </c>
      <c r="AR90" s="1016">
        <f t="shared" ref="AR90" si="570">(AQ90/AQ91)*AR91</f>
        <v>3775953.85</v>
      </c>
      <c r="AS90" s="1016">
        <f t="shared" ref="AS90" si="571">(AR90/AR91)*AS91</f>
        <v>3775953.85</v>
      </c>
      <c r="AT90" s="1016">
        <f t="shared" ref="AT90" si="572">(AS90/AS91)*AT91</f>
        <v>3775953.85</v>
      </c>
      <c r="AU90" s="1016">
        <f t="shared" ref="AU90" si="573">(AT90/AT91)*AU91</f>
        <v>3775953.85</v>
      </c>
      <c r="AV90" s="1016">
        <f t="shared" ref="AV90" si="574">(AU90/AU91)*AV91</f>
        <v>3775953.85</v>
      </c>
      <c r="AW90" s="1016">
        <f t="shared" ref="AW90" si="575">(AV90/AV91)*AW91</f>
        <v>3775953.85</v>
      </c>
      <c r="AX90" s="396"/>
      <c r="AY90" s="256"/>
      <c r="AZ90" s="256"/>
      <c r="BA90" s="256">
        <f>((AK90/2)+SUM(AL90:AV90)+(AW90/2))/12</f>
        <v>3775953.85</v>
      </c>
    </row>
    <row r="91" spans="1:53">
      <c r="A91" s="250">
        <f t="shared" si="482"/>
        <v>76</v>
      </c>
      <c r="B91" s="208"/>
      <c r="C91" s="102"/>
      <c r="D91" s="102"/>
      <c r="E91" s="102" t="s">
        <v>170</v>
      </c>
      <c r="F91" s="974">
        <f t="shared" ref="F91:R91" si="576">SUM(F89:F90)</f>
        <v>3787537.87</v>
      </c>
      <c r="G91" s="974">
        <f t="shared" si="576"/>
        <v>3787537.87</v>
      </c>
      <c r="H91" s="974">
        <f t="shared" si="576"/>
        <v>3787537.87</v>
      </c>
      <c r="I91" s="974">
        <f t="shared" si="576"/>
        <v>3787537.87</v>
      </c>
      <c r="J91" s="974">
        <f t="shared" si="576"/>
        <v>3787537.87</v>
      </c>
      <c r="K91" s="974">
        <f t="shared" si="576"/>
        <v>3787537.87</v>
      </c>
      <c r="L91" s="974">
        <f t="shared" si="576"/>
        <v>3787537.87</v>
      </c>
      <c r="M91" s="974">
        <f t="shared" si="576"/>
        <v>3787537.87</v>
      </c>
      <c r="N91" s="974">
        <f t="shared" si="576"/>
        <v>3787537.87</v>
      </c>
      <c r="O91" s="974">
        <f t="shared" si="576"/>
        <v>3787537.87</v>
      </c>
      <c r="P91" s="974">
        <f t="shared" si="576"/>
        <v>3787537.87</v>
      </c>
      <c r="Q91" s="974">
        <f t="shared" si="576"/>
        <v>3787537.87</v>
      </c>
      <c r="R91" s="974">
        <f t="shared" si="576"/>
        <v>3787537.87</v>
      </c>
      <c r="S91" s="116"/>
      <c r="T91" s="116">
        <f>SUM(T89:T90)</f>
        <v>3787537.87</v>
      </c>
      <c r="U91" s="116">
        <f>+R91</f>
        <v>3787537.87</v>
      </c>
      <c r="V91" s="1269">
        <f t="shared" ref="V91:AA91" si="577">IF($R91-$F91=0,U91+$AH91/12,U91+((G91-F91)/($R91-$F91))*$AH91)</f>
        <v>3787537.87</v>
      </c>
      <c r="W91" s="1269">
        <f t="shared" si="577"/>
        <v>3787537.87</v>
      </c>
      <c r="X91" s="1269">
        <f t="shared" si="577"/>
        <v>3787537.87</v>
      </c>
      <c r="Y91" s="1269">
        <f t="shared" si="577"/>
        <v>3787537.87</v>
      </c>
      <c r="Z91" s="1269">
        <f t="shared" si="577"/>
        <v>3787537.87</v>
      </c>
      <c r="AA91" s="1269">
        <f t="shared" si="577"/>
        <v>3787537.87</v>
      </c>
      <c r="AB91" s="1269">
        <f>IF($R91-$F91=0,AA91+$AH91/12,AA91+((M91-L91)/($R91-$F91))*$AH91)</f>
        <v>3787537.87</v>
      </c>
      <c r="AC91" s="1269">
        <f t="shared" ref="AC91" si="578">IF($R91-$F91=0,AB91+$AH91/12,AB91+((N91-M91)/($R91-$F91))*$AH91)</f>
        <v>3787537.87</v>
      </c>
      <c r="AD91" s="1269">
        <f t="shared" ref="AD91" si="579">IF($R91-$F91=0,AC91+$AH91/12,AC91+((O91-N91)/($R91-$F91))*$AH91)</f>
        <v>3787537.87</v>
      </c>
      <c r="AE91" s="1269">
        <f t="shared" ref="AE91" si="580">IF($R91-$F91=0,AD91+$AH91/12,AD91+((P91-O91)/($R91-$F91))*$AH91)</f>
        <v>3787537.87</v>
      </c>
      <c r="AF91" s="1269">
        <f t="shared" ref="AF91" si="581">IF($R91-$F91=0,AE91+$AH91/12,AE91+((Q91-P91)/($R91-$F91))*$AH91)</f>
        <v>3787537.87</v>
      </c>
      <c r="AG91" s="1269">
        <f t="shared" ref="AG91" si="582">IF($R91-$F91=0,AF91+$AH91/12,AF91+((R91-Q91)/($R91-$F91))*$AH91)</f>
        <v>3787537.87</v>
      </c>
      <c r="AH91" s="106">
        <f>+'101_106 PROJECTION'!N24</f>
        <v>0</v>
      </c>
      <c r="AI91" s="393">
        <f>+AG91-U91</f>
        <v>0</v>
      </c>
      <c r="AJ91" s="116">
        <f>SUM(AJ89:AJ90)</f>
        <v>3787537.87</v>
      </c>
      <c r="AK91" s="1039">
        <f>AG91</f>
        <v>3787537.87</v>
      </c>
      <c r="AL91" s="1041">
        <f>IF($R91-$F91=0,AK91+$AX91/12,AK91+((G91-F91)/($R91-$F91))*$AX91)</f>
        <v>3787537.87</v>
      </c>
      <c r="AM91" s="1041">
        <f t="shared" ref="AM91" si="583">IF($R91-$F91=0,AL91+$AX91/12,AL91+((H91-G91)/($R91-$F91))*$AX91)</f>
        <v>3787537.87</v>
      </c>
      <c r="AN91" s="1041">
        <f t="shared" ref="AN91" si="584">IF($R91-$F91=0,AM91+$AX91/12,AM91+((I91-H91)/($R91-$F91))*$AX91)</f>
        <v>3787537.87</v>
      </c>
      <c r="AO91" s="1041">
        <f t="shared" ref="AO91" si="585">IF($R91-$F91=0,AN91+$AX91/12,AN91+((J91-I91)/($R91-$F91))*$AX91)</f>
        <v>3787537.87</v>
      </c>
      <c r="AP91" s="1041">
        <f t="shared" ref="AP91" si="586">IF($R91-$F91=0,AO91+$AX91/12,AO91+((K91-J91)/($R91-$F91))*$AX91)</f>
        <v>3787537.87</v>
      </c>
      <c r="AQ91" s="1041">
        <f t="shared" ref="AQ91" si="587">IF($R91-$F91=0,AP91+$AX91/12,AP91+((L91-K91)/($R91-$F91))*$AX91)</f>
        <v>3787537.87</v>
      </c>
      <c r="AR91" s="1041">
        <f t="shared" ref="AR91" si="588">IF($R91-$F91=0,AQ91+$AX91/12,AQ91+((M91-L91)/($R91-$F91))*$AX91)</f>
        <v>3787537.87</v>
      </c>
      <c r="AS91" s="1041">
        <f t="shared" ref="AS91" si="589">IF($R91-$F91=0,AR91+$AX91/12,AR91+((N91-M91)/($R91-$F91))*$AX91)</f>
        <v>3787537.87</v>
      </c>
      <c r="AT91" s="1041">
        <f t="shared" ref="AT91" si="590">IF($R91-$F91=0,AS91+$AX91/12,AS91+((O91-N91)/($R91-$F91))*$AX91)</f>
        <v>3787537.87</v>
      </c>
      <c r="AU91" s="1041">
        <f t="shared" ref="AU91" si="591">IF($R91-$F91=0,AT91+$AX91/12,AT91+((P91-O91)/($R91-$F91))*$AX91)</f>
        <v>3787537.87</v>
      </c>
      <c r="AV91" s="1041">
        <f t="shared" ref="AV91" si="592">IF($R91-$F91=0,AU91+$AX91/12,AU91+((Q91-P91)/($R91-$F91))*$AX91)</f>
        <v>3787537.87</v>
      </c>
      <c r="AW91" s="1041">
        <f t="shared" ref="AW91" si="593">IF($R91-$F91=0,AV91+$AX91/12,AV91+((R91-Q91)/($R91-$F91))*$AX91)</f>
        <v>3787537.87</v>
      </c>
      <c r="AX91" s="106"/>
      <c r="AY91" s="116">
        <f>+AW91-AK91</f>
        <v>0</v>
      </c>
      <c r="AZ91" s="116"/>
      <c r="BA91" s="116">
        <f>SUM(BA89:BA90)</f>
        <v>3787537.87</v>
      </c>
    </row>
    <row r="92" spans="1:53">
      <c r="A92" s="250">
        <f t="shared" si="482"/>
        <v>77</v>
      </c>
      <c r="B92" s="208"/>
      <c r="C92" s="102"/>
      <c r="D92" s="102"/>
      <c r="E92" s="102"/>
      <c r="F92" s="974"/>
      <c r="G92" s="974"/>
      <c r="H92" s="974"/>
      <c r="I92" s="974"/>
      <c r="J92" s="974"/>
      <c r="K92" s="974"/>
      <c r="L92" s="974"/>
      <c r="M92" s="974"/>
      <c r="N92" s="974"/>
      <c r="O92" s="974"/>
      <c r="P92" s="974"/>
      <c r="Q92" s="974"/>
      <c r="R92" s="974"/>
      <c r="U92" s="102"/>
      <c r="AH92" s="116"/>
      <c r="AI92" s="116"/>
      <c r="AK92" s="116"/>
      <c r="AW92" s="1016"/>
      <c r="AX92" s="396">
        <f>+'101_106 PROJECTION'!$T$24</f>
        <v>0</v>
      </c>
      <c r="AY92" s="116"/>
      <c r="AZ92" s="116"/>
    </row>
    <row r="93" spans="1:53">
      <c r="A93" s="250">
        <f t="shared" si="482"/>
        <v>78</v>
      </c>
      <c r="B93" s="208"/>
      <c r="C93" s="102" t="s">
        <v>259</v>
      </c>
      <c r="D93" s="102" t="s">
        <v>240</v>
      </c>
      <c r="E93" s="102"/>
      <c r="U93" s="102"/>
      <c r="AH93" s="102"/>
      <c r="AK93" s="102"/>
      <c r="AX93" s="102"/>
    </row>
    <row r="94" spans="1:53">
      <c r="A94" s="250">
        <f t="shared" si="482"/>
        <v>79</v>
      </c>
      <c r="B94" s="208"/>
      <c r="C94" s="102"/>
      <c r="D94" s="102"/>
      <c r="E94" s="102" t="s">
        <v>592</v>
      </c>
      <c r="F94" s="974">
        <f>'Rate Base'!S92</f>
        <v>1607117.2</v>
      </c>
      <c r="G94" s="974">
        <f>'Rate Base'!T92</f>
        <v>1607117.2</v>
      </c>
      <c r="H94" s="974">
        <f>'Rate Base'!U92</f>
        <v>1607117.2</v>
      </c>
      <c r="I94" s="974">
        <f>'Rate Base'!V92</f>
        <v>1607117.2</v>
      </c>
      <c r="J94" s="974">
        <f>'Rate Base'!W92</f>
        <v>1607117.2</v>
      </c>
      <c r="K94" s="974">
        <f>'Rate Base'!X92</f>
        <v>1610054.2</v>
      </c>
      <c r="L94" s="974">
        <f>'Rate Base'!Y92</f>
        <v>1610054.2</v>
      </c>
      <c r="M94" s="974">
        <f>'Rate Base'!Z92</f>
        <v>1610054.2</v>
      </c>
      <c r="N94" s="974">
        <f>'Rate Base'!AA92</f>
        <v>1610054.2</v>
      </c>
      <c r="O94" s="974">
        <f>'Rate Base'!AB92</f>
        <v>1610054.2</v>
      </c>
      <c r="P94" s="974">
        <f>'Rate Base'!AC92</f>
        <v>1610054.2</v>
      </c>
      <c r="Q94" s="974">
        <f>'Rate Base'!AD92</f>
        <v>1614630.2</v>
      </c>
      <c r="R94" s="974">
        <f>'Rate Base'!AE92</f>
        <v>1617860.54</v>
      </c>
      <c r="S94" s="116"/>
      <c r="T94" s="116">
        <f>((F94/2)+SUM(G94:Q94)+(R94/2))/12</f>
        <v>1609659.4224999996</v>
      </c>
      <c r="U94" s="106">
        <f>+R94</f>
        <v>1617860.54</v>
      </c>
      <c r="V94" s="998">
        <f t="shared" ref="V94" ca="1" si="594">(U94/U97)*V97</f>
        <v>1654812.9633460529</v>
      </c>
      <c r="W94" s="998">
        <f t="shared" ref="W94" ca="1" si="595">(V94/V97)*W97</f>
        <v>1658192.5365368847</v>
      </c>
      <c r="X94" s="998">
        <f t="shared" ref="X94" ca="1" si="596">(W94/W97)*X97</f>
        <v>1662994.0694648577</v>
      </c>
      <c r="Y94" s="998">
        <f t="shared" ref="Y94" ca="1" si="597">(X94/X97)*Y97</f>
        <v>1683822.4174662707</v>
      </c>
      <c r="Z94" s="998">
        <f t="shared" ref="Z94" ca="1" si="598">(Y94/Y97)*Z97</f>
        <v>1693643.1398271555</v>
      </c>
      <c r="AA94" s="998">
        <f t="shared" ref="AA94" ca="1" si="599">(Z94/Z97)*AA97</f>
        <v>1687017.4616992727</v>
      </c>
      <c r="AB94" s="998">
        <f t="shared" ref="AB94" ca="1" si="600">(AA94/AA97)*AB97</f>
        <v>1684140.6874711255</v>
      </c>
      <c r="AC94" s="998">
        <f t="shared" ref="AC94" ca="1" si="601">(AB94/AB97)*AC97</f>
        <v>1691167.4695623247</v>
      </c>
      <c r="AD94" s="998">
        <f t="shared" ref="AD94" ca="1" si="602">(AC94/AC97)*AD97</f>
        <v>1691167.4695623247</v>
      </c>
      <c r="AE94" s="998">
        <f t="shared" ref="AE94" ca="1" si="603">(AD94/AD97)*AE97</f>
        <v>1693038.8497828874</v>
      </c>
      <c r="AF94" s="998">
        <f t="shared" ref="AF94" ca="1" si="604">(AE94/AE97)*AF97</f>
        <v>1715277.2722487403</v>
      </c>
      <c r="AG94" s="998">
        <f t="shared" ref="AG94" ca="1" si="605">(AF94/AF97)*AG97</f>
        <v>1717270.7876148631</v>
      </c>
      <c r="AH94" s="106"/>
      <c r="AI94" s="133"/>
      <c r="AJ94" s="116">
        <f ca="1">((U94/2)+SUM(V94:AF94)+(AG94/2))/12</f>
        <v>1681903.3333979442</v>
      </c>
      <c r="AK94" s="106">
        <f ca="1">AG94</f>
        <v>1717270.7876148631</v>
      </c>
      <c r="AL94" s="1016">
        <f ca="1">(AK94/AK97)*AL97</f>
        <v>1772924.5220210899</v>
      </c>
      <c r="AM94" s="1016">
        <f t="shared" ref="AM94:AW94" ca="1" si="606">(AL94/AL97)*AM97</f>
        <v>1778014.4688158524</v>
      </c>
      <c r="AN94" s="1016">
        <f t="shared" ca="1" si="606"/>
        <v>1785246.0172264574</v>
      </c>
      <c r="AO94" s="1016">
        <f t="shared" ca="1" si="606"/>
        <v>1816615.4171961325</v>
      </c>
      <c r="AP94" s="1016">
        <f t="shared" ca="1" si="606"/>
        <v>1831406.3246511468</v>
      </c>
      <c r="AQ94" s="1016">
        <f t="shared" ca="1" si="606"/>
        <v>1821427.4464775254</v>
      </c>
      <c r="AR94" s="1016">
        <f t="shared" ca="1" si="606"/>
        <v>1817094.7609770203</v>
      </c>
      <c r="AS94" s="1016">
        <f t="shared" ca="1" si="606"/>
        <v>1827677.7384605738</v>
      </c>
      <c r="AT94" s="1016">
        <f t="shared" ca="1" si="606"/>
        <v>1827677.7384605738</v>
      </c>
      <c r="AU94" s="1016">
        <f t="shared" ca="1" si="606"/>
        <v>1830496.2084914269</v>
      </c>
      <c r="AV94" s="1016">
        <f t="shared" ca="1" si="606"/>
        <v>1863989.3097675643</v>
      </c>
      <c r="AW94" s="1016">
        <f t="shared" ca="1" si="606"/>
        <v>1866991.7265152277</v>
      </c>
      <c r="AX94" s="106"/>
      <c r="AY94" s="133"/>
      <c r="AZ94" s="133"/>
      <c r="BA94" s="116">
        <f ca="1">((AK94/2)+SUM(AL94:AV94)+(AW94/2))/12</f>
        <v>1813725.1008008672</v>
      </c>
    </row>
    <row r="95" spans="1:53">
      <c r="A95" s="250">
        <f t="shared" si="482"/>
        <v>80</v>
      </c>
      <c r="B95" s="208"/>
      <c r="C95" s="102"/>
      <c r="D95" s="102"/>
      <c r="E95" s="102" t="s">
        <v>593</v>
      </c>
      <c r="F95" s="974">
        <f>'Rate Base'!S93</f>
        <v>41645291.410000004</v>
      </c>
      <c r="G95" s="974">
        <f>'Rate Base'!T93</f>
        <v>42582632.790000007</v>
      </c>
      <c r="H95" s="974">
        <f>'Rate Base'!U93</f>
        <v>42648696.68999999</v>
      </c>
      <c r="I95" s="974">
        <f>'Rate Base'!V93</f>
        <v>42696717.989999995</v>
      </c>
      <c r="J95" s="974">
        <f>'Rate Base'!W93</f>
        <v>43235000.579999991</v>
      </c>
      <c r="K95" s="974">
        <f>'Rate Base'!X93</f>
        <v>43485867.859999999</v>
      </c>
      <c r="L95" s="974">
        <f>'Rate Base'!Y93</f>
        <v>43277352.829999998</v>
      </c>
      <c r="M95" s="974">
        <f>'Rate Base'!Z93</f>
        <v>43268310.270000003</v>
      </c>
      <c r="N95" s="974">
        <f>'Rate Base'!AA93</f>
        <v>43449156.890000001</v>
      </c>
      <c r="O95" s="974">
        <f>'Rate Base'!AB93</f>
        <v>43449156.890000001</v>
      </c>
      <c r="P95" s="974">
        <f>'Rate Base'!AC93</f>
        <v>43497520.36999999</v>
      </c>
      <c r="Q95" s="974">
        <f>'Rate Base'!AD93</f>
        <v>44011187.289999992</v>
      </c>
      <c r="R95" s="974">
        <f>'Rate Base'!AE93</f>
        <v>44053641.369999982</v>
      </c>
      <c r="S95" s="116"/>
      <c r="T95" s="116">
        <f>((F95/2)+SUM(G95:Q95)+(R95/2))/12</f>
        <v>43204255.569999993</v>
      </c>
      <c r="U95" s="106">
        <f>+R95</f>
        <v>44053641.369999982</v>
      </c>
      <c r="V95" s="998">
        <f t="shared" ref="V95" ca="1" si="607">(U95/U97)*V97</f>
        <v>45059839.843596131</v>
      </c>
      <c r="W95" s="998">
        <f t="shared" ref="W95" ca="1" si="608">(V95/V97)*W97</f>
        <v>45151864.156972714</v>
      </c>
      <c r="X95" s="998">
        <f t="shared" ref="X95" ca="1" si="609">(W95/W97)*X97</f>
        <v>45282607.817755222</v>
      </c>
      <c r="Y95" s="998">
        <f t="shared" ref="Y95" ca="1" si="610">(X95/X97)*Y97</f>
        <v>45849754.707427062</v>
      </c>
      <c r="Z95" s="998">
        <f t="shared" ref="Z95" ca="1" si="611">(Y95/Y97)*Z97</f>
        <v>46117168.721295498</v>
      </c>
      <c r="AA95" s="998">
        <f t="shared" ref="AA95" ca="1" si="612">(Z95/Z97)*AA97</f>
        <v>45936754.377251484</v>
      </c>
      <c r="AB95" s="998">
        <f t="shared" ref="AB95" ca="1" si="613">(AA95/AA97)*AB97</f>
        <v>45858421.061730206</v>
      </c>
      <c r="AC95" s="998">
        <f t="shared" ref="AC95" ca="1" si="614">(AB95/AB97)*AC97</f>
        <v>46049757.292868413</v>
      </c>
      <c r="AD95" s="998">
        <f t="shared" ref="AD95" ca="1" si="615">(AC95/AC97)*AD97</f>
        <v>46049757.292868413</v>
      </c>
      <c r="AE95" s="998">
        <f t="shared" ref="AE95" ca="1" si="616">(AD95/AD97)*AE97</f>
        <v>46100714.165271997</v>
      </c>
      <c r="AF95" s="998">
        <f t="shared" ref="AF95" ca="1" si="617">(AE95/AE97)*AF97</f>
        <v>46706256.771524847</v>
      </c>
      <c r="AG95" s="998">
        <f t="shared" ref="AG95" ca="1" si="618">(AF95/AF97)*AG97</f>
        <v>46760539.331012182</v>
      </c>
      <c r="AH95" s="106"/>
      <c r="AI95" s="133"/>
      <c r="AJ95" s="116">
        <f ca="1">((U95/2)+SUM(V95:AF95)+(AG95/2))/12</f>
        <v>45797498.879922338</v>
      </c>
      <c r="AK95" s="106">
        <f ca="1">AG95</f>
        <v>46760539.331012182</v>
      </c>
      <c r="AL95" s="1016">
        <f ca="1">(AK95/AK97)*AL97</f>
        <v>48275966.400166824</v>
      </c>
      <c r="AM95" s="1016">
        <f t="shared" ref="AM95:AW95" ca="1" si="619">(AL95/AL97)*AM97</f>
        <v>48414563.445551746</v>
      </c>
      <c r="AN95" s="1016">
        <f t="shared" ca="1" si="619"/>
        <v>48611475.374827549</v>
      </c>
      <c r="AO95" s="1016">
        <f t="shared" ca="1" si="619"/>
        <v>49465650.541406587</v>
      </c>
      <c r="AP95" s="1016">
        <f t="shared" ca="1" si="619"/>
        <v>49868400.541452982</v>
      </c>
      <c r="AQ95" s="1016">
        <f t="shared" ca="1" si="619"/>
        <v>49596680.013343908</v>
      </c>
      <c r="AR95" s="1016">
        <f t="shared" ca="1" si="619"/>
        <v>49478702.864826366</v>
      </c>
      <c r="AS95" s="1016">
        <f t="shared" ca="1" si="619"/>
        <v>49766872.755345643</v>
      </c>
      <c r="AT95" s="1016">
        <f t="shared" ca="1" si="619"/>
        <v>49766872.755345643</v>
      </c>
      <c r="AU95" s="1016">
        <f t="shared" ca="1" si="619"/>
        <v>49843618.472841971</v>
      </c>
      <c r="AV95" s="1016">
        <f t="shared" ca="1" si="619"/>
        <v>50755621.105644949</v>
      </c>
      <c r="AW95" s="1016">
        <f t="shared" ca="1" si="619"/>
        <v>50837375.612522803</v>
      </c>
      <c r="AX95" s="106"/>
      <c r="AY95" s="133"/>
      <c r="AZ95" s="133"/>
      <c r="BA95" s="116">
        <f ca="1">((AK95/2)+SUM(AL95:AV95)+(AW95/2))/12</f>
        <v>49386948.478543483</v>
      </c>
    </row>
    <row r="96" spans="1:53">
      <c r="A96" s="250">
        <f t="shared" si="482"/>
        <v>81</v>
      </c>
      <c r="B96" s="208"/>
      <c r="C96" s="102"/>
      <c r="D96" s="102"/>
      <c r="E96" s="102" t="s">
        <v>595</v>
      </c>
      <c r="F96" s="985">
        <f>'Rate Base'!S94</f>
        <v>50926959.789999999</v>
      </c>
      <c r="G96" s="985">
        <f>'Rate Base'!T94</f>
        <v>50944607.549999997</v>
      </c>
      <c r="H96" s="985">
        <f>'Rate Base'!U94</f>
        <v>50965884.490000002</v>
      </c>
      <c r="I96" s="985">
        <f>'Rate Base'!V94</f>
        <v>51041952.799999997</v>
      </c>
      <c r="J96" s="985">
        <f>'Rate Base'!W94</f>
        <v>51041952.800000004</v>
      </c>
      <c r="K96" s="985">
        <f>'Rate Base'!X94</f>
        <v>51041952.799999997</v>
      </c>
      <c r="L96" s="985">
        <f>'Rate Base'!Y94</f>
        <v>51079235.469999999</v>
      </c>
      <c r="M96" s="985">
        <f>'Rate Base'!Z94</f>
        <v>51013931.399999999</v>
      </c>
      <c r="N96" s="985">
        <f>'Rate Base'!AA94</f>
        <v>51014683.170000002</v>
      </c>
      <c r="O96" s="985">
        <f>'Rate Base'!AB94</f>
        <v>51014683.170000002</v>
      </c>
      <c r="P96" s="985">
        <f>'Rate Base'!AC94</f>
        <v>51014683.170000002</v>
      </c>
      <c r="Q96" s="985">
        <f>'Rate Base'!AD94</f>
        <v>51071164.450000003</v>
      </c>
      <c r="R96" s="985">
        <f>'Rate Base'!AE94</f>
        <v>51076999.940000005</v>
      </c>
      <c r="S96" s="116"/>
      <c r="T96" s="256">
        <f>((F96/2)+SUM(G96:Q96)+(R96/2))/12</f>
        <v>51020559.261249997</v>
      </c>
      <c r="U96" s="396">
        <f>+R96</f>
        <v>51076999.940000005</v>
      </c>
      <c r="V96" s="998">
        <f t="shared" ref="V96" ca="1" si="620">(U96/U97)*V97</f>
        <v>52243614.044469856</v>
      </c>
      <c r="W96" s="998">
        <f t="shared" ref="W96" ca="1" si="621">(V96/V97)*W97</f>
        <v>52350309.557091318</v>
      </c>
      <c r="X96" s="998">
        <f t="shared" ref="X96" ca="1" si="622">(W96/W97)*X97</f>
        <v>52501897.342942119</v>
      </c>
      <c r="Y96" s="998">
        <f t="shared" ref="Y96" ca="1" si="623">(X96/X97)*Y97</f>
        <v>53159463.000374168</v>
      </c>
      <c r="Z96" s="998">
        <f t="shared" ref="Z96" ca="1" si="624">(Y96/Y97)*Z97</f>
        <v>53469510.14166712</v>
      </c>
      <c r="AA96" s="998">
        <f t="shared" ref="AA96" ca="1" si="625">(Z96/Z97)*AA97</f>
        <v>53260332.803464457</v>
      </c>
      <c r="AB96" s="998">
        <f t="shared" ref="AB96" ca="1" si="626">(AA96/AA97)*AB97</f>
        <v>53169511.009221017</v>
      </c>
      <c r="AC96" s="998">
        <f t="shared" ref="AC96" ca="1" si="627">(AB96/AB97)*AC97</f>
        <v>53391351.482844643</v>
      </c>
      <c r="AD96" s="998">
        <f t="shared" ref="AD96" ca="1" si="628">(AC96/AC97)*AD97</f>
        <v>53391351.482844643</v>
      </c>
      <c r="AE96" s="998">
        <f t="shared" ref="AE96" ca="1" si="629">(AD96/AD97)*AE97</f>
        <v>53450432.278160527</v>
      </c>
      <c r="AF96" s="998">
        <f t="shared" ref="AF96" ca="1" si="630">(AE96/AE97)*AF97</f>
        <v>54152514.982368194</v>
      </c>
      <c r="AG96" s="998">
        <f t="shared" ref="AG96" ca="1" si="631">(AF96/AF97)*AG97</f>
        <v>54215451.67049326</v>
      </c>
      <c r="AH96" s="396"/>
      <c r="AI96" s="395"/>
      <c r="AJ96" s="256">
        <f ca="1">((U96/2)+SUM(V96:AF96)+(AG96/2))/12</f>
        <v>53098876.160891235</v>
      </c>
      <c r="AK96" s="106">
        <f ca="1">AG96</f>
        <v>54215451.67049326</v>
      </c>
      <c r="AL96" s="1016">
        <f ca="1">(AK96/AK97)*AL97</f>
        <v>55972479.373837598</v>
      </c>
      <c r="AM96" s="1016">
        <f t="shared" ref="AM96:AW96" ca="1" si="632">(AL96/AL97)*AM97</f>
        <v>56133172.589169174</v>
      </c>
      <c r="AN96" s="1016">
        <f t="shared" ca="1" si="632"/>
        <v>56361477.680122554</v>
      </c>
      <c r="AO96" s="1016">
        <f t="shared" ca="1" si="632"/>
        <v>57351831.793320052</v>
      </c>
      <c r="AP96" s="1016">
        <f t="shared" ca="1" si="632"/>
        <v>57818791.188468114</v>
      </c>
      <c r="AQ96" s="1016">
        <f t="shared" ca="1" si="632"/>
        <v>57503750.956461877</v>
      </c>
      <c r="AR96" s="1016">
        <f t="shared" ca="1" si="632"/>
        <v>57366965.015042394</v>
      </c>
      <c r="AS96" s="1016">
        <f t="shared" ca="1" si="632"/>
        <v>57701077.088937521</v>
      </c>
      <c r="AT96" s="1016">
        <f t="shared" ca="1" si="632"/>
        <v>57701077.088937521</v>
      </c>
      <c r="AU96" s="1016">
        <f t="shared" ca="1" si="632"/>
        <v>57790058.178492233</v>
      </c>
      <c r="AV96" s="1016">
        <f t="shared" ca="1" si="632"/>
        <v>58847459.041901439</v>
      </c>
      <c r="AW96" s="1016">
        <f t="shared" ca="1" si="632"/>
        <v>58942247.459227107</v>
      </c>
      <c r="AX96" s="396"/>
      <c r="AY96" s="395"/>
      <c r="AZ96" s="395"/>
      <c r="BA96" s="256">
        <f ca="1">((AK96/2)+SUM(AL96:AV96)+(AW96/2))/12</f>
        <v>57260582.463295899</v>
      </c>
    </row>
    <row r="97" spans="1:53">
      <c r="A97" s="250">
        <f t="shared" si="482"/>
        <v>82</v>
      </c>
      <c r="B97" s="208"/>
      <c r="C97" s="102"/>
      <c r="D97" s="102"/>
      <c r="E97" s="102" t="s">
        <v>170</v>
      </c>
      <c r="F97" s="974">
        <f t="shared" ref="F97:R97" si="633">SUM(F94:F96)</f>
        <v>94179368.400000006</v>
      </c>
      <c r="G97" s="974">
        <f t="shared" si="633"/>
        <v>95134357.540000007</v>
      </c>
      <c r="H97" s="974">
        <f t="shared" si="633"/>
        <v>95221698.379999995</v>
      </c>
      <c r="I97" s="974">
        <f t="shared" si="633"/>
        <v>95345787.989999995</v>
      </c>
      <c r="J97" s="974">
        <f t="shared" si="633"/>
        <v>95884070.579999998</v>
      </c>
      <c r="K97" s="974">
        <f t="shared" si="633"/>
        <v>96137874.859999999</v>
      </c>
      <c r="L97" s="974">
        <f t="shared" si="633"/>
        <v>95966642.5</v>
      </c>
      <c r="M97" s="974">
        <f t="shared" si="633"/>
        <v>95892295.870000005</v>
      </c>
      <c r="N97" s="974">
        <f t="shared" si="633"/>
        <v>96073894.260000005</v>
      </c>
      <c r="O97" s="974">
        <f t="shared" si="633"/>
        <v>96073894.260000005</v>
      </c>
      <c r="P97" s="974">
        <f t="shared" si="633"/>
        <v>96122257.739999995</v>
      </c>
      <c r="Q97" s="974">
        <f t="shared" si="633"/>
        <v>96696981.939999998</v>
      </c>
      <c r="R97" s="974">
        <f t="shared" si="633"/>
        <v>96748501.849999994</v>
      </c>
      <c r="S97" s="116"/>
      <c r="T97" s="116">
        <f>SUM(T94:T96)</f>
        <v>95834474.253749996</v>
      </c>
      <c r="U97" s="106">
        <f>+R97</f>
        <v>96748501.849999994</v>
      </c>
      <c r="V97" s="1269">
        <f t="shared" ref="V97:AA97" ca="1" si="634">IF($R97-$F97=0,U97+$AH97/12,U97+((G97-F97)/($R97-$F97))*$AH97)</f>
        <v>98958266.851412043</v>
      </c>
      <c r="W97" s="1269">
        <f t="shared" ca="1" si="634"/>
        <v>99160366.250600919</v>
      </c>
      <c r="X97" s="1269">
        <f t="shared" ca="1" si="634"/>
        <v>99447499.230162203</v>
      </c>
      <c r="Y97" s="1269">
        <f t="shared" ca="1" si="634"/>
        <v>100693040.12526751</v>
      </c>
      <c r="Z97" s="1269">
        <f t="shared" ca="1" si="634"/>
        <v>101280322.00278978</v>
      </c>
      <c r="AA97" s="1269">
        <f t="shared" ca="1" si="634"/>
        <v>100884104.64241521</v>
      </c>
      <c r="AB97" s="1269">
        <f ca="1">IF($R97-$F97=0,AA97+$AH97/12,AA97+((M97-L97)/($R97-$F97))*$AH97)</f>
        <v>100712072.75842234</v>
      </c>
      <c r="AC97" s="1269">
        <f t="shared" ref="AC97" ca="1" si="635">IF($R97-$F97=0,AB97+$AH97/12,AB97+((N97-M97)/($R97-$F97))*$AH97)</f>
        <v>101132276.24527538</v>
      </c>
      <c r="AD97" s="1269">
        <f t="shared" ref="AD97" ca="1" si="636">IF($R97-$F97=0,AC97+$AH97/12,AC97+((O97-N97)/($R97-$F97))*$AH97)</f>
        <v>101132276.24527538</v>
      </c>
      <c r="AE97" s="1269">
        <f t="shared" ref="AE97" ca="1" si="637">IF($R97-$F97=0,AD97+$AH97/12,AD97+((P97-O97)/($R97-$F97))*$AH97)</f>
        <v>101244185.29321541</v>
      </c>
      <c r="AF97" s="1269">
        <f t="shared" ref="AF97" ca="1" si="638">IF($R97-$F97=0,AE97+$AH97/12,AE97+((Q97-P97)/($R97-$F97))*$AH97)</f>
        <v>102574049.02614178</v>
      </c>
      <c r="AG97" s="1269">
        <f t="shared" ref="AG97" ca="1" si="639">IF($R97-$F97=0,AF97+$AH97/12,AF97+((R97-Q97)/($R97-$F97))*$AH97)</f>
        <v>102693261.7891203</v>
      </c>
      <c r="AH97" s="106">
        <f ca="1">+'101_106 PROJECTION'!N25</f>
        <v>5944759.9391203169</v>
      </c>
      <c r="AI97" s="393">
        <f ca="1">+AG97-U97</f>
        <v>5944759.9391203076</v>
      </c>
      <c r="AJ97" s="116">
        <f ca="1">SUM(AJ94:AJ96)</f>
        <v>100578278.37421152</v>
      </c>
      <c r="AK97" s="1039">
        <f ca="1">AG97</f>
        <v>102693261.7891203</v>
      </c>
      <c r="AL97" s="1041">
        <f ca="1">IF($R97-$F97=0,AK97+$AX97/12,AK97+((G97-F97)/($R97-$F97))*$AX97)</f>
        <v>106021370.2960255</v>
      </c>
      <c r="AM97" s="1041">
        <f t="shared" ref="AM97" ca="1" si="640">IF($R97-$F97=0,AL97+$AX97/12,AL97+((H97-G97)/($R97-$F97))*$AX97)</f>
        <v>106325750.50353676</v>
      </c>
      <c r="AN97" s="1041">
        <f t="shared" ref="AN97" ca="1" si="641">IF($R97-$F97=0,AM97+$AX97/12,AM97+((I97-H97)/($R97-$F97))*$AX97)</f>
        <v>106758199.07217655</v>
      </c>
      <c r="AO97" s="1041">
        <f t="shared" ref="AO97" ca="1" si="642">IF($R97-$F97=0,AN97+$AX97/12,AN97+((J97-I97)/($R97-$F97))*$AX97)</f>
        <v>108634097.75192276</v>
      </c>
      <c r="AP97" s="1041">
        <f t="shared" ref="AP97" ca="1" si="643">IF($R97-$F97=0,AO97+$AX97/12,AO97+((K97-J97)/($R97-$F97))*$AX97)</f>
        <v>109518598.05457222</v>
      </c>
      <c r="AQ97" s="1041">
        <f t="shared" ref="AQ97" ca="1" si="644">IF($R97-$F97=0,AP97+$AX97/12,AP97+((L97-K97)/($R97-$F97))*$AX97)</f>
        <v>108921858.41628329</v>
      </c>
      <c r="AR97" s="1041">
        <f t="shared" ref="AR97" ca="1" si="645">IF($R97-$F97=0,AQ97+$AX97/12,AQ97+((M97-L97)/($R97-$F97))*$AX97)</f>
        <v>108662762.64084576</v>
      </c>
      <c r="AS97" s="1041">
        <f t="shared" ref="AS97" ca="1" si="646">IF($R97-$F97=0,AR97+$AX97/12,AR97+((N97-M97)/($R97-$F97))*$AX97)</f>
        <v>109295627.58274372</v>
      </c>
      <c r="AT97" s="1041">
        <f t="shared" ref="AT97" ca="1" si="647">IF($R97-$F97=0,AS97+$AX97/12,AS97+((O97-N97)/($R97-$F97))*$AX97)</f>
        <v>109295627.58274372</v>
      </c>
      <c r="AU97" s="1041">
        <f t="shared" ref="AU97" ca="1" si="648">IF($R97-$F97=0,AT97+$AX97/12,AT97+((P97-O97)/($R97-$F97))*$AX97)</f>
        <v>109464172.85982561</v>
      </c>
      <c r="AV97" s="1041">
        <f t="shared" ref="AV97" ca="1" si="649">IF($R97-$F97=0,AU97+$AX97/12,AU97+((Q97-P97)/($R97-$F97))*$AX97)</f>
        <v>111467069.45731393</v>
      </c>
      <c r="AW97" s="1041">
        <f t="shared" ref="AW97" ca="1" si="650">IF($R97-$F97=0,AV97+$AX97/12,AV97+((R97-Q97)/($R97-$F97))*$AX97)</f>
        <v>111646614.79826511</v>
      </c>
      <c r="AX97" s="106">
        <f ca="1">'101_106 PROJECTION'!$T$25</f>
        <v>8953353.0091448352</v>
      </c>
      <c r="AY97" s="133">
        <f ca="1">+AW97-AK97</f>
        <v>8953353.0091448128</v>
      </c>
      <c r="AZ97" s="133"/>
      <c r="BA97" s="116">
        <f ca="1">SUM(BA94:BA96)</f>
        <v>108461256.04264024</v>
      </c>
    </row>
    <row r="98" spans="1:53">
      <c r="A98" s="250">
        <f t="shared" si="482"/>
        <v>83</v>
      </c>
      <c r="B98" s="208"/>
      <c r="C98" s="102"/>
      <c r="D98" s="102"/>
      <c r="E98" s="102"/>
      <c r="U98" s="102"/>
      <c r="AH98" s="106"/>
      <c r="AK98" s="106">
        <f>AG98</f>
        <v>0</v>
      </c>
      <c r="AL98" s="1029"/>
      <c r="AW98" s="1016"/>
      <c r="AX98" s="106"/>
    </row>
    <row r="99" spans="1:53">
      <c r="A99" s="250">
        <f t="shared" si="482"/>
        <v>84</v>
      </c>
      <c r="B99" s="208"/>
      <c r="C99" s="102" t="s">
        <v>260</v>
      </c>
      <c r="D99" s="102" t="s">
        <v>261</v>
      </c>
      <c r="E99" s="102"/>
      <c r="U99" s="102"/>
      <c r="AH99" s="102"/>
      <c r="AK99" s="102"/>
      <c r="AX99" s="102"/>
    </row>
    <row r="100" spans="1:53">
      <c r="A100" s="250">
        <f t="shared" si="482"/>
        <v>85</v>
      </c>
      <c r="B100" s="208"/>
      <c r="C100" s="102"/>
      <c r="D100" s="102"/>
      <c r="E100" s="102" t="s">
        <v>592</v>
      </c>
      <c r="F100" s="974">
        <f>'Rate Base'!S98</f>
        <v>180960.97999999998</v>
      </c>
      <c r="G100" s="974">
        <f>'Rate Base'!T98</f>
        <v>180960.98</v>
      </c>
      <c r="H100" s="974">
        <f>'Rate Base'!U98</f>
        <v>180960.97999999998</v>
      </c>
      <c r="I100" s="974">
        <f>'Rate Base'!V98</f>
        <v>178421.97999999998</v>
      </c>
      <c r="J100" s="974">
        <f>'Rate Base'!W98</f>
        <v>178421.98000000004</v>
      </c>
      <c r="K100" s="974">
        <f>'Rate Base'!X98</f>
        <v>178421.97999999998</v>
      </c>
      <c r="L100" s="974">
        <f>'Rate Base'!Y98</f>
        <v>168421.97999999998</v>
      </c>
      <c r="M100" s="974">
        <f>'Rate Base'!Z98</f>
        <v>168421.97999999998</v>
      </c>
      <c r="N100" s="974">
        <f>'Rate Base'!AA98</f>
        <v>168421.98</v>
      </c>
      <c r="O100" s="974">
        <f>'Rate Base'!AB98</f>
        <v>168421.97999999998</v>
      </c>
      <c r="P100" s="974">
        <f>'Rate Base'!AC98</f>
        <v>168421.98000000004</v>
      </c>
      <c r="Q100" s="974">
        <f>'Rate Base'!AD98</f>
        <v>168421.98000000004</v>
      </c>
      <c r="R100" s="974">
        <f>'Rate Base'!AE98</f>
        <v>147841.16000000003</v>
      </c>
      <c r="S100" s="116"/>
      <c r="T100" s="116">
        <f>((F100/2)+SUM(G100:Q100)+(R100/2))/12</f>
        <v>172676.73749999999</v>
      </c>
      <c r="U100" s="106">
        <f>+R100</f>
        <v>147841.16000000003</v>
      </c>
      <c r="V100" s="998">
        <f t="shared" ref="V100" ca="1" si="651">(U100/U103)*V103</f>
        <v>144461.25588976138</v>
      </c>
      <c r="W100" s="998">
        <f t="shared" ref="W100" ca="1" si="652">(V100/V103)*W103</f>
        <v>144515.00519190941</v>
      </c>
      <c r="X100" s="998">
        <f t="shared" ref="X100" ca="1" si="653">(W100/W103)*X103</f>
        <v>143937.8239221329</v>
      </c>
      <c r="Y100" s="998">
        <f t="shared" ref="Y100" ca="1" si="654">(X100/X103)*Y103</f>
        <v>143950.10616371947</v>
      </c>
      <c r="Z100" s="998">
        <f t="shared" ref="Z100" ca="1" si="655">(Y100/Y103)*Z103</f>
        <v>143975.54459599138</v>
      </c>
      <c r="AA100" s="998">
        <f t="shared" ref="AA100" ca="1" si="656">(Z100/Z103)*AA103</f>
        <v>143145.2433962221</v>
      </c>
      <c r="AB100" s="998">
        <f t="shared" ref="AB100" ca="1" si="657">(AA100/AA103)*AB103</f>
        <v>143176.55195236305</v>
      </c>
      <c r="AC100" s="998">
        <f t="shared" ref="AC100" ca="1" si="658">(AB100/AB103)*AC103</f>
        <v>143232.71185051298</v>
      </c>
      <c r="AD100" s="998">
        <f t="shared" ref="AD100" ca="1" si="659">(AC100/AC103)*AD103</f>
        <v>143232.71185051298</v>
      </c>
      <c r="AE100" s="998">
        <f t="shared" ref="AE100" ca="1" si="660">(AD100/AD103)*AE103</f>
        <v>143305.51533598194</v>
      </c>
      <c r="AF100" s="998">
        <f t="shared" ref="AF100" ca="1" si="661">(AE100/AE103)*AF103</f>
        <v>143374.47687389812</v>
      </c>
      <c r="AG100" s="998">
        <f t="shared" ref="AG100" ca="1" si="662">(AF100/AF103)*AG103</f>
        <v>143193.97748078231</v>
      </c>
      <c r="AH100" s="106"/>
      <c r="AI100" s="133"/>
      <c r="AJ100" s="116">
        <f ca="1">((U100/2)+SUM(V100:AF100)+(AG100/2))/12</f>
        <v>143818.70964694975</v>
      </c>
      <c r="AK100" s="106">
        <f ca="1">AG100</f>
        <v>143193.97748078231</v>
      </c>
      <c r="AL100" s="1016">
        <f ca="1">(AK100/AK103)*AL103</f>
        <v>129075.17148676232</v>
      </c>
      <c r="AM100" s="1016">
        <f t="shared" ref="AM100:AW100" ca="1" si="663">(AL100/AL103)*AM103</f>
        <v>129299.69737406285</v>
      </c>
      <c r="AN100" s="1016">
        <f t="shared" ca="1" si="663"/>
        <v>126888.64957342528</v>
      </c>
      <c r="AO100" s="1016">
        <f t="shared" ca="1" si="663"/>
        <v>126939.95593611379</v>
      </c>
      <c r="AP100" s="1016">
        <f t="shared" ca="1" si="663"/>
        <v>127046.21939162177</v>
      </c>
      <c r="AQ100" s="1016">
        <f t="shared" ca="1" si="663"/>
        <v>123577.81875841063</v>
      </c>
      <c r="AR100" s="1016">
        <f t="shared" ca="1" si="663"/>
        <v>123708.60336521873</v>
      </c>
      <c r="AS100" s="1016">
        <f t="shared" ca="1" si="663"/>
        <v>123943.19898709483</v>
      </c>
      <c r="AT100" s="1016">
        <f t="shared" ca="1" si="663"/>
        <v>123943.19898709483</v>
      </c>
      <c r="AU100" s="1016">
        <f t="shared" ca="1" si="663"/>
        <v>124247.31953415733</v>
      </c>
      <c r="AV100" s="1016">
        <f t="shared" ca="1" si="663"/>
        <v>124535.39119037334</v>
      </c>
      <c r="AW100" s="1016">
        <f t="shared" ca="1" si="663"/>
        <v>123781.39467735968</v>
      </c>
      <c r="AX100" s="106"/>
      <c r="AY100" s="133"/>
      <c r="AZ100" s="133"/>
      <c r="BA100" s="116">
        <f ca="1">((AK100/2)+SUM(AL100:AV100)+(AW100/2))/12</f>
        <v>126391.07588861721</v>
      </c>
    </row>
    <row r="101" spans="1:53">
      <c r="A101" s="250">
        <f t="shared" si="482"/>
        <v>86</v>
      </c>
      <c r="B101" s="208"/>
      <c r="C101" s="102"/>
      <c r="D101" s="102"/>
      <c r="E101" s="102" t="s">
        <v>593</v>
      </c>
      <c r="F101" s="974">
        <f>'Rate Base'!S99</f>
        <v>14434180.159999996</v>
      </c>
      <c r="G101" s="974">
        <f>'Rate Base'!T99</f>
        <v>14453973.200000003</v>
      </c>
      <c r="H101" s="974">
        <f>'Rate Base'!U99</f>
        <v>14601103.799999997</v>
      </c>
      <c r="I101" s="974">
        <f>'Rate Base'!V99</f>
        <v>14177800.730000004</v>
      </c>
      <c r="J101" s="974">
        <f>'Rate Base'!W99</f>
        <v>14243010.199999996</v>
      </c>
      <c r="K101" s="974">
        <f>'Rate Base'!X99</f>
        <v>14372516.780000001</v>
      </c>
      <c r="L101" s="974">
        <f>'Rate Base'!Y99</f>
        <v>12787006.360000007</v>
      </c>
      <c r="M101" s="974">
        <f>'Rate Base'!Z99</f>
        <v>12948692.49000001</v>
      </c>
      <c r="N101" s="974">
        <f>'Rate Base'!AA99</f>
        <v>13047737.009999998</v>
      </c>
      <c r="O101" s="974">
        <f>'Rate Base'!AB99</f>
        <v>13047737.010000005</v>
      </c>
      <c r="P101" s="974">
        <f>'Rate Base'!AC99</f>
        <v>13423552.329999998</v>
      </c>
      <c r="Q101" s="974">
        <f>'Rate Base'!AD99</f>
        <v>13581840.189999998</v>
      </c>
      <c r="R101" s="974">
        <f>'Rate Base'!AE99</f>
        <v>12701483.740000002</v>
      </c>
      <c r="S101" s="116"/>
      <c r="T101" s="116">
        <f>((F101/2)+SUM(G101:Q101)+(R101/2))/12</f>
        <v>13687733.504166668</v>
      </c>
      <c r="U101" s="106">
        <f>+R101</f>
        <v>12701483.740000002</v>
      </c>
      <c r="V101" s="998">
        <f t="shared" ref="V101" ca="1" si="664">(U101/U103)*V103</f>
        <v>12411105.897327803</v>
      </c>
      <c r="W101" s="998">
        <f t="shared" ref="W101" ca="1" si="665">(V101/V103)*W103</f>
        <v>12415723.663363118</v>
      </c>
      <c r="X101" s="998">
        <f t="shared" ref="X101" ca="1" si="666">(W101/W103)*X103</f>
        <v>12366136.264880184</v>
      </c>
      <c r="Y101" s="998">
        <f t="shared" ref="Y101" ca="1" si="667">(X101/X103)*Y103</f>
        <v>12367191.469613444</v>
      </c>
      <c r="Z101" s="998">
        <f t="shared" ref="Z101" ca="1" si="668">(Y101/Y103)*Z103</f>
        <v>12369376.962705309</v>
      </c>
      <c r="AA101" s="998">
        <f t="shared" ref="AA101" ca="1" si="669">(Z101/Z103)*AA103</f>
        <v>12298043.261128752</v>
      </c>
      <c r="AB101" s="998">
        <f t="shared" ref="AB101" ca="1" si="670">(AA101/AA103)*AB103</f>
        <v>12300733.074417196</v>
      </c>
      <c r="AC101" s="998">
        <f t="shared" ref="AC101" ca="1" si="671">(AB101/AB103)*AC103</f>
        <v>12305557.94208728</v>
      </c>
      <c r="AD101" s="998">
        <f t="shared" ref="AD101" ca="1" si="672">(AC101/AC103)*AD103</f>
        <v>12305557.94208728</v>
      </c>
      <c r="AE101" s="998">
        <f t="shared" ref="AE101" ca="1" si="673">(AD101/AD103)*AE103</f>
        <v>12311812.710968282</v>
      </c>
      <c r="AF101" s="998">
        <f t="shared" ref="AF101" ca="1" si="674">(AE101/AE103)*AF103</f>
        <v>12317737.40644908</v>
      </c>
      <c r="AG101" s="998">
        <f t="shared" ref="AG101" ca="1" si="675">(AF101/AF103)*AG103</f>
        <v>12302230.15456645</v>
      </c>
      <c r="AH101" s="106"/>
      <c r="AI101" s="133"/>
      <c r="AJ101" s="116">
        <f ca="1">((U101/2)+SUM(V101:AF101)+(AG101/2))/12</f>
        <v>12355902.795192579</v>
      </c>
      <c r="AK101" s="106">
        <f ca="1">AG101</f>
        <v>12302230.15456645</v>
      </c>
      <c r="AL101" s="1016">
        <f ca="1">(AK101/AK103)*AL103</f>
        <v>11089240.586835383</v>
      </c>
      <c r="AM101" s="1016">
        <f t="shared" ref="AM101:AV101" ca="1" si="676">(AL101/AL103)*AM103</f>
        <v>11108530.288747603</v>
      </c>
      <c r="AN101" s="1016">
        <f t="shared" ca="1" si="676"/>
        <v>10901389.838576887</v>
      </c>
      <c r="AO101" s="1016">
        <f t="shared" ca="1" si="676"/>
        <v>10905797.724252611</v>
      </c>
      <c r="AP101" s="1016">
        <f t="shared" ca="1" si="676"/>
        <v>10914927.140933938</v>
      </c>
      <c r="AQ101" s="1016">
        <f t="shared" ca="1" si="676"/>
        <v>10616946.292795729</v>
      </c>
      <c r="AR101" s="1016">
        <f t="shared" ca="1" si="676"/>
        <v>10628182.396170562</v>
      </c>
      <c r="AS101" s="1016">
        <f t="shared" ca="1" si="676"/>
        <v>10648337.219609005</v>
      </c>
      <c r="AT101" s="1016">
        <f t="shared" ca="1" si="676"/>
        <v>10648337.219609005</v>
      </c>
      <c r="AU101" s="1016">
        <f t="shared" ca="1" si="676"/>
        <v>10674465.140842268</v>
      </c>
      <c r="AV101" s="1016">
        <f t="shared" ca="1" si="676"/>
        <v>10699214.253047438</v>
      </c>
      <c r="AW101" s="1016">
        <f ca="1">(AV101/AV103)*AW103</f>
        <v>10634436.119203931</v>
      </c>
      <c r="AX101" s="106"/>
      <c r="AY101" s="133"/>
      <c r="AZ101" s="133"/>
      <c r="BA101" s="116">
        <f ca="1">((AK101/2)+SUM(AL101:AV101)+(AW101/2))/12</f>
        <v>10858641.769858802</v>
      </c>
    </row>
    <row r="102" spans="1:53">
      <c r="A102" s="250">
        <f t="shared" si="482"/>
        <v>87</v>
      </c>
      <c r="B102" s="208"/>
      <c r="C102" s="102"/>
      <c r="D102" s="102"/>
      <c r="E102" s="102" t="s">
        <v>595</v>
      </c>
      <c r="F102" s="985">
        <f>'Rate Base'!S100</f>
        <v>61972563.670000002</v>
      </c>
      <c r="G102" s="985">
        <f>'Rate Base'!T100</f>
        <v>44505532.539999999</v>
      </c>
      <c r="H102" s="985">
        <f>'Rate Base'!U100</f>
        <v>44635858.590000004</v>
      </c>
      <c r="I102" s="985">
        <f>'Rate Base'!V100</f>
        <v>42082261.390000001</v>
      </c>
      <c r="J102" s="985">
        <f>'Rate Base'!W100</f>
        <v>42080453.480000004</v>
      </c>
      <c r="K102" s="985">
        <f>'Rate Base'!X100</f>
        <v>42082261.390000001</v>
      </c>
      <c r="L102" s="985">
        <f>'Rate Base'!Y100</f>
        <v>39391714.5</v>
      </c>
      <c r="M102" s="985">
        <f>'Rate Base'!Z100</f>
        <v>39391644.739999995</v>
      </c>
      <c r="N102" s="985">
        <f>'Rate Base'!AA100</f>
        <v>39582500.490000002</v>
      </c>
      <c r="O102" s="985">
        <f>'Rate Base'!AB100</f>
        <v>39582500.489999995</v>
      </c>
      <c r="P102" s="985">
        <f>'Rate Base'!AC100</f>
        <v>39582500.490000002</v>
      </c>
      <c r="Q102" s="985">
        <f>'Rate Base'!AD100</f>
        <v>39780195.620000005</v>
      </c>
      <c r="R102" s="985">
        <f>'Rate Base'!AE100</f>
        <v>39749385.780000001</v>
      </c>
      <c r="S102" s="116"/>
      <c r="T102" s="256">
        <f>((F102/2)+SUM(G102:Q102)+(R102/2))/12</f>
        <v>41963199.870416664</v>
      </c>
      <c r="U102" s="396">
        <f>+R102</f>
        <v>39749385.780000001</v>
      </c>
      <c r="V102" s="998">
        <f t="shared" ref="V102" ca="1" si="677">(U102/U103)*V103</f>
        <v>38840646.208575614</v>
      </c>
      <c r="W102" s="998">
        <f t="shared" ref="W102" ca="1" si="678">(V102/V103)*W103</f>
        <v>38855097.540981881</v>
      </c>
      <c r="X102" s="998">
        <f t="shared" ref="X102" ca="1" si="679">(W102/W103)*X103</f>
        <v>38699913.416632906</v>
      </c>
      <c r="Y102" s="998">
        <f t="shared" ref="Y102" ca="1" si="680">(X102/X103)*Y103</f>
        <v>38703215.687523276</v>
      </c>
      <c r="Z102" s="998">
        <f t="shared" ref="Z102" ca="1" si="681">(Y102/Y103)*Z103</f>
        <v>38710055.204055853</v>
      </c>
      <c r="AA102" s="998">
        <f t="shared" ref="AA102" ca="1" si="682">(Z102/Z103)*AA103</f>
        <v>38486815.865949832</v>
      </c>
      <c r="AB102" s="998">
        <f t="shared" ref="AB102" ca="1" si="683">(AA102/AA103)*AB103</f>
        <v>38495233.656207033</v>
      </c>
      <c r="AC102" s="998">
        <f t="shared" ref="AC102" ca="1" si="684">(AB102/AB103)*AC103</f>
        <v>38510333.114686176</v>
      </c>
      <c r="AD102" s="998">
        <f t="shared" ref="AD102" ca="1" si="685">(AC102/AC103)*AD103</f>
        <v>38510333.114686176</v>
      </c>
      <c r="AE102" s="998">
        <f t="shared" ref="AE102" ca="1" si="686">(AD102/AD103)*AE103</f>
        <v>38529907.459408805</v>
      </c>
      <c r="AF102" s="998">
        <f t="shared" ref="AF102" ca="1" si="687">(AE102/AE103)*AF103</f>
        <v>38548448.837023892</v>
      </c>
      <c r="AG102" s="998">
        <f t="shared" ref="AG102" ca="1" si="688">(AF102/AF103)*AG103</f>
        <v>38499918.779426828</v>
      </c>
      <c r="AH102" s="396"/>
      <c r="AI102" s="395"/>
      <c r="AJ102" s="256">
        <f ca="1">((U102/2)+SUM(V102:AF102)+(AG102/2))/12</f>
        <v>38667887.698787078</v>
      </c>
      <c r="AK102" s="106">
        <f ca="1">AG102</f>
        <v>38499918.779426828</v>
      </c>
      <c r="AL102" s="1016">
        <f ca="1">(AK102/AK103)*AL103</f>
        <v>34703859.101531461</v>
      </c>
      <c r="AM102" s="1016">
        <f t="shared" ref="AM102" ca="1" si="689">(AL102/AL103)*AM103</f>
        <v>34764226.364017129</v>
      </c>
      <c r="AN102" s="1016">
        <f t="shared" ref="AN102" ca="1" si="690">(AM102/AM103)*AN103</f>
        <v>34115978.818059273</v>
      </c>
      <c r="AO102" s="1016">
        <f t="shared" ref="AO102" ca="1" si="691">(AN102/AN103)*AO103</f>
        <v>34129773.328353122</v>
      </c>
      <c r="AP102" s="1016">
        <f t="shared" ref="AP102" ca="1" si="692">(AO102/AO103)*AP103</f>
        <v>34158343.904282734</v>
      </c>
      <c r="AQ102" s="1016">
        <f t="shared" ref="AQ102" ca="1" si="693">(AP102/AP103)*AQ103</f>
        <v>33225810.671933196</v>
      </c>
      <c r="AR102" s="1016">
        <f t="shared" ref="AR102" ca="1" si="694">(AQ102/AQ103)*AR103</f>
        <v>33260974.139198337</v>
      </c>
      <c r="AS102" s="1016">
        <f t="shared" ref="AS102" ca="1" si="695">(AR102/AR103)*AS103</f>
        <v>33324048.805794921</v>
      </c>
      <c r="AT102" s="1016">
        <f t="shared" ref="AT102" ca="1" si="696">(AS102/AS103)*AT103</f>
        <v>33324048.805794921</v>
      </c>
      <c r="AU102" s="1016">
        <f t="shared" ref="AU102" ca="1" si="697">(AT102/AT103)*AU103</f>
        <v>33405816.325400501</v>
      </c>
      <c r="AV102" s="1016">
        <f t="shared" ref="AV102" ca="1" si="698">(AU102/AU103)*AV103</f>
        <v>33483268.852120489</v>
      </c>
      <c r="AW102" s="1016">
        <f t="shared" ref="AW102" ca="1" si="699">(AV102/AV103)*AW103</f>
        <v>33280545.210933186</v>
      </c>
      <c r="AX102" s="396"/>
      <c r="AY102" s="395"/>
      <c r="AZ102" s="395"/>
      <c r="BA102" s="256">
        <f ca="1">((AK102/2)+SUM(AL102:AV102)+(AW102/2))/12</f>
        <v>33982198.425972171</v>
      </c>
    </row>
    <row r="103" spans="1:53">
      <c r="A103" s="250">
        <f t="shared" si="482"/>
        <v>88</v>
      </c>
      <c r="B103" s="208"/>
      <c r="C103" s="102"/>
      <c r="D103" s="102"/>
      <c r="E103" s="102" t="s">
        <v>170</v>
      </c>
      <c r="F103" s="974">
        <f t="shared" ref="F103:R103" si="700">SUM(F100:F102)</f>
        <v>76587704.810000002</v>
      </c>
      <c r="G103" s="974">
        <f t="shared" si="700"/>
        <v>59140466.719999999</v>
      </c>
      <c r="H103" s="974">
        <f t="shared" si="700"/>
        <v>59417923.370000005</v>
      </c>
      <c r="I103" s="974">
        <f t="shared" si="700"/>
        <v>56438484.100000009</v>
      </c>
      <c r="J103" s="974">
        <f t="shared" si="700"/>
        <v>56501885.659999996</v>
      </c>
      <c r="K103" s="974">
        <f t="shared" si="700"/>
        <v>56633200.150000006</v>
      </c>
      <c r="L103" s="974">
        <f t="shared" si="700"/>
        <v>52347142.840000004</v>
      </c>
      <c r="M103" s="974">
        <f t="shared" si="700"/>
        <v>52508759.210000008</v>
      </c>
      <c r="N103" s="974">
        <f t="shared" si="700"/>
        <v>52798659.480000004</v>
      </c>
      <c r="O103" s="974">
        <f t="shared" si="700"/>
        <v>52798659.480000004</v>
      </c>
      <c r="P103" s="974">
        <f t="shared" si="700"/>
        <v>53174474.799999997</v>
      </c>
      <c r="Q103" s="974">
        <f t="shared" si="700"/>
        <v>53530457.790000007</v>
      </c>
      <c r="R103" s="974">
        <f t="shared" si="700"/>
        <v>52598710.680000007</v>
      </c>
      <c r="S103" s="116"/>
      <c r="T103" s="116">
        <f>SUM(T100:T102)</f>
        <v>55823610.112083331</v>
      </c>
      <c r="U103" s="106">
        <f>+R103</f>
        <v>52598710.680000007</v>
      </c>
      <c r="V103" s="1269">
        <f t="shared" ref="V103:AA103" ca="1" si="701">IF($R103-$F103=0,U103+$AH103/12,U103+((G103-F103)/($R103-$F103))*$AH103)</f>
        <v>51396213.361793183</v>
      </c>
      <c r="W103" s="1269">
        <f t="shared" ca="1" si="701"/>
        <v>51415336.20953691</v>
      </c>
      <c r="X103" s="1269">
        <f t="shared" ca="1" si="701"/>
        <v>51209987.505435221</v>
      </c>
      <c r="Y103" s="1269">
        <f t="shared" ca="1" si="701"/>
        <v>51214357.263300441</v>
      </c>
      <c r="Z103" s="1269">
        <f t="shared" ca="1" si="701"/>
        <v>51223407.711357154</v>
      </c>
      <c r="AA103" s="1269">
        <f t="shared" ca="1" si="701"/>
        <v>50928004.370474808</v>
      </c>
      <c r="AB103" s="1269">
        <f ca="1">IF($R103-$F103=0,AA103+$AH103/12,AA103+((M103-L103)/($R103-$F103))*$AH103)</f>
        <v>50939143.282576591</v>
      </c>
      <c r="AC103" s="1269">
        <f t="shared" ref="AC103" ca="1" si="702">IF($R103-$F103=0,AB103+$AH103/12,AB103+((N103-M103)/($R103-$F103))*$AH103)</f>
        <v>50959123.768623963</v>
      </c>
      <c r="AD103" s="1269">
        <f t="shared" ref="AD103" ca="1" si="703">IF($R103-$F103=0,AC103+$AH103/12,AC103+((O103-N103)/($R103-$F103))*$AH103)</f>
        <v>50959123.768623963</v>
      </c>
      <c r="AE103" s="1269">
        <f t="shared" ref="AE103" ca="1" si="704">IF($R103-$F103=0,AD103+$AH103/12,AD103+((P103-O103)/($R103-$F103))*$AH103)</f>
        <v>50985025.685713068</v>
      </c>
      <c r="AF103" s="1269">
        <f t="shared" ref="AF103" ca="1" si="705">IF($R103-$F103=0,AE103+$AH103/12,AE103+((Q103-P103)/($R103-$F103))*$AH103)</f>
        <v>51009560.720346868</v>
      </c>
      <c r="AG103" s="1269">
        <f t="shared" ref="AG103" ca="1" si="706">IF($R103-$F103=0,AF103+$AH103/12,AF103+((R103-Q103)/($R103-$F103))*$AH103)</f>
        <v>50945342.911474064</v>
      </c>
      <c r="AH103" s="106">
        <f ca="1">'101_106 PROJECTION'!N26</f>
        <v>-1653367.7685259492</v>
      </c>
      <c r="AI103" s="393">
        <f ca="1">+AG103-U103</f>
        <v>-1653367.7685259432</v>
      </c>
      <c r="AJ103" s="116">
        <f ca="1">SUM(AJ100:AJ102)</f>
        <v>51167609.203626603</v>
      </c>
      <c r="AK103" s="1039">
        <f ca="1">AG103</f>
        <v>50945342.911474064</v>
      </c>
      <c r="AL103" s="1041">
        <f ca="1">IF($R103-$F103=0,AK103+$AX103/12,AK103+((G103-F103)/($R103-$F103))*$AX103)</f>
        <v>45922174.85985361</v>
      </c>
      <c r="AM103" s="1041">
        <f t="shared" ref="AM103" ca="1" si="707">IF($R103-$F103=0,AL103+$AX103/12,AL103+((H103-G103)/($R103-$F103))*$AX103)</f>
        <v>46002056.350138798</v>
      </c>
      <c r="AN103" s="1041">
        <f t="shared" ref="AN103" ca="1" si="708">IF($R103-$F103=0,AM103+$AX103/12,AM103+((I103-H103)/($R103-$F103))*$AX103)</f>
        <v>45144257.306209587</v>
      </c>
      <c r="AO103" s="1041">
        <f t="shared" ref="AO103" ca="1" si="709">IF($R103-$F103=0,AN103+$AX103/12,AN103+((J103-I103)/($R103-$F103))*$AX103)</f>
        <v>45162511.008541845</v>
      </c>
      <c r="AP103" s="1041">
        <f t="shared" ref="AP103" ca="1" si="710">IF($R103-$F103=0,AO103+$AX103/12,AO103+((K103-J103)/($R103-$F103))*$AX103)</f>
        <v>45200317.264608294</v>
      </c>
      <c r="AQ103" s="1041">
        <f t="shared" ref="AQ103" ca="1" si="711">IF($R103-$F103=0,AP103+$AX103/12,AP103+((L103-K103)/($R103-$F103))*$AX103)</f>
        <v>43966334.783487335</v>
      </c>
      <c r="AR103" s="1041">
        <f t="shared" ref="AR103" ca="1" si="712">IF($R103-$F103=0,AQ103+$AX103/12,AQ103+((M103-L103)/($R103-$F103))*$AX103)</f>
        <v>44012865.138734117</v>
      </c>
      <c r="AS103" s="1041">
        <f t="shared" ref="AS103" ca="1" si="713">IF($R103-$F103=0,AR103+$AX103/12,AR103+((N103-M103)/($R103-$F103))*$AX103)</f>
        <v>44096329.224391021</v>
      </c>
      <c r="AT103" s="1041">
        <f t="shared" ref="AT103" ca="1" si="714">IF($R103-$F103=0,AS103+$AX103/12,AS103+((O103-N103)/($R103-$F103))*$AX103)</f>
        <v>44096329.224391021</v>
      </c>
      <c r="AU103" s="1041">
        <f t="shared" ref="AU103" ca="1" si="715">IF($R103-$F103=0,AT103+$AX103/12,AT103+((P103-O103)/($R103-$F103))*$AX103)</f>
        <v>44204528.785776928</v>
      </c>
      <c r="AV103" s="1041">
        <f t="shared" ref="AV103" ca="1" si="716">IF($R103-$F103=0,AU103+$AX103/12,AU103+((Q103-P103)/($R103-$F103))*$AX103)</f>
        <v>44307018.496358298</v>
      </c>
      <c r="AW103" s="1041">
        <f t="shared" ref="AW103" ca="1" si="717">IF($R103-$F103=0,AV103+$AX103/12,AV103+((R103-Q103)/($R103-$F103))*$AX103)</f>
        <v>44038762.724814475</v>
      </c>
      <c r="AX103" s="106">
        <f ca="1">'101_106 PROJECTION'!$T$26</f>
        <v>-6906580.1866595894</v>
      </c>
      <c r="AY103" s="133">
        <f ca="1">+AW103-AK103</f>
        <v>-6906580.1866595894</v>
      </c>
      <c r="AZ103" s="133"/>
      <c r="BA103" s="116">
        <f ca="1">SUM(BA100:BA102)</f>
        <v>44967231.27171959</v>
      </c>
    </row>
    <row r="104" spans="1:53">
      <c r="A104" s="250">
        <f t="shared" si="482"/>
        <v>89</v>
      </c>
      <c r="B104" s="208"/>
      <c r="C104" s="102"/>
      <c r="D104" s="102"/>
      <c r="E104" s="102"/>
      <c r="U104" s="102"/>
      <c r="AH104" s="106"/>
      <c r="AK104" s="106">
        <f>AG104</f>
        <v>0</v>
      </c>
      <c r="AL104" s="1025"/>
      <c r="AW104" s="1016"/>
      <c r="AX104" s="106"/>
    </row>
    <row r="105" spans="1:53">
      <c r="A105" s="250">
        <f t="shared" si="482"/>
        <v>90</v>
      </c>
      <c r="B105" s="208"/>
      <c r="C105" s="102" t="s">
        <v>262</v>
      </c>
      <c r="D105" s="102" t="s">
        <v>263</v>
      </c>
      <c r="E105" s="102"/>
      <c r="U105" s="102"/>
      <c r="AH105" s="102"/>
      <c r="AK105" s="102"/>
      <c r="AX105" s="102"/>
    </row>
    <row r="106" spans="1:53">
      <c r="A106" s="250">
        <f t="shared" si="482"/>
        <v>91</v>
      </c>
      <c r="B106" s="208"/>
      <c r="C106" s="102"/>
      <c r="D106" s="102"/>
      <c r="E106" s="102" t="s">
        <v>592</v>
      </c>
      <c r="F106" s="974">
        <f>'Rate Base'!S104</f>
        <v>2877562.6999999997</v>
      </c>
      <c r="G106" s="974">
        <f>'Rate Base'!T104</f>
        <v>2845508.48</v>
      </c>
      <c r="H106" s="974">
        <f>'Rate Base'!U104</f>
        <v>2806503.92</v>
      </c>
      <c r="I106" s="974">
        <f>'Rate Base'!V104</f>
        <v>2806503.92</v>
      </c>
      <c r="J106" s="974">
        <f>'Rate Base'!W104</f>
        <v>2806503.92</v>
      </c>
      <c r="K106" s="974">
        <f>'Rate Base'!X104</f>
        <v>2806503.92</v>
      </c>
      <c r="L106" s="974">
        <f>'Rate Base'!Y104</f>
        <v>2806503.92</v>
      </c>
      <c r="M106" s="974">
        <f>'Rate Base'!Z104</f>
        <v>2806503.92</v>
      </c>
      <c r="N106" s="974">
        <f>'Rate Base'!AA104</f>
        <v>3015429.18</v>
      </c>
      <c r="O106" s="974">
        <f>'Rate Base'!AB104</f>
        <v>3008166.8099999996</v>
      </c>
      <c r="P106" s="974">
        <f>'Rate Base'!AC104</f>
        <v>2898242.9000000004</v>
      </c>
      <c r="Q106" s="974">
        <f>'Rate Base'!AD104</f>
        <v>2956370.4299999997</v>
      </c>
      <c r="R106" s="974">
        <f>'Rate Base'!AE104</f>
        <v>2941469.68</v>
      </c>
      <c r="S106" s="116"/>
      <c r="T106" s="116">
        <f>((F106/2)+SUM(G106:Q106)+(R106/2))/12</f>
        <v>2872688.1258333339</v>
      </c>
      <c r="U106" s="106">
        <f>+R106</f>
        <v>2941469.68</v>
      </c>
      <c r="V106" s="998">
        <f t="shared" ref="V106" ca="1" si="718">(U106/U109)*V109</f>
        <v>2956737.1826506294</v>
      </c>
      <c r="W106" s="998">
        <f t="shared" ref="W106" ca="1" si="719">(V106/V109)*W109</f>
        <v>2975581.3433763506</v>
      </c>
      <c r="X106" s="998">
        <f t="shared" ref="X106" ca="1" si="720">(W106/W109)*X109</f>
        <v>2974641.9635217055</v>
      </c>
      <c r="Y106" s="998">
        <f t="shared" ref="Y106" ca="1" si="721">(X106/X109)*Y109</f>
        <v>2974641.9635217055</v>
      </c>
      <c r="Z106" s="998">
        <f t="shared" ref="Z106" ca="1" si="722">(Y106/Y109)*Z109</f>
        <v>2971533.4312048769</v>
      </c>
      <c r="AA106" s="998">
        <f t="shared" ref="AA106" ca="1" si="723">(Z106/Z109)*AA109</f>
        <v>2968002.8517835904</v>
      </c>
      <c r="AB106" s="998">
        <f t="shared" ref="AB106" ca="1" si="724">(AA106/AA109)*AB109</f>
        <v>2967338.2271570601</v>
      </c>
      <c r="AC106" s="998">
        <f t="shared" ref="AC106" ca="1" si="725">(AB106/AB109)*AC109</f>
        <v>2970802.9211758245</v>
      </c>
      <c r="AD106" s="998">
        <f t="shared" ref="AD106" ca="1" si="726">(AC106/AC109)*AD109</f>
        <v>2969586.8843982685</v>
      </c>
      <c r="AE106" s="998">
        <f t="shared" ref="AE106" ca="1" si="727">(AD106/AD109)*AE109</f>
        <v>2967191.7593547739</v>
      </c>
      <c r="AF106" s="998">
        <f t="shared" ref="AF106" ca="1" si="728">(AE106/AE109)*AF109</f>
        <v>2953733.3198577543</v>
      </c>
      <c r="AG106" s="998">
        <f t="shared" ref="AG106" ca="1" si="729">(AF106/AF109)*AG109</f>
        <v>2961724.4324505264</v>
      </c>
      <c r="AH106" s="106"/>
      <c r="AI106" s="133"/>
      <c r="AJ106" s="116">
        <f ca="1">((U106/2)+SUM(V106:AF106)+(AG106/2))/12</f>
        <v>2966782.4086856507</v>
      </c>
      <c r="AK106" s="106">
        <f ca="1">AG106</f>
        <v>2961724.4324505264</v>
      </c>
      <c r="AL106" s="1016">
        <f ca="1">(AK106/AK109)*AL109</f>
        <v>3011536.9691214371</v>
      </c>
      <c r="AM106" s="1016">
        <f t="shared" ref="AM106:AW106" ca="1" si="730">(AL106/AL109)*AM109</f>
        <v>3073018.8937467332</v>
      </c>
      <c r="AN106" s="1016">
        <f t="shared" ca="1" si="730"/>
        <v>3069954.0248858468</v>
      </c>
      <c r="AO106" s="1016">
        <f t="shared" ca="1" si="730"/>
        <v>3069954.0248858468</v>
      </c>
      <c r="AP106" s="1016">
        <f t="shared" ca="1" si="730"/>
        <v>3059811.9680237612</v>
      </c>
      <c r="AQ106" s="1016">
        <f t="shared" ca="1" si="730"/>
        <v>3048292.9186470024</v>
      </c>
      <c r="AR106" s="1016">
        <f t="shared" ca="1" si="730"/>
        <v>3046124.480275711</v>
      </c>
      <c r="AS106" s="1016">
        <f t="shared" ca="1" si="730"/>
        <v>3057428.5685612997</v>
      </c>
      <c r="AT106" s="1016">
        <f t="shared" ca="1" si="730"/>
        <v>3053461.064643906</v>
      </c>
      <c r="AU106" s="1016">
        <f t="shared" ca="1" si="730"/>
        <v>3045646.6069168877</v>
      </c>
      <c r="AV106" s="1016">
        <f t="shared" ca="1" si="730"/>
        <v>3001736.4124129503</v>
      </c>
      <c r="AW106" s="1016">
        <f t="shared" ca="1" si="730"/>
        <v>3027808.6259358628</v>
      </c>
      <c r="AX106" s="106"/>
      <c r="AY106" s="133"/>
      <c r="AZ106" s="133"/>
      <c r="BA106" s="116">
        <f ca="1">((AK106/2)+SUM(AL106:AV106)+(AW106/2))/12</f>
        <v>3044311.0384428818</v>
      </c>
    </row>
    <row r="107" spans="1:53">
      <c r="A107" s="250">
        <f t="shared" si="482"/>
        <v>92</v>
      </c>
      <c r="B107" s="208"/>
      <c r="C107" s="102"/>
      <c r="D107" s="102"/>
      <c r="E107" s="102" t="s">
        <v>593</v>
      </c>
      <c r="F107" s="974">
        <f>'Rate Base'!S105</f>
        <v>51124024.919999994</v>
      </c>
      <c r="G107" s="974">
        <f>'Rate Base'!T105</f>
        <v>50349790.300000004</v>
      </c>
      <c r="H107" s="974">
        <f>'Rate Base'!U105</f>
        <v>49393619.890000001</v>
      </c>
      <c r="I107" s="974">
        <f>'Rate Base'!V105</f>
        <v>49443229.280000001</v>
      </c>
      <c r="J107" s="974">
        <f>'Rate Base'!W105</f>
        <v>49443229.280000001</v>
      </c>
      <c r="K107" s="974">
        <f>'Rate Base'!X105</f>
        <v>49607393.32</v>
      </c>
      <c r="L107" s="974">
        <f>'Rate Base'!Y105</f>
        <v>49793846</v>
      </c>
      <c r="M107" s="974">
        <f>'Rate Base'!Z105</f>
        <v>49828945.350000001</v>
      </c>
      <c r="N107" s="974">
        <f>'Rate Base'!AA105</f>
        <v>49437046.869999997</v>
      </c>
      <c r="O107" s="974">
        <f>'Rate Base'!AB105</f>
        <v>49508529.099999994</v>
      </c>
      <c r="P107" s="974">
        <f>'Rate Base'!AC105</f>
        <v>49744941.450000003</v>
      </c>
      <c r="Q107" s="974">
        <f>'Rate Base'!AD105</f>
        <v>50397564.710000001</v>
      </c>
      <c r="R107" s="974">
        <f>'Rate Base'!AE105</f>
        <v>49990448.509999998</v>
      </c>
      <c r="S107" s="116"/>
      <c r="T107" s="116">
        <f>((F107/2)+SUM(G107:Q107)+(R107/2))/12</f>
        <v>49792114.355416663</v>
      </c>
      <c r="U107" s="106">
        <f>+R107</f>
        <v>49990448.509999998</v>
      </c>
      <c r="V107" s="998">
        <f t="shared" ref="V107" ca="1" si="731">(U107/U109)*V109</f>
        <v>50249920.606660396</v>
      </c>
      <c r="W107" s="998">
        <f t="shared" ref="W107" ca="1" si="732">(V107/V109)*W109</f>
        <v>50570178.215595983</v>
      </c>
      <c r="X107" s="998">
        <f t="shared" ref="X107" ca="1" si="733">(W107/W109)*X109</f>
        <v>50554213.400260888</v>
      </c>
      <c r="Y107" s="998">
        <f t="shared" ref="Y107" ca="1" si="734">(X107/X109)*Y109</f>
        <v>50554213.400260888</v>
      </c>
      <c r="Z107" s="998">
        <f t="shared" ref="Z107" ca="1" si="735">(Y107/Y109)*Z109</f>
        <v>50501383.712508991</v>
      </c>
      <c r="AA107" s="998">
        <f t="shared" ref="AA107" ca="1" si="736">(Z107/Z109)*AA109</f>
        <v>50441381.309638642</v>
      </c>
      <c r="AB107" s="998">
        <f t="shared" ref="AB107" ca="1" si="737">(AA107/AA109)*AB109</f>
        <v>50430085.975405917</v>
      </c>
      <c r="AC107" s="998">
        <f t="shared" ref="AC107" ca="1" si="738">(AB107/AB109)*AC109</f>
        <v>50488968.652023524</v>
      </c>
      <c r="AD107" s="998">
        <f t="shared" ref="AD107" ca="1" si="739">(AC107/AC109)*AD109</f>
        <v>50468302.036172263</v>
      </c>
      <c r="AE107" s="998">
        <f t="shared" ref="AE107" ca="1" si="740">(AD107/AD109)*AE109</f>
        <v>50427596.746576414</v>
      </c>
      <c r="AF107" s="998">
        <f t="shared" ref="AF107" ca="1" si="741">(AE107/AE109)*AF109</f>
        <v>50198869.783563584</v>
      </c>
      <c r="AG107" s="998">
        <f t="shared" ref="AG107" ca="1" si="742">(AF107/AF109)*AG109</f>
        <v>50334679.207445383</v>
      </c>
      <c r="AH107" s="106"/>
      <c r="AI107" s="133"/>
      <c r="AJ107" s="116">
        <f ca="1">((U107/2)+SUM(V107:AF107)+(AG107/2))/12</f>
        <v>50420639.808115847</v>
      </c>
      <c r="AK107" s="106">
        <f ca="1">AG107</f>
        <v>50334679.207445383</v>
      </c>
      <c r="AL107" s="1016">
        <f ca="1">(AK107/AK109)*AL109</f>
        <v>51181246.169032983</v>
      </c>
      <c r="AM107" s="1016">
        <f t="shared" ref="AM107:AW107" ca="1" si="743">(AL107/AL109)*AM109</f>
        <v>52226135.058479756</v>
      </c>
      <c r="AN107" s="1016">
        <f t="shared" ca="1" si="743"/>
        <v>52174047.433704354</v>
      </c>
      <c r="AO107" s="1016">
        <f t="shared" ca="1" si="743"/>
        <v>52174047.433704354</v>
      </c>
      <c r="AP107" s="1016">
        <f t="shared" ca="1" si="743"/>
        <v>52001682.586703934</v>
      </c>
      <c r="AQ107" s="1016">
        <f t="shared" ca="1" si="743"/>
        <v>51805915.671726592</v>
      </c>
      <c r="AR107" s="1016">
        <f t="shared" ca="1" si="743"/>
        <v>51769062.935326077</v>
      </c>
      <c r="AS107" s="1016">
        <f t="shared" ca="1" si="743"/>
        <v>51961176.574040592</v>
      </c>
      <c r="AT107" s="1016">
        <f t="shared" ca="1" si="743"/>
        <v>51893748.613914318</v>
      </c>
      <c r="AU107" s="1016">
        <f t="shared" ca="1" si="743"/>
        <v>51760941.449763611</v>
      </c>
      <c r="AV107" s="1016">
        <f t="shared" ca="1" si="743"/>
        <v>51014685.137030467</v>
      </c>
      <c r="AW107" s="1016">
        <f t="shared" ca="1" si="743"/>
        <v>51457783.924184673</v>
      </c>
      <c r="AX107" s="106"/>
      <c r="AY107" s="133"/>
      <c r="AZ107" s="133"/>
      <c r="BA107" s="116">
        <f ca="1">((AK107/2)+SUM(AL107:AV107)+(AW107/2))/12</f>
        <v>51738243.385770164</v>
      </c>
    </row>
    <row r="108" spans="1:53">
      <c r="A108" s="250">
        <f t="shared" si="482"/>
        <v>93</v>
      </c>
      <c r="B108" s="208"/>
      <c r="C108" s="102"/>
      <c r="D108" s="102"/>
      <c r="E108" s="102" t="s">
        <v>595</v>
      </c>
      <c r="F108" s="985">
        <f>'Rate Base'!S106</f>
        <v>0</v>
      </c>
      <c r="G108" s="985">
        <f>'Rate Base'!T106</f>
        <v>0</v>
      </c>
      <c r="H108" s="985">
        <f>'Rate Base'!U106</f>
        <v>0</v>
      </c>
      <c r="I108" s="985">
        <f>'Rate Base'!V106</f>
        <v>0</v>
      </c>
      <c r="J108" s="985">
        <f>'Rate Base'!W106</f>
        <v>0</v>
      </c>
      <c r="K108" s="985">
        <f>'Rate Base'!X106</f>
        <v>0</v>
      </c>
      <c r="L108" s="985">
        <f>'Rate Base'!Y106</f>
        <v>0</v>
      </c>
      <c r="M108" s="985">
        <f>'Rate Base'!Z106</f>
        <v>0</v>
      </c>
      <c r="N108" s="985">
        <f>'Rate Base'!AA106</f>
        <v>0</v>
      </c>
      <c r="O108" s="985">
        <f>'Rate Base'!AB106</f>
        <v>0</v>
      </c>
      <c r="P108" s="985">
        <f>'Rate Base'!AC106</f>
        <v>0</v>
      </c>
      <c r="Q108" s="985">
        <f>'Rate Base'!AD106</f>
        <v>0</v>
      </c>
      <c r="R108" s="985">
        <f>'Rate Base'!AE106</f>
        <v>0</v>
      </c>
      <c r="S108" s="116"/>
      <c r="T108" s="256">
        <f>((F108/2)+SUM(G108:Q108)+(R108/2))/12</f>
        <v>0</v>
      </c>
      <c r="U108" s="396">
        <f>+R108</f>
        <v>0</v>
      </c>
      <c r="V108" s="998">
        <f t="shared" ref="V108" ca="1" si="744">(U108/U109)*V109</f>
        <v>0</v>
      </c>
      <c r="W108" s="998">
        <f t="shared" ref="W108" ca="1" si="745">(V108/V109)*W109</f>
        <v>0</v>
      </c>
      <c r="X108" s="998">
        <f t="shared" ref="X108" ca="1" si="746">(W108/W109)*X109</f>
        <v>0</v>
      </c>
      <c r="Y108" s="998">
        <f t="shared" ref="Y108" ca="1" si="747">(X108/X109)*Y109</f>
        <v>0</v>
      </c>
      <c r="Z108" s="998">
        <f t="shared" ref="Z108" ca="1" si="748">(Y108/Y109)*Z109</f>
        <v>0</v>
      </c>
      <c r="AA108" s="998">
        <f t="shared" ref="AA108" ca="1" si="749">(Z108/Z109)*AA109</f>
        <v>0</v>
      </c>
      <c r="AB108" s="998">
        <f t="shared" ref="AB108" ca="1" si="750">(AA108/AA109)*AB109</f>
        <v>0</v>
      </c>
      <c r="AC108" s="998">
        <f t="shared" ref="AC108" ca="1" si="751">(AB108/AB109)*AC109</f>
        <v>0</v>
      </c>
      <c r="AD108" s="998">
        <f t="shared" ref="AD108" ca="1" si="752">(AC108/AC109)*AD109</f>
        <v>0</v>
      </c>
      <c r="AE108" s="998">
        <f t="shared" ref="AE108" ca="1" si="753">(AD108/AD109)*AE109</f>
        <v>0</v>
      </c>
      <c r="AF108" s="998">
        <f t="shared" ref="AF108" ca="1" si="754">(AE108/AE109)*AF109</f>
        <v>0</v>
      </c>
      <c r="AG108" s="998">
        <f t="shared" ref="AG108" ca="1" si="755">(AF108/AF109)*AG109</f>
        <v>0</v>
      </c>
      <c r="AH108" s="396"/>
      <c r="AI108" s="395"/>
      <c r="AJ108" s="256">
        <f ca="1">((U108/2)+SUM(V108:AF108)+(AG108/2))/12</f>
        <v>0</v>
      </c>
      <c r="AK108" s="106">
        <f ca="1">AG108</f>
        <v>0</v>
      </c>
      <c r="AL108" s="1016">
        <f ca="1">(AK108/AK109)*AL109</f>
        <v>0</v>
      </c>
      <c r="AM108" s="1016">
        <f t="shared" ref="AM108" ca="1" si="756">(AL108/AL109)*AM109</f>
        <v>0</v>
      </c>
      <c r="AN108" s="1016">
        <f t="shared" ref="AN108" ca="1" si="757">(AM108/AM109)*AN109</f>
        <v>0</v>
      </c>
      <c r="AO108" s="1016">
        <f t="shared" ref="AO108" ca="1" si="758">(AN108/AN109)*AO109</f>
        <v>0</v>
      </c>
      <c r="AP108" s="1016">
        <f t="shared" ref="AP108" ca="1" si="759">(AO108/AO109)*AP109</f>
        <v>0</v>
      </c>
      <c r="AQ108" s="1016">
        <f t="shared" ref="AQ108" ca="1" si="760">(AP108/AP109)*AQ109</f>
        <v>0</v>
      </c>
      <c r="AR108" s="1016">
        <f t="shared" ref="AR108" ca="1" si="761">(AQ108/AQ109)*AR109</f>
        <v>0</v>
      </c>
      <c r="AS108" s="1016">
        <f t="shared" ref="AS108" ca="1" si="762">(AR108/AR109)*AS109</f>
        <v>0</v>
      </c>
      <c r="AT108" s="1016">
        <f t="shared" ref="AT108" ca="1" si="763">(AS108/AS109)*AT109</f>
        <v>0</v>
      </c>
      <c r="AU108" s="1016">
        <f t="shared" ref="AU108" ca="1" si="764">(AT108/AT109)*AU109</f>
        <v>0</v>
      </c>
      <c r="AV108" s="1016">
        <f t="shared" ref="AV108" ca="1" si="765">(AU108/AU109)*AV109</f>
        <v>0</v>
      </c>
      <c r="AW108" s="1016">
        <f t="shared" ref="AW108" ca="1" si="766">(AV108/AV109)*AW109</f>
        <v>0</v>
      </c>
      <c r="AX108" s="396"/>
      <c r="AY108" s="395"/>
      <c r="AZ108" s="395"/>
      <c r="BA108" s="256">
        <f ca="1">((AK108/2)+SUM(AL108:AV108)+(AW108/2))/12</f>
        <v>0</v>
      </c>
    </row>
    <row r="109" spans="1:53">
      <c r="A109" s="250">
        <f t="shared" si="482"/>
        <v>94</v>
      </c>
      <c r="B109" s="208"/>
      <c r="C109" s="102"/>
      <c r="D109" s="102"/>
      <c r="E109" s="102" t="s">
        <v>170</v>
      </c>
      <c r="F109" s="974">
        <f t="shared" ref="F109:R109" si="767">SUM(F106:F108)</f>
        <v>54001587.619999997</v>
      </c>
      <c r="G109" s="974">
        <f t="shared" si="767"/>
        <v>53195298.780000001</v>
      </c>
      <c r="H109" s="974">
        <f t="shared" si="767"/>
        <v>52200123.810000002</v>
      </c>
      <c r="I109" s="974">
        <f t="shared" si="767"/>
        <v>52249733.200000003</v>
      </c>
      <c r="J109" s="974">
        <f t="shared" si="767"/>
        <v>52249733.200000003</v>
      </c>
      <c r="K109" s="974">
        <f t="shared" si="767"/>
        <v>52413897.240000002</v>
      </c>
      <c r="L109" s="974">
        <f t="shared" si="767"/>
        <v>52600349.920000002</v>
      </c>
      <c r="M109" s="974">
        <f t="shared" si="767"/>
        <v>52635449.270000003</v>
      </c>
      <c r="N109" s="974">
        <f t="shared" si="767"/>
        <v>52452476.049999997</v>
      </c>
      <c r="O109" s="974">
        <f t="shared" si="767"/>
        <v>52516695.909999996</v>
      </c>
      <c r="P109" s="974">
        <f t="shared" si="767"/>
        <v>52643184.350000001</v>
      </c>
      <c r="Q109" s="974">
        <f t="shared" si="767"/>
        <v>53353935.140000001</v>
      </c>
      <c r="R109" s="974">
        <f t="shared" si="767"/>
        <v>52931918.189999998</v>
      </c>
      <c r="S109" s="116"/>
      <c r="T109" s="116">
        <f>SUM(T106:T108)</f>
        <v>52664802.481249996</v>
      </c>
      <c r="U109" s="106">
        <f>+R109</f>
        <v>52931918.189999998</v>
      </c>
      <c r="V109" s="1269">
        <f t="shared" ref="V109:AA109" ca="1" si="768">IF($R109-$F109=0,U109+$AH109/12,U109+((G109-F109)/($R109-$F109))*$AH109)</f>
        <v>53206657.789311022</v>
      </c>
      <c r="W109" s="1269">
        <f t="shared" ca="1" si="768"/>
        <v>53545759.558972329</v>
      </c>
      <c r="X109" s="1269">
        <f t="shared" ca="1" si="768"/>
        <v>53528855.363782592</v>
      </c>
      <c r="Y109" s="1269">
        <f t="shared" ca="1" si="768"/>
        <v>53528855.363782592</v>
      </c>
      <c r="Z109" s="1269">
        <f t="shared" ca="1" si="768"/>
        <v>53472917.143713862</v>
      </c>
      <c r="AA109" s="1269">
        <f t="shared" ca="1" si="768"/>
        <v>53409384.161422223</v>
      </c>
      <c r="AB109" s="1269">
        <f ca="1">IF($R109-$F109=0,AA109+$AH109/12,AA109+((M109-L109)/($R109-$F109))*$AH109)</f>
        <v>53397424.202562965</v>
      </c>
      <c r="AC109" s="1269">
        <f t="shared" ref="AC109" ca="1" si="769">IF($R109-$F109=0,AB109+$AH109/12,AB109+((N109-M109)/($R109-$F109))*$AH109)</f>
        <v>53459771.573199339</v>
      </c>
      <c r="AD109" s="1269">
        <f t="shared" ref="AD109" ca="1" si="770">IF($R109-$F109=0,AC109+$AH109/12,AC109+((O109-N109)/($R109-$F109))*$AH109)</f>
        <v>53437888.920570523</v>
      </c>
      <c r="AE109" s="1269">
        <f t="shared" ref="AE109" ca="1" si="771">IF($R109-$F109=0,AD109+$AH109/12,AD109+((P109-O109)/($R109-$F109))*$AH109)</f>
        <v>53394788.505931176</v>
      </c>
      <c r="AF109" s="1269">
        <f t="shared" ref="AF109" ca="1" si="772">IF($R109-$F109=0,AE109+$AH109/12,AE109+((Q109-P109)/($R109-$F109))*$AH109)</f>
        <v>53152603.10342133</v>
      </c>
      <c r="AG109" s="1269">
        <f t="shared" ref="AG109" ca="1" si="773">IF($R109-$F109=0,AF109+$AH109/12,AF109+((R109-Q109)/($R109-$F109))*$AH109)</f>
        <v>53296403.639895901</v>
      </c>
      <c r="AH109" s="106">
        <f ca="1">'101_106 PROJECTION'!N27</f>
        <v>364485.44989591022</v>
      </c>
      <c r="AI109" s="393">
        <f ca="1">+AG109-U109</f>
        <v>364485.44989590347</v>
      </c>
      <c r="AJ109" s="116">
        <f ca="1">SUM(AJ106:AJ108)</f>
        <v>53387422.216801494</v>
      </c>
      <c r="AK109" s="1039">
        <f ca="1">AG109</f>
        <v>53296403.639895901</v>
      </c>
      <c r="AL109" s="1041">
        <f ca="1">IF($R109-$F109=0,AK109+$AX109/12,AK109+((G109-F109)/($R109-$F109))*$AX109)</f>
        <v>54192783.13815441</v>
      </c>
      <c r="AM109" s="1041">
        <f t="shared" ref="AM109" ca="1" si="774">IF($R109-$F109=0,AL109+$AX109/12,AL109+((H109-G109)/($R109-$F109))*$AX109)</f>
        <v>55299153.952226482</v>
      </c>
      <c r="AN109" s="1041">
        <f t="shared" ref="AN109" ca="1" si="775">IF($R109-$F109=0,AM109+$AX109/12,AM109+((I109-H109)/($R109-$F109))*$AX109)</f>
        <v>55244001.458590195</v>
      </c>
      <c r="AO109" s="1041">
        <f t="shared" ref="AO109" ca="1" si="776">IF($R109-$F109=0,AN109+$AX109/12,AN109+((J109-I109)/($R109-$F109))*$AX109)</f>
        <v>55244001.458590195</v>
      </c>
      <c r="AP109" s="1041">
        <f t="shared" ref="AP109" ca="1" si="777">IF($R109-$F109=0,AO109+$AX109/12,AO109+((K109-J109)/($R109-$F109))*$AX109)</f>
        <v>55061494.554727688</v>
      </c>
      <c r="AQ109" s="1041">
        <f t="shared" ref="AQ109" ca="1" si="778">IF($R109-$F109=0,AP109+$AX109/12,AP109+((L109-K109)/($R109-$F109))*$AX109)</f>
        <v>54854208.590373583</v>
      </c>
      <c r="AR109" s="1041">
        <f t="shared" ref="AR109" ca="1" si="779">IF($R109-$F109=0,AQ109+$AX109/12,AQ109+((M109-L109)/($R109-$F109))*$AX109)</f>
        <v>54815187.415601775</v>
      </c>
      <c r="AS109" s="1041">
        <f t="shared" ref="AS109" ca="1" si="780">IF($R109-$F109=0,AR109+$AX109/12,AR109+((N109-M109)/($R109-$F109))*$AX109)</f>
        <v>55018605.142601877</v>
      </c>
      <c r="AT109" s="1041">
        <f t="shared" ref="AT109" ca="1" si="781">IF($R109-$F109=0,AS109+$AX109/12,AS109+((O109-N109)/($R109-$F109))*$AX109)</f>
        <v>54947209.678558208</v>
      </c>
      <c r="AU109" s="1041">
        <f t="shared" ref="AU109" ca="1" si="782">IF($R109-$F109=0,AT109+$AX109/12,AT109+((P109-O109)/($R109-$F109))*$AX109)</f>
        <v>54806588.056680486</v>
      </c>
      <c r="AV109" s="1041">
        <f t="shared" ref="AV109" ca="1" si="783">IF($R109-$F109=0,AU109+$AX109/12,AU109+((Q109-P109)/($R109-$F109))*$AX109)</f>
        <v>54016421.549443401</v>
      </c>
      <c r="AW109" s="1041">
        <f t="shared" ref="AW109" ca="1" si="784">IF($R109-$F109=0,AV109+$AX109/12,AV109+((R109-Q109)/($R109-$F109))*$AX109)</f>
        <v>54485592.550120518</v>
      </c>
      <c r="AX109" s="106">
        <f ca="1">'101_106 PROJECTION'!$T$27</f>
        <v>1189188.9102246128</v>
      </c>
      <c r="AY109" s="133">
        <f ca="1">+AW109-AK109</f>
        <v>1189188.9102246165</v>
      </c>
      <c r="AZ109" s="133"/>
      <c r="BA109" s="116">
        <f ca="1">SUM(BA106:BA108)</f>
        <v>54782554.424213044</v>
      </c>
    </row>
    <row r="110" spans="1:53">
      <c r="A110" s="250">
        <f t="shared" si="482"/>
        <v>95</v>
      </c>
      <c r="B110" s="208"/>
      <c r="C110" s="102"/>
      <c r="D110" s="102"/>
      <c r="E110" s="102"/>
      <c r="U110" s="102"/>
      <c r="AH110" s="106"/>
      <c r="AK110" s="106">
        <f>AG110</f>
        <v>0</v>
      </c>
      <c r="AL110" s="1025"/>
      <c r="AW110" s="1016"/>
      <c r="AX110" s="106"/>
    </row>
    <row r="111" spans="1:53">
      <c r="A111" s="250">
        <f t="shared" si="482"/>
        <v>96</v>
      </c>
      <c r="B111" s="208"/>
      <c r="C111" s="102" t="s">
        <v>264</v>
      </c>
      <c r="D111" s="102" t="s">
        <v>265</v>
      </c>
      <c r="E111" s="102"/>
      <c r="U111" s="102"/>
      <c r="AH111" s="102"/>
      <c r="AK111" s="102"/>
      <c r="AX111" s="102"/>
    </row>
    <row r="112" spans="1:53">
      <c r="A112" s="250">
        <f t="shared" si="482"/>
        <v>97</v>
      </c>
      <c r="B112" s="208"/>
      <c r="C112" s="102"/>
      <c r="D112" s="102"/>
      <c r="E112" s="102" t="s">
        <v>592</v>
      </c>
      <c r="F112" s="974">
        <f>'Rate Base'!S110</f>
        <v>12371.89</v>
      </c>
      <c r="G112" s="974">
        <f>'Rate Base'!T110</f>
        <v>12371.89</v>
      </c>
      <c r="H112" s="974">
        <f>'Rate Base'!U110</f>
        <v>12371.89</v>
      </c>
      <c r="I112" s="974">
        <f>'Rate Base'!V110</f>
        <v>12371.89</v>
      </c>
      <c r="J112" s="974">
        <f>'Rate Base'!W110</f>
        <v>12371.89</v>
      </c>
      <c r="K112" s="974">
        <f>'Rate Base'!X110</f>
        <v>12371.89</v>
      </c>
      <c r="L112" s="974">
        <f>'Rate Base'!Y110</f>
        <v>12371.89</v>
      </c>
      <c r="M112" s="974">
        <f>'Rate Base'!Z110</f>
        <v>12371.89</v>
      </c>
      <c r="N112" s="974">
        <f>'Rate Base'!AA110</f>
        <v>12371.89</v>
      </c>
      <c r="O112" s="974">
        <f>'Rate Base'!AB110</f>
        <v>12371.89</v>
      </c>
      <c r="P112" s="974">
        <f>'Rate Base'!AC110</f>
        <v>12371.89</v>
      </c>
      <c r="Q112" s="974">
        <f>'Rate Base'!AD110</f>
        <v>12371.89</v>
      </c>
      <c r="R112" s="974">
        <f>'Rate Base'!AE110</f>
        <v>12371.89</v>
      </c>
      <c r="S112" s="116"/>
      <c r="T112" s="116">
        <f>((F112/2)+SUM(G112:Q112)+(R112/2))/12</f>
        <v>12371.89</v>
      </c>
      <c r="U112" s="116">
        <f>+R112</f>
        <v>12371.89</v>
      </c>
      <c r="V112" s="998">
        <f t="shared" ref="V112" si="785">(U112/U114)*V114</f>
        <v>12371.89</v>
      </c>
      <c r="W112" s="998">
        <f t="shared" ref="W112" si="786">(V112/V114)*W114</f>
        <v>12371.89</v>
      </c>
      <c r="X112" s="998">
        <f t="shared" ref="X112" si="787">(W112/W114)*X114</f>
        <v>12371.89</v>
      </c>
      <c r="Y112" s="998">
        <f t="shared" ref="Y112" si="788">(X112/X114)*Y114</f>
        <v>12371.89</v>
      </c>
      <c r="Z112" s="998">
        <f t="shared" ref="Z112" si="789">(Y112/Y114)*Z114</f>
        <v>12371.89</v>
      </c>
      <c r="AA112" s="998">
        <f t="shared" ref="AA112" si="790">(Z112/Z114)*AA114</f>
        <v>12371.89</v>
      </c>
      <c r="AB112" s="998">
        <f t="shared" ref="AB112" si="791">(AA112/AA114)*AB114</f>
        <v>12371.89</v>
      </c>
      <c r="AC112" s="998">
        <f t="shared" ref="AC112" si="792">(AB112/AB114)*AC114</f>
        <v>12371.89</v>
      </c>
      <c r="AD112" s="998">
        <f t="shared" ref="AD112" si="793">(AC112/AC114)*AD114</f>
        <v>12371.89</v>
      </c>
      <c r="AE112" s="998">
        <f t="shared" ref="AE112" si="794">(AD112/AD114)*AE114</f>
        <v>12371.89</v>
      </c>
      <c r="AF112" s="998">
        <f t="shared" ref="AF112" si="795">(AE112/AE114)*AF114</f>
        <v>12371.89</v>
      </c>
      <c r="AG112" s="998">
        <f t="shared" ref="AG112" si="796">(AF112/AF114)*AG114</f>
        <v>12371.89</v>
      </c>
      <c r="AH112" s="106"/>
      <c r="AI112" s="133"/>
      <c r="AJ112" s="116">
        <f>((U112/2)+SUM(V112:AF112)+(AG112/2))/12</f>
        <v>12371.89</v>
      </c>
      <c r="AK112" s="106">
        <f>AG112</f>
        <v>12371.89</v>
      </c>
      <c r="AL112" s="1016">
        <f>(AK112/AK114)*AL114</f>
        <v>12371.89</v>
      </c>
      <c r="AM112" s="1016">
        <f t="shared" ref="AM112:AW112" si="797">(AL112/AL114)*AM114</f>
        <v>12371.89</v>
      </c>
      <c r="AN112" s="1016">
        <f t="shared" si="797"/>
        <v>12371.89</v>
      </c>
      <c r="AO112" s="1016">
        <f t="shared" si="797"/>
        <v>12371.89</v>
      </c>
      <c r="AP112" s="1016">
        <f t="shared" si="797"/>
        <v>12371.89</v>
      </c>
      <c r="AQ112" s="1016">
        <f t="shared" si="797"/>
        <v>12371.89</v>
      </c>
      <c r="AR112" s="1016">
        <f t="shared" si="797"/>
        <v>12371.89</v>
      </c>
      <c r="AS112" s="1016">
        <f t="shared" si="797"/>
        <v>12371.89</v>
      </c>
      <c r="AT112" s="1016">
        <f t="shared" si="797"/>
        <v>12371.89</v>
      </c>
      <c r="AU112" s="1016">
        <f t="shared" si="797"/>
        <v>12371.89</v>
      </c>
      <c r="AV112" s="1016">
        <f t="shared" si="797"/>
        <v>12371.89</v>
      </c>
      <c r="AW112" s="1016">
        <f t="shared" si="797"/>
        <v>12371.89</v>
      </c>
      <c r="AX112" s="106"/>
      <c r="AY112" s="133"/>
      <c r="AZ112" s="133"/>
      <c r="BA112" s="116">
        <f>((AK112/2)+SUM(AL112:AV112)+(AW112/2))/12</f>
        <v>12371.89</v>
      </c>
    </row>
    <row r="113" spans="1:53">
      <c r="A113" s="250">
        <f t="shared" si="482"/>
        <v>98</v>
      </c>
      <c r="B113" s="208"/>
      <c r="C113" s="102"/>
      <c r="D113" s="102"/>
      <c r="E113" s="102" t="s">
        <v>593</v>
      </c>
      <c r="F113" s="985">
        <f>'Rate Base'!S111</f>
        <v>45026.020000000004</v>
      </c>
      <c r="G113" s="985">
        <f>'Rate Base'!T111</f>
        <v>45026.020000000004</v>
      </c>
      <c r="H113" s="985">
        <f>'Rate Base'!U111</f>
        <v>45026.020000000004</v>
      </c>
      <c r="I113" s="985">
        <f>'Rate Base'!V111</f>
        <v>45026.020000000004</v>
      </c>
      <c r="J113" s="985">
        <f>'Rate Base'!W111</f>
        <v>45026.020000000004</v>
      </c>
      <c r="K113" s="985">
        <f>'Rate Base'!X111</f>
        <v>45026.020000000004</v>
      </c>
      <c r="L113" s="985">
        <f>'Rate Base'!Y111</f>
        <v>45026.020000000004</v>
      </c>
      <c r="M113" s="985">
        <f>'Rate Base'!Z111</f>
        <v>45026.020000000004</v>
      </c>
      <c r="N113" s="985">
        <f>'Rate Base'!AA111</f>
        <v>45026.020000000004</v>
      </c>
      <c r="O113" s="985">
        <f>'Rate Base'!AB111</f>
        <v>45026.020000000004</v>
      </c>
      <c r="P113" s="985">
        <f>'Rate Base'!AC111</f>
        <v>45026.020000000004</v>
      </c>
      <c r="Q113" s="985">
        <f>'Rate Base'!AD111</f>
        <v>45026.020000000004</v>
      </c>
      <c r="R113" s="985">
        <f>'Rate Base'!AE111</f>
        <v>45026.020000000004</v>
      </c>
      <c r="S113" s="116"/>
      <c r="T113" s="256">
        <f>((F113/2)+SUM(G113:Q113)+(R113/2))/12</f>
        <v>45026.020000000011</v>
      </c>
      <c r="U113" s="396">
        <f>+R113</f>
        <v>45026.020000000004</v>
      </c>
      <c r="V113" s="998">
        <f t="shared" ref="V113" si="798">(U113/U114)*V114</f>
        <v>45026.020000000004</v>
      </c>
      <c r="W113" s="998">
        <f t="shared" ref="W113" si="799">(V113/V114)*W114</f>
        <v>45026.020000000004</v>
      </c>
      <c r="X113" s="998">
        <f t="shared" ref="X113" si="800">(W113/W114)*X114</f>
        <v>45026.020000000004</v>
      </c>
      <c r="Y113" s="998">
        <f t="shared" ref="Y113" si="801">(X113/X114)*Y114</f>
        <v>45026.020000000004</v>
      </c>
      <c r="Z113" s="998">
        <f t="shared" ref="Z113" si="802">(Y113/Y114)*Z114</f>
        <v>45026.020000000004</v>
      </c>
      <c r="AA113" s="998">
        <f t="shared" ref="AA113" si="803">(Z113/Z114)*AA114</f>
        <v>45026.020000000004</v>
      </c>
      <c r="AB113" s="998">
        <f t="shared" ref="AB113" si="804">(AA113/AA114)*AB114</f>
        <v>45026.020000000004</v>
      </c>
      <c r="AC113" s="998">
        <f t="shared" ref="AC113" si="805">(AB113/AB114)*AC114</f>
        <v>45026.020000000004</v>
      </c>
      <c r="AD113" s="998">
        <f t="shared" ref="AD113" si="806">(AC113/AC114)*AD114</f>
        <v>45026.020000000004</v>
      </c>
      <c r="AE113" s="998">
        <f t="shared" ref="AE113" si="807">(AD113/AD114)*AE114</f>
        <v>45026.020000000004</v>
      </c>
      <c r="AF113" s="998">
        <f t="shared" ref="AF113" si="808">(AE113/AE114)*AF114</f>
        <v>45026.020000000004</v>
      </c>
      <c r="AG113" s="998">
        <f t="shared" ref="AG113" si="809">(AF113/AF114)*AG114</f>
        <v>45026.020000000004</v>
      </c>
      <c r="AH113" s="396"/>
      <c r="AI113" s="395"/>
      <c r="AJ113" s="256">
        <f>((U113/2)+SUM(V113:AF113)+(AG113/2))/12</f>
        <v>45026.020000000011</v>
      </c>
      <c r="AK113" s="106">
        <f>AG113</f>
        <v>45026.020000000004</v>
      </c>
      <c r="AL113" s="1016">
        <f>(AK113/AK114)*AL114</f>
        <v>45026.020000000004</v>
      </c>
      <c r="AM113" s="1016">
        <f t="shared" ref="AM113" si="810">(AL113/AL114)*AM114</f>
        <v>45026.020000000004</v>
      </c>
      <c r="AN113" s="1016">
        <f t="shared" ref="AN113" si="811">(AM113/AM114)*AN114</f>
        <v>45026.020000000004</v>
      </c>
      <c r="AO113" s="1016">
        <f t="shared" ref="AO113" si="812">(AN113/AN114)*AO114</f>
        <v>45026.020000000004</v>
      </c>
      <c r="AP113" s="1016">
        <f t="shared" ref="AP113" si="813">(AO113/AO114)*AP114</f>
        <v>45026.020000000004</v>
      </c>
      <c r="AQ113" s="1016">
        <f t="shared" ref="AQ113" si="814">(AP113/AP114)*AQ114</f>
        <v>45026.020000000004</v>
      </c>
      <c r="AR113" s="1016">
        <f t="shared" ref="AR113" si="815">(AQ113/AQ114)*AR114</f>
        <v>45026.020000000004</v>
      </c>
      <c r="AS113" s="1016">
        <f t="shared" ref="AS113" si="816">(AR113/AR114)*AS114</f>
        <v>45026.020000000004</v>
      </c>
      <c r="AT113" s="1016">
        <f t="shared" ref="AT113" si="817">(AS113/AS114)*AT114</f>
        <v>45026.020000000004</v>
      </c>
      <c r="AU113" s="1016">
        <f t="shared" ref="AU113" si="818">(AT113/AT114)*AU114</f>
        <v>45026.020000000004</v>
      </c>
      <c r="AV113" s="1016">
        <f t="shared" ref="AV113" si="819">(AU113/AU114)*AV114</f>
        <v>45026.020000000004</v>
      </c>
      <c r="AW113" s="1016">
        <f t="shared" ref="AW113" si="820">(AV113/AV114)*AW114</f>
        <v>45026.020000000004</v>
      </c>
      <c r="AX113" s="396"/>
      <c r="AY113" s="395"/>
      <c r="AZ113" s="395"/>
      <c r="BA113" s="256">
        <f>((AK113/2)+SUM(AL113:AV113)+(AW113/2))/12</f>
        <v>45026.020000000011</v>
      </c>
    </row>
    <row r="114" spans="1:53">
      <c r="A114" s="250">
        <f t="shared" si="482"/>
        <v>99</v>
      </c>
      <c r="B114" s="208"/>
      <c r="C114" s="102"/>
      <c r="D114" s="102"/>
      <c r="E114" s="102" t="s">
        <v>170</v>
      </c>
      <c r="F114" s="974">
        <f t="shared" ref="F114:R114" si="821">SUM(F112:F113)</f>
        <v>57397.91</v>
      </c>
      <c r="G114" s="974">
        <f t="shared" si="821"/>
        <v>57397.91</v>
      </c>
      <c r="H114" s="974">
        <f t="shared" si="821"/>
        <v>57397.91</v>
      </c>
      <c r="I114" s="974">
        <f t="shared" si="821"/>
        <v>57397.91</v>
      </c>
      <c r="J114" s="974">
        <f t="shared" si="821"/>
        <v>57397.91</v>
      </c>
      <c r="K114" s="974">
        <f t="shared" si="821"/>
        <v>57397.91</v>
      </c>
      <c r="L114" s="974">
        <f t="shared" si="821"/>
        <v>57397.91</v>
      </c>
      <c r="M114" s="974">
        <f t="shared" si="821"/>
        <v>57397.91</v>
      </c>
      <c r="N114" s="974">
        <f t="shared" si="821"/>
        <v>57397.91</v>
      </c>
      <c r="O114" s="974">
        <f t="shared" si="821"/>
        <v>57397.91</v>
      </c>
      <c r="P114" s="974">
        <f t="shared" si="821"/>
        <v>57397.91</v>
      </c>
      <c r="Q114" s="974">
        <f t="shared" si="821"/>
        <v>57397.91</v>
      </c>
      <c r="R114" s="974">
        <f t="shared" si="821"/>
        <v>57397.91</v>
      </c>
      <c r="S114" s="116"/>
      <c r="T114" s="116">
        <f>SUM(T112:T113)</f>
        <v>57397.910000000011</v>
      </c>
      <c r="U114" s="106">
        <f>+R114</f>
        <v>57397.91</v>
      </c>
      <c r="V114" s="1269">
        <f t="shared" ref="V114:AA114" si="822">IF($R114-$F114=0,U114+$AH114/12,U114+((G114-F114)/($R114-$F114))*$AH114)</f>
        <v>57397.91</v>
      </c>
      <c r="W114" s="1269">
        <f t="shared" si="822"/>
        <v>57397.91</v>
      </c>
      <c r="X114" s="1269">
        <f t="shared" si="822"/>
        <v>57397.91</v>
      </c>
      <c r="Y114" s="1269">
        <f t="shared" si="822"/>
        <v>57397.91</v>
      </c>
      <c r="Z114" s="1269">
        <f t="shared" si="822"/>
        <v>57397.91</v>
      </c>
      <c r="AA114" s="1269">
        <f t="shared" si="822"/>
        <v>57397.91</v>
      </c>
      <c r="AB114" s="1269">
        <f>IF($R114-$F114=0,AA114+$AH114/12,AA114+((M114-L114)/($R114-$F114))*$AH114)</f>
        <v>57397.91</v>
      </c>
      <c r="AC114" s="1269">
        <f t="shared" ref="AC114" si="823">IF($R114-$F114=0,AB114+$AH114/12,AB114+((N114-M114)/($R114-$F114))*$AH114)</f>
        <v>57397.91</v>
      </c>
      <c r="AD114" s="1269">
        <f t="shared" ref="AD114" si="824">IF($R114-$F114=0,AC114+$AH114/12,AC114+((O114-N114)/($R114-$F114))*$AH114)</f>
        <v>57397.91</v>
      </c>
      <c r="AE114" s="1269">
        <f t="shared" ref="AE114" si="825">IF($R114-$F114=0,AD114+$AH114/12,AD114+((P114-O114)/($R114-$F114))*$AH114)</f>
        <v>57397.91</v>
      </c>
      <c r="AF114" s="1269">
        <f t="shared" ref="AF114" si="826">IF($R114-$F114=0,AE114+$AH114/12,AE114+((Q114-P114)/($R114-$F114))*$AH114)</f>
        <v>57397.91</v>
      </c>
      <c r="AG114" s="1269">
        <f t="shared" ref="AG114" si="827">IF($R114-$F114=0,AF114+$AH114/12,AF114+((R114-Q114)/($R114-$F114))*$AH114)</f>
        <v>57397.91</v>
      </c>
      <c r="AH114" s="106">
        <f>'101_106 PROJECTION'!N28</f>
        <v>0</v>
      </c>
      <c r="AI114" s="393">
        <f>+AG114-U114</f>
        <v>0</v>
      </c>
      <c r="AJ114" s="116">
        <f>SUM(AJ112:AJ113)</f>
        <v>57397.910000000011</v>
      </c>
      <c r="AK114" s="1039">
        <f>AG114</f>
        <v>57397.91</v>
      </c>
      <c r="AL114" s="1041">
        <f>IF($R114-$F114=0,AK114+$AX114/12,AK114+((G114-F114)/($R114-$F114))*$AX114)</f>
        <v>57397.91</v>
      </c>
      <c r="AM114" s="1041">
        <f t="shared" ref="AM114" si="828">IF($R114-$F114=0,AL114+$AX114/12,AL114+((H114-G114)/($R114-$F114))*$AX114)</f>
        <v>57397.91</v>
      </c>
      <c r="AN114" s="1041">
        <f t="shared" ref="AN114" si="829">IF($R114-$F114=0,AM114+$AX114/12,AM114+((I114-H114)/($R114-$F114))*$AX114)</f>
        <v>57397.91</v>
      </c>
      <c r="AO114" s="1041">
        <f t="shared" ref="AO114" si="830">IF($R114-$F114=0,AN114+$AX114/12,AN114+((J114-I114)/($R114-$F114))*$AX114)</f>
        <v>57397.91</v>
      </c>
      <c r="AP114" s="1041">
        <f t="shared" ref="AP114" si="831">IF($R114-$F114=0,AO114+$AX114/12,AO114+((K114-J114)/($R114-$F114))*$AX114)</f>
        <v>57397.91</v>
      </c>
      <c r="AQ114" s="1041">
        <f t="shared" ref="AQ114" si="832">IF($R114-$F114=0,AP114+$AX114/12,AP114+((L114-K114)/($R114-$F114))*$AX114)</f>
        <v>57397.91</v>
      </c>
      <c r="AR114" s="1041">
        <f t="shared" ref="AR114" si="833">IF($R114-$F114=0,AQ114+$AX114/12,AQ114+((M114-L114)/($R114-$F114))*$AX114)</f>
        <v>57397.91</v>
      </c>
      <c r="AS114" s="1041">
        <f t="shared" ref="AS114" si="834">IF($R114-$F114=0,AR114+$AX114/12,AR114+((N114-M114)/($R114-$F114))*$AX114)</f>
        <v>57397.91</v>
      </c>
      <c r="AT114" s="1041">
        <f t="shared" ref="AT114" si="835">IF($R114-$F114=0,AS114+$AX114/12,AS114+((O114-N114)/($R114-$F114))*$AX114)</f>
        <v>57397.91</v>
      </c>
      <c r="AU114" s="1041">
        <f t="shared" ref="AU114" si="836">IF($R114-$F114=0,AT114+$AX114/12,AT114+((P114-O114)/($R114-$F114))*$AX114)</f>
        <v>57397.91</v>
      </c>
      <c r="AV114" s="1041">
        <f t="shared" ref="AV114" si="837">IF($R114-$F114=0,AU114+$AX114/12,AU114+((Q114-P114)/($R114-$F114))*$AX114)</f>
        <v>57397.91</v>
      </c>
      <c r="AW114" s="1041">
        <f t="shared" ref="AW114" si="838">IF($R114-$F114=0,AV114+$AX114/12,AV114+((R114-Q114)/($R114-$F114))*$AX114)</f>
        <v>57397.91</v>
      </c>
      <c r="AX114" s="106">
        <f>'101_106 PROJECTION'!$T$28</f>
        <v>0</v>
      </c>
      <c r="AY114" s="133">
        <f>+AW114-AK114</f>
        <v>0</v>
      </c>
      <c r="AZ114" s="133"/>
      <c r="BA114" s="116">
        <f>SUM(BA112:BA113)</f>
        <v>57397.910000000011</v>
      </c>
    </row>
    <row r="115" spans="1:53">
      <c r="A115" s="250">
        <f t="shared" si="482"/>
        <v>100</v>
      </c>
      <c r="B115" s="208"/>
      <c r="C115" s="102"/>
      <c r="D115" s="102"/>
      <c r="E115" s="102"/>
      <c r="U115" s="102"/>
      <c r="AH115" s="106"/>
      <c r="AK115" s="102"/>
      <c r="AW115" s="1016"/>
      <c r="AX115" s="106"/>
    </row>
    <row r="116" spans="1:53">
      <c r="A116" s="250">
        <f t="shared" si="482"/>
        <v>101</v>
      </c>
      <c r="B116" s="208"/>
      <c r="C116" s="102" t="s">
        <v>266</v>
      </c>
      <c r="D116" s="102" t="s">
        <v>267</v>
      </c>
      <c r="E116" s="102"/>
      <c r="U116" s="102"/>
      <c r="AH116" s="102"/>
      <c r="AK116" s="102"/>
      <c r="AX116" s="102"/>
    </row>
    <row r="117" spans="1:53">
      <c r="A117" s="250">
        <f t="shared" si="482"/>
        <v>102</v>
      </c>
      <c r="B117" s="208"/>
      <c r="C117" s="102"/>
      <c r="D117" s="102"/>
      <c r="E117" s="102" t="s">
        <v>592</v>
      </c>
      <c r="F117" s="974">
        <f>'Rate Base'!S115</f>
        <v>2614218.66</v>
      </c>
      <c r="G117" s="974">
        <f>'Rate Base'!T115</f>
        <v>2632043.1</v>
      </c>
      <c r="H117" s="974">
        <f>'Rate Base'!U115</f>
        <v>2632683.1800000002</v>
      </c>
      <c r="I117" s="974">
        <f>'Rate Base'!V115</f>
        <v>2622572.71</v>
      </c>
      <c r="J117" s="974">
        <f>'Rate Base'!W115</f>
        <v>2622572.71</v>
      </c>
      <c r="K117" s="974">
        <f>'Rate Base'!X115</f>
        <v>2625915.9700000002</v>
      </c>
      <c r="L117" s="974">
        <f>'Rate Base'!Y115</f>
        <v>2308319.5200000005</v>
      </c>
      <c r="M117" s="974">
        <f>'Rate Base'!Z115</f>
        <v>2320084.8800000004</v>
      </c>
      <c r="N117" s="974">
        <f>'Rate Base'!AA115</f>
        <v>2344115.19</v>
      </c>
      <c r="O117" s="974">
        <f>'Rate Base'!AB115</f>
        <v>2349815.1900000004</v>
      </c>
      <c r="P117" s="974">
        <f>'Rate Base'!AC115</f>
        <v>2371963.23</v>
      </c>
      <c r="Q117" s="974">
        <f>'Rate Base'!AD115</f>
        <v>2391686.4</v>
      </c>
      <c r="R117" s="974">
        <f>'Rate Base'!AE115</f>
        <v>2395252.1300000004</v>
      </c>
      <c r="S117" s="116"/>
      <c r="T117" s="116">
        <f>((F117/2)+SUM(G117:Q117)+(R117/2))/12</f>
        <v>2477208.9562500003</v>
      </c>
      <c r="U117" s="106">
        <f>+R117</f>
        <v>2395252.1300000004</v>
      </c>
      <c r="V117" s="998">
        <f t="shared" ref="V117" ca="1" si="839">(U117/U120)*V120</f>
        <v>2732863.6743370327</v>
      </c>
      <c r="W117" s="998">
        <f t="shared" ref="W117" ca="1" si="840">(V117/V120)*W120</f>
        <v>2757697.5348999347</v>
      </c>
      <c r="X117" s="998">
        <f t="shared" ref="X117" ca="1" si="841">(W117/W120)*X120</f>
        <v>2339920.1458022725</v>
      </c>
      <c r="Y117" s="998">
        <f t="shared" ref="Y117" ca="1" si="842">(X117/X120)*Y120</f>
        <v>2604283.125275515</v>
      </c>
      <c r="Z117" s="998">
        <f t="shared" ref="Z117" ca="1" si="843">(Y117/Y120)*Z120</f>
        <v>2819875.6804145826</v>
      </c>
      <c r="AA117" s="998">
        <f t="shared" ref="AA117" ca="1" si="844">(Z117/Z120)*AA120</f>
        <v>2865510.6322551747</v>
      </c>
      <c r="AB117" s="998">
        <f t="shared" ref="AB117" ca="1" si="845">(AA117/AA120)*AB120</f>
        <v>3112642.0018970123</v>
      </c>
      <c r="AC117" s="998">
        <f t="shared" ref="AC117" ca="1" si="846">(AB117/AB120)*AC120</f>
        <v>3444317.5476370449</v>
      </c>
      <c r="AD117" s="998">
        <f t="shared" ref="AD117" ca="1" si="847">(AC117/AC120)*AD120</f>
        <v>3487797.2657877263</v>
      </c>
      <c r="AE117" s="998">
        <f t="shared" ref="AE117" ca="1" si="848">(AD117/AD120)*AE120</f>
        <v>3827511.537605328</v>
      </c>
      <c r="AF117" s="998">
        <f t="shared" ref="AF117" ca="1" si="849">(AE117/AE120)*AF120</f>
        <v>2447017.1754250196</v>
      </c>
      <c r="AG117" s="998">
        <f t="shared" ref="AG117" ca="1" si="850">(AF117/AF120)*AG120</f>
        <v>2765639.3724008827</v>
      </c>
      <c r="AH117" s="106"/>
      <c r="AI117" s="133"/>
      <c r="AJ117" s="116">
        <f ca="1">((U117/2)+SUM(V117:AF117)+(AG117/2))/12</f>
        <v>2918323.5060447566</v>
      </c>
      <c r="AK117" s="106">
        <f ca="1">AG117</f>
        <v>2765639.3724008827</v>
      </c>
      <c r="AL117" s="1016">
        <f ca="1">(AK117/AK120)*AL120</f>
        <v>2944755.9533607354</v>
      </c>
      <c r="AM117" s="1016">
        <f t="shared" ref="AM117:AW117" ca="1" si="851">(AL117/AL120)*AM120</f>
        <v>2957931.3209412349</v>
      </c>
      <c r="AN117" s="1016">
        <f t="shared" ca="1" si="851"/>
        <v>2736283.5165557167</v>
      </c>
      <c r="AO117" s="1016">
        <f t="shared" ca="1" si="851"/>
        <v>2876538.7708853385</v>
      </c>
      <c r="AP117" s="1016">
        <f t="shared" ca="1" si="851"/>
        <v>2990919.3422983773</v>
      </c>
      <c r="AQ117" s="1016">
        <f t="shared" ca="1" si="851"/>
        <v>3015130.5302244467</v>
      </c>
      <c r="AR117" s="1016">
        <f t="shared" ca="1" si="851"/>
        <v>3146243.7185044722</v>
      </c>
      <c r="AS117" s="1016">
        <f t="shared" ca="1" si="851"/>
        <v>3322211.0120921619</v>
      </c>
      <c r="AT117" s="1016">
        <f t="shared" ca="1" si="851"/>
        <v>3345278.7613646025</v>
      </c>
      <c r="AU117" s="1016">
        <f t="shared" ca="1" si="851"/>
        <v>3525510.9243101049</v>
      </c>
      <c r="AV117" s="1016">
        <f t="shared" ca="1" si="851"/>
        <v>2793102.8229412609</v>
      </c>
      <c r="AW117" s="1016">
        <f t="shared" ca="1" si="851"/>
        <v>2962144.7869899212</v>
      </c>
      <c r="AX117" s="106"/>
      <c r="AY117" s="133"/>
      <c r="AZ117" s="133"/>
      <c r="BA117" s="116">
        <f ca="1">((AK117/2)+SUM(AL117:AV117)+(AW117/2))/12</f>
        <v>3043149.8960978216</v>
      </c>
    </row>
    <row r="118" spans="1:53">
      <c r="A118" s="250">
        <f t="shared" si="482"/>
        <v>103</v>
      </c>
      <c r="B118" s="208"/>
      <c r="C118" s="102"/>
      <c r="D118" s="102"/>
      <c r="E118" s="102" t="s">
        <v>593</v>
      </c>
      <c r="F118" s="974">
        <f>'Rate Base'!S116</f>
        <v>28776820.039999999</v>
      </c>
      <c r="G118" s="974">
        <f>'Rate Base'!T116</f>
        <v>29024551.939999998</v>
      </c>
      <c r="H118" s="974">
        <f>'Rate Base'!U116</f>
        <v>29043445.52</v>
      </c>
      <c r="I118" s="974">
        <f>'Rate Base'!V116</f>
        <v>28724943.309999999</v>
      </c>
      <c r="J118" s="974">
        <f>'Rate Base'!W116</f>
        <v>28932884.259999998</v>
      </c>
      <c r="K118" s="974">
        <f>'Rate Base'!X116</f>
        <v>29099120.420000002</v>
      </c>
      <c r="L118" s="974">
        <f>'Rate Base'!Y116</f>
        <v>29452612.120000001</v>
      </c>
      <c r="M118" s="974">
        <f>'Rate Base'!Z116</f>
        <v>29635233.780000001</v>
      </c>
      <c r="N118" s="974">
        <f>'Rate Base'!AA116</f>
        <v>29872090.709999997</v>
      </c>
      <c r="O118" s="974">
        <f>'Rate Base'!AB116</f>
        <v>29900590.709999997</v>
      </c>
      <c r="P118" s="974">
        <f>'Rate Base'!AC116</f>
        <v>30145652.960000001</v>
      </c>
      <c r="Q118" s="974">
        <f>'Rate Base'!AD116</f>
        <v>29040069.32</v>
      </c>
      <c r="R118" s="974">
        <f>'Rate Base'!AE116</f>
        <v>29287123.41</v>
      </c>
      <c r="S118" s="116"/>
      <c r="T118" s="116">
        <f>((F118/2)+SUM(G118:Q118)+(R118/2))/12</f>
        <v>29325263.897916663</v>
      </c>
      <c r="U118" s="106">
        <f>+R118</f>
        <v>29287123.41</v>
      </c>
      <c r="V118" s="998">
        <f t="shared" ref="V118" ca="1" si="852">(U118/U120)*V120</f>
        <v>33415152.705871809</v>
      </c>
      <c r="W118" s="998">
        <f t="shared" ref="W118" ca="1" si="853">(V118/V120)*W120</f>
        <v>33718800.213348374</v>
      </c>
      <c r="X118" s="998">
        <f t="shared" ref="X118" ca="1" si="854">(W118/W120)*X120</f>
        <v>28610570.562213141</v>
      </c>
      <c r="Y118" s="998">
        <f t="shared" ref="Y118" ca="1" si="855">(X118/X120)*Y120</f>
        <v>31842978.168867957</v>
      </c>
      <c r="Z118" s="998">
        <f t="shared" ref="Z118" ca="1" si="856">(Y118/Y120)*Z120</f>
        <v>34479062.149152361</v>
      </c>
      <c r="AA118" s="998">
        <f t="shared" ref="AA118" ca="1" si="857">(Z118/Z120)*AA120</f>
        <v>35037047.861648031</v>
      </c>
      <c r="AB118" s="998">
        <f t="shared" ref="AB118" ca="1" si="858">(AA118/AA120)*AB120</f>
        <v>38058761.872683197</v>
      </c>
      <c r="AC118" s="998">
        <f t="shared" ref="AC118" ca="1" si="859">(AB118/AB120)*AC120</f>
        <v>42114210.782843411</v>
      </c>
      <c r="AD118" s="998">
        <f t="shared" ref="AD118" ca="1" si="860">(AC118/AC120)*AD120</f>
        <v>42645844.11503505</v>
      </c>
      <c r="AE118" s="998">
        <f t="shared" ref="AE118" ca="1" si="861">(AD118/AD120)*AE120</f>
        <v>46799583.789555401</v>
      </c>
      <c r="AF118" s="998">
        <f t="shared" ref="AF118" ca="1" si="862">(AE118/AE120)*AF120</f>
        <v>29920062.738055944</v>
      </c>
      <c r="AG118" s="998">
        <f t="shared" ref="AG118" ca="1" si="863">(AF118/AF120)*AG120</f>
        <v>33815906.305888377</v>
      </c>
      <c r="AH118" s="106"/>
      <c r="AI118" s="133"/>
      <c r="AJ118" s="116">
        <f ca="1">((U118/2)+SUM(V118:AF118)+(AG118/2))/12</f>
        <v>35682799.151434906</v>
      </c>
      <c r="AK118" s="106">
        <f ca="1">AG118</f>
        <v>33815906.305888377</v>
      </c>
      <c r="AL118" s="1016">
        <f ca="1">(AK118/AK120)*AL120</f>
        <v>36005992.82982707</v>
      </c>
      <c r="AM118" s="1016">
        <f t="shared" ref="AM118:AW118" ca="1" si="864">(AL118/AL120)*AM120</f>
        <v>36167090.115356766</v>
      </c>
      <c r="AN118" s="1016">
        <f t="shared" ca="1" si="864"/>
        <v>33456967.65296939</v>
      </c>
      <c r="AO118" s="1016">
        <f t="shared" ca="1" si="864"/>
        <v>35171890.642079756</v>
      </c>
      <c r="AP118" s="1016">
        <f t="shared" ca="1" si="864"/>
        <v>36570439.82557635</v>
      </c>
      <c r="AQ118" s="1016">
        <f t="shared" ca="1" si="864"/>
        <v>36866473.817076653</v>
      </c>
      <c r="AR118" s="1016">
        <f t="shared" ca="1" si="864"/>
        <v>38469615.330966331</v>
      </c>
      <c r="AS118" s="1016">
        <f t="shared" ca="1" si="864"/>
        <v>40621195.024343476</v>
      </c>
      <c r="AT118" s="1016">
        <f t="shared" ca="1" si="864"/>
        <v>40903248.012115121</v>
      </c>
      <c r="AU118" s="1016">
        <f t="shared" ca="1" si="864"/>
        <v>43106974.931934692</v>
      </c>
      <c r="AV118" s="1016">
        <f t="shared" ca="1" si="864"/>
        <v>34151706.222384222</v>
      </c>
      <c r="AW118" s="1016">
        <f t="shared" ca="1" si="864"/>
        <v>36218608.82547757</v>
      </c>
      <c r="AX118" s="106"/>
      <c r="AY118" s="133"/>
      <c r="AZ118" s="133"/>
      <c r="BA118" s="116">
        <f ca="1">((AK118/2)+SUM(AL118:AV118)+(AW118/2))/12</f>
        <v>37209070.997526072</v>
      </c>
    </row>
    <row r="119" spans="1:53">
      <c r="A119" s="250">
        <f t="shared" si="482"/>
        <v>104</v>
      </c>
      <c r="B119" s="208"/>
      <c r="C119" s="102"/>
      <c r="D119" s="102"/>
      <c r="E119" s="102" t="s">
        <v>595</v>
      </c>
      <c r="F119" s="985">
        <f>'Rate Base'!S117</f>
        <v>0</v>
      </c>
      <c r="G119" s="985">
        <f>'Rate Base'!T117</f>
        <v>0</v>
      </c>
      <c r="H119" s="985">
        <f>'Rate Base'!U117</f>
        <v>0</v>
      </c>
      <c r="I119" s="985">
        <f>'Rate Base'!V117</f>
        <v>0</v>
      </c>
      <c r="J119" s="985">
        <f>'Rate Base'!W117</f>
        <v>0</v>
      </c>
      <c r="K119" s="985">
        <f>'Rate Base'!X117</f>
        <v>0</v>
      </c>
      <c r="L119" s="985">
        <f>'Rate Base'!Y117</f>
        <v>0</v>
      </c>
      <c r="M119" s="985">
        <f>'Rate Base'!Z117</f>
        <v>0</v>
      </c>
      <c r="N119" s="985">
        <f>'Rate Base'!AA117</f>
        <v>0</v>
      </c>
      <c r="O119" s="985">
        <f>'Rate Base'!AB117</f>
        <v>0</v>
      </c>
      <c r="P119" s="985">
        <f>'Rate Base'!AC117</f>
        <v>0</v>
      </c>
      <c r="Q119" s="985">
        <f>'Rate Base'!AD117</f>
        <v>0</v>
      </c>
      <c r="R119" s="985">
        <f>'Rate Base'!AE117</f>
        <v>0</v>
      </c>
      <c r="S119" s="116"/>
      <c r="T119" s="256">
        <f>((F119/2)+SUM(G119:Q119)+(R119/2))/12</f>
        <v>0</v>
      </c>
      <c r="U119" s="396">
        <f>+R119</f>
        <v>0</v>
      </c>
      <c r="V119" s="998">
        <f t="shared" ref="V119" ca="1" si="865">(U119/U120)*V120</f>
        <v>0</v>
      </c>
      <c r="W119" s="998">
        <f t="shared" ref="W119" ca="1" si="866">(V119/V120)*W120</f>
        <v>0</v>
      </c>
      <c r="X119" s="998">
        <f t="shared" ref="X119" ca="1" si="867">(W119/W120)*X120</f>
        <v>0</v>
      </c>
      <c r="Y119" s="998">
        <f t="shared" ref="Y119" ca="1" si="868">(X119/X120)*Y120</f>
        <v>0</v>
      </c>
      <c r="Z119" s="998">
        <f t="shared" ref="Z119" ca="1" si="869">(Y119/Y120)*Z120</f>
        <v>0</v>
      </c>
      <c r="AA119" s="998">
        <f t="shared" ref="AA119" ca="1" si="870">(Z119/Z120)*AA120</f>
        <v>0</v>
      </c>
      <c r="AB119" s="998">
        <f t="shared" ref="AB119" ca="1" si="871">(AA119/AA120)*AB120</f>
        <v>0</v>
      </c>
      <c r="AC119" s="998">
        <f t="shared" ref="AC119" ca="1" si="872">(AB119/AB120)*AC120</f>
        <v>0</v>
      </c>
      <c r="AD119" s="998">
        <f t="shared" ref="AD119" ca="1" si="873">(AC119/AC120)*AD120</f>
        <v>0</v>
      </c>
      <c r="AE119" s="998">
        <f t="shared" ref="AE119" ca="1" si="874">(AD119/AD120)*AE120</f>
        <v>0</v>
      </c>
      <c r="AF119" s="998">
        <f t="shared" ref="AF119" ca="1" si="875">(AE119/AE120)*AF120</f>
        <v>0</v>
      </c>
      <c r="AG119" s="998">
        <f t="shared" ref="AG119" ca="1" si="876">(AF119/AF120)*AG120</f>
        <v>0</v>
      </c>
      <c r="AH119" s="396"/>
      <c r="AI119" s="395"/>
      <c r="AJ119" s="256">
        <f ca="1">((U119/2)+SUM(V119:AF119)+(AG119/2))/12</f>
        <v>0</v>
      </c>
      <c r="AK119" s="106">
        <f ca="1">AG119</f>
        <v>0</v>
      </c>
      <c r="AL119" s="1016">
        <f ca="1">(AK119/AK120)*AL120</f>
        <v>0</v>
      </c>
      <c r="AM119" s="1016">
        <f t="shared" ref="AM119" ca="1" si="877">(AL119/AL120)*AM120</f>
        <v>0</v>
      </c>
      <c r="AN119" s="1016">
        <f t="shared" ref="AN119" ca="1" si="878">(AM119/AM120)*AN120</f>
        <v>0</v>
      </c>
      <c r="AO119" s="1016">
        <f t="shared" ref="AO119" ca="1" si="879">(AN119/AN120)*AO120</f>
        <v>0</v>
      </c>
      <c r="AP119" s="1016">
        <f t="shared" ref="AP119" ca="1" si="880">(AO119/AO120)*AP120</f>
        <v>0</v>
      </c>
      <c r="AQ119" s="1016">
        <f t="shared" ref="AQ119" ca="1" si="881">(AP119/AP120)*AQ120</f>
        <v>0</v>
      </c>
      <c r="AR119" s="1016">
        <f t="shared" ref="AR119" ca="1" si="882">(AQ119/AQ120)*AR120</f>
        <v>0</v>
      </c>
      <c r="AS119" s="1016">
        <f t="shared" ref="AS119" ca="1" si="883">(AR119/AR120)*AS120</f>
        <v>0</v>
      </c>
      <c r="AT119" s="1016">
        <f t="shared" ref="AT119" ca="1" si="884">(AS119/AS120)*AT120</f>
        <v>0</v>
      </c>
      <c r="AU119" s="1016">
        <f t="shared" ref="AU119" ca="1" si="885">(AT119/AT120)*AU120</f>
        <v>0</v>
      </c>
      <c r="AV119" s="1016">
        <f t="shared" ref="AV119" ca="1" si="886">(AU119/AU120)*AV120</f>
        <v>0</v>
      </c>
      <c r="AW119" s="1016">
        <f t="shared" ref="AW119" ca="1" si="887">(AV119/AV120)*AW120</f>
        <v>0</v>
      </c>
      <c r="AX119" s="396"/>
      <c r="AY119" s="395"/>
      <c r="AZ119" s="395"/>
      <c r="BA119" s="256">
        <f ca="1">((AK119/2)+SUM(AL119:AV119)+(AW119/2))/12</f>
        <v>0</v>
      </c>
    </row>
    <row r="120" spans="1:53">
      <c r="A120" s="250">
        <f t="shared" si="482"/>
        <v>105</v>
      </c>
      <c r="B120" s="208"/>
      <c r="C120" s="102"/>
      <c r="D120" s="102"/>
      <c r="E120" s="102" t="s">
        <v>170</v>
      </c>
      <c r="F120" s="974">
        <f t="shared" ref="F120:R120" si="888">SUM(F117:F119)</f>
        <v>31391038.699999999</v>
      </c>
      <c r="G120" s="974">
        <f t="shared" si="888"/>
        <v>31656595.039999999</v>
      </c>
      <c r="H120" s="974">
        <f t="shared" si="888"/>
        <v>31676128.699999999</v>
      </c>
      <c r="I120" s="974">
        <f t="shared" si="888"/>
        <v>31347516.02</v>
      </c>
      <c r="J120" s="974">
        <f t="shared" si="888"/>
        <v>31555456.969999999</v>
      </c>
      <c r="K120" s="974">
        <f t="shared" si="888"/>
        <v>31725036.390000001</v>
      </c>
      <c r="L120" s="974">
        <f t="shared" si="888"/>
        <v>31760931.640000001</v>
      </c>
      <c r="M120" s="974">
        <f t="shared" si="888"/>
        <v>31955318.66</v>
      </c>
      <c r="N120" s="974">
        <f t="shared" si="888"/>
        <v>32216205.899999999</v>
      </c>
      <c r="O120" s="974">
        <f t="shared" si="888"/>
        <v>32250405.899999999</v>
      </c>
      <c r="P120" s="974">
        <f t="shared" si="888"/>
        <v>32517616.190000001</v>
      </c>
      <c r="Q120" s="974">
        <f t="shared" si="888"/>
        <v>31431755.719999999</v>
      </c>
      <c r="R120" s="974">
        <f t="shared" si="888"/>
        <v>31682375.539999999</v>
      </c>
      <c r="S120" s="116"/>
      <c r="T120" s="116">
        <f>SUM(T117:T119)</f>
        <v>31802472.854166664</v>
      </c>
      <c r="U120" s="106">
        <f>+R120</f>
        <v>31682375.539999999</v>
      </c>
      <c r="V120" s="1269">
        <f t="shared" ref="V120:AA120" ca="1" si="889">IF($R120-$F120=0,U120+$AH120/12,U120+((G120-F120)/($R120-$F120))*$AH120)</f>
        <v>36148016.380208842</v>
      </c>
      <c r="W120" s="1269">
        <f t="shared" ca="1" si="889"/>
        <v>36476497.748248309</v>
      </c>
      <c r="X120" s="1269">
        <f t="shared" ca="1" si="889"/>
        <v>30950490.708015416</v>
      </c>
      <c r="Y120" s="1269">
        <f t="shared" ca="1" si="889"/>
        <v>34447261.294143476</v>
      </c>
      <c r="Z120" s="1269">
        <f t="shared" ca="1" si="889"/>
        <v>37298937.829566948</v>
      </c>
      <c r="AA120" s="1269">
        <f t="shared" ca="1" si="889"/>
        <v>37902558.493903212</v>
      </c>
      <c r="AB120" s="1269">
        <f ca="1">IF($R120-$F120=0,AA120+$AH120/12,AA120+((M120-L120)/($R120-$F120))*$AH120)</f>
        <v>41171403.874580219</v>
      </c>
      <c r="AC120" s="1269">
        <f t="shared" ref="AC120" ca="1" si="890">IF($R120-$F120=0,AB120+$AH120/12,AB120+((N120-M120)/($R120-$F120))*$AH120)</f>
        <v>45558528.330480464</v>
      </c>
      <c r="AD120" s="1269">
        <f t="shared" ref="AD120" ca="1" si="891">IF($R120-$F120=0,AC120+$AH120/12,AC120+((O120-N120)/($R120-$F120))*$AH120)</f>
        <v>46133641.380822785</v>
      </c>
      <c r="AE120" s="1269">
        <f t="shared" ref="AE120" ca="1" si="892">IF($R120-$F120=0,AD120+$AH120/12,AD120+((P120-O120)/($R120-$F120))*$AH120)</f>
        <v>50627095.327160738</v>
      </c>
      <c r="AF120" s="1269">
        <f t="shared" ref="AF120" ca="1" si="893">IF($R120-$F120=0,AE120+$AH120/12,AE120+((Q120-P120)/($R120-$F120))*$AH120)</f>
        <v>32367079.913480971</v>
      </c>
      <c r="AG120" s="1269">
        <f t="shared" ref="AG120" ca="1" si="894">IF($R120-$F120=0,AF120+$AH120/12,AF120+((R120-Q120)/($R120-$F120))*$AH120)</f>
        <v>36581545.678289264</v>
      </c>
      <c r="AH120" s="106">
        <f ca="1">'101_106 PROJECTION'!N29</f>
        <v>4899170.1382892607</v>
      </c>
      <c r="AI120" s="393">
        <f ca="1">+AG120-U120</f>
        <v>4899170.1382892653</v>
      </c>
      <c r="AJ120" s="116">
        <f ca="1">SUM(AJ117:AJ119)</f>
        <v>38601122.657479659</v>
      </c>
      <c r="AK120" s="1039">
        <f ca="1">AG120</f>
        <v>36581545.678289264</v>
      </c>
      <c r="AL120" s="1041">
        <f ca="1">IF($R120-$F120=0,AK120+$AX120/12,AK120+((G120-F120)/($R120-$F120))*$AX120)</f>
        <v>38950748.783187814</v>
      </c>
      <c r="AM120" s="1041">
        <f t="shared" ref="AM120" ca="1" si="895">IF($R120-$F120=0,AL120+$AX120/12,AL120+((H120-G120)/($R120-$F120))*$AX120)</f>
        <v>39125021.436298005</v>
      </c>
      <c r="AN120" s="1041">
        <f t="shared" ref="AN120" ca="1" si="896">IF($R120-$F120=0,AM120+$AX120/12,AM120+((I120-H120)/($R120-$F120))*$AX120)</f>
        <v>36193251.169525109</v>
      </c>
      <c r="AO120" s="1041">
        <f t="shared" ref="AO120" ca="1" si="897">IF($R120-$F120=0,AN120+$AX120/12,AN120+((J120-I120)/($R120-$F120))*$AX120)</f>
        <v>38048429.412965097</v>
      </c>
      <c r="AP120" s="1041">
        <f t="shared" ref="AP120" ca="1" si="898">IF($R120-$F120=0,AO120+$AX120/12,AO120+((K120-J120)/($R120-$F120))*$AX120)</f>
        <v>39561359.167874731</v>
      </c>
      <c r="AQ120" s="1041">
        <f t="shared" ref="AQ120" ca="1" si="899">IF($R120-$F120=0,AP120+$AX120/12,AP120+((L120-K120)/($R120-$F120))*$AX120)</f>
        <v>39881604.347301103</v>
      </c>
      <c r="AR120" s="1041">
        <f t="shared" ref="AR120" ca="1" si="900">IF($R120-$F120=0,AQ120+$AX120/12,AQ120+((M120-L120)/($R120-$F120))*$AX120)</f>
        <v>41615859.049470805</v>
      </c>
      <c r="AS120" s="1041">
        <f t="shared" ref="AS120" ca="1" si="901">IF($R120-$F120=0,AR120+$AX120/12,AR120+((N120-M120)/($R120-$F120))*$AX120)</f>
        <v>43943406.036435641</v>
      </c>
      <c r="AT120" s="1041">
        <f t="shared" ref="AT120" ca="1" si="902">IF($R120-$F120=0,AS120+$AX120/12,AS120+((O120-N120)/($R120-$F120))*$AX120)</f>
        <v>44248526.77347973</v>
      </c>
      <c r="AU120" s="1041">
        <f t="shared" ref="AU120" ca="1" si="903">IF($R120-$F120=0,AT120+$AX120/12,AT120+((P120-O120)/($R120-$F120))*$AX120)</f>
        <v>46632485.856244802</v>
      </c>
      <c r="AV120" s="1041">
        <f t="shared" ref="AV120" ca="1" si="904">IF($R120-$F120=0,AU120+$AX120/12,AU120+((Q120-P120)/($R120-$F120))*$AX120)</f>
        <v>36944809.045325488</v>
      </c>
      <c r="AW120" s="1041">
        <f t="shared" ref="AW120" ca="1" si="905">IF($R120-$F120=0,AV120+$AX120/12,AV120+((R120-Q120)/($R120-$F120))*$AX120)</f>
        <v>39180753.612467498</v>
      </c>
      <c r="AX120" s="106">
        <f ca="1">'101_106 PROJECTION'!$T$29</f>
        <v>2599207.9341782313</v>
      </c>
      <c r="AY120" s="133">
        <f ca="1">+AW120-AK120</f>
        <v>2599207.9341782331</v>
      </c>
      <c r="AZ120" s="133"/>
      <c r="BA120" s="116">
        <f ca="1">SUM(BA117:BA119)</f>
        <v>40252220.893623896</v>
      </c>
    </row>
    <row r="121" spans="1:53">
      <c r="A121" s="250">
        <f t="shared" si="482"/>
        <v>106</v>
      </c>
      <c r="B121" s="208"/>
      <c r="C121" s="102"/>
      <c r="D121" s="102"/>
      <c r="E121" s="102"/>
      <c r="U121" s="102"/>
      <c r="AH121" s="106"/>
      <c r="AK121" s="106">
        <f>AG121</f>
        <v>0</v>
      </c>
      <c r="AL121" s="1025"/>
      <c r="AW121" s="1016"/>
      <c r="AX121" s="106"/>
    </row>
    <row r="122" spans="1:53">
      <c r="A122" s="250">
        <f t="shared" si="482"/>
        <v>107</v>
      </c>
      <c r="B122" s="208"/>
      <c r="C122" s="102" t="s">
        <v>268</v>
      </c>
      <c r="D122" s="102" t="s">
        <v>269</v>
      </c>
      <c r="E122" s="102"/>
      <c r="U122" s="102"/>
      <c r="AH122" s="102"/>
      <c r="AK122" s="102"/>
      <c r="AX122" s="102"/>
    </row>
    <row r="123" spans="1:53">
      <c r="A123" s="250">
        <f t="shared" si="482"/>
        <v>108</v>
      </c>
      <c r="B123" s="208"/>
      <c r="C123" s="102"/>
      <c r="D123" s="102"/>
      <c r="E123" s="102" t="s">
        <v>592</v>
      </c>
      <c r="F123" s="974">
        <f>'Rate Base'!S121</f>
        <v>0</v>
      </c>
      <c r="G123" s="974">
        <f>'Rate Base'!T121</f>
        <v>0</v>
      </c>
      <c r="H123" s="974">
        <f>'Rate Base'!U121</f>
        <v>0</v>
      </c>
      <c r="I123" s="974">
        <f>'Rate Base'!V121</f>
        <v>0</v>
      </c>
      <c r="J123" s="974">
        <f>'Rate Base'!W121</f>
        <v>0</v>
      </c>
      <c r="K123" s="974">
        <f>'Rate Base'!X121</f>
        <v>0</v>
      </c>
      <c r="L123" s="974">
        <f>'Rate Base'!Y121</f>
        <v>0</v>
      </c>
      <c r="M123" s="974">
        <f>'Rate Base'!Z121</f>
        <v>0</v>
      </c>
      <c r="N123" s="974">
        <f>'Rate Base'!AA121</f>
        <v>0</v>
      </c>
      <c r="O123" s="974">
        <f>'Rate Base'!AB121</f>
        <v>0</v>
      </c>
      <c r="P123" s="974">
        <f>'Rate Base'!AC121</f>
        <v>0</v>
      </c>
      <c r="Q123" s="974">
        <f>'Rate Base'!AD121</f>
        <v>0</v>
      </c>
      <c r="R123" s="974">
        <f>'Rate Base'!AE121</f>
        <v>0</v>
      </c>
      <c r="S123" s="116"/>
      <c r="T123" s="116">
        <f>((F123/2)+SUM(G123:Q123)+(R123/2))/12</f>
        <v>0</v>
      </c>
      <c r="U123" s="116"/>
      <c r="V123" s="998">
        <f t="shared" ref="V123" si="906">(U123/U126)*V126</f>
        <v>0</v>
      </c>
      <c r="W123" s="998">
        <f t="shared" ref="W123" si="907">(V123/V126)*W126</f>
        <v>0</v>
      </c>
      <c r="X123" s="998">
        <f t="shared" ref="X123" si="908">(W123/W126)*X126</f>
        <v>0</v>
      </c>
      <c r="Y123" s="998">
        <f t="shared" ref="Y123" si="909">(X123/X126)*Y126</f>
        <v>0</v>
      </c>
      <c r="Z123" s="998">
        <f t="shared" ref="Z123" si="910">(Y123/Y126)*Z126</f>
        <v>0</v>
      </c>
      <c r="AA123" s="998">
        <f t="shared" ref="AA123" si="911">(Z123/Z126)*AA126</f>
        <v>0</v>
      </c>
      <c r="AB123" s="998">
        <f t="shared" ref="AB123" si="912">(AA123/AA126)*AB126</f>
        <v>0</v>
      </c>
      <c r="AC123" s="998">
        <f t="shared" ref="AC123" si="913">(AB123/AB126)*AC126</f>
        <v>0</v>
      </c>
      <c r="AD123" s="998">
        <f t="shared" ref="AD123" si="914">(AC123/AC126)*AD126</f>
        <v>0</v>
      </c>
      <c r="AE123" s="998">
        <f t="shared" ref="AE123" si="915">(AD123/AD126)*AE126</f>
        <v>0</v>
      </c>
      <c r="AF123" s="998">
        <f t="shared" ref="AF123" si="916">(AE123/AE126)*AF126</f>
        <v>0</v>
      </c>
      <c r="AG123" s="998">
        <f t="shared" ref="AG123" si="917">(AF123/AF126)*AG126</f>
        <v>0</v>
      </c>
      <c r="AH123" s="106"/>
      <c r="AI123" s="133"/>
      <c r="AJ123" s="116">
        <f>((U123/2)+SUM(V123:AF123)+(AG123/2))/12</f>
        <v>0</v>
      </c>
      <c r="AK123" s="106">
        <f>AG123</f>
        <v>0</v>
      </c>
      <c r="AL123" s="1016">
        <f>(AK123/AK126)*AL126</f>
        <v>0</v>
      </c>
      <c r="AM123" s="1016">
        <f t="shared" ref="AM123:AW123" si="918">(AL123/AL126)*AM126</f>
        <v>0</v>
      </c>
      <c r="AN123" s="1016">
        <f t="shared" si="918"/>
        <v>0</v>
      </c>
      <c r="AO123" s="1016">
        <f t="shared" si="918"/>
        <v>0</v>
      </c>
      <c r="AP123" s="1016">
        <f t="shared" si="918"/>
        <v>0</v>
      </c>
      <c r="AQ123" s="1016">
        <f t="shared" si="918"/>
        <v>0</v>
      </c>
      <c r="AR123" s="1016">
        <f t="shared" si="918"/>
        <v>0</v>
      </c>
      <c r="AS123" s="1016">
        <f t="shared" si="918"/>
        <v>0</v>
      </c>
      <c r="AT123" s="1016">
        <f t="shared" si="918"/>
        <v>0</v>
      </c>
      <c r="AU123" s="1016">
        <f t="shared" si="918"/>
        <v>0</v>
      </c>
      <c r="AV123" s="1016">
        <f t="shared" si="918"/>
        <v>0</v>
      </c>
      <c r="AW123" s="1016">
        <f t="shared" si="918"/>
        <v>0</v>
      </c>
      <c r="AX123" s="106"/>
      <c r="AY123" s="133"/>
      <c r="AZ123" s="133"/>
      <c r="BA123" s="116">
        <f>((AK123/2)+SUM(AL123:AV123)+(AW123/2))/12</f>
        <v>0</v>
      </c>
    </row>
    <row r="124" spans="1:53">
      <c r="A124" s="250">
        <f t="shared" si="482"/>
        <v>109</v>
      </c>
      <c r="B124" s="208"/>
      <c r="C124" s="102"/>
      <c r="D124" s="102"/>
      <c r="E124" s="102" t="s">
        <v>593</v>
      </c>
      <c r="F124" s="974">
        <f>'Rate Base'!S122</f>
        <v>61117.83</v>
      </c>
      <c r="G124" s="974">
        <f>'Rate Base'!T122</f>
        <v>61117.83</v>
      </c>
      <c r="H124" s="974">
        <f>'Rate Base'!U122</f>
        <v>61117.83</v>
      </c>
      <c r="I124" s="974">
        <f>'Rate Base'!V122</f>
        <v>61117.83</v>
      </c>
      <c r="J124" s="974">
        <f>'Rate Base'!W122</f>
        <v>61117.83</v>
      </c>
      <c r="K124" s="974">
        <f>'Rate Base'!X122</f>
        <v>61117.83</v>
      </c>
      <c r="L124" s="974">
        <f>'Rate Base'!Y122</f>
        <v>61117.83</v>
      </c>
      <c r="M124" s="974">
        <f>'Rate Base'!Z122</f>
        <v>61117.83</v>
      </c>
      <c r="N124" s="974">
        <f>'Rate Base'!AA122</f>
        <v>61117.83</v>
      </c>
      <c r="O124" s="974">
        <f>'Rate Base'!AB122</f>
        <v>61117.83</v>
      </c>
      <c r="P124" s="974">
        <f>'Rate Base'!AC122</f>
        <v>61117.83</v>
      </c>
      <c r="Q124" s="974">
        <f>'Rate Base'!AD122</f>
        <v>61117.83</v>
      </c>
      <c r="R124" s="974">
        <f>'Rate Base'!AE122</f>
        <v>61117.83</v>
      </c>
      <c r="S124" s="116"/>
      <c r="T124" s="116">
        <f>((F124/2)+SUM(G124:Q124)+(R124/2))/12</f>
        <v>61117.830000000009</v>
      </c>
      <c r="U124" s="116">
        <f t="shared" ref="U124:U132" si="919">+R124</f>
        <v>61117.83</v>
      </c>
      <c r="V124" s="998">
        <f t="shared" ref="V124" si="920">(U124/U126)*V126</f>
        <v>61117.83</v>
      </c>
      <c r="W124" s="998">
        <f t="shared" ref="W124" si="921">(V124/V126)*W126</f>
        <v>61117.83</v>
      </c>
      <c r="X124" s="998">
        <f t="shared" ref="X124" si="922">(W124/W126)*X126</f>
        <v>61117.83</v>
      </c>
      <c r="Y124" s="998">
        <f t="shared" ref="Y124" si="923">(X124/X126)*Y126</f>
        <v>61117.83</v>
      </c>
      <c r="Z124" s="998">
        <f t="shared" ref="Z124" si="924">(Y124/Y126)*Z126</f>
        <v>61117.83</v>
      </c>
      <c r="AA124" s="998">
        <f t="shared" ref="AA124" si="925">(Z124/Z126)*AA126</f>
        <v>61117.83</v>
      </c>
      <c r="AB124" s="998">
        <f t="shared" ref="AB124" si="926">(AA124/AA126)*AB126</f>
        <v>61117.83</v>
      </c>
      <c r="AC124" s="998">
        <f t="shared" ref="AC124" si="927">(AB124/AB126)*AC126</f>
        <v>61117.83</v>
      </c>
      <c r="AD124" s="998">
        <f t="shared" ref="AD124" si="928">(AC124/AC126)*AD126</f>
        <v>61117.83</v>
      </c>
      <c r="AE124" s="998">
        <f t="shared" ref="AE124" si="929">(AD124/AD126)*AE126</f>
        <v>61117.83</v>
      </c>
      <c r="AF124" s="998">
        <f t="shared" ref="AF124" si="930">(AE124/AE126)*AF126</f>
        <v>61117.83</v>
      </c>
      <c r="AG124" s="998">
        <f t="shared" ref="AG124" si="931">(AF124/AF126)*AG126</f>
        <v>61117.83</v>
      </c>
      <c r="AH124" s="106"/>
      <c r="AI124" s="133"/>
      <c r="AJ124" s="116">
        <f>((U124/2)+SUM(V124:AF124)+(AG124/2))/12</f>
        <v>61117.830000000009</v>
      </c>
      <c r="AK124" s="106">
        <f>AG124</f>
        <v>61117.83</v>
      </c>
      <c r="AL124" s="1016">
        <f>(AK124/AK126)*AL126</f>
        <v>61117.83</v>
      </c>
      <c r="AM124" s="1016">
        <f t="shared" ref="AM124:AW124" si="932">(AL124/AL126)*AM126</f>
        <v>61117.83</v>
      </c>
      <c r="AN124" s="1016">
        <f t="shared" si="932"/>
        <v>61117.83</v>
      </c>
      <c r="AO124" s="1016">
        <f t="shared" si="932"/>
        <v>61117.83</v>
      </c>
      <c r="AP124" s="1016">
        <f t="shared" si="932"/>
        <v>61117.83</v>
      </c>
      <c r="AQ124" s="1016">
        <f t="shared" si="932"/>
        <v>61117.83</v>
      </c>
      <c r="AR124" s="1016">
        <f t="shared" si="932"/>
        <v>61117.83</v>
      </c>
      <c r="AS124" s="1016">
        <f t="shared" si="932"/>
        <v>61117.83</v>
      </c>
      <c r="AT124" s="1016">
        <f t="shared" si="932"/>
        <v>61117.83</v>
      </c>
      <c r="AU124" s="1016">
        <f t="shared" si="932"/>
        <v>61117.83</v>
      </c>
      <c r="AV124" s="1016">
        <f t="shared" si="932"/>
        <v>61117.83</v>
      </c>
      <c r="AW124" s="1016">
        <f t="shared" si="932"/>
        <v>61117.83</v>
      </c>
      <c r="AX124" s="106"/>
      <c r="AY124" s="133"/>
      <c r="AZ124" s="133"/>
      <c r="BA124" s="116">
        <f>((AK124/2)+SUM(AL124:AV124)+(AW124/2))/12</f>
        <v>61117.830000000009</v>
      </c>
    </row>
    <row r="125" spans="1:53">
      <c r="A125" s="250">
        <f t="shared" si="482"/>
        <v>110</v>
      </c>
      <c r="B125" s="208"/>
      <c r="C125" s="102"/>
      <c r="D125" s="102"/>
      <c r="E125" s="102" t="s">
        <v>595</v>
      </c>
      <c r="F125" s="985">
        <f>'Rate Base'!S123</f>
        <v>0</v>
      </c>
      <c r="G125" s="985">
        <f>'Rate Base'!T123</f>
        <v>0</v>
      </c>
      <c r="H125" s="985">
        <f>'Rate Base'!U123</f>
        <v>0</v>
      </c>
      <c r="I125" s="985">
        <f>'Rate Base'!V123</f>
        <v>0</v>
      </c>
      <c r="J125" s="985">
        <f>'Rate Base'!W123</f>
        <v>0</v>
      </c>
      <c r="K125" s="985">
        <f>'Rate Base'!X123</f>
        <v>0</v>
      </c>
      <c r="L125" s="985">
        <f>'Rate Base'!Y123</f>
        <v>0</v>
      </c>
      <c r="M125" s="985">
        <f>'Rate Base'!Z123</f>
        <v>0</v>
      </c>
      <c r="N125" s="985">
        <f>'Rate Base'!AA123</f>
        <v>0</v>
      </c>
      <c r="O125" s="985">
        <f>'Rate Base'!AB123</f>
        <v>0</v>
      </c>
      <c r="P125" s="985">
        <f>'Rate Base'!AC123</f>
        <v>0</v>
      </c>
      <c r="Q125" s="985">
        <f>'Rate Base'!AD123</f>
        <v>0</v>
      </c>
      <c r="R125" s="985">
        <f>'Rate Base'!AE123</f>
        <v>0</v>
      </c>
      <c r="S125" s="116"/>
      <c r="T125" s="256">
        <f>((F125/2)+SUM(G125:Q125)+(R125/2))/12</f>
        <v>0</v>
      </c>
      <c r="U125" s="256">
        <f t="shared" si="919"/>
        <v>0</v>
      </c>
      <c r="V125" s="998">
        <f t="shared" ref="V125" si="933">(U125/U126)*V126</f>
        <v>0</v>
      </c>
      <c r="W125" s="998">
        <f t="shared" ref="W125" si="934">(V125/V126)*W126</f>
        <v>0</v>
      </c>
      <c r="X125" s="998">
        <f t="shared" ref="X125" si="935">(W125/W126)*X126</f>
        <v>0</v>
      </c>
      <c r="Y125" s="998">
        <f t="shared" ref="Y125" si="936">(X125/X126)*Y126</f>
        <v>0</v>
      </c>
      <c r="Z125" s="998">
        <f t="shared" ref="Z125" si="937">(Y125/Y126)*Z126</f>
        <v>0</v>
      </c>
      <c r="AA125" s="998">
        <f t="shared" ref="AA125" si="938">(Z125/Z126)*AA126</f>
        <v>0</v>
      </c>
      <c r="AB125" s="998">
        <f t="shared" ref="AB125" si="939">(AA125/AA126)*AB126</f>
        <v>0</v>
      </c>
      <c r="AC125" s="998">
        <f t="shared" ref="AC125" si="940">(AB125/AB126)*AC126</f>
        <v>0</v>
      </c>
      <c r="AD125" s="998">
        <f t="shared" ref="AD125" si="941">(AC125/AC126)*AD126</f>
        <v>0</v>
      </c>
      <c r="AE125" s="998">
        <f t="shared" ref="AE125" si="942">(AD125/AD126)*AE126</f>
        <v>0</v>
      </c>
      <c r="AF125" s="998">
        <f t="shared" ref="AF125" si="943">(AE125/AE126)*AF126</f>
        <v>0</v>
      </c>
      <c r="AG125" s="998">
        <f t="shared" ref="AG125" si="944">(AF125/AF126)*AG126</f>
        <v>0</v>
      </c>
      <c r="AH125" s="396"/>
      <c r="AI125" s="395"/>
      <c r="AJ125" s="256">
        <f>((U125/2)+SUM(V125:AF125)+(AG125/2))/12</f>
        <v>0</v>
      </c>
      <c r="AK125" s="106">
        <f>AG125</f>
        <v>0</v>
      </c>
      <c r="AL125" s="1016">
        <f>(AK125/AK126)*AL126</f>
        <v>0</v>
      </c>
      <c r="AM125" s="1016">
        <f t="shared" ref="AM125" si="945">(AL125/AL126)*AM126</f>
        <v>0</v>
      </c>
      <c r="AN125" s="1016">
        <f t="shared" ref="AN125" si="946">(AM125/AM126)*AN126</f>
        <v>0</v>
      </c>
      <c r="AO125" s="1016">
        <f t="shared" ref="AO125" si="947">(AN125/AN126)*AO126</f>
        <v>0</v>
      </c>
      <c r="AP125" s="1016">
        <f t="shared" ref="AP125" si="948">(AO125/AO126)*AP126</f>
        <v>0</v>
      </c>
      <c r="AQ125" s="1016">
        <f t="shared" ref="AQ125" si="949">(AP125/AP126)*AQ126</f>
        <v>0</v>
      </c>
      <c r="AR125" s="1016">
        <f t="shared" ref="AR125" si="950">(AQ125/AQ126)*AR126</f>
        <v>0</v>
      </c>
      <c r="AS125" s="1016">
        <f t="shared" ref="AS125" si="951">(AR125/AR126)*AS126</f>
        <v>0</v>
      </c>
      <c r="AT125" s="1016">
        <f t="shared" ref="AT125" si="952">(AS125/AS126)*AT126</f>
        <v>0</v>
      </c>
      <c r="AU125" s="1016">
        <f t="shared" ref="AU125" si="953">(AT125/AT126)*AU126</f>
        <v>0</v>
      </c>
      <c r="AV125" s="1016">
        <f t="shared" ref="AV125" si="954">(AU125/AU126)*AV126</f>
        <v>0</v>
      </c>
      <c r="AW125" s="1016">
        <f t="shared" ref="AW125" si="955">(AV125/AV126)*AW126</f>
        <v>0</v>
      </c>
      <c r="AX125" s="396"/>
      <c r="AY125" s="395"/>
      <c r="AZ125" s="395"/>
      <c r="BA125" s="256">
        <f>((AK125/2)+SUM(AL125:AV125)+(AW125/2))/12</f>
        <v>0</v>
      </c>
    </row>
    <row r="126" spans="1:53">
      <c r="A126" s="250">
        <f t="shared" si="482"/>
        <v>111</v>
      </c>
      <c r="B126" s="208"/>
      <c r="C126" s="102"/>
      <c r="D126" s="102"/>
      <c r="E126" s="102" t="s">
        <v>170</v>
      </c>
      <c r="F126" s="974">
        <f t="shared" ref="F126:R126" si="956">SUM(F123:F125)</f>
        <v>61117.83</v>
      </c>
      <c r="G126" s="974">
        <f t="shared" si="956"/>
        <v>61117.83</v>
      </c>
      <c r="H126" s="974">
        <f t="shared" si="956"/>
        <v>61117.83</v>
      </c>
      <c r="I126" s="974">
        <f t="shared" si="956"/>
        <v>61117.83</v>
      </c>
      <c r="J126" s="974">
        <f t="shared" si="956"/>
        <v>61117.83</v>
      </c>
      <c r="K126" s="974">
        <f t="shared" si="956"/>
        <v>61117.83</v>
      </c>
      <c r="L126" s="974">
        <f t="shared" si="956"/>
        <v>61117.83</v>
      </c>
      <c r="M126" s="974">
        <f t="shared" si="956"/>
        <v>61117.83</v>
      </c>
      <c r="N126" s="974">
        <f t="shared" si="956"/>
        <v>61117.83</v>
      </c>
      <c r="O126" s="974">
        <f t="shared" si="956"/>
        <v>61117.83</v>
      </c>
      <c r="P126" s="974">
        <f t="shared" si="956"/>
        <v>61117.83</v>
      </c>
      <c r="Q126" s="974">
        <f t="shared" si="956"/>
        <v>61117.83</v>
      </c>
      <c r="R126" s="974">
        <f t="shared" si="956"/>
        <v>61117.83</v>
      </c>
      <c r="S126" s="116"/>
      <c r="T126" s="116">
        <f>SUM(T123:T125)</f>
        <v>61117.830000000009</v>
      </c>
      <c r="U126" s="116">
        <f t="shared" si="919"/>
        <v>61117.83</v>
      </c>
      <c r="V126" s="1269">
        <f t="shared" ref="V126:AA126" si="957">IF($R126-$F126=0,U126+$AH126/12,U126+((G126-F126)/($R126-$F126))*$AH126)</f>
        <v>61117.83</v>
      </c>
      <c r="W126" s="1269">
        <f t="shared" si="957"/>
        <v>61117.83</v>
      </c>
      <c r="X126" s="1269">
        <f t="shared" si="957"/>
        <v>61117.83</v>
      </c>
      <c r="Y126" s="1269">
        <f t="shared" si="957"/>
        <v>61117.83</v>
      </c>
      <c r="Z126" s="1269">
        <f t="shared" si="957"/>
        <v>61117.83</v>
      </c>
      <c r="AA126" s="1269">
        <f t="shared" si="957"/>
        <v>61117.83</v>
      </c>
      <c r="AB126" s="1269">
        <f>IF($R126-$F126=0,AA126+$AH126/12,AA126+((M126-L126)/($R126-$F126))*$AH126)</f>
        <v>61117.83</v>
      </c>
      <c r="AC126" s="1269">
        <f t="shared" ref="AC126" si="958">IF($R126-$F126=0,AB126+$AH126/12,AB126+((N126-M126)/($R126-$F126))*$AH126)</f>
        <v>61117.83</v>
      </c>
      <c r="AD126" s="1269">
        <f t="shared" ref="AD126" si="959">IF($R126-$F126=0,AC126+$AH126/12,AC126+((O126-N126)/($R126-$F126))*$AH126)</f>
        <v>61117.83</v>
      </c>
      <c r="AE126" s="1269">
        <f t="shared" ref="AE126" si="960">IF($R126-$F126=0,AD126+$AH126/12,AD126+((P126-O126)/($R126-$F126))*$AH126)</f>
        <v>61117.83</v>
      </c>
      <c r="AF126" s="1269">
        <f t="shared" ref="AF126" si="961">IF($R126-$F126=0,AE126+$AH126/12,AE126+((Q126-P126)/($R126-$F126))*$AH126)</f>
        <v>61117.83</v>
      </c>
      <c r="AG126" s="1269">
        <f t="shared" ref="AG126" si="962">IF($R126-$F126=0,AF126+$AH126/12,AF126+((R126-Q126)/($R126-$F126))*$AH126)</f>
        <v>61117.83</v>
      </c>
      <c r="AH126" s="106">
        <f>'101_106 PROJECTION'!N30</f>
        <v>0</v>
      </c>
      <c r="AI126" s="133">
        <f>+AG126-U126</f>
        <v>0</v>
      </c>
      <c r="AJ126" s="116">
        <f>SUM(AJ123:AJ125)</f>
        <v>61117.830000000009</v>
      </c>
      <c r="AK126" s="1039">
        <f>AG126</f>
        <v>61117.83</v>
      </c>
      <c r="AL126" s="1041">
        <f>IF($R126-$F126=0,AK126+$AX126/12,AK126+((G126-F126)/($R126-$F126))*$AX126)</f>
        <v>61117.83</v>
      </c>
      <c r="AM126" s="1041">
        <f t="shared" ref="AM126" si="963">IF($R126-$F126=0,AL126+$AX126/12,AL126+((H126-G126)/($R126-$F126))*$AX126)</f>
        <v>61117.83</v>
      </c>
      <c r="AN126" s="1041">
        <f t="shared" ref="AN126" si="964">IF($R126-$F126=0,AM126+$AX126/12,AM126+((I126-H126)/($R126-$F126))*$AX126)</f>
        <v>61117.83</v>
      </c>
      <c r="AO126" s="1041">
        <f t="shared" ref="AO126" si="965">IF($R126-$F126=0,AN126+$AX126/12,AN126+((J126-I126)/($R126-$F126))*$AX126)</f>
        <v>61117.83</v>
      </c>
      <c r="AP126" s="1041">
        <f t="shared" ref="AP126" si="966">IF($R126-$F126=0,AO126+$AX126/12,AO126+((K126-J126)/($R126-$F126))*$AX126)</f>
        <v>61117.83</v>
      </c>
      <c r="AQ126" s="1041">
        <f t="shared" ref="AQ126" si="967">IF($R126-$F126=0,AP126+$AX126/12,AP126+((L126-K126)/($R126-$F126))*$AX126)</f>
        <v>61117.83</v>
      </c>
      <c r="AR126" s="1041">
        <f t="shared" ref="AR126" si="968">IF($R126-$F126=0,AQ126+$AX126/12,AQ126+((M126-L126)/($R126-$F126))*$AX126)</f>
        <v>61117.83</v>
      </c>
      <c r="AS126" s="1041">
        <f t="shared" ref="AS126" si="969">IF($R126-$F126=0,AR126+$AX126/12,AR126+((N126-M126)/($R126-$F126))*$AX126)</f>
        <v>61117.83</v>
      </c>
      <c r="AT126" s="1041">
        <f t="shared" ref="AT126" si="970">IF($R126-$F126=0,AS126+$AX126/12,AS126+((O126-N126)/($R126-$F126))*$AX126)</f>
        <v>61117.83</v>
      </c>
      <c r="AU126" s="1041">
        <f t="shared" ref="AU126" si="971">IF($R126-$F126=0,AT126+$AX126/12,AT126+((P126-O126)/($R126-$F126))*$AX126)</f>
        <v>61117.83</v>
      </c>
      <c r="AV126" s="1041">
        <f t="shared" ref="AV126" si="972">IF($R126-$F126=0,AU126+$AX126/12,AU126+((Q126-P126)/($R126-$F126))*$AX126)</f>
        <v>61117.83</v>
      </c>
      <c r="AW126" s="1041">
        <f t="shared" ref="AW126" si="973">IF($R126-$F126=0,AV126+$AX126/12,AV126+((R126-Q126)/($R126-$F126))*$AX126)</f>
        <v>61117.83</v>
      </c>
      <c r="AX126" s="106">
        <f>'101_106 PROJECTION'!$T$30</f>
        <v>0</v>
      </c>
      <c r="AY126" s="133">
        <f>+AW126-AK126</f>
        <v>0</v>
      </c>
      <c r="AZ126" s="133"/>
      <c r="BA126" s="116">
        <f>SUM(BA123:BA125)</f>
        <v>61117.830000000009</v>
      </c>
    </row>
    <row r="127" spans="1:53">
      <c r="A127" s="250">
        <f t="shared" si="482"/>
        <v>112</v>
      </c>
      <c r="B127" s="208"/>
      <c r="C127" s="102"/>
      <c r="D127" s="102"/>
      <c r="E127" s="102"/>
      <c r="U127" s="102"/>
      <c r="AH127" s="106"/>
      <c r="AI127" s="393"/>
      <c r="AK127" s="106">
        <f>AG127</f>
        <v>0</v>
      </c>
      <c r="AW127" s="1016"/>
      <c r="AX127" s="106"/>
    </row>
    <row r="128" spans="1:53">
      <c r="A128" s="250">
        <f t="shared" si="482"/>
        <v>113</v>
      </c>
      <c r="B128" s="208"/>
      <c r="C128" s="102" t="s">
        <v>270</v>
      </c>
      <c r="D128" s="102" t="s">
        <v>271</v>
      </c>
      <c r="E128" s="102"/>
      <c r="U128" s="102"/>
      <c r="AH128" s="102"/>
      <c r="AK128" s="102">
        <f t="shared" ref="AK128" si="974">+AG128</f>
        <v>0</v>
      </c>
      <c r="AX128" s="102"/>
    </row>
    <row r="129" spans="1:53">
      <c r="A129" s="250">
        <f t="shared" si="482"/>
        <v>114</v>
      </c>
      <c r="B129" s="208"/>
      <c r="C129" s="102"/>
      <c r="D129" s="102"/>
      <c r="E129" s="102" t="s">
        <v>592</v>
      </c>
      <c r="F129" s="974">
        <f>'Rate Base'!S127</f>
        <v>974544.97000000009</v>
      </c>
      <c r="G129" s="974">
        <f>'Rate Base'!T127</f>
        <v>971291.14</v>
      </c>
      <c r="H129" s="974">
        <f>'Rate Base'!U127</f>
        <v>971291.14</v>
      </c>
      <c r="I129" s="974">
        <f>'Rate Base'!V127</f>
        <v>971291.14</v>
      </c>
      <c r="J129" s="974">
        <f>'Rate Base'!W127</f>
        <v>971291.14</v>
      </c>
      <c r="K129" s="974">
        <f>'Rate Base'!X127</f>
        <v>971291.14</v>
      </c>
      <c r="L129" s="974">
        <f>'Rate Base'!Y127</f>
        <v>963408.25999999989</v>
      </c>
      <c r="M129" s="974">
        <f>'Rate Base'!Z127</f>
        <v>965413.25999999989</v>
      </c>
      <c r="N129" s="974">
        <f>'Rate Base'!AA127</f>
        <v>965413.26</v>
      </c>
      <c r="O129" s="974">
        <f>'Rate Base'!AB127</f>
        <v>962910.48999999987</v>
      </c>
      <c r="P129" s="974">
        <f>'Rate Base'!AC127</f>
        <v>1074376.01</v>
      </c>
      <c r="Q129" s="974">
        <f>'Rate Base'!AD127</f>
        <v>1042804.6900000001</v>
      </c>
      <c r="R129" s="974">
        <f>'Rate Base'!AE127</f>
        <v>1042453.89</v>
      </c>
      <c r="S129" s="116"/>
      <c r="T129" s="116">
        <f>((F129/2)+SUM(G129:Q129)+(R129/2))/12</f>
        <v>986606.75833333319</v>
      </c>
      <c r="U129" s="106">
        <f t="shared" si="919"/>
        <v>1042453.89</v>
      </c>
      <c r="V129" s="998">
        <f t="shared" ref="V129" si="975">(U129/U132)*V132</f>
        <v>1042453.8900000001</v>
      </c>
      <c r="W129" s="998">
        <f t="shared" ref="W129" si="976">(V129/V132)*W132</f>
        <v>1042453.8900000001</v>
      </c>
      <c r="X129" s="998">
        <f t="shared" ref="X129" si="977">(W129/W132)*X132</f>
        <v>1042453.8900000001</v>
      </c>
      <c r="Y129" s="998">
        <f t="shared" ref="Y129" si="978">(X129/X132)*Y132</f>
        <v>1042453.8900000001</v>
      </c>
      <c r="Z129" s="998">
        <f t="shared" ref="Z129" si="979">(Y129/Y132)*Z132</f>
        <v>1042453.8900000001</v>
      </c>
      <c r="AA129" s="998">
        <f t="shared" ref="AA129" si="980">(Z129/Z132)*AA132</f>
        <v>1042453.8900000001</v>
      </c>
      <c r="AB129" s="998">
        <f t="shared" ref="AB129" si="981">(AA129/AA132)*AB132</f>
        <v>1042453.8900000001</v>
      </c>
      <c r="AC129" s="998">
        <f t="shared" ref="AC129" si="982">(AB129/AB132)*AC132</f>
        <v>1042453.8900000001</v>
      </c>
      <c r="AD129" s="998">
        <f t="shared" ref="AD129" si="983">(AC129/AC132)*AD132</f>
        <v>1042453.8900000001</v>
      </c>
      <c r="AE129" s="998">
        <f t="shared" ref="AE129" si="984">(AD129/AD132)*AE132</f>
        <v>1042453.8900000001</v>
      </c>
      <c r="AF129" s="998">
        <f t="shared" ref="AF129" si="985">(AE129/AE132)*AF132</f>
        <v>1042453.8900000001</v>
      </c>
      <c r="AG129" s="998">
        <f t="shared" ref="AG129" si="986">(AF129/AF132)*AG132</f>
        <v>1042453.8900000001</v>
      </c>
      <c r="AH129" s="106"/>
      <c r="AI129" s="133"/>
      <c r="AJ129" s="116">
        <f>((U129/2)+SUM(V129:AF129)+(AG129/2))/12</f>
        <v>1042453.8900000005</v>
      </c>
      <c r="AK129" s="106">
        <f>AG129</f>
        <v>1042453.8900000001</v>
      </c>
      <c r="AL129" s="1016">
        <f>(AK129/AK132)*AL132</f>
        <v>1042453.8900000001</v>
      </c>
      <c r="AM129" s="1016">
        <f t="shared" ref="AM129:AW129" si="987">(AL129/AL132)*AM132</f>
        <v>1042453.8900000001</v>
      </c>
      <c r="AN129" s="1016">
        <f t="shared" si="987"/>
        <v>1042453.8900000001</v>
      </c>
      <c r="AO129" s="1016">
        <f t="shared" si="987"/>
        <v>1042453.8900000001</v>
      </c>
      <c r="AP129" s="1016">
        <f t="shared" si="987"/>
        <v>1042453.8900000001</v>
      </c>
      <c r="AQ129" s="1016">
        <f t="shared" si="987"/>
        <v>1042453.8900000001</v>
      </c>
      <c r="AR129" s="1016">
        <f t="shared" si="987"/>
        <v>1042453.8900000001</v>
      </c>
      <c r="AS129" s="1016">
        <f t="shared" si="987"/>
        <v>1042453.8900000001</v>
      </c>
      <c r="AT129" s="1016">
        <f t="shared" si="987"/>
        <v>1042453.8900000001</v>
      </c>
      <c r="AU129" s="1016">
        <f t="shared" si="987"/>
        <v>1042453.8900000001</v>
      </c>
      <c r="AV129" s="1016">
        <f t="shared" si="987"/>
        <v>1042453.8900000001</v>
      </c>
      <c r="AW129" s="1016">
        <f t="shared" si="987"/>
        <v>1042453.8900000001</v>
      </c>
      <c r="AX129" s="106"/>
      <c r="AY129" s="133"/>
      <c r="AZ129" s="133"/>
      <c r="BA129" s="116">
        <f>((AK129/2)+SUM(AL129:AV129)+(AW129/2))/12</f>
        <v>1042453.8900000005</v>
      </c>
    </row>
    <row r="130" spans="1:53">
      <c r="A130" s="250">
        <f t="shared" si="482"/>
        <v>115</v>
      </c>
      <c r="B130" s="208"/>
      <c r="C130" s="102"/>
      <c r="D130" s="102"/>
      <c r="E130" s="102" t="s">
        <v>593</v>
      </c>
      <c r="F130" s="974">
        <f>'Rate Base'!S128</f>
        <v>11282614.43</v>
      </c>
      <c r="G130" s="974">
        <f>'Rate Base'!T128</f>
        <v>11282614.43</v>
      </c>
      <c r="H130" s="974">
        <f>'Rate Base'!U128</f>
        <v>11198223.01</v>
      </c>
      <c r="I130" s="974">
        <f>'Rate Base'!V128</f>
        <v>11193609.779999999</v>
      </c>
      <c r="J130" s="974">
        <f>'Rate Base'!W128</f>
        <v>11189596.859999999</v>
      </c>
      <c r="K130" s="974">
        <f>'Rate Base'!X128</f>
        <v>11189596.859999999</v>
      </c>
      <c r="L130" s="974">
        <f>'Rate Base'!Y128</f>
        <v>11180863.27</v>
      </c>
      <c r="M130" s="974">
        <f>'Rate Base'!Z128</f>
        <v>11180863.27</v>
      </c>
      <c r="N130" s="974">
        <f>'Rate Base'!AA128</f>
        <v>11036358.32</v>
      </c>
      <c r="O130" s="974">
        <f>'Rate Base'!AB128</f>
        <v>11036358.32</v>
      </c>
      <c r="P130" s="974">
        <f>'Rate Base'!AC128</f>
        <v>11036358.32</v>
      </c>
      <c r="Q130" s="974">
        <f>'Rate Base'!AD128</f>
        <v>11036358.32</v>
      </c>
      <c r="R130" s="974">
        <f>'Rate Base'!AE128</f>
        <v>11060442.789999999</v>
      </c>
      <c r="S130" s="116"/>
      <c r="T130" s="116">
        <f>((F130/2)+SUM(G130:Q130)+(R130/2))/12</f>
        <v>11144360.78083333</v>
      </c>
      <c r="U130" s="106">
        <f t="shared" si="919"/>
        <v>11060442.789999999</v>
      </c>
      <c r="V130" s="998">
        <f t="shared" ref="V130" si="988">(U130/U132)*V132</f>
        <v>11060442.789999999</v>
      </c>
      <c r="W130" s="998">
        <f t="shared" ref="W130" si="989">(V130/V132)*W132</f>
        <v>11060442.789999999</v>
      </c>
      <c r="X130" s="998">
        <f t="shared" ref="X130" si="990">(W130/W132)*X132</f>
        <v>11060442.789999999</v>
      </c>
      <c r="Y130" s="998">
        <f t="shared" ref="Y130" si="991">(X130/X132)*Y132</f>
        <v>11060442.789999999</v>
      </c>
      <c r="Z130" s="998">
        <f t="shared" ref="Z130" si="992">(Y130/Y132)*Z132</f>
        <v>11060442.789999999</v>
      </c>
      <c r="AA130" s="998">
        <f t="shared" ref="AA130" si="993">(Z130/Z132)*AA132</f>
        <v>11060442.789999999</v>
      </c>
      <c r="AB130" s="998">
        <f t="shared" ref="AB130" si="994">(AA130/AA132)*AB132</f>
        <v>11060442.789999999</v>
      </c>
      <c r="AC130" s="998">
        <f t="shared" ref="AC130" si="995">(AB130/AB132)*AC132</f>
        <v>11060442.789999999</v>
      </c>
      <c r="AD130" s="998">
        <f t="shared" ref="AD130" si="996">(AC130/AC132)*AD132</f>
        <v>11060442.789999999</v>
      </c>
      <c r="AE130" s="998">
        <f t="shared" ref="AE130" si="997">(AD130/AD132)*AE132</f>
        <v>11060442.789999999</v>
      </c>
      <c r="AF130" s="998">
        <f t="shared" ref="AF130" si="998">(AE130/AE132)*AF132</f>
        <v>11060442.789999999</v>
      </c>
      <c r="AG130" s="998">
        <f t="shared" ref="AG130" si="999">(AF130/AF132)*AG132</f>
        <v>11060442.789999999</v>
      </c>
      <c r="AH130" s="106"/>
      <c r="AI130" s="133"/>
      <c r="AJ130" s="116">
        <f>((U130/2)+SUM(V130:AF130)+(AG130/2))/12</f>
        <v>11060442.789999997</v>
      </c>
      <c r="AK130" s="106">
        <f>AG130</f>
        <v>11060442.789999999</v>
      </c>
      <c r="AL130" s="1016">
        <f>(AK130/AK132)*AL132</f>
        <v>11060442.789999999</v>
      </c>
      <c r="AM130" s="1016">
        <f t="shared" ref="AM130:AW130" si="1000">(AL130/AL132)*AM132</f>
        <v>11060442.789999999</v>
      </c>
      <c r="AN130" s="1016">
        <f t="shared" si="1000"/>
        <v>11060442.789999999</v>
      </c>
      <c r="AO130" s="1016">
        <f t="shared" si="1000"/>
        <v>11060442.789999999</v>
      </c>
      <c r="AP130" s="1016">
        <f t="shared" si="1000"/>
        <v>11060442.789999999</v>
      </c>
      <c r="AQ130" s="1016">
        <f t="shared" si="1000"/>
        <v>11060442.789999999</v>
      </c>
      <c r="AR130" s="1016">
        <f t="shared" si="1000"/>
        <v>11060442.789999999</v>
      </c>
      <c r="AS130" s="1016">
        <f t="shared" si="1000"/>
        <v>11060442.789999999</v>
      </c>
      <c r="AT130" s="1016">
        <f t="shared" si="1000"/>
        <v>11060442.789999999</v>
      </c>
      <c r="AU130" s="1016">
        <f t="shared" si="1000"/>
        <v>11060442.789999999</v>
      </c>
      <c r="AV130" s="1016">
        <f t="shared" si="1000"/>
        <v>11060442.789999999</v>
      </c>
      <c r="AW130" s="1016">
        <f t="shared" si="1000"/>
        <v>11060442.789999999</v>
      </c>
      <c r="AX130" s="106"/>
      <c r="AY130" s="133"/>
      <c r="AZ130" s="133"/>
      <c r="BA130" s="116">
        <f>((AK130/2)+SUM(AL130:AV130)+(AW130/2))/12</f>
        <v>11060442.789999997</v>
      </c>
    </row>
    <row r="131" spans="1:53">
      <c r="A131" s="250">
        <f t="shared" si="482"/>
        <v>116</v>
      </c>
      <c r="B131" s="208"/>
      <c r="C131" s="102"/>
      <c r="D131" s="102"/>
      <c r="E131" s="102" t="s">
        <v>595</v>
      </c>
      <c r="F131" s="985">
        <f>'Rate Base'!S129</f>
        <v>0</v>
      </c>
      <c r="G131" s="985">
        <f>'Rate Base'!T129</f>
        <v>0</v>
      </c>
      <c r="H131" s="985">
        <f>'Rate Base'!U129</f>
        <v>0</v>
      </c>
      <c r="I131" s="985">
        <f>'Rate Base'!V129</f>
        <v>0</v>
      </c>
      <c r="J131" s="985">
        <f>'Rate Base'!W129</f>
        <v>0</v>
      </c>
      <c r="K131" s="985">
        <f>'Rate Base'!X129</f>
        <v>0</v>
      </c>
      <c r="L131" s="985">
        <f>'Rate Base'!Y129</f>
        <v>0</v>
      </c>
      <c r="M131" s="985">
        <f>'Rate Base'!Z129</f>
        <v>0</v>
      </c>
      <c r="N131" s="985">
        <f>'Rate Base'!AA129</f>
        <v>0</v>
      </c>
      <c r="O131" s="985">
        <f>'Rate Base'!AB129</f>
        <v>0</v>
      </c>
      <c r="P131" s="985">
        <f>'Rate Base'!AC129</f>
        <v>0</v>
      </c>
      <c r="Q131" s="985">
        <f>'Rate Base'!AD129</f>
        <v>0</v>
      </c>
      <c r="R131" s="985">
        <f>'Rate Base'!AE129</f>
        <v>0</v>
      </c>
      <c r="S131" s="116"/>
      <c r="T131" s="256">
        <f>((F131/2)+SUM(G131:Q131)+(R131/2))/12</f>
        <v>0</v>
      </c>
      <c r="U131" s="396">
        <f t="shared" si="919"/>
        <v>0</v>
      </c>
      <c r="V131" s="998">
        <f t="shared" ref="V131" si="1001">(U131/U132)*V132</f>
        <v>0</v>
      </c>
      <c r="W131" s="998">
        <f t="shared" ref="W131" si="1002">(V131/V132)*W132</f>
        <v>0</v>
      </c>
      <c r="X131" s="998">
        <f t="shared" ref="X131" si="1003">(W131/W132)*X132</f>
        <v>0</v>
      </c>
      <c r="Y131" s="998">
        <f t="shared" ref="Y131" si="1004">(X131/X132)*Y132</f>
        <v>0</v>
      </c>
      <c r="Z131" s="998">
        <f t="shared" ref="Z131" si="1005">(Y131/Y132)*Z132</f>
        <v>0</v>
      </c>
      <c r="AA131" s="998">
        <f t="shared" ref="AA131" si="1006">(Z131/Z132)*AA132</f>
        <v>0</v>
      </c>
      <c r="AB131" s="998">
        <f t="shared" ref="AB131" si="1007">(AA131/AA132)*AB132</f>
        <v>0</v>
      </c>
      <c r="AC131" s="998">
        <f t="shared" ref="AC131" si="1008">(AB131/AB132)*AC132</f>
        <v>0</v>
      </c>
      <c r="AD131" s="998">
        <f t="shared" ref="AD131" si="1009">(AC131/AC132)*AD132</f>
        <v>0</v>
      </c>
      <c r="AE131" s="998">
        <f t="shared" ref="AE131" si="1010">(AD131/AD132)*AE132</f>
        <v>0</v>
      </c>
      <c r="AF131" s="998">
        <f t="shared" ref="AF131" si="1011">(AE131/AE132)*AF132</f>
        <v>0</v>
      </c>
      <c r="AG131" s="998">
        <f t="shared" ref="AG131" si="1012">(AF131/AF132)*AG132</f>
        <v>0</v>
      </c>
      <c r="AH131" s="396"/>
      <c r="AI131" s="395"/>
      <c r="AJ131" s="256">
        <f>((U131/2)+SUM(V131:AF131)+(AG131/2))/12</f>
        <v>0</v>
      </c>
      <c r="AK131" s="106">
        <f>AG131</f>
        <v>0</v>
      </c>
      <c r="AL131" s="1016">
        <f>(AK131/AK132)*AL132</f>
        <v>0</v>
      </c>
      <c r="AM131" s="1016">
        <f t="shared" ref="AM131" si="1013">(AL131/AL132)*AM132</f>
        <v>0</v>
      </c>
      <c r="AN131" s="1016">
        <f t="shared" ref="AN131" si="1014">(AM131/AM132)*AN132</f>
        <v>0</v>
      </c>
      <c r="AO131" s="1016">
        <f t="shared" ref="AO131" si="1015">(AN131/AN132)*AO132</f>
        <v>0</v>
      </c>
      <c r="AP131" s="1016">
        <f t="shared" ref="AP131" si="1016">(AO131/AO132)*AP132</f>
        <v>0</v>
      </c>
      <c r="AQ131" s="1016">
        <f t="shared" ref="AQ131" si="1017">(AP131/AP132)*AQ132</f>
        <v>0</v>
      </c>
      <c r="AR131" s="1016">
        <f t="shared" ref="AR131" si="1018">(AQ131/AQ132)*AR132</f>
        <v>0</v>
      </c>
      <c r="AS131" s="1016">
        <f t="shared" ref="AS131" si="1019">(AR131/AR132)*AS132</f>
        <v>0</v>
      </c>
      <c r="AT131" s="1016">
        <f t="shared" ref="AT131" si="1020">(AS131/AS132)*AT132</f>
        <v>0</v>
      </c>
      <c r="AU131" s="1016">
        <f t="shared" ref="AU131" si="1021">(AT131/AT132)*AU132</f>
        <v>0</v>
      </c>
      <c r="AV131" s="1016">
        <f t="shared" ref="AV131" si="1022">(AU131/AU132)*AV132</f>
        <v>0</v>
      </c>
      <c r="AW131" s="1016">
        <f t="shared" ref="AW131" si="1023">(AV131/AV132)*AW132</f>
        <v>0</v>
      </c>
      <c r="AX131" s="396"/>
      <c r="AY131" s="395"/>
      <c r="AZ131" s="395"/>
      <c r="BA131" s="256">
        <f>((AK131/2)+SUM(AL131:AV131)+(AW131/2))/12</f>
        <v>0</v>
      </c>
    </row>
    <row r="132" spans="1:53">
      <c r="A132" s="250">
        <f t="shared" si="482"/>
        <v>117</v>
      </c>
      <c r="B132" s="208"/>
      <c r="C132" s="102"/>
      <c r="D132" s="102"/>
      <c r="E132" s="102" t="s">
        <v>170</v>
      </c>
      <c r="F132" s="974">
        <f t="shared" ref="F132:R132" si="1024">SUM(F129:F131)</f>
        <v>12257159.4</v>
      </c>
      <c r="G132" s="974">
        <f t="shared" si="1024"/>
        <v>12253905.57</v>
      </c>
      <c r="H132" s="974">
        <f t="shared" si="1024"/>
        <v>12169514.15</v>
      </c>
      <c r="I132" s="974">
        <f t="shared" si="1024"/>
        <v>12164900.92</v>
      </c>
      <c r="J132" s="974">
        <f t="shared" si="1024"/>
        <v>12160888</v>
      </c>
      <c r="K132" s="974">
        <f t="shared" si="1024"/>
        <v>12160888</v>
      </c>
      <c r="L132" s="974">
        <f t="shared" si="1024"/>
        <v>12144271.529999999</v>
      </c>
      <c r="M132" s="974">
        <f t="shared" si="1024"/>
        <v>12146276.529999999</v>
      </c>
      <c r="N132" s="974">
        <f t="shared" si="1024"/>
        <v>12001771.58</v>
      </c>
      <c r="O132" s="974">
        <f t="shared" si="1024"/>
        <v>11999268.810000001</v>
      </c>
      <c r="P132" s="974">
        <f t="shared" si="1024"/>
        <v>12110734.33</v>
      </c>
      <c r="Q132" s="974">
        <f t="shared" si="1024"/>
        <v>12079163.01</v>
      </c>
      <c r="R132" s="974">
        <f t="shared" si="1024"/>
        <v>12102896.68</v>
      </c>
      <c r="S132" s="116"/>
      <c r="T132" s="116">
        <f>SUM(T129:T131)</f>
        <v>12130967.539166663</v>
      </c>
      <c r="U132" s="106">
        <f t="shared" si="919"/>
        <v>12102896.68</v>
      </c>
      <c r="V132" s="1269">
        <f t="shared" ref="V132:AA132" si="1025">IF($R132-$F132=0,U132+$AH132/12,U132+((G132-F132)/($R132-$F132))*$AH132)</f>
        <v>12102896.68</v>
      </c>
      <c r="W132" s="1269">
        <f t="shared" si="1025"/>
        <v>12102896.68</v>
      </c>
      <c r="X132" s="1269">
        <f t="shared" si="1025"/>
        <v>12102896.68</v>
      </c>
      <c r="Y132" s="1269">
        <f t="shared" si="1025"/>
        <v>12102896.68</v>
      </c>
      <c r="Z132" s="1269">
        <f t="shared" si="1025"/>
        <v>12102896.68</v>
      </c>
      <c r="AA132" s="1269">
        <f t="shared" si="1025"/>
        <v>12102896.68</v>
      </c>
      <c r="AB132" s="1269">
        <f>IF($R132-$F132=0,AA132+$AH132/12,AA132+((M132-L132)/($R132-$F132))*$AH132)</f>
        <v>12102896.68</v>
      </c>
      <c r="AC132" s="1269">
        <f t="shared" ref="AC132" si="1026">IF($R132-$F132=0,AB132+$AH132/12,AB132+((N132-M132)/($R132-$F132))*$AH132)</f>
        <v>12102896.68</v>
      </c>
      <c r="AD132" s="1269">
        <f t="shared" ref="AD132" si="1027">IF($R132-$F132=0,AC132+$AH132/12,AC132+((O132-N132)/($R132-$F132))*$AH132)</f>
        <v>12102896.68</v>
      </c>
      <c r="AE132" s="1269">
        <f t="shared" ref="AE132" si="1028">IF($R132-$F132=0,AD132+$AH132/12,AD132+((P132-O132)/($R132-$F132))*$AH132)</f>
        <v>12102896.68</v>
      </c>
      <c r="AF132" s="1269">
        <f t="shared" ref="AF132" si="1029">IF($R132-$F132=0,AE132+$AH132/12,AE132+((Q132-P132)/($R132-$F132))*$AH132)</f>
        <v>12102896.68</v>
      </c>
      <c r="AG132" s="1269">
        <f t="shared" ref="AG132" si="1030">IF($R132-$F132=0,AF132+$AH132/12,AF132+((R132-Q132)/($R132-$F132))*$AH132)</f>
        <v>12102896.68</v>
      </c>
      <c r="AH132" s="106">
        <f>'101_106 PROJECTION'!N31</f>
        <v>0</v>
      </c>
      <c r="AI132" s="133">
        <f>+AG132-U132</f>
        <v>0</v>
      </c>
      <c r="AJ132" s="116">
        <f>SUM(AJ129:AJ131)</f>
        <v>12102896.679999998</v>
      </c>
      <c r="AK132" s="1039">
        <f>AG132</f>
        <v>12102896.68</v>
      </c>
      <c r="AL132" s="1041">
        <f>IF($R132-$F132=0,AK132+$AX132/12,AK132+((G132-F132)/($R132-$F132))*$AX132)</f>
        <v>12102896.68</v>
      </c>
      <c r="AM132" s="1041">
        <f t="shared" ref="AM132" si="1031">IF($R132-$F132=0,AL132+$AX132/12,AL132+((H132-G132)/($R132-$F132))*$AX132)</f>
        <v>12102896.68</v>
      </c>
      <c r="AN132" s="1041">
        <f t="shared" ref="AN132" si="1032">IF($R132-$F132=0,AM132+$AX132/12,AM132+((I132-H132)/($R132-$F132))*$AX132)</f>
        <v>12102896.68</v>
      </c>
      <c r="AO132" s="1041">
        <f t="shared" ref="AO132" si="1033">IF($R132-$F132=0,AN132+$AX132/12,AN132+((J132-I132)/($R132-$F132))*$AX132)</f>
        <v>12102896.68</v>
      </c>
      <c r="AP132" s="1041">
        <f t="shared" ref="AP132" si="1034">IF($R132-$F132=0,AO132+$AX132/12,AO132+((K132-J132)/($R132-$F132))*$AX132)</f>
        <v>12102896.68</v>
      </c>
      <c r="AQ132" s="1041">
        <f t="shared" ref="AQ132" si="1035">IF($R132-$F132=0,AP132+$AX132/12,AP132+((L132-K132)/($R132-$F132))*$AX132)</f>
        <v>12102896.68</v>
      </c>
      <c r="AR132" s="1041">
        <f t="shared" ref="AR132" si="1036">IF($R132-$F132=0,AQ132+$AX132/12,AQ132+((M132-L132)/($R132-$F132))*$AX132)</f>
        <v>12102896.68</v>
      </c>
      <c r="AS132" s="1041">
        <f t="shared" ref="AS132" si="1037">IF($R132-$F132=0,AR132+$AX132/12,AR132+((N132-M132)/($R132-$F132))*$AX132)</f>
        <v>12102896.68</v>
      </c>
      <c r="AT132" s="1041">
        <f t="shared" ref="AT132" si="1038">IF($R132-$F132=0,AS132+$AX132/12,AS132+((O132-N132)/($R132-$F132))*$AX132)</f>
        <v>12102896.68</v>
      </c>
      <c r="AU132" s="1041">
        <f t="shared" ref="AU132" si="1039">IF($R132-$F132=0,AT132+$AX132/12,AT132+((P132-O132)/($R132-$F132))*$AX132)</f>
        <v>12102896.68</v>
      </c>
      <c r="AV132" s="1041">
        <f t="shared" ref="AV132" si="1040">IF($R132-$F132=0,AU132+$AX132/12,AU132+((Q132-P132)/($R132-$F132))*$AX132)</f>
        <v>12102896.68</v>
      </c>
      <c r="AW132" s="1041">
        <f t="shared" ref="AW132" si="1041">IF($R132-$F132=0,AV132+$AX132/12,AV132+((R132-Q132)/($R132-$F132))*$AX132)</f>
        <v>12102896.68</v>
      </c>
      <c r="AX132" s="106">
        <f>'101_106 PROJECTION'!$T$31</f>
        <v>0</v>
      </c>
      <c r="AY132" s="133">
        <f>+AW132-AK132</f>
        <v>0</v>
      </c>
      <c r="AZ132" s="133"/>
      <c r="BA132" s="116">
        <f>SUM(BA129:BA131)</f>
        <v>12102896.679999998</v>
      </c>
    </row>
    <row r="133" spans="1:53">
      <c r="A133" s="250">
        <f t="shared" si="482"/>
        <v>118</v>
      </c>
      <c r="B133" s="208"/>
      <c r="C133" s="102"/>
      <c r="D133" s="102"/>
      <c r="E133" s="102"/>
      <c r="U133" s="102"/>
      <c r="AH133" s="106"/>
      <c r="AK133" s="102"/>
      <c r="AL133" s="1025"/>
      <c r="AW133" s="1016"/>
      <c r="AX133" s="106"/>
    </row>
    <row r="134" spans="1:53">
      <c r="A134" s="250">
        <f t="shared" si="482"/>
        <v>119</v>
      </c>
      <c r="B134" s="208"/>
      <c r="C134" s="102" t="s">
        <v>272</v>
      </c>
      <c r="D134" s="102" t="s">
        <v>273</v>
      </c>
      <c r="E134" s="102"/>
      <c r="U134" s="102"/>
      <c r="AH134" s="102"/>
      <c r="AK134" s="102"/>
      <c r="AX134" s="102"/>
    </row>
    <row r="135" spans="1:53">
      <c r="A135" s="250">
        <f t="shared" si="482"/>
        <v>120</v>
      </c>
      <c r="B135" s="208"/>
      <c r="C135" s="102"/>
      <c r="D135" s="102"/>
      <c r="E135" s="102" t="s">
        <v>592</v>
      </c>
      <c r="F135" s="974">
        <f>'Rate Base'!S133</f>
        <v>49809.3100000001</v>
      </c>
      <c r="G135" s="974">
        <f>'Rate Base'!T133</f>
        <v>49809.31</v>
      </c>
      <c r="H135" s="974">
        <f>'Rate Base'!U133</f>
        <v>49809.3100000001</v>
      </c>
      <c r="I135" s="974">
        <f>'Rate Base'!V133</f>
        <v>49809.3100000001</v>
      </c>
      <c r="J135" s="974">
        <f>'Rate Base'!W133</f>
        <v>91573.830000000075</v>
      </c>
      <c r="K135" s="974">
        <f>'Rate Base'!X133</f>
        <v>98853.000000000276</v>
      </c>
      <c r="L135" s="974">
        <f>'Rate Base'!Y133</f>
        <v>98857.010000000286</v>
      </c>
      <c r="M135" s="974">
        <f>'Rate Base'!Z133</f>
        <v>100365.69000000022</v>
      </c>
      <c r="N135" s="974">
        <f>'Rate Base'!AA133</f>
        <v>100365.69</v>
      </c>
      <c r="O135" s="974">
        <f>'Rate Base'!AB133</f>
        <v>100365.69000000022</v>
      </c>
      <c r="P135" s="974">
        <f>'Rate Base'!AC133</f>
        <v>100471.28000000026</v>
      </c>
      <c r="Q135" s="974">
        <f>'Rate Base'!AD133</f>
        <v>100471.28000000026</v>
      </c>
      <c r="R135" s="974">
        <f>'Rate Base'!AE133</f>
        <v>100471.2800000003</v>
      </c>
      <c r="S135" s="116"/>
      <c r="T135" s="116">
        <f>((F135/2)+SUM(G135:Q135)+(R135/2))/12</f>
        <v>84657.641250000161</v>
      </c>
      <c r="U135" s="106">
        <f>+R135</f>
        <v>100471.2800000003</v>
      </c>
      <c r="V135" s="998">
        <f t="shared" ref="V135" ca="1" si="1042">(U135/U137)*V137</f>
        <v>100471.2800000003</v>
      </c>
      <c r="W135" s="998">
        <f t="shared" ref="W135" ca="1" si="1043">(V135/V137)*W137</f>
        <v>94441.348366255217</v>
      </c>
      <c r="X135" s="998">
        <f t="shared" ref="X135" ca="1" si="1044">(W135/W137)*X137</f>
        <v>102035.1585371892</v>
      </c>
      <c r="Y135" s="998">
        <f t="shared" ref="Y135" ca="1" si="1045">(X135/X137)*Y137</f>
        <v>95551.543688724603</v>
      </c>
      <c r="Z135" s="998">
        <f t="shared" ref="Z135" ca="1" si="1046">(Y135/Y137)*Z137</f>
        <v>94313.054169382158</v>
      </c>
      <c r="AA135" s="998">
        <f t="shared" ref="AA135" ca="1" si="1047">(Z135/Z137)*AA137</f>
        <v>190516.68090079745</v>
      </c>
      <c r="AB135" s="998">
        <f t="shared" ref="AB135" ca="1" si="1048">(AA135/AA137)*AB137</f>
        <v>189080.99904692086</v>
      </c>
      <c r="AC135" s="998">
        <f t="shared" ref="AC135" ca="1" si="1049">(AB135/AB137)*AC137</f>
        <v>186616.98519152161</v>
      </c>
      <c r="AD135" s="998">
        <f t="shared" ref="AD135" ca="1" si="1050">(AC135/AC137)*AD137</f>
        <v>186616.98519152161</v>
      </c>
      <c r="AE135" s="998">
        <f t="shared" ref="AE135" ca="1" si="1051">(AD135/AD137)*AE137</f>
        <v>154367.20768085733</v>
      </c>
      <c r="AF135" s="998">
        <f t="shared" ref="AF135" ca="1" si="1052">(AE135/AE137)*AF137</f>
        <v>133298.51290255709</v>
      </c>
      <c r="AG135" s="998">
        <f t="shared" ref="AG135" ca="1" si="1053">(AF135/AF137)*AG137</f>
        <v>133151.56820712192</v>
      </c>
      <c r="AH135" s="106"/>
      <c r="AI135" s="133"/>
      <c r="AJ135" s="116">
        <f ca="1">((U135/2)+SUM(V135:AF135)+(AG135/2))/12</f>
        <v>137010.09831494073</v>
      </c>
      <c r="AK135" s="106">
        <f ca="1">AG135</f>
        <v>133151.56820712192</v>
      </c>
      <c r="AL135" s="1016">
        <f ca="1">(AK135/AK137)*AL137</f>
        <v>133151.56820712192</v>
      </c>
      <c r="AM135" s="1016">
        <f t="shared" ref="AM135:AW135" ca="1" si="1054">(AL135/AL137)*AM137</f>
        <v>125808.99176385337</v>
      </c>
      <c r="AN135" s="1016">
        <f t="shared" ca="1" si="1054"/>
        <v>135055.88460816292</v>
      </c>
      <c r="AO135" s="1016">
        <f t="shared" ca="1" si="1054"/>
        <v>127160.86347937526</v>
      </c>
      <c r="AP135" s="1016">
        <f t="shared" ca="1" si="1054"/>
        <v>125652.76943746804</v>
      </c>
      <c r="AQ135" s="1016">
        <f t="shared" ca="1" si="1054"/>
        <v>242798.78804935256</v>
      </c>
      <c r="AR135" s="1016">
        <f t="shared" ca="1" si="1054"/>
        <v>241050.57523358718</v>
      </c>
      <c r="AS135" s="1016">
        <f t="shared" ca="1" si="1054"/>
        <v>238050.17470013947</v>
      </c>
      <c r="AT135" s="1016">
        <f t="shared" ca="1" si="1054"/>
        <v>238050.17470013947</v>
      </c>
      <c r="AU135" s="1016">
        <f t="shared" ca="1" si="1054"/>
        <v>198780.00199614381</v>
      </c>
      <c r="AV135" s="1016">
        <f t="shared" ca="1" si="1054"/>
        <v>173124.90151310858</v>
      </c>
      <c r="AW135" s="1016">
        <f t="shared" ca="1" si="1054"/>
        <v>172945.96869517618</v>
      </c>
      <c r="AX135" s="106"/>
      <c r="AY135" s="133"/>
      <c r="AZ135" s="133"/>
      <c r="BA135" s="116">
        <f ca="1">((AK135/2)+SUM(AL135:AV135)+(AW135/2))/12</f>
        <v>177644.45517830015</v>
      </c>
    </row>
    <row r="136" spans="1:53">
      <c r="A136" s="250">
        <f t="shared" si="482"/>
        <v>121</v>
      </c>
      <c r="B136" s="208"/>
      <c r="C136" s="102"/>
      <c r="D136" s="102"/>
      <c r="E136" s="102" t="s">
        <v>593</v>
      </c>
      <c r="F136" s="985">
        <f>'Rate Base'!S134</f>
        <v>15675305.119999999</v>
      </c>
      <c r="G136" s="985">
        <f>'Rate Base'!T134</f>
        <v>15675305.119999999</v>
      </c>
      <c r="H136" s="985">
        <f>'Rate Base'!U134</f>
        <v>15763113.449999999</v>
      </c>
      <c r="I136" s="985">
        <f>'Rate Base'!V134</f>
        <v>15652531.799999999</v>
      </c>
      <c r="J136" s="985">
        <f>'Rate Base'!W134</f>
        <v>15705182.18</v>
      </c>
      <c r="K136" s="985">
        <f>'Rate Base'!X134</f>
        <v>15715937.99</v>
      </c>
      <c r="L136" s="985">
        <f>'Rate Base'!Y134</f>
        <v>14315009.34</v>
      </c>
      <c r="M136" s="985">
        <f>'Rate Base'!Z134</f>
        <v>14334407.17</v>
      </c>
      <c r="N136" s="985">
        <f>'Rate Base'!AA134</f>
        <v>14370288.33</v>
      </c>
      <c r="O136" s="985">
        <f>'Rate Base'!AB134</f>
        <v>14370288.33</v>
      </c>
      <c r="P136" s="985">
        <f>'Rate Base'!AC134</f>
        <v>14839806.489999998</v>
      </c>
      <c r="Q136" s="985">
        <f>'Rate Base'!AD134</f>
        <v>15146610.449999999</v>
      </c>
      <c r="R136" s="985">
        <f>'Rate Base'!AE134</f>
        <v>15148750.27</v>
      </c>
      <c r="S136" s="116"/>
      <c r="T136" s="256">
        <f>((F136/2)+SUM(G136:Q136)+(R136/2))/12</f>
        <v>15108375.695416667</v>
      </c>
      <c r="U136" s="396">
        <f>+R136</f>
        <v>15148750.27</v>
      </c>
      <c r="V136" s="998">
        <f t="shared" ref="V136" ca="1" si="1055">(U136/U137)*V137</f>
        <v>15148750.27</v>
      </c>
      <c r="W136" s="998">
        <f t="shared" ref="W136" ca="1" si="1056">(V136/V137)*W137</f>
        <v>14239575.743062779</v>
      </c>
      <c r="X136" s="998">
        <f t="shared" ref="X136" ca="1" si="1057">(W136/W137)*X137</f>
        <v>15384547.061008213</v>
      </c>
      <c r="Y136" s="998">
        <f t="shared" ref="Y136" ca="1" si="1058">(X136/X137)*Y137</f>
        <v>14406967.575743828</v>
      </c>
      <c r="Z136" s="998">
        <f t="shared" ref="Z136" ca="1" si="1059">(Y136/Y137)*Z137</f>
        <v>14220231.939047143</v>
      </c>
      <c r="AA136" s="998">
        <f t="shared" ref="AA136" ca="1" si="1060">(Z136/Z137)*AA137</f>
        <v>28725518.588351332</v>
      </c>
      <c r="AB136" s="998">
        <f t="shared" ref="AB136" ca="1" si="1061">(AA136/AA137)*AB137</f>
        <v>28509050.89856429</v>
      </c>
      <c r="AC136" s="998">
        <f t="shared" ref="AC136" ca="1" si="1062">(AB136/AB137)*AC137</f>
        <v>28137534.475589853</v>
      </c>
      <c r="AD136" s="998">
        <f t="shared" ref="AD136" ca="1" si="1063">(AC136/AC137)*AD137</f>
        <v>28137534.475589853</v>
      </c>
      <c r="AE136" s="998">
        <f t="shared" ref="AE136" ca="1" si="1064">(AD136/AD137)*AE137</f>
        <v>23275012.312319767</v>
      </c>
      <c r="AF136" s="998">
        <f t="shared" ref="AF136" ca="1" si="1065">(AE136/AE137)*AF137</f>
        <v>20098339.379404783</v>
      </c>
      <c r="AG136" s="998">
        <f t="shared" ref="AG136" ca="1" si="1066">(AF136/AF137)*AG137</f>
        <v>20076183.510636628</v>
      </c>
      <c r="AH136" s="396"/>
      <c r="AI136" s="395"/>
      <c r="AJ136" s="256">
        <f ca="1">((U136/2)+SUM(V136:AF136)+(AG136/2))/12</f>
        <v>20657960.80075001</v>
      </c>
      <c r="AK136" s="106">
        <f ca="1">AG136</f>
        <v>20076183.510636628</v>
      </c>
      <c r="AL136" s="1016">
        <f ca="1">(AK136/AK137)*AL137</f>
        <v>20076183.510636628</v>
      </c>
      <c r="AM136" s="1016">
        <f t="shared" ref="AM136:AW136" ca="1" si="1067">(AL136/AL137)*AM137</f>
        <v>18969092.440656632</v>
      </c>
      <c r="AN136" s="1016">
        <f t="shared" ca="1" si="1067"/>
        <v>20363310.474625092</v>
      </c>
      <c r="AO136" s="1016">
        <f t="shared" ca="1" si="1067"/>
        <v>19172923.495815054</v>
      </c>
      <c r="AP136" s="1016">
        <f t="shared" ca="1" si="1067"/>
        <v>18945537.719257541</v>
      </c>
      <c r="AQ136" s="1016">
        <f t="shared" ca="1" si="1067"/>
        <v>36608453.739399865</v>
      </c>
      <c r="AR136" s="1016">
        <f t="shared" ca="1" si="1067"/>
        <v>36344863.593391538</v>
      </c>
      <c r="AS136" s="1016">
        <f t="shared" ca="1" si="1067"/>
        <v>35892472.438514501</v>
      </c>
      <c r="AT136" s="1016">
        <f t="shared" ca="1" si="1067"/>
        <v>35892472.438514501</v>
      </c>
      <c r="AU136" s="1016">
        <f t="shared" ca="1" si="1067"/>
        <v>29971436.702206582</v>
      </c>
      <c r="AV136" s="1016">
        <f t="shared" ca="1" si="1067"/>
        <v>26103239.637639914</v>
      </c>
      <c r="AW136" s="1016">
        <f t="shared" ca="1" si="1067"/>
        <v>26076260.698245838</v>
      </c>
      <c r="AX136" s="396"/>
      <c r="AY136" s="395"/>
      <c r="AZ136" s="395"/>
      <c r="BA136" s="256">
        <f ca="1">((AK136/2)+SUM(AL136:AV136)+(AW136/2))/12</f>
        <v>26784684.024591599</v>
      </c>
    </row>
    <row r="137" spans="1:53">
      <c r="A137" s="250">
        <f t="shared" si="482"/>
        <v>122</v>
      </c>
      <c r="B137" s="208"/>
      <c r="C137" s="102"/>
      <c r="D137" s="102"/>
      <c r="E137" s="102" t="s">
        <v>170</v>
      </c>
      <c r="F137" s="974">
        <f t="shared" ref="F137:R137" si="1068">SUM(F135:F136)</f>
        <v>15725114.43</v>
      </c>
      <c r="G137" s="974">
        <f t="shared" si="1068"/>
        <v>15725114.43</v>
      </c>
      <c r="H137" s="974">
        <f t="shared" si="1068"/>
        <v>15812922.76</v>
      </c>
      <c r="I137" s="974">
        <f t="shared" si="1068"/>
        <v>15702341.109999999</v>
      </c>
      <c r="J137" s="974">
        <f t="shared" si="1068"/>
        <v>15796756.01</v>
      </c>
      <c r="K137" s="974">
        <f t="shared" si="1068"/>
        <v>15814790.99</v>
      </c>
      <c r="L137" s="974">
        <f t="shared" si="1068"/>
        <v>14413866.35</v>
      </c>
      <c r="M137" s="974">
        <f t="shared" si="1068"/>
        <v>14434772.859999999</v>
      </c>
      <c r="N137" s="974">
        <f t="shared" si="1068"/>
        <v>14470654.02</v>
      </c>
      <c r="O137" s="974">
        <f t="shared" si="1068"/>
        <v>14470654.02</v>
      </c>
      <c r="P137" s="974">
        <f t="shared" si="1068"/>
        <v>14940277.77</v>
      </c>
      <c r="Q137" s="974">
        <f t="shared" si="1068"/>
        <v>15247081.73</v>
      </c>
      <c r="R137" s="974">
        <f t="shared" si="1068"/>
        <v>15249221.550000001</v>
      </c>
      <c r="S137" s="116"/>
      <c r="T137" s="116">
        <f>SUM(T135:T136)</f>
        <v>15193033.336666666</v>
      </c>
      <c r="U137" s="106">
        <f>+R137</f>
        <v>15249221.550000001</v>
      </c>
      <c r="V137" s="1269">
        <f t="shared" ref="V137:AA137" ca="1" si="1069">IF($R137-$F137=0,U137+$AH137/12,U137+((G137-F137)/($R137-$F137))*$AH137)</f>
        <v>15249221.550000001</v>
      </c>
      <c r="W137" s="1269">
        <f t="shared" ca="1" si="1069"/>
        <v>14334017.091429034</v>
      </c>
      <c r="X137" s="1269">
        <f t="shared" ca="1" si="1069"/>
        <v>15486582.219545402</v>
      </c>
      <c r="Y137" s="1269">
        <f t="shared" ca="1" si="1069"/>
        <v>14502519.119432552</v>
      </c>
      <c r="Z137" s="1269">
        <f t="shared" ca="1" si="1069"/>
        <v>14314544.993216524</v>
      </c>
      <c r="AA137" s="1269">
        <f t="shared" ca="1" si="1069"/>
        <v>28916035.269252125</v>
      </c>
      <c r="AB137" s="1269">
        <f ca="1">IF($R137-$F137=0,AA137+$AH137/12,AA137+((M137-L137)/($R137-$F137))*$AH137)</f>
        <v>28698131.897611208</v>
      </c>
      <c r="AC137" s="1269">
        <f t="shared" ref="AC137" ca="1" si="1070">IF($R137-$F137=0,AB137+$AH137/12,AB137+((N137-M137)/($R137-$F137))*$AH137)</f>
        <v>28324151.460781373</v>
      </c>
      <c r="AD137" s="1269">
        <f t="shared" ref="AD137" ca="1" si="1071">IF($R137-$F137=0,AC137+$AH137/12,AC137+((O137-N137)/($R137-$F137))*$AH137)</f>
        <v>28324151.460781373</v>
      </c>
      <c r="AE137" s="1269">
        <f t="shared" ref="AE137" ca="1" si="1072">IF($R137-$F137=0,AD137+$AH137/12,AD137+((P137-O137)/($R137-$F137))*$AH137)</f>
        <v>23429379.520000625</v>
      </c>
      <c r="AF137" s="1269">
        <f t="shared" ref="AF137" ca="1" si="1073">IF($R137-$F137=0,AE137+$AH137/12,AE137+((Q137-P137)/($R137-$F137))*$AH137)</f>
        <v>20231637.892307341</v>
      </c>
      <c r="AG137" s="1269">
        <f t="shared" ref="AG137" ca="1" si="1074">IF($R137-$F137=0,AF137+$AH137/12,AF137+((R137-Q137)/($R137-$F137))*$AH137)</f>
        <v>20209335.07884375</v>
      </c>
      <c r="AH137" s="106">
        <f ca="1">'101_106 PROJECTION'!N32</f>
        <v>4960113.5288437493</v>
      </c>
      <c r="AI137" s="393">
        <f ca="1">+AG137-U137</f>
        <v>4960113.5288437493</v>
      </c>
      <c r="AJ137" s="116">
        <f ca="1">SUM(AJ135:AJ136)</f>
        <v>20794970.899064951</v>
      </c>
      <c r="AK137" s="1039">
        <f ca="1">AG137</f>
        <v>20209335.07884375</v>
      </c>
      <c r="AL137" s="1041">
        <f ca="1">IF($R137-$F137=0,AK137+$AX137/12,AK137+((G137-F137)/($R137-$F137))*$AX137)</f>
        <v>20209335.07884375</v>
      </c>
      <c r="AM137" s="1041">
        <f t="shared" ref="AM137" ca="1" si="1075">IF($R137-$F137=0,AL137+$AX137/12,AL137+((H137-G137)/($R137-$F137))*$AX137)</f>
        <v>19094901.432420485</v>
      </c>
      <c r="AN137" s="1041">
        <f t="shared" ref="AN137" ca="1" si="1076">IF($R137-$F137=0,AM137+$AX137/12,AM137+((I137-H137)/($R137-$F137))*$AX137)</f>
        <v>20498366.359233256</v>
      </c>
      <c r="AO137" s="1041">
        <f t="shared" ref="AO137" ca="1" si="1077">IF($R137-$F137=0,AN137+$AX137/12,AN137+((J137-I137)/($R137-$F137))*$AX137)</f>
        <v>19300084.359294429</v>
      </c>
      <c r="AP137" s="1041">
        <f t="shared" ref="AP137" ca="1" si="1078">IF($R137-$F137=0,AO137+$AX137/12,AO137+((K137-J137)/($R137-$F137))*$AX137)</f>
        <v>19071190.488695011</v>
      </c>
      <c r="AQ137" s="1041">
        <f t="shared" ref="AQ137" ca="1" si="1079">IF($R137-$F137=0,AP137+$AX137/12,AP137+((L137-K137)/($R137-$F137))*$AX137)</f>
        <v>36851252.52744922</v>
      </c>
      <c r="AR137" s="1041">
        <f t="shared" ref="AR137" ca="1" si="1080">IF($R137-$F137=0,AQ137+$AX137/12,AQ137+((M137-L137)/($R137-$F137))*$AX137)</f>
        <v>36585914.168625131</v>
      </c>
      <c r="AS137" s="1041">
        <f t="shared" ref="AS137" ca="1" si="1081">IF($R137-$F137=0,AR137+$AX137/12,AR137+((N137-M137)/($R137-$F137))*$AX137)</f>
        <v>36130522.613214649</v>
      </c>
      <c r="AT137" s="1041">
        <f t="shared" ref="AT137" ca="1" si="1082">IF($R137-$F137=0,AS137+$AX137/12,AS137+((O137-N137)/($R137-$F137))*$AX137)</f>
        <v>36130522.613214649</v>
      </c>
      <c r="AU137" s="1041">
        <f t="shared" ref="AU137" ca="1" si="1083">IF($R137-$F137=0,AT137+$AX137/12,AT137+((P137-O137)/($R137-$F137))*$AX137)</f>
        <v>30170216.704202734</v>
      </c>
      <c r="AV137" s="1041">
        <f t="shared" ref="AV137" ca="1" si="1084">IF($R137-$F137=0,AU137+$AX137/12,AU137+((Q137-P137)/($R137-$F137))*$AX137)</f>
        <v>26276364.539153028</v>
      </c>
      <c r="AW137" s="1041">
        <f t="shared" ref="AW137" ca="1" si="1085">IF($R137-$F137=0,AV137+$AX137/12,AV137+((R137-Q137)/($R137-$F137))*$AX137)</f>
        <v>26249206.666941021</v>
      </c>
      <c r="AX137" s="106">
        <f ca="1">'101_106 PROJECTION'!$T$32</f>
        <v>6039871.588097265</v>
      </c>
      <c r="AY137" s="133">
        <f ca="1">+AW137-AK137</f>
        <v>6039871.5880972706</v>
      </c>
      <c r="AZ137" s="133"/>
      <c r="BA137" s="116">
        <f ca="1">SUM(BA135:BA136)</f>
        <v>26962328.4797699</v>
      </c>
    </row>
    <row r="138" spans="1:53">
      <c r="A138" s="250">
        <f t="shared" si="482"/>
        <v>123</v>
      </c>
      <c r="B138" s="208"/>
      <c r="C138" s="102"/>
      <c r="D138" s="102"/>
      <c r="E138" s="102"/>
      <c r="U138" s="102"/>
      <c r="AH138" s="106"/>
      <c r="AK138" s="102">
        <f>+AG138</f>
        <v>0</v>
      </c>
      <c r="AL138" s="1025"/>
      <c r="AW138" s="1030"/>
      <c r="AX138" s="106"/>
    </row>
    <row r="139" spans="1:53">
      <c r="A139" s="250">
        <f t="shared" si="482"/>
        <v>124</v>
      </c>
      <c r="B139" s="208"/>
      <c r="C139" s="102" t="s">
        <v>274</v>
      </c>
      <c r="D139" s="102" t="s">
        <v>275</v>
      </c>
      <c r="E139" s="102"/>
      <c r="U139" s="102"/>
      <c r="AH139" s="102"/>
      <c r="AK139" s="102"/>
      <c r="AX139" s="102"/>
    </row>
    <row r="140" spans="1:53">
      <c r="A140" s="250">
        <f t="shared" ref="A140:A205" si="1086">+A139+1</f>
        <v>125</v>
      </c>
      <c r="B140" s="208"/>
      <c r="C140" s="102"/>
      <c r="D140" s="102"/>
      <c r="E140" s="102" t="s">
        <v>592</v>
      </c>
      <c r="F140" s="974">
        <f>'Rate Base'!S138</f>
        <v>3863.92</v>
      </c>
      <c r="G140" s="974">
        <f>'Rate Base'!T138</f>
        <v>3863.92</v>
      </c>
      <c r="H140" s="974">
        <f>'Rate Base'!U138</f>
        <v>3863.92</v>
      </c>
      <c r="I140" s="974">
        <f>'Rate Base'!V138</f>
        <v>3863.92</v>
      </c>
      <c r="J140" s="974">
        <f>'Rate Base'!W138</f>
        <v>3863.92</v>
      </c>
      <c r="K140" s="974">
        <f>'Rate Base'!X138</f>
        <v>3863.92</v>
      </c>
      <c r="L140" s="974">
        <f>'Rate Base'!Y138</f>
        <v>3863.92</v>
      </c>
      <c r="M140" s="974">
        <f>'Rate Base'!Z138</f>
        <v>3863.92</v>
      </c>
      <c r="N140" s="974">
        <f>'Rate Base'!AA138</f>
        <v>3863.92</v>
      </c>
      <c r="O140" s="974">
        <f>'Rate Base'!AB138</f>
        <v>3863.92</v>
      </c>
      <c r="P140" s="974">
        <f>'Rate Base'!AC138</f>
        <v>3863.92</v>
      </c>
      <c r="Q140" s="974">
        <f>'Rate Base'!AD138</f>
        <v>3863.92</v>
      </c>
      <c r="R140" s="974">
        <f>'Rate Base'!AE138</f>
        <v>3863.92</v>
      </c>
      <c r="S140" s="116"/>
      <c r="T140" s="116">
        <f>((F140/2)+SUM(G140:Q140)+(R140/2))/12</f>
        <v>3863.9199999999987</v>
      </c>
      <c r="U140" s="106">
        <f>R140</f>
        <v>3863.92</v>
      </c>
      <c r="V140" s="998">
        <f t="shared" ref="V140" si="1087">(U140/U143)*V143</f>
        <v>3863.92</v>
      </c>
      <c r="W140" s="998">
        <f t="shared" ref="W140" si="1088">(V140/V143)*W143</f>
        <v>3863.92</v>
      </c>
      <c r="X140" s="998">
        <f t="shared" ref="X140" si="1089">(W140/W143)*X143</f>
        <v>3953.4292226459961</v>
      </c>
      <c r="Y140" s="998">
        <f t="shared" ref="Y140" si="1090">(X140/X143)*Y143</f>
        <v>3953.4292226459961</v>
      </c>
      <c r="Z140" s="998">
        <f t="shared" ref="Z140" si="1091">(Y140/Y143)*Z143</f>
        <v>3953.4292226459961</v>
      </c>
      <c r="AA140" s="998">
        <f t="shared" ref="AA140" si="1092">(Z140/Z143)*AA143</f>
        <v>3861.0033527617029</v>
      </c>
      <c r="AB140" s="998">
        <f t="shared" ref="AB140" si="1093">(AA140/AA143)*AB143</f>
        <v>3861.0033527617029</v>
      </c>
      <c r="AC140" s="998">
        <f t="shared" ref="AC140" si="1094">(AB140/AB143)*AC143</f>
        <v>3861.0033527617029</v>
      </c>
      <c r="AD140" s="998">
        <f t="shared" ref="AD140" si="1095">(AC140/AC143)*AD143</f>
        <v>3861.0033527617029</v>
      </c>
      <c r="AE140" s="998">
        <f t="shared" ref="AE140" si="1096">(AD140/AD143)*AE143</f>
        <v>3789.967755532944</v>
      </c>
      <c r="AF140" s="998">
        <f t="shared" ref="AF140" si="1097">(AE140/AE143)*AF143</f>
        <v>3789.967755532944</v>
      </c>
      <c r="AG140" s="998">
        <f t="shared" ref="AG140" si="1098">(AF140/AF143)*AG143</f>
        <v>3789.967755532944</v>
      </c>
      <c r="AH140" s="106"/>
      <c r="AI140" s="133"/>
      <c r="AJ140" s="116">
        <f>((U140/2)+SUM(V140:AF140)+(AG140/2))/12</f>
        <v>3869.9183723180963</v>
      </c>
      <c r="AK140" s="106">
        <f>AG140</f>
        <v>3789.967755532944</v>
      </c>
      <c r="AL140" s="1016">
        <f>(AK140/AK143)*AL143</f>
        <v>3789.967755532944</v>
      </c>
      <c r="AM140" s="1016">
        <f t="shared" ref="AM140:AW140" si="1099">(AL140/AL143)*AM143</f>
        <v>3789.967755532944</v>
      </c>
      <c r="AN140" s="1016">
        <f t="shared" si="1099"/>
        <v>3879.47697817894</v>
      </c>
      <c r="AO140" s="1016">
        <f t="shared" si="1099"/>
        <v>3879.47697817894</v>
      </c>
      <c r="AP140" s="1016">
        <f t="shared" si="1099"/>
        <v>3879.47697817894</v>
      </c>
      <c r="AQ140" s="1016">
        <f t="shared" si="1099"/>
        <v>3787.0511082946468</v>
      </c>
      <c r="AR140" s="1016">
        <f t="shared" si="1099"/>
        <v>3787.0511082946468</v>
      </c>
      <c r="AS140" s="1016">
        <f t="shared" si="1099"/>
        <v>3787.0511082946468</v>
      </c>
      <c r="AT140" s="1016">
        <f t="shared" si="1099"/>
        <v>3787.0511082946468</v>
      </c>
      <c r="AU140" s="1016">
        <f t="shared" si="1099"/>
        <v>3716.0155110658879</v>
      </c>
      <c r="AV140" s="1016">
        <f t="shared" si="1099"/>
        <v>3716.0155110658879</v>
      </c>
      <c r="AW140" s="1016">
        <f t="shared" si="1099"/>
        <v>3716.0155110658879</v>
      </c>
      <c r="AX140" s="106"/>
      <c r="AY140" s="133"/>
      <c r="AZ140" s="133"/>
      <c r="BA140" s="116">
        <f>((AK140/2)+SUM(AL140:AV140)+(AW140/2))/12</f>
        <v>3795.9661278510398</v>
      </c>
    </row>
    <row r="141" spans="1:53">
      <c r="A141" s="250">
        <f t="shared" si="1086"/>
        <v>126</v>
      </c>
      <c r="B141" s="208"/>
      <c r="C141" s="102"/>
      <c r="D141" s="102"/>
      <c r="E141" s="102" t="s">
        <v>593</v>
      </c>
      <c r="F141" s="974">
        <f>'Rate Base'!S139</f>
        <v>325391.74000000005</v>
      </c>
      <c r="G141" s="974">
        <f>'Rate Base'!T139</f>
        <v>325391.74000000005</v>
      </c>
      <c r="H141" s="974">
        <f>'Rate Base'!U139</f>
        <v>325391.74000000005</v>
      </c>
      <c r="I141" s="974">
        <f>'Rate Base'!V139</f>
        <v>328910.55000000005</v>
      </c>
      <c r="J141" s="974">
        <f>'Rate Base'!W139</f>
        <v>328910.55000000005</v>
      </c>
      <c r="K141" s="974">
        <f>'Rate Base'!X139</f>
        <v>328910.55000000005</v>
      </c>
      <c r="L141" s="974">
        <f>'Rate Base'!Y139</f>
        <v>325277.08</v>
      </c>
      <c r="M141" s="974">
        <f>'Rate Base'!Z139</f>
        <v>325277.08</v>
      </c>
      <c r="N141" s="974">
        <f>'Rate Base'!AA139</f>
        <v>325277.08</v>
      </c>
      <c r="O141" s="974">
        <f>'Rate Base'!AB139</f>
        <v>325277.08</v>
      </c>
      <c r="P141" s="974">
        <f>'Rate Base'!AC139</f>
        <v>322484.51</v>
      </c>
      <c r="Q141" s="974">
        <f>'Rate Base'!AD139</f>
        <v>322484.51</v>
      </c>
      <c r="R141" s="974">
        <f>'Rate Base'!AE139</f>
        <v>322484.51</v>
      </c>
      <c r="S141" s="116"/>
      <c r="T141" s="116">
        <f>((F141/2)+SUM(G141:Q141)+(R141/2))/12</f>
        <v>325627.54958333331</v>
      </c>
      <c r="U141" s="106">
        <f>+R141</f>
        <v>322484.51</v>
      </c>
      <c r="V141" s="998">
        <f t="shared" ref="V141" si="1100">(U141/U143)*V143</f>
        <v>322484.51</v>
      </c>
      <c r="W141" s="998">
        <f t="shared" ref="W141" si="1101">(V141/V143)*W143</f>
        <v>322484.51</v>
      </c>
      <c r="X141" s="998">
        <f t="shared" ref="X141" si="1102">(W141/W143)*X143</f>
        <v>329954.9901873421</v>
      </c>
      <c r="Y141" s="998">
        <f t="shared" ref="Y141" si="1103">(X141/X143)*Y143</f>
        <v>329954.9901873421</v>
      </c>
      <c r="Z141" s="998">
        <f t="shared" ref="Z141" si="1104">(Y141/Y143)*Z143</f>
        <v>329954.9901873421</v>
      </c>
      <c r="AA141" s="998">
        <f t="shared" ref="AA141" si="1105">(Z141/Z143)*AA143</f>
        <v>322241.08530293457</v>
      </c>
      <c r="AB141" s="998">
        <f t="shared" ref="AB141" si="1106">(AA141/AA143)*AB143</f>
        <v>322241.08530293457</v>
      </c>
      <c r="AC141" s="998">
        <f t="shared" ref="AC141" si="1107">(AB141/AB143)*AC143</f>
        <v>322241.08530293457</v>
      </c>
      <c r="AD141" s="998">
        <f t="shared" ref="AD141" si="1108">(AC141/AC143)*AD143</f>
        <v>322241.08530293457</v>
      </c>
      <c r="AE141" s="998">
        <f t="shared" ref="AE141" si="1109">(AD141/AD143)*AE143</f>
        <v>316312.42224446707</v>
      </c>
      <c r="AF141" s="998">
        <f t="shared" ref="AF141" si="1110">(AE141/AE143)*AF143</f>
        <v>316312.42224446707</v>
      </c>
      <c r="AG141" s="998">
        <f t="shared" ref="AG141" si="1111">(AF141/AF143)*AG143</f>
        <v>316312.42224446707</v>
      </c>
      <c r="AH141" s="106"/>
      <c r="AI141" s="133"/>
      <c r="AJ141" s="116">
        <f>((U141/2)+SUM(V141:AF141)+(AG141/2))/12</f>
        <v>322985.13686541095</v>
      </c>
      <c r="AK141" s="106">
        <f>AG141</f>
        <v>316312.42224446707</v>
      </c>
      <c r="AL141" s="1016">
        <f>(AK141/AK143)*AL143</f>
        <v>316312.42224446707</v>
      </c>
      <c r="AM141" s="1016">
        <f t="shared" ref="AM141:AW141" si="1112">(AL141/AL143)*AM143</f>
        <v>316312.42224446707</v>
      </c>
      <c r="AN141" s="1016">
        <f t="shared" si="1112"/>
        <v>323782.90243180917</v>
      </c>
      <c r="AO141" s="1016">
        <f t="shared" si="1112"/>
        <v>323782.90243180917</v>
      </c>
      <c r="AP141" s="1016">
        <f t="shared" si="1112"/>
        <v>323782.90243180917</v>
      </c>
      <c r="AQ141" s="1016">
        <f t="shared" si="1112"/>
        <v>316068.99754740158</v>
      </c>
      <c r="AR141" s="1016">
        <f t="shared" si="1112"/>
        <v>316068.99754740158</v>
      </c>
      <c r="AS141" s="1016">
        <f t="shared" si="1112"/>
        <v>316068.99754740158</v>
      </c>
      <c r="AT141" s="1016">
        <f t="shared" si="1112"/>
        <v>316068.99754740158</v>
      </c>
      <c r="AU141" s="1016">
        <f t="shared" si="1112"/>
        <v>310140.33448893408</v>
      </c>
      <c r="AV141" s="1016">
        <f t="shared" si="1112"/>
        <v>310140.33448893408</v>
      </c>
      <c r="AW141" s="1016">
        <f t="shared" si="1112"/>
        <v>310140.33448893408</v>
      </c>
      <c r="AX141" s="106"/>
      <c r="AY141" s="133"/>
      <c r="AZ141" s="133"/>
      <c r="BA141" s="116">
        <f>((AK141/2)+SUM(AL141:AV141)+(AW141/2))/12</f>
        <v>316813.04910987802</v>
      </c>
    </row>
    <row r="142" spans="1:53">
      <c r="A142" s="250">
        <f t="shared" si="1086"/>
        <v>127</v>
      </c>
      <c r="B142" s="208"/>
      <c r="C142" s="102"/>
      <c r="D142" s="102"/>
      <c r="E142" s="102" t="s">
        <v>595</v>
      </c>
      <c r="F142" s="985">
        <f>'Rate Base'!S140</f>
        <v>0</v>
      </c>
      <c r="G142" s="985">
        <f>'Rate Base'!T140</f>
        <v>0</v>
      </c>
      <c r="H142" s="985">
        <f>'Rate Base'!U140</f>
        <v>0</v>
      </c>
      <c r="I142" s="985">
        <f>'Rate Base'!V140</f>
        <v>0</v>
      </c>
      <c r="J142" s="985">
        <f>'Rate Base'!W140</f>
        <v>0</v>
      </c>
      <c r="K142" s="985">
        <f>'Rate Base'!X140</f>
        <v>0</v>
      </c>
      <c r="L142" s="985">
        <f>'Rate Base'!Y140</f>
        <v>0</v>
      </c>
      <c r="M142" s="985">
        <f>'Rate Base'!Z140</f>
        <v>0</v>
      </c>
      <c r="N142" s="985">
        <f>'Rate Base'!AA140</f>
        <v>0</v>
      </c>
      <c r="O142" s="985">
        <f>'Rate Base'!AB140</f>
        <v>0</v>
      </c>
      <c r="P142" s="985">
        <f>'Rate Base'!AC140</f>
        <v>0</v>
      </c>
      <c r="Q142" s="985">
        <f>'Rate Base'!AD140</f>
        <v>0</v>
      </c>
      <c r="R142" s="985">
        <f>'Rate Base'!AE140</f>
        <v>0</v>
      </c>
      <c r="S142" s="116"/>
      <c r="T142" s="256">
        <f>((F142/2)+SUM(G142:Q142)+(R142/2))/12</f>
        <v>0</v>
      </c>
      <c r="U142" s="396">
        <f>+R142</f>
        <v>0</v>
      </c>
      <c r="V142" s="998">
        <f t="shared" ref="V142" si="1113">(U142/U143)*V143</f>
        <v>0</v>
      </c>
      <c r="W142" s="998">
        <f t="shared" ref="W142" si="1114">(V142/V143)*W143</f>
        <v>0</v>
      </c>
      <c r="X142" s="998">
        <f t="shared" ref="X142" si="1115">(W142/W143)*X143</f>
        <v>0</v>
      </c>
      <c r="Y142" s="998">
        <f t="shared" ref="Y142" si="1116">(X142/X143)*Y143</f>
        <v>0</v>
      </c>
      <c r="Z142" s="998">
        <f t="shared" ref="Z142" si="1117">(Y142/Y143)*Z143</f>
        <v>0</v>
      </c>
      <c r="AA142" s="998">
        <f t="shared" ref="AA142" si="1118">(Z142/Z143)*AA143</f>
        <v>0</v>
      </c>
      <c r="AB142" s="998">
        <f t="shared" ref="AB142" si="1119">(AA142/AA143)*AB143</f>
        <v>0</v>
      </c>
      <c r="AC142" s="998">
        <f t="shared" ref="AC142" si="1120">(AB142/AB143)*AC143</f>
        <v>0</v>
      </c>
      <c r="AD142" s="998">
        <f t="shared" ref="AD142" si="1121">(AC142/AC143)*AD143</f>
        <v>0</v>
      </c>
      <c r="AE142" s="998">
        <f t="shared" ref="AE142" si="1122">(AD142/AD143)*AE143</f>
        <v>0</v>
      </c>
      <c r="AF142" s="998">
        <f t="shared" ref="AF142" si="1123">(AE142/AE143)*AF143</f>
        <v>0</v>
      </c>
      <c r="AG142" s="998">
        <f t="shared" ref="AG142" si="1124">(AF142/AF143)*AG143</f>
        <v>0</v>
      </c>
      <c r="AH142" s="396"/>
      <c r="AI142" s="395"/>
      <c r="AJ142" s="256">
        <f>((U142/2)+SUM(V142:AF142)+(AG142/2))/12</f>
        <v>0</v>
      </c>
      <c r="AK142" s="106">
        <f>AG142</f>
        <v>0</v>
      </c>
      <c r="AL142" s="1016">
        <f>(AK142/AK143)*AL143</f>
        <v>0</v>
      </c>
      <c r="AM142" s="1016">
        <f t="shared" ref="AM142" si="1125">(AL142/AL143)*AM143</f>
        <v>0</v>
      </c>
      <c r="AN142" s="1016">
        <f t="shared" ref="AN142" si="1126">(AM142/AM143)*AN143</f>
        <v>0</v>
      </c>
      <c r="AO142" s="1016">
        <f t="shared" ref="AO142" si="1127">(AN142/AN143)*AO143</f>
        <v>0</v>
      </c>
      <c r="AP142" s="1016">
        <f t="shared" ref="AP142" si="1128">(AO142/AO143)*AP143</f>
        <v>0</v>
      </c>
      <c r="AQ142" s="1016">
        <f t="shared" ref="AQ142" si="1129">(AP142/AP143)*AQ143</f>
        <v>0</v>
      </c>
      <c r="AR142" s="1016">
        <f t="shared" ref="AR142" si="1130">(AQ142/AQ143)*AR143</f>
        <v>0</v>
      </c>
      <c r="AS142" s="1016">
        <f t="shared" ref="AS142" si="1131">(AR142/AR143)*AS143</f>
        <v>0</v>
      </c>
      <c r="AT142" s="1016">
        <f t="shared" ref="AT142" si="1132">(AS142/AS143)*AT143</f>
        <v>0</v>
      </c>
      <c r="AU142" s="1016">
        <f t="shared" ref="AU142" si="1133">(AT142/AT143)*AU143</f>
        <v>0</v>
      </c>
      <c r="AV142" s="1016">
        <f t="shared" ref="AV142" si="1134">(AU142/AU143)*AV143</f>
        <v>0</v>
      </c>
      <c r="AW142" s="1016">
        <f t="shared" ref="AW142" si="1135">(AV142/AV143)*AW143</f>
        <v>0</v>
      </c>
      <c r="AX142" s="396"/>
      <c r="AY142" s="395"/>
      <c r="AZ142" s="395"/>
      <c r="BA142" s="256">
        <f>((AK142/2)+SUM(AL142:AV142)+(AW142/2))/12</f>
        <v>0</v>
      </c>
    </row>
    <row r="143" spans="1:53">
      <c r="A143" s="250">
        <f t="shared" si="1086"/>
        <v>128</v>
      </c>
      <c r="B143" s="208"/>
      <c r="C143" s="102"/>
      <c r="D143" s="102"/>
      <c r="E143" s="102" t="s">
        <v>170</v>
      </c>
      <c r="F143" s="974">
        <f t="shared" ref="F143:R143" si="1136">SUM(F140:F142)</f>
        <v>329255.66000000003</v>
      </c>
      <c r="G143" s="974">
        <f t="shared" si="1136"/>
        <v>329255.66000000003</v>
      </c>
      <c r="H143" s="974">
        <f t="shared" si="1136"/>
        <v>329255.66000000003</v>
      </c>
      <c r="I143" s="974">
        <f t="shared" si="1136"/>
        <v>332774.47000000003</v>
      </c>
      <c r="J143" s="974">
        <f t="shared" si="1136"/>
        <v>332774.47000000003</v>
      </c>
      <c r="K143" s="974">
        <f t="shared" si="1136"/>
        <v>332774.47000000003</v>
      </c>
      <c r="L143" s="974">
        <f t="shared" si="1136"/>
        <v>329141</v>
      </c>
      <c r="M143" s="974">
        <f t="shared" si="1136"/>
        <v>329141</v>
      </c>
      <c r="N143" s="974">
        <f t="shared" si="1136"/>
        <v>329141</v>
      </c>
      <c r="O143" s="974">
        <f t="shared" si="1136"/>
        <v>329141</v>
      </c>
      <c r="P143" s="974">
        <f t="shared" si="1136"/>
        <v>326348.43</v>
      </c>
      <c r="Q143" s="974">
        <f t="shared" si="1136"/>
        <v>326348.43</v>
      </c>
      <c r="R143" s="974">
        <f t="shared" si="1136"/>
        <v>326348.43</v>
      </c>
      <c r="S143" s="116"/>
      <c r="T143" s="116">
        <f>SUM(T140:T142)</f>
        <v>329491.4695833333</v>
      </c>
      <c r="U143" s="106">
        <f>+R143</f>
        <v>326348.43</v>
      </c>
      <c r="V143" s="1269">
        <f t="shared" ref="V143:AA143" si="1137">IF($R143-$F143=0,U143+$AH143/12,U143+((G143-F143)/($R143-$F143))*$AH143)</f>
        <v>326348.43</v>
      </c>
      <c r="W143" s="1269">
        <f t="shared" si="1137"/>
        <v>326348.43</v>
      </c>
      <c r="X143" s="1269">
        <f t="shared" si="1137"/>
        <v>333908.4194099881</v>
      </c>
      <c r="Y143" s="1269">
        <f t="shared" si="1137"/>
        <v>333908.4194099881</v>
      </c>
      <c r="Z143" s="1269">
        <f t="shared" si="1137"/>
        <v>333908.4194099881</v>
      </c>
      <c r="AA143" s="1269">
        <f t="shared" si="1137"/>
        <v>326102.08865569625</v>
      </c>
      <c r="AB143" s="1269">
        <f>IF($R143-$F143=0,AA143+$AH143/12,AA143+((M143-L143)/($R143-$F143))*$AH143)</f>
        <v>326102.08865569625</v>
      </c>
      <c r="AC143" s="1269">
        <f t="shared" ref="AC143" si="1138">IF($R143-$F143=0,AB143+$AH143/12,AB143+((N143-M143)/($R143-$F143))*$AH143)</f>
        <v>326102.08865569625</v>
      </c>
      <c r="AD143" s="1269">
        <f t="shared" ref="AD143" si="1139">IF($R143-$F143=0,AC143+$AH143/12,AC143+((O143-N143)/($R143-$F143))*$AH143)</f>
        <v>326102.08865569625</v>
      </c>
      <c r="AE143" s="1269">
        <f t="shared" ref="AE143" si="1140">IF($R143-$F143=0,AD143+$AH143/12,AD143+((P143-O143)/($R143-$F143))*$AH143)</f>
        <v>320102.39</v>
      </c>
      <c r="AF143" s="1269">
        <f t="shared" ref="AF143" si="1141">IF($R143-$F143=0,AE143+$AH143/12,AE143+((Q143-P143)/($R143-$F143))*$AH143)</f>
        <v>320102.39</v>
      </c>
      <c r="AG143" s="1269">
        <f t="shared" ref="AG143" si="1142">IF($R143-$F143=0,AF143+$AH143/12,AF143+((R143-Q143)/($R143-$F143))*$AH143)</f>
        <v>320102.39</v>
      </c>
      <c r="AH143" s="106">
        <f>'101_106 PROJECTION'!N33</f>
        <v>-6246.04</v>
      </c>
      <c r="AI143" s="393">
        <f>+AG143-U143</f>
        <v>-6246.039999999979</v>
      </c>
      <c r="AJ143" s="116">
        <f>SUM(AJ140:AJ142)</f>
        <v>326855.05523772904</v>
      </c>
      <c r="AK143" s="1039">
        <f>AG143</f>
        <v>320102.39</v>
      </c>
      <c r="AL143" s="1041">
        <f>IF($R143-$F143=0,AK143+$AX143/12,AK143+((G143-F143)/($R143-$F143))*$AX143)</f>
        <v>320102.39</v>
      </c>
      <c r="AM143" s="1041">
        <f t="shared" ref="AM143" si="1143">IF($R143-$F143=0,AL143+$AX143/12,AL143+((H143-G143)/($R143-$F143))*$AX143)</f>
        <v>320102.39</v>
      </c>
      <c r="AN143" s="1041">
        <f t="shared" ref="AN143" si="1144">IF($R143-$F143=0,AM143+$AX143/12,AM143+((I143-H143)/($R143-$F143))*$AX143)</f>
        <v>327662.37940998812</v>
      </c>
      <c r="AO143" s="1041">
        <f t="shared" ref="AO143" si="1145">IF($R143-$F143=0,AN143+$AX143/12,AN143+((J143-I143)/($R143-$F143))*$AX143)</f>
        <v>327662.37940998812</v>
      </c>
      <c r="AP143" s="1041">
        <f t="shared" ref="AP143" si="1146">IF($R143-$F143=0,AO143+$AX143/12,AO143+((K143-J143)/($R143-$F143))*$AX143)</f>
        <v>327662.37940998812</v>
      </c>
      <c r="AQ143" s="1041">
        <f t="shared" ref="AQ143" si="1147">IF($R143-$F143=0,AP143+$AX143/12,AP143+((L143-K143)/($R143-$F143))*$AX143)</f>
        <v>319856.04865569627</v>
      </c>
      <c r="AR143" s="1041">
        <f t="shared" ref="AR143" si="1148">IF($R143-$F143=0,AQ143+$AX143/12,AQ143+((M143-L143)/($R143-$F143))*$AX143)</f>
        <v>319856.04865569627</v>
      </c>
      <c r="AS143" s="1041">
        <f t="shared" ref="AS143" si="1149">IF($R143-$F143=0,AR143+$AX143/12,AR143+((N143-M143)/($R143-$F143))*$AX143)</f>
        <v>319856.04865569627</v>
      </c>
      <c r="AT143" s="1041">
        <f t="shared" ref="AT143" si="1150">IF($R143-$F143=0,AS143+$AX143/12,AS143+((O143-N143)/($R143-$F143))*$AX143)</f>
        <v>319856.04865569627</v>
      </c>
      <c r="AU143" s="1041">
        <f t="shared" ref="AU143" si="1151">IF($R143-$F143=0,AT143+$AX143/12,AT143+((P143-O143)/($R143-$F143))*$AX143)</f>
        <v>313856.35000000003</v>
      </c>
      <c r="AV143" s="1041">
        <f t="shared" ref="AV143" si="1152">IF($R143-$F143=0,AU143+$AX143/12,AU143+((Q143-P143)/($R143-$F143))*$AX143)</f>
        <v>313856.35000000003</v>
      </c>
      <c r="AW143" s="1041">
        <f t="shared" ref="AW143" si="1153">IF($R143-$F143=0,AV143+$AX143/12,AV143+((R143-Q143)/($R143-$F143))*$AX143)</f>
        <v>313856.35000000003</v>
      </c>
      <c r="AX143" s="106">
        <f>'101_106 PROJECTION'!$T$33</f>
        <v>-6246.04</v>
      </c>
      <c r="AY143" s="133">
        <f>+AW143-AK143</f>
        <v>-6246.039999999979</v>
      </c>
      <c r="AZ143" s="133"/>
      <c r="BA143" s="116">
        <f>SUM(BA140:BA142)</f>
        <v>320609.01523772907</v>
      </c>
    </row>
    <row r="144" spans="1:53">
      <c r="A144" s="250">
        <f t="shared" si="1086"/>
        <v>129</v>
      </c>
      <c r="B144" s="208"/>
      <c r="C144" s="102"/>
      <c r="D144" s="102"/>
      <c r="E144" s="102"/>
      <c r="R144" s="980">
        <f>+R143-O143</f>
        <v>-2792.570000000007</v>
      </c>
      <c r="U144" s="102">
        <f>+R144</f>
        <v>-2792.570000000007</v>
      </c>
      <c r="AH144" s="106"/>
      <c r="AK144" s="102">
        <f>+AG144</f>
        <v>0</v>
      </c>
      <c r="AW144" s="1016"/>
      <c r="AX144" s="106"/>
    </row>
    <row r="145" spans="1:55">
      <c r="A145" s="250">
        <f t="shared" si="1086"/>
        <v>130</v>
      </c>
      <c r="B145" s="208"/>
      <c r="C145" s="102"/>
      <c r="D145" s="102" t="s">
        <v>276</v>
      </c>
      <c r="E145" s="102"/>
      <c r="F145" s="991">
        <f t="shared" ref="F145:R145" si="1154">F143+F137+F132+F126+F120+F114+F109+F103+F97+F91</f>
        <v>288377282.63</v>
      </c>
      <c r="G145" s="991">
        <f t="shared" si="1154"/>
        <v>271341047.35000002</v>
      </c>
      <c r="H145" s="991">
        <f t="shared" si="1154"/>
        <v>270733620.44</v>
      </c>
      <c r="I145" s="991">
        <f t="shared" si="1154"/>
        <v>267487591.42000002</v>
      </c>
      <c r="J145" s="991">
        <f t="shared" si="1154"/>
        <v>268387618.5</v>
      </c>
      <c r="K145" s="991">
        <f t="shared" si="1154"/>
        <v>269124515.71000004</v>
      </c>
      <c r="L145" s="991">
        <f t="shared" si="1154"/>
        <v>263468399.38999999</v>
      </c>
      <c r="M145" s="991">
        <f t="shared" si="1154"/>
        <v>263808067.01000002</v>
      </c>
      <c r="N145" s="991">
        <f t="shared" si="1154"/>
        <v>264248855.89999998</v>
      </c>
      <c r="O145" s="991">
        <f t="shared" si="1154"/>
        <v>264344772.99000001</v>
      </c>
      <c r="P145" s="991">
        <f t="shared" si="1154"/>
        <v>265740947.22000003</v>
      </c>
      <c r="Q145" s="991">
        <f t="shared" si="1154"/>
        <v>266571777.37</v>
      </c>
      <c r="R145" s="991">
        <f t="shared" si="1154"/>
        <v>265546026.53</v>
      </c>
      <c r="S145" s="106"/>
      <c r="T145" s="753">
        <f>T91+T97+T103+T109+T114+T120+T126+T132+T137+T143</f>
        <v>267684905.65666667</v>
      </c>
      <c r="U145" s="998">
        <f t="shared" ref="U145:AA145" si="1155">U143+U137+U132+U126+U120+U114+U109+U103+U97+U91</f>
        <v>265546026.53</v>
      </c>
      <c r="V145" s="998">
        <f t="shared" ca="1" si="1155"/>
        <v>271293674.6527251</v>
      </c>
      <c r="W145" s="998">
        <f t="shared" ca="1" si="1155"/>
        <v>271267275.57878751</v>
      </c>
      <c r="X145" s="998">
        <f t="shared" ca="1" si="1155"/>
        <v>266966273.73635083</v>
      </c>
      <c r="Y145" s="998">
        <f t="shared" ca="1" si="1155"/>
        <v>270728891.87533653</v>
      </c>
      <c r="Z145" s="998">
        <f t="shared" ca="1" si="1155"/>
        <v>273932988.39005423</v>
      </c>
      <c r="AA145" s="998">
        <f t="shared" ca="1" si="1155"/>
        <v>288375139.31612331</v>
      </c>
      <c r="AB145" s="998">
        <f ca="1">AB143+AB137+AB132+AB126+AB120+AB114+AB109+AB103+AB97+AB91</f>
        <v>291253228.39440906</v>
      </c>
      <c r="AC145" s="998">
        <f t="shared" ref="AC145:AG145" ca="1" si="1156">AC143+AC137+AC132+AC126+AC120+AC114+AC109+AC103+AC97+AC91</f>
        <v>295768903.75701618</v>
      </c>
      <c r="AD145" s="998">
        <f t="shared" ca="1" si="1156"/>
        <v>296322134.15472972</v>
      </c>
      <c r="AE145" s="998">
        <f t="shared" ca="1" si="1156"/>
        <v>296009527.01202101</v>
      </c>
      <c r="AF145" s="998">
        <f t="shared" ca="1" si="1156"/>
        <v>275663983.33569831</v>
      </c>
      <c r="AG145" s="998">
        <f t="shared" ca="1" si="1156"/>
        <v>280054941.7776233</v>
      </c>
      <c r="AH145" s="116">
        <f t="shared" ref="AH145:BA145" ca="1" si="1157">AH143+AH137+AH132+AH126+AH120+AH114+AH109+AH103+AH97+AH91</f>
        <v>14508915.247623289</v>
      </c>
      <c r="AI145" s="393">
        <f ca="1">+AG145-U145</f>
        <v>14508915.247623295</v>
      </c>
      <c r="AJ145" s="753">
        <f t="shared" ca="1" si="1157"/>
        <v>280865208.69642198</v>
      </c>
      <c r="AK145" s="106">
        <f t="shared" ca="1" si="1157"/>
        <v>280054941.7776233</v>
      </c>
      <c r="AL145" s="1016">
        <f t="shared" ca="1" si="1157"/>
        <v>281625464.83606511</v>
      </c>
      <c r="AM145" s="1016">
        <f t="shared" ca="1" si="1157"/>
        <v>282175936.35462052</v>
      </c>
      <c r="AN145" s="1016">
        <f t="shared" ca="1" si="1157"/>
        <v>280174688.03514469</v>
      </c>
      <c r="AO145" s="1016">
        <f t="shared" ca="1" si="1157"/>
        <v>282725736.66072428</v>
      </c>
      <c r="AP145" s="1016">
        <f t="shared" ca="1" si="1157"/>
        <v>284749572.19988793</v>
      </c>
      <c r="AQ145" s="1016">
        <f t="shared" ca="1" si="1157"/>
        <v>300804065.00355023</v>
      </c>
      <c r="AR145" s="1016">
        <f t="shared" ca="1" si="1157"/>
        <v>302021394.75193328</v>
      </c>
      <c r="AS145" s="1016">
        <f t="shared" ca="1" si="1157"/>
        <v>304813296.93804258</v>
      </c>
      <c r="AT145" s="1016">
        <f t="shared" ca="1" si="1157"/>
        <v>305047022.211043</v>
      </c>
      <c r="AU145" s="1016">
        <f t="shared" ca="1" si="1157"/>
        <v>301600798.90273052</v>
      </c>
      <c r="AV145" s="1016">
        <f t="shared" ca="1" si="1157"/>
        <v>289334489.72759414</v>
      </c>
      <c r="AW145" s="1016">
        <f t="shared" ca="1" si="1157"/>
        <v>291923736.99260861</v>
      </c>
      <c r="AX145" s="243">
        <f t="shared" ca="1" si="1157"/>
        <v>11868795.214985356</v>
      </c>
      <c r="AY145" s="243">
        <f t="shared" ca="1" si="1157"/>
        <v>11868795.214985345</v>
      </c>
      <c r="AZ145" s="243"/>
      <c r="BA145" s="753">
        <f t="shared" ca="1" si="1157"/>
        <v>291755150.41720438</v>
      </c>
    </row>
    <row r="146" spans="1:55">
      <c r="A146" s="250">
        <f t="shared" si="1086"/>
        <v>131</v>
      </c>
      <c r="U146" s="102"/>
      <c r="AH146" s="102"/>
      <c r="AK146" s="102"/>
      <c r="AX146" s="102"/>
    </row>
    <row r="147" spans="1:55">
      <c r="A147" s="250">
        <f t="shared" si="1086"/>
        <v>132</v>
      </c>
      <c r="B147" s="212" t="s">
        <v>204</v>
      </c>
      <c r="C147" s="102" t="s">
        <v>660</v>
      </c>
      <c r="D147" s="102"/>
      <c r="E147" s="102"/>
      <c r="F147" s="974"/>
      <c r="G147" s="974"/>
      <c r="H147" s="974"/>
      <c r="I147" s="974"/>
      <c r="J147" s="974"/>
      <c r="K147" s="974"/>
      <c r="L147" s="974"/>
      <c r="M147" s="974"/>
      <c r="N147" s="974"/>
      <c r="O147" s="974"/>
      <c r="P147" s="974"/>
      <c r="Q147" s="974"/>
      <c r="R147" s="974"/>
      <c r="S147" s="116"/>
      <c r="T147" s="116"/>
      <c r="U147" s="106"/>
      <c r="V147" s="998"/>
      <c r="W147" s="998"/>
      <c r="X147" s="998"/>
      <c r="Y147" s="998"/>
      <c r="Z147" s="998"/>
      <c r="AA147" s="998"/>
      <c r="AB147" s="998"/>
      <c r="AC147" s="998"/>
      <c r="AD147" s="998"/>
      <c r="AE147" s="998"/>
      <c r="AF147" s="998"/>
      <c r="AG147" s="998"/>
      <c r="AH147" s="106"/>
      <c r="AI147" s="133"/>
      <c r="AJ147" s="116"/>
      <c r="AK147" s="106"/>
      <c r="AL147" s="1016"/>
      <c r="AM147" s="1016"/>
      <c r="AN147" s="1016"/>
      <c r="AO147" s="1016"/>
      <c r="AP147" s="1016"/>
      <c r="AQ147" s="1016"/>
      <c r="AR147" s="1016"/>
      <c r="AS147" s="1016"/>
      <c r="AT147" s="1016"/>
      <c r="AU147" s="1016"/>
      <c r="AV147" s="1016"/>
      <c r="AW147" s="1016"/>
      <c r="AX147" s="106"/>
      <c r="AY147" s="133"/>
      <c r="AZ147" s="133"/>
      <c r="BA147" s="116"/>
    </row>
    <row r="148" spans="1:55">
      <c r="A148" s="250">
        <f t="shared" si="1086"/>
        <v>133</v>
      </c>
      <c r="B148" s="212"/>
      <c r="C148" s="102"/>
      <c r="D148" s="102" t="s">
        <v>443</v>
      </c>
      <c r="E148" s="102"/>
      <c r="F148" s="992">
        <f>F31</f>
        <v>79968136</v>
      </c>
      <c r="G148" s="992">
        <f t="shared" ref="G148:R148" si="1158">G31</f>
        <v>79968136</v>
      </c>
      <c r="H148" s="992">
        <f t="shared" si="1158"/>
        <v>79968136</v>
      </c>
      <c r="I148" s="992">
        <f t="shared" si="1158"/>
        <v>79968136</v>
      </c>
      <c r="J148" s="992">
        <f t="shared" si="1158"/>
        <v>79968136</v>
      </c>
      <c r="K148" s="992">
        <f t="shared" si="1158"/>
        <v>79968136</v>
      </c>
      <c r="L148" s="992">
        <f t="shared" si="1158"/>
        <v>79968136</v>
      </c>
      <c r="M148" s="992">
        <f t="shared" si="1158"/>
        <v>79968136</v>
      </c>
      <c r="N148" s="992">
        <f t="shared" si="1158"/>
        <v>79968136</v>
      </c>
      <c r="O148" s="992">
        <f t="shared" si="1158"/>
        <v>79968136</v>
      </c>
      <c r="P148" s="992">
        <f t="shared" si="1158"/>
        <v>79968136</v>
      </c>
      <c r="Q148" s="992">
        <f t="shared" si="1158"/>
        <v>79968136</v>
      </c>
      <c r="R148" s="992">
        <f t="shared" si="1158"/>
        <v>79968136</v>
      </c>
      <c r="S148" s="106"/>
      <c r="T148" s="106">
        <f t="shared" ref="T148" si="1159">T31</f>
        <v>79968136</v>
      </c>
      <c r="U148" s="106">
        <f>+R148</f>
        <v>79968136</v>
      </c>
      <c r="V148" s="1008">
        <f t="shared" ref="V148:AA148" si="1160">V31</f>
        <v>79968136</v>
      </c>
      <c r="W148" s="1008">
        <f t="shared" si="1160"/>
        <v>79968136</v>
      </c>
      <c r="X148" s="1008">
        <f t="shared" si="1160"/>
        <v>79968136</v>
      </c>
      <c r="Y148" s="1008">
        <f t="shared" si="1160"/>
        <v>79968136</v>
      </c>
      <c r="Z148" s="1008">
        <f t="shared" si="1160"/>
        <v>79968136</v>
      </c>
      <c r="AA148" s="1008">
        <f t="shared" si="1160"/>
        <v>79968136</v>
      </c>
      <c r="AB148" s="1008">
        <f t="shared" ref="AB148:AG148" si="1161">AB31</f>
        <v>79968136</v>
      </c>
      <c r="AC148" s="1008">
        <f t="shared" si="1161"/>
        <v>79968136</v>
      </c>
      <c r="AD148" s="1008">
        <f t="shared" si="1161"/>
        <v>79968136</v>
      </c>
      <c r="AE148" s="1008">
        <f t="shared" si="1161"/>
        <v>79968136</v>
      </c>
      <c r="AF148" s="1008">
        <f t="shared" si="1161"/>
        <v>79968136</v>
      </c>
      <c r="AG148" s="1008">
        <f t="shared" si="1161"/>
        <v>79968136</v>
      </c>
      <c r="AH148" s="106"/>
      <c r="AI148" s="243">
        <f>+AG148-U148</f>
        <v>0</v>
      </c>
      <c r="AJ148" s="106">
        <f t="shared" ref="AJ148" si="1162">AJ31</f>
        <v>79968136</v>
      </c>
      <c r="AK148" s="106">
        <f>AG148</f>
        <v>79968136</v>
      </c>
      <c r="AL148" s="1031">
        <f t="shared" ref="AL148:AW148" si="1163">AL31</f>
        <v>79968136</v>
      </c>
      <c r="AM148" s="1031">
        <f t="shared" si="1163"/>
        <v>79968136</v>
      </c>
      <c r="AN148" s="1031">
        <f t="shared" si="1163"/>
        <v>79968136</v>
      </c>
      <c r="AO148" s="1031">
        <f t="shared" si="1163"/>
        <v>79968136</v>
      </c>
      <c r="AP148" s="1031">
        <f t="shared" si="1163"/>
        <v>79968136</v>
      </c>
      <c r="AQ148" s="1031">
        <f t="shared" si="1163"/>
        <v>79968136</v>
      </c>
      <c r="AR148" s="1031">
        <f t="shared" si="1163"/>
        <v>79968136</v>
      </c>
      <c r="AS148" s="1031">
        <f t="shared" si="1163"/>
        <v>79968136</v>
      </c>
      <c r="AT148" s="1031">
        <f t="shared" si="1163"/>
        <v>79968136</v>
      </c>
      <c r="AU148" s="1031">
        <f t="shared" si="1163"/>
        <v>79968136</v>
      </c>
      <c r="AV148" s="1031">
        <f t="shared" si="1163"/>
        <v>79968136</v>
      </c>
      <c r="AW148" s="1031">
        <f t="shared" si="1163"/>
        <v>79968136</v>
      </c>
      <c r="AX148" s="106"/>
      <c r="AY148" s="243">
        <f>+AW148-AK148</f>
        <v>0</v>
      </c>
      <c r="AZ148" s="243"/>
      <c r="BA148" s="106">
        <f t="shared" ref="BA148" si="1164">BA31</f>
        <v>79968136</v>
      </c>
    </row>
    <row r="149" spans="1:55">
      <c r="A149" s="250">
        <f t="shared" si="1086"/>
        <v>134</v>
      </c>
      <c r="B149" s="212"/>
      <c r="C149" s="102"/>
      <c r="D149" s="102" t="s">
        <v>592</v>
      </c>
      <c r="E149" s="102"/>
      <c r="F149" s="992">
        <f>F17+F35+F40+F48+F56+F61+F66+F71+F76+F81</f>
        <v>76941299.304000005</v>
      </c>
      <c r="G149" s="992">
        <f t="shared" ref="G149:R149" si="1165">G17+G35+G40+G48+G56+G61+G66+G71+G76+G81</f>
        <v>77089117.090000004</v>
      </c>
      <c r="H149" s="992">
        <f t="shared" si="1165"/>
        <v>77481584.384000003</v>
      </c>
      <c r="I149" s="992">
        <f t="shared" si="1165"/>
        <v>77599324.613999993</v>
      </c>
      <c r="J149" s="992">
        <f t="shared" si="1165"/>
        <v>77752607.334000006</v>
      </c>
      <c r="K149" s="992">
        <f t="shared" si="1165"/>
        <v>77763501.343999982</v>
      </c>
      <c r="L149" s="992">
        <f t="shared" si="1165"/>
        <v>77798571.453999996</v>
      </c>
      <c r="M149" s="992">
        <f t="shared" si="1165"/>
        <v>77347090.123999998</v>
      </c>
      <c r="N149" s="992">
        <f t="shared" si="1165"/>
        <v>79408792.829999998</v>
      </c>
      <c r="O149" s="992">
        <f t="shared" si="1165"/>
        <v>79400329.953999996</v>
      </c>
      <c r="P149" s="992">
        <f t="shared" si="1165"/>
        <v>80647823.423999995</v>
      </c>
      <c r="Q149" s="992">
        <f t="shared" si="1165"/>
        <v>80858805.523999989</v>
      </c>
      <c r="R149" s="992">
        <f t="shared" si="1165"/>
        <v>82055245.603999987</v>
      </c>
      <c r="S149" s="106"/>
      <c r="T149" s="106">
        <f t="shared" ref="T149" si="1166">T17+T35+T40+T48+T56+T61+T66+T71+T76+T81</f>
        <v>78553818.377499998</v>
      </c>
      <c r="U149" s="106">
        <f>+R149</f>
        <v>82055245.603999987</v>
      </c>
      <c r="V149" s="1008">
        <f t="shared" ref="V149:AA149" ca="1" si="1167">V17+V35+V40+V48+V56+V61+V66+V71+V76+V81</f>
        <v>82434677.908318192</v>
      </c>
      <c r="W149" s="1008">
        <f t="shared" ca="1" si="1167"/>
        <v>82886498.170017883</v>
      </c>
      <c r="X149" s="1008">
        <f t="shared" ca="1" si="1167"/>
        <v>83334216.461430863</v>
      </c>
      <c r="Y149" s="1008">
        <f t="shared" ca="1" si="1167"/>
        <v>83947123.912543103</v>
      </c>
      <c r="Z149" s="1008">
        <f t="shared" ca="1" si="1167"/>
        <v>84177257.103521466</v>
      </c>
      <c r="AA149" s="1008">
        <f t="shared" ca="1" si="1167"/>
        <v>84382489.174442694</v>
      </c>
      <c r="AB149" s="1008">
        <f t="shared" ref="AB149:AG149" ca="1" si="1168">AB17+AB35+AB40+AB48+AB56+AB61+AB66+AB71+AB76+AB81</f>
        <v>84543604.778638288</v>
      </c>
      <c r="AC149" s="1008">
        <f t="shared" ca="1" si="1168"/>
        <v>86143183.832864568</v>
      </c>
      <c r="AD149" s="1008">
        <f t="shared" ca="1" si="1168"/>
        <v>86167323.317316383</v>
      </c>
      <c r="AE149" s="1008">
        <f t="shared" ca="1" si="1168"/>
        <v>87165537.236441791</v>
      </c>
      <c r="AF149" s="1008">
        <f t="shared" ca="1" si="1168"/>
        <v>87852444.404429868</v>
      </c>
      <c r="AG149" s="1008">
        <f t="shared" ca="1" si="1168"/>
        <v>88436277.201431274</v>
      </c>
      <c r="AH149" s="106"/>
      <c r="AI149" s="243">
        <f ca="1">+AG149-U149</f>
        <v>6381031.5974312872</v>
      </c>
      <c r="AJ149" s="106">
        <f t="shared" ref="AJ149" ca="1" si="1169">AJ17+AJ35+AJ40+AJ48+AJ56+AJ61+AJ66+AJ71+AJ76+AJ81</f>
        <v>84856676.475223392</v>
      </c>
      <c r="AK149" s="106">
        <f ca="1">AG149</f>
        <v>88436277.201431274</v>
      </c>
      <c r="AL149" s="1031">
        <f t="shared" ref="AL149:AW149" ca="1" si="1170">AL17+AL35+AL40+AL48+AL56+AL61+AL66+AL71+AL76+AL81</f>
        <v>88751771.25049521</v>
      </c>
      <c r="AM149" s="1031">
        <f t="shared" ca="1" si="1170"/>
        <v>88995794.422623098</v>
      </c>
      <c r="AN149" s="1031">
        <f t="shared" ca="1" si="1170"/>
        <v>89576809.382587269</v>
      </c>
      <c r="AO149" s="1031">
        <f t="shared" ca="1" si="1170"/>
        <v>90167210.338906318</v>
      </c>
      <c r="AP149" s="1031">
        <f t="shared" ca="1" si="1170"/>
        <v>90330495.941082716</v>
      </c>
      <c r="AQ149" s="1031">
        <f t="shared" ca="1" si="1170"/>
        <v>90526745.932847276</v>
      </c>
      <c r="AR149" s="1031">
        <f t="shared" ca="1" si="1170"/>
        <v>90651300.891915277</v>
      </c>
      <c r="AS149" s="1031">
        <f t="shared" ca="1" si="1170"/>
        <v>92234182.959430754</v>
      </c>
      <c r="AT149" s="1031">
        <f t="shared" ca="1" si="1170"/>
        <v>92261420.519353956</v>
      </c>
      <c r="AU149" s="1031">
        <f t="shared" ca="1" si="1170"/>
        <v>93229142.690113023</v>
      </c>
      <c r="AV149" s="1031">
        <f t="shared" ca="1" si="1170"/>
        <v>93698301.9888684</v>
      </c>
      <c r="AW149" s="1031">
        <f t="shared" ca="1" si="1170"/>
        <v>94201940.707892358</v>
      </c>
      <c r="AX149" s="106"/>
      <c r="AY149" s="243">
        <f ca="1">+AW149-AK149</f>
        <v>5765663.5064610839</v>
      </c>
      <c r="AZ149" s="243"/>
      <c r="BA149" s="106">
        <f t="shared" ref="BA149" ca="1" si="1171">BA17+BA35+BA40+BA48+BA56+BA61+BA66+BA71+BA76+BA81</f>
        <v>90978523.772740424</v>
      </c>
    </row>
    <row r="150" spans="1:55">
      <c r="A150" s="250">
        <f t="shared" si="1086"/>
        <v>135</v>
      </c>
      <c r="B150" s="212"/>
      <c r="C150" s="102"/>
      <c r="D150" s="102" t="s">
        <v>593</v>
      </c>
      <c r="E150" s="102"/>
      <c r="F150" s="992">
        <f>F18+F36+F41+F52+F57+F62+F67+F72+F77+F82</f>
        <v>2284446301.296</v>
      </c>
      <c r="G150" s="992">
        <f t="shared" ref="G150:R150" si="1172">G18+G36+G41+G52+G57+G62+G67+G72+G77+G82</f>
        <v>2293943489.9699998</v>
      </c>
      <c r="H150" s="992">
        <f t="shared" si="1172"/>
        <v>2299087189.6760001</v>
      </c>
      <c r="I150" s="992">
        <f t="shared" si="1172"/>
        <v>2313074026.6059999</v>
      </c>
      <c r="J150" s="992">
        <f t="shared" si="1172"/>
        <v>2331273859.8260002</v>
      </c>
      <c r="K150" s="992">
        <f t="shared" si="1172"/>
        <v>2336972208.3059998</v>
      </c>
      <c r="L150" s="992">
        <f t="shared" si="1172"/>
        <v>2342958115.7359996</v>
      </c>
      <c r="M150" s="992">
        <f t="shared" si="1172"/>
        <v>2348332297.296</v>
      </c>
      <c r="N150" s="992">
        <f t="shared" si="1172"/>
        <v>2393235850.8699999</v>
      </c>
      <c r="O150" s="992">
        <f t="shared" si="1172"/>
        <v>2394009985.1059999</v>
      </c>
      <c r="P150" s="992">
        <f t="shared" si="1172"/>
        <v>2421745750.0959997</v>
      </c>
      <c r="Q150" s="992">
        <f t="shared" si="1172"/>
        <v>2433223386.8260002</v>
      </c>
      <c r="R150" s="992">
        <f t="shared" si="1172"/>
        <v>2447896239.6560001</v>
      </c>
      <c r="S150" s="106"/>
      <c r="T150" s="106">
        <f t="shared" ref="T150" si="1173">T18+T36+T41+T52+T57+T62+T67+T72+T77+T82</f>
        <v>2356168952.5658336</v>
      </c>
      <c r="U150" s="106">
        <f>+R150</f>
        <v>2447896239.6560001</v>
      </c>
      <c r="V150" s="1008">
        <f t="shared" ref="V150:AA150" ca="1" si="1174">V18+V36+V41+V52+V57+V62+V67+V72+V77+V82</f>
        <v>2457123254.8288789</v>
      </c>
      <c r="W150" s="1008">
        <f t="shared" ca="1" si="1174"/>
        <v>2465776055.4923525</v>
      </c>
      <c r="X150" s="1008">
        <f t="shared" ca="1" si="1174"/>
        <v>2477327470.3131185</v>
      </c>
      <c r="Y150" s="1008">
        <f t="shared" ca="1" si="1174"/>
        <v>2497905000.6013827</v>
      </c>
      <c r="Z150" s="1008">
        <f t="shared" ca="1" si="1174"/>
        <v>2504461040.2828918</v>
      </c>
      <c r="AA150" s="1008">
        <f t="shared" ca="1" si="1174"/>
        <v>2510972608.5331774</v>
      </c>
      <c r="AB150" s="1008">
        <f t="shared" ref="AB150:AG150" ca="1" si="1175">AB18+AB36+AB41+AB52+AB57+AB62+AB67+AB72+AB77+AB82</f>
        <v>2515852150.4785838</v>
      </c>
      <c r="AC150" s="1008">
        <f t="shared" ca="1" si="1175"/>
        <v>2572258105.9730887</v>
      </c>
      <c r="AD150" s="1008">
        <f t="shared" ca="1" si="1175"/>
        <v>2573206226.6646881</v>
      </c>
      <c r="AE150" s="1008">
        <f t="shared" ca="1" si="1175"/>
        <v>2606732896.0171561</v>
      </c>
      <c r="AF150" s="1008">
        <f t="shared" ca="1" si="1175"/>
        <v>2621827615.7361465</v>
      </c>
      <c r="AG150" s="1008">
        <f t="shared" ca="1" si="1175"/>
        <v>2638946733.7043672</v>
      </c>
      <c r="AH150" s="106"/>
      <c r="AI150" s="243">
        <f ca="1">+AG150-U150</f>
        <v>191050494.04836702</v>
      </c>
      <c r="AJ150" s="106">
        <f t="shared" ref="AJ150" ca="1" si="1176">AJ18+AJ36+AJ41+AJ52+AJ57+AJ62+AJ67+AJ72+AJ77+AJ82</f>
        <v>2528905325.966804</v>
      </c>
      <c r="AK150" s="106">
        <f ca="1">AG150</f>
        <v>2638946733.7043672</v>
      </c>
      <c r="AL150" s="1031">
        <f t="shared" ref="AL150:AW150" ca="1" si="1177">AL18+AL36+AL41+AL52+AL57+AL62+AL67+AL72+AL77+AL82</f>
        <v>2646809716.3463616</v>
      </c>
      <c r="AM150" s="1031">
        <f t="shared" ca="1" si="1177"/>
        <v>2652197899.0083637</v>
      </c>
      <c r="AN150" s="1031">
        <f t="shared" ca="1" si="1177"/>
        <v>2666342547.1119938</v>
      </c>
      <c r="AO150" s="1031">
        <f t="shared" ca="1" si="1177"/>
        <v>2686722074.2038784</v>
      </c>
      <c r="AP150" s="1031">
        <f t="shared" ca="1" si="1177"/>
        <v>2691515304.5754352</v>
      </c>
      <c r="AQ150" s="1031">
        <f t="shared" ca="1" si="1177"/>
        <v>2697845907.4367919</v>
      </c>
      <c r="AR150" s="1031">
        <f t="shared" ca="1" si="1177"/>
        <v>2701430584.9872417</v>
      </c>
      <c r="AS150" s="1031">
        <f t="shared" ca="1" si="1177"/>
        <v>2758213638.3097005</v>
      </c>
      <c r="AT150" s="1031">
        <f t="shared" ca="1" si="1177"/>
        <v>2759270099.6395817</v>
      </c>
      <c r="AU150" s="1031">
        <f t="shared" ca="1" si="1177"/>
        <v>2792453710.2779112</v>
      </c>
      <c r="AV150" s="1031">
        <f t="shared" ca="1" si="1177"/>
        <v>2804114507.3757739</v>
      </c>
      <c r="AW150" s="1031">
        <f t="shared" ca="1" si="1177"/>
        <v>2819266900.2135229</v>
      </c>
      <c r="AX150" s="106"/>
      <c r="AY150" s="243">
        <f ca="1">+AW150-AK150</f>
        <v>180320166.50915575</v>
      </c>
      <c r="AZ150" s="243"/>
      <c r="BA150" s="106">
        <f t="shared" ref="BA150" ca="1" si="1178">BA18+BA36+BA41+BA52+BA57+BA62+BA67+BA72+BA77+BA82</f>
        <v>2715501900.5193315</v>
      </c>
    </row>
    <row r="151" spans="1:55">
      <c r="A151" s="250">
        <f t="shared" si="1086"/>
        <v>136</v>
      </c>
      <c r="B151" s="212"/>
      <c r="C151" s="102"/>
      <c r="D151" s="102" t="s">
        <v>595</v>
      </c>
      <c r="E151" s="102"/>
      <c r="F151" s="992">
        <f t="shared" ref="F151" si="1179">+F145</f>
        <v>288377282.63</v>
      </c>
      <c r="G151" s="992">
        <f t="shared" ref="G151:R151" si="1180">+G145</f>
        <v>271341047.35000002</v>
      </c>
      <c r="H151" s="992">
        <f t="shared" si="1180"/>
        <v>270733620.44</v>
      </c>
      <c r="I151" s="992">
        <f t="shared" si="1180"/>
        <v>267487591.42000002</v>
      </c>
      <c r="J151" s="992">
        <f t="shared" si="1180"/>
        <v>268387618.5</v>
      </c>
      <c r="K151" s="992">
        <f t="shared" si="1180"/>
        <v>269124515.71000004</v>
      </c>
      <c r="L151" s="992">
        <f t="shared" si="1180"/>
        <v>263468399.38999999</v>
      </c>
      <c r="M151" s="992">
        <f t="shared" si="1180"/>
        <v>263808067.01000002</v>
      </c>
      <c r="N151" s="992">
        <f t="shared" si="1180"/>
        <v>264248855.89999998</v>
      </c>
      <c r="O151" s="992">
        <f t="shared" si="1180"/>
        <v>264344772.99000001</v>
      </c>
      <c r="P151" s="992">
        <f t="shared" si="1180"/>
        <v>265740947.22000003</v>
      </c>
      <c r="Q151" s="992">
        <f t="shared" si="1180"/>
        <v>266571777.37</v>
      </c>
      <c r="R151" s="992">
        <f t="shared" si="1180"/>
        <v>265546026.53</v>
      </c>
      <c r="S151" s="106"/>
      <c r="T151" s="106">
        <f t="shared" ref="T151" si="1181">+T145</f>
        <v>267684905.65666667</v>
      </c>
      <c r="U151" s="106">
        <f>+R151</f>
        <v>265546026.53</v>
      </c>
      <c r="V151" s="1008">
        <f t="shared" ref="V151:AA151" ca="1" si="1182">+V145</f>
        <v>271293674.6527251</v>
      </c>
      <c r="W151" s="1008">
        <f t="shared" ca="1" si="1182"/>
        <v>271267275.57878751</v>
      </c>
      <c r="X151" s="1008">
        <f t="shared" ca="1" si="1182"/>
        <v>266966273.73635083</v>
      </c>
      <c r="Y151" s="1008">
        <f t="shared" ca="1" si="1182"/>
        <v>270728891.87533653</v>
      </c>
      <c r="Z151" s="1008">
        <f t="shared" ca="1" si="1182"/>
        <v>273932988.39005423</v>
      </c>
      <c r="AA151" s="1008">
        <f t="shared" ca="1" si="1182"/>
        <v>288375139.31612331</v>
      </c>
      <c r="AB151" s="1008">
        <f t="shared" ref="AB151:AG151" ca="1" si="1183">+AB145</f>
        <v>291253228.39440906</v>
      </c>
      <c r="AC151" s="1008">
        <f t="shared" ca="1" si="1183"/>
        <v>295768903.75701618</v>
      </c>
      <c r="AD151" s="1008">
        <f t="shared" ca="1" si="1183"/>
        <v>296322134.15472972</v>
      </c>
      <c r="AE151" s="1008">
        <f t="shared" ca="1" si="1183"/>
        <v>296009527.01202101</v>
      </c>
      <c r="AF151" s="1008">
        <f t="shared" ca="1" si="1183"/>
        <v>275663983.33569831</v>
      </c>
      <c r="AG151" s="1008">
        <f t="shared" ca="1" si="1183"/>
        <v>280054941.7776233</v>
      </c>
      <c r="AH151" s="106"/>
      <c r="AI151" s="243">
        <f ca="1">+AG151-U151</f>
        <v>14508915.247623295</v>
      </c>
      <c r="AJ151" s="106">
        <f t="shared" ref="AJ151" ca="1" si="1184">+AJ145</f>
        <v>280865208.69642198</v>
      </c>
      <c r="AK151" s="106">
        <f ca="1">AG151</f>
        <v>280054941.7776233</v>
      </c>
      <c r="AL151" s="1031">
        <f t="shared" ref="AL151:AW151" ca="1" si="1185">+AL145</f>
        <v>281625464.83606511</v>
      </c>
      <c r="AM151" s="1031">
        <f t="shared" ca="1" si="1185"/>
        <v>282175936.35462052</v>
      </c>
      <c r="AN151" s="1031">
        <f t="shared" ca="1" si="1185"/>
        <v>280174688.03514469</v>
      </c>
      <c r="AO151" s="1031">
        <f t="shared" ca="1" si="1185"/>
        <v>282725736.66072428</v>
      </c>
      <c r="AP151" s="1031">
        <f t="shared" ca="1" si="1185"/>
        <v>284749572.19988793</v>
      </c>
      <c r="AQ151" s="1031">
        <f t="shared" ca="1" si="1185"/>
        <v>300804065.00355023</v>
      </c>
      <c r="AR151" s="1031">
        <f t="shared" ca="1" si="1185"/>
        <v>302021394.75193328</v>
      </c>
      <c r="AS151" s="1031">
        <f t="shared" ca="1" si="1185"/>
        <v>304813296.93804258</v>
      </c>
      <c r="AT151" s="1031">
        <f t="shared" ca="1" si="1185"/>
        <v>305047022.211043</v>
      </c>
      <c r="AU151" s="1031">
        <f t="shared" ca="1" si="1185"/>
        <v>301600798.90273052</v>
      </c>
      <c r="AV151" s="1031">
        <f t="shared" ca="1" si="1185"/>
        <v>289334489.72759414</v>
      </c>
      <c r="AW151" s="1031">
        <f t="shared" ca="1" si="1185"/>
        <v>291923736.99260861</v>
      </c>
      <c r="AX151" s="106"/>
      <c r="AY151" s="243">
        <f ca="1">+AW151-AK151</f>
        <v>11868795.214985311</v>
      </c>
      <c r="AZ151" s="243"/>
      <c r="BA151" s="106">
        <f t="shared" ref="BA151" ca="1" si="1186">+BA145</f>
        <v>291755150.41720438</v>
      </c>
    </row>
    <row r="152" spans="1:55" ht="13.5" thickBot="1">
      <c r="A152" s="250">
        <f t="shared" si="1086"/>
        <v>137</v>
      </c>
      <c r="B152" s="212"/>
      <c r="C152" s="102"/>
      <c r="D152" s="102" t="s">
        <v>170</v>
      </c>
      <c r="E152" s="102"/>
      <c r="F152" s="993">
        <f t="shared" ref="F152" si="1187">SUM(F148:F151)</f>
        <v>2729733019.23</v>
      </c>
      <c r="G152" s="993">
        <f t="shared" ref="G152:R152" si="1188">SUM(G148:G151)</f>
        <v>2722341790.4099998</v>
      </c>
      <c r="H152" s="993">
        <f t="shared" si="1188"/>
        <v>2727270530.5</v>
      </c>
      <c r="I152" s="993">
        <f t="shared" si="1188"/>
        <v>2738129078.6399999</v>
      </c>
      <c r="J152" s="993">
        <f t="shared" si="1188"/>
        <v>2757382221.6600003</v>
      </c>
      <c r="K152" s="993">
        <f t="shared" si="1188"/>
        <v>2763828361.3599997</v>
      </c>
      <c r="L152" s="993">
        <f t="shared" si="1188"/>
        <v>2764193222.5799994</v>
      </c>
      <c r="M152" s="993">
        <f t="shared" si="1188"/>
        <v>2769455590.4300003</v>
      </c>
      <c r="N152" s="993">
        <f t="shared" si="1188"/>
        <v>2816861635.5999999</v>
      </c>
      <c r="O152" s="993">
        <f t="shared" si="1188"/>
        <v>2817723224.0500002</v>
      </c>
      <c r="P152" s="993">
        <f t="shared" si="1188"/>
        <v>2848102656.7399998</v>
      </c>
      <c r="Q152" s="993">
        <f t="shared" si="1188"/>
        <v>2860622105.7200003</v>
      </c>
      <c r="R152" s="993">
        <f t="shared" si="1188"/>
        <v>2875465647.7900004</v>
      </c>
      <c r="S152" s="116"/>
      <c r="T152" s="131">
        <f t="shared" ref="T152" si="1189">SUM(T148:T151)</f>
        <v>2782375812.6000004</v>
      </c>
      <c r="U152" s="394">
        <f>+R152</f>
        <v>2875465647.7900004</v>
      </c>
      <c r="V152" s="1009">
        <f t="shared" ref="V152:AA152" ca="1" si="1190">SUM(V148:V151)</f>
        <v>2890819743.3899221</v>
      </c>
      <c r="W152" s="1009">
        <f t="shared" ca="1" si="1190"/>
        <v>2899897965.2411575</v>
      </c>
      <c r="X152" s="1009">
        <f t="shared" ca="1" si="1190"/>
        <v>2907596096.5109005</v>
      </c>
      <c r="Y152" s="1009">
        <f t="shared" ca="1" si="1190"/>
        <v>2932549152.3892627</v>
      </c>
      <c r="Z152" s="1009">
        <f t="shared" ca="1" si="1190"/>
        <v>2942539421.7764673</v>
      </c>
      <c r="AA152" s="1009">
        <f t="shared" ca="1" si="1190"/>
        <v>2963698373.0237436</v>
      </c>
      <c r="AB152" s="1009">
        <f t="shared" ref="AB152:AG152" ca="1" si="1191">SUM(AB148:AB151)</f>
        <v>2971617119.6516314</v>
      </c>
      <c r="AC152" s="1009">
        <f t="shared" ca="1" si="1191"/>
        <v>3034138329.5629697</v>
      </c>
      <c r="AD152" s="1009">
        <f t="shared" ca="1" si="1191"/>
        <v>3035663820.1367345</v>
      </c>
      <c r="AE152" s="1009">
        <f t="shared" ca="1" si="1191"/>
        <v>3069876096.2656188</v>
      </c>
      <c r="AF152" s="1009">
        <f t="shared" ca="1" si="1191"/>
        <v>3065312179.4762745</v>
      </c>
      <c r="AG152" s="1009">
        <f t="shared" ca="1" si="1191"/>
        <v>3087406088.6834216</v>
      </c>
      <c r="AH152" s="394">
        <f ca="1">+AG152-U152</f>
        <v>211940440.89342117</v>
      </c>
      <c r="AI152" s="241">
        <f ca="1">+AG152-U152</f>
        <v>211940440.89342117</v>
      </c>
      <c r="AJ152" s="131">
        <f t="shared" ref="AJ152" ca="1" si="1192">SUM(AJ148:AJ151)</f>
        <v>2974595347.1384497</v>
      </c>
      <c r="AK152" s="1039">
        <f ca="1">AG152</f>
        <v>3087406088.6834216</v>
      </c>
      <c r="AL152" s="1032">
        <f t="shared" ref="AL152:AW152" ca="1" si="1193">SUM(AL148:AL151)</f>
        <v>3097155088.4329224</v>
      </c>
      <c r="AM152" s="1032">
        <f t="shared" ca="1" si="1193"/>
        <v>3103337765.7856073</v>
      </c>
      <c r="AN152" s="1032">
        <f t="shared" ca="1" si="1193"/>
        <v>3116062180.529726</v>
      </c>
      <c r="AO152" s="1032">
        <f t="shared" ca="1" si="1193"/>
        <v>3139583157.2035089</v>
      </c>
      <c r="AP152" s="1032">
        <f t="shared" ca="1" si="1193"/>
        <v>3146563508.7164054</v>
      </c>
      <c r="AQ152" s="1032">
        <f t="shared" ca="1" si="1193"/>
        <v>3169144854.3731894</v>
      </c>
      <c r="AR152" s="1032">
        <f t="shared" ca="1" si="1193"/>
        <v>3174071416.6310902</v>
      </c>
      <c r="AS152" s="1032">
        <f t="shared" ca="1" si="1193"/>
        <v>3235229254.2071738</v>
      </c>
      <c r="AT152" s="1032">
        <f t="shared" ca="1" si="1193"/>
        <v>3236546678.3699784</v>
      </c>
      <c r="AU152" s="1032">
        <f t="shared" ca="1" si="1193"/>
        <v>3267251787.8707547</v>
      </c>
      <c r="AV152" s="1032">
        <f t="shared" ca="1" si="1193"/>
        <v>3267115435.0922365</v>
      </c>
      <c r="AW152" s="1032">
        <f t="shared" ca="1" si="1193"/>
        <v>3285360713.9140239</v>
      </c>
      <c r="AX152" s="462">
        <f ca="1">AW152-AK152</f>
        <v>197954625.23060226</v>
      </c>
      <c r="AY152" s="241">
        <f ca="1">+AW152-AK152</f>
        <v>197954625.23060226</v>
      </c>
      <c r="AZ152" s="241"/>
      <c r="BA152" s="131">
        <f t="shared" ref="BA152" ca="1" si="1194">SUM(BA148:BA151)</f>
        <v>3178203710.7092762</v>
      </c>
      <c r="BB152" s="30"/>
      <c r="BC152" s="30"/>
    </row>
    <row r="153" spans="1:55">
      <c r="A153" s="250">
        <f t="shared" si="1086"/>
        <v>138</v>
      </c>
      <c r="B153" s="212"/>
      <c r="C153" s="102"/>
      <c r="D153" s="102"/>
      <c r="E153" s="102"/>
      <c r="F153" s="990"/>
      <c r="G153" s="990"/>
      <c r="H153" s="990"/>
      <c r="I153" s="990"/>
      <c r="J153" s="990"/>
      <c r="K153" s="990"/>
      <c r="L153" s="990"/>
      <c r="M153" s="990"/>
      <c r="N153" s="990"/>
      <c r="O153" s="990"/>
      <c r="P153" s="990"/>
      <c r="Q153" s="990"/>
      <c r="R153" s="990"/>
      <c r="S153" s="30"/>
      <c r="U153" s="102"/>
      <c r="AH153" s="628" t="s">
        <v>1156</v>
      </c>
      <c r="AI153" s="387">
        <f ca="1">AI150/AI152</f>
        <v>0.90143482406192077</v>
      </c>
      <c r="AK153" s="102"/>
      <c r="AW153" s="1033">
        <f ca="1">+AW152-AG152</f>
        <v>197954625.23060226</v>
      </c>
      <c r="AX153" s="628" t="s">
        <v>1059</v>
      </c>
      <c r="AY153" s="133"/>
      <c r="AZ153" s="133"/>
    </row>
    <row r="154" spans="1:55" ht="13.5" thickBot="1">
      <c r="A154" s="250">
        <f t="shared" si="1086"/>
        <v>139</v>
      </c>
      <c r="B154" s="212" t="s">
        <v>205</v>
      </c>
      <c r="C154" s="102" t="s">
        <v>1056</v>
      </c>
      <c r="D154" s="102"/>
      <c r="E154" s="102"/>
      <c r="U154" s="102"/>
      <c r="AH154" s="629" t="s">
        <v>1156</v>
      </c>
      <c r="AI154" s="703">
        <f ca="1">(AI151*'ROR-Model'!M2)/AI152</f>
        <v>6.6234304970528457E-2</v>
      </c>
      <c r="AK154" s="102"/>
      <c r="AW154" s="1314">
        <f ca="1">AY143+AY137+AY132+AY126+AY120+AY114+AY109+AY103+AY97+AY91+AY83+AY78+AY73+AY68+AY63+AY58+AY53+AY42+AY37+AY31+AY20</f>
        <v>197954625.23060217</v>
      </c>
      <c r="AX154" s="629" t="s">
        <v>1059</v>
      </c>
      <c r="AY154" s="754"/>
      <c r="AZ154" s="754"/>
    </row>
    <row r="155" spans="1:55">
      <c r="A155" s="250">
        <f t="shared" si="1086"/>
        <v>140</v>
      </c>
      <c r="B155" s="212"/>
      <c r="C155" s="102"/>
      <c r="D155" s="102" t="s">
        <v>593</v>
      </c>
      <c r="E155" s="102"/>
      <c r="F155" s="974">
        <f>'Rate Base'!S153</f>
        <v>5036.83</v>
      </c>
      <c r="G155" s="974">
        <f>'Rate Base'!T153</f>
        <v>5036.83</v>
      </c>
      <c r="H155" s="974">
        <f>'Rate Base'!U153</f>
        <v>5036.83</v>
      </c>
      <c r="I155" s="974">
        <f>'Rate Base'!V153</f>
        <v>5036.83</v>
      </c>
      <c r="J155" s="974">
        <f>'Rate Base'!W153</f>
        <v>5036.83</v>
      </c>
      <c r="K155" s="974">
        <f>'Rate Base'!X153</f>
        <v>5036.83</v>
      </c>
      <c r="L155" s="974">
        <f>'Rate Base'!Y153</f>
        <v>5036.83</v>
      </c>
      <c r="M155" s="974">
        <f>'Rate Base'!Z153</f>
        <v>5036.83</v>
      </c>
      <c r="N155" s="974">
        <f>'Rate Base'!AA153</f>
        <v>5036.83</v>
      </c>
      <c r="O155" s="974">
        <f>'Rate Base'!AB153</f>
        <v>5036.83</v>
      </c>
      <c r="P155" s="974">
        <f>'Rate Base'!AC153</f>
        <v>5036.83</v>
      </c>
      <c r="Q155" s="974">
        <f>'Rate Base'!AD153</f>
        <v>5036.83</v>
      </c>
      <c r="R155" s="974">
        <f>'Rate Base'!AE153</f>
        <v>5036.83</v>
      </c>
      <c r="S155" s="116"/>
      <c r="T155" s="116">
        <f>((F155/2)+SUM(G155:Q155)+(R155/2))/12</f>
        <v>5036.8300000000008</v>
      </c>
      <c r="U155" s="106">
        <f>+R155</f>
        <v>5036.83</v>
      </c>
      <c r="V155" s="998">
        <f t="shared" ref="V155:AG155" si="1195">V156</f>
        <v>5036.83</v>
      </c>
      <c r="W155" s="998">
        <f t="shared" si="1195"/>
        <v>5036.83</v>
      </c>
      <c r="X155" s="998">
        <f t="shared" si="1195"/>
        <v>5036.83</v>
      </c>
      <c r="Y155" s="998">
        <f t="shared" si="1195"/>
        <v>5036.83</v>
      </c>
      <c r="Z155" s="998">
        <f t="shared" si="1195"/>
        <v>5036.83</v>
      </c>
      <c r="AA155" s="998">
        <f t="shared" si="1195"/>
        <v>5036.83</v>
      </c>
      <c r="AB155" s="998">
        <f t="shared" ref="AB155" si="1196">AB156</f>
        <v>5036.83</v>
      </c>
      <c r="AC155" s="998">
        <f t="shared" si="1195"/>
        <v>5036.83</v>
      </c>
      <c r="AD155" s="998">
        <f t="shared" si="1195"/>
        <v>5036.83</v>
      </c>
      <c r="AE155" s="998">
        <f t="shared" si="1195"/>
        <v>5036.83</v>
      </c>
      <c r="AF155" s="998">
        <f t="shared" si="1195"/>
        <v>5036.83</v>
      </c>
      <c r="AG155" s="998">
        <f t="shared" si="1195"/>
        <v>5036.83</v>
      </c>
      <c r="AH155" s="106"/>
      <c r="AI155" s="703">
        <f ca="1">SUM(AI153:AI154)</f>
        <v>0.96766912903244928</v>
      </c>
      <c r="AJ155" s="116">
        <f>((U155/2)+SUM(V155:AF155)+(AG155/2))/12</f>
        <v>5036.8300000000008</v>
      </c>
      <c r="AK155" s="106">
        <f>AG155</f>
        <v>5036.83</v>
      </c>
      <c r="AL155" s="1016">
        <f>AL156</f>
        <v>5036.83</v>
      </c>
      <c r="AM155" s="1016">
        <f t="shared" ref="AM155:AW155" si="1197">AM156</f>
        <v>5036.83</v>
      </c>
      <c r="AN155" s="1016">
        <f t="shared" si="1197"/>
        <v>5036.83</v>
      </c>
      <c r="AO155" s="1016">
        <f t="shared" si="1197"/>
        <v>5036.83</v>
      </c>
      <c r="AP155" s="1016">
        <f t="shared" si="1197"/>
        <v>5036.83</v>
      </c>
      <c r="AQ155" s="1016">
        <f t="shared" si="1197"/>
        <v>5036.83</v>
      </c>
      <c r="AR155" s="1016">
        <f t="shared" si="1197"/>
        <v>5036.83</v>
      </c>
      <c r="AS155" s="1016">
        <f t="shared" si="1197"/>
        <v>5036.83</v>
      </c>
      <c r="AT155" s="1016">
        <f t="shared" si="1197"/>
        <v>5036.83</v>
      </c>
      <c r="AU155" s="1016">
        <f t="shared" si="1197"/>
        <v>5036.83</v>
      </c>
      <c r="AV155" s="1016">
        <f t="shared" si="1197"/>
        <v>5036.83</v>
      </c>
      <c r="AW155" s="1016">
        <f t="shared" si="1197"/>
        <v>5036.83</v>
      </c>
      <c r="AX155" s="106"/>
      <c r="AY155" s="133"/>
      <c r="AZ155" s="133"/>
      <c r="BA155" s="116">
        <f>((AK155/2)+SUM(AL155:AV155)+(AW155/2))/12</f>
        <v>5036.8300000000008</v>
      </c>
    </row>
    <row r="156" spans="1:55">
      <c r="A156" s="250">
        <f t="shared" si="1086"/>
        <v>141</v>
      </c>
      <c r="B156" s="212"/>
      <c r="C156" s="102"/>
      <c r="D156" s="102" t="s">
        <v>170</v>
      </c>
      <c r="E156" s="102"/>
      <c r="F156" s="993">
        <f t="shared" ref="F156:Q156" si="1198">SUM(F155)</f>
        <v>5036.83</v>
      </c>
      <c r="G156" s="993">
        <f t="shared" si="1198"/>
        <v>5036.83</v>
      </c>
      <c r="H156" s="993">
        <f t="shared" si="1198"/>
        <v>5036.83</v>
      </c>
      <c r="I156" s="993">
        <f t="shared" si="1198"/>
        <v>5036.83</v>
      </c>
      <c r="J156" s="993">
        <f t="shared" si="1198"/>
        <v>5036.83</v>
      </c>
      <c r="K156" s="993">
        <f t="shared" si="1198"/>
        <v>5036.83</v>
      </c>
      <c r="L156" s="993">
        <f t="shared" si="1198"/>
        <v>5036.83</v>
      </c>
      <c r="M156" s="993">
        <f t="shared" si="1198"/>
        <v>5036.83</v>
      </c>
      <c r="N156" s="993">
        <f t="shared" si="1198"/>
        <v>5036.83</v>
      </c>
      <c r="O156" s="993">
        <f t="shared" si="1198"/>
        <v>5036.83</v>
      </c>
      <c r="P156" s="993">
        <f t="shared" si="1198"/>
        <v>5036.83</v>
      </c>
      <c r="Q156" s="993">
        <f t="shared" si="1198"/>
        <v>5036.83</v>
      </c>
      <c r="R156" s="993">
        <f>+R155</f>
        <v>5036.83</v>
      </c>
      <c r="S156" s="116"/>
      <c r="T156" s="131">
        <f>SUM(T155)</f>
        <v>5036.8300000000008</v>
      </c>
      <c r="U156" s="394">
        <f>+R156</f>
        <v>5036.83</v>
      </c>
      <c r="V156" s="1269">
        <f t="shared" ref="V156:AA156" si="1199">IF($R156-$F156=0,U156+$AH156/12,U156+((G156-F156)/($R156-$F156))*$AH156)</f>
        <v>5036.83</v>
      </c>
      <c r="W156" s="1269">
        <f t="shared" si="1199"/>
        <v>5036.83</v>
      </c>
      <c r="X156" s="1269">
        <f t="shared" si="1199"/>
        <v>5036.83</v>
      </c>
      <c r="Y156" s="1269">
        <f t="shared" si="1199"/>
        <v>5036.83</v>
      </c>
      <c r="Z156" s="1269">
        <f t="shared" si="1199"/>
        <v>5036.83</v>
      </c>
      <c r="AA156" s="1269">
        <f t="shared" si="1199"/>
        <v>5036.83</v>
      </c>
      <c r="AB156" s="1269">
        <f>IF($R156-$F156=0,AA156+$AH156/12,AA156+((M156-L156)/($R156-$F156))*$AH156)</f>
        <v>5036.83</v>
      </c>
      <c r="AC156" s="1269">
        <f t="shared" ref="AC156" si="1200">IF($R156-$F156=0,AB156+$AH156/12,AB156+((N156-M156)/($R156-$F156))*$AH156)</f>
        <v>5036.83</v>
      </c>
      <c r="AD156" s="1269">
        <f t="shared" ref="AD156" si="1201">IF($R156-$F156=0,AC156+$AH156/12,AC156+((O156-N156)/($R156-$F156))*$AH156)</f>
        <v>5036.83</v>
      </c>
      <c r="AE156" s="1269">
        <f t="shared" ref="AE156" si="1202">IF($R156-$F156=0,AD156+$AH156/12,AD156+((P156-O156)/($R156-$F156))*$AH156)</f>
        <v>5036.83</v>
      </c>
      <c r="AF156" s="1269">
        <f t="shared" ref="AF156" si="1203">IF($R156-$F156=0,AE156+$AH156/12,AE156+((Q156-P156)/($R156-$F156))*$AH156)</f>
        <v>5036.83</v>
      </c>
      <c r="AG156" s="1269">
        <f t="shared" ref="AG156" si="1204">IF($R156-$F156=0,AF156+$AH156/12,AF156+((R156-Q156)/($R156-$F156))*$AH156)</f>
        <v>5036.83</v>
      </c>
      <c r="AH156" s="394"/>
      <c r="AI156" s="241"/>
      <c r="AJ156" s="131">
        <f>SUM(AJ155)</f>
        <v>5036.8300000000008</v>
      </c>
      <c r="AK156" s="1039">
        <f>AG156</f>
        <v>5036.83</v>
      </c>
      <c r="AL156" s="1041">
        <f>IF($R156-$F156=0,AK156+$AX156/12,AK156+((G156-F156)/($R156-$F156))*$AX156)</f>
        <v>5036.83</v>
      </c>
      <c r="AM156" s="1041">
        <f t="shared" ref="AM156" si="1205">IF($R156-$F156=0,AL156+$AX156/12,AL156+((H156-G156)/($R156-$F156))*$AX156)</f>
        <v>5036.83</v>
      </c>
      <c r="AN156" s="1041">
        <f t="shared" ref="AN156" si="1206">IF($R156-$F156=0,AM156+$AX156/12,AM156+((I156-H156)/($R156-$F156))*$AX156)</f>
        <v>5036.83</v>
      </c>
      <c r="AO156" s="1041">
        <f t="shared" ref="AO156" si="1207">IF($R156-$F156=0,AN156+$AX156/12,AN156+((J156-I156)/($R156-$F156))*$AX156)</f>
        <v>5036.83</v>
      </c>
      <c r="AP156" s="1041">
        <f t="shared" ref="AP156" si="1208">IF($R156-$F156=0,AO156+$AX156/12,AO156+((K156-J156)/($R156-$F156))*$AX156)</f>
        <v>5036.83</v>
      </c>
      <c r="AQ156" s="1041">
        <f t="shared" ref="AQ156" si="1209">IF($R156-$F156=0,AP156+$AX156/12,AP156+((L156-K156)/($R156-$F156))*$AX156)</f>
        <v>5036.83</v>
      </c>
      <c r="AR156" s="1041">
        <f t="shared" ref="AR156" si="1210">IF($R156-$F156=0,AQ156+$AX156/12,AQ156+((M156-L156)/($R156-$F156))*$AX156)</f>
        <v>5036.83</v>
      </c>
      <c r="AS156" s="1041">
        <f t="shared" ref="AS156" si="1211">IF($R156-$F156=0,AR156+$AX156/12,AR156+((N156-M156)/($R156-$F156))*$AX156)</f>
        <v>5036.83</v>
      </c>
      <c r="AT156" s="1041">
        <f t="shared" ref="AT156" si="1212">IF($R156-$F156=0,AS156+$AX156/12,AS156+((O156-N156)/($R156-$F156))*$AX156)</f>
        <v>5036.83</v>
      </c>
      <c r="AU156" s="1041">
        <f t="shared" ref="AU156" si="1213">IF($R156-$F156=0,AT156+$AX156/12,AT156+((P156-O156)/($R156-$F156))*$AX156)</f>
        <v>5036.83</v>
      </c>
      <c r="AV156" s="1041">
        <f t="shared" ref="AV156" si="1214">IF($R156-$F156=0,AU156+$AX156/12,AU156+((Q156-P156)/($R156-$F156))*$AX156)</f>
        <v>5036.83</v>
      </c>
      <c r="AW156" s="1041">
        <f t="shared" ref="AW156" si="1215">IF($R156-$F156=0,AV156+$AX156/12,AV156+((R156-Q156)/($R156-$F156))*$AX156)</f>
        <v>5036.83</v>
      </c>
      <c r="AX156" s="394"/>
      <c r="AY156" s="241"/>
      <c r="AZ156" s="241"/>
      <c r="BA156" s="131">
        <f>SUM(BA155)</f>
        <v>5036.8300000000008</v>
      </c>
    </row>
    <row r="157" spans="1:55">
      <c r="A157" s="250">
        <f t="shared" si="1086"/>
        <v>142</v>
      </c>
      <c r="B157" s="212"/>
      <c r="C157" s="102"/>
      <c r="D157" s="102"/>
      <c r="E157" s="102"/>
      <c r="R157" s="980">
        <f>+R156-O156</f>
        <v>0</v>
      </c>
      <c r="U157" s="102"/>
      <c r="AH157" s="102"/>
      <c r="AI157" s="703">
        <f>230631852/240018123</f>
        <v>0.96089349053029638</v>
      </c>
      <c r="AK157" s="102"/>
      <c r="AX157" s="102"/>
    </row>
    <row r="158" spans="1:55">
      <c r="A158" s="250">
        <f t="shared" si="1086"/>
        <v>143</v>
      </c>
      <c r="B158" s="212" t="s">
        <v>206</v>
      </c>
      <c r="C158" s="102" t="s">
        <v>1055</v>
      </c>
      <c r="D158" s="102"/>
      <c r="E158" s="102"/>
      <c r="U158" s="102"/>
      <c r="AH158" s="102"/>
      <c r="AK158" s="102"/>
      <c r="AL158" s="1022" t="s">
        <v>1282</v>
      </c>
      <c r="AX158" s="102"/>
    </row>
    <row r="159" spans="1:55">
      <c r="A159" s="250">
        <f t="shared" si="1086"/>
        <v>144</v>
      </c>
      <c r="B159" s="212"/>
      <c r="C159" s="102"/>
      <c r="D159" s="102" t="s">
        <v>443</v>
      </c>
      <c r="E159" s="102"/>
      <c r="F159" s="974">
        <f>'Rate Base'!S157</f>
        <v>0</v>
      </c>
      <c r="G159" s="974">
        <f>'Rate Base'!T157</f>
        <v>0</v>
      </c>
      <c r="H159" s="974">
        <f>'Rate Base'!U157</f>
        <v>0</v>
      </c>
      <c r="I159" s="974">
        <f>'Rate Base'!V157</f>
        <v>0</v>
      </c>
      <c r="J159" s="974">
        <f>'Rate Base'!W157</f>
        <v>0</v>
      </c>
      <c r="K159" s="974">
        <f>'Rate Base'!X157</f>
        <v>0</v>
      </c>
      <c r="L159" s="974">
        <f>'Rate Base'!Y157</f>
        <v>0</v>
      </c>
      <c r="M159" s="974">
        <f>'Rate Base'!Z157</f>
        <v>0</v>
      </c>
      <c r="N159" s="974">
        <f>'Rate Base'!AA157</f>
        <v>0</v>
      </c>
      <c r="O159" s="974">
        <f>'Rate Base'!AB157</f>
        <v>0</v>
      </c>
      <c r="P159" s="974">
        <f>'Rate Base'!AC157</f>
        <v>0</v>
      </c>
      <c r="Q159" s="974">
        <f>'Rate Base'!AD157</f>
        <v>0</v>
      </c>
      <c r="R159" s="974">
        <f>'Rate Base'!AE157</f>
        <v>0</v>
      </c>
      <c r="S159" s="116"/>
      <c r="T159" s="116">
        <f>((F159/2)+SUM(G159:Q159)+(R159/2))/12</f>
        <v>0</v>
      </c>
      <c r="U159" s="106">
        <f t="shared" ref="U159:U170" si="1216">+R159</f>
        <v>0</v>
      </c>
      <c r="V159" s="998">
        <f t="shared" ref="V159:V162" si="1217">U159</f>
        <v>0</v>
      </c>
      <c r="W159" s="998">
        <f t="shared" ref="W159:W162" si="1218">V159</f>
        <v>0</v>
      </c>
      <c r="X159" s="998">
        <f t="shared" ref="X159:X162" si="1219">W159</f>
        <v>0</v>
      </c>
      <c r="Y159" s="998">
        <f t="shared" ref="Y159:Y162" si="1220">X159</f>
        <v>0</v>
      </c>
      <c r="Z159" s="998">
        <f t="shared" ref="Z159:Z162" si="1221">Y159</f>
        <v>0</v>
      </c>
      <c r="AA159" s="998">
        <f t="shared" ref="AA159:AA162" si="1222">Z159</f>
        <v>0</v>
      </c>
      <c r="AB159" s="998">
        <f t="shared" ref="AB159" si="1223">AA159</f>
        <v>0</v>
      </c>
      <c r="AC159" s="998">
        <f t="shared" ref="AC159:AC162" si="1224">AB159</f>
        <v>0</v>
      </c>
      <c r="AD159" s="998">
        <f t="shared" ref="AD159:AD162" si="1225">AC159</f>
        <v>0</v>
      </c>
      <c r="AE159" s="998">
        <f t="shared" ref="AE159:AE162" si="1226">AD159</f>
        <v>0</v>
      </c>
      <c r="AF159" s="998">
        <f t="shared" ref="AF159:AF162" si="1227">AE159</f>
        <v>0</v>
      </c>
      <c r="AG159" s="998">
        <f t="shared" ref="AG159:AG162" si="1228">AF159</f>
        <v>0</v>
      </c>
      <c r="AH159" s="106"/>
      <c r="AI159" s="133"/>
      <c r="AJ159" s="116">
        <f>((U159/2)+SUM(V159:AF159)+(AG159/2))/12</f>
        <v>0</v>
      </c>
      <c r="AK159" s="106">
        <f t="shared" ref="AK159:AK164" si="1229">AG159</f>
        <v>0</v>
      </c>
      <c r="AL159" s="1016">
        <f>AK159</f>
        <v>0</v>
      </c>
      <c r="AM159" s="1016">
        <f>AL159</f>
        <v>0</v>
      </c>
      <c r="AN159" s="1016">
        <f t="shared" ref="AN159:AW159" si="1230">AM159</f>
        <v>0</v>
      </c>
      <c r="AO159" s="1016">
        <f t="shared" si="1230"/>
        <v>0</v>
      </c>
      <c r="AP159" s="1016">
        <f t="shared" si="1230"/>
        <v>0</v>
      </c>
      <c r="AQ159" s="1016">
        <f t="shared" si="1230"/>
        <v>0</v>
      </c>
      <c r="AR159" s="1016">
        <f t="shared" si="1230"/>
        <v>0</v>
      </c>
      <c r="AS159" s="1016">
        <f t="shared" si="1230"/>
        <v>0</v>
      </c>
      <c r="AT159" s="1016">
        <f t="shared" si="1230"/>
        <v>0</v>
      </c>
      <c r="AU159" s="1016">
        <f t="shared" si="1230"/>
        <v>0</v>
      </c>
      <c r="AV159" s="1016">
        <f t="shared" si="1230"/>
        <v>0</v>
      </c>
      <c r="AW159" s="1016">
        <f t="shared" si="1230"/>
        <v>0</v>
      </c>
      <c r="AX159" s="106"/>
      <c r="AY159" s="133"/>
      <c r="AZ159" s="133"/>
      <c r="BA159" s="116">
        <f>((AK159/2)+SUM(AL159:AV159)+(AW159/2))/12</f>
        <v>0</v>
      </c>
    </row>
    <row r="160" spans="1:55">
      <c r="A160" s="250">
        <f t="shared" si="1086"/>
        <v>145</v>
      </c>
      <c r="B160" s="212"/>
      <c r="C160" s="102"/>
      <c r="D160" s="102" t="s">
        <v>592</v>
      </c>
      <c r="E160" s="102"/>
      <c r="F160" s="974">
        <f>'Rate Base'!S158</f>
        <v>155755.46</v>
      </c>
      <c r="G160" s="974">
        <f>'Rate Base'!T158</f>
        <v>118669.23</v>
      </c>
      <c r="H160" s="974">
        <f>'Rate Base'!U158</f>
        <v>41327.620000000003</v>
      </c>
      <c r="I160" s="974">
        <f>'Rate Base'!V158</f>
        <v>109182.78</v>
      </c>
      <c r="J160" s="974">
        <f>'Rate Base'!W158</f>
        <v>276963.56</v>
      </c>
      <c r="K160" s="974">
        <f>'Rate Base'!X158</f>
        <v>950180.8</v>
      </c>
      <c r="L160" s="974">
        <f>'Rate Base'!Y158</f>
        <v>1588249.67</v>
      </c>
      <c r="M160" s="974">
        <f>'Rate Base'!Z158</f>
        <v>1993330.3800000001</v>
      </c>
      <c r="N160" s="974">
        <f>'Rate Base'!AA158</f>
        <v>2239100.69</v>
      </c>
      <c r="O160" s="974">
        <f>'Rate Base'!AB158</f>
        <v>2600183.6800000002</v>
      </c>
      <c r="P160" s="974">
        <f>'Rate Base'!AC158</f>
        <v>1576770.89</v>
      </c>
      <c r="Q160" s="974">
        <f>'Rate Base'!AD158</f>
        <v>1675193.15</v>
      </c>
      <c r="R160" s="974">
        <f>'Rate Base'!AE158</f>
        <v>710920.69000000006</v>
      </c>
      <c r="S160" s="116"/>
      <c r="T160" s="116">
        <f>((F160/2)+SUM(G160:Q160)+(R160/2))/12</f>
        <v>1133540.8770833334</v>
      </c>
      <c r="U160" s="106">
        <f t="shared" si="1216"/>
        <v>710920.69000000006</v>
      </c>
      <c r="V160" s="998">
        <f t="shared" si="1217"/>
        <v>710920.69000000006</v>
      </c>
      <c r="W160" s="998">
        <f t="shared" si="1218"/>
        <v>710920.69000000006</v>
      </c>
      <c r="X160" s="998">
        <f t="shared" si="1219"/>
        <v>710920.69000000006</v>
      </c>
      <c r="Y160" s="998">
        <f t="shared" si="1220"/>
        <v>710920.69000000006</v>
      </c>
      <c r="Z160" s="998">
        <f t="shared" si="1221"/>
        <v>710920.69000000006</v>
      </c>
      <c r="AA160" s="998">
        <f t="shared" si="1222"/>
        <v>710920.69000000006</v>
      </c>
      <c r="AB160" s="998">
        <f t="shared" ref="AB160" si="1231">AA160</f>
        <v>710920.69000000006</v>
      </c>
      <c r="AC160" s="998">
        <f t="shared" si="1224"/>
        <v>710920.69000000006</v>
      </c>
      <c r="AD160" s="998">
        <f t="shared" si="1225"/>
        <v>710920.69000000006</v>
      </c>
      <c r="AE160" s="998">
        <f t="shared" si="1226"/>
        <v>710920.69000000006</v>
      </c>
      <c r="AF160" s="998">
        <f t="shared" si="1227"/>
        <v>710920.69000000006</v>
      </c>
      <c r="AG160" s="998">
        <f t="shared" si="1228"/>
        <v>710920.69000000006</v>
      </c>
      <c r="AH160" s="106"/>
      <c r="AI160" s="133"/>
      <c r="AJ160" s="116">
        <f>((U160/2)+SUM(V160:AF160)+(AG160/2))/12</f>
        <v>710920.69000000029</v>
      </c>
      <c r="AK160" s="106">
        <f t="shared" si="1229"/>
        <v>710920.69000000006</v>
      </c>
      <c r="AL160" s="1016">
        <f>AK160</f>
        <v>710920.69000000006</v>
      </c>
      <c r="AM160" s="1016">
        <f t="shared" ref="AM160:AN162" si="1232">AL160</f>
        <v>710920.69000000006</v>
      </c>
      <c r="AN160" s="1016">
        <f t="shared" si="1232"/>
        <v>710920.69000000006</v>
      </c>
      <c r="AO160" s="1016">
        <f t="shared" ref="AO160:AW160" si="1233">AN160</f>
        <v>710920.69000000006</v>
      </c>
      <c r="AP160" s="1016">
        <f t="shared" si="1233"/>
        <v>710920.69000000006</v>
      </c>
      <c r="AQ160" s="1016">
        <f t="shared" si="1233"/>
        <v>710920.69000000006</v>
      </c>
      <c r="AR160" s="1016">
        <f t="shared" si="1233"/>
        <v>710920.69000000006</v>
      </c>
      <c r="AS160" s="1016">
        <f t="shared" si="1233"/>
        <v>710920.69000000006</v>
      </c>
      <c r="AT160" s="1016">
        <f t="shared" si="1233"/>
        <v>710920.69000000006</v>
      </c>
      <c r="AU160" s="1016">
        <f t="shared" si="1233"/>
        <v>710920.69000000006</v>
      </c>
      <c r="AV160" s="1016">
        <f t="shared" si="1233"/>
        <v>710920.69000000006</v>
      </c>
      <c r="AW160" s="1016">
        <f t="shared" si="1233"/>
        <v>710920.69000000006</v>
      </c>
      <c r="AX160" s="106"/>
      <c r="AY160" s="133"/>
      <c r="AZ160" s="133"/>
      <c r="BA160" s="116">
        <f>((AK160/2)+SUM(AL160:AV160)+(AW160/2))/12</f>
        <v>710920.69000000029</v>
      </c>
    </row>
    <row r="161" spans="1:53">
      <c r="A161" s="250">
        <f t="shared" si="1086"/>
        <v>146</v>
      </c>
      <c r="B161" s="212"/>
      <c r="C161" s="102"/>
      <c r="D161" s="102" t="s">
        <v>593</v>
      </c>
      <c r="E161" s="102"/>
      <c r="F161" s="974">
        <f>'Rate Base'!S159</f>
        <v>19167111.399999999</v>
      </c>
      <c r="G161" s="974">
        <f>'Rate Base'!T159</f>
        <v>11100303.43</v>
      </c>
      <c r="H161" s="974">
        <f>'Rate Base'!U159</f>
        <v>16627548.82</v>
      </c>
      <c r="I161" s="974">
        <f>'Rate Base'!V159</f>
        <v>7179101.2120000003</v>
      </c>
      <c r="J161" s="974">
        <f>'Rate Base'!W159</f>
        <v>6777010.3099999996</v>
      </c>
      <c r="K161" s="974">
        <f>'Rate Base'!X159</f>
        <v>9121644.75</v>
      </c>
      <c r="L161" s="974">
        <f>'Rate Base'!Y159</f>
        <v>9719600.2219999917</v>
      </c>
      <c r="M161" s="974">
        <f>'Rate Base'!Z159</f>
        <v>12826474.791999988</v>
      </c>
      <c r="N161" s="974">
        <f>'Rate Base'!AA159</f>
        <v>9308466.1199999992</v>
      </c>
      <c r="O161" s="974">
        <f>'Rate Base'!AB159</f>
        <v>27287883.300000001</v>
      </c>
      <c r="P161" s="974">
        <f>'Rate Base'!AC159</f>
        <v>13704256.67</v>
      </c>
      <c r="Q161" s="974">
        <f>'Rate Base'!AD159</f>
        <v>12449806.57</v>
      </c>
      <c r="R161" s="974">
        <f>'Rate Base'!AE159</f>
        <v>22418304.782000002</v>
      </c>
      <c r="S161" s="116"/>
      <c r="T161" s="116">
        <f>((F161/2)+SUM(G161:Q161)+(R161/2))/12</f>
        <v>13074567.023916664</v>
      </c>
      <c r="U161" s="106">
        <f t="shared" si="1216"/>
        <v>22418304.782000002</v>
      </c>
      <c r="V161" s="998">
        <f t="shared" si="1217"/>
        <v>22418304.782000002</v>
      </c>
      <c r="W161" s="998">
        <f t="shared" si="1218"/>
        <v>22418304.782000002</v>
      </c>
      <c r="X161" s="998">
        <f t="shared" si="1219"/>
        <v>22418304.782000002</v>
      </c>
      <c r="Y161" s="998">
        <f t="shared" si="1220"/>
        <v>22418304.782000002</v>
      </c>
      <c r="Z161" s="998">
        <f t="shared" si="1221"/>
        <v>22418304.782000002</v>
      </c>
      <c r="AA161" s="998">
        <f t="shared" si="1222"/>
        <v>22418304.782000002</v>
      </c>
      <c r="AB161" s="998">
        <f t="shared" ref="AB161" si="1234">AA161</f>
        <v>22418304.782000002</v>
      </c>
      <c r="AC161" s="998">
        <f t="shared" si="1224"/>
        <v>22418304.782000002</v>
      </c>
      <c r="AD161" s="998">
        <f t="shared" si="1225"/>
        <v>22418304.782000002</v>
      </c>
      <c r="AE161" s="998">
        <f t="shared" si="1226"/>
        <v>22418304.782000002</v>
      </c>
      <c r="AF161" s="998">
        <f t="shared" si="1227"/>
        <v>22418304.782000002</v>
      </c>
      <c r="AG161" s="998">
        <f t="shared" si="1228"/>
        <v>22418304.782000002</v>
      </c>
      <c r="AH161" s="106"/>
      <c r="AI161" s="133"/>
      <c r="AJ161" s="116">
        <f>((U161/2)+SUM(V161:AF161)+(AG161/2))/12</f>
        <v>22418304.782000002</v>
      </c>
      <c r="AK161" s="106">
        <f t="shared" si="1229"/>
        <v>22418304.782000002</v>
      </c>
      <c r="AL161" s="1016">
        <f>AK161</f>
        <v>22418304.782000002</v>
      </c>
      <c r="AM161" s="1016">
        <f t="shared" si="1232"/>
        <v>22418304.782000002</v>
      </c>
      <c r="AN161" s="1016">
        <f t="shared" si="1232"/>
        <v>22418304.782000002</v>
      </c>
      <c r="AO161" s="1016">
        <f t="shared" ref="AO161:AW161" si="1235">AN161</f>
        <v>22418304.782000002</v>
      </c>
      <c r="AP161" s="1016">
        <f t="shared" si="1235"/>
        <v>22418304.782000002</v>
      </c>
      <c r="AQ161" s="1016">
        <f t="shared" si="1235"/>
        <v>22418304.782000002</v>
      </c>
      <c r="AR161" s="1016">
        <f t="shared" si="1235"/>
        <v>22418304.782000002</v>
      </c>
      <c r="AS161" s="1016">
        <f t="shared" si="1235"/>
        <v>22418304.782000002</v>
      </c>
      <c r="AT161" s="1016">
        <f t="shared" si="1235"/>
        <v>22418304.782000002</v>
      </c>
      <c r="AU161" s="1016">
        <f t="shared" si="1235"/>
        <v>22418304.782000002</v>
      </c>
      <c r="AV161" s="1016">
        <f t="shared" si="1235"/>
        <v>22418304.782000002</v>
      </c>
      <c r="AW161" s="1016">
        <f t="shared" si="1235"/>
        <v>22418304.782000002</v>
      </c>
      <c r="AX161" s="106"/>
      <c r="AY161" s="133"/>
      <c r="AZ161" s="133"/>
      <c r="BA161" s="116">
        <f>((AK161/2)+SUM(AL161:AV161)+(AW161/2))/12</f>
        <v>22418304.782000002</v>
      </c>
    </row>
    <row r="162" spans="1:53">
      <c r="A162" s="250">
        <f t="shared" si="1086"/>
        <v>147</v>
      </c>
      <c r="B162" s="212"/>
      <c r="C162" s="102"/>
      <c r="D162" s="102" t="s">
        <v>595</v>
      </c>
      <c r="E162" s="102"/>
      <c r="F162" s="974">
        <f>'Rate Base'!S160</f>
        <v>1995407.03</v>
      </c>
      <c r="G162" s="974">
        <f>'Rate Base'!T160</f>
        <v>1050953.3899999999</v>
      </c>
      <c r="H162" s="974">
        <f>'Rate Base'!U160</f>
        <v>1490322.23</v>
      </c>
      <c r="I162" s="974">
        <f>'Rate Base'!V160</f>
        <v>462115.64999999997</v>
      </c>
      <c r="J162" s="974">
        <f>'Rate Base'!W160</f>
        <v>471060.27</v>
      </c>
      <c r="K162" s="974">
        <f>'Rate Base'!X160</f>
        <v>1131562.3699999994</v>
      </c>
      <c r="L162" s="974">
        <f>'Rate Base'!Y160</f>
        <v>1107897.0900000001</v>
      </c>
      <c r="M162" s="974">
        <f>'Rate Base'!Z160</f>
        <v>1200519.75</v>
      </c>
      <c r="N162" s="974">
        <f>'Rate Base'!AA160</f>
        <v>1438369</v>
      </c>
      <c r="O162" s="974">
        <f>'Rate Base'!AB160</f>
        <v>2628142.71</v>
      </c>
      <c r="P162" s="974">
        <f>'Rate Base'!AC160</f>
        <v>1389351.33</v>
      </c>
      <c r="Q162" s="974">
        <f>'Rate Base'!AD160</f>
        <v>1062030.31</v>
      </c>
      <c r="R162" s="974">
        <f>'Rate Base'!AE160</f>
        <v>3618205.25</v>
      </c>
      <c r="S162" s="116"/>
      <c r="T162" s="116">
        <f>((F162/2)+SUM(G162:Q162)+(R162/2))/12</f>
        <v>1353260.8533333333</v>
      </c>
      <c r="U162" s="106">
        <f t="shared" si="1216"/>
        <v>3618205.25</v>
      </c>
      <c r="V162" s="998">
        <f t="shared" si="1217"/>
        <v>3618205.25</v>
      </c>
      <c r="W162" s="998">
        <f t="shared" si="1218"/>
        <v>3618205.25</v>
      </c>
      <c r="X162" s="998">
        <f t="shared" si="1219"/>
        <v>3618205.25</v>
      </c>
      <c r="Y162" s="998">
        <f t="shared" si="1220"/>
        <v>3618205.25</v>
      </c>
      <c r="Z162" s="998">
        <f t="shared" si="1221"/>
        <v>3618205.25</v>
      </c>
      <c r="AA162" s="998">
        <f t="shared" si="1222"/>
        <v>3618205.25</v>
      </c>
      <c r="AB162" s="998">
        <f t="shared" ref="AB162" si="1236">AA162</f>
        <v>3618205.25</v>
      </c>
      <c r="AC162" s="998">
        <f t="shared" si="1224"/>
        <v>3618205.25</v>
      </c>
      <c r="AD162" s="998">
        <f t="shared" si="1225"/>
        <v>3618205.25</v>
      </c>
      <c r="AE162" s="998">
        <f t="shared" si="1226"/>
        <v>3618205.25</v>
      </c>
      <c r="AF162" s="998">
        <f t="shared" si="1227"/>
        <v>3618205.25</v>
      </c>
      <c r="AG162" s="998">
        <f t="shared" si="1228"/>
        <v>3618205.25</v>
      </c>
      <c r="AH162" s="106"/>
      <c r="AI162" s="133"/>
      <c r="AJ162" s="116">
        <f>((U162/2)+SUM(V162:AF162)+(AG162/2))/12</f>
        <v>3618205.25</v>
      </c>
      <c r="AK162" s="106">
        <f t="shared" si="1229"/>
        <v>3618205.25</v>
      </c>
      <c r="AL162" s="1016">
        <f>AK162</f>
        <v>3618205.25</v>
      </c>
      <c r="AM162" s="1016">
        <f t="shared" si="1232"/>
        <v>3618205.25</v>
      </c>
      <c r="AN162" s="1016">
        <f t="shared" si="1232"/>
        <v>3618205.25</v>
      </c>
      <c r="AO162" s="1016">
        <f t="shared" ref="AO162:AW162" si="1237">AN162</f>
        <v>3618205.25</v>
      </c>
      <c r="AP162" s="1016">
        <f t="shared" si="1237"/>
        <v>3618205.25</v>
      </c>
      <c r="AQ162" s="1016">
        <f t="shared" si="1237"/>
        <v>3618205.25</v>
      </c>
      <c r="AR162" s="1016">
        <f t="shared" si="1237"/>
        <v>3618205.25</v>
      </c>
      <c r="AS162" s="1016">
        <f t="shared" si="1237"/>
        <v>3618205.25</v>
      </c>
      <c r="AT162" s="1016">
        <f t="shared" si="1237"/>
        <v>3618205.25</v>
      </c>
      <c r="AU162" s="1016">
        <f t="shared" si="1237"/>
        <v>3618205.25</v>
      </c>
      <c r="AV162" s="1016">
        <f t="shared" si="1237"/>
        <v>3618205.25</v>
      </c>
      <c r="AW162" s="1016">
        <f t="shared" si="1237"/>
        <v>3618205.25</v>
      </c>
      <c r="AX162" s="106"/>
      <c r="AY162" s="133"/>
      <c r="AZ162" s="133"/>
      <c r="BA162" s="116">
        <f>((AK162/2)+SUM(AL162:AV162)+(AW162/2))/12</f>
        <v>3618205.25</v>
      </c>
    </row>
    <row r="163" spans="1:53">
      <c r="A163" s="250">
        <f t="shared" si="1086"/>
        <v>148</v>
      </c>
      <c r="B163" s="212"/>
      <c r="C163" s="102"/>
      <c r="D163" s="102" t="s">
        <v>170</v>
      </c>
      <c r="E163" s="102"/>
      <c r="F163" s="993">
        <f t="shared" ref="F163:R163" si="1238">SUM(F159:F162)</f>
        <v>21318273.890000001</v>
      </c>
      <c r="G163" s="993">
        <f t="shared" si="1238"/>
        <v>12269926.050000001</v>
      </c>
      <c r="H163" s="993">
        <f t="shared" si="1238"/>
        <v>18159198.669999998</v>
      </c>
      <c r="I163" s="993">
        <f t="shared" si="1238"/>
        <v>7750399.6420000009</v>
      </c>
      <c r="J163" s="993">
        <f t="shared" si="1238"/>
        <v>7525034.1399999987</v>
      </c>
      <c r="K163" s="993">
        <f t="shared" si="1238"/>
        <v>11203387.92</v>
      </c>
      <c r="L163" s="993">
        <f t="shared" si="1238"/>
        <v>12415746.981999991</v>
      </c>
      <c r="M163" s="993">
        <f t="shared" si="1238"/>
        <v>16020324.921999989</v>
      </c>
      <c r="N163" s="993">
        <f t="shared" si="1238"/>
        <v>12985935.809999999</v>
      </c>
      <c r="O163" s="993">
        <f t="shared" si="1238"/>
        <v>32516209.690000001</v>
      </c>
      <c r="P163" s="993">
        <f t="shared" si="1238"/>
        <v>16670378.890000001</v>
      </c>
      <c r="Q163" s="993">
        <f t="shared" si="1238"/>
        <v>15187030.030000001</v>
      </c>
      <c r="R163" s="993">
        <f t="shared" si="1238"/>
        <v>26747430.722000003</v>
      </c>
      <c r="S163" s="116"/>
      <c r="T163" s="131">
        <f>SUM(T159:T162)</f>
        <v>15561368.75433333</v>
      </c>
      <c r="U163" s="394">
        <f t="shared" si="1216"/>
        <v>26747430.722000003</v>
      </c>
      <c r="V163" s="1269">
        <f t="shared" ref="V163:AA163" si="1239">IF($R163-$F163=0,U163+$AH163/12,U163+((G163-F163)/($R163-$F163))*$AH163)</f>
        <v>26747430.722000003</v>
      </c>
      <c r="W163" s="1269">
        <f t="shared" si="1239"/>
        <v>26747430.722000003</v>
      </c>
      <c r="X163" s="1269">
        <f t="shared" si="1239"/>
        <v>26747430.722000003</v>
      </c>
      <c r="Y163" s="1269">
        <f t="shared" si="1239"/>
        <v>26747430.722000003</v>
      </c>
      <c r="Z163" s="1269">
        <f t="shared" si="1239"/>
        <v>26747430.722000003</v>
      </c>
      <c r="AA163" s="1269">
        <f t="shared" si="1239"/>
        <v>26747430.722000003</v>
      </c>
      <c r="AB163" s="1269">
        <f>IF($R163-$F163=0,AA163+$AH163/12,AA163+((M163-L163)/($R163-$F163))*$AH163)</f>
        <v>26747430.722000003</v>
      </c>
      <c r="AC163" s="1269">
        <f t="shared" ref="AC163" si="1240">IF($R163-$F163=0,AB163+$AH163/12,AB163+((N163-M163)/($R163-$F163))*$AH163)</f>
        <v>26747430.722000003</v>
      </c>
      <c r="AD163" s="1269">
        <f t="shared" ref="AD163" si="1241">IF($R163-$F163=0,AC163+$AH163/12,AC163+((O163-N163)/($R163-$F163))*$AH163)</f>
        <v>26747430.722000003</v>
      </c>
      <c r="AE163" s="1269">
        <f t="shared" ref="AE163" si="1242">IF($R163-$F163=0,AD163+$AH163/12,AD163+((P163-O163)/($R163-$F163))*$AH163)</f>
        <v>26747430.722000003</v>
      </c>
      <c r="AF163" s="1269">
        <f t="shared" ref="AF163" si="1243">IF($R163-$F163=0,AE163+$AH163/12,AE163+((Q163-P163)/($R163-$F163))*$AH163)</f>
        <v>26747430.722000003</v>
      </c>
      <c r="AG163" s="1269">
        <f t="shared" ref="AG163" si="1244">IF($R163-$F163=0,AF163+$AH163/12,AF163+((R163-Q163)/($R163-$F163))*$AH163)</f>
        <v>26747430.722000003</v>
      </c>
      <c r="AH163" s="394">
        <f>'101_106 PROJECTION'!N39</f>
        <v>0</v>
      </c>
      <c r="AI163" s="133">
        <f>+AG163-U163</f>
        <v>0</v>
      </c>
      <c r="AJ163" s="131">
        <f>SUM(AJ159:AJ162)</f>
        <v>26747430.722000003</v>
      </c>
      <c r="AK163" s="1039">
        <f t="shared" si="1229"/>
        <v>26747430.722000003</v>
      </c>
      <c r="AL163" s="1041">
        <v>0</v>
      </c>
      <c r="AM163" s="1041">
        <v>0</v>
      </c>
      <c r="AN163" s="1041">
        <v>0</v>
      </c>
      <c r="AO163" s="1041">
        <v>0</v>
      </c>
      <c r="AP163" s="1041">
        <v>0</v>
      </c>
      <c r="AQ163" s="1041">
        <v>0</v>
      </c>
      <c r="AR163" s="1041">
        <v>0</v>
      </c>
      <c r="AS163" s="1041">
        <v>0</v>
      </c>
      <c r="AT163" s="1041">
        <v>0</v>
      </c>
      <c r="AU163" s="1041">
        <v>0</v>
      </c>
      <c r="AV163" s="1041">
        <v>0</v>
      </c>
      <c r="AW163" s="1041">
        <v>0</v>
      </c>
      <c r="AX163" s="394">
        <f>'101_106 PROJECTION'!$T$39</f>
        <v>0</v>
      </c>
      <c r="AY163" s="133"/>
      <c r="AZ163" s="133"/>
      <c r="BA163" s="131">
        <f>SUM(BA159:BA162)</f>
        <v>26747430.722000003</v>
      </c>
    </row>
    <row r="164" spans="1:53">
      <c r="A164" s="250">
        <f t="shared" si="1086"/>
        <v>149</v>
      </c>
      <c r="B164" s="212"/>
      <c r="C164" s="102"/>
      <c r="D164" s="102"/>
      <c r="E164" s="102"/>
      <c r="U164" s="102"/>
      <c r="AH164" s="394"/>
      <c r="AK164" s="106">
        <f t="shared" si="1229"/>
        <v>0</v>
      </c>
      <c r="AL164" s="1029"/>
      <c r="AW164" s="1016"/>
      <c r="AX164" s="394"/>
    </row>
    <row r="165" spans="1:53">
      <c r="A165" s="250">
        <f t="shared" si="1086"/>
        <v>150</v>
      </c>
      <c r="B165" s="212" t="s">
        <v>211</v>
      </c>
      <c r="C165" s="102" t="s">
        <v>1054</v>
      </c>
      <c r="D165" s="102"/>
      <c r="E165" s="102"/>
      <c r="U165" s="102">
        <f t="shared" si="1216"/>
        <v>0</v>
      </c>
      <c r="AH165" s="102"/>
      <c r="AK165" s="102">
        <f t="shared" ref="AK165" si="1245">+AG165</f>
        <v>0</v>
      </c>
      <c r="AX165" s="102"/>
    </row>
    <row r="166" spans="1:53">
      <c r="A166" s="250">
        <f t="shared" si="1086"/>
        <v>151</v>
      </c>
      <c r="B166" s="212"/>
      <c r="C166" s="102"/>
      <c r="D166" s="102" t="s">
        <v>443</v>
      </c>
      <c r="E166" s="102"/>
      <c r="F166" s="974">
        <f>'Rate Base'!S164</f>
        <v>-68927265.530000001</v>
      </c>
      <c r="G166" s="974">
        <f>'Rate Base'!T164</f>
        <v>-68992546.739999995</v>
      </c>
      <c r="H166" s="974">
        <f>'Rate Base'!U164</f>
        <v>-69047109.870000005</v>
      </c>
      <c r="I166" s="974">
        <f>'Rate Base'!V164</f>
        <v>-69092261.780000001</v>
      </c>
      <c r="J166" s="974">
        <f>'Rate Base'!W164</f>
        <v>-69148875.269999996</v>
      </c>
      <c r="K166" s="974">
        <f>'Rate Base'!X164</f>
        <v>-69202397.180000007</v>
      </c>
      <c r="L166" s="974">
        <f>'Rate Base'!Y164</f>
        <v>-69256660.719999999</v>
      </c>
      <c r="M166" s="974">
        <f>'Rate Base'!Z164</f>
        <v>-69314119.849999994</v>
      </c>
      <c r="N166" s="974">
        <f>'Rate Base'!AA164</f>
        <v>-69367366.510000005</v>
      </c>
      <c r="O166" s="974">
        <f>'Rate Base'!AB164</f>
        <v>-69417627.430000007</v>
      </c>
      <c r="P166" s="974">
        <f>'Rate Base'!AC164</f>
        <v>-69469195</v>
      </c>
      <c r="Q166" s="974">
        <f>'Rate Base'!AD164</f>
        <v>-69536528.439999998</v>
      </c>
      <c r="R166" s="974">
        <f>'Rate Base'!AE164</f>
        <v>-69576718.010000005</v>
      </c>
      <c r="S166" s="116"/>
      <c r="T166" s="116">
        <f>((F166/2)+SUM(G166:Q166)+(R166/2))/12</f>
        <v>-69258056.713333353</v>
      </c>
      <c r="U166" s="106">
        <f t="shared" si="1216"/>
        <v>-69576718.010000005</v>
      </c>
      <c r="V166" s="998">
        <f t="shared" ref="V166" ca="1" si="1246">(U166/U170)*V170</f>
        <v>-63671314.852760673</v>
      </c>
      <c r="W166" s="998">
        <f t="shared" ref="W166" ca="1" si="1247">(V166/V170)*W170</f>
        <v>-64740318.386571452</v>
      </c>
      <c r="X166" s="998">
        <f t="shared" ref="X166" ca="1" si="1248">(W166/W170)*X170</f>
        <v>-62800931.588739857</v>
      </c>
      <c r="Y166" s="998">
        <f t="shared" ref="Y166" ca="1" si="1249">(X166/X170)*Y170</f>
        <v>-64724728.700577751</v>
      </c>
      <c r="Z166" s="998">
        <f t="shared" ref="Z166" ca="1" si="1250">(Y166/Y170)*Z170</f>
        <v>-66453465.762167417</v>
      </c>
      <c r="AA166" s="998">
        <f t="shared" ref="AA166" ca="1" si="1251">(Z166/Z170)*AA170</f>
        <v>-65413100.972587407</v>
      </c>
      <c r="AB166" s="998">
        <f t="shared" ref="AB166" ca="1" si="1252">(AA166/AA170)*AB170</f>
        <v>-66960942.335707039</v>
      </c>
      <c r="AC166" s="998">
        <f t="shared" ref="AC166" ca="1" si="1253">(AB166/AB170)*AC170</f>
        <v>-68354425.899706274</v>
      </c>
      <c r="AD166" s="998">
        <f t="shared" ref="AD166" ca="1" si="1254">(AC166/AC170)*AD170</f>
        <v>-70371622.093589276</v>
      </c>
      <c r="AE166" s="998">
        <f t="shared" ref="AE166" ca="1" si="1255">(AD166/AD170)*AE170</f>
        <v>-71737637.936351672</v>
      </c>
      <c r="AF166" s="998">
        <f t="shared" ref="AF166" ca="1" si="1256">(AE166/AE170)*AF170</f>
        <v>-72782650.584800392</v>
      </c>
      <c r="AG166" s="998">
        <f t="shared" ref="AG166" ca="1" si="1257">(AF166/AF170)*AG170</f>
        <v>-73020540.639099732</v>
      </c>
      <c r="AH166" s="106"/>
      <c r="AI166" s="133"/>
      <c r="AJ166" s="116">
        <f ca="1">((U166/2)+SUM(V166:AF166)+(AG166/2))/12</f>
        <v>-67442480.703175753</v>
      </c>
      <c r="AK166" s="106">
        <f ca="1">AG166</f>
        <v>-73020540.639099732</v>
      </c>
      <c r="AL166" s="1016">
        <f ca="1">(AK166/AK170)*AL170</f>
        <v>-65983492.762274407</v>
      </c>
      <c r="AM166" s="1016">
        <f t="shared" ref="AM166:AW166" ca="1" si="1258">(AL166/AL170)*AM170</f>
        <v>-67257348.051680014</v>
      </c>
      <c r="AN166" s="1016">
        <f t="shared" ca="1" si="1258"/>
        <v>-64946319.086402081</v>
      </c>
      <c r="AO166" s="1016">
        <f t="shared" ca="1" si="1258"/>
        <v>-67238770.934453413</v>
      </c>
      <c r="AP166" s="1016">
        <f t="shared" ca="1" si="1258"/>
        <v>-69298783.628749445</v>
      </c>
      <c r="AQ166" s="1016">
        <f t="shared" ca="1" si="1258"/>
        <v>-68059055.088850677</v>
      </c>
      <c r="AR166" s="1016">
        <f t="shared" ca="1" si="1258"/>
        <v>-69903507.277462199</v>
      </c>
      <c r="AS166" s="1016">
        <f t="shared" ca="1" si="1258"/>
        <v>-71564022.282845169</v>
      </c>
      <c r="AT166" s="1016">
        <f t="shared" ca="1" si="1258"/>
        <v>-73967771.157450452</v>
      </c>
      <c r="AU166" s="1016">
        <f t="shared" ca="1" si="1258"/>
        <v>-75595554.837932408</v>
      </c>
      <c r="AV166" s="1016">
        <f t="shared" ca="1" si="1258"/>
        <v>-76840821.899844483</v>
      </c>
      <c r="AW166" s="1016">
        <f t="shared" ca="1" si="1258"/>
        <v>-77124298.515572712</v>
      </c>
      <c r="AX166" s="106"/>
      <c r="AY166" s="133"/>
      <c r="AZ166" s="133"/>
      <c r="BA166" s="116">
        <f ca="1">((AK166/2)+SUM(AL166:AV166)+(AW166/2))/12</f>
        <v>-70477322.21544008</v>
      </c>
    </row>
    <row r="167" spans="1:53">
      <c r="A167" s="250">
        <f t="shared" si="1086"/>
        <v>152</v>
      </c>
      <c r="B167" s="212"/>
      <c r="C167" s="102"/>
      <c r="D167" s="102" t="s">
        <v>592</v>
      </c>
      <c r="E167" s="102"/>
      <c r="F167" s="974">
        <f>'Rate Base'!S165</f>
        <v>-21431368.719999999</v>
      </c>
      <c r="G167" s="974">
        <f>'Rate Base'!T165</f>
        <v>-21551340.98</v>
      </c>
      <c r="H167" s="974">
        <f>'Rate Base'!U165</f>
        <v>-21565256.16</v>
      </c>
      <c r="I167" s="974">
        <f>'Rate Base'!V165</f>
        <v>-21440799.239999998</v>
      </c>
      <c r="J167" s="974">
        <f>'Rate Base'!W165</f>
        <v>-21574450.350000001</v>
      </c>
      <c r="K167" s="974">
        <f>'Rate Base'!X165</f>
        <v>-21691853.879999999</v>
      </c>
      <c r="L167" s="974">
        <f>'Rate Base'!Y165</f>
        <v>-21221477.809999999</v>
      </c>
      <c r="M167" s="974">
        <f>'Rate Base'!Z165</f>
        <v>-20757179.850000001</v>
      </c>
      <c r="N167" s="974">
        <f>'Rate Base'!AA165</f>
        <v>-20797669.989999998</v>
      </c>
      <c r="O167" s="974">
        <f>'Rate Base'!AB165</f>
        <v>-20888278.25</v>
      </c>
      <c r="P167" s="974">
        <f>'Rate Base'!AC165</f>
        <v>-20504051.219999999</v>
      </c>
      <c r="Q167" s="974">
        <f>'Rate Base'!AD165</f>
        <v>-19646767.719999999</v>
      </c>
      <c r="R167" s="974">
        <f>'Rate Base'!AE165</f>
        <v>-27333445.210000001</v>
      </c>
      <c r="S167" s="116"/>
      <c r="T167" s="116">
        <f>((F167/2)+SUM(G167:Q167)+(R167/2))/12</f>
        <v>-21335127.701249998</v>
      </c>
      <c r="U167" s="106">
        <f t="shared" si="1216"/>
        <v>-27333445.210000001</v>
      </c>
      <c r="V167" s="998">
        <f t="shared" ref="V167" ca="1" si="1259">(U167/U170)*V170</f>
        <v>-25013487.927476805</v>
      </c>
      <c r="W167" s="998">
        <f t="shared" ref="W167" ca="1" si="1260">(V167/V170)*W170</f>
        <v>-25433449.523200732</v>
      </c>
      <c r="X167" s="998">
        <f t="shared" ref="X167" ca="1" si="1261">(W167/W170)*X170</f>
        <v>-24671554.965715162</v>
      </c>
      <c r="Y167" s="998">
        <f t="shared" ref="Y167" ca="1" si="1262">(X167/X170)*Y170</f>
        <v>-25427325.063178219</v>
      </c>
      <c r="Z167" s="998">
        <f t="shared" ref="Z167" ca="1" si="1263">(Y167/Y170)*Z170</f>
        <v>-26106465.170773782</v>
      </c>
      <c r="AA167" s="998">
        <f t="shared" ref="AA167" ca="1" si="1264">(Z167/Z170)*AA170</f>
        <v>-25697754.401025899</v>
      </c>
      <c r="AB167" s="998">
        <f t="shared" ref="AB167" ca="1" si="1265">(AA167/AA170)*AB170</f>
        <v>-26305829.031486642</v>
      </c>
      <c r="AC167" s="998">
        <f t="shared" ref="AC167" ca="1" si="1266">(AB167/AB170)*AC170</f>
        <v>-26853263.6868858</v>
      </c>
      <c r="AD167" s="998">
        <f t="shared" ref="AD167" ca="1" si="1267">(AC167/AC170)*AD170</f>
        <v>-27645725.924546923</v>
      </c>
      <c r="AE167" s="998">
        <f t="shared" ref="AE167" ca="1" si="1268">(AD167/AD170)*AE170</f>
        <v>-28182369.794250172</v>
      </c>
      <c r="AF167" s="998">
        <f t="shared" ref="AF167" ca="1" si="1269">(AE167/AE170)*AF170</f>
        <v>-28592906.490821924</v>
      </c>
      <c r="AG167" s="998">
        <f t="shared" ref="AG167" ca="1" si="1270">(AF167/AF170)*AG170</f>
        <v>-28686362.390312046</v>
      </c>
      <c r="AH167" s="106"/>
      <c r="AI167" s="133"/>
      <c r="AJ167" s="116">
        <f ca="1">((U167/2)+SUM(V167:AF167)+(AG167/2))/12</f>
        <v>-26495002.981626507</v>
      </c>
      <c r="AK167" s="106">
        <f ca="1">AG167</f>
        <v>-28686362.390312046</v>
      </c>
      <c r="AL167" s="1016">
        <f ca="1">(AK167/AK170)*AL170</f>
        <v>-25921834.713773657</v>
      </c>
      <c r="AM167" s="1016">
        <f t="shared" ref="AM167:AW167" ca="1" si="1271">(AL167/AL170)*AM170</f>
        <v>-26422273.003395658</v>
      </c>
      <c r="AN167" s="1016">
        <f t="shared" ca="1" si="1271"/>
        <v>-25514377.583665334</v>
      </c>
      <c r="AO167" s="1016">
        <f t="shared" ca="1" si="1271"/>
        <v>-26414974.921071626</v>
      </c>
      <c r="AP167" s="1016">
        <f t="shared" ca="1" si="1271"/>
        <v>-27224257.763406213</v>
      </c>
      <c r="AQ167" s="1016">
        <f t="shared" ca="1" si="1271"/>
        <v>-26737226.280896135</v>
      </c>
      <c r="AR167" s="1016">
        <f t="shared" ca="1" si="1271"/>
        <v>-27461825.461222973</v>
      </c>
      <c r="AS167" s="1016">
        <f t="shared" ca="1" si="1271"/>
        <v>-28114164.307006054</v>
      </c>
      <c r="AT167" s="1016">
        <f t="shared" ca="1" si="1271"/>
        <v>-29058485.051672097</v>
      </c>
      <c r="AU167" s="1016">
        <f t="shared" ca="1" si="1271"/>
        <v>-29697965.287543401</v>
      </c>
      <c r="AV167" s="1016">
        <f t="shared" ca="1" si="1271"/>
        <v>-30187172.596857689</v>
      </c>
      <c r="AW167" s="1016">
        <f t="shared" ca="1" si="1271"/>
        <v>-30298537.328709658</v>
      </c>
      <c r="AX167" s="106"/>
      <c r="AY167" s="133"/>
      <c r="AZ167" s="133"/>
      <c r="BA167" s="116">
        <f ca="1">((AK167/2)+SUM(AL167:AV167)+(AW167/2))/12</f>
        <v>-27687250.569168475</v>
      </c>
    </row>
    <row r="168" spans="1:53">
      <c r="A168" s="250">
        <f t="shared" si="1086"/>
        <v>153</v>
      </c>
      <c r="B168" s="212"/>
      <c r="C168" s="102"/>
      <c r="D168" s="102" t="s">
        <v>593</v>
      </c>
      <c r="E168" s="102"/>
      <c r="F168" s="974">
        <f>'Rate Base'!S166</f>
        <v>-490365351.56999999</v>
      </c>
      <c r="G168" s="974">
        <f>'Rate Base'!T166</f>
        <v>-493315380.68000001</v>
      </c>
      <c r="H168" s="974">
        <f>'Rate Base'!U166</f>
        <v>-495628361.25999999</v>
      </c>
      <c r="I168" s="974">
        <f>'Rate Base'!V166</f>
        <v>-493969005.87</v>
      </c>
      <c r="J168" s="974">
        <f>'Rate Base'!W166</f>
        <v>-497252232.76999998</v>
      </c>
      <c r="K168" s="974">
        <f>'Rate Base'!X166</f>
        <v>-500051378.44</v>
      </c>
      <c r="L168" s="974">
        <f>'Rate Base'!Y166</f>
        <v>-503340730.22000003</v>
      </c>
      <c r="M168" s="974">
        <f>'Rate Base'!Z166</f>
        <v>-506346697.06999999</v>
      </c>
      <c r="N168" s="974">
        <f>'Rate Base'!AA166</f>
        <v>-509573960.37</v>
      </c>
      <c r="O168" s="974">
        <f>'Rate Base'!AB166</f>
        <v>-513389129.88</v>
      </c>
      <c r="P168" s="974">
        <f>'Rate Base'!AC166</f>
        <v>-516209152.38</v>
      </c>
      <c r="Q168" s="974">
        <f>'Rate Base'!AD166</f>
        <v>-519918311.72000003</v>
      </c>
      <c r="R168" s="974">
        <f>'Rate Base'!AE166</f>
        <v>-512951843.95999998</v>
      </c>
      <c r="S168" s="116"/>
      <c r="T168" s="116">
        <f>((F168/2)+SUM(G168:Q168)+(R168/2))/12</f>
        <v>-504221078.20208329</v>
      </c>
      <c r="U168" s="106">
        <f t="shared" si="1216"/>
        <v>-512951843.95999998</v>
      </c>
      <c r="V168" s="998">
        <f t="shared" ref="V168" ca="1" si="1272">(U168/U170)*V170</f>
        <v>-469414472.18575579</v>
      </c>
      <c r="W168" s="998">
        <f t="shared" ref="W168" ca="1" si="1273">(V168/V170)*W170</f>
        <v>-477295662.18079382</v>
      </c>
      <c r="X168" s="998">
        <f t="shared" ref="X168" ca="1" si="1274">(W168/W170)*X170</f>
        <v>-462997602.9656924</v>
      </c>
      <c r="Y168" s="998">
        <f t="shared" ref="Y168" ca="1" si="1275">(X168/X170)*Y170</f>
        <v>-477180727.78311104</v>
      </c>
      <c r="Z168" s="998">
        <f t="shared" ref="Z168" ca="1" si="1276">(Y168/Y170)*Z170</f>
        <v>-489925779.41571265</v>
      </c>
      <c r="AA168" s="998">
        <f t="shared" ref="AA168" ca="1" si="1277">(Z168/Z170)*AA170</f>
        <v>-482255727.52954257</v>
      </c>
      <c r="AB168" s="998">
        <f t="shared" ref="AB168" ca="1" si="1278">(AA168/AA170)*AB170</f>
        <v>-493667132.14991653</v>
      </c>
      <c r="AC168" s="998">
        <f t="shared" ref="AC168" ca="1" si="1279">(AB168/AB170)*AC170</f>
        <v>-503940539.46382046</v>
      </c>
      <c r="AD168" s="998">
        <f t="shared" ref="AD168" ca="1" si="1280">(AC168/AC170)*AD170</f>
        <v>-518812245.64479697</v>
      </c>
      <c r="AE168" s="998">
        <f t="shared" ref="AE168" ca="1" si="1281">(AD168/AD170)*AE170</f>
        <v>-528883148.17461789</v>
      </c>
      <c r="AF168" s="998">
        <f t="shared" ref="AF168" ca="1" si="1282">(AE168/AE170)*AF170</f>
        <v>-536587466.23265344</v>
      </c>
      <c r="AG168" s="998">
        <f t="shared" ref="AG168" ca="1" si="1283">(AF168/AF170)*AG170</f>
        <v>-538341302.0774982</v>
      </c>
      <c r="AH168" s="106"/>
      <c r="AI168" s="133"/>
      <c r="AJ168" s="116">
        <f ca="1">((U168/2)+SUM(V168:AF168)+(AG168/2))/12</f>
        <v>-497217256.39543015</v>
      </c>
      <c r="AK168" s="106">
        <f ca="1">AG168</f>
        <v>-538341302.0774982</v>
      </c>
      <c r="AL168" s="1016">
        <f ca="1">(AK168/AK170)*AL170</f>
        <v>-486460920.42549855</v>
      </c>
      <c r="AM168" s="1016">
        <f t="shared" ref="AM168:AW168" ca="1" si="1284">(AL168/AL170)*AM170</f>
        <v>-495852372.59984356</v>
      </c>
      <c r="AN168" s="1016">
        <f t="shared" ca="1" si="1284"/>
        <v>-478814394.91003782</v>
      </c>
      <c r="AO168" s="1016">
        <f t="shared" ca="1" si="1284"/>
        <v>-495715413.47315013</v>
      </c>
      <c r="AP168" s="1016">
        <f t="shared" ca="1" si="1284"/>
        <v>-510902782.75906962</v>
      </c>
      <c r="AQ168" s="1016">
        <f t="shared" ca="1" si="1284"/>
        <v>-501762928.81454313</v>
      </c>
      <c r="AR168" s="1016">
        <f t="shared" ca="1" si="1284"/>
        <v>-515361086.04737425</v>
      </c>
      <c r="AS168" s="1016">
        <f t="shared" ca="1" si="1284"/>
        <v>-527603173.03129929</v>
      </c>
      <c r="AT168" s="1016">
        <f t="shared" ca="1" si="1284"/>
        <v>-545324724.90829837</v>
      </c>
      <c r="AU168" s="1016">
        <f t="shared" ca="1" si="1284"/>
        <v>-557325501.37997985</v>
      </c>
      <c r="AV168" s="1016">
        <f t="shared" ca="1" si="1284"/>
        <v>-566506187.87828004</v>
      </c>
      <c r="AW168" s="1016">
        <f t="shared" ca="1" si="1284"/>
        <v>-568596109.00299358</v>
      </c>
      <c r="AX168" s="106"/>
      <c r="AY168" s="133"/>
      <c r="AZ168" s="133"/>
      <c r="BA168" s="116">
        <f ca="1">((AK168/2)+SUM(AL168:AV168)+(AW168/2))/12</f>
        <v>-519591515.98063499</v>
      </c>
    </row>
    <row r="169" spans="1:53">
      <c r="A169" s="250">
        <f t="shared" si="1086"/>
        <v>154</v>
      </c>
      <c r="B169" s="212"/>
      <c r="C169" s="102"/>
      <c r="D169" s="102" t="s">
        <v>595</v>
      </c>
      <c r="E169" s="102"/>
      <c r="F169" s="974">
        <f>'Rate Base'!S167</f>
        <v>-149721236.30000001</v>
      </c>
      <c r="G169" s="974">
        <f>'Rate Base'!T167</f>
        <v>-132419416.83</v>
      </c>
      <c r="H169" s="974">
        <f>'Rate Base'!U167</f>
        <v>-132602402.33</v>
      </c>
      <c r="I169" s="974">
        <f>'Rate Base'!V167</f>
        <v>-129688646.31</v>
      </c>
      <c r="J169" s="974">
        <f>'Rate Base'!W167</f>
        <v>-130830172.95999999</v>
      </c>
      <c r="K169" s="974">
        <f>'Rate Base'!X167</f>
        <v>-132007188.29000001</v>
      </c>
      <c r="L169" s="974">
        <f>'Rate Base'!Y167</f>
        <v>-126638206.45</v>
      </c>
      <c r="M169" s="974">
        <f>'Rate Base'!Z167</f>
        <v>-127752212.18000001</v>
      </c>
      <c r="N169" s="974">
        <f>'Rate Base'!AA167</f>
        <v>-127774055.2</v>
      </c>
      <c r="O169" s="974">
        <f>'Rate Base'!AB167</f>
        <v>-128657090.75</v>
      </c>
      <c r="P169" s="974">
        <f>'Rate Base'!AC167</f>
        <v>-129446678.20999999</v>
      </c>
      <c r="Q169" s="974">
        <f>'Rate Base'!AD167</f>
        <v>-129034361.31999999</v>
      </c>
      <c r="R169" s="974">
        <f>'Rate Base'!AE167</f>
        <v>-128844639.09999999</v>
      </c>
      <c r="S169" s="116"/>
      <c r="T169" s="116">
        <f>((F169/2)+SUM(G169:Q169)+(R169/2))/12</f>
        <v>-130511114.04416668</v>
      </c>
      <c r="U169" s="106">
        <f t="shared" si="1216"/>
        <v>-128844639.09999999</v>
      </c>
      <c r="V169" s="998">
        <f t="shared" ref="V169" ca="1" si="1285">(U169/U170)*V170</f>
        <v>-117908803.6611231</v>
      </c>
      <c r="W169" s="998">
        <f t="shared" ref="W169" ca="1" si="1286">(V169/V170)*W170</f>
        <v>-119888422.39638276</v>
      </c>
      <c r="X169" s="998">
        <f t="shared" ref="X169" ca="1" si="1287">(W169/W170)*X170</f>
        <v>-116296997.00023226</v>
      </c>
      <c r="Y169" s="998">
        <f t="shared" ref="Y169" ca="1" si="1288">(X169/X170)*Y170</f>
        <v>-119859552.8618173</v>
      </c>
      <c r="Z169" s="998">
        <f t="shared" ref="Z169" ca="1" si="1289">(Y169/Y170)*Z170</f>
        <v>-123060889.59010768</v>
      </c>
      <c r="AA169" s="998">
        <f t="shared" ref="AA169" ca="1" si="1290">(Z169/Z170)*AA170</f>
        <v>-121134305.09920774</v>
      </c>
      <c r="AB169" s="998">
        <f t="shared" ref="AB169" ca="1" si="1291">(AA169/AA170)*AB170</f>
        <v>-124000652.74421361</v>
      </c>
      <c r="AC169" s="998">
        <f t="shared" ref="AC169" ca="1" si="1292">(AB169/AB170)*AC170</f>
        <v>-126581155.13108186</v>
      </c>
      <c r="AD169" s="998">
        <f t="shared" ref="AD169" ca="1" si="1293">(AC169/AC170)*AD170</f>
        <v>-130316670.73211083</v>
      </c>
      <c r="AE169" s="998">
        <f t="shared" ref="AE169" ca="1" si="1294">(AD169/AD170)*AE170</f>
        <v>-132846307.41661651</v>
      </c>
      <c r="AF169" s="998">
        <f t="shared" ref="AF169" ca="1" si="1295">(AE169/AE170)*AF170</f>
        <v>-134781498.97774991</v>
      </c>
      <c r="AG169" s="998">
        <f t="shared" ref="AG169" ca="1" si="1296">(AF169/AF170)*AG170</f>
        <v>-135222032.23468325</v>
      </c>
      <c r="AH169" s="106"/>
      <c r="AI169" s="133"/>
      <c r="AJ169" s="116">
        <f ca="1">((U169/2)+SUM(V169:AF169)+(AG169/2))/12</f>
        <v>-124892382.60649873</v>
      </c>
      <c r="AK169" s="106">
        <f ca="1">AG169</f>
        <v>-135222032.23468325</v>
      </c>
      <c r="AL169" s="1016">
        <f ca="1">(AK169/AK170)*AL170</f>
        <v>-122190576.88652115</v>
      </c>
      <c r="AM169" s="1016">
        <f t="shared" ref="AM169" ca="1" si="1297">(AL169/AL170)*AM170</f>
        <v>-124549547.38302404</v>
      </c>
      <c r="AN169" s="1016">
        <f t="shared" ref="AN169" ca="1" si="1298">(AM169/AM170)*AN170</f>
        <v>-120269901.81339419</v>
      </c>
      <c r="AO169" s="1016">
        <f t="shared" ref="AO169" ca="1" si="1299">(AN169/AN170)*AO170</f>
        <v>-124515145.6171311</v>
      </c>
      <c r="AP169" s="1016">
        <f t="shared" ref="AP169" ca="1" si="1300">(AO169/AO170)*AP170</f>
        <v>-128329950.33528182</v>
      </c>
      <c r="AQ169" s="1016">
        <f t="shared" ref="AQ169" ca="1" si="1301">(AP169/AP170)*AQ170</f>
        <v>-126034176.96634728</v>
      </c>
      <c r="AR169" s="1016">
        <f t="shared" ref="AR169" ca="1" si="1302">(AQ169/AQ170)*AR170</f>
        <v>-129449799.07926011</v>
      </c>
      <c r="AS169" s="1016">
        <f t="shared" ref="AS169" ca="1" si="1303">(AR169/AR170)*AS170</f>
        <v>-132524799.77932121</v>
      </c>
      <c r="AT169" s="1016">
        <f t="shared" ref="AT169" ca="1" si="1304">(AS169/AS170)*AT170</f>
        <v>-136976147.37221909</v>
      </c>
      <c r="AU169" s="1016">
        <f t="shared" ref="AU169" ca="1" si="1305">(AT169/AT170)*AU170</f>
        <v>-139990535.04158896</v>
      </c>
      <c r="AV169" s="1016">
        <f t="shared" ref="AV169" ca="1" si="1306">(AU169/AU170)*AV170</f>
        <v>-142296564.84242144</v>
      </c>
      <c r="AW169" s="1016">
        <f t="shared" ref="AW169" ca="1" si="1307">(AV169/AV170)*AW170</f>
        <v>-142821516.91391098</v>
      </c>
      <c r="AX169" s="106"/>
      <c r="AY169" s="133"/>
      <c r="AZ169" s="133"/>
      <c r="BA169" s="116">
        <f ca="1">((AK169/2)+SUM(AL169:AV169)+(AW169/2))/12</f>
        <v>-130512409.97423397</v>
      </c>
    </row>
    <row r="170" spans="1:53">
      <c r="A170" s="250">
        <f t="shared" si="1086"/>
        <v>155</v>
      </c>
      <c r="B170" s="212"/>
      <c r="C170" s="102"/>
      <c r="D170" s="102" t="s">
        <v>170</v>
      </c>
      <c r="E170" s="102"/>
      <c r="F170" s="993">
        <f t="shared" ref="F170:R170" si="1308">SUM(F166:F169)</f>
        <v>-730445222.11999989</v>
      </c>
      <c r="G170" s="993">
        <f t="shared" si="1308"/>
        <v>-716278685.23000002</v>
      </c>
      <c r="H170" s="993">
        <f t="shared" si="1308"/>
        <v>-718843129.62</v>
      </c>
      <c r="I170" s="993">
        <f t="shared" si="1308"/>
        <v>-714190713.20000005</v>
      </c>
      <c r="J170" s="993">
        <f t="shared" si="1308"/>
        <v>-718805731.35000002</v>
      </c>
      <c r="K170" s="993">
        <f t="shared" si="1308"/>
        <v>-722952817.78999996</v>
      </c>
      <c r="L170" s="993">
        <f t="shared" si="1308"/>
        <v>-720457075.20000005</v>
      </c>
      <c r="M170" s="993">
        <f t="shared" si="1308"/>
        <v>-724170208.95000005</v>
      </c>
      <c r="N170" s="993">
        <f t="shared" si="1308"/>
        <v>-727513052.07000005</v>
      </c>
      <c r="O170" s="993">
        <f t="shared" si="1308"/>
        <v>-732352126.30999994</v>
      </c>
      <c r="P170" s="993">
        <f t="shared" si="1308"/>
        <v>-735629076.81000006</v>
      </c>
      <c r="Q170" s="993">
        <f t="shared" si="1308"/>
        <v>-738135969.20000005</v>
      </c>
      <c r="R170" s="993">
        <f t="shared" si="1308"/>
        <v>-738706646.27999997</v>
      </c>
      <c r="S170" s="116"/>
      <c r="T170" s="131">
        <f>SUM(T166:T169)</f>
        <v>-725325376.66083336</v>
      </c>
      <c r="U170" s="394">
        <f t="shared" si="1216"/>
        <v>-738706646.27999997</v>
      </c>
      <c r="V170" s="1269">
        <f t="shared" ref="V170:AA170" ca="1" si="1309">IF($R170-$F170=0,U170+$AH170/12,U170+((G170-F170)/($R170-$F170))*$AH170)</f>
        <v>-676008078.62711632</v>
      </c>
      <c r="W170" s="1269">
        <f t="shared" ca="1" si="1309"/>
        <v>-687357852.48694873</v>
      </c>
      <c r="X170" s="1269">
        <f t="shared" ca="1" si="1309"/>
        <v>-666767086.52037966</v>
      </c>
      <c r="Y170" s="1269">
        <f t="shared" ca="1" si="1309"/>
        <v>-687192334.40868425</v>
      </c>
      <c r="Z170" s="1269">
        <f t="shared" ca="1" si="1309"/>
        <v>-705546599.93876147</v>
      </c>
      <c r="AA170" s="1269">
        <f t="shared" ca="1" si="1309"/>
        <v>-694500888.00236356</v>
      </c>
      <c r="AB170" s="1269">
        <f ca="1">IF($R170-$F170=0,AA170+$AH170/12,AA170+((M170-L170)/($R170-$F170))*$AH170)</f>
        <v>-710934556.26132381</v>
      </c>
      <c r="AC170" s="1269">
        <f t="shared" ref="AC170" ca="1" si="1310">IF($R170-$F170=0,AB170+$AH170/12,AB170+((N170-M170)/($R170-$F170))*$AH170)</f>
        <v>-725729384.18149436</v>
      </c>
      <c r="AD170" s="1269">
        <f t="shared" ref="AD170" ca="1" si="1311">IF($R170-$F170=0,AC170+$AH170/12,AC170+((O170-N170)/($R170-$F170))*$AH170)</f>
        <v>-747146264.39504397</v>
      </c>
      <c r="AE170" s="1269">
        <f t="shared" ref="AE170" ca="1" si="1312">IF($R170-$F170=0,AD170+$AH170/12,AD170+((P170-O170)/($R170-$F170))*$AH170)</f>
        <v>-761649463.32183623</v>
      </c>
      <c r="AF170" s="1269">
        <f t="shared" ref="AF170" ca="1" si="1313">IF($R170-$F170=0,AE170+$AH170/12,AE170+((Q170-P170)/($R170-$F170))*$AH170)</f>
        <v>-772744522.28602564</v>
      </c>
      <c r="AG170" s="1269">
        <f t="shared" ref="AG170" ca="1" si="1314">IF($R170-$F170=0,AF170+$AH170/12,AF170+((R170-Q170)/($R170-$F170))*$AH170)</f>
        <v>-775270237.34159315</v>
      </c>
      <c r="AH170" s="394">
        <f ca="1">-(SUM(R170,R177)-AH171)</f>
        <v>-36563591.061593413</v>
      </c>
      <c r="AI170" s="133">
        <f ca="1">AG170-U170</f>
        <v>-36563591.061593175</v>
      </c>
      <c r="AJ170" s="131">
        <f ca="1">SUM(AJ166:AJ169)</f>
        <v>-716047122.6867311</v>
      </c>
      <c r="AK170" s="1039">
        <f ca="1">AG170</f>
        <v>-775270237.34159315</v>
      </c>
      <c r="AL170" s="1041">
        <f ca="1">IF($R170-$F170=0,AK170+$AX170/12,AK170+((G170-F170)/($R170-$F170))*$AX170)</f>
        <v>-700556824.7880677</v>
      </c>
      <c r="AM170" s="1041">
        <f t="shared" ref="AM170" ca="1" si="1315">IF($R170-$F170=0,AL170+$AX170/12,AL170+((H170-G170)/($R170-$F170))*$AX170)</f>
        <v>-714081541.03794324</v>
      </c>
      <c r="AN170" s="1041">
        <f t="shared" ref="AN170" ca="1" si="1316">IF($R170-$F170=0,AM170+$AX170/12,AM170+((I170-H170)/($R170-$F170))*$AX170)</f>
        <v>-689544993.39349937</v>
      </c>
      <c r="AO170" s="1041">
        <f t="shared" ref="AO170" ca="1" si="1317">IF($R170-$F170=0,AN170+$AX170/12,AN170+((J170-I170)/($R170-$F170))*$AX170)</f>
        <v>-713884304.94580626</v>
      </c>
      <c r="AP170" s="1041">
        <f t="shared" ref="AP170" ca="1" si="1318">IF($R170-$F170=0,AO170+$AX170/12,AO170+((K170-J170)/($R170-$F170))*$AX170)</f>
        <v>-735755774.48650706</v>
      </c>
      <c r="AQ170" s="1041">
        <f t="shared" ref="AQ170" ca="1" si="1319">IF($R170-$F170=0,AP170+$AX170/12,AP170+((L170-K170)/($R170-$F170))*$AX170)</f>
        <v>-722593387.15063715</v>
      </c>
      <c r="AR170" s="1041">
        <f t="shared" ref="AR170" ca="1" si="1320">IF($R170-$F170=0,AQ170+$AX170/12,AQ170+((M170-L170)/($R170-$F170))*$AX170)</f>
        <v>-742176217.86531949</v>
      </c>
      <c r="AS170" s="1041">
        <f t="shared" ref="AS170" ca="1" si="1321">IF($R170-$F170=0,AR170+$AX170/12,AR170+((N170-M170)/($R170-$F170))*$AX170)</f>
        <v>-759806159.40047169</v>
      </c>
      <c r="AT170" s="1041">
        <f t="shared" ref="AT170" ca="1" si="1322">IF($R170-$F170=0,AS170+$AX170/12,AS170+((O170-N170)/($R170-$F170))*$AX170)</f>
        <v>-785327128.48964</v>
      </c>
      <c r="AU170" s="1041">
        <f t="shared" ref="AU170" ca="1" si="1323">IF($R170-$F170=0,AT170+$AX170/12,AT170+((P170-O170)/($R170-$F170))*$AX170)</f>
        <v>-802609556.54704452</v>
      </c>
      <c r="AV170" s="1041">
        <f t="shared" ref="AV170" ca="1" si="1324">IF($R170-$F170=0,AU170+$AX170/12,AU170+((Q170-P170)/($R170-$F170))*$AX170)</f>
        <v>-815830747.21740353</v>
      </c>
      <c r="AW170" s="1041">
        <f t="shared" ref="AW170" ca="1" si="1325">IF($R170-$F170=0,AV170+$AX170/12,AV170+((R170-Q170)/($R170-$F170))*$AX170)</f>
        <v>-818840461.76118684</v>
      </c>
      <c r="AX170" s="462">
        <f ca="1">-(SUM(AK170,AK177)-AX171)</f>
        <v>-43570224.419593811</v>
      </c>
      <c r="AY170" s="133">
        <f ca="1">+AW170-AK170+AW177</f>
        <v>-49790127.039593689</v>
      </c>
      <c r="AZ170" s="133"/>
      <c r="BA170" s="131">
        <f ca="1">SUM(BA166:BA169)</f>
        <v>-748268498.73947752</v>
      </c>
    </row>
    <row r="171" spans="1:53">
      <c r="A171" s="250">
        <f t="shared" si="1086"/>
        <v>156</v>
      </c>
      <c r="B171" s="212"/>
      <c r="C171" s="102"/>
      <c r="D171" s="102"/>
      <c r="E171" s="102"/>
      <c r="N171" s="990"/>
      <c r="U171" s="102"/>
      <c r="V171" s="1006"/>
      <c r="W171" s="1006"/>
      <c r="X171" s="1006"/>
      <c r="Y171" s="1006"/>
      <c r="Z171" s="1006"/>
      <c r="AA171" s="1006"/>
      <c r="AB171" s="1006"/>
      <c r="AC171" s="1006"/>
      <c r="AD171" s="1006"/>
      <c r="AE171" s="1006"/>
      <c r="AF171" s="1006"/>
      <c r="AG171" s="1006"/>
      <c r="AH171" s="394">
        <f ca="1">+'108_111 Projection'!$H$20</f>
        <v>-781490139.96159339</v>
      </c>
      <c r="AI171" s="133"/>
      <c r="AK171" s="102"/>
      <c r="AL171" s="1029"/>
      <c r="AM171" s="1029"/>
      <c r="AN171" s="1029"/>
      <c r="AO171" s="1029"/>
      <c r="AP171" s="1029"/>
      <c r="AQ171" s="1029"/>
      <c r="AR171" s="1029"/>
      <c r="AS171" s="1029"/>
      <c r="AT171" s="1029"/>
      <c r="AU171" s="1029"/>
      <c r="AV171" s="1029"/>
      <c r="AW171" s="1016"/>
      <c r="AX171" s="394">
        <f ca="1">+'108_111 Projection'!$I$20</f>
        <v>-825060364.38118696</v>
      </c>
      <c r="AY171" s="133"/>
      <c r="AZ171" s="133"/>
    </row>
    <row r="172" spans="1:53">
      <c r="A172" s="250">
        <f t="shared" si="1086"/>
        <v>157</v>
      </c>
      <c r="B172" s="208" t="s">
        <v>212</v>
      </c>
      <c r="C172" s="102" t="s">
        <v>1053</v>
      </c>
      <c r="D172" s="102"/>
      <c r="E172" s="102"/>
      <c r="U172" s="102"/>
      <c r="AH172" s="102"/>
      <c r="AK172" s="102"/>
      <c r="AX172" s="102"/>
      <c r="AY172" s="752"/>
      <c r="AZ172" s="752"/>
    </row>
    <row r="173" spans="1:53">
      <c r="A173" s="250">
        <f t="shared" si="1086"/>
        <v>158</v>
      </c>
      <c r="B173" s="208"/>
      <c r="C173" s="102"/>
      <c r="D173" s="102" t="s">
        <v>443</v>
      </c>
      <c r="E173" s="102"/>
      <c r="F173" s="974">
        <f>'Rate Base'!S171</f>
        <v>-6133169.1100000003</v>
      </c>
      <c r="G173" s="974">
        <f>'Rate Base'!T171</f>
        <v>-6134870.6200000001</v>
      </c>
      <c r="H173" s="974">
        <f>'Rate Base'!U171</f>
        <v>-6136325.9799999995</v>
      </c>
      <c r="I173" s="974">
        <f>'Rate Base'!V171</f>
        <v>-6137515.3499999996</v>
      </c>
      <c r="J173" s="974">
        <f>'Rate Base'!W171</f>
        <v>-6139006.6299999999</v>
      </c>
      <c r="K173" s="974">
        <f>'Rate Base'!X171</f>
        <v>-6140416.4799999995</v>
      </c>
      <c r="L173" s="974">
        <f>'Rate Base'!Y171</f>
        <v>-6141845.8700000001</v>
      </c>
      <c r="M173" s="974">
        <f>'Rate Base'!Z171</f>
        <v>-6143359.4199999999</v>
      </c>
      <c r="N173" s="974">
        <f>'Rate Base'!AA171</f>
        <v>-6144762.0199999996</v>
      </c>
      <c r="O173" s="974">
        <f>'Rate Base'!AB171</f>
        <v>-6146085.96</v>
      </c>
      <c r="P173" s="974">
        <f>'Rate Base'!AC171</f>
        <v>-6147444.3300000001</v>
      </c>
      <c r="Q173" s="974">
        <f>'Rate Base'!AD171</f>
        <v>-6149218</v>
      </c>
      <c r="R173" s="974">
        <f>'Rate Base'!AE171</f>
        <v>-6150276.6600000001</v>
      </c>
      <c r="S173" s="116"/>
      <c r="T173" s="116">
        <f>((F173/2)+SUM(G173:Q173)+(R173/2))/12</f>
        <v>-6141881.1287500001</v>
      </c>
      <c r="U173" s="106">
        <f>+R173</f>
        <v>-6150276.6600000001</v>
      </c>
      <c r="V173" s="998">
        <f t="shared" ref="V173" si="1326">(U173/U177)*V177</f>
        <v>-6150276.6600000001</v>
      </c>
      <c r="W173" s="998">
        <f t="shared" ref="W173" si="1327">(V173/V177)*W177</f>
        <v>-6150276.6600000001</v>
      </c>
      <c r="X173" s="998">
        <f t="shared" ref="X173" si="1328">(W173/W177)*X177</f>
        <v>-6150276.6600000001</v>
      </c>
      <c r="Y173" s="998">
        <f t="shared" ref="Y173" si="1329">(X173/X177)*Y177</f>
        <v>-6150276.6600000001</v>
      </c>
      <c r="Z173" s="998">
        <f t="shared" ref="Z173" si="1330">(Y173/Y177)*Z177</f>
        <v>-6150276.6600000001</v>
      </c>
      <c r="AA173" s="998">
        <f t="shared" ref="AA173" si="1331">(Z173/Z177)*AA177</f>
        <v>-6150276.6600000001</v>
      </c>
      <c r="AB173" s="998">
        <f t="shared" ref="AB173" si="1332">(AA173/AA177)*AB177</f>
        <v>-6150276.6600000001</v>
      </c>
      <c r="AC173" s="998">
        <f t="shared" ref="AC173" si="1333">(AB173/AB177)*AC177</f>
        <v>-6150276.6600000001</v>
      </c>
      <c r="AD173" s="998">
        <f t="shared" ref="AD173" si="1334">(AC173/AC177)*AD177</f>
        <v>-6150276.6600000001</v>
      </c>
      <c r="AE173" s="998">
        <f t="shared" ref="AE173" si="1335">(AD173/AD177)*AE177</f>
        <v>-6150276.6600000001</v>
      </c>
      <c r="AF173" s="998">
        <f t="shared" ref="AF173" si="1336">(AE173/AE177)*AF177</f>
        <v>-6150276.6600000001</v>
      </c>
      <c r="AG173" s="998">
        <f t="shared" ref="AG173" si="1337">(AF173/AF177)*AG177</f>
        <v>-6150276.6600000001</v>
      </c>
      <c r="AH173" s="389"/>
      <c r="AI173" s="133"/>
      <c r="AJ173" s="116">
        <f>((U173/2)+SUM(V173:AF173)+(AG173/2))/12</f>
        <v>-6150276.6599999992</v>
      </c>
      <c r="AK173" s="106">
        <f>AG173</f>
        <v>-6150276.6600000001</v>
      </c>
      <c r="AL173" s="1016">
        <f>(AK173/AK177)*AL177</f>
        <v>-6150276.6600000001</v>
      </c>
      <c r="AM173" s="1016">
        <f t="shared" ref="AM173:AW173" si="1338">(AL173/AL177)*AM177</f>
        <v>-6150276.6600000001</v>
      </c>
      <c r="AN173" s="1016">
        <f t="shared" si="1338"/>
        <v>-6150276.6600000001</v>
      </c>
      <c r="AO173" s="1016">
        <f t="shared" si="1338"/>
        <v>-6150276.6600000001</v>
      </c>
      <c r="AP173" s="1016">
        <f t="shared" si="1338"/>
        <v>-6150276.6600000001</v>
      </c>
      <c r="AQ173" s="1016">
        <f t="shared" si="1338"/>
        <v>-6150276.6600000001</v>
      </c>
      <c r="AR173" s="1016">
        <f t="shared" si="1338"/>
        <v>-6150276.6600000001</v>
      </c>
      <c r="AS173" s="1016">
        <f t="shared" si="1338"/>
        <v>-6150276.6600000001</v>
      </c>
      <c r="AT173" s="1016">
        <f t="shared" si="1338"/>
        <v>-6150276.6600000001</v>
      </c>
      <c r="AU173" s="1016">
        <f t="shared" si="1338"/>
        <v>-6150276.6600000001</v>
      </c>
      <c r="AV173" s="1016">
        <f t="shared" si="1338"/>
        <v>-6150276.6600000001</v>
      </c>
      <c r="AW173" s="1016">
        <f t="shared" si="1338"/>
        <v>-6150276.6600000001</v>
      </c>
      <c r="AX173" s="389"/>
      <c r="AY173" s="133">
        <f ca="1">+AW170+AW177</f>
        <v>-825060364.38118684</v>
      </c>
      <c r="AZ173" s="133"/>
      <c r="BA173" s="116">
        <f>((AK173/2)+SUM(AL173:AV173)+(AW173/2))/12</f>
        <v>-6150276.6599999992</v>
      </c>
    </row>
    <row r="174" spans="1:53">
      <c r="A174" s="250">
        <f t="shared" si="1086"/>
        <v>159</v>
      </c>
      <c r="B174" s="208"/>
      <c r="C174" s="102"/>
      <c r="D174" s="102" t="s">
        <v>592</v>
      </c>
      <c r="E174" s="102"/>
      <c r="F174" s="974">
        <f>'Rate Base'!S172</f>
        <v>-10883.08</v>
      </c>
      <c r="G174" s="974">
        <f>'Rate Base'!T172</f>
        <v>-10883.08</v>
      </c>
      <c r="H174" s="974">
        <f>'Rate Base'!U172</f>
        <v>-10883.08</v>
      </c>
      <c r="I174" s="974">
        <f>'Rate Base'!V172</f>
        <v>-10883.08</v>
      </c>
      <c r="J174" s="974">
        <f>'Rate Base'!W172</f>
        <v>-10883.08</v>
      </c>
      <c r="K174" s="974">
        <f>'Rate Base'!X172</f>
        <v>-10883.08</v>
      </c>
      <c r="L174" s="974">
        <f>'Rate Base'!Y172</f>
        <v>-10883.08</v>
      </c>
      <c r="M174" s="974">
        <f>'Rate Base'!Z172</f>
        <v>-10883.08</v>
      </c>
      <c r="N174" s="974">
        <f>'Rate Base'!AA172</f>
        <v>-10883.08</v>
      </c>
      <c r="O174" s="974">
        <f>'Rate Base'!AB172</f>
        <v>-10883.08</v>
      </c>
      <c r="P174" s="974">
        <f>'Rate Base'!AC172</f>
        <v>-10883.08</v>
      </c>
      <c r="Q174" s="974">
        <f>'Rate Base'!AD172</f>
        <v>-10883.08</v>
      </c>
      <c r="R174" s="974">
        <f>'Rate Base'!AE172</f>
        <v>-10883.08</v>
      </c>
      <c r="S174" s="116"/>
      <c r="T174" s="116">
        <f>((F174/2)+SUM(G174:Q174)+(R174/2))/12</f>
        <v>-10883.08</v>
      </c>
      <c r="U174" s="106">
        <f>+R174</f>
        <v>-10883.08</v>
      </c>
      <c r="V174" s="998">
        <f t="shared" ref="V174" si="1339">(U174/U177)*V177</f>
        <v>-10883.08</v>
      </c>
      <c r="W174" s="998">
        <f t="shared" ref="W174" si="1340">(V174/V177)*W177</f>
        <v>-10883.08</v>
      </c>
      <c r="X174" s="998">
        <f t="shared" ref="X174" si="1341">(W174/W177)*X177</f>
        <v>-10883.08</v>
      </c>
      <c r="Y174" s="998">
        <f t="shared" ref="Y174" si="1342">(X174/X177)*Y177</f>
        <v>-10883.08</v>
      </c>
      <c r="Z174" s="998">
        <f t="shared" ref="Z174" si="1343">(Y174/Y177)*Z177</f>
        <v>-10883.08</v>
      </c>
      <c r="AA174" s="998">
        <f t="shared" ref="AA174" si="1344">(Z174/Z177)*AA177</f>
        <v>-10883.08</v>
      </c>
      <c r="AB174" s="998">
        <f t="shared" ref="AB174" si="1345">(AA174/AA177)*AB177</f>
        <v>-10883.08</v>
      </c>
      <c r="AC174" s="998">
        <f t="shared" ref="AC174" si="1346">(AB174/AB177)*AC177</f>
        <v>-10883.08</v>
      </c>
      <c r="AD174" s="998">
        <f t="shared" ref="AD174" si="1347">(AC174/AC177)*AD177</f>
        <v>-10883.08</v>
      </c>
      <c r="AE174" s="998">
        <f t="shared" ref="AE174" si="1348">(AD174/AD177)*AE177</f>
        <v>-10883.08</v>
      </c>
      <c r="AF174" s="998">
        <f t="shared" ref="AF174" si="1349">(AE174/AE177)*AF177</f>
        <v>-10883.08</v>
      </c>
      <c r="AG174" s="998">
        <f t="shared" ref="AG174" si="1350">(AF174/AF177)*AG177</f>
        <v>-10883.08</v>
      </c>
      <c r="AH174" s="106"/>
      <c r="AI174" s="133"/>
      <c r="AJ174" s="116">
        <f>((U174/2)+SUM(V174:AF174)+(AG174/2))/12</f>
        <v>-10883.08</v>
      </c>
      <c r="AK174" s="106">
        <f>AG174</f>
        <v>-10883.08</v>
      </c>
      <c r="AL174" s="1016">
        <f>(AK174/AK177)*AL177</f>
        <v>-10883.08</v>
      </c>
      <c r="AM174" s="1016">
        <f t="shared" ref="AM174:AW174" si="1351">(AL174/AL177)*AM177</f>
        <v>-10883.08</v>
      </c>
      <c r="AN174" s="1016">
        <f t="shared" si="1351"/>
        <v>-10883.08</v>
      </c>
      <c r="AO174" s="1016">
        <f t="shared" si="1351"/>
        <v>-10883.08</v>
      </c>
      <c r="AP174" s="1016">
        <f t="shared" si="1351"/>
        <v>-10883.08</v>
      </c>
      <c r="AQ174" s="1016">
        <f t="shared" si="1351"/>
        <v>-10883.08</v>
      </c>
      <c r="AR174" s="1016">
        <f t="shared" si="1351"/>
        <v>-10883.08</v>
      </c>
      <c r="AS174" s="1016">
        <f t="shared" si="1351"/>
        <v>-10883.08</v>
      </c>
      <c r="AT174" s="1016">
        <f t="shared" si="1351"/>
        <v>-10883.08</v>
      </c>
      <c r="AU174" s="1016">
        <f t="shared" si="1351"/>
        <v>-10883.08</v>
      </c>
      <c r="AV174" s="1016">
        <f t="shared" si="1351"/>
        <v>-10883.08</v>
      </c>
      <c r="AW174" s="1016">
        <f t="shared" si="1351"/>
        <v>-10883.08</v>
      </c>
      <c r="AX174" s="106"/>
      <c r="AY174" s="133"/>
      <c r="AZ174" s="133"/>
      <c r="BA174" s="116">
        <f>((AK174/2)+SUM(AL174:AV174)+(AW174/2))/12</f>
        <v>-10883.08</v>
      </c>
    </row>
    <row r="175" spans="1:53">
      <c r="A175" s="250">
        <f t="shared" si="1086"/>
        <v>160</v>
      </c>
      <c r="B175" s="208"/>
      <c r="C175" s="102"/>
      <c r="D175" s="102" t="s">
        <v>593</v>
      </c>
      <c r="E175" s="102"/>
      <c r="F175" s="974">
        <f>'Rate Base'!S173</f>
        <v>-58742.880000000005</v>
      </c>
      <c r="G175" s="974">
        <f>'Rate Base'!T173</f>
        <v>-58742.880000000005</v>
      </c>
      <c r="H175" s="974">
        <f>'Rate Base'!U173</f>
        <v>-58742.880000000005</v>
      </c>
      <c r="I175" s="974">
        <f>'Rate Base'!V173</f>
        <v>-58742.880000000005</v>
      </c>
      <c r="J175" s="974">
        <f>'Rate Base'!W173</f>
        <v>-58742.880000000005</v>
      </c>
      <c r="K175" s="974">
        <f>'Rate Base'!X173</f>
        <v>-58742.880000000005</v>
      </c>
      <c r="L175" s="974">
        <f>'Rate Base'!Y173</f>
        <v>-58742.880000000005</v>
      </c>
      <c r="M175" s="974">
        <f>'Rate Base'!Z173</f>
        <v>-58742.880000000005</v>
      </c>
      <c r="N175" s="974">
        <f>'Rate Base'!AA173</f>
        <v>-58742.880000000005</v>
      </c>
      <c r="O175" s="974">
        <f>'Rate Base'!AB173</f>
        <v>-58742.880000000005</v>
      </c>
      <c r="P175" s="974">
        <f>'Rate Base'!AC173</f>
        <v>-58742.880000000005</v>
      </c>
      <c r="Q175" s="974">
        <f>'Rate Base'!AD173</f>
        <v>-58742.880000000005</v>
      </c>
      <c r="R175" s="974">
        <f>'Rate Base'!AE173</f>
        <v>-58742.880000000005</v>
      </c>
      <c r="S175" s="116"/>
      <c r="T175" s="116">
        <f>((F175/2)+SUM(G175:Q175)+(R175/2))/12</f>
        <v>-58742.880000000005</v>
      </c>
      <c r="U175" s="106">
        <f>+R175</f>
        <v>-58742.880000000005</v>
      </c>
      <c r="V175" s="998">
        <f t="shared" ref="V175" si="1352">(U175/U177)*V177</f>
        <v>-58742.880000000005</v>
      </c>
      <c r="W175" s="998">
        <f t="shared" ref="W175" si="1353">(V175/V177)*W177</f>
        <v>-58742.880000000005</v>
      </c>
      <c r="X175" s="998">
        <f t="shared" ref="X175" si="1354">(W175/W177)*X177</f>
        <v>-58742.880000000005</v>
      </c>
      <c r="Y175" s="998">
        <f t="shared" ref="Y175" si="1355">(X175/X177)*Y177</f>
        <v>-58742.880000000005</v>
      </c>
      <c r="Z175" s="998">
        <f t="shared" ref="Z175" si="1356">(Y175/Y177)*Z177</f>
        <v>-58742.880000000005</v>
      </c>
      <c r="AA175" s="998">
        <f t="shared" ref="AA175" si="1357">(Z175/Z177)*AA177</f>
        <v>-58742.880000000005</v>
      </c>
      <c r="AB175" s="998">
        <f t="shared" ref="AB175" si="1358">(AA175/AA177)*AB177</f>
        <v>-58742.880000000005</v>
      </c>
      <c r="AC175" s="998">
        <f t="shared" ref="AC175" si="1359">(AB175/AB177)*AC177</f>
        <v>-58742.880000000005</v>
      </c>
      <c r="AD175" s="998">
        <f t="shared" ref="AD175" si="1360">(AC175/AC177)*AD177</f>
        <v>-58742.880000000005</v>
      </c>
      <c r="AE175" s="998">
        <f t="shared" ref="AE175" si="1361">(AD175/AD177)*AE177</f>
        <v>-58742.880000000005</v>
      </c>
      <c r="AF175" s="998">
        <f t="shared" ref="AF175" si="1362">(AE175/AE177)*AF177</f>
        <v>-58742.880000000005</v>
      </c>
      <c r="AG175" s="998">
        <f t="shared" ref="AG175" si="1363">(AF175/AF177)*AG177</f>
        <v>-58742.880000000005</v>
      </c>
      <c r="AH175" s="106"/>
      <c r="AI175" s="133"/>
      <c r="AJ175" s="116">
        <f>((U175/2)+SUM(V175:AF175)+(AG175/2))/12</f>
        <v>-58742.880000000005</v>
      </c>
      <c r="AK175" s="106">
        <f>AG175</f>
        <v>-58742.880000000005</v>
      </c>
      <c r="AL175" s="1016">
        <f>(AK175/AK177)*AL177</f>
        <v>-58742.880000000005</v>
      </c>
      <c r="AM175" s="1016">
        <f t="shared" ref="AM175:AW175" si="1364">(AL175/AL177)*AM177</f>
        <v>-58742.880000000005</v>
      </c>
      <c r="AN175" s="1016">
        <f t="shared" si="1364"/>
        <v>-58742.880000000005</v>
      </c>
      <c r="AO175" s="1016">
        <f t="shared" si="1364"/>
        <v>-58742.880000000005</v>
      </c>
      <c r="AP175" s="1016">
        <f t="shared" si="1364"/>
        <v>-58742.880000000005</v>
      </c>
      <c r="AQ175" s="1016">
        <f t="shared" si="1364"/>
        <v>-58742.880000000005</v>
      </c>
      <c r="AR175" s="1016">
        <f t="shared" si="1364"/>
        <v>-58742.880000000005</v>
      </c>
      <c r="AS175" s="1016">
        <f t="shared" si="1364"/>
        <v>-58742.880000000005</v>
      </c>
      <c r="AT175" s="1016">
        <f t="shared" si="1364"/>
        <v>-58742.880000000005</v>
      </c>
      <c r="AU175" s="1016">
        <f t="shared" si="1364"/>
        <v>-58742.880000000005</v>
      </c>
      <c r="AV175" s="1016">
        <f t="shared" si="1364"/>
        <v>-58742.880000000005</v>
      </c>
      <c r="AW175" s="1016">
        <f t="shared" si="1364"/>
        <v>-58742.880000000005</v>
      </c>
      <c r="AX175" s="106"/>
      <c r="AY175" s="133"/>
      <c r="AZ175" s="133"/>
      <c r="BA175" s="116">
        <f>((AK175/2)+SUM(AL175:AV175)+(AW175/2))/12</f>
        <v>-58742.880000000005</v>
      </c>
    </row>
    <row r="176" spans="1:53">
      <c r="A176" s="250">
        <f t="shared" si="1086"/>
        <v>161</v>
      </c>
      <c r="B176" s="208"/>
      <c r="C176" s="102"/>
      <c r="D176" s="102" t="s">
        <v>595</v>
      </c>
      <c r="E176" s="102"/>
      <c r="F176" s="974">
        <f>'Rate Base'!S174</f>
        <v>0</v>
      </c>
      <c r="G176" s="974">
        <f>'Rate Base'!T174</f>
        <v>0</v>
      </c>
      <c r="H176" s="974">
        <f>'Rate Base'!U174</f>
        <v>0</v>
      </c>
      <c r="I176" s="974">
        <f>'Rate Base'!V174</f>
        <v>0</v>
      </c>
      <c r="J176" s="974">
        <f>'Rate Base'!W174</f>
        <v>0</v>
      </c>
      <c r="K176" s="974">
        <f>'Rate Base'!X174</f>
        <v>0</v>
      </c>
      <c r="L176" s="974">
        <f>'Rate Base'!Y174</f>
        <v>0</v>
      </c>
      <c r="M176" s="974">
        <f>'Rate Base'!Z174</f>
        <v>0</v>
      </c>
      <c r="N176" s="974">
        <f>'Rate Base'!AA174</f>
        <v>0</v>
      </c>
      <c r="O176" s="974">
        <f>'Rate Base'!AB174</f>
        <v>0</v>
      </c>
      <c r="P176" s="974">
        <f>'Rate Base'!AC174</f>
        <v>0</v>
      </c>
      <c r="Q176" s="974">
        <f>'Rate Base'!AD174</f>
        <v>0</v>
      </c>
      <c r="R176" s="974">
        <f>'Rate Base'!AE174</f>
        <v>0</v>
      </c>
      <c r="S176" s="116"/>
      <c r="T176" s="116">
        <f>((F176/2)+SUM(G176:Q176)+(R176/2))/12</f>
        <v>0</v>
      </c>
      <c r="U176" s="106">
        <f>+R176</f>
        <v>0</v>
      </c>
      <c r="V176" s="998">
        <f t="shared" ref="V176" si="1365">(U176/U177)*V177</f>
        <v>0</v>
      </c>
      <c r="W176" s="998">
        <f t="shared" ref="W176" si="1366">(V176/V177)*W177</f>
        <v>0</v>
      </c>
      <c r="X176" s="998">
        <f t="shared" ref="X176" si="1367">(W176/W177)*X177</f>
        <v>0</v>
      </c>
      <c r="Y176" s="998">
        <f t="shared" ref="Y176" si="1368">(X176/X177)*Y177</f>
        <v>0</v>
      </c>
      <c r="Z176" s="998">
        <f t="shared" ref="Z176" si="1369">(Y176/Y177)*Z177</f>
        <v>0</v>
      </c>
      <c r="AA176" s="998">
        <f t="shared" ref="AA176" si="1370">(Z176/Z177)*AA177</f>
        <v>0</v>
      </c>
      <c r="AB176" s="998">
        <f t="shared" ref="AB176" si="1371">(AA176/AA177)*AB177</f>
        <v>0</v>
      </c>
      <c r="AC176" s="998">
        <f t="shared" ref="AC176" si="1372">(AB176/AB177)*AC177</f>
        <v>0</v>
      </c>
      <c r="AD176" s="998">
        <f t="shared" ref="AD176" si="1373">(AC176/AC177)*AD177</f>
        <v>0</v>
      </c>
      <c r="AE176" s="998">
        <f t="shared" ref="AE176" si="1374">(AD176/AD177)*AE177</f>
        <v>0</v>
      </c>
      <c r="AF176" s="998">
        <f t="shared" ref="AF176" si="1375">(AE176/AE177)*AF177</f>
        <v>0</v>
      </c>
      <c r="AG176" s="998">
        <f t="shared" ref="AG176" si="1376">(AF176/AF177)*AG177</f>
        <v>0</v>
      </c>
      <c r="AH176" s="106"/>
      <c r="AI176" s="133"/>
      <c r="AJ176" s="116">
        <f>((U176/2)+SUM(V176:AF176)+(AG176/2))/12</f>
        <v>0</v>
      </c>
      <c r="AK176" s="106">
        <f>AG176</f>
        <v>0</v>
      </c>
      <c r="AL176" s="1016">
        <f>(AK176/AK177)*AL177</f>
        <v>0</v>
      </c>
      <c r="AM176" s="1016">
        <f t="shared" ref="AM176" si="1377">(AL176/AL177)*AM177</f>
        <v>0</v>
      </c>
      <c r="AN176" s="1016">
        <f t="shared" ref="AN176" si="1378">(AM176/AM177)*AN177</f>
        <v>0</v>
      </c>
      <c r="AO176" s="1016">
        <f t="shared" ref="AO176" si="1379">(AN176/AN177)*AO177</f>
        <v>0</v>
      </c>
      <c r="AP176" s="1016">
        <f t="shared" ref="AP176" si="1380">(AO176/AO177)*AP177</f>
        <v>0</v>
      </c>
      <c r="AQ176" s="1016">
        <f t="shared" ref="AQ176" si="1381">(AP176/AP177)*AQ177</f>
        <v>0</v>
      </c>
      <c r="AR176" s="1016">
        <f t="shared" ref="AR176" si="1382">(AQ176/AQ177)*AR177</f>
        <v>0</v>
      </c>
      <c r="AS176" s="1016">
        <f t="shared" ref="AS176" si="1383">(AR176/AR177)*AS177</f>
        <v>0</v>
      </c>
      <c r="AT176" s="1016">
        <f t="shared" ref="AT176" si="1384">(AS176/AS177)*AT177</f>
        <v>0</v>
      </c>
      <c r="AU176" s="1016">
        <f t="shared" ref="AU176" si="1385">(AT176/AT177)*AU177</f>
        <v>0</v>
      </c>
      <c r="AV176" s="1016">
        <f t="shared" ref="AV176" si="1386">(AU176/AU177)*AV177</f>
        <v>0</v>
      </c>
      <c r="AW176" s="1016">
        <f t="shared" ref="AW176" si="1387">(AV176/AV177)*AW177</f>
        <v>0</v>
      </c>
      <c r="AX176" s="106"/>
      <c r="AY176" s="133"/>
      <c r="AZ176" s="133"/>
      <c r="BA176" s="116">
        <f>((AK176/2)+SUM(AL176:AV176)+(AW176/2))/12</f>
        <v>0</v>
      </c>
    </row>
    <row r="177" spans="1:53">
      <c r="A177" s="250">
        <f t="shared" si="1086"/>
        <v>162</v>
      </c>
      <c r="B177" s="208"/>
      <c r="C177" s="102"/>
      <c r="D177" s="102" t="s">
        <v>170</v>
      </c>
      <c r="E177" s="102"/>
      <c r="F177" s="993">
        <f t="shared" ref="F177:R177" si="1388">SUM(F173:F176)</f>
        <v>-6202795.0700000003</v>
      </c>
      <c r="G177" s="993">
        <f t="shared" si="1388"/>
        <v>-6204496.5800000001</v>
      </c>
      <c r="H177" s="993">
        <f t="shared" si="1388"/>
        <v>-6205951.9399999995</v>
      </c>
      <c r="I177" s="993">
        <f t="shared" si="1388"/>
        <v>-6207141.3099999996</v>
      </c>
      <c r="J177" s="993">
        <f t="shared" si="1388"/>
        <v>-6208632.5899999999</v>
      </c>
      <c r="K177" s="993">
        <f t="shared" si="1388"/>
        <v>-6210042.4399999995</v>
      </c>
      <c r="L177" s="993">
        <f t="shared" si="1388"/>
        <v>-6211471.8300000001</v>
      </c>
      <c r="M177" s="993">
        <f t="shared" si="1388"/>
        <v>-6212985.3799999999</v>
      </c>
      <c r="N177" s="993">
        <f t="shared" si="1388"/>
        <v>-6214387.9799999995</v>
      </c>
      <c r="O177" s="993">
        <f t="shared" si="1388"/>
        <v>-6215711.9199999999</v>
      </c>
      <c r="P177" s="993">
        <f t="shared" si="1388"/>
        <v>-6217070.29</v>
      </c>
      <c r="Q177" s="993">
        <f t="shared" si="1388"/>
        <v>-6218843.96</v>
      </c>
      <c r="R177" s="993">
        <f t="shared" si="1388"/>
        <v>-6219902.6200000001</v>
      </c>
      <c r="S177" s="116"/>
      <c r="T177" s="131">
        <f>SUM(T173:T176)</f>
        <v>-6211507.0887500001</v>
      </c>
      <c r="U177" s="394">
        <f>+R177</f>
        <v>-6219902.6200000001</v>
      </c>
      <c r="V177" s="1269">
        <f t="shared" ref="V177:AA177" si="1389">IF($R177-$F177=0,U177+$AH177/12,U177+((G177-F177)/($R177-$F177))*$AH177)</f>
        <v>-6219902.6200000001</v>
      </c>
      <c r="W177" s="1269">
        <f t="shared" si="1389"/>
        <v>-6219902.6200000001</v>
      </c>
      <c r="X177" s="1269">
        <f t="shared" si="1389"/>
        <v>-6219902.6200000001</v>
      </c>
      <c r="Y177" s="1269">
        <f t="shared" si="1389"/>
        <v>-6219902.6200000001</v>
      </c>
      <c r="Z177" s="1269">
        <f t="shared" si="1389"/>
        <v>-6219902.6200000001</v>
      </c>
      <c r="AA177" s="1269">
        <f t="shared" si="1389"/>
        <v>-6219902.6200000001</v>
      </c>
      <c r="AB177" s="1269">
        <f>IF($R177-$F177=0,AA177+$AH177/12,AA177+((M177-L177)/($R177-$F177))*$AH177)</f>
        <v>-6219902.6200000001</v>
      </c>
      <c r="AC177" s="1269">
        <f t="shared" ref="AC177" si="1390">IF($R177-$F177=0,AB177+$AH177/12,AB177+((N177-M177)/($R177-$F177))*$AH177)</f>
        <v>-6219902.6200000001</v>
      </c>
      <c r="AD177" s="1269">
        <f t="shared" ref="AD177" si="1391">IF($R177-$F177=0,AC177+$AH177/12,AC177+((O177-N177)/($R177-$F177))*$AH177)</f>
        <v>-6219902.6200000001</v>
      </c>
      <c r="AE177" s="1269">
        <f t="shared" ref="AE177" si="1392">IF($R177-$F177=0,AD177+$AH177/12,AD177+((P177-O177)/($R177-$F177))*$AH177)</f>
        <v>-6219902.6200000001</v>
      </c>
      <c r="AF177" s="1269">
        <f t="shared" ref="AF177" si="1393">IF($R177-$F177=0,AE177+$AH177/12,AE177+((Q177-P177)/($R177-$F177))*$AH177)</f>
        <v>-6219902.6200000001</v>
      </c>
      <c r="AG177" s="1269">
        <f t="shared" ref="AG177" si="1394">IF($R177-$F177=0,AF177+$AH177/12,AF177+((R177-Q177)/($R177-$F177))*$AH177)</f>
        <v>-6219902.6200000001</v>
      </c>
      <c r="AH177" s="394">
        <v>0</v>
      </c>
      <c r="AI177" s="133">
        <f>+AG177-U177</f>
        <v>0</v>
      </c>
      <c r="AJ177" s="131">
        <f>SUM(AJ173:AJ176)</f>
        <v>-6219902.6199999992</v>
      </c>
      <c r="AK177" s="1039">
        <f>AG177</f>
        <v>-6219902.6200000001</v>
      </c>
      <c r="AL177" s="1041">
        <f>IF($R177-$F177=0,AK177+$AX177/12,AK177+((G177-F177)/($R177-$F177))*$AX177)</f>
        <v>-6219902.6200000001</v>
      </c>
      <c r="AM177" s="1041">
        <f t="shared" ref="AM177" si="1395">IF($R177-$F177=0,AL177+$AX177/12,AL177+((H177-G177)/($R177-$F177))*$AX177)</f>
        <v>-6219902.6200000001</v>
      </c>
      <c r="AN177" s="1041">
        <f t="shared" ref="AN177" si="1396">IF($R177-$F177=0,AM177+$AX177/12,AM177+((I177-H177)/($R177-$F177))*$AX177)</f>
        <v>-6219902.6200000001</v>
      </c>
      <c r="AO177" s="1041">
        <f t="shared" ref="AO177" si="1397">IF($R177-$F177=0,AN177+$AX177/12,AN177+((J177-I177)/($R177-$F177))*$AX177)</f>
        <v>-6219902.6200000001</v>
      </c>
      <c r="AP177" s="1041">
        <f t="shared" ref="AP177" si="1398">IF($R177-$F177=0,AO177+$AX177/12,AO177+((K177-J177)/($R177-$F177))*$AX177)</f>
        <v>-6219902.6200000001</v>
      </c>
      <c r="AQ177" s="1041">
        <f t="shared" ref="AQ177" si="1399">IF($R177-$F177=0,AP177+$AX177/12,AP177+((L177-K177)/($R177-$F177))*$AX177)</f>
        <v>-6219902.6200000001</v>
      </c>
      <c r="AR177" s="1041">
        <f t="shared" ref="AR177" si="1400">IF($R177-$F177=0,AQ177+$AX177/12,AQ177+((M177-L177)/($R177-$F177))*$AX177)</f>
        <v>-6219902.6200000001</v>
      </c>
      <c r="AS177" s="1041">
        <f t="shared" ref="AS177" si="1401">IF($R177-$F177=0,AR177+$AX177/12,AR177+((N177-M177)/($R177-$F177))*$AX177)</f>
        <v>-6219902.6200000001</v>
      </c>
      <c r="AT177" s="1041">
        <f t="shared" ref="AT177" si="1402">IF($R177-$F177=0,AS177+$AX177/12,AS177+((O177-N177)/($R177-$F177))*$AX177)</f>
        <v>-6219902.6200000001</v>
      </c>
      <c r="AU177" s="1041">
        <f t="shared" ref="AU177" si="1403">IF($R177-$F177=0,AT177+$AX177/12,AT177+((P177-O177)/($R177-$F177))*$AX177)</f>
        <v>-6219902.6200000001</v>
      </c>
      <c r="AV177" s="1041">
        <f t="shared" ref="AV177" si="1404">IF($R177-$F177=0,AU177+$AX177/12,AU177+((Q177-P177)/($R177-$F177))*$AX177)</f>
        <v>-6219902.6200000001</v>
      </c>
      <c r="AW177" s="1041">
        <f t="shared" ref="AW177" si="1405">IF($R177-$F177=0,AV177+$AX177/12,AV177+((R177-Q177)/($R177-$F177))*$AX177)</f>
        <v>-6219902.6200000001</v>
      </c>
      <c r="AX177" s="394">
        <v>0</v>
      </c>
      <c r="AY177" s="133">
        <f>+AW177-AK177</f>
        <v>0</v>
      </c>
      <c r="AZ177" s="133"/>
      <c r="BA177" s="131">
        <f>SUM(BA173:BA176)</f>
        <v>-6219902.6199999992</v>
      </c>
    </row>
    <row r="178" spans="1:53">
      <c r="A178" s="250">
        <f t="shared" si="1086"/>
        <v>163</v>
      </c>
      <c r="B178" s="49"/>
      <c r="C178" s="102"/>
      <c r="D178" s="102"/>
      <c r="E178" s="102"/>
      <c r="U178" s="102"/>
      <c r="AH178" s="102"/>
      <c r="AK178" s="102"/>
      <c r="AW178" s="1016"/>
      <c r="AX178" s="102"/>
    </row>
    <row r="179" spans="1:53">
      <c r="A179" s="250">
        <f t="shared" si="1086"/>
        <v>164</v>
      </c>
      <c r="B179" s="967" t="s">
        <v>1134</v>
      </c>
      <c r="C179" s="630" t="s">
        <v>1135</v>
      </c>
      <c r="D179" s="968"/>
      <c r="E179" s="102"/>
      <c r="U179" s="102"/>
      <c r="AH179" s="102"/>
      <c r="AK179" s="102"/>
      <c r="AW179" s="1016"/>
      <c r="AX179" s="102"/>
    </row>
    <row r="180" spans="1:53">
      <c r="A180" s="250">
        <f t="shared" si="1086"/>
        <v>165</v>
      </c>
      <c r="B180" s="227"/>
      <c r="C180" s="102"/>
      <c r="D180" s="102" t="s">
        <v>443</v>
      </c>
      <c r="E180" s="102"/>
      <c r="F180" s="974">
        <f>'Rate Base'!S178</f>
        <v>0</v>
      </c>
      <c r="G180" s="974">
        <f>'Rate Base'!T178</f>
        <v>0</v>
      </c>
      <c r="H180" s="974">
        <f>'Rate Base'!U178</f>
        <v>0</v>
      </c>
      <c r="I180" s="974">
        <f>'Rate Base'!V178</f>
        <v>0</v>
      </c>
      <c r="J180" s="974">
        <f>'Rate Base'!W178</f>
        <v>0</v>
      </c>
      <c r="K180" s="974">
        <f>'Rate Base'!X178</f>
        <v>0</v>
      </c>
      <c r="L180" s="974">
        <f>'Rate Base'!Y178</f>
        <v>0</v>
      </c>
      <c r="M180" s="974">
        <f>'Rate Base'!Z178</f>
        <v>0</v>
      </c>
      <c r="N180" s="974">
        <f>'Rate Base'!AA178</f>
        <v>0</v>
      </c>
      <c r="O180" s="974">
        <f>'Rate Base'!AB178</f>
        <v>0</v>
      </c>
      <c r="P180" s="974">
        <f>'Rate Base'!AC178</f>
        <v>0</v>
      </c>
      <c r="Q180" s="974">
        <f>'Rate Base'!AD178</f>
        <v>0</v>
      </c>
      <c r="R180" s="974">
        <f>'Rate Base'!AE178</f>
        <v>0</v>
      </c>
      <c r="T180" s="116">
        <f>((F180/2)+SUM(G180:Q180)+(R180/2))/12</f>
        <v>0</v>
      </c>
      <c r="U180" s="106">
        <f>+R180</f>
        <v>0</v>
      </c>
      <c r="V180" s="998">
        <f t="shared" ref="V180" ca="1" si="1406">(U180/U184)*V184</f>
        <v>0</v>
      </c>
      <c r="W180" s="998">
        <f t="shared" ref="W180" ca="1" si="1407">(V180/V184)*W184</f>
        <v>0</v>
      </c>
      <c r="X180" s="998">
        <f t="shared" ref="X180" ca="1" si="1408">(W180/W184)*X184</f>
        <v>0</v>
      </c>
      <c r="Y180" s="998">
        <f t="shared" ref="Y180" ca="1" si="1409">(X180/X184)*Y184</f>
        <v>0</v>
      </c>
      <c r="Z180" s="998">
        <f t="shared" ref="Z180" ca="1" si="1410">(Y180/Y184)*Z184</f>
        <v>0</v>
      </c>
      <c r="AA180" s="998">
        <f t="shared" ref="AA180" ca="1" si="1411">(Z180/Z184)*AA184</f>
        <v>0</v>
      </c>
      <c r="AB180" s="998">
        <f t="shared" ref="AB180" ca="1" si="1412">(AA180/AA184)*AB184</f>
        <v>0</v>
      </c>
      <c r="AC180" s="998">
        <f t="shared" ref="AC180" ca="1" si="1413">(AB180/AB184)*AC184</f>
        <v>0</v>
      </c>
      <c r="AD180" s="998">
        <f t="shared" ref="AD180" ca="1" si="1414">(AC180/AC184)*AD184</f>
        <v>0</v>
      </c>
      <c r="AE180" s="998">
        <f t="shared" ref="AE180" ca="1" si="1415">(AD180/AD184)*AE184</f>
        <v>0</v>
      </c>
      <c r="AF180" s="998">
        <f t="shared" ref="AF180" ca="1" si="1416">(AE180/AE184)*AF184</f>
        <v>0</v>
      </c>
      <c r="AG180" s="998">
        <f t="shared" ref="AG180" ca="1" si="1417">(AF180/AF184)*AG184</f>
        <v>0</v>
      </c>
      <c r="AH180" s="116"/>
      <c r="AJ180" s="116">
        <f ca="1">((U180/2)+SUM(V180:AF180)+(AG180/2))/12</f>
        <v>0</v>
      </c>
      <c r="AK180" s="106">
        <f ca="1">AG180</f>
        <v>0</v>
      </c>
      <c r="AL180" s="1016">
        <f ca="1">(AK180/AK184)*AL184</f>
        <v>0</v>
      </c>
      <c r="AM180" s="1016">
        <f t="shared" ref="AM180" ca="1" si="1418">(AL180/AL184)*AM184</f>
        <v>0</v>
      </c>
      <c r="AN180" s="1016">
        <f t="shared" ref="AN180" ca="1" si="1419">(AM180/AM184)*AN184</f>
        <v>0</v>
      </c>
      <c r="AO180" s="1016">
        <f t="shared" ref="AO180" ca="1" si="1420">(AN180/AN184)*AO184</f>
        <v>0</v>
      </c>
      <c r="AP180" s="1016">
        <f t="shared" ref="AP180" ca="1" si="1421">(AO180/AO184)*AP184</f>
        <v>0</v>
      </c>
      <c r="AQ180" s="1016">
        <f t="shared" ref="AQ180" ca="1" si="1422">(AP180/AP184)*AQ184</f>
        <v>0</v>
      </c>
      <c r="AR180" s="1016">
        <f t="shared" ref="AR180" ca="1" si="1423">(AQ180/AQ184)*AR184</f>
        <v>0</v>
      </c>
      <c r="AS180" s="1016">
        <f t="shared" ref="AS180" ca="1" si="1424">(AR180/AR184)*AS184</f>
        <v>0</v>
      </c>
      <c r="AT180" s="1016">
        <f t="shared" ref="AT180" ca="1" si="1425">(AS180/AS184)*AT184</f>
        <v>0</v>
      </c>
      <c r="AU180" s="1016">
        <f t="shared" ref="AU180" ca="1" si="1426">(AT180/AT184)*AU184</f>
        <v>0</v>
      </c>
      <c r="AV180" s="1016">
        <f t="shared" ref="AV180" ca="1" si="1427">(AU180/AU184)*AV184</f>
        <v>0</v>
      </c>
      <c r="AW180" s="1016">
        <f t="shared" ref="AW180" ca="1" si="1428">(AV180/AV184)*AW184</f>
        <v>0</v>
      </c>
      <c r="AX180" s="116"/>
      <c r="BA180" s="116">
        <f ca="1">((AK180/2)+SUM(AL180:AV180)+(AW180/2))/12</f>
        <v>0</v>
      </c>
    </row>
    <row r="181" spans="1:53">
      <c r="A181" s="250">
        <f t="shared" si="1086"/>
        <v>166</v>
      </c>
      <c r="B181" s="227"/>
      <c r="C181" s="102"/>
      <c r="D181" s="102" t="s">
        <v>592</v>
      </c>
      <c r="E181" s="102"/>
      <c r="F181" s="974">
        <f>'Rate Base'!S179</f>
        <v>-6216691.4100000001</v>
      </c>
      <c r="G181" s="974">
        <f>'Rate Base'!T179</f>
        <v>-6202088.1500000004</v>
      </c>
      <c r="H181" s="974">
        <f>'Rate Base'!U179</f>
        <v>-6317115.3899999997</v>
      </c>
      <c r="I181" s="974">
        <f>'Rate Base'!V179</f>
        <v>-6261169.71</v>
      </c>
      <c r="J181" s="974">
        <f>'Rate Base'!W179</f>
        <v>-6236339.0700000003</v>
      </c>
      <c r="K181" s="974">
        <f>'Rate Base'!X179</f>
        <v>-6213637.6699999999</v>
      </c>
      <c r="L181" s="974">
        <f>'Rate Base'!Y179</f>
        <v>-6181248.29</v>
      </c>
      <c r="M181" s="974">
        <f>'Rate Base'!Z179</f>
        <v>-6140761.1100000003</v>
      </c>
      <c r="N181" s="974">
        <f>'Rate Base'!AA179</f>
        <v>-6196748.9800000004</v>
      </c>
      <c r="O181" s="974">
        <f>'Rate Base'!AB179</f>
        <v>-6203191.8399999999</v>
      </c>
      <c r="P181" s="974">
        <f>'Rate Base'!AC179</f>
        <v>-6219898.3900000006</v>
      </c>
      <c r="Q181" s="974">
        <f>'Rate Base'!AD179</f>
        <v>-6243591.8199999994</v>
      </c>
      <c r="R181" s="974">
        <f>'Rate Base'!AE179</f>
        <v>-6315729.0099999998</v>
      </c>
      <c r="T181" s="116">
        <f>((F181/2)+SUM(G181:Q181)+(R181/2))/12</f>
        <v>-6223500.0524999993</v>
      </c>
      <c r="U181" s="106">
        <f>+R181</f>
        <v>-6315729.0099999998</v>
      </c>
      <c r="V181" s="998">
        <f t="shared" ref="V181" ca="1" si="1429">(U181/U184)*V184</f>
        <v>-6315727.9001864148</v>
      </c>
      <c r="W181" s="998">
        <f t="shared" ref="W181" ca="1" si="1430">(V181/V184)*W184</f>
        <v>-6315552.2719562426</v>
      </c>
      <c r="X181" s="998">
        <f t="shared" ref="X181" ca="1" si="1431">(W181/W184)*X184</f>
        <v>-6315606.6823283294</v>
      </c>
      <c r="Y181" s="998">
        <f t="shared" ref="Y181" ca="1" si="1432">(X181/X184)*Y184</f>
        <v>-6315596.0732350638</v>
      </c>
      <c r="Z181" s="998">
        <f t="shared" ref="Z181" ca="1" si="1433">(Y181/Y184)*Z184</f>
        <v>-6315612.4648829624</v>
      </c>
      <c r="AA181" s="998">
        <f t="shared" ref="AA181" ca="1" si="1434">(Z181/Z184)*AA184</f>
        <v>-6315618.7662152788</v>
      </c>
      <c r="AB181" s="998">
        <f t="shared" ref="AB181" ca="1" si="1435">(AA181/AA184)*AB184</f>
        <v>-6315612.0188576607</v>
      </c>
      <c r="AC181" s="998">
        <f t="shared" ref="AC181" ca="1" si="1436">(AB181/AB184)*AC184</f>
        <v>-6315611.6971723894</v>
      </c>
      <c r="AD181" s="998">
        <f t="shared" ref="AD181" ca="1" si="1437">(AC181/AC184)*AD184</f>
        <v>-6315596.7609410593</v>
      </c>
      <c r="AE181" s="998">
        <f t="shared" ref="AE181" ca="1" si="1438">(AD181/AD184)*AE184</f>
        <v>-6315601.3236999428</v>
      </c>
      <c r="AF181" s="998">
        <f t="shared" ref="AF181" ca="1" si="1439">(AE181/AE184)*AF184</f>
        <v>-6315545.3795478037</v>
      </c>
      <c r="AG181" s="998">
        <f t="shared" ref="AG181" ca="1" si="1440">(AF181/AF184)*AG184</f>
        <v>-6301532.828516026</v>
      </c>
      <c r="AH181" s="116"/>
      <c r="AJ181" s="116">
        <f ca="1">((U181/2)+SUM(V181:AF181)+(AG181/2))/12</f>
        <v>-6315026.02152343</v>
      </c>
      <c r="AK181" s="106">
        <f ca="1">AG181</f>
        <v>-6301532.828516026</v>
      </c>
      <c r="AL181" s="1016">
        <f ca="1">(AK181/AK184)*AL184</f>
        <v>-6301530.5425787112</v>
      </c>
      <c r="AM181" s="1016">
        <f t="shared" ref="AM181" ca="1" si="1441">(AL181/AL184)*AM184</f>
        <v>-6301168.7925243219</v>
      </c>
      <c r="AN181" s="1016">
        <f t="shared" ref="AN181" ca="1" si="1442">(AM181/AM184)*AN184</f>
        <v>-6301280.8642285271</v>
      </c>
      <c r="AO181" s="1016">
        <f t="shared" ref="AO181" ca="1" si="1443">(AN181/AN184)*AO184</f>
        <v>-6301259.0121603133</v>
      </c>
      <c r="AP181" s="1016">
        <f t="shared" ref="AP181" ca="1" si="1444">(AO181/AO184)*AP184</f>
        <v>-6301292.7748390855</v>
      </c>
      <c r="AQ181" s="1016">
        <f t="shared" ref="AQ181" ca="1" si="1445">(AP181/AP184)*AQ184</f>
        <v>-6301305.7540014107</v>
      </c>
      <c r="AR181" s="1016">
        <f t="shared" ref="AR181" ca="1" si="1446">(AQ181/AQ184)*AR184</f>
        <v>-6301291.8561389605</v>
      </c>
      <c r="AS181" s="1016">
        <f t="shared" ref="AS181" ca="1" si="1447">(AR181/AR184)*AS184</f>
        <v>-6301291.1935480749</v>
      </c>
      <c r="AT181" s="1016">
        <f t="shared" ref="AT181" ca="1" si="1448">(AS181/AS184)*AT184</f>
        <v>-6301260.4286619807</v>
      </c>
      <c r="AU181" s="1016">
        <f t="shared" ref="AU181" ca="1" si="1449">(AT181/AT184)*AU184</f>
        <v>-6301269.8267995836</v>
      </c>
      <c r="AV181" s="1016">
        <f t="shared" ref="AV181" ca="1" si="1450">(AU181/AU184)*AV184</f>
        <v>-6301154.5958936019</v>
      </c>
      <c r="AW181" s="1016">
        <f t="shared" ref="AW181" ca="1" si="1451">(AV181/AV184)*AW184</f>
        <v>-6272292.259281137</v>
      </c>
      <c r="AX181" s="116"/>
      <c r="BA181" s="116">
        <f ca="1">((AK181/2)+SUM(AL181:AV181)+(AW181/2))/12</f>
        <v>-6300084.8487727633</v>
      </c>
    </row>
    <row r="182" spans="1:53">
      <c r="A182" s="250">
        <f t="shared" si="1086"/>
        <v>167</v>
      </c>
      <c r="B182" s="227"/>
      <c r="C182" s="102"/>
      <c r="D182" s="102" t="s">
        <v>593</v>
      </c>
      <c r="E182" s="102"/>
      <c r="F182" s="974">
        <f>'Rate Base'!S180</f>
        <v>-184187333.43000001</v>
      </c>
      <c r="G182" s="974">
        <f>'Rate Base'!T180</f>
        <v>-184221250.78</v>
      </c>
      <c r="H182" s="974">
        <f>'Rate Base'!U180</f>
        <v>-187162682.28999999</v>
      </c>
      <c r="I182" s="974">
        <f>'Rate Base'!V180</f>
        <v>-186271724.06</v>
      </c>
      <c r="J182" s="974">
        <f>'Rate Base'!W180</f>
        <v>-186481184.78999999</v>
      </c>
      <c r="K182" s="974">
        <f>'Rate Base'!X180</f>
        <v>-186218622.28</v>
      </c>
      <c r="L182" s="974">
        <f>'Rate Base'!Y180</f>
        <v>-186141349.55000001</v>
      </c>
      <c r="M182" s="974">
        <f>'Rate Base'!Z180</f>
        <v>-186299261.02000001</v>
      </c>
      <c r="N182" s="974">
        <f>'Rate Base'!AA180</f>
        <v>-186248871.44</v>
      </c>
      <c r="O182" s="974">
        <f>'Rate Base'!AB180</f>
        <v>-186502363.87</v>
      </c>
      <c r="P182" s="974">
        <f>'Rate Base'!AC180</f>
        <v>-186406251.61000001</v>
      </c>
      <c r="Q182" s="974">
        <f>'Rate Base'!AD180</f>
        <v>-187356154.47</v>
      </c>
      <c r="R182" s="974">
        <f>'Rate Base'!AE180</f>
        <v>-188074206.56999999</v>
      </c>
      <c r="T182" s="116">
        <f>((F182/2)+SUM(G182:Q182)+(R182/2))/12</f>
        <v>-186286707.17999998</v>
      </c>
      <c r="U182" s="106">
        <f>+R182</f>
        <v>-188074206.56999999</v>
      </c>
      <c r="V182" s="998">
        <f t="shared" ref="V182" ca="1" si="1452">(U182/U184)*V184</f>
        <v>-188074173.52119294</v>
      </c>
      <c r="W182" s="998">
        <f t="shared" ref="W182" ca="1" si="1453">(V182/V184)*W184</f>
        <v>-188068943.54061767</v>
      </c>
      <c r="X182" s="998">
        <f t="shared" ref="X182" ca="1" si="1454">(W182/W184)*X184</f>
        <v>-188070563.81082612</v>
      </c>
      <c r="Y182" s="998">
        <f t="shared" ref="Y182" ca="1" si="1455">(X182/X184)*Y184</f>
        <v>-188070247.88580856</v>
      </c>
      <c r="Z182" s="998">
        <f t="shared" ref="Z182" ca="1" si="1456">(Y182/Y184)*Z184</f>
        <v>-188070736.00779223</v>
      </c>
      <c r="AA182" s="998">
        <f t="shared" ref="AA182" ca="1" si="1457">(Z182/Z184)*AA184</f>
        <v>-188070923.65328395</v>
      </c>
      <c r="AB182" s="998">
        <f t="shared" ref="AB182" ca="1" si="1458">(AA182/AA184)*AB184</f>
        <v>-188070722.72573808</v>
      </c>
      <c r="AC182" s="998">
        <f t="shared" ref="AC182" ca="1" si="1459">(AB182/AB184)*AC184</f>
        <v>-188070713.1463685</v>
      </c>
      <c r="AD182" s="998">
        <f t="shared" ref="AD182" ca="1" si="1460">(AC182/AC184)*AD184</f>
        <v>-188070268.3647998</v>
      </c>
      <c r="AE182" s="998">
        <f t="shared" ref="AE182" ca="1" si="1461">(AD182/AD184)*AE184</f>
        <v>-188070404.23783287</v>
      </c>
      <c r="AF182" s="998">
        <f t="shared" ref="AF182" ca="1" si="1462">(AE182/AE184)*AF184</f>
        <v>-188068738.29364669</v>
      </c>
      <c r="AG182" s="998">
        <f t="shared" ref="AG182" ca="1" si="1463">(AF182/AF184)*AG184</f>
        <v>-187651462.72448429</v>
      </c>
      <c r="AH182" s="116"/>
      <c r="AJ182" s="116">
        <f ca="1">((U182/2)+SUM(V182:AF182)+(AG182/2))/12</f>
        <v>-188053272.48626244</v>
      </c>
      <c r="AK182" s="106">
        <f ca="1">AG182</f>
        <v>-187651462.72448429</v>
      </c>
      <c r="AL182" s="1016">
        <f ca="1">(AK182/AK184)*AL184</f>
        <v>-187651394.65224019</v>
      </c>
      <c r="AM182" s="1016">
        <f t="shared" ref="AM182" ca="1" si="1464">(AL182/AL184)*AM184</f>
        <v>-187640622.20548889</v>
      </c>
      <c r="AN182" s="1016">
        <f t="shared" ref="AN182" ca="1" si="1465">(AM182/AM184)*AN184</f>
        <v>-187643959.55527288</v>
      </c>
      <c r="AO182" s="1016">
        <f t="shared" ref="AO182" ca="1" si="1466">(AN182/AN184)*AO184</f>
        <v>-187643308.82906458</v>
      </c>
      <c r="AP182" s="1016">
        <f t="shared" ref="AP182" ca="1" si="1467">(AO182/AO184)*AP184</f>
        <v>-187644314.23778489</v>
      </c>
      <c r="AQ182" s="1016">
        <f t="shared" ref="AQ182" ca="1" si="1468">(AP182/AP184)*AQ184</f>
        <v>-187644700.74038064</v>
      </c>
      <c r="AR182" s="1016">
        <f t="shared" ref="AR182" ca="1" si="1469">(AQ182/AQ184)*AR184</f>
        <v>-187644286.88008845</v>
      </c>
      <c r="AS182" s="1016">
        <f t="shared" ref="AS182" ca="1" si="1470">(AR182/AR184)*AS184</f>
        <v>-187644267.14899251</v>
      </c>
      <c r="AT182" s="1016">
        <f t="shared" ref="AT182" ca="1" si="1471">(AS182/AS184)*AT184</f>
        <v>-187643351.01064438</v>
      </c>
      <c r="AU182" s="1016">
        <f t="shared" ref="AU182" ca="1" si="1472">(AT182/AT184)*AU184</f>
        <v>-187643630.87497517</v>
      </c>
      <c r="AV182" s="1016">
        <f t="shared" ref="AV182" ca="1" si="1473">(AU182/AU184)*AV184</f>
        <v>-187640199.44826567</v>
      </c>
      <c r="AW182" s="1016">
        <f t="shared" ref="AW182" ca="1" si="1474">(AV182/AV184)*AW184</f>
        <v>-186780716.5525381</v>
      </c>
      <c r="AX182" s="116"/>
      <c r="BA182" s="116">
        <f ca="1">((AK182/2)+SUM(AL182:AV182)+(AW182/2))/12</f>
        <v>-187608343.76847577</v>
      </c>
    </row>
    <row r="183" spans="1:53">
      <c r="A183" s="250">
        <f t="shared" si="1086"/>
        <v>168</v>
      </c>
      <c r="B183" s="227"/>
      <c r="C183" s="102"/>
      <c r="D183" s="102" t="s">
        <v>595</v>
      </c>
      <c r="E183" s="102"/>
      <c r="F183" s="974">
        <f>'Rate Base'!S181</f>
        <v>0</v>
      </c>
      <c r="G183" s="974">
        <f>'Rate Base'!T181</f>
        <v>0</v>
      </c>
      <c r="H183" s="974">
        <f>'Rate Base'!U181</f>
        <v>0</v>
      </c>
      <c r="I183" s="974">
        <f>'Rate Base'!V181</f>
        <v>0</v>
      </c>
      <c r="J183" s="974">
        <f>'Rate Base'!W181</f>
        <v>0</v>
      </c>
      <c r="K183" s="974">
        <f>'Rate Base'!X181</f>
        <v>0</v>
      </c>
      <c r="L183" s="974">
        <f>'Rate Base'!Y181</f>
        <v>0</v>
      </c>
      <c r="M183" s="974">
        <f>'Rate Base'!Z181</f>
        <v>0</v>
      </c>
      <c r="N183" s="974">
        <f>'Rate Base'!AA181</f>
        <v>0</v>
      </c>
      <c r="O183" s="974">
        <f>'Rate Base'!AB181</f>
        <v>0</v>
      </c>
      <c r="P183" s="974">
        <f>'Rate Base'!AC181</f>
        <v>0</v>
      </c>
      <c r="Q183" s="974">
        <f>'Rate Base'!AD181</f>
        <v>0</v>
      </c>
      <c r="R183" s="974">
        <f>'Rate Base'!AE181</f>
        <v>-243070289</v>
      </c>
      <c r="T183" s="116">
        <f>((F183/2)+SUM(G183:Q183)+(R183/2))/12</f>
        <v>-10127928.708333334</v>
      </c>
      <c r="U183" s="106">
        <f>+R183</f>
        <v>-243070289</v>
      </c>
      <c r="V183" s="998">
        <f t="shared" ref="V183" ca="1" si="1475">(U183/U184)*V184</f>
        <v>-243070246.28716215</v>
      </c>
      <c r="W183" s="998">
        <f t="shared" ref="W183" ca="1" si="1476">(V183/V184)*W184</f>
        <v>-243063486.9717139</v>
      </c>
      <c r="X183" s="998">
        <f t="shared" ref="X183" ca="1" si="1477">(W183/W184)*X184</f>
        <v>-243065581.0363653</v>
      </c>
      <c r="Y183" s="998">
        <f t="shared" ref="Y183" ca="1" si="1478">(X183/X184)*Y184</f>
        <v>-243065172.72952345</v>
      </c>
      <c r="Z183" s="998">
        <f t="shared" ref="Z183" ca="1" si="1479">(Y183/Y184)*Z184</f>
        <v>-243065803.58663994</v>
      </c>
      <c r="AA183" s="998">
        <f t="shared" ref="AA183" ca="1" si="1480">(Z183/Z184)*AA184</f>
        <v>-243066046.10285065</v>
      </c>
      <c r="AB183" s="998">
        <f t="shared" ref="AB183" ca="1" si="1481">(AA183/AA184)*AB184</f>
        <v>-243065786.42068827</v>
      </c>
      <c r="AC183" s="998">
        <f t="shared" ref="AC183" ca="1" si="1482">(AB183/AB184)*AC184</f>
        <v>-243065774.04014885</v>
      </c>
      <c r="AD183" s="998">
        <f t="shared" ref="AD183" ca="1" si="1483">(AC183/AC184)*AD184</f>
        <v>-243065199.19691849</v>
      </c>
      <c r="AE183" s="998">
        <f t="shared" ref="AE183" ca="1" si="1484">(AD183/AD184)*AE184</f>
        <v>-243065374.80152702</v>
      </c>
      <c r="AF183" s="998">
        <f t="shared" ref="AF183" ca="1" si="1485">(AE183/AE184)*AF184</f>
        <v>-243063221.70705342</v>
      </c>
      <c r="AG183" s="998">
        <f t="shared" ref="AG183" ca="1" si="1486">(AF183/AF184)*AG184</f>
        <v>-242523927.69625461</v>
      </c>
      <c r="AH183" s="116"/>
      <c r="AJ183" s="116">
        <f ca="1">((U183/2)+SUM(V183:AF183)+(AG183/2))/12</f>
        <v>-243043233.43572655</v>
      </c>
      <c r="AK183" s="106">
        <f ca="1">AG183</f>
        <v>-242523927.69625461</v>
      </c>
      <c r="AL183" s="1016">
        <f ca="1">(AK183/AK184)*AL184</f>
        <v>-242523839.71853372</v>
      </c>
      <c r="AM183" s="1016">
        <f t="shared" ref="AM183" ca="1" si="1487">(AL183/AL184)*AM184</f>
        <v>-242509917.22595578</v>
      </c>
      <c r="AN183" s="1016">
        <f t="shared" ref="AN183" ca="1" si="1488">(AM183/AM184)*AN184</f>
        <v>-242514230.47332385</v>
      </c>
      <c r="AO183" s="1016">
        <f t="shared" ref="AO183" ca="1" si="1489">(AN183/AN184)*AO184</f>
        <v>-242513389.46375433</v>
      </c>
      <c r="AP183" s="1016">
        <f t="shared" ref="AP183" ca="1" si="1490">(AO183/AO184)*AP184</f>
        <v>-242514688.8710078</v>
      </c>
      <c r="AQ183" s="1016">
        <f t="shared" ref="AQ183" ca="1" si="1491">(AP183/AP184)*AQ184</f>
        <v>-242515188.39350671</v>
      </c>
      <c r="AR183" s="1016">
        <f t="shared" ref="AR183" ca="1" si="1492">(AQ183/AQ184)*AR184</f>
        <v>-242514653.51345772</v>
      </c>
      <c r="AS183" s="1016">
        <f t="shared" ref="AS183" ca="1" si="1493">(AR183/AR184)*AS184</f>
        <v>-242514628.0126552</v>
      </c>
      <c r="AT183" s="1016">
        <f t="shared" ref="AT183" ca="1" si="1494">(AS183/AS184)*AT184</f>
        <v>-242513443.97994223</v>
      </c>
      <c r="AU183" s="1016">
        <f t="shared" ref="AU183" ca="1" si="1495">(AT183/AT184)*AU184</f>
        <v>-242513805.68134198</v>
      </c>
      <c r="AV183" s="1016">
        <f t="shared" ref="AV183" ca="1" si="1496">(AU183/AU184)*AV184</f>
        <v>-242509370.84736249</v>
      </c>
      <c r="AW183" s="1016">
        <f t="shared" ref="AW183" ca="1" si="1497">(AV183/AV184)*AW184</f>
        <v>-241398560.60035872</v>
      </c>
      <c r="AX183" s="116"/>
      <c r="BA183" s="116">
        <f ca="1">((AK183/2)+SUM(AL183:AV183)+(AW183/2))/12</f>
        <v>-242468200.02742907</v>
      </c>
    </row>
    <row r="184" spans="1:53">
      <c r="A184" s="250">
        <f t="shared" si="1086"/>
        <v>169</v>
      </c>
      <c r="B184" s="227"/>
      <c r="C184" s="102"/>
      <c r="D184" s="102" t="s">
        <v>170</v>
      </c>
      <c r="E184" s="102"/>
      <c r="F184" s="993">
        <f t="shared" ref="F184:R184" si="1498">SUM(F180:F183)</f>
        <v>-190404024.84</v>
      </c>
      <c r="G184" s="993">
        <f t="shared" si="1498"/>
        <v>-190423338.93000001</v>
      </c>
      <c r="H184" s="993">
        <f t="shared" si="1498"/>
        <v>-193479797.67999998</v>
      </c>
      <c r="I184" s="993">
        <f t="shared" si="1498"/>
        <v>-192532893.77000001</v>
      </c>
      <c r="J184" s="993">
        <f t="shared" si="1498"/>
        <v>-192717523.85999998</v>
      </c>
      <c r="K184" s="993">
        <f t="shared" si="1498"/>
        <v>-192432259.94999999</v>
      </c>
      <c r="L184" s="993">
        <f t="shared" si="1498"/>
        <v>-192322597.84</v>
      </c>
      <c r="M184" s="993">
        <f t="shared" si="1498"/>
        <v>-192440022.13000003</v>
      </c>
      <c r="N184" s="993">
        <f t="shared" si="1498"/>
        <v>-192445620.41999999</v>
      </c>
      <c r="O184" s="993">
        <f t="shared" si="1498"/>
        <v>-192705555.71000001</v>
      </c>
      <c r="P184" s="993">
        <f t="shared" si="1498"/>
        <v>-192626150</v>
      </c>
      <c r="Q184" s="993">
        <f t="shared" si="1498"/>
        <v>-193599746.28999999</v>
      </c>
      <c r="R184" s="993">
        <f t="shared" si="1498"/>
        <v>-437460224.57999998</v>
      </c>
      <c r="T184" s="131">
        <f>SUM(T180:T183)</f>
        <v>-202638135.94083333</v>
      </c>
      <c r="U184" s="394">
        <f>+R184</f>
        <v>-437460224.57999998</v>
      </c>
      <c r="V184" s="1269">
        <f ca="1">IF($R184-$F184=0,U184+$AH184/12,U184+((G184-F184)/($R184-$F184))*$AH184)</f>
        <v>-437460147.70854151</v>
      </c>
      <c r="W184" s="1269">
        <f t="shared" ref="W184:AA184" ca="1" si="1499">IF($R184-$F184=0,V184+$AH184/12,V184+((H184-G184)/($R184-$F184))*$AH184)</f>
        <v>-437447982.78428781</v>
      </c>
      <c r="X184" s="1269">
        <f t="shared" ca="1" si="1499"/>
        <v>-437451751.52951974</v>
      </c>
      <c r="Y184" s="1269">
        <f t="shared" ca="1" si="1499"/>
        <v>-437451016.68856704</v>
      </c>
      <c r="Z184" s="1269">
        <f t="shared" ca="1" si="1499"/>
        <v>-437452152.05931515</v>
      </c>
      <c r="AA184" s="1269">
        <f t="shared" ca="1" si="1499"/>
        <v>-437452588.52234989</v>
      </c>
      <c r="AB184" s="1269">
        <f ca="1">IF($R184-$F184=0,AA184+$AH184/12,AA184+((M184-L184)/($R184-$F184))*$AH184)</f>
        <v>-437452121.16528404</v>
      </c>
      <c r="AC184" s="1269">
        <f t="shared" ref="AC184" ca="1" si="1500">IF($R184-$F184=0,AB184+$AH184/12,AB184+((N184-M184)/($R184-$F184))*$AH184)</f>
        <v>-437452098.88368976</v>
      </c>
      <c r="AD184" s="1269">
        <f t="shared" ref="AD184" ca="1" si="1501">IF($R184-$F184=0,AC184+$AH184/12,AC184+((O184-N184)/($R184-$F184))*$AH184)</f>
        <v>-437451064.32265937</v>
      </c>
      <c r="AE184" s="1269">
        <f t="shared" ref="AE184" ca="1" si="1502">IF($R184-$F184=0,AD184+$AH184/12,AD184+((P184-O184)/($R184-$F184))*$AH184)</f>
        <v>-437451380.36305988</v>
      </c>
      <c r="AF184" s="1269">
        <f t="shared" ref="AF184" ca="1" si="1503">IF($R184-$F184=0,AE184+$AH184/12,AE184+((Q184-P184)/($R184-$F184))*$AH184)</f>
        <v>-437447505.38024795</v>
      </c>
      <c r="AG184" s="1269">
        <f t="shared" ref="AG184" ca="1" si="1504">IF($R184-$F184=0,AF184+$AH184/12,AF184+((R184-Q184)/($R184-$F184))*$AH184)</f>
        <v>-436476923.24925494</v>
      </c>
      <c r="AH184" s="131">
        <f ca="1">-'108_111 Projection'!H18+'190_255_282 FORECAST'!I65</f>
        <v>983301.33074507304</v>
      </c>
      <c r="AI184" s="133">
        <f ca="1">+AG184-U184</f>
        <v>983301.33074504137</v>
      </c>
      <c r="AJ184" s="131">
        <f ca="1">SUM(AJ180:AJ183)</f>
        <v>-437411531.94351244</v>
      </c>
      <c r="AK184" s="1039">
        <f ca="1">AG184</f>
        <v>-436476923.24925494</v>
      </c>
      <c r="AL184" s="1041">
        <f ca="1">IF($R184-$F184=0,AK184+$AX184/12,AK184+((G184-F184)/($R184-$F184))*$AX184)</f>
        <v>-436476764.91335267</v>
      </c>
      <c r="AM184" s="1041">
        <f t="shared" ref="AM184" ca="1" si="1505">IF($R184-$F184=0,AL184+$AX184/12,AL184+((H184-G184)/($R184-$F184))*$AX184)</f>
        <v>-436451708.22396904</v>
      </c>
      <c r="AN184" s="1041">
        <f t="shared" ref="AN184" ca="1" si="1506">IF($R184-$F184=0,AM184+$AX184/12,AM184+((I184-H184)/($R184-$F184))*$AX184)</f>
        <v>-436459470.89282531</v>
      </c>
      <c r="AO184" s="1041">
        <f t="shared" ref="AO184" ca="1" si="1507">IF($R184-$F184=0,AN184+$AX184/12,AN184+((J184-I184)/($R184-$F184))*$AX184)</f>
        <v>-436457957.30497926</v>
      </c>
      <c r="AP184" s="1041">
        <f t="shared" ref="AP184" ca="1" si="1508">IF($R184-$F184=0,AO184+$AX184/12,AO184+((K184-J184)/($R184-$F184))*$AX184)</f>
        <v>-436460295.88363183</v>
      </c>
      <c r="AQ184" s="1041">
        <f t="shared" ref="AQ184" ca="1" si="1509">IF($R184-$F184=0,AP184+$AX184/12,AP184+((L184-K184)/($R184-$F184))*$AX184)</f>
        <v>-436461194.88788879</v>
      </c>
      <c r="AR184" s="1041">
        <f t="shared" ref="AR184" ca="1" si="1510">IF($R184-$F184=0,AQ184+$AX184/12,AQ184+((M184-L184)/($R184-$F184))*$AX184)</f>
        <v>-436460232.24968517</v>
      </c>
      <c r="AS184" s="1041">
        <f t="shared" ref="AS184" ca="1" si="1511">IF($R184-$F184=0,AR184+$AX184/12,AR184+((N184-M184)/($R184-$F184))*$AX184)</f>
        <v>-436460186.35519582</v>
      </c>
      <c r="AT184" s="1041">
        <f t="shared" ref="AT184" ca="1" si="1512">IF($R184-$F184=0,AS184+$AX184/12,AS184+((O184-N184)/($R184-$F184))*$AX184)</f>
        <v>-436458055.41924864</v>
      </c>
      <c r="AU184" s="1041">
        <f t="shared" ref="AU184" ca="1" si="1513">IF($R184-$F184=0,AT184+$AX184/12,AT184+((P184-O184)/($R184-$F184))*$AX184)</f>
        <v>-436458706.38311678</v>
      </c>
      <c r="AV184" s="1041">
        <f t="shared" ref="AV184" ca="1" si="1514">IF($R184-$F184=0,AU184+$AX184/12,AU184+((Q184-P184)/($R184-$F184))*$AX184)</f>
        <v>-436450724.89152181</v>
      </c>
      <c r="AW184" s="1041">
        <f t="shared" ref="AW184" ca="1" si="1515">IF($R184-$F184=0,AV184+$AX184/12,AV184+((R184-Q184)/($R184-$F184))*$AX184)</f>
        <v>-434451569.41217798</v>
      </c>
      <c r="AX184" s="131">
        <f ca="1">-'108_111 Projection'!I18+'190_255_282 FORECAST'!J65</f>
        <v>2025353.83707701</v>
      </c>
      <c r="BA184" s="131">
        <f ca="1">SUM(BA180:BA183)</f>
        <v>-436376628.64467764</v>
      </c>
    </row>
    <row r="185" spans="1:53">
      <c r="A185" s="250">
        <f t="shared" si="1086"/>
        <v>170</v>
      </c>
      <c r="B185" s="49"/>
      <c r="C185" s="102"/>
      <c r="D185" s="102"/>
      <c r="E185" s="102"/>
      <c r="F185" s="974"/>
      <c r="G185" s="974"/>
      <c r="H185" s="974"/>
      <c r="I185" s="974"/>
      <c r="J185" s="974"/>
      <c r="K185" s="974"/>
      <c r="L185" s="974"/>
      <c r="M185" s="974"/>
      <c r="N185" s="974"/>
      <c r="O185" s="974"/>
      <c r="P185" s="974"/>
      <c r="Q185" s="974"/>
      <c r="R185" s="974"/>
      <c r="U185" s="102"/>
      <c r="AH185" s="102"/>
      <c r="AK185" s="102"/>
      <c r="AW185" s="1016"/>
      <c r="AX185" s="102"/>
    </row>
    <row r="186" spans="1:53">
      <c r="A186" s="250">
        <f t="shared" si="1086"/>
        <v>171</v>
      </c>
      <c r="B186" s="49"/>
      <c r="C186" s="102"/>
      <c r="D186" s="102"/>
      <c r="E186" s="102"/>
      <c r="U186" s="102"/>
      <c r="AH186" s="102"/>
      <c r="AK186" s="102"/>
      <c r="AL186" s="1029"/>
      <c r="AX186" s="102"/>
    </row>
    <row r="187" spans="1:53">
      <c r="A187" s="250">
        <f t="shared" si="1086"/>
        <v>172</v>
      </c>
      <c r="B187" s="208" t="s">
        <v>663</v>
      </c>
      <c r="C187" s="102"/>
      <c r="D187" s="102"/>
      <c r="E187" s="102"/>
      <c r="F187" s="974"/>
      <c r="G187" s="974"/>
      <c r="H187" s="974"/>
      <c r="I187" s="974"/>
      <c r="J187" s="974"/>
      <c r="K187" s="974"/>
      <c r="L187" s="974"/>
      <c r="M187" s="974"/>
      <c r="N187" s="974"/>
      <c r="O187" s="974"/>
      <c r="P187" s="974"/>
      <c r="Q187" s="974"/>
      <c r="R187" s="974"/>
      <c r="S187" s="116"/>
      <c r="T187" s="116"/>
      <c r="U187" s="106"/>
      <c r="V187" s="998"/>
      <c r="W187" s="998"/>
      <c r="X187" s="998"/>
      <c r="Y187" s="998"/>
      <c r="Z187" s="998"/>
      <c r="AA187" s="998"/>
      <c r="AB187" s="998"/>
      <c r="AC187" s="998"/>
      <c r="AD187" s="998"/>
      <c r="AE187" s="998"/>
      <c r="AF187" s="998"/>
      <c r="AG187" s="998"/>
      <c r="AH187" s="106"/>
      <c r="AI187" s="133"/>
      <c r="AJ187" s="116"/>
      <c r="AK187" s="106"/>
      <c r="AL187" s="1016"/>
      <c r="AM187" s="1016"/>
      <c r="AN187" s="1016"/>
      <c r="AO187" s="1016"/>
      <c r="AP187" s="1016"/>
      <c r="AQ187" s="1016"/>
      <c r="AR187" s="1016"/>
      <c r="AS187" s="1016"/>
      <c r="AT187" s="1016"/>
      <c r="AU187" s="1016"/>
      <c r="AV187" s="1016"/>
      <c r="AW187" s="1016"/>
      <c r="AX187" s="106"/>
      <c r="AY187" s="133"/>
      <c r="AZ187" s="133"/>
      <c r="BA187" s="116"/>
    </row>
    <row r="188" spans="1:53">
      <c r="A188" s="250">
        <f t="shared" si="1086"/>
        <v>173</v>
      </c>
      <c r="B188" s="208"/>
      <c r="C188" s="102"/>
      <c r="D188" s="102" t="s">
        <v>443</v>
      </c>
      <c r="E188" s="102"/>
      <c r="F188" s="974">
        <f>F148+F159+F166+F173+F180</f>
        <v>4907701.3599999985</v>
      </c>
      <c r="G188" s="974">
        <f t="shared" ref="G188:R188" si="1516">G148+G159+G166+G173+G180</f>
        <v>4840718.6400000053</v>
      </c>
      <c r="H188" s="974">
        <f t="shared" si="1516"/>
        <v>4784700.1499999957</v>
      </c>
      <c r="I188" s="974">
        <f t="shared" si="1516"/>
        <v>4738358.8699999992</v>
      </c>
      <c r="J188" s="974">
        <f t="shared" si="1516"/>
        <v>4680254.1000000043</v>
      </c>
      <c r="K188" s="974">
        <f t="shared" si="1516"/>
        <v>4625322.3399999933</v>
      </c>
      <c r="L188" s="974">
        <f t="shared" si="1516"/>
        <v>4569629.4100000011</v>
      </c>
      <c r="M188" s="974">
        <f t="shared" si="1516"/>
        <v>4510656.730000006</v>
      </c>
      <c r="N188" s="974">
        <f t="shared" si="1516"/>
        <v>4456007.4699999951</v>
      </c>
      <c r="O188" s="974">
        <f t="shared" si="1516"/>
        <v>4404422.6099999929</v>
      </c>
      <c r="P188" s="974">
        <f t="shared" si="1516"/>
        <v>4351496.67</v>
      </c>
      <c r="Q188" s="974">
        <f t="shared" si="1516"/>
        <v>4282389.5600000024</v>
      </c>
      <c r="R188" s="974">
        <f t="shared" si="1516"/>
        <v>4241141.3299999945</v>
      </c>
      <c r="S188" s="116"/>
      <c r="T188" s="116">
        <f>T148+T159+T166+T173+T180</f>
        <v>4568198.1579166465</v>
      </c>
      <c r="U188" s="106">
        <f>H148+H159+H166+H173</f>
        <v>4784700.1499999957</v>
      </c>
      <c r="V188" s="998">
        <f t="shared" ref="V188:AA188" ca="1" si="1517">V148+V159+V166+V173+V180</f>
        <v>10146544.487239327</v>
      </c>
      <c r="W188" s="998">
        <f t="shared" ca="1" si="1517"/>
        <v>9077540.9534285478</v>
      </c>
      <c r="X188" s="998">
        <f t="shared" ca="1" si="1517"/>
        <v>11016927.751260143</v>
      </c>
      <c r="Y188" s="998">
        <f t="shared" ca="1" si="1517"/>
        <v>9093130.639422249</v>
      </c>
      <c r="Z188" s="998">
        <f t="shared" ca="1" si="1517"/>
        <v>7364393.5778325833</v>
      </c>
      <c r="AA188" s="998">
        <f t="shared" ca="1" si="1517"/>
        <v>8404758.3674125932</v>
      </c>
      <c r="AB188" s="998">
        <f t="shared" ref="AB188:AG188" ca="1" si="1518">AB148+AB159+AB166+AB173+AB180</f>
        <v>6856917.0042929612</v>
      </c>
      <c r="AC188" s="998">
        <f t="shared" ca="1" si="1518"/>
        <v>5463433.4402937256</v>
      </c>
      <c r="AD188" s="998">
        <f t="shared" ca="1" si="1518"/>
        <v>3446237.2464107238</v>
      </c>
      <c r="AE188" s="998">
        <f t="shared" ca="1" si="1518"/>
        <v>2080221.403648328</v>
      </c>
      <c r="AF188" s="998">
        <f t="shared" ca="1" si="1518"/>
        <v>1035208.7551996075</v>
      </c>
      <c r="AG188" s="998">
        <f t="shared" ca="1" si="1518"/>
        <v>797318.70090026781</v>
      </c>
      <c r="AH188" s="106"/>
      <c r="AI188" s="133">
        <f ca="1">+AG188-U188</f>
        <v>-3987381.4490997279</v>
      </c>
      <c r="AJ188" s="116">
        <f ca="1">AJ148+AJ159+AJ166+AJ173</f>
        <v>6375378.6368242474</v>
      </c>
      <c r="AK188" s="106">
        <f t="shared" ref="AK188:AK194" ca="1" si="1519">AG188</f>
        <v>797318.70090026781</v>
      </c>
      <c r="AL188" s="1016">
        <f ca="1">AL148+AL159+AL166+AL173+AL180</f>
        <v>7834366.577725593</v>
      </c>
      <c r="AM188" s="1016">
        <f t="shared" ref="AM188:AW188" ca="1" si="1520">AM148+AM159+AM166+AM173+AM180</f>
        <v>6560511.2883199863</v>
      </c>
      <c r="AN188" s="1016">
        <f t="shared" ca="1" si="1520"/>
        <v>8871540.2535979189</v>
      </c>
      <c r="AO188" s="1016">
        <f t="shared" ca="1" si="1520"/>
        <v>6579088.405546587</v>
      </c>
      <c r="AP188" s="1016">
        <f t="shared" ca="1" si="1520"/>
        <v>4519075.7112505548</v>
      </c>
      <c r="AQ188" s="1016">
        <f t="shared" ca="1" si="1520"/>
        <v>5758804.2511493228</v>
      </c>
      <c r="AR188" s="1016">
        <f t="shared" ca="1" si="1520"/>
        <v>3914352.0625378005</v>
      </c>
      <c r="AS188" s="1016">
        <f t="shared" ca="1" si="1520"/>
        <v>2253837.0571548305</v>
      </c>
      <c r="AT188" s="1016">
        <f t="shared" ca="1" si="1520"/>
        <v>-149911.8174504526</v>
      </c>
      <c r="AU188" s="1016">
        <f t="shared" ca="1" si="1520"/>
        <v>-1777695.497932408</v>
      </c>
      <c r="AV188" s="1016">
        <f t="shared" ca="1" si="1520"/>
        <v>-3022962.5598444827</v>
      </c>
      <c r="AW188" s="1016">
        <f t="shared" ca="1" si="1520"/>
        <v>-3306439.175572712</v>
      </c>
      <c r="AX188" s="106"/>
      <c r="AY188" s="133">
        <f ca="1">+AW188-AK188</f>
        <v>-4103757.8764729798</v>
      </c>
      <c r="AZ188" s="133"/>
      <c r="BA188" s="116">
        <f ca="1">BA148+BA159+BA166+BA173</f>
        <v>3340537.1245599212</v>
      </c>
    </row>
    <row r="189" spans="1:53">
      <c r="A189" s="250">
        <f t="shared" si="1086"/>
        <v>174</v>
      </c>
      <c r="B189" s="208"/>
      <c r="C189" s="102"/>
      <c r="D189" s="102" t="s">
        <v>592</v>
      </c>
      <c r="E189" s="102"/>
      <c r="F189" s="974">
        <f>F149+F160+F167+F174+F181</f>
        <v>49438111.554000005</v>
      </c>
      <c r="G189" s="974">
        <f t="shared" ref="G189:R189" si="1521">G149+G160+G167+G174+G181</f>
        <v>49443474.110000007</v>
      </c>
      <c r="H189" s="974">
        <f t="shared" si="1521"/>
        <v>49629657.374000013</v>
      </c>
      <c r="I189" s="974">
        <f t="shared" si="1521"/>
        <v>49995655.364</v>
      </c>
      <c r="J189" s="974">
        <f t="shared" si="1521"/>
        <v>50207898.394000009</v>
      </c>
      <c r="K189" s="974">
        <f t="shared" si="1521"/>
        <v>50797307.513999984</v>
      </c>
      <c r="L189" s="974">
        <f t="shared" si="1521"/>
        <v>51973211.943999998</v>
      </c>
      <c r="M189" s="974">
        <f t="shared" si="1521"/>
        <v>52431596.463999994</v>
      </c>
      <c r="N189" s="974">
        <f t="shared" si="1521"/>
        <v>54642591.469999999</v>
      </c>
      <c r="O189" s="974">
        <f t="shared" si="1521"/>
        <v>54898160.464000002</v>
      </c>
      <c r="P189" s="974">
        <f t="shared" si="1521"/>
        <v>55489761.623999998</v>
      </c>
      <c r="Q189" s="974">
        <f t="shared" si="1521"/>
        <v>56632756.053999998</v>
      </c>
      <c r="R189" s="974">
        <f t="shared" si="1521"/>
        <v>49106108.993999988</v>
      </c>
      <c r="S189" s="116"/>
      <c r="T189" s="116">
        <f>T149+T160+T167+T174+T181</f>
        <v>52117848.420833327</v>
      </c>
      <c r="U189" s="106">
        <f>H149+H160+H167+H174</f>
        <v>55946772.764000013</v>
      </c>
      <c r="V189" s="998">
        <f t="shared" ref="V189:AA189" ca="1" si="1522">V149+V160+V167+V174+V181</f>
        <v>51805499.690654971</v>
      </c>
      <c r="W189" s="998">
        <f t="shared" ca="1" si="1522"/>
        <v>51837533.984860905</v>
      </c>
      <c r="X189" s="998">
        <f t="shared" ca="1" si="1522"/>
        <v>53047092.423387371</v>
      </c>
      <c r="Y189" s="998">
        <f t="shared" ca="1" si="1522"/>
        <v>52904240.386129819</v>
      </c>
      <c r="Z189" s="998">
        <f t="shared" ca="1" si="1522"/>
        <v>52455217.077864721</v>
      </c>
      <c r="AA189" s="998">
        <f t="shared" ca="1" si="1522"/>
        <v>53069153.617201515</v>
      </c>
      <c r="AB189" s="998">
        <f t="shared" ref="AB189:AG189" ca="1" si="1523">AB149+AB160+AB167+AB174+AB181</f>
        <v>52622201.338293985</v>
      </c>
      <c r="AC189" s="998">
        <f t="shared" ca="1" si="1523"/>
        <v>53674346.058806375</v>
      </c>
      <c r="AD189" s="998">
        <f t="shared" ca="1" si="1523"/>
        <v>52906038.241828397</v>
      </c>
      <c r="AE189" s="998">
        <f t="shared" ca="1" si="1523"/>
        <v>53367603.728491671</v>
      </c>
      <c r="AF189" s="998">
        <f t="shared" ca="1" si="1523"/>
        <v>53644030.144060135</v>
      </c>
      <c r="AG189" s="998">
        <f t="shared" ca="1" si="1523"/>
        <v>54148419.592603199</v>
      </c>
      <c r="AH189" s="106"/>
      <c r="AI189" s="133">
        <f ca="1">+AG189-U189</f>
        <v>-1798353.1713968143</v>
      </c>
      <c r="AJ189" s="116">
        <f ca="1">AJ149+AJ160+AJ167+AJ174</f>
        <v>59061711.103596881</v>
      </c>
      <c r="AK189" s="106">
        <f t="shared" ca="1" si="1519"/>
        <v>54148419.592603199</v>
      </c>
      <c r="AL189" s="1016">
        <f ca="1">AL149+AL160+AL167+AL174+AL181</f>
        <v>57228443.604142845</v>
      </c>
      <c r="AM189" s="1016">
        <f t="shared" ref="AM189:AW189" ca="1" si="1524">AM149+AM160+AM167+AM174+AM181</f>
        <v>56972390.236703113</v>
      </c>
      <c r="AN189" s="1016">
        <f t="shared" ca="1" si="1524"/>
        <v>58461188.54469341</v>
      </c>
      <c r="AO189" s="1016">
        <f t="shared" ca="1" si="1524"/>
        <v>58151014.015674375</v>
      </c>
      <c r="AP189" s="1016">
        <f t="shared" ca="1" si="1524"/>
        <v>57504983.01283741</v>
      </c>
      <c r="AQ189" s="1016">
        <f t="shared" ca="1" si="1524"/>
        <v>58188251.507949732</v>
      </c>
      <c r="AR189" s="1016">
        <f t="shared" ca="1" si="1524"/>
        <v>57588221.18455334</v>
      </c>
      <c r="AS189" s="1016">
        <f t="shared" ca="1" si="1524"/>
        <v>58518765.068876624</v>
      </c>
      <c r="AT189" s="1016">
        <f t="shared" ca="1" si="1524"/>
        <v>57601712.649019875</v>
      </c>
      <c r="AU189" s="1016">
        <f t="shared" ca="1" si="1524"/>
        <v>57929945.185770035</v>
      </c>
      <c r="AV189" s="1016">
        <f t="shared" ca="1" si="1524"/>
        <v>57910012.406117111</v>
      </c>
      <c r="AW189" s="1016">
        <f t="shared" ca="1" si="1524"/>
        <v>58331148.72990156</v>
      </c>
      <c r="AX189" s="106"/>
      <c r="AY189" s="133">
        <f ca="1">+AW189-AK189</f>
        <v>4182729.1372983605</v>
      </c>
      <c r="AZ189" s="133"/>
      <c r="BA189" s="116">
        <f ca="1">BA149+BA160+BA167+BA174</f>
        <v>63991310.813571945</v>
      </c>
    </row>
    <row r="190" spans="1:53">
      <c r="A190" s="250">
        <f t="shared" si="1086"/>
        <v>175</v>
      </c>
      <c r="B190" s="208"/>
      <c r="C190" s="102"/>
      <c r="D190" s="102" t="s">
        <v>593</v>
      </c>
      <c r="E190" s="102"/>
      <c r="F190" s="974">
        <f>F175+F168+F161+F155+F150+F182</f>
        <v>1629007021.6459999</v>
      </c>
      <c r="G190" s="974">
        <f t="shared" ref="G190:R190" si="1525">G175+G168+G161+G155+G150+G182</f>
        <v>1627453455.8899999</v>
      </c>
      <c r="H190" s="974">
        <f t="shared" si="1525"/>
        <v>1632869988.8960001</v>
      </c>
      <c r="I190" s="974">
        <f t="shared" si="1525"/>
        <v>1639958691.8380001</v>
      </c>
      <c r="J190" s="974">
        <f t="shared" si="1525"/>
        <v>1654263746.5260003</v>
      </c>
      <c r="K190" s="974">
        <f t="shared" si="1525"/>
        <v>1659770146.2859998</v>
      </c>
      <c r="L190" s="974">
        <f t="shared" si="1525"/>
        <v>1663141930.1379995</v>
      </c>
      <c r="M190" s="974">
        <f t="shared" si="1525"/>
        <v>1668459107.948</v>
      </c>
      <c r="N190" s="974">
        <f t="shared" si="1525"/>
        <v>1706667779.1299999</v>
      </c>
      <c r="O190" s="974">
        <f t="shared" si="1525"/>
        <v>1721352668.6059999</v>
      </c>
      <c r="P190" s="974">
        <f t="shared" si="1525"/>
        <v>1732780896.7259998</v>
      </c>
      <c r="Q190" s="974">
        <f t="shared" si="1525"/>
        <v>1738345021.1560001</v>
      </c>
      <c r="R190" s="974">
        <f t="shared" si="1525"/>
        <v>1769234787.8580003</v>
      </c>
      <c r="S190" s="116"/>
      <c r="T190" s="116">
        <f>T175+T168+T161+T155+T150+T182</f>
        <v>1678682028.1576669</v>
      </c>
      <c r="U190" s="106">
        <f>H175+H168+H161+H155+H150</f>
        <v>1820032671.1860001</v>
      </c>
      <c r="V190" s="998">
        <f t="shared" ref="V190:AA190" ca="1" si="1526">V175+V168+V161+V155+V150+V182</f>
        <v>1821999207.85393</v>
      </c>
      <c r="W190" s="998">
        <f t="shared" ca="1" si="1526"/>
        <v>1822776048.5029409</v>
      </c>
      <c r="X190" s="998">
        <f t="shared" ca="1" si="1526"/>
        <v>1848623902.2686</v>
      </c>
      <c r="Y190" s="998">
        <f t="shared" ca="1" si="1526"/>
        <v>1855018623.6644633</v>
      </c>
      <c r="Z190" s="998">
        <f t="shared" ca="1" si="1526"/>
        <v>1848829123.5913868</v>
      </c>
      <c r="AA190" s="998">
        <f t="shared" ca="1" si="1526"/>
        <v>1863010556.0823507</v>
      </c>
      <c r="AB190" s="998">
        <f t="shared" ref="AB190:AG190" ca="1" si="1527">AB175+AB168+AB161+AB155+AB150+AB182</f>
        <v>1856478894.3349292</v>
      </c>
      <c r="AC190" s="998">
        <f t="shared" ca="1" si="1527"/>
        <v>1902611452.0948997</v>
      </c>
      <c r="AD190" s="998">
        <f t="shared" ca="1" si="1527"/>
        <v>1888688311.3870914</v>
      </c>
      <c r="AE190" s="998">
        <f t="shared" ca="1" si="1527"/>
        <v>1912143942.3367054</v>
      </c>
      <c r="AF190" s="998">
        <f t="shared" ca="1" si="1527"/>
        <v>1919536009.9418464</v>
      </c>
      <c r="AG190" s="998">
        <f t="shared" ca="1" si="1527"/>
        <v>1935318567.6343849</v>
      </c>
      <c r="AH190" s="106"/>
      <c r="AI190" s="133">
        <f ca="1">+AG190-U190</f>
        <v>115285896.44838476</v>
      </c>
      <c r="AJ190" s="116">
        <f ca="1">AJ175+AJ168+AJ161+AJ155+AJ150</f>
        <v>2054052668.3033738</v>
      </c>
      <c r="AK190" s="106">
        <f t="shared" ca="1" si="1519"/>
        <v>1935318567.6343849</v>
      </c>
      <c r="AL190" s="1016">
        <f ca="1">AL175+AL168+AL161+AL155+AL150+AL182</f>
        <v>1995062000.0006227</v>
      </c>
      <c r="AM190" s="1016">
        <f t="shared" ref="AM190:AW190" ca="1" si="1528">AM175+AM168+AM161+AM155+AM150+AM182</f>
        <v>1991069502.9350312</v>
      </c>
      <c r="AN190" s="1016">
        <f t="shared" ca="1" si="1528"/>
        <v>2022248791.3786833</v>
      </c>
      <c r="AO190" s="1016">
        <f t="shared" ca="1" si="1528"/>
        <v>2025727950.6336639</v>
      </c>
      <c r="AP190" s="1016">
        <f t="shared" ca="1" si="1528"/>
        <v>2015332806.3105807</v>
      </c>
      <c r="AQ190" s="1016">
        <f t="shared" ca="1" si="1528"/>
        <v>2030802876.6138682</v>
      </c>
      <c r="AR190" s="1016">
        <f t="shared" ca="1" si="1528"/>
        <v>2020789810.791779</v>
      </c>
      <c r="AS190" s="1016">
        <f t="shared" ca="1" si="1528"/>
        <v>2065330796.8614087</v>
      </c>
      <c r="AT190" s="1016">
        <f t="shared" ca="1" si="1528"/>
        <v>2048666622.4526391</v>
      </c>
      <c r="AU190" s="1016">
        <f t="shared" ca="1" si="1528"/>
        <v>2069849176.7549562</v>
      </c>
      <c r="AV190" s="1016">
        <f t="shared" ca="1" si="1528"/>
        <v>2072332718.7812285</v>
      </c>
      <c r="AW190" s="1016">
        <f t="shared" ca="1" si="1528"/>
        <v>2086254673.389991</v>
      </c>
      <c r="AX190" s="106"/>
      <c r="AY190" s="133">
        <f ca="1">+AW190-AK190</f>
        <v>150936105.75560617</v>
      </c>
      <c r="AZ190" s="133"/>
      <c r="BA190" s="116">
        <f ca="1">BA175+BA168+BA161+BA155+BA150</f>
        <v>2218274983.2706966</v>
      </c>
    </row>
    <row r="191" spans="1:53">
      <c r="A191" s="250">
        <f t="shared" si="1086"/>
        <v>176</v>
      </c>
      <c r="B191" s="208"/>
      <c r="C191" s="102"/>
      <c r="D191" s="102" t="s">
        <v>595</v>
      </c>
      <c r="E191" s="102"/>
      <c r="F191" s="974">
        <f>F176+F169+F162+F151+F183</f>
        <v>140651453.35999998</v>
      </c>
      <c r="G191" s="974">
        <f t="shared" ref="G191:R191" si="1529">G176+G169+G162+G151+G183</f>
        <v>139972583.91000003</v>
      </c>
      <c r="H191" s="974">
        <f t="shared" si="1529"/>
        <v>139621540.34</v>
      </c>
      <c r="I191" s="974">
        <f t="shared" si="1529"/>
        <v>138261060.76000002</v>
      </c>
      <c r="J191" s="974">
        <f t="shared" si="1529"/>
        <v>138028505.81</v>
      </c>
      <c r="K191" s="974">
        <f t="shared" si="1529"/>
        <v>138248889.79000002</v>
      </c>
      <c r="L191" s="974">
        <f t="shared" si="1529"/>
        <v>137938090.02999997</v>
      </c>
      <c r="M191" s="974">
        <f t="shared" si="1529"/>
        <v>137256374.58000001</v>
      </c>
      <c r="N191" s="974">
        <f t="shared" si="1529"/>
        <v>137913169.69999999</v>
      </c>
      <c r="O191" s="974">
        <f t="shared" si="1529"/>
        <v>138315824.94999999</v>
      </c>
      <c r="P191" s="974">
        <f t="shared" si="1529"/>
        <v>137683620.34000003</v>
      </c>
      <c r="Q191" s="974">
        <f t="shared" si="1529"/>
        <v>138599446.36000001</v>
      </c>
      <c r="R191" s="974">
        <f t="shared" si="1529"/>
        <v>-102750696.31999999</v>
      </c>
      <c r="S191" s="116"/>
      <c r="T191" s="116">
        <f>T176+T169+T162+T151+T183</f>
        <v>128399123.75749998</v>
      </c>
      <c r="U191" s="106">
        <f>H176+H169+H162+H151</f>
        <v>139621540.34</v>
      </c>
      <c r="V191" s="998">
        <f t="shared" ref="V191:AA191" ca="1" si="1530">V176+V169+V162+V151+V183</f>
        <v>-86067170.045560151</v>
      </c>
      <c r="W191" s="998">
        <f t="shared" ca="1" si="1530"/>
        <v>-88066428.539309144</v>
      </c>
      <c r="X191" s="998">
        <f t="shared" ca="1" si="1530"/>
        <v>-88778099.050246745</v>
      </c>
      <c r="Y191" s="998">
        <f t="shared" ca="1" si="1530"/>
        <v>-88577628.466004223</v>
      </c>
      <c r="Z191" s="998">
        <f t="shared" ca="1" si="1530"/>
        <v>-88575499.536693394</v>
      </c>
      <c r="AA191" s="998">
        <f t="shared" ca="1" si="1530"/>
        <v>-72207006.635935098</v>
      </c>
      <c r="AB191" s="998">
        <f t="shared" ref="AB191:AG191" ca="1" si="1531">AB176+AB169+AB162+AB151+AB183</f>
        <v>-72195005.520492822</v>
      </c>
      <c r="AC191" s="998">
        <f t="shared" ca="1" si="1531"/>
        <v>-70259820.164214551</v>
      </c>
      <c r="AD191" s="998">
        <f t="shared" ca="1" si="1531"/>
        <v>-73441530.524299592</v>
      </c>
      <c r="AE191" s="998">
        <f t="shared" ca="1" si="1531"/>
        <v>-76283949.956122518</v>
      </c>
      <c r="AF191" s="998">
        <f t="shared" ca="1" si="1531"/>
        <v>-98562532.09910503</v>
      </c>
      <c r="AG191" s="998">
        <f t="shared" ca="1" si="1531"/>
        <v>-94072812.903314561</v>
      </c>
      <c r="AH191" s="106"/>
      <c r="AI191" s="133">
        <f ca="1">+AG191-U191</f>
        <v>-233694353.24331456</v>
      </c>
      <c r="AJ191" s="116">
        <f ca="1">AJ176+AJ169+AJ162+AJ151</f>
        <v>159591031.33992326</v>
      </c>
      <c r="AK191" s="106">
        <f t="shared" ca="1" si="1519"/>
        <v>-94072812.903314561</v>
      </c>
      <c r="AL191" s="1016">
        <f ca="1">AL176+AL169+AL162+AL151+AL183</f>
        <v>-79470746.518989772</v>
      </c>
      <c r="AM191" s="1016">
        <f t="shared" ref="AM191:AW191" ca="1" si="1532">AM176+AM169+AM162+AM151+AM183</f>
        <v>-81265323.004359305</v>
      </c>
      <c r="AN191" s="1016">
        <f t="shared" ca="1" si="1532"/>
        <v>-78991239.001573354</v>
      </c>
      <c r="AO191" s="1016">
        <f t="shared" ca="1" si="1532"/>
        <v>-80684593.170161158</v>
      </c>
      <c r="AP191" s="1016">
        <f t="shared" ca="1" si="1532"/>
        <v>-82476861.756401688</v>
      </c>
      <c r="AQ191" s="1016">
        <f t="shared" ca="1" si="1532"/>
        <v>-64127095.106303751</v>
      </c>
      <c r="AR191" s="1016">
        <f t="shared" ca="1" si="1532"/>
        <v>-66324852.59078455</v>
      </c>
      <c r="AS191" s="1016">
        <f t="shared" ca="1" si="1532"/>
        <v>-66607925.603933811</v>
      </c>
      <c r="AT191" s="1016">
        <f t="shared" ca="1" si="1532"/>
        <v>-70824363.891118318</v>
      </c>
      <c r="AU191" s="1016">
        <f t="shared" ca="1" si="1532"/>
        <v>-77285336.570200413</v>
      </c>
      <c r="AV191" s="1016">
        <f t="shared" ca="1" si="1532"/>
        <v>-91853240.712189794</v>
      </c>
      <c r="AW191" s="1016">
        <f t="shared" ca="1" si="1532"/>
        <v>-88678135.271661103</v>
      </c>
      <c r="AX191" s="106"/>
      <c r="AY191" s="133">
        <f ca="1">+AW191-AK191</f>
        <v>5394677.6316534579</v>
      </c>
      <c r="AZ191" s="133"/>
      <c r="BA191" s="116">
        <f ca="1">BA176+BA169+BA162+BA151</f>
        <v>164860945.6929704</v>
      </c>
    </row>
    <row r="192" spans="1:53" ht="13.5" thickBot="1">
      <c r="A192" s="250">
        <f t="shared" si="1086"/>
        <v>177</v>
      </c>
      <c r="B192" s="208"/>
      <c r="C192" s="102"/>
      <c r="D192" s="102"/>
      <c r="E192" s="102"/>
      <c r="F192" s="994"/>
      <c r="G192" s="994"/>
      <c r="H192" s="994"/>
      <c r="I192" s="994"/>
      <c r="J192" s="994"/>
      <c r="K192" s="994"/>
      <c r="L192" s="994"/>
      <c r="M192" s="994"/>
      <c r="N192" s="994"/>
      <c r="O192" s="994"/>
      <c r="P192" s="994"/>
      <c r="Q192" s="994"/>
      <c r="R192" s="994"/>
      <c r="S192" s="116"/>
      <c r="T192" s="235"/>
      <c r="U192" s="210"/>
      <c r="V192" s="1010"/>
      <c r="W192" s="1010"/>
      <c r="X192" s="1010"/>
      <c r="Y192" s="1010"/>
      <c r="Z192" s="1010"/>
      <c r="AA192" s="1010"/>
      <c r="AB192" s="1010"/>
      <c r="AC192" s="1010"/>
      <c r="AD192" s="1010"/>
      <c r="AE192" s="1010"/>
      <c r="AF192" s="1010"/>
      <c r="AG192" s="1010"/>
      <c r="AH192" s="210"/>
      <c r="AI192" s="242"/>
      <c r="AJ192" s="235"/>
      <c r="AK192" s="210"/>
      <c r="AL192" s="1034"/>
      <c r="AM192" s="1034"/>
      <c r="AN192" s="1034"/>
      <c r="AO192" s="1034"/>
      <c r="AP192" s="1034"/>
      <c r="AQ192" s="1034"/>
      <c r="AR192" s="1034"/>
      <c r="AS192" s="1034"/>
      <c r="AT192" s="1034"/>
      <c r="AU192" s="1034"/>
      <c r="AV192" s="1034"/>
      <c r="AW192" s="1034"/>
      <c r="AX192" s="210"/>
      <c r="AY192" s="242"/>
      <c r="AZ192" s="242"/>
      <c r="BA192" s="235"/>
    </row>
    <row r="193" spans="1:53" ht="13.5" thickTop="1">
      <c r="A193" s="250">
        <f t="shared" si="1086"/>
        <v>178</v>
      </c>
      <c r="B193" s="208"/>
      <c r="C193" s="49"/>
      <c r="D193" s="102"/>
      <c r="E193" s="102"/>
      <c r="F193" s="974"/>
      <c r="G193" s="974"/>
      <c r="H193" s="974"/>
      <c r="I193" s="974"/>
      <c r="J193" s="974"/>
      <c r="K193" s="974"/>
      <c r="L193" s="974"/>
      <c r="M193" s="974"/>
      <c r="N193" s="974"/>
      <c r="O193" s="974"/>
      <c r="P193" s="974"/>
      <c r="Q193" s="974"/>
      <c r="R193" s="974"/>
      <c r="S193" s="116"/>
      <c r="T193" s="116"/>
      <c r="U193" s="106"/>
      <c r="V193" s="998"/>
      <c r="W193" s="998"/>
      <c r="X193" s="998"/>
      <c r="Y193" s="998"/>
      <c r="Z193" s="998"/>
      <c r="AA193" s="998"/>
      <c r="AB193" s="998"/>
      <c r="AC193" s="998"/>
      <c r="AD193" s="998"/>
      <c r="AE193" s="998"/>
      <c r="AF193" s="998"/>
      <c r="AG193" s="998"/>
      <c r="AH193" s="106"/>
      <c r="AI193" s="133"/>
      <c r="AJ193" s="116"/>
      <c r="AK193" s="106"/>
      <c r="AL193" s="1016"/>
      <c r="AM193" s="1016"/>
      <c r="AN193" s="1016"/>
      <c r="AO193" s="1016"/>
      <c r="AP193" s="1016"/>
      <c r="AQ193" s="1016"/>
      <c r="AR193" s="1016"/>
      <c r="AS193" s="1016"/>
      <c r="AT193" s="1016"/>
      <c r="AU193" s="1016"/>
      <c r="AV193" s="1016"/>
      <c r="AW193" s="1016"/>
      <c r="AX193" s="106"/>
      <c r="AY193" s="133"/>
      <c r="AZ193" s="133"/>
      <c r="BA193" s="116"/>
    </row>
    <row r="194" spans="1:53">
      <c r="A194" s="250">
        <f t="shared" si="1086"/>
        <v>179</v>
      </c>
      <c r="B194" s="208"/>
      <c r="C194" s="102" t="s">
        <v>663</v>
      </c>
      <c r="D194" s="102"/>
      <c r="E194" s="102"/>
      <c r="F194" s="974">
        <f t="shared" ref="F194:R194" si="1533">SUM(F188:F191)</f>
        <v>1824004287.9199998</v>
      </c>
      <c r="G194" s="974">
        <f t="shared" si="1533"/>
        <v>1821710232.55</v>
      </c>
      <c r="H194" s="974">
        <f t="shared" si="1533"/>
        <v>1826905886.76</v>
      </c>
      <c r="I194" s="974">
        <f t="shared" si="1533"/>
        <v>1832953766.832</v>
      </c>
      <c r="J194" s="974">
        <f t="shared" si="1533"/>
        <v>1847180404.8300002</v>
      </c>
      <c r="K194" s="974">
        <f t="shared" si="1533"/>
        <v>1853441665.9299998</v>
      </c>
      <c r="L194" s="974">
        <f t="shared" si="1533"/>
        <v>1857622861.5219996</v>
      </c>
      <c r="M194" s="974">
        <f t="shared" si="1533"/>
        <v>1862657735.7219999</v>
      </c>
      <c r="N194" s="974">
        <f t="shared" si="1533"/>
        <v>1903679547.77</v>
      </c>
      <c r="O194" s="974">
        <f t="shared" si="1533"/>
        <v>1918971076.6299999</v>
      </c>
      <c r="P194" s="974">
        <f t="shared" si="1533"/>
        <v>1930305775.3599997</v>
      </c>
      <c r="Q194" s="974">
        <f t="shared" si="1533"/>
        <v>1937859613.1300001</v>
      </c>
      <c r="R194" s="974">
        <f t="shared" si="1533"/>
        <v>1719831341.8620002</v>
      </c>
      <c r="S194" s="116"/>
      <c r="T194" s="116">
        <f>SUM(T188:T191)</f>
        <v>1863767198.4939167</v>
      </c>
      <c r="U194" s="106">
        <f>SUM(H188:H191)</f>
        <v>1826905886.76</v>
      </c>
      <c r="V194" s="998">
        <f t="shared" ref="V194:AA194" ca="1" si="1534">SUM(V188:V191)</f>
        <v>1797884081.9862642</v>
      </c>
      <c r="W194" s="998">
        <f t="shared" ca="1" si="1534"/>
        <v>1795624694.9019213</v>
      </c>
      <c r="X194" s="998">
        <f t="shared" ca="1" si="1534"/>
        <v>1823909823.3930008</v>
      </c>
      <c r="Y194" s="998">
        <f t="shared" ca="1" si="1534"/>
        <v>1828438366.2240112</v>
      </c>
      <c r="Z194" s="998">
        <f t="shared" ca="1" si="1534"/>
        <v>1820073234.7103908</v>
      </c>
      <c r="AA194" s="998">
        <f t="shared" ca="1" si="1534"/>
        <v>1852277461.4310298</v>
      </c>
      <c r="AB194" s="998">
        <f t="shared" ref="AB194:AG194" ca="1" si="1535">SUM(AB188:AB191)</f>
        <v>1843763007.1570234</v>
      </c>
      <c r="AC194" s="998">
        <f t="shared" ca="1" si="1535"/>
        <v>1891489411.4297853</v>
      </c>
      <c r="AD194" s="998">
        <f t="shared" ca="1" si="1535"/>
        <v>1871599056.3510308</v>
      </c>
      <c r="AE194" s="998">
        <f t="shared" ca="1" si="1535"/>
        <v>1891307817.512723</v>
      </c>
      <c r="AF194" s="998">
        <f t="shared" ca="1" si="1535"/>
        <v>1875652716.7420011</v>
      </c>
      <c r="AG194" s="998">
        <f t="shared" ca="1" si="1535"/>
        <v>1896191493.0245738</v>
      </c>
      <c r="AH194" s="106"/>
      <c r="AI194" s="133">
        <f ca="1">+AG194-U194</f>
        <v>69285606.264573812</v>
      </c>
      <c r="AJ194" s="116">
        <f ca="1">SUM(AJ188:AJ191)</f>
        <v>2279080789.383718</v>
      </c>
      <c r="AK194" s="106">
        <f t="shared" ca="1" si="1519"/>
        <v>1896191493.0245738</v>
      </c>
      <c r="AL194" s="1016">
        <f ca="1">SUM(X188:X191)</f>
        <v>1823909823.3930008</v>
      </c>
      <c r="AM194" s="1016">
        <f ca="1">SUM(Y188:Y191)</f>
        <v>1828438366.2240112</v>
      </c>
      <c r="AN194" s="1016">
        <f ca="1">SUM(Z188:Z191)</f>
        <v>1820073234.7103908</v>
      </c>
      <c r="AO194" s="1016">
        <f ca="1">SUM(AO188:AO191)</f>
        <v>2009773459.8847237</v>
      </c>
      <c r="AP194" s="1016">
        <f ca="1">SUM(AB188:AB191)</f>
        <v>1843763007.1570234</v>
      </c>
      <c r="AQ194" s="1016">
        <f ca="1">SUM(AC188:AC191)</f>
        <v>1891489411.4297853</v>
      </c>
      <c r="AR194" s="1016">
        <f t="shared" ref="AR194:AW194" ca="1" si="1536">SUM(AR188:AR191)</f>
        <v>2015967531.4480855</v>
      </c>
      <c r="AS194" s="1016">
        <f t="shared" ca="1" si="1536"/>
        <v>2059495473.3835063</v>
      </c>
      <c r="AT194" s="1016">
        <f t="shared" ca="1" si="1536"/>
        <v>2035294059.3930902</v>
      </c>
      <c r="AU194" s="1016">
        <f t="shared" ca="1" si="1536"/>
        <v>2048716089.8725934</v>
      </c>
      <c r="AV194" s="1016">
        <f t="shared" ca="1" si="1536"/>
        <v>2035366527.9153113</v>
      </c>
      <c r="AW194" s="1016">
        <f t="shared" ca="1" si="1536"/>
        <v>2052601247.6726589</v>
      </c>
      <c r="AX194" s="106"/>
      <c r="AY194" s="133">
        <f ca="1">+AW194-AK194</f>
        <v>156409754.64808512</v>
      </c>
      <c r="AZ194" s="133"/>
      <c r="BA194" s="116">
        <f ca="1">SUM(BA188:BA191)</f>
        <v>2450467776.9017987</v>
      </c>
    </row>
    <row r="195" spans="1:53">
      <c r="A195" s="250">
        <f t="shared" si="1086"/>
        <v>180</v>
      </c>
      <c r="B195" s="208"/>
      <c r="C195" s="102"/>
      <c r="D195" s="102"/>
      <c r="E195" s="102"/>
      <c r="F195" s="974"/>
      <c r="G195" s="974"/>
      <c r="H195" s="974"/>
      <c r="I195" s="974"/>
      <c r="J195" s="974"/>
      <c r="K195" s="974"/>
      <c r="L195" s="974"/>
      <c r="M195" s="974"/>
      <c r="N195" s="974"/>
      <c r="O195" s="974"/>
      <c r="P195" s="974"/>
      <c r="Q195" s="974"/>
      <c r="R195" s="974"/>
      <c r="S195" s="116"/>
      <c r="T195" s="116"/>
      <c r="U195" s="106"/>
      <c r="V195" s="998"/>
      <c r="W195" s="998"/>
      <c r="X195" s="998"/>
      <c r="Y195" s="998"/>
      <c r="Z195" s="998"/>
      <c r="AA195" s="998"/>
      <c r="AB195" s="998"/>
      <c r="AC195" s="998"/>
      <c r="AD195" s="998"/>
      <c r="AE195" s="998"/>
      <c r="AF195" s="998"/>
      <c r="AG195" s="998"/>
      <c r="AH195" s="106"/>
      <c r="AI195" s="133"/>
      <c r="AJ195" s="116"/>
      <c r="AK195" s="106"/>
      <c r="AL195" s="1016"/>
      <c r="AM195" s="1016"/>
      <c r="AN195" s="1016"/>
      <c r="AO195" s="1016"/>
      <c r="AP195" s="1016"/>
      <c r="AQ195" s="1016"/>
      <c r="AR195" s="1016"/>
      <c r="AS195" s="1016"/>
      <c r="AT195" s="1016"/>
      <c r="AU195" s="1016"/>
      <c r="AV195" s="1016"/>
      <c r="AW195" s="1016"/>
      <c r="AX195" s="106"/>
      <c r="AY195" s="133"/>
      <c r="AZ195" s="133"/>
      <c r="BA195" s="116"/>
    </row>
    <row r="196" spans="1:53">
      <c r="A196" s="250">
        <f t="shared" si="1086"/>
        <v>181</v>
      </c>
      <c r="B196" s="49"/>
      <c r="C196" s="102"/>
      <c r="D196" s="102"/>
      <c r="E196" s="102"/>
      <c r="F196" s="974"/>
      <c r="G196" s="974"/>
      <c r="H196" s="974"/>
      <c r="I196" s="974"/>
      <c r="J196" s="974"/>
      <c r="K196" s="974"/>
      <c r="L196" s="974"/>
      <c r="M196" s="974"/>
      <c r="N196" s="974"/>
      <c r="O196" s="974"/>
      <c r="P196" s="974"/>
      <c r="Q196" s="974"/>
      <c r="R196" s="974"/>
      <c r="S196" s="116"/>
      <c r="T196" s="116"/>
      <c r="U196" s="106"/>
      <c r="V196" s="998"/>
      <c r="W196" s="998"/>
      <c r="X196" s="998"/>
      <c r="Y196" s="998"/>
      <c r="Z196" s="998"/>
      <c r="AA196" s="998"/>
      <c r="AB196" s="998"/>
      <c r="AC196" s="998"/>
      <c r="AD196" s="998"/>
      <c r="AE196" s="998"/>
      <c r="AF196" s="998"/>
      <c r="AG196" s="998"/>
      <c r="AH196" s="106" t="s">
        <v>1058</v>
      </c>
      <c r="AI196" s="133">
        <v>37400819.394946799</v>
      </c>
      <c r="AJ196" s="116"/>
      <c r="AK196" s="106"/>
      <c r="AL196" s="1016"/>
      <c r="AM196" s="1016"/>
      <c r="AN196" s="1016"/>
      <c r="AO196" s="1016"/>
      <c r="AP196" s="1016"/>
      <c r="AQ196" s="1016"/>
      <c r="AR196" s="1016"/>
      <c r="AS196" s="1016"/>
      <c r="AT196" s="1016"/>
      <c r="AU196" s="1016"/>
      <c r="AV196" s="1016"/>
      <c r="AW196" s="1016"/>
      <c r="AX196" s="106" t="s">
        <v>1058</v>
      </c>
      <c r="AY196" s="133">
        <v>37400819.394946799</v>
      </c>
      <c r="AZ196" s="133"/>
      <c r="BA196" s="116"/>
    </row>
    <row r="197" spans="1:53">
      <c r="A197" s="250">
        <f t="shared" si="1086"/>
        <v>182</v>
      </c>
      <c r="B197" s="208" t="s">
        <v>1052</v>
      </c>
      <c r="C197" s="102"/>
      <c r="D197" s="102"/>
      <c r="E197" s="102"/>
      <c r="F197" s="974"/>
      <c r="G197" s="974"/>
      <c r="H197" s="974"/>
      <c r="I197" s="974"/>
      <c r="J197" s="974"/>
      <c r="K197" s="974"/>
      <c r="L197" s="974"/>
      <c r="M197" s="974"/>
      <c r="N197" s="974"/>
      <c r="O197" s="974"/>
      <c r="P197" s="974"/>
      <c r="Q197" s="974"/>
      <c r="R197" s="974"/>
      <c r="S197" s="116"/>
      <c r="T197" s="116"/>
      <c r="U197" s="106"/>
      <c r="V197" s="998"/>
      <c r="W197" s="998"/>
      <c r="X197" s="998"/>
      <c r="Y197" s="998"/>
      <c r="Z197" s="998"/>
      <c r="AA197" s="998"/>
      <c r="AB197" s="998"/>
      <c r="AC197" s="998"/>
      <c r="AD197" s="998"/>
      <c r="AE197" s="998"/>
      <c r="AF197" s="998"/>
      <c r="AG197" s="998"/>
      <c r="AH197" s="106" t="s">
        <v>1057</v>
      </c>
      <c r="AI197" s="395">
        <v>-50551808.830508053</v>
      </c>
      <c r="AJ197" s="116"/>
      <c r="AK197" s="106"/>
      <c r="AL197" s="1016"/>
      <c r="AM197" s="1016"/>
      <c r="AN197" s="1016"/>
      <c r="AO197" s="1016"/>
      <c r="AP197" s="1016"/>
      <c r="AQ197" s="1016"/>
      <c r="AR197" s="1016"/>
      <c r="AS197" s="1016"/>
      <c r="AT197" s="1016"/>
      <c r="AU197" s="1016"/>
      <c r="AV197" s="1016"/>
      <c r="AW197" s="1016"/>
      <c r="AX197" s="106" t="s">
        <v>1057</v>
      </c>
      <c r="AY197" s="395">
        <v>-50551808.830508053</v>
      </c>
      <c r="AZ197" s="133"/>
      <c r="BA197" s="116"/>
    </row>
    <row r="198" spans="1:53">
      <c r="A198" s="250">
        <f t="shared" si="1086"/>
        <v>183</v>
      </c>
      <c r="B198" s="212"/>
      <c r="C198" s="102"/>
      <c r="D198" s="102"/>
      <c r="E198" s="102"/>
      <c r="F198" s="974"/>
      <c r="G198" s="974"/>
      <c r="H198" s="974"/>
      <c r="I198" s="974"/>
      <c r="J198" s="974"/>
      <c r="K198" s="974"/>
      <c r="L198" s="974"/>
      <c r="M198" s="974"/>
      <c r="N198" s="974"/>
      <c r="O198" s="974"/>
      <c r="P198" s="974"/>
      <c r="Q198" s="974"/>
      <c r="R198" s="974"/>
      <c r="S198" s="116"/>
      <c r="T198" s="116"/>
      <c r="U198" s="106"/>
      <c r="V198" s="998"/>
      <c r="W198" s="998"/>
      <c r="X198" s="998"/>
      <c r="Y198" s="998"/>
      <c r="Z198" s="998"/>
      <c r="AA198" s="998"/>
      <c r="AB198" s="998"/>
      <c r="AC198" s="998"/>
      <c r="AD198" s="998"/>
      <c r="AE198" s="998"/>
      <c r="AF198" s="998"/>
      <c r="AG198" s="998"/>
      <c r="AH198" s="106"/>
      <c r="AI198" s="133">
        <f>SUM(AI196:AI197)</f>
        <v>-13150989.435561255</v>
      </c>
      <c r="AJ198" s="116"/>
      <c r="AK198" s="106"/>
      <c r="AL198" s="1016"/>
      <c r="AM198" s="1016"/>
      <c r="AN198" s="1016"/>
      <c r="AO198" s="1016"/>
      <c r="AP198" s="1016"/>
      <c r="AQ198" s="1016"/>
      <c r="AR198" s="1016"/>
      <c r="AS198" s="1016"/>
      <c r="AT198" s="1016"/>
      <c r="AU198" s="1016"/>
      <c r="AV198" s="1016"/>
      <c r="AW198" s="1016"/>
      <c r="AX198" s="106"/>
      <c r="AY198" s="133">
        <f>SUM(AY196:AY197)</f>
        <v>-13150989.435561255</v>
      </c>
      <c r="AZ198" s="133"/>
      <c r="BA198" s="116"/>
    </row>
    <row r="199" spans="1:53">
      <c r="A199" s="250">
        <f t="shared" si="1086"/>
        <v>184</v>
      </c>
      <c r="B199" s="212">
        <v>154</v>
      </c>
      <c r="C199" s="102" t="s">
        <v>308</v>
      </c>
      <c r="D199" s="102"/>
      <c r="E199" s="102"/>
      <c r="F199" s="974"/>
      <c r="G199" s="974"/>
      <c r="H199" s="974"/>
      <c r="I199" s="974"/>
      <c r="J199" s="974"/>
      <c r="K199" s="974"/>
      <c r="L199" s="974"/>
      <c r="M199" s="974"/>
      <c r="N199" s="974"/>
      <c r="O199" s="974"/>
      <c r="P199" s="974"/>
      <c r="Q199" s="974"/>
      <c r="R199" s="974"/>
      <c r="S199" s="116"/>
      <c r="T199" s="116"/>
      <c r="U199" s="106"/>
      <c r="V199" s="998"/>
      <c r="W199" s="998"/>
      <c r="X199" s="998"/>
      <c r="Y199" s="998"/>
      <c r="Z199" s="998"/>
      <c r="AA199" s="998"/>
      <c r="AB199" s="998"/>
      <c r="AC199" s="998"/>
      <c r="AD199" s="998"/>
      <c r="AE199" s="998"/>
      <c r="AF199" s="998"/>
      <c r="AG199" s="998"/>
      <c r="AH199" s="106"/>
      <c r="AI199" s="133"/>
      <c r="AJ199" s="116"/>
      <c r="AK199" s="106"/>
      <c r="AL199" s="1016"/>
      <c r="AM199" s="1016"/>
      <c r="AN199" s="1016"/>
      <c r="AO199" s="1016"/>
      <c r="AP199" s="1016"/>
      <c r="AQ199" s="1016"/>
      <c r="AR199" s="1016"/>
      <c r="AS199" s="1016"/>
      <c r="AT199" s="1016"/>
      <c r="AU199" s="1016"/>
      <c r="AV199" s="1016"/>
      <c r="AW199" s="1016"/>
      <c r="AX199" s="106"/>
      <c r="AY199" s="133"/>
      <c r="AZ199" s="133"/>
      <c r="BA199" s="116"/>
    </row>
    <row r="200" spans="1:53">
      <c r="A200" s="250">
        <f t="shared" si="1086"/>
        <v>185</v>
      </c>
      <c r="B200" s="212"/>
      <c r="C200" s="102"/>
      <c r="D200" s="102" t="s">
        <v>592</v>
      </c>
      <c r="E200" s="102"/>
      <c r="F200" s="974">
        <f ca="1">'Rate Base'!S198</f>
        <v>891662.96885925566</v>
      </c>
      <c r="G200" s="974">
        <f>'Rate Base'!T198</f>
        <v>924641.56325773522</v>
      </c>
      <c r="H200" s="974">
        <f>'Rate Base'!U198</f>
        <v>982392.83847182244</v>
      </c>
      <c r="I200" s="974">
        <f>'Rate Base'!V198</f>
        <v>824380.31282251328</v>
      </c>
      <c r="J200" s="974">
        <f>'Rate Base'!W198</f>
        <v>784810.47807089984</v>
      </c>
      <c r="K200" s="974">
        <f>'Rate Base'!X198</f>
        <v>795228.27801053226</v>
      </c>
      <c r="L200" s="974">
        <f>'Rate Base'!Y198</f>
        <v>829265.28467340767</v>
      </c>
      <c r="M200" s="974">
        <f>'Rate Base'!Z198</f>
        <v>717683.40690339357</v>
      </c>
      <c r="N200" s="974">
        <f>'Rate Base'!AA198</f>
        <v>738109.08857079595</v>
      </c>
      <c r="O200" s="974">
        <f>'Rate Base'!AB198</f>
        <v>930761.7611960806</v>
      </c>
      <c r="P200" s="974">
        <f>'Rate Base'!AC198</f>
        <v>893488.36074661091</v>
      </c>
      <c r="Q200" s="974">
        <f>'Rate Base'!AD198</f>
        <v>865266.54255538434</v>
      </c>
      <c r="R200" s="974">
        <f>'Rate Base'!AE198</f>
        <v>821279.85365963727</v>
      </c>
      <c r="S200" s="116"/>
      <c r="T200" s="116">
        <f ca="1">((F200/2)+SUM(G200:Q200)+(R200/2))/12</f>
        <v>845208.2772115519</v>
      </c>
      <c r="U200" s="106">
        <f>+R200</f>
        <v>821279.85365963727</v>
      </c>
      <c r="V200" s="998">
        <f t="shared" ref="V200:V202" si="1537">G200</f>
        <v>924641.56325773522</v>
      </c>
      <c r="W200" s="998">
        <f t="shared" ref="W200:W202" si="1538">H200</f>
        <v>982392.83847182244</v>
      </c>
      <c r="X200" s="998">
        <f t="shared" ref="X200:X202" si="1539">I200</f>
        <v>824380.31282251328</v>
      </c>
      <c r="Y200" s="998">
        <f t="shared" ref="Y200:Y202" si="1540">J200</f>
        <v>784810.47807089984</v>
      </c>
      <c r="Z200" s="998">
        <f t="shared" ref="Z200:Z202" si="1541">K200</f>
        <v>795228.27801053226</v>
      </c>
      <c r="AA200" s="998">
        <f t="shared" ref="AA200:AA202" si="1542">L200</f>
        <v>829265.28467340767</v>
      </c>
      <c r="AB200" s="998">
        <f t="shared" ref="AB200:AB201" si="1543">M200</f>
        <v>717683.40690339357</v>
      </c>
      <c r="AC200" s="998">
        <f t="shared" ref="AC200:AC202" si="1544">N200</f>
        <v>738109.08857079595</v>
      </c>
      <c r="AD200" s="998">
        <f t="shared" ref="AD200:AD202" si="1545">O200</f>
        <v>930761.7611960806</v>
      </c>
      <c r="AE200" s="998">
        <f t="shared" ref="AE200:AE202" si="1546">P200</f>
        <v>893488.36074661091</v>
      </c>
      <c r="AF200" s="998">
        <f t="shared" ref="AF200:AF202" si="1547">Q200</f>
        <v>865266.54255538434</v>
      </c>
      <c r="AG200" s="998">
        <f t="shared" ref="AG200:AG202" si="1548">R200</f>
        <v>821279.85365963727</v>
      </c>
      <c r="AH200" s="106"/>
      <c r="AI200" s="133"/>
      <c r="AJ200" s="116">
        <f>((U200/2)+SUM(V200:AF200)+(AG200/2))/12</f>
        <v>842275.64741156774</v>
      </c>
      <c r="AK200" s="106">
        <f>AG200</f>
        <v>821279.85365963727</v>
      </c>
      <c r="AL200" s="1016">
        <f>V200</f>
        <v>924641.56325773522</v>
      </c>
      <c r="AM200" s="1016">
        <f t="shared" ref="AM200:AW202" si="1549">W200</f>
        <v>982392.83847182244</v>
      </c>
      <c r="AN200" s="1016">
        <f t="shared" si="1549"/>
        <v>824380.31282251328</v>
      </c>
      <c r="AO200" s="1016">
        <f t="shared" si="1549"/>
        <v>784810.47807089984</v>
      </c>
      <c r="AP200" s="1016">
        <f t="shared" si="1549"/>
        <v>795228.27801053226</v>
      </c>
      <c r="AQ200" s="1016">
        <f t="shared" si="1549"/>
        <v>829265.28467340767</v>
      </c>
      <c r="AR200" s="1016">
        <f t="shared" si="1549"/>
        <v>717683.40690339357</v>
      </c>
      <c r="AS200" s="1016">
        <f t="shared" si="1549"/>
        <v>738109.08857079595</v>
      </c>
      <c r="AT200" s="1016">
        <f t="shared" si="1549"/>
        <v>930761.7611960806</v>
      </c>
      <c r="AU200" s="1016">
        <f t="shared" si="1549"/>
        <v>893488.36074661091</v>
      </c>
      <c r="AV200" s="1016">
        <f t="shared" si="1549"/>
        <v>865266.54255538434</v>
      </c>
      <c r="AW200" s="1016">
        <f t="shared" si="1549"/>
        <v>821279.85365963727</v>
      </c>
      <c r="AX200" s="106"/>
      <c r="AY200" s="133"/>
      <c r="AZ200" s="133"/>
      <c r="BA200" s="116">
        <f>((AK200/2)+SUM(AL200:AV200)+(AW200/2))/12</f>
        <v>842275.64741156774</v>
      </c>
    </row>
    <row r="201" spans="1:53">
      <c r="A201" s="250">
        <f t="shared" si="1086"/>
        <v>186</v>
      </c>
      <c r="B201" s="212"/>
      <c r="C201" s="102"/>
      <c r="D201" s="102" t="s">
        <v>593</v>
      </c>
      <c r="E201" s="102"/>
      <c r="F201" s="974">
        <f ca="1">'Rate Base'!S199</f>
        <v>26564633.771140743</v>
      </c>
      <c r="G201" s="974">
        <f>'Rate Base'!T199</f>
        <v>27422382.166742265</v>
      </c>
      <c r="H201" s="974">
        <f>'Rate Base'!U199</f>
        <v>29135129.681528177</v>
      </c>
      <c r="I201" s="974">
        <f>'Rate Base'!V199</f>
        <v>24448903.107177485</v>
      </c>
      <c r="J201" s="974">
        <f>'Rate Base'!W199</f>
        <v>23275368.221929099</v>
      </c>
      <c r="K201" s="974">
        <f>'Rate Base'!X199</f>
        <v>23584332.151989467</v>
      </c>
      <c r="L201" s="974">
        <f>'Rate Base'!Y199</f>
        <v>24593778.235326592</v>
      </c>
      <c r="M201" s="974">
        <f>'Rate Base'!Z199</f>
        <v>21284559.813096605</v>
      </c>
      <c r="N201" s="974">
        <f>'Rate Base'!AA199</f>
        <v>21890330.601429205</v>
      </c>
      <c r="O201" s="974">
        <f>'Rate Base'!AB199</f>
        <v>27603890.778803919</v>
      </c>
      <c r="P201" s="974">
        <f>'Rate Base'!AC199</f>
        <v>26498461.959253389</v>
      </c>
      <c r="Q201" s="974">
        <f>'Rate Base'!AD199</f>
        <v>25661478.727444615</v>
      </c>
      <c r="R201" s="974">
        <f>'Rate Base'!AE199</f>
        <v>24356951.826340362</v>
      </c>
      <c r="S201" s="116"/>
      <c r="T201" s="116">
        <f ca="1">((F201/2)+SUM(G201:Q201)+(R201/2))/12</f>
        <v>25071617.353621777</v>
      </c>
      <c r="U201" s="106">
        <f>+R201</f>
        <v>24356951.826340362</v>
      </c>
      <c r="V201" s="998">
        <f t="shared" si="1537"/>
        <v>27422382.166742265</v>
      </c>
      <c r="W201" s="998">
        <f t="shared" si="1538"/>
        <v>29135129.681528177</v>
      </c>
      <c r="X201" s="998">
        <f t="shared" si="1539"/>
        <v>24448903.107177485</v>
      </c>
      <c r="Y201" s="998">
        <f t="shared" si="1540"/>
        <v>23275368.221929099</v>
      </c>
      <c r="Z201" s="998">
        <f t="shared" si="1541"/>
        <v>23584332.151989467</v>
      </c>
      <c r="AA201" s="998">
        <f t="shared" si="1542"/>
        <v>24593778.235326592</v>
      </c>
      <c r="AB201" s="998">
        <f t="shared" si="1543"/>
        <v>21284559.813096605</v>
      </c>
      <c r="AC201" s="998">
        <f t="shared" si="1544"/>
        <v>21890330.601429205</v>
      </c>
      <c r="AD201" s="998">
        <f t="shared" si="1545"/>
        <v>27603890.778803919</v>
      </c>
      <c r="AE201" s="998">
        <f t="shared" si="1546"/>
        <v>26498461.959253389</v>
      </c>
      <c r="AF201" s="998">
        <f t="shared" si="1547"/>
        <v>25661478.727444615</v>
      </c>
      <c r="AG201" s="998">
        <f t="shared" si="1548"/>
        <v>24356951.826340362</v>
      </c>
      <c r="AH201" s="106"/>
      <c r="AI201" s="133"/>
      <c r="AJ201" s="116">
        <f>((U201/2)+SUM(V201:AF201)+(AG201/2))/12</f>
        <v>24979630.60592176</v>
      </c>
      <c r="AK201" s="106">
        <f>AG201</f>
        <v>24356951.826340362</v>
      </c>
      <c r="AL201" s="1016">
        <f>V201</f>
        <v>27422382.166742265</v>
      </c>
      <c r="AM201" s="1016">
        <f t="shared" si="1549"/>
        <v>29135129.681528177</v>
      </c>
      <c r="AN201" s="1016">
        <f t="shared" si="1549"/>
        <v>24448903.107177485</v>
      </c>
      <c r="AO201" s="1016">
        <f t="shared" si="1549"/>
        <v>23275368.221929099</v>
      </c>
      <c r="AP201" s="1016">
        <f t="shared" si="1549"/>
        <v>23584332.151989467</v>
      </c>
      <c r="AQ201" s="1016">
        <f t="shared" si="1549"/>
        <v>24593778.235326592</v>
      </c>
      <c r="AR201" s="1016">
        <f t="shared" si="1549"/>
        <v>21284559.813096605</v>
      </c>
      <c r="AS201" s="1016">
        <f t="shared" si="1549"/>
        <v>21890330.601429205</v>
      </c>
      <c r="AT201" s="1016">
        <f t="shared" si="1549"/>
        <v>27603890.778803919</v>
      </c>
      <c r="AU201" s="1016">
        <f t="shared" si="1549"/>
        <v>26498461.959253389</v>
      </c>
      <c r="AV201" s="1016">
        <f t="shared" si="1549"/>
        <v>25661478.727444615</v>
      </c>
      <c r="AW201" s="1016">
        <f t="shared" si="1549"/>
        <v>24356951.826340362</v>
      </c>
      <c r="AX201" s="106"/>
      <c r="AY201" s="133"/>
      <c r="AZ201" s="133"/>
      <c r="BA201" s="116">
        <f>((AK201/2)+SUM(AL201:AV201)+(AW201/2))/12</f>
        <v>24979630.60592176</v>
      </c>
    </row>
    <row r="202" spans="1:53">
      <c r="A202" s="250">
        <f t="shared" si="1086"/>
        <v>187</v>
      </c>
      <c r="B202" s="212"/>
      <c r="C202" s="102"/>
      <c r="D202" s="102" t="s">
        <v>170</v>
      </c>
      <c r="E202" s="102"/>
      <c r="F202" s="993">
        <f t="shared" ref="F202:R202" ca="1" si="1550">SUM(F200:F201)</f>
        <v>27456296.739999998</v>
      </c>
      <c r="G202" s="993">
        <f t="shared" si="1550"/>
        <v>28347023.73</v>
      </c>
      <c r="H202" s="993">
        <f t="shared" si="1550"/>
        <v>30117522.52</v>
      </c>
      <c r="I202" s="993">
        <f t="shared" si="1550"/>
        <v>25273283.419999998</v>
      </c>
      <c r="J202" s="993">
        <f t="shared" si="1550"/>
        <v>24060178.699999999</v>
      </c>
      <c r="K202" s="993">
        <f t="shared" si="1550"/>
        <v>24379560.43</v>
      </c>
      <c r="L202" s="993">
        <f t="shared" si="1550"/>
        <v>25423043.52</v>
      </c>
      <c r="M202" s="993">
        <f t="shared" si="1550"/>
        <v>22002243.219999999</v>
      </c>
      <c r="N202" s="993">
        <f t="shared" si="1550"/>
        <v>22628439.690000001</v>
      </c>
      <c r="O202" s="993">
        <f t="shared" si="1550"/>
        <v>28534652.539999999</v>
      </c>
      <c r="P202" s="993">
        <f t="shared" si="1550"/>
        <v>27391950.32</v>
      </c>
      <c r="Q202" s="993">
        <f t="shared" si="1550"/>
        <v>26526745.27</v>
      </c>
      <c r="R202" s="993">
        <f t="shared" si="1550"/>
        <v>25178231.68</v>
      </c>
      <c r="S202" s="116"/>
      <c r="T202" s="131">
        <f ca="1">SUM(T200:T201)</f>
        <v>25916825.630833328</v>
      </c>
      <c r="U202" s="394">
        <f>+R202</f>
        <v>25178231.68</v>
      </c>
      <c r="V202" s="1269">
        <f t="shared" si="1537"/>
        <v>28347023.73</v>
      </c>
      <c r="W202" s="1269">
        <f t="shared" si="1538"/>
        <v>30117522.52</v>
      </c>
      <c r="X202" s="1269">
        <f t="shared" si="1539"/>
        <v>25273283.419999998</v>
      </c>
      <c r="Y202" s="1269">
        <f t="shared" si="1540"/>
        <v>24060178.699999999</v>
      </c>
      <c r="Z202" s="1269">
        <f t="shared" si="1541"/>
        <v>24379560.43</v>
      </c>
      <c r="AA202" s="1269">
        <f t="shared" si="1542"/>
        <v>25423043.52</v>
      </c>
      <c r="AB202" s="1269">
        <f>M202</f>
        <v>22002243.219999999</v>
      </c>
      <c r="AC202" s="1269">
        <f t="shared" si="1544"/>
        <v>22628439.690000001</v>
      </c>
      <c r="AD202" s="1269">
        <f t="shared" si="1545"/>
        <v>28534652.539999999</v>
      </c>
      <c r="AE202" s="1269">
        <f t="shared" si="1546"/>
        <v>27391950.32</v>
      </c>
      <c r="AF202" s="1269">
        <f t="shared" si="1547"/>
        <v>26526745.27</v>
      </c>
      <c r="AG202" s="1269">
        <f t="shared" si="1548"/>
        <v>25178231.68</v>
      </c>
      <c r="AH202" s="394">
        <v>0</v>
      </c>
      <c r="AI202" s="133">
        <f>+AG202-U202</f>
        <v>0</v>
      </c>
      <c r="AJ202" s="131">
        <f>SUM(AJ200:AJ201)</f>
        <v>25821906.253333326</v>
      </c>
      <c r="AK202" s="1039">
        <f>AG202</f>
        <v>25178231.68</v>
      </c>
      <c r="AL202" s="1041">
        <f>V202</f>
        <v>28347023.73</v>
      </c>
      <c r="AM202" s="1041">
        <f t="shared" si="1549"/>
        <v>30117522.52</v>
      </c>
      <c r="AN202" s="1041">
        <f t="shared" si="1549"/>
        <v>25273283.419999998</v>
      </c>
      <c r="AO202" s="1041">
        <f t="shared" si="1549"/>
        <v>24060178.699999999</v>
      </c>
      <c r="AP202" s="1041">
        <f t="shared" si="1549"/>
        <v>24379560.43</v>
      </c>
      <c r="AQ202" s="1041">
        <f t="shared" si="1549"/>
        <v>25423043.52</v>
      </c>
      <c r="AR202" s="1041">
        <f t="shared" si="1549"/>
        <v>22002243.219999999</v>
      </c>
      <c r="AS202" s="1041">
        <f t="shared" si="1549"/>
        <v>22628439.690000001</v>
      </c>
      <c r="AT202" s="1041">
        <f t="shared" si="1549"/>
        <v>28534652.539999999</v>
      </c>
      <c r="AU202" s="1041">
        <f t="shared" si="1549"/>
        <v>27391950.32</v>
      </c>
      <c r="AV202" s="1041">
        <f t="shared" si="1549"/>
        <v>26526745.27</v>
      </c>
      <c r="AW202" s="1041">
        <f t="shared" si="1549"/>
        <v>25178231.68</v>
      </c>
      <c r="AX202" s="394">
        <v>0</v>
      </c>
      <c r="AY202" s="133">
        <f>+AW202-AK202</f>
        <v>0</v>
      </c>
      <c r="AZ202" s="133"/>
      <c r="BA202" s="131">
        <f>SUM(BA200:BA201)</f>
        <v>25821906.253333326</v>
      </c>
    </row>
    <row r="203" spans="1:53">
      <c r="A203" s="250">
        <f t="shared" si="1086"/>
        <v>188</v>
      </c>
      <c r="B203" s="212"/>
      <c r="C203" s="102"/>
      <c r="D203" s="102"/>
      <c r="E203" s="102"/>
      <c r="J203" s="990"/>
      <c r="U203" s="102"/>
      <c r="AH203" s="102"/>
      <c r="AK203" s="102"/>
      <c r="AW203" s="1016"/>
      <c r="AX203" s="102"/>
    </row>
    <row r="204" spans="1:53">
      <c r="A204" s="250">
        <f t="shared" si="1086"/>
        <v>189</v>
      </c>
      <c r="B204" s="212">
        <v>1641</v>
      </c>
      <c r="C204" s="102" t="s">
        <v>309</v>
      </c>
      <c r="D204" s="102"/>
      <c r="E204" s="102"/>
      <c r="U204" s="102"/>
      <c r="AH204" s="102"/>
      <c r="AK204" s="102"/>
      <c r="AX204" s="102"/>
    </row>
    <row r="205" spans="1:53">
      <c r="A205" s="250">
        <f t="shared" si="1086"/>
        <v>190</v>
      </c>
      <c r="B205" s="212"/>
      <c r="C205" s="102"/>
      <c r="D205" s="102" t="s">
        <v>443</v>
      </c>
      <c r="E205" s="102"/>
      <c r="F205" s="974">
        <f>'Rate Base'!S203</f>
        <v>49333980.549999997</v>
      </c>
      <c r="G205" s="974">
        <f>'Rate Base'!T203</f>
        <v>33078465.640000001</v>
      </c>
      <c r="H205" s="974">
        <f>'Rate Base'!U203</f>
        <v>21745044.18</v>
      </c>
      <c r="I205" s="974">
        <f>'Rate Base'!V203</f>
        <v>8937825.6400000006</v>
      </c>
      <c r="J205" s="974">
        <f>'Rate Base'!W203</f>
        <v>5265628.42</v>
      </c>
      <c r="K205" s="974">
        <f>'Rate Base'!X203</f>
        <v>9895288.8399999999</v>
      </c>
      <c r="L205" s="974">
        <f>'Rate Base'!Y203</f>
        <v>21769885.129999999</v>
      </c>
      <c r="M205" s="974">
        <f>'Rate Base'!Z203</f>
        <v>34448175.630000003</v>
      </c>
      <c r="N205" s="974">
        <f>'Rate Base'!AA203</f>
        <v>48018857.409999996</v>
      </c>
      <c r="O205" s="974">
        <f>'Rate Base'!AB203</f>
        <v>58860691.740000002</v>
      </c>
      <c r="P205" s="974">
        <f>'Rate Base'!AC203</f>
        <v>59031895.799999997</v>
      </c>
      <c r="Q205" s="974">
        <f>'Rate Base'!AD203</f>
        <v>59289969.149999999</v>
      </c>
      <c r="R205" s="974">
        <f>'Rate Base'!AE203</f>
        <v>52891066.75</v>
      </c>
      <c r="S205" s="116"/>
      <c r="T205" s="116">
        <f>R205</f>
        <v>52891066.75</v>
      </c>
      <c r="U205" s="106">
        <f>+R205</f>
        <v>52891066.75</v>
      </c>
      <c r="V205" s="998">
        <f t="shared" ref="V205:AG205" si="1551">V206</f>
        <v>52891066.75</v>
      </c>
      <c r="W205" s="998">
        <f t="shared" si="1551"/>
        <v>52891066.75</v>
      </c>
      <c r="X205" s="998">
        <f t="shared" si="1551"/>
        <v>52891066.75</v>
      </c>
      <c r="Y205" s="998">
        <f t="shared" si="1551"/>
        <v>52891066.75</v>
      </c>
      <c r="Z205" s="998">
        <f t="shared" si="1551"/>
        <v>52891066.75</v>
      </c>
      <c r="AA205" s="998">
        <f t="shared" si="1551"/>
        <v>52891066.75</v>
      </c>
      <c r="AB205" s="998">
        <f t="shared" ref="AB205" si="1552">AB206</f>
        <v>52891066.75</v>
      </c>
      <c r="AC205" s="998">
        <f t="shared" si="1551"/>
        <v>52891066.75</v>
      </c>
      <c r="AD205" s="998">
        <f t="shared" si="1551"/>
        <v>52891066.75</v>
      </c>
      <c r="AE205" s="998">
        <f t="shared" si="1551"/>
        <v>52891066.75</v>
      </c>
      <c r="AF205" s="998">
        <f t="shared" si="1551"/>
        <v>52891066.75</v>
      </c>
      <c r="AG205" s="998">
        <f t="shared" si="1551"/>
        <v>52891066.75</v>
      </c>
      <c r="AH205" s="106"/>
      <c r="AI205" s="133"/>
      <c r="AJ205" s="116">
        <f>((U205/2)+SUM(V205:AF205)+(AG205/2))/12</f>
        <v>52891066.75</v>
      </c>
      <c r="AK205" s="106">
        <f>AG205</f>
        <v>52891066.75</v>
      </c>
      <c r="AL205" s="1016">
        <f>AL206</f>
        <v>52891066.75</v>
      </c>
      <c r="AM205" s="1016">
        <f t="shared" ref="AM205:AW205" si="1553">AM206</f>
        <v>52891066.75</v>
      </c>
      <c r="AN205" s="1016">
        <f t="shared" si="1553"/>
        <v>52891066.75</v>
      </c>
      <c r="AO205" s="1016">
        <f t="shared" si="1553"/>
        <v>52891066.75</v>
      </c>
      <c r="AP205" s="1016">
        <f t="shared" si="1553"/>
        <v>52891066.75</v>
      </c>
      <c r="AQ205" s="1016">
        <f t="shared" si="1553"/>
        <v>52891066.75</v>
      </c>
      <c r="AR205" s="1016">
        <f t="shared" si="1553"/>
        <v>52891066.75</v>
      </c>
      <c r="AS205" s="1016">
        <f t="shared" si="1553"/>
        <v>52891066.75</v>
      </c>
      <c r="AT205" s="1016">
        <f t="shared" si="1553"/>
        <v>52891066.75</v>
      </c>
      <c r="AU205" s="1016">
        <f t="shared" si="1553"/>
        <v>52891066.75</v>
      </c>
      <c r="AV205" s="1016">
        <f t="shared" si="1553"/>
        <v>52891066.75</v>
      </c>
      <c r="AW205" s="1016">
        <f t="shared" si="1553"/>
        <v>52891066.75</v>
      </c>
      <c r="AX205" s="106"/>
      <c r="AY205" s="133"/>
      <c r="AZ205" s="133"/>
      <c r="BA205" s="116">
        <f>((AK205/2)+SUM(AL205:AV205)+(AW205/2))/12</f>
        <v>52891066.75</v>
      </c>
    </row>
    <row r="206" spans="1:53">
      <c r="A206" s="250">
        <f t="shared" ref="A206:A269" si="1554">+A205+1</f>
        <v>191</v>
      </c>
      <c r="B206" s="212"/>
      <c r="C206" s="102"/>
      <c r="D206" s="102" t="s">
        <v>170</v>
      </c>
      <c r="E206" s="102"/>
      <c r="F206" s="993">
        <f t="shared" ref="F206:P206" si="1555">SUM(F205)</f>
        <v>49333980.549999997</v>
      </c>
      <c r="G206" s="993">
        <f t="shared" si="1555"/>
        <v>33078465.640000001</v>
      </c>
      <c r="H206" s="993">
        <f t="shared" si="1555"/>
        <v>21745044.18</v>
      </c>
      <c r="I206" s="993">
        <f t="shared" si="1555"/>
        <v>8937825.6400000006</v>
      </c>
      <c r="J206" s="993">
        <f t="shared" si="1555"/>
        <v>5265628.42</v>
      </c>
      <c r="K206" s="993">
        <f t="shared" si="1555"/>
        <v>9895288.8399999999</v>
      </c>
      <c r="L206" s="993">
        <f t="shared" si="1555"/>
        <v>21769885.129999999</v>
      </c>
      <c r="M206" s="993">
        <f t="shared" si="1555"/>
        <v>34448175.630000003</v>
      </c>
      <c r="N206" s="993">
        <f t="shared" si="1555"/>
        <v>48018857.409999996</v>
      </c>
      <c r="O206" s="993">
        <f t="shared" si="1555"/>
        <v>58860691.740000002</v>
      </c>
      <c r="P206" s="993">
        <f t="shared" si="1555"/>
        <v>59031895.799999997</v>
      </c>
      <c r="Q206" s="993">
        <f>SUM(Q204:Q205)</f>
        <v>59289969.149999999</v>
      </c>
      <c r="R206" s="993">
        <f>SUM(R204:R205)</f>
        <v>52891066.75</v>
      </c>
      <c r="S206" s="116"/>
      <c r="T206" s="131">
        <f>+T205</f>
        <v>52891066.75</v>
      </c>
      <c r="U206" s="394">
        <f>+R206</f>
        <v>52891066.75</v>
      </c>
      <c r="V206" s="1269">
        <f t="shared" ref="V206:AA206" si="1556">IF($R206-$F206=0,U206+$AH206/12,U206+((G206-F206)/($R206-$F206))*$AH206)</f>
        <v>52891066.75</v>
      </c>
      <c r="W206" s="1269">
        <f t="shared" si="1556"/>
        <v>52891066.75</v>
      </c>
      <c r="X206" s="1269">
        <f t="shared" si="1556"/>
        <v>52891066.75</v>
      </c>
      <c r="Y206" s="1269">
        <f t="shared" si="1556"/>
        <v>52891066.75</v>
      </c>
      <c r="Z206" s="1269">
        <f t="shared" si="1556"/>
        <v>52891066.75</v>
      </c>
      <c r="AA206" s="1269">
        <f t="shared" si="1556"/>
        <v>52891066.75</v>
      </c>
      <c r="AB206" s="1269">
        <f>IF($R206-$F206=0,AA206+$AH206/12,AA206+((M206-L206)/($R206-$F206))*$AH206)</f>
        <v>52891066.75</v>
      </c>
      <c r="AC206" s="1269">
        <f t="shared" ref="AC206" si="1557">IF($R206-$F206=0,AB206+$AH206/12,AB206+((N206-M206)/($R206-$F206))*$AH206)</f>
        <v>52891066.75</v>
      </c>
      <c r="AD206" s="1269">
        <f t="shared" ref="AD206" si="1558">IF($R206-$F206=0,AC206+$AH206/12,AC206+((O206-N206)/($R206-$F206))*$AH206)</f>
        <v>52891066.75</v>
      </c>
      <c r="AE206" s="1269">
        <f t="shared" ref="AE206" si="1559">IF($R206-$F206=0,AD206+$AH206/12,AD206+((P206-O206)/($R206-$F206))*$AH206)</f>
        <v>52891066.75</v>
      </c>
      <c r="AF206" s="1269">
        <f t="shared" ref="AF206" si="1560">IF($R206-$F206=0,AE206+$AH206/12,AE206+((Q206-P206)/($R206-$F206))*$AH206)</f>
        <v>52891066.75</v>
      </c>
      <c r="AG206" s="1269">
        <f t="shared" ref="AG206" si="1561">IF($R206-$F206=0,AF206+$AH206/12,AF206+((R206-Q206)/($R206-$F206))*$AH206)</f>
        <v>52891066.75</v>
      </c>
      <c r="AH206" s="394">
        <v>0</v>
      </c>
      <c r="AI206" s="133">
        <f>+AG206-U206</f>
        <v>0</v>
      </c>
      <c r="AJ206" s="131">
        <f>+AJ205</f>
        <v>52891066.75</v>
      </c>
      <c r="AK206" s="1039">
        <f>AG206</f>
        <v>52891066.75</v>
      </c>
      <c r="AL206" s="1041">
        <f>IF($R206-$F206=0,AK206+$AX206/12,AK206+((G206-F206)/($R206-$F206))*$AX206)</f>
        <v>52891066.75</v>
      </c>
      <c r="AM206" s="1041">
        <f t="shared" ref="AM206" si="1562">IF($R206-$F206=0,AL206+$AX206/12,AL206+((H206-G206)/($R206-$F206))*$AX206)</f>
        <v>52891066.75</v>
      </c>
      <c r="AN206" s="1041">
        <f t="shared" ref="AN206" si="1563">IF($R206-$F206=0,AM206+$AX206/12,AM206+((I206-H206)/($R206-$F206))*$AX206)</f>
        <v>52891066.75</v>
      </c>
      <c r="AO206" s="1041">
        <f t="shared" ref="AO206" si="1564">IF($R206-$F206=0,AN206+$AX206/12,AN206+((J206-I206)/($R206-$F206))*$AX206)</f>
        <v>52891066.75</v>
      </c>
      <c r="AP206" s="1041">
        <f t="shared" ref="AP206" si="1565">IF($R206-$F206=0,AO206+$AX206/12,AO206+((K206-J206)/($R206-$F206))*$AX206)</f>
        <v>52891066.75</v>
      </c>
      <c r="AQ206" s="1041">
        <f t="shared" ref="AQ206" si="1566">IF($R206-$F206=0,AP206+$AX206/12,AP206+((L206-K206)/($R206-$F206))*$AX206)</f>
        <v>52891066.75</v>
      </c>
      <c r="AR206" s="1041">
        <f t="shared" ref="AR206" si="1567">IF($R206-$F206=0,AQ206+$AX206/12,AQ206+((M206-L206)/($R206-$F206))*$AX206)</f>
        <v>52891066.75</v>
      </c>
      <c r="AS206" s="1041">
        <f t="shared" ref="AS206" si="1568">IF($R206-$F206=0,AR206+$AX206/12,AR206+((N206-M206)/($R206-$F206))*$AX206)</f>
        <v>52891066.75</v>
      </c>
      <c r="AT206" s="1041">
        <f t="shared" ref="AT206" si="1569">IF($R206-$F206=0,AS206+$AX206/12,AS206+((O206-N206)/($R206-$F206))*$AX206)</f>
        <v>52891066.75</v>
      </c>
      <c r="AU206" s="1041">
        <f t="shared" ref="AU206" si="1570">IF($R206-$F206=0,AT206+$AX206/12,AT206+((P206-O206)/($R206-$F206))*$AX206)</f>
        <v>52891066.75</v>
      </c>
      <c r="AV206" s="1041">
        <f t="shared" ref="AV206" si="1571">IF($R206-$F206=0,AU206+$AX206/12,AU206+((Q206-P206)/($R206-$F206))*$AX206)</f>
        <v>52891066.75</v>
      </c>
      <c r="AW206" s="1041">
        <f t="shared" ref="AW206" si="1572">IF($R206-$F206=0,AV206+$AX206/12,AV206+((R206-Q206)/($R206-$F206))*$AX206)</f>
        <v>52891066.75</v>
      </c>
      <c r="AX206" s="394">
        <v>0</v>
      </c>
      <c r="AY206" s="133">
        <f>+AW206-AK206</f>
        <v>0</v>
      </c>
      <c r="AZ206" s="133"/>
      <c r="BA206" s="131">
        <f>+BA205</f>
        <v>52891066.75</v>
      </c>
    </row>
    <row r="207" spans="1:53">
      <c r="A207" s="250">
        <f t="shared" si="1554"/>
        <v>192</v>
      </c>
      <c r="B207" s="212"/>
      <c r="C207" s="102"/>
      <c r="D207" s="102"/>
      <c r="E207" s="102"/>
      <c r="U207" s="102"/>
      <c r="AH207" s="102"/>
      <c r="AK207" s="102"/>
      <c r="AW207" s="1016"/>
      <c r="AX207" s="102"/>
    </row>
    <row r="208" spans="1:53">
      <c r="A208" s="250">
        <f t="shared" si="1554"/>
        <v>193</v>
      </c>
      <c r="B208" s="212">
        <v>165</v>
      </c>
      <c r="C208" s="102" t="s">
        <v>310</v>
      </c>
      <c r="D208" s="102"/>
      <c r="E208" s="102"/>
      <c r="U208" s="102"/>
      <c r="AH208" s="102"/>
      <c r="AK208" s="102"/>
      <c r="AX208" s="102"/>
    </row>
    <row r="209" spans="1:53">
      <c r="A209" s="250">
        <f t="shared" si="1554"/>
        <v>194</v>
      </c>
      <c r="B209" s="212"/>
      <c r="C209" s="102"/>
      <c r="D209" s="102" t="s">
        <v>595</v>
      </c>
      <c r="E209" s="102"/>
      <c r="F209" s="974">
        <f>'Rate Base'!S207</f>
        <v>3471463.42</v>
      </c>
      <c r="G209" s="974">
        <f>'Rate Base'!T207</f>
        <v>3721756.81</v>
      </c>
      <c r="H209" s="974">
        <f>'Rate Base'!U207</f>
        <v>3178912.65</v>
      </c>
      <c r="I209" s="974">
        <f>'Rate Base'!V207</f>
        <v>2679809.7000000002</v>
      </c>
      <c r="J209" s="974">
        <f>'Rate Base'!W207</f>
        <v>2310232.3199999998</v>
      </c>
      <c r="K209" s="974">
        <f>'Rate Base'!X207</f>
        <v>3646873.1</v>
      </c>
      <c r="L209" s="974">
        <f>'Rate Base'!Y207</f>
        <v>4896628.5600000005</v>
      </c>
      <c r="M209" s="974">
        <f>'Rate Base'!Z207</f>
        <v>4793895.25</v>
      </c>
      <c r="N209" s="974">
        <f>'Rate Base'!AA207</f>
        <v>4367971.97</v>
      </c>
      <c r="O209" s="974">
        <f>'Rate Base'!AB207</f>
        <v>3881182.2</v>
      </c>
      <c r="P209" s="974">
        <f>'Rate Base'!AC207</f>
        <v>3073910.14</v>
      </c>
      <c r="Q209" s="974">
        <f>'Rate Base'!AD207</f>
        <v>3367819.37</v>
      </c>
      <c r="R209" s="974">
        <f>'Rate Base'!AE207</f>
        <v>3910153.76</v>
      </c>
      <c r="S209" s="116"/>
      <c r="T209" s="116">
        <f>((F209/2)+SUM(G209:Q209)+(R209/2))/12</f>
        <v>3634150.0549999997</v>
      </c>
      <c r="U209" s="106">
        <f>+R209</f>
        <v>3910153.76</v>
      </c>
      <c r="V209" s="1011">
        <f t="shared" ref="V209:V210" si="1573">G209</f>
        <v>3721756.81</v>
      </c>
      <c r="W209" s="1011">
        <f t="shared" ref="W209:W210" si="1574">H209</f>
        <v>3178912.65</v>
      </c>
      <c r="X209" s="1011">
        <f t="shared" ref="X209:X210" si="1575">I209</f>
        <v>2679809.7000000002</v>
      </c>
      <c r="Y209" s="1011">
        <f t="shared" ref="Y209:Y210" si="1576">J209</f>
        <v>2310232.3199999998</v>
      </c>
      <c r="Z209" s="1011">
        <f t="shared" ref="Z209:Z210" si="1577">K209</f>
        <v>3646873.1</v>
      </c>
      <c r="AA209" s="1011">
        <f t="shared" ref="AA209:AA210" si="1578">L209</f>
        <v>4896628.5600000005</v>
      </c>
      <c r="AB209" s="1011">
        <f t="shared" ref="AB209:AB210" si="1579">M209</f>
        <v>4793895.25</v>
      </c>
      <c r="AC209" s="1011">
        <f t="shared" ref="AC209:AC210" si="1580">N209</f>
        <v>4367971.97</v>
      </c>
      <c r="AD209" s="1011">
        <f t="shared" ref="AD209:AD210" si="1581">O209</f>
        <v>3881182.2</v>
      </c>
      <c r="AE209" s="1011">
        <f t="shared" ref="AE209:AE210" si="1582">P209</f>
        <v>3073910.14</v>
      </c>
      <c r="AF209" s="1011">
        <f t="shared" ref="AF209:AF210" si="1583">Q209</f>
        <v>3367819.37</v>
      </c>
      <c r="AG209" s="1011">
        <f t="shared" ref="AG209:AG210" si="1584">R209</f>
        <v>3910153.76</v>
      </c>
      <c r="AH209" s="394"/>
      <c r="AI209" s="241"/>
      <c r="AJ209" s="131">
        <f>((U209/2)+SUM(V209:AF209)+(AG209/2))/12</f>
        <v>3652428.8191666664</v>
      </c>
      <c r="AK209" s="106">
        <f>AG209</f>
        <v>3910153.76</v>
      </c>
      <c r="AL209" s="1016">
        <f>V209</f>
        <v>3721756.81</v>
      </c>
      <c r="AM209" s="1016">
        <f t="shared" ref="AM209:AW209" si="1585">W209</f>
        <v>3178912.65</v>
      </c>
      <c r="AN209" s="1016">
        <f t="shared" si="1585"/>
        <v>2679809.7000000002</v>
      </c>
      <c r="AO209" s="1016">
        <f t="shared" si="1585"/>
        <v>2310232.3199999998</v>
      </c>
      <c r="AP209" s="1016">
        <f t="shared" si="1585"/>
        <v>3646873.1</v>
      </c>
      <c r="AQ209" s="1016">
        <f t="shared" si="1585"/>
        <v>4896628.5600000005</v>
      </c>
      <c r="AR209" s="1016">
        <f t="shared" si="1585"/>
        <v>4793895.25</v>
      </c>
      <c r="AS209" s="1016">
        <f t="shared" si="1585"/>
        <v>4367971.97</v>
      </c>
      <c r="AT209" s="1016">
        <f t="shared" si="1585"/>
        <v>3881182.2</v>
      </c>
      <c r="AU209" s="1016">
        <f t="shared" si="1585"/>
        <v>3073910.14</v>
      </c>
      <c r="AV209" s="1016">
        <f t="shared" si="1585"/>
        <v>3367819.37</v>
      </c>
      <c r="AW209" s="1016">
        <f t="shared" si="1585"/>
        <v>3910153.76</v>
      </c>
      <c r="AX209" s="394"/>
      <c r="AY209" s="241"/>
      <c r="AZ209" s="241"/>
      <c r="BA209" s="131">
        <f>((AK209/2)+SUM(AL209:AV209)+(AW209/2))/12</f>
        <v>3652428.8191666664</v>
      </c>
    </row>
    <row r="210" spans="1:53">
      <c r="A210" s="250">
        <f t="shared" si="1554"/>
        <v>195</v>
      </c>
      <c r="B210" s="212"/>
      <c r="C210" s="102"/>
      <c r="D210" s="102" t="s">
        <v>170</v>
      </c>
      <c r="E210" s="102"/>
      <c r="F210" s="1040">
        <f t="shared" ref="F210:P210" si="1586">SUM(F209)</f>
        <v>3471463.42</v>
      </c>
      <c r="G210" s="1040">
        <f t="shared" si="1586"/>
        <v>3721756.81</v>
      </c>
      <c r="H210" s="1040">
        <f t="shared" si="1586"/>
        <v>3178912.65</v>
      </c>
      <c r="I210" s="1040">
        <f t="shared" si="1586"/>
        <v>2679809.7000000002</v>
      </c>
      <c r="J210" s="1040">
        <f t="shared" si="1586"/>
        <v>2310232.3199999998</v>
      </c>
      <c r="K210" s="1040">
        <f t="shared" si="1586"/>
        <v>3646873.1</v>
      </c>
      <c r="L210" s="1040">
        <f t="shared" si="1586"/>
        <v>4896628.5600000005</v>
      </c>
      <c r="M210" s="1040">
        <f t="shared" si="1586"/>
        <v>4793895.25</v>
      </c>
      <c r="N210" s="1040">
        <f t="shared" si="1586"/>
        <v>4367971.97</v>
      </c>
      <c r="O210" s="1040">
        <f t="shared" si="1586"/>
        <v>3881182.2</v>
      </c>
      <c r="P210" s="1040">
        <f t="shared" si="1586"/>
        <v>3073910.14</v>
      </c>
      <c r="Q210" s="1040">
        <f>SUM(Q208:Q209)</f>
        <v>3367819.37</v>
      </c>
      <c r="R210" s="1040">
        <f>SUM(R208:R209)</f>
        <v>3910153.76</v>
      </c>
      <c r="S210" s="116"/>
      <c r="T210" s="620">
        <f>+T209</f>
        <v>3634150.0549999997</v>
      </c>
      <c r="U210" s="1039">
        <f>+R210</f>
        <v>3910153.76</v>
      </c>
      <c r="V210" s="1269">
        <f t="shared" si="1573"/>
        <v>3721756.81</v>
      </c>
      <c r="W210" s="1269">
        <f t="shared" si="1574"/>
        <v>3178912.65</v>
      </c>
      <c r="X210" s="1269">
        <f t="shared" si="1575"/>
        <v>2679809.7000000002</v>
      </c>
      <c r="Y210" s="1269">
        <f t="shared" si="1576"/>
        <v>2310232.3199999998</v>
      </c>
      <c r="Z210" s="1269">
        <f t="shared" si="1577"/>
        <v>3646873.1</v>
      </c>
      <c r="AA210" s="1269">
        <f t="shared" si="1578"/>
        <v>4896628.5600000005</v>
      </c>
      <c r="AB210" s="1269">
        <f t="shared" si="1579"/>
        <v>4793895.25</v>
      </c>
      <c r="AC210" s="1269">
        <f t="shared" si="1580"/>
        <v>4367971.97</v>
      </c>
      <c r="AD210" s="1269">
        <f t="shared" si="1581"/>
        <v>3881182.2</v>
      </c>
      <c r="AE210" s="1269">
        <f t="shared" si="1582"/>
        <v>3073910.14</v>
      </c>
      <c r="AF210" s="1269">
        <f t="shared" si="1583"/>
        <v>3367819.37</v>
      </c>
      <c r="AG210" s="1269">
        <f t="shared" si="1584"/>
        <v>3910153.76</v>
      </c>
      <c r="AH210" s="394">
        <f>0</f>
        <v>0</v>
      </c>
      <c r="AI210" s="133"/>
      <c r="AJ210" s="131">
        <f>+AJ209</f>
        <v>3652428.8191666664</v>
      </c>
      <c r="AK210" s="1039">
        <f>AG210</f>
        <v>3910153.76</v>
      </c>
      <c r="AL210" s="1041">
        <f>SUM(AL209)</f>
        <v>3721756.81</v>
      </c>
      <c r="AM210" s="1041">
        <f t="shared" ref="AM210:AW210" si="1587">SUM(AM209)</f>
        <v>3178912.65</v>
      </c>
      <c r="AN210" s="1041">
        <f t="shared" si="1587"/>
        <v>2679809.7000000002</v>
      </c>
      <c r="AO210" s="1041">
        <f t="shared" si="1587"/>
        <v>2310232.3199999998</v>
      </c>
      <c r="AP210" s="1041">
        <f t="shared" si="1587"/>
        <v>3646873.1</v>
      </c>
      <c r="AQ210" s="1041">
        <f t="shared" si="1587"/>
        <v>4896628.5600000005</v>
      </c>
      <c r="AR210" s="1041">
        <f t="shared" si="1587"/>
        <v>4793895.25</v>
      </c>
      <c r="AS210" s="1041">
        <f t="shared" si="1587"/>
        <v>4367971.97</v>
      </c>
      <c r="AT210" s="1041">
        <f t="shared" si="1587"/>
        <v>3881182.2</v>
      </c>
      <c r="AU210" s="1041">
        <f t="shared" si="1587"/>
        <v>3073910.14</v>
      </c>
      <c r="AV210" s="1041">
        <f t="shared" si="1587"/>
        <v>3367819.37</v>
      </c>
      <c r="AW210" s="1041">
        <f t="shared" si="1587"/>
        <v>3910153.76</v>
      </c>
      <c r="AX210" s="394">
        <v>0</v>
      </c>
      <c r="AY210" s="133">
        <f>+AW210-AK210</f>
        <v>0</v>
      </c>
      <c r="AZ210" s="133"/>
      <c r="BA210" s="131">
        <f>+BA209</f>
        <v>3652428.8191666664</v>
      </c>
    </row>
    <row r="211" spans="1:53">
      <c r="A211" s="250">
        <f t="shared" si="1554"/>
        <v>196</v>
      </c>
      <c r="B211" s="212"/>
      <c r="C211" s="102"/>
      <c r="D211" s="102"/>
      <c r="E211" s="102"/>
      <c r="U211" s="102"/>
      <c r="AH211" s="102"/>
      <c r="AK211" s="102"/>
      <c r="AL211" s="1028"/>
      <c r="AW211" s="1016"/>
      <c r="AX211" s="102"/>
    </row>
    <row r="212" spans="1:53">
      <c r="A212" s="250">
        <f t="shared" si="1554"/>
        <v>197</v>
      </c>
      <c r="B212" s="238" t="s">
        <v>303</v>
      </c>
      <c r="C212" s="119" t="s">
        <v>305</v>
      </c>
      <c r="D212" s="102"/>
      <c r="E212" s="102"/>
      <c r="U212" s="102"/>
      <c r="AH212" s="102"/>
      <c r="AK212" s="102"/>
      <c r="AX212" s="102"/>
    </row>
    <row r="213" spans="1:53">
      <c r="A213" s="250">
        <f t="shared" si="1554"/>
        <v>198</v>
      </c>
      <c r="B213" s="136"/>
      <c r="C213" s="102"/>
      <c r="D213" s="102" t="s">
        <v>443</v>
      </c>
      <c r="E213" s="102"/>
      <c r="F213" s="974">
        <f>'Rate Base'!S211</f>
        <v>0</v>
      </c>
      <c r="G213" s="974">
        <f>'Rate Base'!T211</f>
        <v>0</v>
      </c>
      <c r="H213" s="974">
        <f>'Rate Base'!U211</f>
        <v>0</v>
      </c>
      <c r="I213" s="974">
        <f>'Rate Base'!V211</f>
        <v>0</v>
      </c>
      <c r="J213" s="974">
        <f>'Rate Base'!W211</f>
        <v>0</v>
      </c>
      <c r="K213" s="974">
        <f>'Rate Base'!X211</f>
        <v>0</v>
      </c>
      <c r="L213" s="974">
        <f>'Rate Base'!Y211</f>
        <v>0</v>
      </c>
      <c r="M213" s="974">
        <f>'Rate Base'!Z211</f>
        <v>0</v>
      </c>
      <c r="N213" s="974">
        <f>'Rate Base'!AA211</f>
        <v>0</v>
      </c>
      <c r="O213" s="974">
        <f>'Rate Base'!AB211</f>
        <v>0</v>
      </c>
      <c r="P213" s="974">
        <f>'Rate Base'!AC211</f>
        <v>0</v>
      </c>
      <c r="Q213" s="974">
        <f>'Rate Base'!AD211</f>
        <v>0</v>
      </c>
      <c r="R213" s="974">
        <f>'Rate Base'!AE211</f>
        <v>0</v>
      </c>
      <c r="S213" s="116"/>
      <c r="T213" s="116">
        <f>((F213/2)+SUM(G213:Q213)+(R213/2))/12</f>
        <v>0</v>
      </c>
      <c r="U213" s="106">
        <f>+R213</f>
        <v>0</v>
      </c>
      <c r="V213" s="998"/>
      <c r="W213" s="998"/>
      <c r="X213" s="998"/>
      <c r="Y213" s="998"/>
      <c r="Z213" s="998"/>
      <c r="AA213" s="998"/>
      <c r="AB213" s="998"/>
      <c r="AC213" s="998"/>
      <c r="AD213" s="998"/>
      <c r="AE213" s="998"/>
      <c r="AF213" s="998"/>
      <c r="AG213" s="998"/>
      <c r="AH213" s="106"/>
      <c r="AI213" s="133"/>
      <c r="AJ213" s="116">
        <f>((U213/2)+SUM(V213:AF213)+(AG213/2))/12</f>
        <v>0</v>
      </c>
      <c r="AK213" s="106">
        <f>AG213</f>
        <v>0</v>
      </c>
      <c r="AL213" s="1016"/>
      <c r="AM213" s="1016"/>
      <c r="AN213" s="1016"/>
      <c r="AO213" s="1016"/>
      <c r="AP213" s="1016"/>
      <c r="AQ213" s="1016"/>
      <c r="AR213" s="1016"/>
      <c r="AS213" s="1016"/>
      <c r="AT213" s="1016"/>
      <c r="AU213" s="1016"/>
      <c r="AV213" s="1016"/>
      <c r="AW213" s="1016"/>
      <c r="AX213" s="106"/>
      <c r="AY213" s="133"/>
      <c r="AZ213" s="133"/>
      <c r="BA213" s="116">
        <f>((AK213/2)+SUM(AL213:AV213)+(AW213/2))/12</f>
        <v>0</v>
      </c>
    </row>
    <row r="214" spans="1:53">
      <c r="A214" s="250">
        <f t="shared" si="1554"/>
        <v>199</v>
      </c>
      <c r="B214" s="136"/>
      <c r="C214" s="102"/>
      <c r="D214" s="102" t="s">
        <v>592</v>
      </c>
      <c r="E214" s="102"/>
      <c r="F214" s="974">
        <f>'Rate Base'!S212</f>
        <v>0</v>
      </c>
      <c r="G214" s="974">
        <f>'Rate Base'!T212</f>
        <v>0</v>
      </c>
      <c r="H214" s="974">
        <f>'Rate Base'!U212</f>
        <v>0</v>
      </c>
      <c r="I214" s="974">
        <f>'Rate Base'!V212</f>
        <v>0</v>
      </c>
      <c r="J214" s="974">
        <f>'Rate Base'!W212</f>
        <v>0</v>
      </c>
      <c r="K214" s="974">
        <f>'Rate Base'!X212</f>
        <v>0</v>
      </c>
      <c r="L214" s="974">
        <f>'Rate Base'!Y212</f>
        <v>0</v>
      </c>
      <c r="M214" s="974">
        <f>'Rate Base'!Z212</f>
        <v>0</v>
      </c>
      <c r="N214" s="974">
        <f>'Rate Base'!AA212</f>
        <v>0</v>
      </c>
      <c r="O214" s="974">
        <f>'Rate Base'!AB212</f>
        <v>0</v>
      </c>
      <c r="P214" s="974">
        <f>'Rate Base'!AC212</f>
        <v>0</v>
      </c>
      <c r="Q214" s="974">
        <f>'Rate Base'!AD212</f>
        <v>0</v>
      </c>
      <c r="R214" s="974">
        <f>'Rate Base'!AE212</f>
        <v>1832178.8287000023</v>
      </c>
      <c r="S214" s="116"/>
      <c r="T214" s="116">
        <f>((F214/2)+SUM(G214:Q214)+(R214/2))/12</f>
        <v>76340.784529166762</v>
      </c>
      <c r="U214" s="106">
        <f>+R214</f>
        <v>1832178.8287000023</v>
      </c>
      <c r="V214" s="998"/>
      <c r="W214" s="998"/>
      <c r="X214" s="998"/>
      <c r="Y214" s="998"/>
      <c r="Z214" s="998"/>
      <c r="AA214" s="998"/>
      <c r="AB214" s="998"/>
      <c r="AC214" s="998"/>
      <c r="AD214" s="998"/>
      <c r="AE214" s="998"/>
      <c r="AF214" s="998"/>
      <c r="AG214" s="998"/>
      <c r="AH214" s="106"/>
      <c r="AI214" s="133"/>
      <c r="AJ214" s="116">
        <f>((U214/2)+SUM(V214:AF214)+(AG214/2))/12</f>
        <v>76340.784529166762</v>
      </c>
      <c r="AK214" s="106">
        <f>AG214</f>
        <v>0</v>
      </c>
      <c r="AL214" s="1016"/>
      <c r="AM214" s="1016"/>
      <c r="AN214" s="1016"/>
      <c r="AO214" s="1016"/>
      <c r="AP214" s="1016"/>
      <c r="AQ214" s="1016"/>
      <c r="AR214" s="1016"/>
      <c r="AS214" s="1016"/>
      <c r="AT214" s="1016"/>
      <c r="AU214" s="1016"/>
      <c r="AV214" s="1016"/>
      <c r="AW214" s="1016"/>
      <c r="AX214" s="106"/>
      <c r="AY214" s="133"/>
      <c r="AZ214" s="133"/>
      <c r="BA214" s="116">
        <f>((AK214/2)+SUM(AL214:AV214)+(AW214/2))/12</f>
        <v>0</v>
      </c>
    </row>
    <row r="215" spans="1:53">
      <c r="A215" s="250">
        <f t="shared" si="1554"/>
        <v>200</v>
      </c>
      <c r="B215" s="136"/>
      <c r="C215" s="102"/>
      <c r="D215" s="102" t="s">
        <v>593</v>
      </c>
      <c r="E215" s="102"/>
      <c r="F215" s="974">
        <f>'Rate Base'!S213</f>
        <v>0</v>
      </c>
      <c r="G215" s="974">
        <f>'Rate Base'!T213</f>
        <v>0</v>
      </c>
      <c r="H215" s="974">
        <f>'Rate Base'!U213</f>
        <v>0</v>
      </c>
      <c r="I215" s="974">
        <f>'Rate Base'!V213</f>
        <v>0</v>
      </c>
      <c r="J215" s="974">
        <f>'Rate Base'!W213</f>
        <v>0</v>
      </c>
      <c r="K215" s="974">
        <f>'Rate Base'!X213</f>
        <v>0</v>
      </c>
      <c r="L215" s="974">
        <f>'Rate Base'!Y213</f>
        <v>0</v>
      </c>
      <c r="M215" s="974">
        <f>'Rate Base'!Z213</f>
        <v>0</v>
      </c>
      <c r="N215" s="974">
        <f>'Rate Base'!AA213</f>
        <v>0</v>
      </c>
      <c r="O215" s="974">
        <f>'Rate Base'!AB213</f>
        <v>0</v>
      </c>
      <c r="P215" s="974">
        <f>'Rate Base'!AC213</f>
        <v>0</v>
      </c>
      <c r="Q215" s="974">
        <f>'Rate Base'!AD213</f>
        <v>0</v>
      </c>
      <c r="R215" s="974">
        <f>'Rate Base'!AE213</f>
        <v>55602894.171299994</v>
      </c>
      <c r="S215" s="116"/>
      <c r="T215" s="116">
        <f>((F215/2)+SUM(G215:Q215)+(R215/2))/12</f>
        <v>2316787.2571374997</v>
      </c>
      <c r="U215" s="106">
        <f>+R215</f>
        <v>55602894.171299994</v>
      </c>
      <c r="V215" s="998"/>
      <c r="W215" s="998"/>
      <c r="X215" s="998"/>
      <c r="Y215" s="998"/>
      <c r="Z215" s="998"/>
      <c r="AA215" s="998"/>
      <c r="AB215" s="998"/>
      <c r="AC215" s="998"/>
      <c r="AD215" s="998"/>
      <c r="AE215" s="998"/>
      <c r="AF215" s="998"/>
      <c r="AG215" s="998"/>
      <c r="AH215" s="106"/>
      <c r="AI215" s="133"/>
      <c r="AJ215" s="116">
        <f>((U215/2)+SUM(V215:AF215)+(AG215/2))/12</f>
        <v>2316787.2571374997</v>
      </c>
      <c r="AK215" s="106">
        <f>AG215</f>
        <v>0</v>
      </c>
      <c r="AL215" s="1016"/>
      <c r="AM215" s="1016"/>
      <c r="AN215" s="1016"/>
      <c r="AO215" s="1016"/>
      <c r="AP215" s="1016"/>
      <c r="AQ215" s="1016"/>
      <c r="AR215" s="1016"/>
      <c r="AS215" s="1016"/>
      <c r="AT215" s="1016"/>
      <c r="AU215" s="1016"/>
      <c r="AV215" s="1016"/>
      <c r="AW215" s="1016"/>
      <c r="AX215" s="106"/>
      <c r="AY215" s="133"/>
      <c r="AZ215" s="133"/>
      <c r="BA215" s="116">
        <f>((AK215/2)+SUM(AL215:AV215)+(AW215/2))/12</f>
        <v>0</v>
      </c>
    </row>
    <row r="216" spans="1:53">
      <c r="A216" s="250">
        <f t="shared" si="1554"/>
        <v>201</v>
      </c>
      <c r="B216" s="136"/>
      <c r="C216" s="102"/>
      <c r="D216" s="102" t="s">
        <v>595</v>
      </c>
      <c r="E216" s="102"/>
      <c r="F216" s="974">
        <f>'Rate Base'!S214</f>
        <v>0</v>
      </c>
      <c r="G216" s="974">
        <f>'Rate Base'!T214</f>
        <v>0</v>
      </c>
      <c r="H216" s="974">
        <f>'Rate Base'!U214</f>
        <v>0</v>
      </c>
      <c r="I216" s="974">
        <f>'Rate Base'!V214</f>
        <v>0</v>
      </c>
      <c r="J216" s="974">
        <f>'Rate Base'!W214</f>
        <v>0</v>
      </c>
      <c r="K216" s="974">
        <f>'Rate Base'!X214</f>
        <v>0</v>
      </c>
      <c r="L216" s="974">
        <f>'Rate Base'!Y214</f>
        <v>0</v>
      </c>
      <c r="M216" s="974">
        <f>'Rate Base'!Z214</f>
        <v>0</v>
      </c>
      <c r="N216" s="974">
        <f>'Rate Base'!AA214</f>
        <v>0</v>
      </c>
      <c r="O216" s="974">
        <f>'Rate Base'!AB214</f>
        <v>0</v>
      </c>
      <c r="P216" s="974">
        <f>'Rate Base'!AC214</f>
        <v>0</v>
      </c>
      <c r="Q216" s="974">
        <f>'Rate Base'!AD214</f>
        <v>0</v>
      </c>
      <c r="R216" s="974">
        <f>'Rate Base'!AE214</f>
        <v>0</v>
      </c>
      <c r="S216" s="116"/>
      <c r="T216" s="116">
        <f>((F216/2)+SUM(G216:Q216)+(R216/2))/12</f>
        <v>0</v>
      </c>
      <c r="U216" s="106">
        <f>+R216</f>
        <v>0</v>
      </c>
      <c r="V216" s="998"/>
      <c r="W216" s="998"/>
      <c r="X216" s="998"/>
      <c r="Y216" s="998"/>
      <c r="Z216" s="998"/>
      <c r="AA216" s="998"/>
      <c r="AB216" s="998"/>
      <c r="AC216" s="998"/>
      <c r="AD216" s="998"/>
      <c r="AE216" s="998"/>
      <c r="AF216" s="998"/>
      <c r="AG216" s="998"/>
      <c r="AH216" s="106"/>
      <c r="AI216" s="133"/>
      <c r="AJ216" s="116">
        <f>((U216/2)+SUM(V216:AF216)+(AG216/2))/12</f>
        <v>0</v>
      </c>
      <c r="AK216" s="106">
        <f>AG216</f>
        <v>0</v>
      </c>
      <c r="AL216" s="1016"/>
      <c r="AM216" s="1016"/>
      <c r="AN216" s="1016"/>
      <c r="AO216" s="1016"/>
      <c r="AP216" s="1016"/>
      <c r="AQ216" s="1016"/>
      <c r="AR216" s="1016"/>
      <c r="AS216" s="1016"/>
      <c r="AT216" s="1016"/>
      <c r="AU216" s="1016"/>
      <c r="AV216" s="1016"/>
      <c r="AW216" s="1016"/>
      <c r="AX216" s="106"/>
      <c r="AY216" s="133"/>
      <c r="AZ216" s="133"/>
      <c r="BA216" s="116">
        <f>((AK216/2)+SUM(AL216:AV216)+(AW216/2))/12</f>
        <v>0</v>
      </c>
    </row>
    <row r="217" spans="1:53">
      <c r="A217" s="250">
        <f t="shared" si="1554"/>
        <v>202</v>
      </c>
      <c r="B217" s="136"/>
      <c r="C217" s="102"/>
      <c r="D217" s="102" t="s">
        <v>170</v>
      </c>
      <c r="E217" s="102"/>
      <c r="F217" s="993">
        <f t="shared" ref="F217:R217" si="1588">SUM(F213:F216)</f>
        <v>0</v>
      </c>
      <c r="G217" s="993">
        <f t="shared" si="1588"/>
        <v>0</v>
      </c>
      <c r="H217" s="993">
        <f t="shared" si="1588"/>
        <v>0</v>
      </c>
      <c r="I217" s="993">
        <f t="shared" si="1588"/>
        <v>0</v>
      </c>
      <c r="J217" s="993">
        <f t="shared" si="1588"/>
        <v>0</v>
      </c>
      <c r="K217" s="993">
        <f t="shared" si="1588"/>
        <v>0</v>
      </c>
      <c r="L217" s="993">
        <f t="shared" si="1588"/>
        <v>0</v>
      </c>
      <c r="M217" s="993">
        <f t="shared" si="1588"/>
        <v>0</v>
      </c>
      <c r="N217" s="993">
        <f t="shared" si="1588"/>
        <v>0</v>
      </c>
      <c r="O217" s="993">
        <f t="shared" si="1588"/>
        <v>0</v>
      </c>
      <c r="P217" s="993">
        <f t="shared" si="1588"/>
        <v>0</v>
      </c>
      <c r="Q217" s="993">
        <f t="shared" si="1588"/>
        <v>0</v>
      </c>
      <c r="R217" s="993">
        <f t="shared" si="1588"/>
        <v>57435073</v>
      </c>
      <c r="S217" s="116"/>
      <c r="T217" s="131">
        <f>SUM(T213:T216)</f>
        <v>2393128.0416666665</v>
      </c>
      <c r="U217" s="394">
        <f>+R217</f>
        <v>57435073</v>
      </c>
      <c r="V217" s="1269">
        <f t="shared" ref="V217:AA217" si="1589">IF($R217-$F217=0,U217+$AH217/12,U217+((G217-F217)/($R217-$F217))*$AH217)</f>
        <v>57435073</v>
      </c>
      <c r="W217" s="1269">
        <f t="shared" si="1589"/>
        <v>57435073</v>
      </c>
      <c r="X217" s="1269">
        <f t="shared" si="1589"/>
        <v>57435073</v>
      </c>
      <c r="Y217" s="1269">
        <f t="shared" si="1589"/>
        <v>57435073</v>
      </c>
      <c r="Z217" s="1269">
        <f t="shared" si="1589"/>
        <v>57435073</v>
      </c>
      <c r="AA217" s="1269">
        <f t="shared" si="1589"/>
        <v>57435073</v>
      </c>
      <c r="AB217" s="1269">
        <f>IF($R217-$F217=0,AA217+$AH217/12,AA217+((M217-L217)/($R217-$F217))*$AH217)</f>
        <v>57435073</v>
      </c>
      <c r="AC217" s="1269">
        <f t="shared" ref="AC217" si="1590">IF($R217-$F217=0,AB217+$AH217/12,AB217+((N217-M217)/($R217-$F217))*$AH217)</f>
        <v>57435073</v>
      </c>
      <c r="AD217" s="1269">
        <f t="shared" ref="AD217" si="1591">IF($R217-$F217=0,AC217+$AH217/12,AC217+((O217-N217)/($R217-$F217))*$AH217)</f>
        <v>57435073</v>
      </c>
      <c r="AE217" s="1269">
        <f t="shared" ref="AE217" si="1592">IF($R217-$F217=0,AD217+$AH217/12,AD217+((P217-O217)/($R217-$F217))*$AH217)</f>
        <v>57435073</v>
      </c>
      <c r="AF217" s="1269">
        <f t="shared" ref="AF217" si="1593">IF($R217-$F217=0,AE217+$AH217/12,AE217+((Q217-P217)/($R217-$F217))*$AH217)</f>
        <v>57435073</v>
      </c>
      <c r="AG217" s="1269">
        <f t="shared" ref="AG217" si="1594">IF($R217-$F217=0,AF217+$AH217/12,AF217+((R217-Q217)/($R217-$F217))*$AH217)</f>
        <v>30760651.039999999</v>
      </c>
      <c r="AH217" s="394">
        <f>('190_255_282 FORECAST'!G18-'190_255_282 FORECAST'!D18)</f>
        <v>-26674421.960000001</v>
      </c>
      <c r="AI217" s="133">
        <f>+AG217-U217</f>
        <v>-26674421.960000001</v>
      </c>
      <c r="AJ217" s="131">
        <f>SUM(AJ213:AJ216)</f>
        <v>2393128.0416666665</v>
      </c>
      <c r="AK217" s="1039">
        <f>AG217</f>
        <v>30760651.039999999</v>
      </c>
      <c r="AL217" s="1041">
        <f>IF($R217-$F217=0,AK217+$AX217/12,AK217+((G217-F217)/($R217-$F217))*$AX217)</f>
        <v>30760651.039999999</v>
      </c>
      <c r="AM217" s="1041">
        <f t="shared" ref="AM217" si="1595">IF($R217-$F217=0,AL217+$AX217/12,AL217+((H217-G217)/($R217-$F217))*$AX217)</f>
        <v>30760651.039999999</v>
      </c>
      <c r="AN217" s="1041">
        <f t="shared" ref="AN217" si="1596">IF($R217-$F217=0,AM217+$AX217/12,AM217+((I217-H217)/($R217-$F217))*$AX217)</f>
        <v>30760651.039999999</v>
      </c>
      <c r="AO217" s="1041">
        <f t="shared" ref="AO217" si="1597">IF($R217-$F217=0,AN217+$AX217/12,AN217+((J217-I217)/($R217-$F217))*$AX217)</f>
        <v>30760651.039999999</v>
      </c>
      <c r="AP217" s="1041">
        <f t="shared" ref="AP217" si="1598">IF($R217-$F217=0,AO217+$AX217/12,AO217+((K217-J217)/($R217-$F217))*$AX217)</f>
        <v>30760651.039999999</v>
      </c>
      <c r="AQ217" s="1041">
        <f t="shared" ref="AQ217" si="1599">IF($R217-$F217=0,AP217+$AX217/12,AP217+((L217-K217)/($R217-$F217))*$AX217)</f>
        <v>30760651.039999999</v>
      </c>
      <c r="AR217" s="1041">
        <f t="shared" ref="AR217" si="1600">IF($R217-$F217=0,AQ217+$AX217/12,AQ217+((M217-L217)/($R217-$F217))*$AX217)</f>
        <v>30760651.039999999</v>
      </c>
      <c r="AS217" s="1041">
        <f t="shared" ref="AS217" si="1601">IF($R217-$F217=0,AR217+$AX217/12,AR217+((N217-M217)/($R217-$F217))*$AX217)</f>
        <v>30760651.039999999</v>
      </c>
      <c r="AT217" s="1041">
        <f t="shared" ref="AT217" si="1602">IF($R217-$F217=0,AS217+$AX217/12,AS217+((O217-N217)/($R217-$F217))*$AX217)</f>
        <v>30760651.039999999</v>
      </c>
      <c r="AU217" s="1041">
        <f t="shared" ref="AU217" si="1603">IF($R217-$F217=0,AT217+$AX217/12,AT217+((P217-O217)/($R217-$F217))*$AX217)</f>
        <v>30760651.039999999</v>
      </c>
      <c r="AV217" s="1041">
        <f t="shared" ref="AV217" si="1604">IF($R217-$F217=0,AU217+$AX217/12,AU217+((Q217-P217)/($R217-$F217))*$AX217)</f>
        <v>30760651.039999999</v>
      </c>
      <c r="AW217" s="1041">
        <f t="shared" ref="AW217" si="1605">IF($R217-$F217=0,AV217+$AX217/12,AV217+((R217-Q217)/($R217-$F217))*$AX217)</f>
        <v>30760651.039999999</v>
      </c>
      <c r="AX217" s="394">
        <f>'190_255_282 FORECAST'!$G$18-'190_255_282 FORECAST'!$G$18</f>
        <v>0</v>
      </c>
      <c r="AY217" s="133">
        <f>+AW217-AK217</f>
        <v>0</v>
      </c>
      <c r="AZ217" s="133"/>
      <c r="BA217" s="131">
        <f>SUM(BA213:BA216)</f>
        <v>0</v>
      </c>
    </row>
    <row r="218" spans="1:53">
      <c r="A218" s="250">
        <f t="shared" si="1554"/>
        <v>203</v>
      </c>
      <c r="B218" s="136"/>
      <c r="C218" s="102"/>
      <c r="D218" s="102"/>
      <c r="E218" s="102"/>
      <c r="U218" s="102"/>
      <c r="AH218" s="102"/>
      <c r="AK218" s="102"/>
      <c r="AW218" s="1016"/>
      <c r="AX218" s="102"/>
    </row>
    <row r="219" spans="1:53">
      <c r="A219" s="250">
        <f t="shared" si="1554"/>
        <v>204</v>
      </c>
      <c r="B219" s="238" t="s">
        <v>304</v>
      </c>
      <c r="C219" s="119" t="s">
        <v>306</v>
      </c>
      <c r="D219" s="102"/>
      <c r="E219" s="102"/>
      <c r="U219" s="102"/>
      <c r="AH219" s="102"/>
      <c r="AK219" s="102"/>
      <c r="AX219" s="102"/>
    </row>
    <row r="220" spans="1:53">
      <c r="A220" s="250">
        <f t="shared" si="1554"/>
        <v>205</v>
      </c>
      <c r="B220" s="136"/>
      <c r="C220" s="102"/>
      <c r="D220" s="102" t="s">
        <v>443</v>
      </c>
      <c r="E220" s="102"/>
      <c r="F220" s="974">
        <f>'Rate Base'!S218</f>
        <v>0</v>
      </c>
      <c r="G220" s="974">
        <f>'Rate Base'!T218</f>
        <v>0</v>
      </c>
      <c r="H220" s="974">
        <f>'Rate Base'!U218</f>
        <v>0</v>
      </c>
      <c r="I220" s="974">
        <f>'Rate Base'!V218</f>
        <v>0</v>
      </c>
      <c r="J220" s="974">
        <f>'Rate Base'!W218</f>
        <v>0</v>
      </c>
      <c r="K220" s="974">
        <f>'Rate Base'!X218</f>
        <v>0</v>
      </c>
      <c r="L220" s="974">
        <f>'Rate Base'!Y218</f>
        <v>0</v>
      </c>
      <c r="M220" s="974">
        <f>'Rate Base'!Z218</f>
        <v>0</v>
      </c>
      <c r="N220" s="974">
        <f>'Rate Base'!AA218</f>
        <v>0</v>
      </c>
      <c r="O220" s="974">
        <f>'Rate Base'!AB218</f>
        <v>0</v>
      </c>
      <c r="P220" s="974">
        <f>'Rate Base'!AC218</f>
        <v>0</v>
      </c>
      <c r="Q220" s="974">
        <f>'Rate Base'!AD218</f>
        <v>0</v>
      </c>
      <c r="R220" s="974">
        <f>'Rate Base'!AE218</f>
        <v>0</v>
      </c>
      <c r="S220" s="116"/>
      <c r="T220" s="116">
        <f>((F220/2)+SUM(G220:Q220)+(R220/2))/12</f>
        <v>0</v>
      </c>
      <c r="U220" s="106">
        <f>+R220</f>
        <v>0</v>
      </c>
      <c r="V220" s="998"/>
      <c r="W220" s="998"/>
      <c r="X220" s="998"/>
      <c r="Y220" s="998"/>
      <c r="Z220" s="998"/>
      <c r="AA220" s="998"/>
      <c r="AB220" s="998"/>
      <c r="AC220" s="998"/>
      <c r="AD220" s="998"/>
      <c r="AE220" s="998"/>
      <c r="AF220" s="998"/>
      <c r="AG220" s="998"/>
      <c r="AH220" s="106"/>
      <c r="AI220" s="133"/>
      <c r="AJ220" s="116">
        <f>((U220/2)+SUM(V220:AF220)+(AG220/2))/12</f>
        <v>0</v>
      </c>
      <c r="AK220" s="106">
        <f>AG220</f>
        <v>0</v>
      </c>
      <c r="AL220" s="1016"/>
      <c r="AM220" s="1016"/>
      <c r="AN220" s="1016"/>
      <c r="AO220" s="1016"/>
      <c r="AP220" s="1016"/>
      <c r="AQ220" s="1016"/>
      <c r="AR220" s="1016"/>
      <c r="AS220" s="1016"/>
      <c r="AT220" s="1016"/>
      <c r="AU220" s="1016"/>
      <c r="AV220" s="1016"/>
      <c r="AW220" s="1016"/>
      <c r="AX220" s="106"/>
      <c r="AY220" s="133"/>
      <c r="AZ220" s="133"/>
      <c r="BA220" s="116">
        <f>((AK220/2)+SUM(AL220:AV220)+(AW220/2))/12</f>
        <v>0</v>
      </c>
    </row>
    <row r="221" spans="1:53">
      <c r="A221" s="250">
        <f t="shared" si="1554"/>
        <v>206</v>
      </c>
      <c r="B221" s="136"/>
      <c r="C221" s="102"/>
      <c r="D221" s="102" t="s">
        <v>592</v>
      </c>
      <c r="E221" s="102"/>
      <c r="F221" s="974">
        <f>'Rate Base'!S219</f>
        <v>0</v>
      </c>
      <c r="G221" s="974">
        <f>'Rate Base'!T219</f>
        <v>0</v>
      </c>
      <c r="H221" s="974">
        <f>'Rate Base'!U219</f>
        <v>0</v>
      </c>
      <c r="I221" s="974">
        <f>'Rate Base'!V219</f>
        <v>0</v>
      </c>
      <c r="J221" s="974">
        <f>'Rate Base'!W219</f>
        <v>0</v>
      </c>
      <c r="K221" s="974">
        <f>'Rate Base'!X219</f>
        <v>0</v>
      </c>
      <c r="L221" s="974">
        <f>'Rate Base'!Y219</f>
        <v>0</v>
      </c>
      <c r="M221" s="974">
        <f>'Rate Base'!Z219</f>
        <v>0</v>
      </c>
      <c r="N221" s="974">
        <f>'Rate Base'!AA219</f>
        <v>0</v>
      </c>
      <c r="O221" s="974">
        <f>'Rate Base'!AB219</f>
        <v>0</v>
      </c>
      <c r="P221" s="974">
        <f>'Rate Base'!AC219</f>
        <v>0</v>
      </c>
      <c r="Q221" s="974">
        <f>'Rate Base'!AD219</f>
        <v>0</v>
      </c>
      <c r="R221" s="974">
        <f>'Rate Base'!AE219</f>
        <v>0</v>
      </c>
      <c r="S221" s="116"/>
      <c r="T221" s="116">
        <f>((F221/2)+SUM(G221:Q221)+(R221/2))/12</f>
        <v>0</v>
      </c>
      <c r="U221" s="106">
        <f>+R221</f>
        <v>0</v>
      </c>
      <c r="V221" s="998"/>
      <c r="W221" s="998"/>
      <c r="X221" s="998"/>
      <c r="Y221" s="998"/>
      <c r="Z221" s="998"/>
      <c r="AA221" s="998"/>
      <c r="AB221" s="998"/>
      <c r="AC221" s="998"/>
      <c r="AD221" s="998"/>
      <c r="AE221" s="998"/>
      <c r="AF221" s="998"/>
      <c r="AG221" s="998"/>
      <c r="AH221" s="106"/>
      <c r="AI221" s="133"/>
      <c r="AJ221" s="116">
        <f>((U221/2)+SUM(V221:AF221)+(AG221/2))/12</f>
        <v>0</v>
      </c>
      <c r="AK221" s="106">
        <f>AG221</f>
        <v>0</v>
      </c>
      <c r="AL221" s="1016"/>
      <c r="AM221" s="1016"/>
      <c r="AN221" s="1016"/>
      <c r="AO221" s="1016"/>
      <c r="AP221" s="1016"/>
      <c r="AQ221" s="1016"/>
      <c r="AR221" s="1016"/>
      <c r="AS221" s="1016"/>
      <c r="AT221" s="1016"/>
      <c r="AU221" s="1016"/>
      <c r="AV221" s="1016"/>
      <c r="AW221" s="1016"/>
      <c r="AX221" s="106"/>
      <c r="AY221" s="133"/>
      <c r="AZ221" s="133"/>
      <c r="BA221" s="116">
        <f>((AK221/2)+SUM(AL221:AV221)+(AW221/2))/12</f>
        <v>0</v>
      </c>
    </row>
    <row r="222" spans="1:53">
      <c r="A222" s="250">
        <f t="shared" si="1554"/>
        <v>207</v>
      </c>
      <c r="B222" s="136"/>
      <c r="C222" s="102"/>
      <c r="D222" s="102" t="s">
        <v>593</v>
      </c>
      <c r="E222" s="102"/>
      <c r="F222" s="974">
        <f>'Rate Base'!S220</f>
        <v>0</v>
      </c>
      <c r="G222" s="974">
        <f>'Rate Base'!T220</f>
        <v>0</v>
      </c>
      <c r="H222" s="974">
        <f>'Rate Base'!U220</f>
        <v>0</v>
      </c>
      <c r="I222" s="974">
        <f>'Rate Base'!V220</f>
        <v>0</v>
      </c>
      <c r="J222" s="974">
        <f>'Rate Base'!W220</f>
        <v>0</v>
      </c>
      <c r="K222" s="974">
        <f>'Rate Base'!X220</f>
        <v>0</v>
      </c>
      <c r="L222" s="974">
        <f>'Rate Base'!Y220</f>
        <v>0</v>
      </c>
      <c r="M222" s="974">
        <f>'Rate Base'!Z220</f>
        <v>0</v>
      </c>
      <c r="N222" s="974">
        <f>'Rate Base'!AA220</f>
        <v>0</v>
      </c>
      <c r="O222" s="974">
        <f>'Rate Base'!AB220</f>
        <v>0</v>
      </c>
      <c r="P222" s="974">
        <f>'Rate Base'!AC220</f>
        <v>0</v>
      </c>
      <c r="Q222" s="974">
        <f>'Rate Base'!AD220</f>
        <v>0</v>
      </c>
      <c r="R222" s="974">
        <f>'Rate Base'!AE220</f>
        <v>13135753</v>
      </c>
      <c r="S222" s="116"/>
      <c r="T222" s="116">
        <f>((F222/2)+SUM(G222:Q222)+(R222/2))/12</f>
        <v>547323.04166666663</v>
      </c>
      <c r="U222" s="106">
        <f>+R222</f>
        <v>13135753</v>
      </c>
      <c r="V222" s="998"/>
      <c r="W222" s="998"/>
      <c r="X222" s="998"/>
      <c r="Y222" s="998"/>
      <c r="Z222" s="998"/>
      <c r="AA222" s="998"/>
      <c r="AB222" s="998"/>
      <c r="AC222" s="998"/>
      <c r="AD222" s="998"/>
      <c r="AE222" s="998"/>
      <c r="AF222" s="998"/>
      <c r="AG222" s="998"/>
      <c r="AH222" s="106"/>
      <c r="AI222" s="133"/>
      <c r="AJ222" s="116">
        <f>((U222/2)+SUM(V222:AF222)+(AG222/2))/12</f>
        <v>547323.04166666663</v>
      </c>
      <c r="AK222" s="106">
        <f>AG222</f>
        <v>0</v>
      </c>
      <c r="AL222" s="1016"/>
      <c r="AM222" s="1016"/>
      <c r="AN222" s="1016"/>
      <c r="AO222" s="1016"/>
      <c r="AP222" s="1016"/>
      <c r="AQ222" s="1016"/>
      <c r="AR222" s="1016"/>
      <c r="AS222" s="1016"/>
      <c r="AT222" s="1016"/>
      <c r="AU222" s="1016"/>
      <c r="AV222" s="1016"/>
      <c r="AW222" s="1016"/>
      <c r="AX222" s="106"/>
      <c r="AY222" s="133"/>
      <c r="AZ222" s="133"/>
      <c r="BA222" s="116">
        <f>((AK222/2)+SUM(AL222:AV222)+(AW222/2))/12</f>
        <v>0</v>
      </c>
    </row>
    <row r="223" spans="1:53">
      <c r="A223" s="250">
        <f t="shared" si="1554"/>
        <v>208</v>
      </c>
      <c r="B223" s="136"/>
      <c r="C223" s="102"/>
      <c r="D223" s="102" t="s">
        <v>595</v>
      </c>
      <c r="E223" s="102"/>
      <c r="F223" s="974">
        <f>'Rate Base'!S221</f>
        <v>0</v>
      </c>
      <c r="G223" s="974">
        <f>'Rate Base'!T221</f>
        <v>0</v>
      </c>
      <c r="H223" s="974">
        <f>'Rate Base'!U221</f>
        <v>0</v>
      </c>
      <c r="I223" s="974">
        <f>'Rate Base'!V221</f>
        <v>0</v>
      </c>
      <c r="J223" s="974">
        <f>'Rate Base'!W221</f>
        <v>0</v>
      </c>
      <c r="K223" s="974">
        <f>'Rate Base'!X221</f>
        <v>0</v>
      </c>
      <c r="L223" s="974">
        <f>'Rate Base'!Y221</f>
        <v>0</v>
      </c>
      <c r="M223" s="974">
        <f>'Rate Base'!Z221</f>
        <v>0</v>
      </c>
      <c r="N223" s="974">
        <f>'Rate Base'!AA221</f>
        <v>0</v>
      </c>
      <c r="O223" s="974">
        <f>'Rate Base'!AB221</f>
        <v>0</v>
      </c>
      <c r="P223" s="974">
        <f>'Rate Base'!AC221</f>
        <v>0</v>
      </c>
      <c r="Q223" s="974">
        <f>'Rate Base'!AD221</f>
        <v>0</v>
      </c>
      <c r="R223" s="974">
        <f>'Rate Base'!AE221</f>
        <v>0</v>
      </c>
      <c r="S223" s="116"/>
      <c r="T223" s="116">
        <f>((F223/2)+SUM(G223:Q223)+(R223/2))/12</f>
        <v>0</v>
      </c>
      <c r="U223" s="106">
        <f>+R223</f>
        <v>0</v>
      </c>
      <c r="V223" s="998"/>
      <c r="W223" s="998"/>
      <c r="X223" s="998"/>
      <c r="Y223" s="998"/>
      <c r="Z223" s="998"/>
      <c r="AA223" s="998"/>
      <c r="AB223" s="998"/>
      <c r="AC223" s="998"/>
      <c r="AD223" s="998"/>
      <c r="AE223" s="998"/>
      <c r="AF223" s="998"/>
      <c r="AG223" s="998"/>
      <c r="AH223" s="106"/>
      <c r="AI223" s="133"/>
      <c r="AJ223" s="116">
        <f>((U223/2)+SUM(V223:AF223)+(AG223/2))/12</f>
        <v>0</v>
      </c>
      <c r="AK223" s="106">
        <f>AG223</f>
        <v>0</v>
      </c>
      <c r="AL223" s="1016"/>
      <c r="AM223" s="1016"/>
      <c r="AN223" s="1016"/>
      <c r="AO223" s="1016"/>
      <c r="AP223" s="1016"/>
      <c r="AQ223" s="1016"/>
      <c r="AR223" s="1016"/>
      <c r="AS223" s="1016"/>
      <c r="AT223" s="1016"/>
      <c r="AU223" s="1016"/>
      <c r="AV223" s="1016"/>
      <c r="AW223" s="1016"/>
      <c r="AX223" s="106"/>
      <c r="AY223" s="133"/>
      <c r="AZ223" s="133"/>
      <c r="BA223" s="116">
        <f>((AK223/2)+SUM(AL223:AV223)+(AW223/2))/12</f>
        <v>0</v>
      </c>
    </row>
    <row r="224" spans="1:53">
      <c r="A224" s="250">
        <f t="shared" si="1554"/>
        <v>209</v>
      </c>
      <c r="B224" s="136"/>
      <c r="C224" s="102"/>
      <c r="D224" s="102" t="s">
        <v>170</v>
      </c>
      <c r="E224" s="102"/>
      <c r="F224" s="993">
        <f t="shared" ref="F224:R224" si="1606">SUM(F220:F223)</f>
        <v>0</v>
      </c>
      <c r="G224" s="993">
        <f t="shared" si="1606"/>
        <v>0</v>
      </c>
      <c r="H224" s="993">
        <f t="shared" si="1606"/>
        <v>0</v>
      </c>
      <c r="I224" s="993">
        <f t="shared" si="1606"/>
        <v>0</v>
      </c>
      <c r="J224" s="993">
        <f t="shared" si="1606"/>
        <v>0</v>
      </c>
      <c r="K224" s="993">
        <f t="shared" si="1606"/>
        <v>0</v>
      </c>
      <c r="L224" s="993">
        <f t="shared" si="1606"/>
        <v>0</v>
      </c>
      <c r="M224" s="993">
        <f t="shared" si="1606"/>
        <v>0</v>
      </c>
      <c r="N224" s="993">
        <f t="shared" si="1606"/>
        <v>0</v>
      </c>
      <c r="O224" s="993">
        <f t="shared" si="1606"/>
        <v>0</v>
      </c>
      <c r="P224" s="993">
        <f t="shared" si="1606"/>
        <v>0</v>
      </c>
      <c r="Q224" s="993">
        <f t="shared" si="1606"/>
        <v>0</v>
      </c>
      <c r="R224" s="993">
        <f t="shared" si="1606"/>
        <v>13135753</v>
      </c>
      <c r="S224" s="116"/>
      <c r="T224" s="131">
        <f>SUM(T220:T223)</f>
        <v>547323.04166666663</v>
      </c>
      <c r="U224" s="394">
        <f>+R224</f>
        <v>13135753</v>
      </c>
      <c r="V224" s="1269">
        <f t="shared" ref="V224:AA224" si="1607">IF($R224-$F224=0,U224+$AH224/12,U224+((G224-F224)/($R224-$F224))*$AH224)</f>
        <v>13135753</v>
      </c>
      <c r="W224" s="1269">
        <f t="shared" si="1607"/>
        <v>13135753</v>
      </c>
      <c r="X224" s="1269">
        <f t="shared" si="1607"/>
        <v>13135753</v>
      </c>
      <c r="Y224" s="1269">
        <f t="shared" si="1607"/>
        <v>13135753</v>
      </c>
      <c r="Z224" s="1269">
        <f t="shared" si="1607"/>
        <v>13135753</v>
      </c>
      <c r="AA224" s="1269">
        <f t="shared" si="1607"/>
        <v>13135753</v>
      </c>
      <c r="AB224" s="1269">
        <f>IF($R224-$F224=0,AA224+$AH224/12,AA224+((M224-L224)/($R224-$F224))*$AH224)</f>
        <v>13135753</v>
      </c>
      <c r="AC224" s="1269">
        <f t="shared" ref="AC224" si="1608">IF($R224-$F224=0,AB224+$AH224/12,AB224+((N224-M224)/($R224-$F224))*$AH224)</f>
        <v>13135753</v>
      </c>
      <c r="AD224" s="1269">
        <f t="shared" ref="AD224" si="1609">IF($R224-$F224=0,AC224+$AH224/12,AC224+((O224-N224)/($R224-$F224))*$AH224)</f>
        <v>13135753</v>
      </c>
      <c r="AE224" s="1269">
        <f t="shared" ref="AE224" si="1610">IF($R224-$F224=0,AD224+$AH224/12,AD224+((P224-O224)/($R224-$F224))*$AH224)</f>
        <v>13135753</v>
      </c>
      <c r="AF224" s="1269">
        <f t="shared" ref="AF224" si="1611">IF($R224-$F224=0,AE224+$AH224/12,AE224+((Q224-P224)/($R224-$F224))*$AH224)</f>
        <v>13135753</v>
      </c>
      <c r="AG224" s="1269">
        <f t="shared" ref="AG224" si="1612">IF($R224-$F224=0,AF224+$AH224/12,AF224+((R224-Q224)/($R224-$F224))*$AH224)</f>
        <v>7494467.4500000002</v>
      </c>
      <c r="AH224" s="394">
        <f>('190_255_282 FORECAST'!G25-'190_255_282 FORECAST'!D25)</f>
        <v>-5641285.5499999998</v>
      </c>
      <c r="AI224" s="133">
        <f>+AG224-U224</f>
        <v>-5641285.5499999998</v>
      </c>
      <c r="AJ224" s="131">
        <f>SUM(AJ220:AJ223)</f>
        <v>547323.04166666663</v>
      </c>
      <c r="AK224" s="1039">
        <f>AG224</f>
        <v>7494467.4500000002</v>
      </c>
      <c r="AL224" s="1041">
        <f>IF($R224-$F224=0,AK224+$AX224/12,AK224+((G224-F224)/($R224-$F224))*$AX224)</f>
        <v>7494467.4500000002</v>
      </c>
      <c r="AM224" s="1041">
        <f t="shared" ref="AM224" si="1613">IF($R224-$F224=0,AL224+$AX224/12,AL224+((H224-G224)/($R224-$F224))*$AX224)</f>
        <v>7494467.4500000002</v>
      </c>
      <c r="AN224" s="1041">
        <f t="shared" ref="AN224" si="1614">IF($R224-$F224=0,AM224+$AX224/12,AM224+((I224-H224)/($R224-$F224))*$AX224)</f>
        <v>7494467.4500000002</v>
      </c>
      <c r="AO224" s="1041">
        <f t="shared" ref="AO224" si="1615">IF($R224-$F224=0,AN224+$AX224/12,AN224+((J224-I224)/($R224-$F224))*$AX224)</f>
        <v>7494467.4500000002</v>
      </c>
      <c r="AP224" s="1041">
        <f t="shared" ref="AP224" si="1616">IF($R224-$F224=0,AO224+$AX224/12,AO224+((K224-J224)/($R224-$F224))*$AX224)</f>
        <v>7494467.4500000002</v>
      </c>
      <c r="AQ224" s="1041">
        <f t="shared" ref="AQ224" si="1617">IF($R224-$F224=0,AP224+$AX224/12,AP224+((L224-K224)/($R224-$F224))*$AX224)</f>
        <v>7494467.4500000002</v>
      </c>
      <c r="AR224" s="1041">
        <f t="shared" ref="AR224" si="1618">IF($R224-$F224=0,AQ224+$AX224/12,AQ224+((M224-L224)/($R224-$F224))*$AX224)</f>
        <v>7494467.4500000002</v>
      </c>
      <c r="AS224" s="1041">
        <f t="shared" ref="AS224" si="1619">IF($R224-$F224=0,AR224+$AX224/12,AR224+((N224-M224)/($R224-$F224))*$AX224)</f>
        <v>7494467.4500000002</v>
      </c>
      <c r="AT224" s="1041">
        <f t="shared" ref="AT224" si="1620">IF($R224-$F224=0,AS224+$AX224/12,AS224+((O224-N224)/($R224-$F224))*$AX224)</f>
        <v>7494467.4500000002</v>
      </c>
      <c r="AU224" s="1041">
        <f t="shared" ref="AU224" si="1621">IF($R224-$F224=0,AT224+$AX224/12,AT224+((P224-O224)/($R224-$F224))*$AX224)</f>
        <v>7494467.4500000002</v>
      </c>
      <c r="AV224" s="1041">
        <f t="shared" ref="AV224" si="1622">IF($R224-$F224=0,AU224+$AX224/12,AU224+((Q224-P224)/($R224-$F224))*$AX224)</f>
        <v>7494467.4500000002</v>
      </c>
      <c r="AW224" s="1041">
        <f t="shared" ref="AW224" si="1623">IF($R224-$F224=0,AV224+$AX224/12,AV224+((R224-Q224)/($R224-$F224))*$AX224)</f>
        <v>7494467.4500000002</v>
      </c>
      <c r="AX224" s="394">
        <f>'190_255_282 FORECAST'!$H$25-'190_255_282 FORECAST'!$G$25</f>
        <v>0</v>
      </c>
      <c r="AY224" s="133">
        <f>+AW224-AK224</f>
        <v>0</v>
      </c>
      <c r="AZ224" s="133"/>
      <c r="BA224" s="131">
        <f>SUM(BA220:BA223)</f>
        <v>0</v>
      </c>
    </row>
    <row r="225" spans="1:53">
      <c r="A225" s="250">
        <f t="shared" si="1554"/>
        <v>210</v>
      </c>
      <c r="B225" s="212"/>
      <c r="C225" s="102"/>
      <c r="D225" s="102"/>
      <c r="E225" s="102"/>
      <c r="U225" s="102"/>
      <c r="AH225" s="102"/>
      <c r="AK225" s="102"/>
      <c r="AW225" s="1016"/>
      <c r="AX225" s="102"/>
    </row>
    <row r="226" spans="1:53">
      <c r="A226" s="250">
        <f t="shared" si="1554"/>
        <v>211</v>
      </c>
      <c r="B226" s="212">
        <v>2351</v>
      </c>
      <c r="C226" s="102" t="s">
        <v>311</v>
      </c>
      <c r="D226" s="102"/>
      <c r="E226" s="102"/>
      <c r="U226" s="102"/>
      <c r="AH226" s="102"/>
      <c r="AK226" s="102"/>
      <c r="AX226" s="102"/>
    </row>
    <row r="227" spans="1:53">
      <c r="A227" s="250">
        <f t="shared" si="1554"/>
        <v>212</v>
      </c>
      <c r="B227" s="212"/>
      <c r="C227" s="102"/>
      <c r="D227" s="102" t="s">
        <v>592</v>
      </c>
      <c r="E227" s="102"/>
      <c r="F227" s="974">
        <f>'Rate Base'!S225</f>
        <v>-265894.62</v>
      </c>
      <c r="G227" s="974">
        <f>'Rate Base'!T225</f>
        <v>-266412.97000000003</v>
      </c>
      <c r="H227" s="974">
        <f>'Rate Base'!U225</f>
        <v>-270447.93</v>
      </c>
      <c r="I227" s="974">
        <f>'Rate Base'!V225</f>
        <v>-272492.83</v>
      </c>
      <c r="J227" s="974">
        <f>'Rate Base'!W225</f>
        <v>-272979.68</v>
      </c>
      <c r="K227" s="974">
        <f>'Rate Base'!X225</f>
        <v>-261693.76</v>
      </c>
      <c r="L227" s="974">
        <f>'Rate Base'!Y225</f>
        <v>-263417.59999999998</v>
      </c>
      <c r="M227" s="974">
        <f>'Rate Base'!Z225</f>
        <v>-260801</v>
      </c>
      <c r="N227" s="974">
        <f>'Rate Base'!AA225</f>
        <v>-250950.09</v>
      </c>
      <c r="O227" s="974">
        <f>'Rate Base'!AB225</f>
        <v>-259506.78</v>
      </c>
      <c r="P227" s="974">
        <f>'Rate Base'!AC225</f>
        <v>-267568.71000000002</v>
      </c>
      <c r="Q227" s="974">
        <f>'Rate Base'!AD225</f>
        <v>-265128.53999999998</v>
      </c>
      <c r="R227" s="974">
        <f>'Rate Base'!AE225</f>
        <v>-248143.61000000002</v>
      </c>
      <c r="S227" s="116"/>
      <c r="T227" s="116">
        <f>((F227/2)+SUM(G227:Q227)+(R227/2))/12</f>
        <v>-264034.9170833333</v>
      </c>
      <c r="U227" s="106">
        <f>+R227</f>
        <v>-248143.61000000002</v>
      </c>
      <c r="V227" s="998">
        <f t="shared" ref="V227:V228" si="1624">G227</f>
        <v>-266412.97000000003</v>
      </c>
      <c r="W227" s="998">
        <f t="shared" ref="W227:W228" si="1625">H227</f>
        <v>-270447.93</v>
      </c>
      <c r="X227" s="998">
        <f t="shared" ref="X227:X228" si="1626">I227</f>
        <v>-272492.83</v>
      </c>
      <c r="Y227" s="998">
        <f t="shared" ref="Y227:Y228" si="1627">J227</f>
        <v>-272979.68</v>
      </c>
      <c r="Z227" s="998">
        <f t="shared" ref="Z227:Z228" si="1628">K227</f>
        <v>-261693.76</v>
      </c>
      <c r="AA227" s="998">
        <f t="shared" ref="AA227:AA228" si="1629">L227</f>
        <v>-263417.59999999998</v>
      </c>
      <c r="AB227" s="998">
        <f t="shared" ref="AB227:AB228" si="1630">M227</f>
        <v>-260801</v>
      </c>
      <c r="AC227" s="998">
        <f t="shared" ref="AC227:AC228" si="1631">N227</f>
        <v>-250950.09</v>
      </c>
      <c r="AD227" s="998">
        <f t="shared" ref="AD227:AD228" si="1632">O227</f>
        <v>-259506.78</v>
      </c>
      <c r="AE227" s="998">
        <f t="shared" ref="AE227:AE228" si="1633">P227</f>
        <v>-267568.71000000002</v>
      </c>
      <c r="AF227" s="998">
        <f t="shared" ref="AF227:AF228" si="1634">Q227</f>
        <v>-265128.53999999998</v>
      </c>
      <c r="AG227" s="998">
        <f t="shared" ref="AG227:AG228" si="1635">R227</f>
        <v>-248143.61000000002</v>
      </c>
      <c r="AH227" s="106"/>
      <c r="AI227" s="133"/>
      <c r="AJ227" s="116">
        <f>((U227/2)+SUM(V227:AF227)+(AG227/2))/12</f>
        <v>-263295.29166666669</v>
      </c>
      <c r="AK227" s="106">
        <f>AG227</f>
        <v>-248143.61000000002</v>
      </c>
      <c r="AL227" s="1016">
        <f>V227</f>
        <v>-266412.97000000003</v>
      </c>
      <c r="AM227" s="1016">
        <f t="shared" ref="AM227:AW228" si="1636">W227</f>
        <v>-270447.93</v>
      </c>
      <c r="AN227" s="1016">
        <f t="shared" si="1636"/>
        <v>-272492.83</v>
      </c>
      <c r="AO227" s="1016">
        <f t="shared" si="1636"/>
        <v>-272979.68</v>
      </c>
      <c r="AP227" s="1016">
        <f t="shared" si="1636"/>
        <v>-261693.76</v>
      </c>
      <c r="AQ227" s="1016">
        <f t="shared" si="1636"/>
        <v>-263417.59999999998</v>
      </c>
      <c r="AR227" s="1016">
        <f t="shared" si="1636"/>
        <v>-260801</v>
      </c>
      <c r="AS227" s="1016">
        <f t="shared" si="1636"/>
        <v>-250950.09</v>
      </c>
      <c r="AT227" s="1016">
        <f t="shared" si="1636"/>
        <v>-259506.78</v>
      </c>
      <c r="AU227" s="1016">
        <f t="shared" si="1636"/>
        <v>-267568.71000000002</v>
      </c>
      <c r="AV227" s="1016">
        <f t="shared" si="1636"/>
        <v>-265128.53999999998</v>
      </c>
      <c r="AW227" s="1016">
        <f t="shared" si="1636"/>
        <v>-248143.61000000002</v>
      </c>
      <c r="AX227" s="106"/>
      <c r="AY227" s="133"/>
      <c r="AZ227" s="133"/>
      <c r="BA227" s="116">
        <f>((AK227/2)+SUM(AL227:AV227)+(AW227/2))/12</f>
        <v>-263295.29166666669</v>
      </c>
    </row>
    <row r="228" spans="1:53">
      <c r="A228" s="250">
        <f t="shared" si="1554"/>
        <v>213</v>
      </c>
      <c r="B228" s="212"/>
      <c r="C228" s="102"/>
      <c r="D228" s="102" t="s">
        <v>593</v>
      </c>
      <c r="E228" s="102"/>
      <c r="F228" s="974">
        <f>'Rate Base'!S226</f>
        <v>-6457564.5700000003</v>
      </c>
      <c r="G228" s="974">
        <f>'Rate Base'!T226</f>
        <v>-6454721.1000000006</v>
      </c>
      <c r="H228" s="974">
        <f>'Rate Base'!U226</f>
        <v>-6541838.6500000004</v>
      </c>
      <c r="I228" s="974">
        <f>'Rate Base'!V226</f>
        <v>-6608572.3300000001</v>
      </c>
      <c r="J228" s="974">
        <f>'Rate Base'!W226</f>
        <v>-6662069.9500000002</v>
      </c>
      <c r="K228" s="974">
        <f>'Rate Base'!X226</f>
        <v>-6673252.6200000001</v>
      </c>
      <c r="L228" s="974">
        <f>'Rate Base'!Y226</f>
        <v>-6782840.1100000003</v>
      </c>
      <c r="M228" s="974">
        <f>'Rate Base'!Z226</f>
        <v>-6797581.7400000002</v>
      </c>
      <c r="N228" s="974">
        <f>'Rate Base'!AA226</f>
        <v>-6760662.6600000001</v>
      </c>
      <c r="O228" s="974">
        <f>'Rate Base'!AB226</f>
        <v>-6873774.2000000002</v>
      </c>
      <c r="P228" s="974">
        <f>'Rate Base'!AC226</f>
        <v>-6791431.4699999997</v>
      </c>
      <c r="Q228" s="974">
        <f>'Rate Base'!AD226</f>
        <v>-6357777.7400000002</v>
      </c>
      <c r="R228" s="974">
        <f>'Rate Base'!AE226</f>
        <v>-5457546.1899999995</v>
      </c>
      <c r="S228" s="116"/>
      <c r="T228" s="116">
        <f>((F228/2)+SUM(G228:Q228)+(R228/2))/12</f>
        <v>-6605173.1624999987</v>
      </c>
      <c r="U228" s="106">
        <f>+R228</f>
        <v>-5457546.1899999995</v>
      </c>
      <c r="V228" s="998">
        <f t="shared" si="1624"/>
        <v>-6454721.1000000006</v>
      </c>
      <c r="W228" s="998">
        <f t="shared" si="1625"/>
        <v>-6541838.6500000004</v>
      </c>
      <c r="X228" s="998">
        <f t="shared" si="1626"/>
        <v>-6608572.3300000001</v>
      </c>
      <c r="Y228" s="998">
        <f t="shared" si="1627"/>
        <v>-6662069.9500000002</v>
      </c>
      <c r="Z228" s="998">
        <f t="shared" si="1628"/>
        <v>-6673252.6200000001</v>
      </c>
      <c r="AA228" s="998">
        <f t="shared" si="1629"/>
        <v>-6782840.1100000003</v>
      </c>
      <c r="AB228" s="998">
        <f t="shared" si="1630"/>
        <v>-6797581.7400000002</v>
      </c>
      <c r="AC228" s="998">
        <f t="shared" si="1631"/>
        <v>-6760662.6600000001</v>
      </c>
      <c r="AD228" s="998">
        <f t="shared" si="1632"/>
        <v>-6873774.2000000002</v>
      </c>
      <c r="AE228" s="998">
        <f t="shared" si="1633"/>
        <v>-6791431.4699999997</v>
      </c>
      <c r="AF228" s="998">
        <f t="shared" si="1634"/>
        <v>-6357777.7400000002</v>
      </c>
      <c r="AG228" s="998">
        <f t="shared" si="1635"/>
        <v>-5457546.1899999995</v>
      </c>
      <c r="AH228" s="106"/>
      <c r="AI228" s="133"/>
      <c r="AJ228" s="116">
        <f>((U228/2)+SUM(V228:AF228)+(AG228/2))/12</f>
        <v>-6563505.7299999995</v>
      </c>
      <c r="AK228" s="106">
        <f>AG228</f>
        <v>-5457546.1899999995</v>
      </c>
      <c r="AL228" s="1016">
        <f>V228</f>
        <v>-6454721.1000000006</v>
      </c>
      <c r="AM228" s="1016">
        <f t="shared" si="1636"/>
        <v>-6541838.6500000004</v>
      </c>
      <c r="AN228" s="1016">
        <f t="shared" si="1636"/>
        <v>-6608572.3300000001</v>
      </c>
      <c r="AO228" s="1016">
        <f t="shared" si="1636"/>
        <v>-6662069.9500000002</v>
      </c>
      <c r="AP228" s="1016">
        <f t="shared" si="1636"/>
        <v>-6673252.6200000001</v>
      </c>
      <c r="AQ228" s="1016">
        <f t="shared" si="1636"/>
        <v>-6782840.1100000003</v>
      </c>
      <c r="AR228" s="1016">
        <f t="shared" si="1636"/>
        <v>-6797581.7400000002</v>
      </c>
      <c r="AS228" s="1016">
        <f t="shared" si="1636"/>
        <v>-6760662.6600000001</v>
      </c>
      <c r="AT228" s="1016">
        <f t="shared" si="1636"/>
        <v>-6873774.2000000002</v>
      </c>
      <c r="AU228" s="1016">
        <f t="shared" si="1636"/>
        <v>-6791431.4699999997</v>
      </c>
      <c r="AV228" s="1016">
        <f t="shared" si="1636"/>
        <v>-6357777.7400000002</v>
      </c>
      <c r="AW228" s="1016">
        <f t="shared" si="1636"/>
        <v>-5457546.1899999995</v>
      </c>
      <c r="AX228" s="106"/>
      <c r="AY228" s="133"/>
      <c r="AZ228" s="133"/>
      <c r="BA228" s="116">
        <f>((AK228/2)+SUM(AL228:AV228)+(AW228/2))/12</f>
        <v>-6563505.7299999995</v>
      </c>
    </row>
    <row r="229" spans="1:53">
      <c r="A229" s="250">
        <f t="shared" si="1554"/>
        <v>214</v>
      </c>
      <c r="B229" s="212"/>
      <c r="C229" s="102"/>
      <c r="D229" s="102" t="s">
        <v>170</v>
      </c>
      <c r="E229" s="102"/>
      <c r="F229" s="993">
        <f t="shared" ref="F229:R229" si="1637">SUM(F227:F228)</f>
        <v>-6723459.1900000004</v>
      </c>
      <c r="G229" s="993">
        <f t="shared" si="1637"/>
        <v>-6721134.0700000003</v>
      </c>
      <c r="H229" s="993">
        <f t="shared" si="1637"/>
        <v>-6812286.5800000001</v>
      </c>
      <c r="I229" s="993">
        <f t="shared" si="1637"/>
        <v>-6881065.1600000001</v>
      </c>
      <c r="J229" s="993">
        <f t="shared" si="1637"/>
        <v>-6935049.6299999999</v>
      </c>
      <c r="K229" s="993">
        <f t="shared" si="1637"/>
        <v>-6934946.3799999999</v>
      </c>
      <c r="L229" s="993">
        <f t="shared" si="1637"/>
        <v>-7046257.71</v>
      </c>
      <c r="M229" s="993">
        <f t="shared" si="1637"/>
        <v>-7058382.7400000002</v>
      </c>
      <c r="N229" s="993">
        <f t="shared" si="1637"/>
        <v>-7011612.75</v>
      </c>
      <c r="O229" s="993">
        <f t="shared" si="1637"/>
        <v>-7133280.9800000004</v>
      </c>
      <c r="P229" s="993">
        <f t="shared" si="1637"/>
        <v>-7059000.1799999997</v>
      </c>
      <c r="Q229" s="993">
        <f t="shared" si="1637"/>
        <v>-6622906.2800000003</v>
      </c>
      <c r="R229" s="993">
        <f t="shared" si="1637"/>
        <v>-5705689.7999999998</v>
      </c>
      <c r="S229" s="116"/>
      <c r="T229" s="131">
        <f>SUM(T227:T228)</f>
        <v>-6869208.0795833319</v>
      </c>
      <c r="U229" s="394">
        <f>+R229</f>
        <v>-5705689.7999999998</v>
      </c>
      <c r="V229" s="1269">
        <f t="shared" ref="V229:AA229" si="1638">SUM(V227:V228)</f>
        <v>-6721134.0700000003</v>
      </c>
      <c r="W229" s="1269">
        <f t="shared" si="1638"/>
        <v>-6812286.5800000001</v>
      </c>
      <c r="X229" s="1269">
        <f t="shared" si="1638"/>
        <v>-6881065.1600000001</v>
      </c>
      <c r="Y229" s="1269">
        <f t="shared" si="1638"/>
        <v>-6935049.6299999999</v>
      </c>
      <c r="Z229" s="1269">
        <f t="shared" si="1638"/>
        <v>-6934946.3799999999</v>
      </c>
      <c r="AA229" s="1269">
        <f t="shared" si="1638"/>
        <v>-7046257.71</v>
      </c>
      <c r="AB229" s="1269">
        <f t="shared" ref="AB229:AG229" si="1639">SUM(AB227:AB228)</f>
        <v>-7058382.7400000002</v>
      </c>
      <c r="AC229" s="1269">
        <f t="shared" si="1639"/>
        <v>-7011612.75</v>
      </c>
      <c r="AD229" s="1269">
        <f t="shared" si="1639"/>
        <v>-7133280.9800000004</v>
      </c>
      <c r="AE229" s="1269">
        <f t="shared" si="1639"/>
        <v>-7059000.1799999997</v>
      </c>
      <c r="AF229" s="1269">
        <f t="shared" si="1639"/>
        <v>-6622906.2800000003</v>
      </c>
      <c r="AG229" s="1269">
        <f t="shared" si="1639"/>
        <v>-5705689.7999999998</v>
      </c>
      <c r="AH229" s="394">
        <f>0</f>
        <v>0</v>
      </c>
      <c r="AI229" s="133"/>
      <c r="AJ229" s="131">
        <f>SUM(AJ227:AJ228)</f>
        <v>-6826801.0216666665</v>
      </c>
      <c r="AK229" s="1039">
        <f>AG229</f>
        <v>-5705689.7999999998</v>
      </c>
      <c r="AL229" s="1041">
        <f>SUM(AL227:AL228)</f>
        <v>-6721134.0700000003</v>
      </c>
      <c r="AM229" s="1041">
        <f t="shared" ref="AM229:AW229" si="1640">SUM(AM227:AM228)</f>
        <v>-6812286.5800000001</v>
      </c>
      <c r="AN229" s="1041">
        <f t="shared" si="1640"/>
        <v>-6881065.1600000001</v>
      </c>
      <c r="AO229" s="1041">
        <f t="shared" si="1640"/>
        <v>-6935049.6299999999</v>
      </c>
      <c r="AP229" s="1041">
        <f t="shared" si="1640"/>
        <v>-6934946.3799999999</v>
      </c>
      <c r="AQ229" s="1041">
        <f t="shared" si="1640"/>
        <v>-7046257.71</v>
      </c>
      <c r="AR229" s="1041">
        <f t="shared" si="1640"/>
        <v>-7058382.7400000002</v>
      </c>
      <c r="AS229" s="1041">
        <f t="shared" si="1640"/>
        <v>-7011612.75</v>
      </c>
      <c r="AT229" s="1041">
        <f t="shared" si="1640"/>
        <v>-7133280.9800000004</v>
      </c>
      <c r="AU229" s="1041">
        <f t="shared" si="1640"/>
        <v>-7059000.1799999997</v>
      </c>
      <c r="AV229" s="1041">
        <f t="shared" si="1640"/>
        <v>-6622906.2800000003</v>
      </c>
      <c r="AW229" s="1041">
        <f t="shared" si="1640"/>
        <v>-5705689.7999999998</v>
      </c>
      <c r="AX229" s="394">
        <v>0</v>
      </c>
      <c r="AY229" s="133">
        <f>+AW229-AK229</f>
        <v>0</v>
      </c>
      <c r="AZ229" s="133"/>
      <c r="BA229" s="131">
        <f>SUM(BA227:BA228)</f>
        <v>-6826801.0216666665</v>
      </c>
    </row>
    <row r="230" spans="1:53">
      <c r="A230" s="250">
        <f t="shared" si="1554"/>
        <v>215</v>
      </c>
      <c r="B230" s="212"/>
      <c r="C230" s="102"/>
      <c r="D230" s="102"/>
      <c r="E230" s="102"/>
      <c r="U230" s="102"/>
      <c r="AH230" s="102"/>
      <c r="AK230" s="102"/>
      <c r="AX230" s="102"/>
    </row>
    <row r="231" spans="1:53">
      <c r="A231" s="250">
        <f t="shared" si="1554"/>
        <v>216</v>
      </c>
      <c r="B231" s="212">
        <v>252</v>
      </c>
      <c r="C231" s="102" t="s">
        <v>493</v>
      </c>
      <c r="D231" s="102"/>
      <c r="E231" s="102"/>
      <c r="U231" s="102"/>
      <c r="AH231" s="102"/>
      <c r="AK231" s="102"/>
      <c r="AX231" s="102"/>
    </row>
    <row r="232" spans="1:53">
      <c r="A232" s="250">
        <f t="shared" si="1554"/>
        <v>217</v>
      </c>
      <c r="B232" s="212"/>
      <c r="C232" s="102"/>
      <c r="D232" s="102" t="s">
        <v>592</v>
      </c>
      <c r="E232" s="102"/>
      <c r="F232" s="974">
        <f>'Rate Base'!S230</f>
        <v>-510513.99</v>
      </c>
      <c r="G232" s="974">
        <f>'Rate Base'!T230</f>
        <v>-510513.99</v>
      </c>
      <c r="H232" s="974">
        <f>'Rate Base'!U230</f>
        <v>-510513.99</v>
      </c>
      <c r="I232" s="974">
        <f>'Rate Base'!V230</f>
        <v>-510513.99</v>
      </c>
      <c r="J232" s="974">
        <f>'Rate Base'!W230</f>
        <v>-510513.99</v>
      </c>
      <c r="K232" s="974">
        <f>'Rate Base'!X230</f>
        <v>-465842.24</v>
      </c>
      <c r="L232" s="974">
        <f>'Rate Base'!Y230</f>
        <v>-465842.24</v>
      </c>
      <c r="M232" s="974">
        <f>'Rate Base'!Z230</f>
        <v>-465842.24</v>
      </c>
      <c r="N232" s="974">
        <f>'Rate Base'!AA230</f>
        <v>-465842.24</v>
      </c>
      <c r="O232" s="974">
        <f>'Rate Base'!AB230</f>
        <v>-465842.24</v>
      </c>
      <c r="P232" s="974">
        <f>'Rate Base'!AC230</f>
        <v>-465842.24</v>
      </c>
      <c r="Q232" s="974">
        <f>'Rate Base'!AD230</f>
        <v>-465842.24</v>
      </c>
      <c r="R232" s="974">
        <f>'Rate Base'!AE230</f>
        <v>-404156.02</v>
      </c>
      <c r="S232" s="116"/>
      <c r="T232" s="116">
        <f>((F232/2)+SUM(G232:Q232)+(R232/2))/12</f>
        <v>-480023.88708333345</v>
      </c>
      <c r="U232" s="106">
        <f>+R232</f>
        <v>-404156.02</v>
      </c>
      <c r="V232" s="998">
        <f t="shared" ref="V232" si="1641">(U232/U234)*V234</f>
        <v>-379367.243274696</v>
      </c>
      <c r="W232" s="998">
        <f t="shared" ref="W232" si="1642">(V232/V234)*W234</f>
        <v>-375757.76708106941</v>
      </c>
      <c r="X232" s="998">
        <f t="shared" ref="X232" si="1643">(W232/W234)*X234</f>
        <v>-364071.68359035405</v>
      </c>
      <c r="Y232" s="998">
        <f t="shared" ref="Y232" si="1644">(X232/X234)*Y234</f>
        <v>-357853.25258096959</v>
      </c>
      <c r="Z232" s="998">
        <f t="shared" ref="Z232" si="1645">(Y232/Y234)*Z234</f>
        <v>-351177.85422747047</v>
      </c>
      <c r="AA232" s="998">
        <f t="shared" ref="AA232" si="1646">(Z232/Z234)*AA234</f>
        <v>-350417.97116294014</v>
      </c>
      <c r="AB232" s="998">
        <f t="shared" ref="AB232" si="1647">(AA232/AA234)*AB234</f>
        <v>-349346.3420297855</v>
      </c>
      <c r="AC232" s="998">
        <f t="shared" ref="AC232" si="1648">(AB232/AB234)*AC234</f>
        <v>-347558.06913019432</v>
      </c>
      <c r="AD232" s="998">
        <f t="shared" ref="AD232" si="1649">(AC232/AC234)*AD234</f>
        <v>-343416.87549529126</v>
      </c>
      <c r="AE232" s="998">
        <f t="shared" ref="AE232" si="1650">(AD232/AD234)*AE234</f>
        <v>-339400.8073408585</v>
      </c>
      <c r="AF232" s="998">
        <f t="shared" ref="AF232" si="1651">(AE232/AE234)*AF234</f>
        <v>-337302.96869665704</v>
      </c>
      <c r="AG232" s="998">
        <f t="shared" ref="AG232" si="1652">(AF232/AF234)*AG234</f>
        <v>-222195.58669648331</v>
      </c>
      <c r="AH232" s="106"/>
      <c r="AI232" s="133"/>
      <c r="AJ232" s="116">
        <f>((U232/2)+SUM(V232:AF232)+(AG232/2))/12</f>
        <v>-350737.21982987737</v>
      </c>
      <c r="AK232" s="106">
        <f>AG232</f>
        <v>-222195.58669648331</v>
      </c>
      <c r="AL232" s="1016">
        <f>(AK232/AK234)*AL234</f>
        <v>-205544.27391144581</v>
      </c>
      <c r="AM232" s="1016">
        <f t="shared" ref="AM232:AW232" si="1653">(AL232/AL234)*AM234</f>
        <v>-203119.68806938318</v>
      </c>
      <c r="AN232" s="1016">
        <f t="shared" si="1653"/>
        <v>-195269.81981681506</v>
      </c>
      <c r="AO232" s="1016">
        <f t="shared" si="1653"/>
        <v>-191092.72625076832</v>
      </c>
      <c r="AP232" s="1016">
        <f t="shared" si="1653"/>
        <v>-186608.67497302315</v>
      </c>
      <c r="AQ232" s="1016">
        <f t="shared" si="1653"/>
        <v>-186098.24032238423</v>
      </c>
      <c r="AR232" s="1016">
        <f t="shared" si="1653"/>
        <v>-185378.39714159904</v>
      </c>
      <c r="AS232" s="1016">
        <f t="shared" si="1653"/>
        <v>-184177.16435282238</v>
      </c>
      <c r="AT232" s="1016">
        <f t="shared" si="1653"/>
        <v>-181395.40907371705</v>
      </c>
      <c r="AU232" s="1016">
        <f t="shared" si="1653"/>
        <v>-178697.70407009643</v>
      </c>
      <c r="AV232" s="1016">
        <f t="shared" si="1653"/>
        <v>-177288.52733563178</v>
      </c>
      <c r="AW232" s="1016">
        <f t="shared" si="1653"/>
        <v>-99967.688038420412</v>
      </c>
      <c r="AX232" s="106"/>
      <c r="AY232" s="133"/>
      <c r="AZ232" s="133"/>
      <c r="BA232" s="116">
        <f>((AK232/2)+SUM(AL232:AV232)+(AW232/2))/12</f>
        <v>-186312.68855709487</v>
      </c>
    </row>
    <row r="233" spans="1:53">
      <c r="A233" s="250">
        <f t="shared" si="1554"/>
        <v>218</v>
      </c>
      <c r="B233" s="212"/>
      <c r="C233" s="102"/>
      <c r="D233" s="102" t="s">
        <v>593</v>
      </c>
      <c r="E233" s="102"/>
      <c r="F233" s="974">
        <f>'Rate Base'!S231</f>
        <v>-19210044.66</v>
      </c>
      <c r="G233" s="974">
        <f>'Rate Base'!T231</f>
        <v>-18175778.650000002</v>
      </c>
      <c r="H233" s="974">
        <f>'Rate Base'!U231</f>
        <v>-18025179.91</v>
      </c>
      <c r="I233" s="974">
        <f>'Rate Base'!V231</f>
        <v>-17537599.620000001</v>
      </c>
      <c r="J233" s="974">
        <f>'Rate Base'!W231</f>
        <v>-17278147.050000001</v>
      </c>
      <c r="K233" s="974">
        <f>'Rate Base'!X231</f>
        <v>-17044300.110000003</v>
      </c>
      <c r="L233" s="974">
        <f>'Rate Base'!Y231</f>
        <v>-17012595.390000001</v>
      </c>
      <c r="M233" s="974">
        <f>'Rate Base'!Z231</f>
        <v>-16967883.640000001</v>
      </c>
      <c r="N233" s="974">
        <f>'Rate Base'!AA231</f>
        <v>-16893271.25</v>
      </c>
      <c r="O233" s="974">
        <f>'Rate Base'!AB231</f>
        <v>-16720487.58</v>
      </c>
      <c r="P233" s="974">
        <f>'Rate Base'!AC231</f>
        <v>-16552924.540000001</v>
      </c>
      <c r="Q233" s="974">
        <f>'Rate Base'!AD231</f>
        <v>-16465396.089999998</v>
      </c>
      <c r="R233" s="974">
        <f>'Rate Base'!AE231</f>
        <v>-11724439</v>
      </c>
      <c r="S233" s="116"/>
      <c r="T233" s="116">
        <f>((F233/2)+SUM(G233:Q233)+(R233/2))/12</f>
        <v>-17011733.805000003</v>
      </c>
      <c r="U233" s="106">
        <f>+R233</f>
        <v>-11724439</v>
      </c>
      <c r="V233" s="998">
        <f t="shared" ref="V233" si="1654">(U233/U234)*V234</f>
        <v>-11005324.385301331</v>
      </c>
      <c r="W233" s="998">
        <f t="shared" ref="W233" si="1655">(V233/V234)*W234</f>
        <v>-10900614.616400382</v>
      </c>
      <c r="X233" s="998">
        <f t="shared" ref="X233" si="1656">(W233/W234)*X234</f>
        <v>-10561605.010565983</v>
      </c>
      <c r="Y233" s="998">
        <f t="shared" ref="Y233" si="1657">(X233/X234)*Y234</f>
        <v>-10381210.283190064</v>
      </c>
      <c r="Z233" s="998">
        <f t="shared" ref="Z233" si="1658">(Y233/Y234)*Z234</f>
        <v>-10187559.07691507</v>
      </c>
      <c r="AA233" s="998">
        <f t="shared" ref="AA233" si="1659">(Z233/Z234)*AA234</f>
        <v>-10165515.108258564</v>
      </c>
      <c r="AB233" s="998">
        <f t="shared" ref="AB233" si="1660">(AA233/AA234)*AB234</f>
        <v>-10134427.484220959</v>
      </c>
      <c r="AC233" s="998">
        <f t="shared" ref="AC233" si="1661">(AB233/AB234)*AC234</f>
        <v>-10082550.249962242</v>
      </c>
      <c r="AD233" s="998">
        <f t="shared" ref="AD233" si="1662">(AC233/AC234)*AD234</f>
        <v>-9962415.5253585875</v>
      </c>
      <c r="AE233" s="998">
        <f t="shared" ref="AE233" si="1663">(AD233/AD234)*AE234</f>
        <v>-9845910.651581157</v>
      </c>
      <c r="AF233" s="998">
        <f t="shared" ref="AF233" si="1664">(AE233/AE234)*AF234</f>
        <v>-9785053.0124551039</v>
      </c>
      <c r="AG233" s="998">
        <f t="shared" ref="AG233" si="1665">(AF233/AF234)*AG234</f>
        <v>-6445824.0713379206</v>
      </c>
      <c r="AH233" s="106"/>
      <c r="AI233" s="133"/>
      <c r="AJ233" s="116">
        <f>((U233/2)+SUM(V233:AF233)+(AG233/2))/12</f>
        <v>-10174776.411656534</v>
      </c>
      <c r="AK233" s="106">
        <f>AG233</f>
        <v>-6445824.0713379206</v>
      </c>
      <c r="AL233" s="1016">
        <f>(AK233/AK234)*AL234</f>
        <v>-5962774.725646887</v>
      </c>
      <c r="AM233" s="1016">
        <f t="shared" ref="AM233" si="1666">(AL233/AL234)*AM234</f>
        <v>-5892438.2530996595</v>
      </c>
      <c r="AN233" s="1016">
        <f t="shared" ref="AN233" si="1667">(AM233/AM234)*AN234</f>
        <v>-5664716.0445197364</v>
      </c>
      <c r="AO233" s="1016">
        <f t="shared" ref="AO233" si="1668">(AN233/AN234)*AO234</f>
        <v>-5543539.8742070738</v>
      </c>
      <c r="AP233" s="1016">
        <f t="shared" ref="AP233" si="1669">(AO233/AO234)*AP234</f>
        <v>-5413458.9572414048</v>
      </c>
      <c r="AQ233" s="1016">
        <f t="shared" ref="AQ233" si="1670">(AP233/AP234)*AQ234</f>
        <v>-5398651.4085999113</v>
      </c>
      <c r="AR233" s="1016">
        <f t="shared" ref="AR233" si="1671">(AQ233/AQ234)*AR234</f>
        <v>-5377768.9843750242</v>
      </c>
      <c r="AS233" s="1016">
        <f t="shared" ref="AS233" si="1672">(AR233/AR234)*AS234</f>
        <v>-5342921.5990587985</v>
      </c>
      <c r="AT233" s="1016">
        <f t="shared" ref="AT233" si="1673">(AS233/AS234)*AT234</f>
        <v>-5262223.7535020299</v>
      </c>
      <c r="AU233" s="1016">
        <f t="shared" ref="AU233" si="1674">(AT233/AT234)*AU234</f>
        <v>-5183964.1799963694</v>
      </c>
      <c r="AV233" s="1016">
        <f t="shared" ref="AV233" si="1675">(AU233/AU234)*AV234</f>
        <v>-5143084.4062311538</v>
      </c>
      <c r="AW233" s="1016">
        <f t="shared" ref="AW233" si="1676">(AV233/AV234)*AW234</f>
        <v>-2900031.181961583</v>
      </c>
      <c r="AX233" s="106"/>
      <c r="AY233" s="133"/>
      <c r="AZ233" s="133"/>
      <c r="BA233" s="116">
        <f>((AK233/2)+SUM(AL233:AV233)+(AW233/2))/12</f>
        <v>-5404872.484427317</v>
      </c>
    </row>
    <row r="234" spans="1:53">
      <c r="A234" s="250">
        <f t="shared" si="1554"/>
        <v>219</v>
      </c>
      <c r="B234" s="212"/>
      <c r="C234" s="102"/>
      <c r="D234" s="102" t="s">
        <v>170</v>
      </c>
      <c r="E234" s="102"/>
      <c r="F234" s="993">
        <f t="shared" ref="F234:R234" si="1677">SUM(F232:F233)</f>
        <v>-19720558.649999999</v>
      </c>
      <c r="G234" s="993">
        <f t="shared" si="1677"/>
        <v>-18686292.640000001</v>
      </c>
      <c r="H234" s="993">
        <f t="shared" si="1677"/>
        <v>-18535693.899999999</v>
      </c>
      <c r="I234" s="993">
        <f t="shared" si="1677"/>
        <v>-18048113.609999999</v>
      </c>
      <c r="J234" s="993">
        <f t="shared" si="1677"/>
        <v>-17788661.039999999</v>
      </c>
      <c r="K234" s="993">
        <f t="shared" si="1677"/>
        <v>-17510142.350000001</v>
      </c>
      <c r="L234" s="993">
        <f t="shared" si="1677"/>
        <v>-17478437.629999999</v>
      </c>
      <c r="M234" s="993">
        <f t="shared" si="1677"/>
        <v>-17433725.879999999</v>
      </c>
      <c r="N234" s="993">
        <f t="shared" si="1677"/>
        <v>-17359113.489999998</v>
      </c>
      <c r="O234" s="993">
        <f t="shared" si="1677"/>
        <v>-17186329.82</v>
      </c>
      <c r="P234" s="993">
        <f t="shared" si="1677"/>
        <v>-17018766.780000001</v>
      </c>
      <c r="Q234" s="993">
        <f t="shared" si="1677"/>
        <v>-16931238.329999998</v>
      </c>
      <c r="R234" s="993">
        <f t="shared" si="1677"/>
        <v>-12128595.02</v>
      </c>
      <c r="S234" s="116"/>
      <c r="T234" s="131">
        <f>SUM(T232:T233)</f>
        <v>-17491757.692083336</v>
      </c>
      <c r="U234" s="394">
        <f>+R234</f>
        <v>-12128595.02</v>
      </c>
      <c r="V234" s="1269">
        <f t="shared" ref="V234:AA234" si="1678">IF($R234-$F234=0,U234+$AH234/12,U234+((G234-F234)/($R234-$F234))*$AH234)</f>
        <v>-11384691.628576027</v>
      </c>
      <c r="W234" s="1269">
        <f t="shared" si="1678"/>
        <v>-11276372.383481452</v>
      </c>
      <c r="X234" s="1269">
        <f t="shared" si="1678"/>
        <v>-10925676.694156339</v>
      </c>
      <c r="Y234" s="1269">
        <f t="shared" si="1678"/>
        <v>-10739063.535771035</v>
      </c>
      <c r="Z234" s="1269">
        <f t="shared" si="1678"/>
        <v>-10538736.931142541</v>
      </c>
      <c r="AA234" s="1269">
        <f t="shared" si="1678"/>
        <v>-10515933.079421503</v>
      </c>
      <c r="AB234" s="1269">
        <f>IF($R234-$F234=0,AA234+$AH234/12,AA234+((M234-L234)/($R234-$F234))*$AH234)</f>
        <v>-10483773.826250745</v>
      </c>
      <c r="AC234" s="1269">
        <f t="shared" ref="AC234" si="1679">IF($R234-$F234=0,AB234+$AH234/12,AB234+((N234-M234)/($R234-$F234))*$AH234)</f>
        <v>-10430108.319092438</v>
      </c>
      <c r="AD234" s="1269">
        <f t="shared" ref="AD234" si="1680">IF($R234-$F234=0,AC234+$AH234/12,AC234+((O234-N234)/($R234-$F234))*$AH234)</f>
        <v>-10305832.40085388</v>
      </c>
      <c r="AE234" s="1269">
        <f t="shared" ref="AE234" si="1681">IF($R234-$F234=0,AD234+$AH234/12,AD234+((P234-O234)/($R234-$F234))*$AH234)</f>
        <v>-10185311.458922016</v>
      </c>
      <c r="AF234" s="1269">
        <f t="shared" ref="AF234" si="1682">IF($R234-$F234=0,AE234+$AH234/12,AE234+((Q234-P234)/($R234-$F234))*$AH234)</f>
        <v>-10122355.98115176</v>
      </c>
      <c r="AG234" s="1269">
        <f t="shared" ref="AG234" si="1683">IF($R234-$F234=0,AF234+$AH234/12,AF234+((R234-Q234)/($R234-$F234))*$AH234)</f>
        <v>-6668019.6580344029</v>
      </c>
      <c r="AH234" s="462">
        <f>-SUM('PROJECTED ACC 252 (CONTR)'!H12:H16)</f>
        <v>5460575.3619655967</v>
      </c>
      <c r="AI234" s="133">
        <f>+AG234-U234</f>
        <v>5460575.3619655967</v>
      </c>
      <c r="AJ234" s="131">
        <f>SUM(AJ232:AJ233)</f>
        <v>-10525513.631486412</v>
      </c>
      <c r="AK234" s="1039">
        <f>AG234</f>
        <v>-6668019.6580344029</v>
      </c>
      <c r="AL234" s="1041">
        <f>IF($R234-$F234=0,AK234+$AX234/12,AK234+((G234-F234)/($R234-$F234))*$AX234)</f>
        <v>-6168318.9995583314</v>
      </c>
      <c r="AM234" s="1041">
        <f t="shared" ref="AM234" si="1684">IF($R234-$F234=0,AL234+$AX234/12,AL234+((H234-G234)/($R234-$F234))*$AX234)</f>
        <v>-6095557.9411690412</v>
      </c>
      <c r="AN234" s="1041">
        <f t="shared" ref="AN234" si="1685">IF($R234-$F234=0,AM234+$AX234/12,AM234+((I234-H234)/($R234-$F234))*$AX234)</f>
        <v>-5859985.8643365502</v>
      </c>
      <c r="AO234" s="1041">
        <f t="shared" ref="AO234" si="1686">IF($R234-$F234=0,AN234+$AX234/12,AN234+((J234-I234)/($R234-$F234))*$AX234)</f>
        <v>-5734632.6004578415</v>
      </c>
      <c r="AP234" s="1041">
        <f t="shared" ref="AP234" si="1687">IF($R234-$F234=0,AO234+$AX234/12,AO234+((K234-J234)/($R234-$F234))*$AX234)</f>
        <v>-5600067.6322144279</v>
      </c>
      <c r="AQ234" s="1041">
        <f t="shared" ref="AQ234" si="1688">IF($R234-$F234=0,AP234+$AX234/12,AP234+((L234-K234)/($R234-$F234))*$AX234)</f>
        <v>-5584749.6489222953</v>
      </c>
      <c r="AR234" s="1041">
        <f t="shared" ref="AR234" si="1689">IF($R234-$F234=0,AQ234+$AX234/12,AQ234+((M234-L234)/($R234-$F234))*$AX234)</f>
        <v>-5563147.3815166233</v>
      </c>
      <c r="AS234" s="1041">
        <f t="shared" ref="AS234" si="1690">IF($R234-$F234=0,AR234+$AX234/12,AR234+((N234-M234)/($R234-$F234))*$AX234)</f>
        <v>-5527098.7634116216</v>
      </c>
      <c r="AT234" s="1041">
        <f t="shared" ref="AT234" si="1691">IF($R234-$F234=0,AS234+$AX234/12,AS234+((O234-N234)/($R234-$F234))*$AX234)</f>
        <v>-5443619.1625757478</v>
      </c>
      <c r="AU234" s="1041">
        <f t="shared" ref="AU234" si="1692">IF($R234-$F234=0,AT234+$AX234/12,AT234+((P234-O234)/($R234-$F234))*$AX234)</f>
        <v>-5362661.8840664672</v>
      </c>
      <c r="AV234" s="1041">
        <f t="shared" ref="AV234" si="1693">IF($R234-$F234=0,AU234+$AX234/12,AU234+((Q234-P234)/($R234-$F234))*$AX234)</f>
        <v>-5320372.9335667873</v>
      </c>
      <c r="AW234" s="1041">
        <f t="shared" ref="AW234" si="1694">IF($R234-$F234=0,AV234+$AX234/12,AV234+((R234-Q234)/($R234-$F234))*$AX234)</f>
        <v>-2999998.8700000043</v>
      </c>
      <c r="AX234" s="394">
        <f>-SUM('PROJECTED ACC 252 (CONTR)'!I12:I14)</f>
        <v>3668020.7880343976</v>
      </c>
      <c r="AY234" s="133">
        <f>+AW234-AK234</f>
        <v>3668020.7880343986</v>
      </c>
      <c r="AZ234" s="133"/>
      <c r="BA234" s="131">
        <f>SUM(BA232:BA233)</f>
        <v>-5591185.1729844119</v>
      </c>
    </row>
    <row r="235" spans="1:53">
      <c r="A235" s="250">
        <f t="shared" si="1554"/>
        <v>220</v>
      </c>
      <c r="B235" s="212"/>
      <c r="C235" s="102"/>
      <c r="D235" s="102"/>
      <c r="E235" s="102"/>
      <c r="U235" s="102"/>
      <c r="AH235" s="102">
        <f>'PROJECTED ACC 252 (CONTR)'!H17</f>
        <v>6668020.7880343981</v>
      </c>
      <c r="AK235" s="102"/>
      <c r="AL235" s="1028"/>
      <c r="AW235" s="1016"/>
      <c r="AX235" s="102"/>
    </row>
    <row r="236" spans="1:53">
      <c r="A236" s="250">
        <f t="shared" si="1554"/>
        <v>221</v>
      </c>
      <c r="B236" s="212">
        <v>2531</v>
      </c>
      <c r="C236" s="102" t="s">
        <v>312</v>
      </c>
      <c r="D236" s="102"/>
      <c r="E236" s="102"/>
      <c r="U236" s="102"/>
      <c r="AH236" s="102"/>
      <c r="AK236" s="102"/>
      <c r="AX236" s="102"/>
    </row>
    <row r="237" spans="1:53">
      <c r="A237" s="250">
        <f t="shared" si="1554"/>
        <v>222</v>
      </c>
      <c r="B237" s="212"/>
      <c r="C237" s="102"/>
      <c r="D237" s="102" t="s">
        <v>595</v>
      </c>
      <c r="E237" s="102"/>
      <c r="F237" s="974">
        <f>'Rate Base'!S235</f>
        <v>-43731.46</v>
      </c>
      <c r="G237" s="974">
        <f>'Rate Base'!T235</f>
        <v>-46434.92</v>
      </c>
      <c r="H237" s="974">
        <f>'Rate Base'!U235</f>
        <v>-45619.700000000004</v>
      </c>
      <c r="I237" s="974">
        <f>'Rate Base'!V235</f>
        <v>-44176.62</v>
      </c>
      <c r="J237" s="974">
        <f>'Rate Base'!W235</f>
        <v>-44370.28</v>
      </c>
      <c r="K237" s="974">
        <f>'Rate Base'!X235</f>
        <v>-45040.33</v>
      </c>
      <c r="L237" s="974">
        <f>'Rate Base'!Y235</f>
        <v>-45851.590000000004</v>
      </c>
      <c r="M237" s="974">
        <f>'Rate Base'!Z235</f>
        <v>-46197.35</v>
      </c>
      <c r="N237" s="974">
        <f>'Rate Base'!AA235</f>
        <v>-16591.05</v>
      </c>
      <c r="O237" s="974">
        <f>'Rate Base'!AB235</f>
        <v>-18892.05</v>
      </c>
      <c r="P237" s="974">
        <f>'Rate Base'!AC235</f>
        <v>-21718.100000000002</v>
      </c>
      <c r="Q237" s="974">
        <f>'Rate Base'!AD235</f>
        <v>-26005.9</v>
      </c>
      <c r="R237" s="974">
        <f>'Rate Base'!AE235</f>
        <v>-29018.39</v>
      </c>
      <c r="S237" s="116"/>
      <c r="T237" s="116">
        <f>((F237/2)+SUM(G237:Q237)+(R237/2))/12</f>
        <v>-36439.401249999995</v>
      </c>
      <c r="U237" s="106">
        <f>+R237</f>
        <v>-29018.39</v>
      </c>
      <c r="V237" s="1012">
        <f t="shared" ref="V237" si="1695">G237</f>
        <v>-46434.92</v>
      </c>
      <c r="W237" s="1012">
        <f t="shared" ref="W237" si="1696">H237</f>
        <v>-45619.700000000004</v>
      </c>
      <c r="X237" s="1012">
        <f t="shared" ref="X237" si="1697">I237</f>
        <v>-44176.62</v>
      </c>
      <c r="Y237" s="1012">
        <f t="shared" ref="Y237" si="1698">J237</f>
        <v>-44370.28</v>
      </c>
      <c r="Z237" s="1012">
        <f t="shared" ref="Z237" si="1699">K237</f>
        <v>-45040.33</v>
      </c>
      <c r="AA237" s="1012">
        <f t="shared" ref="AA237" si="1700">L237</f>
        <v>-45851.590000000004</v>
      </c>
      <c r="AB237" s="1012">
        <f t="shared" ref="AB237" si="1701">M237</f>
        <v>-46197.35</v>
      </c>
      <c r="AC237" s="1012">
        <f t="shared" ref="AC237" si="1702">N237</f>
        <v>-16591.05</v>
      </c>
      <c r="AD237" s="1012">
        <f t="shared" ref="AD237" si="1703">O237</f>
        <v>-18892.05</v>
      </c>
      <c r="AE237" s="1012">
        <f t="shared" ref="AE237" si="1704">P237</f>
        <v>-21718.100000000002</v>
      </c>
      <c r="AF237" s="1012">
        <f t="shared" ref="AF237" si="1705">Q237</f>
        <v>-26005.9</v>
      </c>
      <c r="AG237" s="1012">
        <f t="shared" ref="AG237" si="1706">R237</f>
        <v>-29018.39</v>
      </c>
      <c r="AH237" s="106"/>
      <c r="AI237" s="133"/>
      <c r="AJ237" s="116">
        <f>((U237/2)+SUM(V237:AF237)+(AG237/2))/12</f>
        <v>-35826.356666666667</v>
      </c>
      <c r="AK237" s="106">
        <f>AG237</f>
        <v>-29018.39</v>
      </c>
      <c r="AL237" s="1035">
        <f>V237</f>
        <v>-46434.92</v>
      </c>
      <c r="AM237" s="1035">
        <f t="shared" ref="AM237:AW237" si="1707">W237</f>
        <v>-45619.700000000004</v>
      </c>
      <c r="AN237" s="1035">
        <f t="shared" si="1707"/>
        <v>-44176.62</v>
      </c>
      <c r="AO237" s="1035">
        <f t="shared" si="1707"/>
        <v>-44370.28</v>
      </c>
      <c r="AP237" s="1035">
        <f t="shared" si="1707"/>
        <v>-45040.33</v>
      </c>
      <c r="AQ237" s="1035">
        <f t="shared" si="1707"/>
        <v>-45851.590000000004</v>
      </c>
      <c r="AR237" s="1035">
        <f t="shared" si="1707"/>
        <v>-46197.35</v>
      </c>
      <c r="AS237" s="1035">
        <f t="shared" si="1707"/>
        <v>-16591.05</v>
      </c>
      <c r="AT237" s="1035">
        <f t="shared" si="1707"/>
        <v>-18892.05</v>
      </c>
      <c r="AU237" s="1035">
        <f t="shared" si="1707"/>
        <v>-21718.100000000002</v>
      </c>
      <c r="AV237" s="1035">
        <f t="shared" si="1707"/>
        <v>-26005.9</v>
      </c>
      <c r="AW237" s="1035">
        <f t="shared" si="1707"/>
        <v>-29018.39</v>
      </c>
      <c r="AX237" s="106"/>
      <c r="AY237" s="133"/>
      <c r="AZ237" s="133"/>
      <c r="BA237" s="116">
        <f>((AK237/2)+SUM(AL237:AV237)+(AW237/2))/12</f>
        <v>-35826.356666666667</v>
      </c>
    </row>
    <row r="238" spans="1:53">
      <c r="A238" s="250">
        <f t="shared" si="1554"/>
        <v>223</v>
      </c>
      <c r="B238" s="212"/>
      <c r="C238" s="102"/>
      <c r="D238" s="102" t="s">
        <v>170</v>
      </c>
      <c r="E238" s="102"/>
      <c r="F238" s="993">
        <f t="shared" ref="F238:P238" si="1708">SUM(F237)</f>
        <v>-43731.46</v>
      </c>
      <c r="G238" s="993">
        <f t="shared" si="1708"/>
        <v>-46434.92</v>
      </c>
      <c r="H238" s="993">
        <f t="shared" si="1708"/>
        <v>-45619.700000000004</v>
      </c>
      <c r="I238" s="993">
        <f t="shared" si="1708"/>
        <v>-44176.62</v>
      </c>
      <c r="J238" s="993">
        <f t="shared" si="1708"/>
        <v>-44370.28</v>
      </c>
      <c r="K238" s="993">
        <f t="shared" si="1708"/>
        <v>-45040.33</v>
      </c>
      <c r="L238" s="993">
        <f t="shared" si="1708"/>
        <v>-45851.590000000004</v>
      </c>
      <c r="M238" s="993">
        <f t="shared" si="1708"/>
        <v>-46197.35</v>
      </c>
      <c r="N238" s="993">
        <f t="shared" si="1708"/>
        <v>-16591.05</v>
      </c>
      <c r="O238" s="993">
        <f t="shared" si="1708"/>
        <v>-18892.05</v>
      </c>
      <c r="P238" s="993">
        <f t="shared" si="1708"/>
        <v>-21718.100000000002</v>
      </c>
      <c r="Q238" s="993">
        <f>SUM(Q236:Q237)</f>
        <v>-26005.9</v>
      </c>
      <c r="R238" s="993">
        <f>SUM(R236:R237)</f>
        <v>-29018.39</v>
      </c>
      <c r="S238" s="116"/>
      <c r="T238" s="131">
        <f>+T237</f>
        <v>-36439.401249999995</v>
      </c>
      <c r="U238" s="394">
        <f>+R238</f>
        <v>-29018.39</v>
      </c>
      <c r="V238" s="1269">
        <f t="shared" ref="V238:AA238" si="1709">SUM(V237)</f>
        <v>-46434.92</v>
      </c>
      <c r="W238" s="1269">
        <f t="shared" si="1709"/>
        <v>-45619.700000000004</v>
      </c>
      <c r="X238" s="1269">
        <f t="shared" si="1709"/>
        <v>-44176.62</v>
      </c>
      <c r="Y238" s="1269">
        <f t="shared" si="1709"/>
        <v>-44370.28</v>
      </c>
      <c r="Z238" s="1269">
        <f t="shared" si="1709"/>
        <v>-45040.33</v>
      </c>
      <c r="AA238" s="1269">
        <f t="shared" si="1709"/>
        <v>-45851.590000000004</v>
      </c>
      <c r="AB238" s="1269">
        <f t="shared" ref="AB238:AG238" si="1710">SUM(AB237)</f>
        <v>-46197.35</v>
      </c>
      <c r="AC238" s="1269">
        <f t="shared" si="1710"/>
        <v>-16591.05</v>
      </c>
      <c r="AD238" s="1269">
        <f t="shared" si="1710"/>
        <v>-18892.05</v>
      </c>
      <c r="AE238" s="1269">
        <f t="shared" si="1710"/>
        <v>-21718.100000000002</v>
      </c>
      <c r="AF238" s="1269">
        <f t="shared" si="1710"/>
        <v>-26005.9</v>
      </c>
      <c r="AG238" s="1269">
        <f t="shared" si="1710"/>
        <v>-29018.39</v>
      </c>
      <c r="AH238" s="394">
        <f>0</f>
        <v>0</v>
      </c>
      <c r="AI238" s="133">
        <f>+AG238-U238</f>
        <v>0</v>
      </c>
      <c r="AJ238" s="131">
        <f>+AJ237</f>
        <v>-35826.356666666667</v>
      </c>
      <c r="AK238" s="1039">
        <f>AG238</f>
        <v>-29018.39</v>
      </c>
      <c r="AL238" s="1041">
        <f>SUM(AL237)</f>
        <v>-46434.92</v>
      </c>
      <c r="AM238" s="1041">
        <f t="shared" ref="AM238:AW238" si="1711">SUM(AM237)</f>
        <v>-45619.700000000004</v>
      </c>
      <c r="AN238" s="1041">
        <f t="shared" si="1711"/>
        <v>-44176.62</v>
      </c>
      <c r="AO238" s="1041">
        <f t="shared" si="1711"/>
        <v>-44370.28</v>
      </c>
      <c r="AP238" s="1041">
        <f t="shared" si="1711"/>
        <v>-45040.33</v>
      </c>
      <c r="AQ238" s="1041">
        <f t="shared" si="1711"/>
        <v>-45851.590000000004</v>
      </c>
      <c r="AR238" s="1041">
        <f t="shared" si="1711"/>
        <v>-46197.35</v>
      </c>
      <c r="AS238" s="1041">
        <f t="shared" si="1711"/>
        <v>-16591.05</v>
      </c>
      <c r="AT238" s="1041">
        <f t="shared" si="1711"/>
        <v>-18892.05</v>
      </c>
      <c r="AU238" s="1041">
        <f t="shared" si="1711"/>
        <v>-21718.100000000002</v>
      </c>
      <c r="AV238" s="1041">
        <f t="shared" si="1711"/>
        <v>-26005.9</v>
      </c>
      <c r="AW238" s="1041">
        <f t="shared" si="1711"/>
        <v>-29018.39</v>
      </c>
      <c r="AX238" s="394">
        <v>0</v>
      </c>
      <c r="AY238" s="133">
        <f>+AW238-AK238</f>
        <v>0</v>
      </c>
      <c r="AZ238" s="133"/>
      <c r="BA238" s="131">
        <f>+BA237</f>
        <v>-35826.356666666667</v>
      </c>
    </row>
    <row r="239" spans="1:53">
      <c r="A239" s="250">
        <f t="shared" si="1554"/>
        <v>224</v>
      </c>
      <c r="B239" s="212"/>
      <c r="C239" s="102"/>
      <c r="D239" s="102"/>
      <c r="E239" s="102"/>
      <c r="U239" s="102"/>
      <c r="AH239" s="102"/>
      <c r="AK239" s="102"/>
      <c r="AW239" s="1016"/>
      <c r="AX239" s="102"/>
    </row>
    <row r="240" spans="1:53">
      <c r="A240" s="250">
        <f t="shared" si="1554"/>
        <v>225</v>
      </c>
      <c r="B240" s="212">
        <v>255</v>
      </c>
      <c r="C240" s="102" t="s">
        <v>313</v>
      </c>
      <c r="D240" s="102"/>
      <c r="E240" s="102"/>
      <c r="U240" s="102"/>
      <c r="AH240" s="102"/>
      <c r="AI240" s="133"/>
      <c r="AK240" s="102"/>
      <c r="AX240" s="102"/>
    </row>
    <row r="241" spans="1:53">
      <c r="A241" s="250">
        <f t="shared" si="1554"/>
        <v>226</v>
      </c>
      <c r="B241" s="212"/>
      <c r="C241" s="102"/>
      <c r="D241" s="102" t="s">
        <v>443</v>
      </c>
      <c r="E241" s="102"/>
      <c r="F241" s="974">
        <f>'Rate Base'!S239</f>
        <v>-1124.79</v>
      </c>
      <c r="G241" s="974">
        <f>'Rate Base'!T239</f>
        <v>-1140.29</v>
      </c>
      <c r="H241" s="974">
        <f>'Rate Base'!U239</f>
        <v>-1155.79</v>
      </c>
      <c r="I241" s="974">
        <f>'Rate Base'!V239</f>
        <v>-1171.29</v>
      </c>
      <c r="J241" s="974">
        <f>'Rate Base'!W239</f>
        <v>-1186.79</v>
      </c>
      <c r="K241" s="974">
        <f>'Rate Base'!X239</f>
        <v>-1202.29</v>
      </c>
      <c r="L241" s="974">
        <f>'Rate Base'!Y239</f>
        <v>-1217.79</v>
      </c>
      <c r="M241" s="974">
        <f>'Rate Base'!Z239</f>
        <v>-1233.29</v>
      </c>
      <c r="N241" s="974">
        <f>'Rate Base'!AA239</f>
        <v>-1248.79</v>
      </c>
      <c r="O241" s="974">
        <f>'Rate Base'!AB239</f>
        <v>-1264.29</v>
      </c>
      <c r="P241" s="974">
        <f>'Rate Base'!AC239</f>
        <v>-1279.79</v>
      </c>
      <c r="Q241" s="974">
        <f>'Rate Base'!AD239</f>
        <v>-1295.29</v>
      </c>
      <c r="R241" s="974">
        <f>'Rate Base'!AE239</f>
        <v>-1310.79</v>
      </c>
      <c r="S241" s="116"/>
      <c r="T241" s="116">
        <f>((F241/2)+SUM(G241:Q241)+(R241/2))/12</f>
        <v>-1217.7900000000002</v>
      </c>
      <c r="U241" s="106">
        <f t="shared" ref="U241:U245" si="1712">+R241</f>
        <v>-1310.79</v>
      </c>
      <c r="V241" s="998">
        <f t="shared" ref="V241" si="1713">(U241/U245)*V245</f>
        <v>-1201.5574549857972</v>
      </c>
      <c r="W241" s="998">
        <f t="shared" ref="W241" si="1714">(V241/V245)*W245</f>
        <v>-1092.3249099715943</v>
      </c>
      <c r="X241" s="998">
        <f t="shared" ref="X241" si="1715">(W241/W245)*X245</f>
        <v>-983.09236495739174</v>
      </c>
      <c r="Y241" s="998">
        <f t="shared" ref="Y241" si="1716">(X241/X245)*Y245</f>
        <v>-873.85981994318865</v>
      </c>
      <c r="Z241" s="998">
        <f t="shared" ref="Z241" si="1717">(Y241/Y245)*Z245</f>
        <v>-764.62727492898557</v>
      </c>
      <c r="AA241" s="998">
        <f t="shared" ref="AA241" si="1718">(Z241/Z245)*AA245</f>
        <v>-655.39472991478294</v>
      </c>
      <c r="AB241" s="998">
        <f t="shared" ref="AB241" si="1719">(AA241/AA245)*AB245</f>
        <v>-546.16218490057986</v>
      </c>
      <c r="AC241" s="998">
        <f t="shared" ref="AC241" si="1720">(AB241/AB245)*AC245</f>
        <v>-436.929639886377</v>
      </c>
      <c r="AD241" s="998">
        <f t="shared" ref="AD241" si="1721">(AC241/AC245)*AD245</f>
        <v>-327.6970948721742</v>
      </c>
      <c r="AE241" s="998">
        <f t="shared" ref="AE241" si="1722">(AD241/AD245)*AE245</f>
        <v>-218.46454985797126</v>
      </c>
      <c r="AF241" s="998">
        <f t="shared" ref="AF241" si="1723">(AE241/AE245)*AF245</f>
        <v>-109.23200484376846</v>
      </c>
      <c r="AG241" s="998">
        <f t="shared" ref="AG241" si="1724">(AF241/AF245)*AG245</f>
        <v>4.1640670052097667E-14</v>
      </c>
      <c r="AH241" s="389">
        <f>('190_255_282 FORECAST'!G50-'190_255_282 FORECAST'!F50)</f>
        <v>1310.79</v>
      </c>
      <c r="AI241" s="133">
        <f t="shared" ref="AI241:AI244" si="1725">+AG241-U241</f>
        <v>1310.79</v>
      </c>
      <c r="AJ241" s="116">
        <f>((U241/2)+SUM(V241:AF241)+(AG241/2))/12</f>
        <v>-655.39475242188428</v>
      </c>
      <c r="AK241" s="106">
        <f t="shared" ref="AK241:AK246" si="1726">AG241</f>
        <v>4.1640670052097667E-14</v>
      </c>
      <c r="AL241" s="1016">
        <f>(AK241/AK245)*AL245</f>
        <v>4.1640670052097667E-14</v>
      </c>
      <c r="AM241" s="1016">
        <f t="shared" ref="AM241:AW241" si="1727">(AL241/AL245)*AM245</f>
        <v>4.1640670052097667E-14</v>
      </c>
      <c r="AN241" s="1016">
        <f t="shared" si="1727"/>
        <v>4.1640670052097667E-14</v>
      </c>
      <c r="AO241" s="1016">
        <f t="shared" si="1727"/>
        <v>4.1640670052097667E-14</v>
      </c>
      <c r="AP241" s="1016">
        <f t="shared" si="1727"/>
        <v>4.1640670052097667E-14</v>
      </c>
      <c r="AQ241" s="1016">
        <f t="shared" si="1727"/>
        <v>4.1640670052097667E-14</v>
      </c>
      <c r="AR241" s="1016">
        <f t="shared" si="1727"/>
        <v>4.1640670052097667E-14</v>
      </c>
      <c r="AS241" s="1016">
        <f t="shared" si="1727"/>
        <v>4.1640670052097667E-14</v>
      </c>
      <c r="AT241" s="1016">
        <f t="shared" si="1727"/>
        <v>4.1640670052097667E-14</v>
      </c>
      <c r="AU241" s="1016">
        <f t="shared" si="1727"/>
        <v>4.1640670052097667E-14</v>
      </c>
      <c r="AV241" s="1016">
        <f t="shared" si="1727"/>
        <v>4.1640670052097667E-14</v>
      </c>
      <c r="AW241" s="1016">
        <f t="shared" si="1727"/>
        <v>4.1640670052097667E-14</v>
      </c>
      <c r="AX241" s="106">
        <f>'190_255_282 FORECAST'!H50-'190_255_282 FORECAST'!G50</f>
        <v>0</v>
      </c>
      <c r="AY241" s="133"/>
      <c r="AZ241" s="133"/>
      <c r="BA241" s="116">
        <f>((AK241/2)+SUM(AL241:AV241)+(AW241/2))/12</f>
        <v>4.1640670052097667E-14</v>
      </c>
    </row>
    <row r="242" spans="1:53">
      <c r="A242" s="250">
        <f t="shared" si="1554"/>
        <v>227</v>
      </c>
      <c r="B242" s="212"/>
      <c r="C242" s="102"/>
      <c r="D242" s="102" t="s">
        <v>592</v>
      </c>
      <c r="E242" s="102"/>
      <c r="F242" s="974">
        <f>'Rate Base'!S240</f>
        <v>-3207.2751887985778</v>
      </c>
      <c r="G242" s="974">
        <f>'Rate Base'!T240</f>
        <v>-2908.5873809999912</v>
      </c>
      <c r="H242" s="974">
        <f>'Rate Base'!U240</f>
        <v>-2737.4087950000094</v>
      </c>
      <c r="I242" s="974">
        <f>'Rate Base'!V240</f>
        <v>-2637.0551160000082</v>
      </c>
      <c r="J242" s="974">
        <f>'Rate Base'!W240</f>
        <v>-2432.9661690000003</v>
      </c>
      <c r="K242" s="974">
        <f>'Rate Base'!X240</f>
        <v>-2223.1647870000011</v>
      </c>
      <c r="L242" s="974">
        <f>'Rate Base'!Y240</f>
        <v>-2028.4282110000013</v>
      </c>
      <c r="M242" s="974">
        <f>'Rate Base'!Z240</f>
        <v>-1827.9792000000016</v>
      </c>
      <c r="N242" s="974">
        <f>'Rate Base'!AA240</f>
        <v>-1618.5319430000031</v>
      </c>
      <c r="O242" s="974">
        <f>'Rate Base'!AB240</f>
        <v>-1430.7211140000024</v>
      </c>
      <c r="P242" s="974">
        <f>'Rate Base'!AC240</f>
        <v>-1237.804506000002</v>
      </c>
      <c r="Q242" s="974">
        <f>'Rate Base'!AD240</f>
        <v>-1051.4595199999974</v>
      </c>
      <c r="R242" s="974">
        <f>'Rate Base'!AE240</f>
        <v>-854.65140200000099</v>
      </c>
      <c r="S242" s="116"/>
      <c r="T242" s="116">
        <f>((F242/2)+SUM(G242:Q242)+(R242/2))/12</f>
        <v>-2013.7558364499425</v>
      </c>
      <c r="U242" s="106">
        <f t="shared" si="1712"/>
        <v>-854.65140200000099</v>
      </c>
      <c r="V242" s="998">
        <f t="shared" ref="V242" si="1728">(U242/U245)*V245</f>
        <v>-783.43042248351355</v>
      </c>
      <c r="W242" s="998">
        <f t="shared" ref="W242" si="1729">(V242/V245)*W245</f>
        <v>-712.20944296702589</v>
      </c>
      <c r="X242" s="998">
        <f t="shared" ref="X242" si="1730">(W242/W245)*X245</f>
        <v>-640.98846345053857</v>
      </c>
      <c r="Y242" s="998">
        <f t="shared" ref="Y242" si="1731">(X242/X245)*Y245</f>
        <v>-569.76748393405092</v>
      </c>
      <c r="Z242" s="998">
        <f t="shared" ref="Z242" si="1732">(Y242/Y245)*Z245</f>
        <v>-498.54650441756326</v>
      </c>
      <c r="AA242" s="998">
        <f t="shared" ref="AA242" si="1733">(Z242/Z245)*AA245</f>
        <v>-427.32552490107582</v>
      </c>
      <c r="AB242" s="998">
        <f t="shared" ref="AB242" si="1734">(AA242/AA245)*AB245</f>
        <v>-356.10454538458822</v>
      </c>
      <c r="AC242" s="998">
        <f t="shared" ref="AC242" si="1735">(AB242/AB245)*AC245</f>
        <v>-284.88356586810073</v>
      </c>
      <c r="AD242" s="998">
        <f t="shared" ref="AD242" si="1736">(AC242/AC245)*AD245</f>
        <v>-213.66258635161321</v>
      </c>
      <c r="AE242" s="998">
        <f t="shared" ref="AE242" si="1737">(AD242/AD245)*AE245</f>
        <v>-142.44160683512561</v>
      </c>
      <c r="AF242" s="998">
        <f t="shared" ref="AF242" si="1738">(AE242/AE245)*AF245</f>
        <v>-71.220627318638094</v>
      </c>
      <c r="AG242" s="998">
        <f t="shared" ref="AG242" si="1739">(AF242/AF245)*AG245</f>
        <v>2.7150235384954667E-14</v>
      </c>
      <c r="AH242" s="389">
        <f>('190_255_282 FORECAST'!G51-'190_255_282 FORECAST'!F51)</f>
        <v>854.65140200000099</v>
      </c>
      <c r="AI242" s="133">
        <f t="shared" si="1725"/>
        <v>854.65140200000099</v>
      </c>
      <c r="AJ242" s="116">
        <f>((U242/2)+SUM(V242:AF242)+(AG242/2))/12</f>
        <v>-427.32553957598617</v>
      </c>
      <c r="AK242" s="106">
        <f t="shared" si="1726"/>
        <v>2.7150235384954667E-14</v>
      </c>
      <c r="AL242" s="1016">
        <f>(AK242/AK245)*AL245</f>
        <v>2.7150235384954667E-14</v>
      </c>
      <c r="AM242" s="1016">
        <f t="shared" ref="AM242:AW242" si="1740">(AL242/AL245)*AM245</f>
        <v>2.7150235384954667E-14</v>
      </c>
      <c r="AN242" s="1016">
        <f t="shared" si="1740"/>
        <v>2.7150235384954667E-14</v>
      </c>
      <c r="AO242" s="1016">
        <f t="shared" si="1740"/>
        <v>2.7150235384954667E-14</v>
      </c>
      <c r="AP242" s="1016">
        <f t="shared" si="1740"/>
        <v>2.7150235384954667E-14</v>
      </c>
      <c r="AQ242" s="1016">
        <f t="shared" si="1740"/>
        <v>2.7150235384954667E-14</v>
      </c>
      <c r="AR242" s="1016">
        <f t="shared" si="1740"/>
        <v>2.7150235384954667E-14</v>
      </c>
      <c r="AS242" s="1016">
        <f t="shared" si="1740"/>
        <v>2.7150235384954667E-14</v>
      </c>
      <c r="AT242" s="1016">
        <f t="shared" si="1740"/>
        <v>2.7150235384954667E-14</v>
      </c>
      <c r="AU242" s="1016">
        <f t="shared" si="1740"/>
        <v>2.7150235384954667E-14</v>
      </c>
      <c r="AV242" s="1016">
        <f t="shared" si="1740"/>
        <v>2.7150235384954667E-14</v>
      </c>
      <c r="AW242" s="1016">
        <f t="shared" si="1740"/>
        <v>2.7150235384954667E-14</v>
      </c>
      <c r="AX242" s="106">
        <f>'190_255_282 FORECAST'!H51-'190_255_282 FORECAST'!G51</f>
        <v>0</v>
      </c>
      <c r="AY242" s="133"/>
      <c r="AZ242" s="133"/>
      <c r="BA242" s="116">
        <f>((AK242/2)+SUM(AL242:AV242)+(AW242/2))/12</f>
        <v>2.715023538495467E-14</v>
      </c>
    </row>
    <row r="243" spans="1:53">
      <c r="A243" s="250">
        <f t="shared" si="1554"/>
        <v>228</v>
      </c>
      <c r="B243" s="212"/>
      <c r="C243" s="102"/>
      <c r="D243" s="102" t="s">
        <v>593</v>
      </c>
      <c r="E243" s="102"/>
      <c r="F243" s="974">
        <f>'Rate Base'!S241</f>
        <v>-96382.994811201424</v>
      </c>
      <c r="G243" s="974">
        <f>'Rate Base'!T241</f>
        <v>-90615.122619000016</v>
      </c>
      <c r="H243" s="974">
        <f>'Rate Base'!U241</f>
        <v>-84719.741204999998</v>
      </c>
      <c r="I243" s="974">
        <f>'Rate Base'!V241</f>
        <v>-78753.534884000008</v>
      </c>
      <c r="J243" s="974">
        <f>'Rate Base'!W241</f>
        <v>-72891.063831000007</v>
      </c>
      <c r="K243" s="974">
        <f>'Rate Base'!X241</f>
        <v>-67034.305213</v>
      </c>
      <c r="L243" s="974">
        <f>'Rate Base'!Y241</f>
        <v>-61162.481789000005</v>
      </c>
      <c r="M243" s="974">
        <f>'Rate Base'!Z241</f>
        <v>-55296.370799999997</v>
      </c>
      <c r="N243" s="974">
        <f>'Rate Base'!AA241</f>
        <v>-49439.258056999999</v>
      </c>
      <c r="O243" s="974">
        <f>'Rate Base'!AB241</f>
        <v>-43560.508886000003</v>
      </c>
      <c r="P243" s="974">
        <f>'Rate Base'!AC241</f>
        <v>-37686.865493999998</v>
      </c>
      <c r="Q243" s="974">
        <f>'Rate Base'!AD241</f>
        <v>-31806.650480000004</v>
      </c>
      <c r="R243" s="974">
        <f>'Rate Base'!AE241</f>
        <v>-25936.928597999999</v>
      </c>
      <c r="S243" s="116"/>
      <c r="T243" s="116">
        <f>((F243/2)+SUM(G243:Q243)+(R243/2))/12</f>
        <v>-61177.155413550063</v>
      </c>
      <c r="U243" s="106">
        <f t="shared" si="1712"/>
        <v>-25936.928597999999</v>
      </c>
      <c r="V243" s="998">
        <f t="shared" ref="V243" si="1741">(U243/U245)*V245</f>
        <v>-23775.516990792741</v>
      </c>
      <c r="W243" s="998">
        <f t="shared" ref="W243" si="1742">(V243/V245)*W245</f>
        <v>-21614.105383585484</v>
      </c>
      <c r="X243" s="998">
        <f t="shared" ref="X243" si="1743">(W243/W245)*X245</f>
        <v>-19452.693776378233</v>
      </c>
      <c r="Y243" s="998">
        <f t="shared" ref="Y243" si="1744">(X243/X245)*Y245</f>
        <v>-17291.282169170972</v>
      </c>
      <c r="Z243" s="998">
        <f t="shared" ref="Z243" si="1745">(Y243/Y245)*Z245</f>
        <v>-15129.870561963711</v>
      </c>
      <c r="AA243" s="998">
        <f t="shared" ref="AA243" si="1746">(Z243/Z245)*AA245</f>
        <v>-12968.458954756457</v>
      </c>
      <c r="AB243" s="998">
        <f t="shared" ref="AB243" si="1747">(AA243/AA245)*AB245</f>
        <v>-10807.047347549198</v>
      </c>
      <c r="AC243" s="998">
        <f t="shared" ref="AC243" si="1748">(AB243/AB245)*AC245</f>
        <v>-8645.6357403419424</v>
      </c>
      <c r="AD243" s="998">
        <f t="shared" ref="AD243" si="1749">(AC243/AC245)*AD245</f>
        <v>-6484.2241331346859</v>
      </c>
      <c r="AE243" s="998">
        <f t="shared" ref="AE243" si="1750">(AD243/AD245)*AE245</f>
        <v>-4322.8125259274275</v>
      </c>
      <c r="AF243" s="998">
        <f t="shared" ref="AF243" si="1751">(AE243/AE245)*AF245</f>
        <v>-2161.4009187201714</v>
      </c>
      <c r="AG243" s="998">
        <f t="shared" ref="AG243" si="1752">(AF243/AF245)*AG245</f>
        <v>8.2395432213713437E-13</v>
      </c>
      <c r="AH243" s="389">
        <f>('190_255_282 FORECAST'!G52-'190_255_282 FORECAST'!F52)</f>
        <v>25936.928597999999</v>
      </c>
      <c r="AI243" s="133">
        <f t="shared" si="1725"/>
        <v>25936.928597999999</v>
      </c>
      <c r="AJ243" s="116">
        <f>((U243/2)+SUM(V243:AF243)+(AG243/2))/12</f>
        <v>-12968.459400110087</v>
      </c>
      <c r="AK243" s="106">
        <f t="shared" si="1726"/>
        <v>8.2395432213713437E-13</v>
      </c>
      <c r="AL243" s="1016">
        <f>(AK243/AK245)*AL245</f>
        <v>8.2395432213713437E-13</v>
      </c>
      <c r="AM243" s="1016">
        <f t="shared" ref="AM243:AW243" si="1753">(AL243/AL245)*AM245</f>
        <v>8.2395432213713437E-13</v>
      </c>
      <c r="AN243" s="1016">
        <f t="shared" si="1753"/>
        <v>8.2395432213713437E-13</v>
      </c>
      <c r="AO243" s="1016">
        <f t="shared" si="1753"/>
        <v>8.2395432213713437E-13</v>
      </c>
      <c r="AP243" s="1016">
        <f t="shared" si="1753"/>
        <v>8.2395432213713437E-13</v>
      </c>
      <c r="AQ243" s="1016">
        <f t="shared" si="1753"/>
        <v>8.2395432213713437E-13</v>
      </c>
      <c r="AR243" s="1016">
        <f t="shared" si="1753"/>
        <v>8.2395432213713437E-13</v>
      </c>
      <c r="AS243" s="1016">
        <f t="shared" si="1753"/>
        <v>8.2395432213713437E-13</v>
      </c>
      <c r="AT243" s="1016">
        <f t="shared" si="1753"/>
        <v>8.2395432213713437E-13</v>
      </c>
      <c r="AU243" s="1016">
        <f t="shared" si="1753"/>
        <v>8.2395432213713437E-13</v>
      </c>
      <c r="AV243" s="1016">
        <f t="shared" si="1753"/>
        <v>8.2395432213713437E-13</v>
      </c>
      <c r="AW243" s="1016">
        <f t="shared" si="1753"/>
        <v>8.2395432213713437E-13</v>
      </c>
      <c r="AX243" s="106">
        <f>'190_255_282 FORECAST'!H52-'190_255_282 FORECAST'!G52</f>
        <v>0</v>
      </c>
      <c r="AY243" s="133"/>
      <c r="AZ243" s="133"/>
      <c r="BA243" s="116">
        <f>((AK243/2)+SUM(AL243:AV243)+(AW243/2))/12</f>
        <v>8.2395432213713468E-13</v>
      </c>
    </row>
    <row r="244" spans="1:53">
      <c r="A244" s="250">
        <f t="shared" si="1554"/>
        <v>229</v>
      </c>
      <c r="B244" s="212"/>
      <c r="C244" s="102"/>
      <c r="D244" s="102" t="s">
        <v>595</v>
      </c>
      <c r="E244" s="102"/>
      <c r="F244" s="974">
        <f>'Rate Base'!S242</f>
        <v>-713.25</v>
      </c>
      <c r="G244" s="974">
        <f>'Rate Base'!T242</f>
        <v>-697.75</v>
      </c>
      <c r="H244" s="974">
        <f>'Rate Base'!U242</f>
        <v>-682.25</v>
      </c>
      <c r="I244" s="974">
        <f>'Rate Base'!V242</f>
        <v>-666.75</v>
      </c>
      <c r="J244" s="974">
        <f>'Rate Base'!W242</f>
        <v>-651.25</v>
      </c>
      <c r="K244" s="974">
        <f>'Rate Base'!X242</f>
        <v>-635.75</v>
      </c>
      <c r="L244" s="974">
        <f>'Rate Base'!Y242</f>
        <v>-620.25</v>
      </c>
      <c r="M244" s="974">
        <f>'Rate Base'!Z242</f>
        <v>-604.75</v>
      </c>
      <c r="N244" s="974">
        <f>'Rate Base'!AA242</f>
        <v>-589.25</v>
      </c>
      <c r="O244" s="974">
        <f>'Rate Base'!AB242</f>
        <v>-573.75</v>
      </c>
      <c r="P244" s="974">
        <f>'Rate Base'!AC242</f>
        <v>-558.25</v>
      </c>
      <c r="Q244" s="974">
        <f>'Rate Base'!AD242</f>
        <v>-542.75</v>
      </c>
      <c r="R244" s="974">
        <f>'Rate Base'!AE242</f>
        <v>-527.25</v>
      </c>
      <c r="S244" s="116"/>
      <c r="T244" s="116">
        <f>((F244/2)+SUM(G244:Q244)+(R244/2))/12</f>
        <v>-620.25</v>
      </c>
      <c r="U244" s="106">
        <f t="shared" si="1712"/>
        <v>-527.25</v>
      </c>
      <c r="V244" s="998">
        <f t="shared" ref="V244" si="1754">(U244/U245)*V245</f>
        <v>-483.3124818935616</v>
      </c>
      <c r="W244" s="998">
        <f t="shared" ref="W244" si="1755">(V244/V245)*W245</f>
        <v>-439.37496378712314</v>
      </c>
      <c r="X244" s="998">
        <f t="shared" ref="X244" si="1756">(W244/W245)*X245</f>
        <v>-395.43744568068479</v>
      </c>
      <c r="Y244" s="998">
        <f t="shared" ref="Y244" si="1757">(X244/X245)*Y245</f>
        <v>-351.49992757424621</v>
      </c>
      <c r="Z244" s="998">
        <f t="shared" ref="Z244" si="1758">(Y244/Y245)*Z245</f>
        <v>-307.5624094678077</v>
      </c>
      <c r="AA244" s="998">
        <f t="shared" ref="AA244" si="1759">(Z244/Z245)*AA245</f>
        <v>-263.62489136136935</v>
      </c>
      <c r="AB244" s="998">
        <f t="shared" ref="AB244" si="1760">(AA244/AA245)*AB245</f>
        <v>-219.68737325493086</v>
      </c>
      <c r="AC244" s="998">
        <f t="shared" ref="AC244" si="1761">(AB244/AB245)*AC245</f>
        <v>-175.7498551484924</v>
      </c>
      <c r="AD244" s="998">
        <f t="shared" ref="AD244" si="1762">(AC244/AC245)*AD245</f>
        <v>-131.81233704205397</v>
      </c>
      <c r="AE244" s="998">
        <f t="shared" ref="AE244" si="1763">(AD244/AD245)*AE245</f>
        <v>-87.874818935615465</v>
      </c>
      <c r="AF244" s="998">
        <f t="shared" ref="AF244" si="1764">(AE244/AE245)*AF245</f>
        <v>-43.937300829177019</v>
      </c>
      <c r="AG244" s="998">
        <f t="shared" ref="AG244" si="1765">(AF244/AF245)*AG245</f>
        <v>1.6749474198741601E-14</v>
      </c>
      <c r="AH244" s="389">
        <f>('190_255_282 FORECAST'!G53-'190_255_282 FORECAST'!F53)</f>
        <v>527.25</v>
      </c>
      <c r="AI244" s="133">
        <f t="shared" si="1725"/>
        <v>527.25</v>
      </c>
      <c r="AJ244" s="116">
        <f>((U244/2)+SUM(V244:AF244)+(AG244/2))/12</f>
        <v>-263.62490041458852</v>
      </c>
      <c r="AK244" s="106">
        <f t="shared" si="1726"/>
        <v>1.6749474198741601E-14</v>
      </c>
      <c r="AL244" s="1016">
        <f>(AK244/AK245)*AL245</f>
        <v>1.6749474198741601E-14</v>
      </c>
      <c r="AM244" s="1016">
        <f t="shared" ref="AM244" si="1766">(AL244/AL245)*AM245</f>
        <v>1.6749474198741601E-14</v>
      </c>
      <c r="AN244" s="1016">
        <f t="shared" ref="AN244" si="1767">(AM244/AM245)*AN245</f>
        <v>1.6749474198741601E-14</v>
      </c>
      <c r="AO244" s="1016">
        <f t="shared" ref="AO244" si="1768">(AN244/AN245)*AO245</f>
        <v>1.6749474198741601E-14</v>
      </c>
      <c r="AP244" s="1016">
        <f t="shared" ref="AP244" si="1769">(AO244/AO245)*AP245</f>
        <v>1.6749474198741601E-14</v>
      </c>
      <c r="AQ244" s="1016">
        <f t="shared" ref="AQ244" si="1770">(AP244/AP245)*AQ245</f>
        <v>1.6749474198741601E-14</v>
      </c>
      <c r="AR244" s="1016">
        <f t="shared" ref="AR244" si="1771">(AQ244/AQ245)*AR245</f>
        <v>1.6749474198741601E-14</v>
      </c>
      <c r="AS244" s="1016">
        <f t="shared" ref="AS244" si="1772">(AR244/AR245)*AS245</f>
        <v>1.6749474198741601E-14</v>
      </c>
      <c r="AT244" s="1016">
        <f t="shared" ref="AT244" si="1773">(AS244/AS245)*AT245</f>
        <v>1.6749474198741601E-14</v>
      </c>
      <c r="AU244" s="1016">
        <f t="shared" ref="AU244" si="1774">(AT244/AT245)*AU245</f>
        <v>1.6749474198741601E-14</v>
      </c>
      <c r="AV244" s="1016">
        <f t="shared" ref="AV244" si="1775">(AU244/AU245)*AV245</f>
        <v>1.6749474198741601E-14</v>
      </c>
      <c r="AW244" s="1016">
        <f t="shared" ref="AW244" si="1776">(AV244/AV245)*AW245</f>
        <v>1.6749474198741601E-14</v>
      </c>
      <c r="AX244" s="106">
        <f>'190_255_282 FORECAST'!H53-'190_255_282 FORECAST'!G53</f>
        <v>0</v>
      </c>
      <c r="AY244" s="133"/>
      <c r="AZ244" s="133"/>
      <c r="BA244" s="116">
        <f>((AK244/2)+SUM(AL244:AV244)+(AW244/2))/12</f>
        <v>1.6749474198741598E-14</v>
      </c>
    </row>
    <row r="245" spans="1:53">
      <c r="A245" s="250">
        <f t="shared" si="1554"/>
        <v>230</v>
      </c>
      <c r="B245" s="212"/>
      <c r="C245" s="102"/>
      <c r="D245" s="102" t="s">
        <v>170</v>
      </c>
      <c r="E245" s="102"/>
      <c r="F245" s="993">
        <f t="shared" ref="F245:R245" si="1777">SUM(F241:F244)</f>
        <v>-101428.31</v>
      </c>
      <c r="G245" s="993">
        <f t="shared" si="1777"/>
        <v>-95361.75</v>
      </c>
      <c r="H245" s="993">
        <f t="shared" si="1777"/>
        <v>-89295.19</v>
      </c>
      <c r="I245" s="993">
        <f t="shared" si="1777"/>
        <v>-83228.630000000019</v>
      </c>
      <c r="J245" s="993">
        <f t="shared" si="1777"/>
        <v>-77162.070000000007</v>
      </c>
      <c r="K245" s="993">
        <f t="shared" si="1777"/>
        <v>-71095.509999999995</v>
      </c>
      <c r="L245" s="993">
        <f t="shared" si="1777"/>
        <v>-65028.950000000004</v>
      </c>
      <c r="M245" s="993">
        <f t="shared" si="1777"/>
        <v>-58962.39</v>
      </c>
      <c r="N245" s="993">
        <f t="shared" si="1777"/>
        <v>-52895.83</v>
      </c>
      <c r="O245" s="993">
        <f t="shared" si="1777"/>
        <v>-46829.270000000004</v>
      </c>
      <c r="P245" s="993">
        <f t="shared" si="1777"/>
        <v>-40762.71</v>
      </c>
      <c r="Q245" s="993">
        <f t="shared" si="1777"/>
        <v>-34696.15</v>
      </c>
      <c r="R245" s="993">
        <f t="shared" si="1777"/>
        <v>-28629.62</v>
      </c>
      <c r="S245" s="116"/>
      <c r="T245" s="131">
        <f>SUM(T241:T244)</f>
        <v>-65028.951250000006</v>
      </c>
      <c r="U245" s="394">
        <f t="shared" si="1712"/>
        <v>-28629.62</v>
      </c>
      <c r="V245" s="1269">
        <f t="shared" ref="V245:AA245" si="1778">IF($R245-$F245=0,U245+$AH245/12,U245+((G245-F245)/($R245-$F245))*$AH245)</f>
        <v>-26243.817350155616</v>
      </c>
      <c r="W245" s="1269">
        <f t="shared" si="1778"/>
        <v>-23858.014700311229</v>
      </c>
      <c r="X245" s="1269">
        <f t="shared" si="1778"/>
        <v>-21472.212050466849</v>
      </c>
      <c r="Y245" s="1269">
        <f t="shared" si="1778"/>
        <v>-19086.409400622459</v>
      </c>
      <c r="Z245" s="1269">
        <f t="shared" si="1778"/>
        <v>-16700.606750778068</v>
      </c>
      <c r="AA245" s="1269">
        <f t="shared" si="1778"/>
        <v>-14314.804100933687</v>
      </c>
      <c r="AB245" s="1269">
        <f>IF($R245-$F245=0,AA245+$AH245/12,AA245+((M245-L245)/($R245-$F245))*$AH245)</f>
        <v>-11929.001451089298</v>
      </c>
      <c r="AC245" s="1269">
        <f t="shared" ref="AC245" si="1779">IF($R245-$F245=0,AB245+$AH245/12,AB245+((N245-M245)/($R245-$F245))*$AH245)</f>
        <v>-9543.1988012449128</v>
      </c>
      <c r="AD245" s="1269">
        <f t="shared" ref="AD245" si="1780">IF($R245-$F245=0,AC245+$AH245/12,AC245+((O245-N245)/($R245-$F245))*$AH245)</f>
        <v>-7157.3961514005277</v>
      </c>
      <c r="AE245" s="1269">
        <f t="shared" ref="AE245" si="1781">IF($R245-$F245=0,AD245+$AH245/12,AD245+((P245-O245)/($R245-$F245))*$AH245)</f>
        <v>-4771.5935015561399</v>
      </c>
      <c r="AF245" s="1269">
        <f t="shared" ref="AF245" si="1782">IF($R245-$F245=0,AE245+$AH245/12,AE245+((Q245-P245)/($R245-$F245))*$AH245)</f>
        <v>-2385.7908517117548</v>
      </c>
      <c r="AG245" s="1269">
        <f t="shared" ref="AG245" si="1783">IF($R245-$F245=0,AF245+$AH245/12,AF245+((R245-Q245)/($R245-$F245))*$AH245)</f>
        <v>9.0949470177292824E-13</v>
      </c>
      <c r="AH245" s="1038">
        <f>('190_255_282 FORECAST'!G54-'190_255_282 FORECAST'!F54)</f>
        <v>28629.62</v>
      </c>
      <c r="AI245" s="133">
        <f>+AG245-U245</f>
        <v>28629.62</v>
      </c>
      <c r="AJ245" s="131">
        <f>SUM(AJ241:AJ244)</f>
        <v>-14314.804592522545</v>
      </c>
      <c r="AK245" s="1039">
        <f t="shared" si="1726"/>
        <v>9.0949470177292824E-13</v>
      </c>
      <c r="AL245" s="1041">
        <f>IF($R245-$F245=0,AK245+$AX245/12,AK245+((G245-F245)/($R245-$F245))*$AX245)</f>
        <v>9.0949470177292824E-13</v>
      </c>
      <c r="AM245" s="1041">
        <f t="shared" ref="AM245" si="1784">IF($R245-$F245=0,AL245+$AX245/12,AL245+((H245-G245)/($R245-$F245))*$AX245)</f>
        <v>9.0949470177292824E-13</v>
      </c>
      <c r="AN245" s="1041">
        <f t="shared" ref="AN245" si="1785">IF($R245-$F245=0,AM245+$AX245/12,AM245+((I245-H245)/($R245-$F245))*$AX245)</f>
        <v>9.0949470177292824E-13</v>
      </c>
      <c r="AO245" s="1041">
        <f t="shared" ref="AO245" si="1786">IF($R245-$F245=0,AN245+$AX245/12,AN245+((J245-I245)/($R245-$F245))*$AX245)</f>
        <v>9.0949470177292824E-13</v>
      </c>
      <c r="AP245" s="1041">
        <f t="shared" ref="AP245" si="1787">IF($R245-$F245=0,AO245+$AX245/12,AO245+((K245-J245)/($R245-$F245))*$AX245)</f>
        <v>9.0949470177292824E-13</v>
      </c>
      <c r="AQ245" s="1041">
        <f t="shared" ref="AQ245" si="1788">IF($R245-$F245=0,AP245+$AX245/12,AP245+((L245-K245)/($R245-$F245))*$AX245)</f>
        <v>9.0949470177292824E-13</v>
      </c>
      <c r="AR245" s="1041">
        <f t="shared" ref="AR245" si="1789">IF($R245-$F245=0,AQ245+$AX245/12,AQ245+((M245-L245)/($R245-$F245))*$AX245)</f>
        <v>9.0949470177292824E-13</v>
      </c>
      <c r="AS245" s="1041">
        <f t="shared" ref="AS245" si="1790">IF($R245-$F245=0,AR245+$AX245/12,AR245+((N245-M245)/($R245-$F245))*$AX245)</f>
        <v>9.0949470177292824E-13</v>
      </c>
      <c r="AT245" s="1041">
        <f t="shared" ref="AT245" si="1791">IF($R245-$F245=0,AS245+$AX245/12,AS245+((O245-N245)/($R245-$F245))*$AX245)</f>
        <v>9.0949470177292824E-13</v>
      </c>
      <c r="AU245" s="1041">
        <f t="shared" ref="AU245" si="1792">IF($R245-$F245=0,AT245+$AX245/12,AT245+((P245-O245)/($R245-$F245))*$AX245)</f>
        <v>9.0949470177292824E-13</v>
      </c>
      <c r="AV245" s="1041">
        <f t="shared" ref="AV245" si="1793">IF($R245-$F245=0,AU245+$AX245/12,AU245+((Q245-P245)/($R245-$F245))*$AX245)</f>
        <v>9.0949470177292824E-13</v>
      </c>
      <c r="AW245" s="1041">
        <f t="shared" ref="AW245" si="1794">IF($R245-$F245=0,AV245+$AX245/12,AV245+((R245-Q245)/($R245-$F245))*$AX245)</f>
        <v>9.0949470177292824E-13</v>
      </c>
      <c r="AX245" s="1041">
        <f>'190_255_282 FORECAST'!H54-'190_255_282 FORECAST'!G54</f>
        <v>0</v>
      </c>
      <c r="AY245" s="133">
        <f>+AW245-AK245</f>
        <v>0</v>
      </c>
      <c r="AZ245" s="133"/>
      <c r="BA245" s="131">
        <f>SUM(BA241:BA244)</f>
        <v>9.0949470177292864E-13</v>
      </c>
    </row>
    <row r="246" spans="1:53">
      <c r="A246" s="250">
        <f t="shared" si="1554"/>
        <v>231</v>
      </c>
      <c r="B246" s="212"/>
      <c r="C246" s="102"/>
      <c r="D246" s="102"/>
      <c r="E246" s="102"/>
      <c r="L246" s="990"/>
      <c r="M246" s="990"/>
      <c r="N246" s="990"/>
      <c r="O246" s="990"/>
      <c r="P246" s="990"/>
      <c r="Q246" s="990"/>
      <c r="U246" s="102"/>
      <c r="AH246" s="106"/>
      <c r="AK246" s="106">
        <f t="shared" si="1726"/>
        <v>0</v>
      </c>
      <c r="AW246" s="1016"/>
      <c r="AX246" s="394"/>
    </row>
    <row r="247" spans="1:53">
      <c r="A247" s="250">
        <f t="shared" si="1554"/>
        <v>232</v>
      </c>
      <c r="B247" s="212">
        <v>282000</v>
      </c>
      <c r="C247" s="102" t="s">
        <v>477</v>
      </c>
      <c r="D247" s="102"/>
      <c r="E247" s="102"/>
      <c r="U247" s="102"/>
      <c r="AH247" s="102"/>
      <c r="AK247" s="102"/>
      <c r="AX247" s="102"/>
    </row>
    <row r="248" spans="1:53">
      <c r="A248" s="250">
        <f t="shared" si="1554"/>
        <v>233</v>
      </c>
      <c r="B248" s="212"/>
      <c r="C248" s="102"/>
      <c r="D248" s="102" t="s">
        <v>443</v>
      </c>
      <c r="E248" s="102"/>
      <c r="F248" s="974">
        <f>'Rate Base'!S246</f>
        <v>-501863.93</v>
      </c>
      <c r="G248" s="974">
        <f>'Rate Base'!T246</f>
        <v>-438066.81</v>
      </c>
      <c r="H248" s="974">
        <f>'Rate Base'!U246</f>
        <v>-374397.71</v>
      </c>
      <c r="I248" s="974">
        <f>'Rate Base'!V246</f>
        <v>-310747.40000000002</v>
      </c>
      <c r="J248" s="974">
        <f>'Rate Base'!W246</f>
        <v>-247869.66</v>
      </c>
      <c r="K248" s="974">
        <f>'Rate Base'!X246</f>
        <v>-184984.29</v>
      </c>
      <c r="L248" s="974">
        <f>'Rate Base'!Y246</f>
        <v>-121778.19</v>
      </c>
      <c r="M248" s="974">
        <f>'Rate Base'!Z246</f>
        <v>-58772.590000000004</v>
      </c>
      <c r="N248" s="974">
        <f>'Rate Base'!AA246</f>
        <v>3661.83</v>
      </c>
      <c r="O248" s="974">
        <f>'Rate Base'!AB246</f>
        <v>50611.28</v>
      </c>
      <c r="P248" s="974">
        <f>'Rate Base'!AC246</f>
        <v>110620.48</v>
      </c>
      <c r="Q248" s="974">
        <f>'Rate Base'!AD246</f>
        <v>169754.68</v>
      </c>
      <c r="R248" s="974">
        <f>'Rate Base'!AE246</f>
        <v>44147.49</v>
      </c>
      <c r="S248" s="116"/>
      <c r="T248" s="116">
        <f>((F248/2)+SUM(G248:Q248)+(R248/2))/12</f>
        <v>-135902.21666666665</v>
      </c>
      <c r="U248" s="106">
        <f>+R248</f>
        <v>44147.49</v>
      </c>
      <c r="V248" s="998">
        <f t="shared" ref="V248" si="1795">(U248/U252)*V252</f>
        <v>44230.592918353068</v>
      </c>
      <c r="W248" s="998">
        <f t="shared" ref="W248" si="1796">(V248/V252)*W252</f>
        <v>44316.234523334293</v>
      </c>
      <c r="X248" s="998">
        <f t="shared" ref="X248" si="1797">(W248/W252)*X252</f>
        <v>44568.215273742324</v>
      </c>
      <c r="Y248" s="998">
        <f t="shared" ref="Y248" si="1798">(X248/X252)*Y252</f>
        <v>44602.138778794622</v>
      </c>
      <c r="Z248" s="998">
        <f t="shared" ref="Z248" si="1799">(Y248/Y252)*Z252</f>
        <v>44703.252309748656</v>
      </c>
      <c r="AA248" s="998">
        <f t="shared" ref="AA248" si="1800">(Z248/Z252)*AA252</f>
        <v>44788.662949950514</v>
      </c>
      <c r="AB248" s="998">
        <f t="shared" ref="AB248" si="1801">(AA248/AA252)*AB252</f>
        <v>44884.913131373323</v>
      </c>
      <c r="AC248" s="998">
        <f t="shared" ref="AC248" si="1802">(AB248/AB252)*AC252</f>
        <v>45229.400330098106</v>
      </c>
      <c r="AD248" s="998">
        <f t="shared" ref="AD248" si="1803">(AC248/AC252)*AD252</f>
        <v>45151.755915905203</v>
      </c>
      <c r="AE248" s="998">
        <f t="shared" ref="AE248" si="1804">(AD248/AD252)*AE252</f>
        <v>45252.213306533187</v>
      </c>
      <c r="AF248" s="998">
        <f t="shared" ref="AF248" si="1805">(AE248/AE252)*AF252</f>
        <v>45350.738024688566</v>
      </c>
      <c r="AG248" s="998">
        <f t="shared" ref="AG248" si="1806">(AF248/AF252)*AG252</f>
        <v>40264.693087509448</v>
      </c>
      <c r="AH248" s="106"/>
      <c r="AI248" s="133"/>
      <c r="AJ248" s="116">
        <f>((U248/2)+SUM(V248:AF248)+(AG248/2))/12</f>
        <v>44607.017417189716</v>
      </c>
      <c r="AK248" s="106">
        <f>AG248</f>
        <v>40264.693087509448</v>
      </c>
      <c r="AL248" s="1016">
        <f>(AK248/AK252)*AL252</f>
        <v>40254.140441208314</v>
      </c>
      <c r="AM248" s="1016">
        <f t="shared" ref="AM248:AW248" si="1807">(AL248/AL252)*AM252</f>
        <v>40243.265425216836</v>
      </c>
      <c r="AN248" s="1016">
        <f t="shared" si="1807"/>
        <v>40211.268188700393</v>
      </c>
      <c r="AO248" s="1016">
        <f t="shared" si="1807"/>
        <v>40206.960484985451</v>
      </c>
      <c r="AP248" s="1016">
        <f t="shared" si="1807"/>
        <v>40194.120799574128</v>
      </c>
      <c r="AQ248" s="1016">
        <f t="shared" si="1807"/>
        <v>40183.275112151045</v>
      </c>
      <c r="AR248" s="1016">
        <f t="shared" si="1807"/>
        <v>40171.052988775547</v>
      </c>
      <c r="AS248" s="1016">
        <f t="shared" si="1807"/>
        <v>40127.309018822947</v>
      </c>
      <c r="AT248" s="1016">
        <f t="shared" si="1807"/>
        <v>40137.168528650931</v>
      </c>
      <c r="AU248" s="1016">
        <f t="shared" si="1807"/>
        <v>40124.412161815198</v>
      </c>
      <c r="AV248" s="1016">
        <f t="shared" si="1807"/>
        <v>40111.901211258744</v>
      </c>
      <c r="AW248" s="1016">
        <f t="shared" si="1807"/>
        <v>40757.741746794323</v>
      </c>
      <c r="AX248" s="106"/>
      <c r="AY248" s="133"/>
      <c r="AZ248" s="133"/>
      <c r="BA248" s="116">
        <f>((AK248/2)+SUM(AL248:AV248)+(AW248/2))/12</f>
        <v>40206.340981525958</v>
      </c>
    </row>
    <row r="249" spans="1:53">
      <c r="A249" s="250">
        <f t="shared" si="1554"/>
        <v>234</v>
      </c>
      <c r="B249" s="212"/>
      <c r="C249" s="102"/>
      <c r="D249" s="102" t="s">
        <v>592</v>
      </c>
      <c r="E249" s="102"/>
      <c r="F249" s="974">
        <f>'Rate Base'!S247</f>
        <v>-12933784.639236018</v>
      </c>
      <c r="G249" s="974">
        <f>'Rate Base'!T247</f>
        <v>-12586227.283711961</v>
      </c>
      <c r="H249" s="974">
        <f>'Rate Base'!U247</f>
        <v>-12766682.663012043</v>
      </c>
      <c r="I249" s="974">
        <f>'Rate Base'!V247</f>
        <v>-13508423.98650004</v>
      </c>
      <c r="J249" s="974">
        <f>'Rate Base'!W247</f>
        <v>-13510450.475503996</v>
      </c>
      <c r="K249" s="974">
        <f>'Rate Base'!X247</f>
        <v>-13546304.788845006</v>
      </c>
      <c r="L249" s="974">
        <f>'Rate Base'!Y247</f>
        <v>-13648064.698710006</v>
      </c>
      <c r="M249" s="974">
        <f>'Rate Base'!Z247</f>
        <v>-13719206.710080013</v>
      </c>
      <c r="N249" s="974">
        <f>'Rate Base'!AA247</f>
        <v>-13980648.330860028</v>
      </c>
      <c r="O249" s="974">
        <f>'Rate Base'!AB247</f>
        <v>-13941409.262022022</v>
      </c>
      <c r="P249" s="974">
        <f>'Rate Base'!AC247</f>
        <v>-14058838.210536022</v>
      </c>
      <c r="Q249" s="974">
        <f>'Rate Base'!AD247</f>
        <v>-14263175.040319962</v>
      </c>
      <c r="R249" s="974">
        <f>'Rate Base'!AE247</f>
        <v>-8486889.9906229991</v>
      </c>
      <c r="S249" s="116"/>
      <c r="T249" s="116">
        <f>((F249/2)+SUM(G249:Q249)+(R249/2))/12</f>
        <v>-13353314.063752552</v>
      </c>
      <c r="U249" s="106">
        <f>+R249</f>
        <v>-8486889.9906229991</v>
      </c>
      <c r="V249" s="998">
        <f t="shared" ref="V249" si="1808">(U249/U252)*V252</f>
        <v>-8502865.6514354777</v>
      </c>
      <c r="W249" s="998">
        <f t="shared" ref="W249" si="1809">(V249/V252)*W252</f>
        <v>-8519329.3480147403</v>
      </c>
      <c r="X249" s="998">
        <f t="shared" ref="X249" si="1810">(W249/W252)*X252</f>
        <v>-8567769.9934164975</v>
      </c>
      <c r="Y249" s="998">
        <f t="shared" ref="Y249" si="1811">(X249/X252)*Y252</f>
        <v>-8574291.4299800526</v>
      </c>
      <c r="Z249" s="998">
        <f t="shared" ref="Z249" si="1812">(Y249/Y252)*Z252</f>
        <v>-8593729.4413770847</v>
      </c>
      <c r="AA249" s="998">
        <f t="shared" ref="AA249" si="1813">(Z249/Z252)*AA252</f>
        <v>-8610148.7374100387</v>
      </c>
      <c r="AB249" s="998">
        <f t="shared" ref="AB249" si="1814">(AA249/AA252)*AB252</f>
        <v>-8628651.8210805468</v>
      </c>
      <c r="AC249" s="998">
        <f t="shared" ref="AC249" si="1815">(AB249/AB252)*AC252</f>
        <v>-8694875.8568922114</v>
      </c>
      <c r="AD249" s="998">
        <f t="shared" ref="AD249" si="1816">(AC249/AC252)*AD252</f>
        <v>-8679949.5360154975</v>
      </c>
      <c r="AE249" s="998">
        <f t="shared" ref="AE249" si="1817">(AD249/AD252)*AE252</f>
        <v>-8699261.4113453235</v>
      </c>
      <c r="AF249" s="998">
        <f t="shared" ref="AF249" si="1818">(AE249/AE252)*AF252</f>
        <v>-8718201.7507472187</v>
      </c>
      <c r="AG249" s="998">
        <f t="shared" ref="AG249" si="1819">(AF249/AF252)*AG252</f>
        <v>-7740463.1778588342</v>
      </c>
      <c r="AH249" s="106"/>
      <c r="AI249" s="133"/>
      <c r="AJ249" s="116">
        <f>((U249/2)+SUM(V249:AF249)+(AG249/2))/12</f>
        <v>-8575229.2968296334</v>
      </c>
      <c r="AK249" s="106">
        <f>AG249</f>
        <v>-7740463.1778588342</v>
      </c>
      <c r="AL249" s="1016">
        <f>(AK249/AK252)*AL252</f>
        <v>-7738434.542748034</v>
      </c>
      <c r="AM249" s="1016">
        <f t="shared" ref="AM249:AW249" si="1820">(AL249/AL252)*AM252</f>
        <v>-7736343.9354594676</v>
      </c>
      <c r="AN249" s="1016">
        <f t="shared" si="1820"/>
        <v>-7730192.8037344469</v>
      </c>
      <c r="AO249" s="1016">
        <f t="shared" si="1820"/>
        <v>-7729364.6930640358</v>
      </c>
      <c r="AP249" s="1016">
        <f t="shared" si="1820"/>
        <v>-7726896.3987714238</v>
      </c>
      <c r="AQ249" s="1016">
        <f t="shared" si="1820"/>
        <v>-7724811.4295912413</v>
      </c>
      <c r="AR249" s="1016">
        <f t="shared" si="1820"/>
        <v>-7722461.8550958484</v>
      </c>
      <c r="AS249" s="1016">
        <f t="shared" si="1820"/>
        <v>-7714052.5375844594</v>
      </c>
      <c r="AT249" s="1016">
        <f t="shared" si="1820"/>
        <v>-7715947.924508418</v>
      </c>
      <c r="AU249" s="1016">
        <f t="shared" si="1820"/>
        <v>-7713495.6473344518</v>
      </c>
      <c r="AV249" s="1016">
        <f t="shared" si="1820"/>
        <v>-7711090.54885545</v>
      </c>
      <c r="AW249" s="1016">
        <f t="shared" si="1820"/>
        <v>-7835246.5898121502</v>
      </c>
      <c r="AX249" s="106"/>
      <c r="AY249" s="133"/>
      <c r="AZ249" s="133"/>
      <c r="BA249" s="116">
        <f>((AK249/2)+SUM(AL249:AV249)+(AW249/2))/12</f>
        <v>-7729245.6000485644</v>
      </c>
    </row>
    <row r="250" spans="1:53">
      <c r="A250" s="250">
        <f t="shared" si="1554"/>
        <v>235</v>
      </c>
      <c r="B250" s="212"/>
      <c r="C250" s="102"/>
      <c r="D250" s="102" t="s">
        <v>593</v>
      </c>
      <c r="E250" s="102"/>
      <c r="F250" s="974">
        <f>'Rate Base'!S248</f>
        <v>-388677872.77076399</v>
      </c>
      <c r="G250" s="974">
        <f>'Rate Base'!T248</f>
        <v>-392115614.63628799</v>
      </c>
      <c r="H250" s="974">
        <f>'Rate Base'!U248</f>
        <v>-395114552.57698798</v>
      </c>
      <c r="I250" s="974">
        <f>'Rate Base'!V248</f>
        <v>-403418242.26349998</v>
      </c>
      <c r="J250" s="974">
        <f>'Rate Base'!W248</f>
        <v>-404769750.00449598</v>
      </c>
      <c r="K250" s="974">
        <f>'Rate Base'!X248</f>
        <v>-408456959.66115499</v>
      </c>
      <c r="L250" s="974">
        <f>'Rate Base'!Y248</f>
        <v>-411525290.40128994</v>
      </c>
      <c r="M250" s="974">
        <f>'Rate Base'!Z248</f>
        <v>-415006002.97991997</v>
      </c>
      <c r="N250" s="974">
        <f>'Rate Base'!AA248</f>
        <v>-427049267.46913999</v>
      </c>
      <c r="O250" s="974">
        <f>'Rate Base'!AB248</f>
        <v>-424467687.027978</v>
      </c>
      <c r="P250" s="974">
        <f>'Rate Base'!AC248</f>
        <v>-428042992.30946398</v>
      </c>
      <c r="Q250" s="974">
        <f>'Rate Base'!AD248</f>
        <v>-431461044.96968001</v>
      </c>
      <c r="R250" s="974">
        <f>'Rate Base'!AE248</f>
        <v>-257559818.17937699</v>
      </c>
      <c r="S250" s="116"/>
      <c r="T250" s="116">
        <f>((F250/2)+SUM(G250:Q250)+(R250/2))/12</f>
        <v>-405378854.14791399</v>
      </c>
      <c r="U250" s="106">
        <f>+R250</f>
        <v>-257559818.17937699</v>
      </c>
      <c r="V250" s="998">
        <f t="shared" ref="V250" si="1821">(U250/U252)*V252</f>
        <v>-258044646.93274873</v>
      </c>
      <c r="W250" s="998">
        <f t="shared" ref="W250" si="1822">(V250/V252)*W252</f>
        <v>-258544286.57721215</v>
      </c>
      <c r="X250" s="998">
        <f t="shared" ref="X250" si="1823">(W250/W252)*X252</f>
        <v>-260014361.46164605</v>
      </c>
      <c r="Y250" s="998">
        <f t="shared" ref="Y250" si="1824">(X250/X252)*Y252</f>
        <v>-260212273.77315634</v>
      </c>
      <c r="Z250" s="998">
        <f t="shared" ref="Z250" si="1825">(Y250/Y252)*Z252</f>
        <v>-260802177.81182298</v>
      </c>
      <c r="AA250" s="998">
        <f t="shared" ref="AA250" si="1826">(Z250/Z252)*AA252</f>
        <v>-261300469.9901773</v>
      </c>
      <c r="AB250" s="998">
        <f t="shared" ref="AB250" si="1827">(AA250/AA252)*AB252</f>
        <v>-261862000.87736911</v>
      </c>
      <c r="AC250" s="998">
        <f t="shared" ref="AC250" si="1828">(AB250/AB252)*AC252</f>
        <v>-263871765.42499521</v>
      </c>
      <c r="AD250" s="998">
        <f t="shared" ref="AD250" si="1829">(AC250/AC252)*AD252</f>
        <v>-263418782.00052038</v>
      </c>
      <c r="AE250" s="998">
        <f t="shared" ref="AE250" si="1830">(AD250/AD252)*AE252</f>
        <v>-264004858.06656441</v>
      </c>
      <c r="AF250" s="998">
        <f t="shared" ref="AF250" si="1831">(AE250/AE252)*AF252</f>
        <v>-264579658.77424389</v>
      </c>
      <c r="AG250" s="998">
        <f t="shared" ref="AG250" si="1832">(AF250/AF252)*AG252</f>
        <v>-234907285.3443616</v>
      </c>
      <c r="AH250" s="106"/>
      <c r="AI250" s="133"/>
      <c r="AJ250" s="116">
        <f>((U250/2)+SUM(V250:AF250)+(AG250/2))/12</f>
        <v>-260240736.12102714</v>
      </c>
      <c r="AK250" s="106">
        <f>AG250</f>
        <v>-234907285.3443616</v>
      </c>
      <c r="AL250" s="1016">
        <f>(AK250/AK252)*AL252</f>
        <v>-234845720.40233135</v>
      </c>
      <c r="AM250" s="1016">
        <f t="shared" ref="AM250:AW250" si="1833">(AL250/AL252)*AM252</f>
        <v>-234782274.73098147</v>
      </c>
      <c r="AN250" s="1016">
        <f t="shared" si="1833"/>
        <v>-234595600.41678107</v>
      </c>
      <c r="AO250" s="1016">
        <f t="shared" si="1833"/>
        <v>-234570468.94530693</v>
      </c>
      <c r="AP250" s="1016">
        <f t="shared" si="1833"/>
        <v>-234495561.24296594</v>
      </c>
      <c r="AQ250" s="1016">
        <f t="shared" si="1833"/>
        <v>-234432286.67671722</v>
      </c>
      <c r="AR250" s="1016">
        <f t="shared" si="1833"/>
        <v>-234360981.87831625</v>
      </c>
      <c r="AS250" s="1016">
        <f t="shared" si="1833"/>
        <v>-234105776.22681859</v>
      </c>
      <c r="AT250" s="1016">
        <f t="shared" si="1833"/>
        <v>-234163297.35788706</v>
      </c>
      <c r="AU250" s="1016">
        <f t="shared" si="1833"/>
        <v>-234088875.74246019</v>
      </c>
      <c r="AV250" s="1016">
        <f t="shared" si="1833"/>
        <v>-234015885.90429339</v>
      </c>
      <c r="AW250" s="1016">
        <f t="shared" si="1833"/>
        <v>-237783768.76480064</v>
      </c>
      <c r="AX250" s="106"/>
      <c r="AY250" s="133"/>
      <c r="AZ250" s="133"/>
      <c r="BA250" s="116">
        <f>((AK250/2)+SUM(AL250:AV250)+(AW250/2))/12</f>
        <v>-234566854.71495339</v>
      </c>
    </row>
    <row r="251" spans="1:53">
      <c r="A251" s="250">
        <f t="shared" si="1554"/>
        <v>236</v>
      </c>
      <c r="B251" s="212"/>
      <c r="C251" s="102"/>
      <c r="D251" s="102" t="s">
        <v>595</v>
      </c>
      <c r="E251" s="102"/>
      <c r="F251" s="974">
        <f>'Rate Base'!S249</f>
        <v>-13636285.140000001</v>
      </c>
      <c r="G251" s="974">
        <f>'Rate Base'!T249</f>
        <v>-13540589.470000001</v>
      </c>
      <c r="H251" s="974">
        <f>'Rate Base'!U249</f>
        <v>-13445085.810000001</v>
      </c>
      <c r="I251" s="974">
        <f>'Rate Base'!V249</f>
        <v>-13349610.35</v>
      </c>
      <c r="J251" s="974">
        <f>'Rate Base'!W249</f>
        <v>-13255293.74</v>
      </c>
      <c r="K251" s="974">
        <f>'Rate Base'!X249</f>
        <v>-13160965.699999999</v>
      </c>
      <c r="L251" s="974">
        <f>'Rate Base'!Y249</f>
        <v>-13066156.550000001</v>
      </c>
      <c r="M251" s="974">
        <f>'Rate Base'!Z249</f>
        <v>-12971648.16</v>
      </c>
      <c r="N251" s="974">
        <f>'Rate Base'!AA249</f>
        <v>-12877996.529999999</v>
      </c>
      <c r="O251" s="974">
        <f>'Rate Base'!AB249</f>
        <v>-12807572.34</v>
      </c>
      <c r="P251" s="974">
        <f>'Rate Base'!AC249</f>
        <v>-12717558.550000001</v>
      </c>
      <c r="Q251" s="974">
        <f>'Rate Base'!AD249</f>
        <v>-12628857.24</v>
      </c>
      <c r="R251" s="974">
        <f>'Rate Base'!AE249</f>
        <v>-12817268.039999999</v>
      </c>
      <c r="S251" s="116"/>
      <c r="T251" s="116">
        <f>((F251/2)+SUM(G251:Q251)+(R251/2))/12</f>
        <v>-13087342.585833333</v>
      </c>
      <c r="U251" s="106">
        <f>+R251</f>
        <v>-12817268.039999999</v>
      </c>
      <c r="V251" s="998">
        <f t="shared" ref="V251" si="1834">(U251/U252)*V252</f>
        <v>-12841395.173375817</v>
      </c>
      <c r="W251" s="998">
        <f t="shared" ref="W251" si="1835">(V251/V252)*W252</f>
        <v>-12866259.359457972</v>
      </c>
      <c r="X251" s="998">
        <f t="shared" ref="X251" si="1836">(W251/W252)*X252</f>
        <v>-12939416.515593013</v>
      </c>
      <c r="Y251" s="998">
        <f t="shared" ref="Y251" si="1837">(X251/X252)*Y252</f>
        <v>-12949265.470926862</v>
      </c>
      <c r="Z251" s="998">
        <f t="shared" ref="Z251" si="1838">(Y251/Y252)*Z252</f>
        <v>-12978621.595787158</v>
      </c>
      <c r="AA251" s="998">
        <f t="shared" ref="AA251" si="1839">(Z251/Z252)*AA252</f>
        <v>-13003418.726245431</v>
      </c>
      <c r="AB251" s="998">
        <f t="shared" ref="AB251" si="1840">(AA251/AA252)*AB252</f>
        <v>-13031362.882848551</v>
      </c>
      <c r="AC251" s="998">
        <f t="shared" ref="AC251" si="1841">(AB251/AB252)*AC252</f>
        <v>-13131377.283721723</v>
      </c>
      <c r="AD251" s="998">
        <f t="shared" ref="AD251" si="1842">(AC251/AC252)*AD252</f>
        <v>-13108834.908866001</v>
      </c>
      <c r="AE251" s="998">
        <f t="shared" ref="AE251" si="1843">(AD251/AD252)*AE252</f>
        <v>-13138000.537586408</v>
      </c>
      <c r="AF251" s="998">
        <f t="shared" ref="AF251" si="1844">(AE251/AE252)*AF252</f>
        <v>-13166605.056691863</v>
      </c>
      <c r="AG251" s="998">
        <f t="shared" ref="AG251" si="1845">(AF251/AF252)*AG252</f>
        <v>-11689982.009191094</v>
      </c>
      <c r="AH251" s="106"/>
      <c r="AI251" s="133"/>
      <c r="AJ251" s="116">
        <f>((U251/2)+SUM(V251:AF251)+(AG251/2))/12</f>
        <v>-12950681.877974695</v>
      </c>
      <c r="AK251" s="106">
        <f>AG251</f>
        <v>-11689982.009191094</v>
      </c>
      <c r="AL251" s="1016">
        <f>(AK251/AK252)*AL252</f>
        <v>-11686918.276775664</v>
      </c>
      <c r="AM251" s="1016">
        <f t="shared" ref="AM251" si="1846">(AL251/AL252)*AM252</f>
        <v>-11683760.951299129</v>
      </c>
      <c r="AN251" s="1016">
        <f t="shared" ref="AN251" si="1847">(AM251/AM252)*AN252</f>
        <v>-11674471.246335821</v>
      </c>
      <c r="AO251" s="1016">
        <f t="shared" ref="AO251" si="1848">(AN251/AN252)*AO252</f>
        <v>-11673220.597813079</v>
      </c>
      <c r="AP251" s="1016">
        <f t="shared" ref="AP251" si="1849">(AO251/AO252)*AP252</f>
        <v>-11669492.873100616</v>
      </c>
      <c r="AQ251" s="1016">
        <f t="shared" ref="AQ251" si="1850">(AP251/AP252)*AQ252</f>
        <v>-11666344.062539024</v>
      </c>
      <c r="AR251" s="1016">
        <f t="shared" ref="AR251" si="1851">(AQ251/AQ252)*AR252</f>
        <v>-11662795.633595008</v>
      </c>
      <c r="AS251" s="1016">
        <f t="shared" ref="AS251" si="1852">(AR251/AR252)*AS252</f>
        <v>-11650095.518865582</v>
      </c>
      <c r="AT251" s="1016">
        <f t="shared" ref="AT251" si="1853">(AS251/AS252)*AT252</f>
        <v>-11652958.014110688</v>
      </c>
      <c r="AU251" s="1016">
        <f t="shared" ref="AU251" si="1854">(AT251/AT252)*AU252</f>
        <v>-11649254.479143012</v>
      </c>
      <c r="AV251" s="1016">
        <f t="shared" ref="AV251" si="1855">(AU251/AU252)*AV252</f>
        <v>-11645622.195479382</v>
      </c>
      <c r="AW251" s="1016">
        <f t="shared" ref="AW251" si="1856">(AV251/AV252)*AW252</f>
        <v>-11833128.014158012</v>
      </c>
      <c r="AX251" s="106"/>
      <c r="AY251" s="133"/>
      <c r="AZ251" s="133"/>
      <c r="BA251" s="116">
        <f>((AK251/2)+SUM(AL251:AV251)+(AW251/2))/12</f>
        <v>-11673040.738394296</v>
      </c>
    </row>
    <row r="252" spans="1:53">
      <c r="A252" s="250">
        <f t="shared" si="1554"/>
        <v>237</v>
      </c>
      <c r="B252" s="212"/>
      <c r="C252" s="102"/>
      <c r="D252" s="102" t="s">
        <v>170</v>
      </c>
      <c r="E252" s="102"/>
      <c r="F252" s="993">
        <f t="shared" ref="F252:R252" si="1857">SUM(F248:F251)</f>
        <v>-415749806.48000002</v>
      </c>
      <c r="G252" s="993">
        <f t="shared" si="1857"/>
        <v>-418680498.19999999</v>
      </c>
      <c r="H252" s="993">
        <f t="shared" si="1857"/>
        <v>-421700718.76000005</v>
      </c>
      <c r="I252" s="993">
        <f t="shared" si="1857"/>
        <v>-430587024.00000006</v>
      </c>
      <c r="J252" s="993">
        <f t="shared" si="1857"/>
        <v>-431783363.88</v>
      </c>
      <c r="K252" s="993">
        <f t="shared" si="1857"/>
        <v>-435349214.44</v>
      </c>
      <c r="L252" s="993">
        <f t="shared" si="1857"/>
        <v>-438361289.83999997</v>
      </c>
      <c r="M252" s="993">
        <f t="shared" si="1857"/>
        <v>-441755630.44</v>
      </c>
      <c r="N252" s="993">
        <f t="shared" si="1857"/>
        <v>-453904250.5</v>
      </c>
      <c r="O252" s="993">
        <f t="shared" si="1857"/>
        <v>-451166057.35000002</v>
      </c>
      <c r="P252" s="993">
        <f t="shared" si="1857"/>
        <v>-454708768.59000003</v>
      </c>
      <c r="Q252" s="993">
        <f t="shared" si="1857"/>
        <v>-458183322.56999999</v>
      </c>
      <c r="R252" s="993">
        <f t="shared" si="1857"/>
        <v>-278819828.71999997</v>
      </c>
      <c r="S252" s="116"/>
      <c r="T252" s="131">
        <f>SUM(T248:T251)</f>
        <v>-431955413.01416653</v>
      </c>
      <c r="U252" s="394">
        <f>+R252</f>
        <v>-278819828.71999997</v>
      </c>
      <c r="V252" s="1269">
        <f t="shared" ref="V252:AA252" si="1858">IF($R252-$F252=0,U252+$AH252/12,U252+((G252-F252)/($R252-$F252))*$AH252)</f>
        <v>-279344677.16464168</v>
      </c>
      <c r="W252" s="1269">
        <f t="shared" si="1858"/>
        <v>-279885559.05016154</v>
      </c>
      <c r="X252" s="1269">
        <f t="shared" si="1858"/>
        <v>-281476979.75538182</v>
      </c>
      <c r="Y252" s="1269">
        <f t="shared" si="1858"/>
        <v>-281691228.53528446</v>
      </c>
      <c r="Z252" s="1269">
        <f t="shared" si="1858"/>
        <v>-282329825.59667748</v>
      </c>
      <c r="AA252" s="1269">
        <f t="shared" si="1858"/>
        <v>-282869248.79088283</v>
      </c>
      <c r="AB252" s="1269">
        <f>IF($R252-$F252=0,AA252+$AH252/12,AA252+((M252-L252)/($R252-$F252))*$AH252)</f>
        <v>-283477130.66816682</v>
      </c>
      <c r="AC252" s="1269">
        <f t="shared" ref="AC252" si="1859">IF($R252-$F252=0,AB252+$AH252/12,AB252+((N252-M252)/($R252-$F252))*$AH252)</f>
        <v>-285652789.16527903</v>
      </c>
      <c r="AD252" s="1269">
        <f t="shared" ref="AD252" si="1860">IF($R252-$F252=0,AC252+$AH252/12,AC252+((O252-N252)/($R252-$F252))*$AH252)</f>
        <v>-285162414.68948597</v>
      </c>
      <c r="AE252" s="1269">
        <f t="shared" ref="AE252" si="1861">IF($R252-$F252=0,AD252+$AH252/12,AD252+((P252-O252)/($R252-$F252))*$AH252)</f>
        <v>-285796867.80218959</v>
      </c>
      <c r="AF252" s="1269">
        <f t="shared" ref="AF252" si="1862">IF($R252-$F252=0,AE252+$AH252/12,AE252+((Q252-P252)/($R252-$F252))*$AH252)</f>
        <v>-286419114.84365827</v>
      </c>
      <c r="AG252" s="1269">
        <f t="shared" ref="AG252" si="1863">IF($R252-$F252=0,AF252+$AH252/12,AF252+((R252-Q252)/($R252-$F252))*$AH252)</f>
        <v>-254297465.83832401</v>
      </c>
      <c r="AH252" s="462">
        <f>('190_255_282 FORECAST'!G32-'190_255_282 FORECAST'!D32)</f>
        <v>24522362.881675929</v>
      </c>
      <c r="AI252" s="133">
        <f>+AG252-U252</f>
        <v>24522362.881675959</v>
      </c>
      <c r="AJ252" s="131">
        <f>SUM(AJ248:AJ251)</f>
        <v>-281722040.27841425</v>
      </c>
      <c r="AK252" s="1039">
        <f>AG252</f>
        <v>-254297465.83832401</v>
      </c>
      <c r="AL252" s="1041">
        <f>IF($R252-$F252=0,AK252+$AX252/12,AK252+((G252-F252)/($R252-$F252))*$AX252)</f>
        <v>-254230819.08141384</v>
      </c>
      <c r="AM252" s="1041">
        <f t="shared" ref="AM252" si="1864">IF($R252-$F252=0,AL252+$AX252/12,AL252+((H252-G252)/($R252-$F252))*$AX252)</f>
        <v>-254162136.35231483</v>
      </c>
      <c r="AN252" s="1041">
        <f t="shared" ref="AN252" si="1865">IF($R252-$F252=0,AM252+$AX252/12,AM252+((I252-H252)/($R252-$F252))*$AX252)</f>
        <v>-253960053.19866264</v>
      </c>
      <c r="AO252" s="1041">
        <f t="shared" ref="AO252" si="1866">IF($R252-$F252=0,AN252+$AX252/12,AN252+((J252-I252)/($R252-$F252))*$AX252)</f>
        <v>-253932847.27569905</v>
      </c>
      <c r="AP252" s="1041">
        <f t="shared" ref="AP252" si="1867">IF($R252-$F252=0,AO252+$AX252/12,AO252+((K252-J252)/($R252-$F252))*$AX252)</f>
        <v>-253851756.39403841</v>
      </c>
      <c r="AQ252" s="1041">
        <f t="shared" ref="AQ252" si="1868">IF($R252-$F252=0,AP252+$AX252/12,AP252+((L252-K252)/($R252-$F252))*$AX252)</f>
        <v>-253783258.89373532</v>
      </c>
      <c r="AR252" s="1041">
        <f t="shared" ref="AR252" si="1869">IF($R252-$F252=0,AQ252+$AX252/12,AQ252+((M252-L252)/($R252-$F252))*$AX252)</f>
        <v>-253706068.31401834</v>
      </c>
      <c r="AS252" s="1041">
        <f t="shared" ref="AS252" si="1870">IF($R252-$F252=0,AR252+$AX252/12,AR252+((N252-M252)/($R252-$F252))*$AX252)</f>
        <v>-253429796.97424981</v>
      </c>
      <c r="AT252" s="1041">
        <f t="shared" ref="AT252" si="1871">IF($R252-$F252=0,AS252+$AX252/12,AS252+((O252-N252)/($R252-$F252))*$AX252)</f>
        <v>-253492066.12797752</v>
      </c>
      <c r="AU252" s="1041">
        <f t="shared" ref="AU252" si="1872">IF($R252-$F252=0,AT252+$AX252/12,AT252+((P252-O252)/($R252-$F252))*$AX252)</f>
        <v>-253411501.45677584</v>
      </c>
      <c r="AV252" s="1041">
        <f t="shared" ref="AV252" si="1873">IF($R252-$F252=0,AU252+$AX252/12,AU252+((Q252-P252)/($R252-$F252))*$AX252)</f>
        <v>-253332486.74741694</v>
      </c>
      <c r="AW252" s="1041">
        <f t="shared" ref="AW252" si="1874">IF($R252-$F252=0,AV252+$AX252/12,AV252+((R252-Q252)/($R252-$F252))*$AX252)</f>
        <v>-257411385.62702399</v>
      </c>
      <c r="AX252" s="394">
        <f>'190_255_282 FORECAST'!H32-'190_255_282 FORECAST'!$G$32</f>
        <v>-3113919.7886999846</v>
      </c>
      <c r="AY252" s="133">
        <f>+AW252-AK252</f>
        <v>-3113919.7886999846</v>
      </c>
      <c r="AZ252" s="133"/>
      <c r="BA252" s="131">
        <f>SUM(BA248:BA251)</f>
        <v>-253928934.71241471</v>
      </c>
    </row>
    <row r="253" spans="1:53">
      <c r="A253" s="250">
        <f t="shared" si="1554"/>
        <v>238</v>
      </c>
      <c r="B253" s="212"/>
      <c r="C253" s="102"/>
      <c r="D253" s="102"/>
      <c r="E253" s="102"/>
      <c r="U253" s="102"/>
      <c r="AH253" s="102"/>
      <c r="AK253" s="102"/>
      <c r="AL253" s="1025"/>
      <c r="AW253" s="1016"/>
      <c r="AX253" s="102"/>
    </row>
    <row r="254" spans="1:53">
      <c r="A254" s="250">
        <f t="shared" si="1554"/>
        <v>239</v>
      </c>
      <c r="B254" s="212">
        <v>282100</v>
      </c>
      <c r="C254" s="102" t="s">
        <v>478</v>
      </c>
      <c r="D254" s="102"/>
      <c r="E254" s="102"/>
      <c r="U254" s="102"/>
      <c r="AH254" s="102"/>
      <c r="AK254" s="102"/>
      <c r="AX254" s="102"/>
    </row>
    <row r="255" spans="1:53">
      <c r="A255" s="250">
        <f>+A254+1</f>
        <v>240</v>
      </c>
      <c r="B255" s="212"/>
      <c r="C255" s="102"/>
      <c r="D255" s="102" t="s">
        <v>443</v>
      </c>
      <c r="E255" s="102"/>
      <c r="F255" s="974">
        <f>'Rate Base'!S253</f>
        <v>-700755.31</v>
      </c>
      <c r="G255" s="974">
        <f>'Rate Base'!T253</f>
        <v>-700755.31</v>
      </c>
      <c r="H255" s="974">
        <f>'Rate Base'!U253</f>
        <v>-700755.31</v>
      </c>
      <c r="I255" s="974">
        <f>'Rate Base'!V253</f>
        <v>-700755.31</v>
      </c>
      <c r="J255" s="974">
        <f>'Rate Base'!W253</f>
        <v>-700755.31</v>
      </c>
      <c r="K255" s="974">
        <f>'Rate Base'!X253</f>
        <v>-700755.31</v>
      </c>
      <c r="L255" s="974">
        <f>'Rate Base'!Y253</f>
        <v>-700755.31</v>
      </c>
      <c r="M255" s="974">
        <f>'Rate Base'!Z253</f>
        <v>-700755.31</v>
      </c>
      <c r="N255" s="974">
        <f>'Rate Base'!AA253</f>
        <v>-700755.31</v>
      </c>
      <c r="O255" s="974">
        <f>'Rate Base'!AB253</f>
        <v>-700755.31</v>
      </c>
      <c r="P255" s="974">
        <f>'Rate Base'!AC253</f>
        <v>-700755.31</v>
      </c>
      <c r="Q255" s="974">
        <f>'Rate Base'!AD253</f>
        <v>-700755.31</v>
      </c>
      <c r="R255" s="974">
        <f>'Rate Base'!AE253</f>
        <v>-700755.31</v>
      </c>
      <c r="S255" s="116"/>
      <c r="T255" s="116">
        <f>((F255/2)+SUM(G255:Q255)+(R255/2))/12</f>
        <v>-700755.31000000017</v>
      </c>
      <c r="U255" s="106">
        <f>+R255</f>
        <v>-700755.31</v>
      </c>
      <c r="V255" s="998">
        <f t="shared" ref="V255" si="1875">(U255/U259)*V259</f>
        <v>-696736.8678906234</v>
      </c>
      <c r="W255" s="998">
        <f t="shared" ref="W255" si="1876">(V255/V259)*W259</f>
        <v>-692594.88649454643</v>
      </c>
      <c r="X255" s="998">
        <f t="shared" ref="X255" si="1877">(W255/W259)*X259</f>
        <v>-680399.84861540783</v>
      </c>
      <c r="Y255" s="998">
        <f t="shared" ref="Y255" si="1878">(X255/X259)*Y259</f>
        <v>-678763.51204949978</v>
      </c>
      <c r="Z255" s="998">
        <f t="shared" ref="Z255" si="1879">(Y255/Y259)*Z259</f>
        <v>-673871.78665442613</v>
      </c>
      <c r="AA255" s="998">
        <f t="shared" ref="AA255" si="1880">(Z255/Z259)*AA259</f>
        <v>-669738.13484767545</v>
      </c>
      <c r="AB255" s="998">
        <f t="shared" ref="AB255" si="1881">(AA255/AA259)*AB259</f>
        <v>-665078.052687085</v>
      </c>
      <c r="AC255" s="998">
        <f t="shared" ref="AC255" si="1882">(AB255/AB259)*AC259</f>
        <v>-648388.60342171392</v>
      </c>
      <c r="AD255" s="998">
        <f t="shared" ref="AD255" si="1883">(AC255/AC259)*AD259</f>
        <v>-652024.77285763575</v>
      </c>
      <c r="AE255" s="998">
        <f t="shared" ref="AE255" si="1884">(AD255/AD259)*AE259</f>
        <v>-647163.64788944286</v>
      </c>
      <c r="AF255" s="998">
        <f t="shared" ref="AF255" si="1885">(AE255/AE259)*AF259</f>
        <v>-640411.38924505794</v>
      </c>
      <c r="AG255" s="998">
        <f t="shared" ref="AG255" si="1886">(AF255/AF259)*AG259</f>
        <v>-641459.32211356482</v>
      </c>
      <c r="AH255" s="106"/>
      <c r="AI255" s="133"/>
      <c r="AJ255" s="116">
        <f>((U255/2)+SUM(V255:AF255)+(AG255/2))/12</f>
        <v>-668023.23489249137</v>
      </c>
      <c r="AK255" s="106">
        <f>AG255</f>
        <v>-641459.32211356482</v>
      </c>
      <c r="AL255" s="1016">
        <f>(AK255/AK259)*AL259</f>
        <v>-641533.27423938748</v>
      </c>
      <c r="AM255" s="1016">
        <f t="shared" ref="AM255:AW255" si="1887">(AL255/AL259)*AM259</f>
        <v>-641609.49988132052</v>
      </c>
      <c r="AN255" s="1016">
        <f t="shared" si="1887"/>
        <v>-641833.92739603994</v>
      </c>
      <c r="AO255" s="1016">
        <f t="shared" si="1887"/>
        <v>-641864.04119743779</v>
      </c>
      <c r="AP255" s="1016">
        <f t="shared" si="1887"/>
        <v>-641954.06451544515</v>
      </c>
      <c r="AQ255" s="1016">
        <f t="shared" si="1887"/>
        <v>-642030.13686642097</v>
      </c>
      <c r="AR255" s="1016">
        <f t="shared" si="1887"/>
        <v>-642115.89721157565</v>
      </c>
      <c r="AS255" s="1016">
        <f t="shared" si="1887"/>
        <v>-642423.03620185866</v>
      </c>
      <c r="AT255" s="1016">
        <f t="shared" si="1887"/>
        <v>-642356.11911003082</v>
      </c>
      <c r="AU255" s="1016">
        <f t="shared" si="1887"/>
        <v>-642445.57928278006</v>
      </c>
      <c r="AV255" s="1016">
        <f t="shared" si="1887"/>
        <v>-642569.84233479516</v>
      </c>
      <c r="AW255" s="1016">
        <f t="shared" si="1887"/>
        <v>-642550.55703436362</v>
      </c>
      <c r="AX255" s="106"/>
      <c r="AY255" s="133"/>
      <c r="AZ255" s="133"/>
      <c r="BA255" s="116">
        <f>((AK255/2)+SUM(AL255:AV255)+(AW255/2))/12</f>
        <v>-642061.69648425467</v>
      </c>
    </row>
    <row r="256" spans="1:53">
      <c r="A256" s="250">
        <f t="shared" si="1554"/>
        <v>241</v>
      </c>
      <c r="B256" s="212"/>
      <c r="C256" s="102"/>
      <c r="D256" s="102" t="s">
        <v>592</v>
      </c>
      <c r="E256" s="102"/>
      <c r="F256" s="974">
        <f>'Rate Base'!S254</f>
        <v>0</v>
      </c>
      <c r="G256" s="974">
        <f>'Rate Base'!T254</f>
        <v>0</v>
      </c>
      <c r="H256" s="974">
        <f>'Rate Base'!U254</f>
        <v>0</v>
      </c>
      <c r="I256" s="974">
        <f>'Rate Base'!V254</f>
        <v>0</v>
      </c>
      <c r="J256" s="974">
        <f>'Rate Base'!W254</f>
        <v>0</v>
      </c>
      <c r="K256" s="974">
        <f>'Rate Base'!X254</f>
        <v>0</v>
      </c>
      <c r="L256" s="974">
        <f>'Rate Base'!Y254</f>
        <v>0</v>
      </c>
      <c r="M256" s="974">
        <f>'Rate Base'!Z254</f>
        <v>0</v>
      </c>
      <c r="N256" s="974">
        <f>'Rate Base'!AA254</f>
        <v>0</v>
      </c>
      <c r="O256" s="974">
        <f>'Rate Base'!AB254</f>
        <v>0</v>
      </c>
      <c r="P256" s="974">
        <f>'Rate Base'!AC254</f>
        <v>0</v>
      </c>
      <c r="Q256" s="974">
        <f>'Rate Base'!AD254</f>
        <v>0</v>
      </c>
      <c r="R256" s="974">
        <f>'Rate Base'!AE254</f>
        <v>0</v>
      </c>
      <c r="S256" s="116"/>
      <c r="T256" s="116">
        <f>((F256/2)+SUM(G256:Q256)+(R256/2))/12</f>
        <v>0</v>
      </c>
      <c r="U256" s="106">
        <f>+R256</f>
        <v>0</v>
      </c>
      <c r="V256" s="998">
        <f t="shared" ref="V256" si="1888">(U256/U259)*V259</f>
        <v>0</v>
      </c>
      <c r="W256" s="998">
        <f t="shared" ref="W256" si="1889">(V256/V259)*W259</f>
        <v>0</v>
      </c>
      <c r="X256" s="998">
        <f t="shared" ref="X256" si="1890">(W256/W259)*X259</f>
        <v>0</v>
      </c>
      <c r="Y256" s="998">
        <f t="shared" ref="Y256" si="1891">(X256/X259)*Y259</f>
        <v>0</v>
      </c>
      <c r="Z256" s="998">
        <f t="shared" ref="Z256" si="1892">(Y256/Y259)*Z259</f>
        <v>0</v>
      </c>
      <c r="AA256" s="998">
        <f t="shared" ref="AA256" si="1893">(Z256/Z259)*AA259</f>
        <v>0</v>
      </c>
      <c r="AB256" s="998">
        <f t="shared" ref="AB256" si="1894">(AA256/AA259)*AB259</f>
        <v>0</v>
      </c>
      <c r="AC256" s="998">
        <f t="shared" ref="AC256" si="1895">(AB256/AB259)*AC259</f>
        <v>0</v>
      </c>
      <c r="AD256" s="998">
        <f t="shared" ref="AD256" si="1896">(AC256/AC259)*AD259</f>
        <v>0</v>
      </c>
      <c r="AE256" s="998">
        <f t="shared" ref="AE256" si="1897">(AD256/AD259)*AE259</f>
        <v>0</v>
      </c>
      <c r="AF256" s="998">
        <f t="shared" ref="AF256" si="1898">(AE256/AE259)*AF259</f>
        <v>0</v>
      </c>
      <c r="AG256" s="998">
        <f t="shared" ref="AG256" si="1899">(AF256/AF259)*AG259</f>
        <v>0</v>
      </c>
      <c r="AH256" s="106"/>
      <c r="AI256" s="133"/>
      <c r="AJ256" s="116">
        <f>((U256/2)+SUM(V256:AF256)+(AG256/2))/12</f>
        <v>0</v>
      </c>
      <c r="AK256" s="106">
        <f>AG256</f>
        <v>0</v>
      </c>
      <c r="AL256" s="1016">
        <f>(AK256/AK259)*AL259</f>
        <v>0</v>
      </c>
      <c r="AM256" s="1016">
        <f t="shared" ref="AM256:AW256" si="1900">(AL256/AL259)*AM259</f>
        <v>0</v>
      </c>
      <c r="AN256" s="1016">
        <f t="shared" si="1900"/>
        <v>0</v>
      </c>
      <c r="AO256" s="1016">
        <f t="shared" si="1900"/>
        <v>0</v>
      </c>
      <c r="AP256" s="1016">
        <f t="shared" si="1900"/>
        <v>0</v>
      </c>
      <c r="AQ256" s="1016">
        <f t="shared" si="1900"/>
        <v>0</v>
      </c>
      <c r="AR256" s="1016">
        <f t="shared" si="1900"/>
        <v>0</v>
      </c>
      <c r="AS256" s="1016">
        <f t="shared" si="1900"/>
        <v>0</v>
      </c>
      <c r="AT256" s="1016">
        <f t="shared" si="1900"/>
        <v>0</v>
      </c>
      <c r="AU256" s="1016">
        <f t="shared" si="1900"/>
        <v>0</v>
      </c>
      <c r="AV256" s="1016">
        <f t="shared" si="1900"/>
        <v>0</v>
      </c>
      <c r="AW256" s="1016">
        <f t="shared" si="1900"/>
        <v>0</v>
      </c>
      <c r="AX256" s="106"/>
      <c r="AY256" s="133"/>
      <c r="AZ256" s="133"/>
      <c r="BA256" s="116">
        <f>((AK256/2)+SUM(AL256:AV256)+(AW256/2))/12</f>
        <v>0</v>
      </c>
    </row>
    <row r="257" spans="1:53">
      <c r="A257" s="250">
        <f t="shared" si="1554"/>
        <v>242</v>
      </c>
      <c r="B257" s="212"/>
      <c r="C257" s="102"/>
      <c r="D257" s="102" t="s">
        <v>593</v>
      </c>
      <c r="E257" s="102"/>
      <c r="F257" s="974">
        <f>'Rate Base'!S255</f>
        <v>-57918912.489999995</v>
      </c>
      <c r="G257" s="974">
        <f>'Rate Base'!T255</f>
        <v>-58335847.619999997</v>
      </c>
      <c r="H257" s="974">
        <f>'Rate Base'!U255</f>
        <v>-58765600.619999997</v>
      </c>
      <c r="I257" s="974">
        <f>'Rate Base'!V255</f>
        <v>-60030901.839999996</v>
      </c>
      <c r="J257" s="974">
        <f>'Rate Base'!W255</f>
        <v>-60200680.619999997</v>
      </c>
      <c r="K257" s="974">
        <f>'Rate Base'!X255</f>
        <v>-60708223.619999997</v>
      </c>
      <c r="L257" s="974">
        <f>'Rate Base'!Y255</f>
        <v>-61137112.379999995</v>
      </c>
      <c r="M257" s="974">
        <f>'Rate Base'!Z255</f>
        <v>-61620621.139999993</v>
      </c>
      <c r="N257" s="974">
        <f>'Rate Base'!AA255</f>
        <v>-63352241.879999995</v>
      </c>
      <c r="O257" s="974">
        <f>'Rate Base'!AB255</f>
        <v>-62974969.609999999</v>
      </c>
      <c r="P257" s="974">
        <f>'Rate Base'!AC255</f>
        <v>-63479337.649999999</v>
      </c>
      <c r="Q257" s="974">
        <f>'Rate Base'!AD255</f>
        <v>-64179921.049999997</v>
      </c>
      <c r="R257" s="974">
        <f>'Rate Base'!AE255</f>
        <v>-64071192.340000004</v>
      </c>
      <c r="S257" s="116"/>
      <c r="T257" s="116">
        <f>((F257/2)+SUM(G257:Q257)+(R257/2))/12</f>
        <v>-61315042.53708332</v>
      </c>
      <c r="U257" s="106">
        <f>+R257</f>
        <v>-64071192.340000004</v>
      </c>
      <c r="V257" s="998">
        <f t="shared" ref="V257" si="1901">(U257/U259)*V259</f>
        <v>-63703779.67309203</v>
      </c>
      <c r="W257" s="998">
        <f t="shared" ref="W257" si="1902">(V257/V259)*W259</f>
        <v>-63325071.609221995</v>
      </c>
      <c r="X257" s="998">
        <f t="shared" ref="X257" si="1903">(W257/W259)*X259</f>
        <v>-62210059.555231459</v>
      </c>
      <c r="Y257" s="998">
        <f t="shared" ref="Y257" si="1904">(X257/X259)*Y259</f>
        <v>-62060446.65419291</v>
      </c>
      <c r="Z257" s="998">
        <f t="shared" ref="Z257" si="1905">(Y257/Y259)*Z259</f>
        <v>-61613188.282847524</v>
      </c>
      <c r="AA257" s="998">
        <f t="shared" ref="AA257" si="1906">(Z257/Z259)*AA259</f>
        <v>-61235241.806813098</v>
      </c>
      <c r="AB257" s="998">
        <f t="shared" ref="AB257" si="1907">(AA257/AA259)*AB259</f>
        <v>-60809162.951368682</v>
      </c>
      <c r="AC257" s="998">
        <f t="shared" ref="AC257" si="1908">(AB257/AB259)*AC259</f>
        <v>-59283219.589012623</v>
      </c>
      <c r="AD257" s="998">
        <f t="shared" ref="AD257" si="1909">(AC257/AC259)*AD259</f>
        <v>-59615680.446583256</v>
      </c>
      <c r="AE257" s="998">
        <f t="shared" ref="AE257" si="1910">(AD257/AD259)*AE259</f>
        <v>-59171219.921801984</v>
      </c>
      <c r="AF257" s="998">
        <f t="shared" ref="AF257" si="1911">(AE257/AE259)*AF259</f>
        <v>-58553849.983736426</v>
      </c>
      <c r="AG257" s="998">
        <f t="shared" ref="AG257" si="1912">(AF257/AF259)*AG259</f>
        <v>-58649664.182243899</v>
      </c>
      <c r="AH257" s="106"/>
      <c r="AI257" s="133"/>
      <c r="AJ257" s="116">
        <f>((U257/2)+SUM(V257:AF257)+(AG257/2))/12</f>
        <v>-61078445.727918647</v>
      </c>
      <c r="AK257" s="106">
        <f>AG257</f>
        <v>-58649664.182243899</v>
      </c>
      <c r="AL257" s="1016">
        <f>(AK257/AK259)*AL259</f>
        <v>-58656425.744817771</v>
      </c>
      <c r="AM257" s="1016">
        <f t="shared" ref="AM257:AW257" si="1913">(AL257/AL259)*AM259</f>
        <v>-58663395.178649865</v>
      </c>
      <c r="AN257" s="1016">
        <f t="shared" si="1913"/>
        <v>-58683914.949612387</v>
      </c>
      <c r="AO257" s="1016">
        <f t="shared" si="1913"/>
        <v>-58686668.303220861</v>
      </c>
      <c r="AP257" s="1016">
        <f t="shared" si="1913"/>
        <v>-58694899.280911401</v>
      </c>
      <c r="AQ257" s="1016">
        <f t="shared" si="1913"/>
        <v>-58701854.699103124</v>
      </c>
      <c r="AR257" s="1016">
        <f t="shared" si="1913"/>
        <v>-58709695.906285055</v>
      </c>
      <c r="AS257" s="1016">
        <f t="shared" si="1913"/>
        <v>-58737778.12134745</v>
      </c>
      <c r="AT257" s="1016">
        <f t="shared" si="1913"/>
        <v>-58731659.783319682</v>
      </c>
      <c r="AU257" s="1016">
        <f t="shared" si="1913"/>
        <v>-58739839.271727681</v>
      </c>
      <c r="AV257" s="1016">
        <f t="shared" si="1913"/>
        <v>-58751200.843724065</v>
      </c>
      <c r="AW257" s="1016">
        <f t="shared" si="1913"/>
        <v>-58749437.557487562</v>
      </c>
      <c r="AX257" s="106"/>
      <c r="AY257" s="133"/>
      <c r="AZ257" s="133"/>
      <c r="BA257" s="116">
        <f>((AK257/2)+SUM(AL257:AV257)+(AW257/2))/12</f>
        <v>-58704740.246048741</v>
      </c>
    </row>
    <row r="258" spans="1:53">
      <c r="A258" s="250">
        <f t="shared" si="1554"/>
        <v>243</v>
      </c>
      <c r="B258" s="212"/>
      <c r="C258" s="102"/>
      <c r="D258" s="102" t="s">
        <v>595</v>
      </c>
      <c r="E258" s="102"/>
      <c r="F258" s="974">
        <f>'Rate Base'!S256</f>
        <v>-1119041.3500000001</v>
      </c>
      <c r="G258" s="974">
        <f>'Rate Base'!T256</f>
        <v>-1119041.3500000001</v>
      </c>
      <c r="H258" s="974">
        <f>'Rate Base'!U256</f>
        <v>-1119041.3500000001</v>
      </c>
      <c r="I258" s="974">
        <f>'Rate Base'!V256</f>
        <v>-1119041.3500000001</v>
      </c>
      <c r="J258" s="974">
        <f>'Rate Base'!W256</f>
        <v>-1119041.3500000001</v>
      </c>
      <c r="K258" s="974">
        <f>'Rate Base'!X256</f>
        <v>-1119041.3500000001</v>
      </c>
      <c r="L258" s="974">
        <f>'Rate Base'!Y256</f>
        <v>-1119041.3500000001</v>
      </c>
      <c r="M258" s="974">
        <f>'Rate Base'!Z256</f>
        <v>-1119041.3500000001</v>
      </c>
      <c r="N258" s="974">
        <f>'Rate Base'!AA256</f>
        <v>-1119041.3500000001</v>
      </c>
      <c r="O258" s="974">
        <f>'Rate Base'!AB256</f>
        <v>-1119041.3500000001</v>
      </c>
      <c r="P258" s="974">
        <f>'Rate Base'!AC256</f>
        <v>-1119041.3500000001</v>
      </c>
      <c r="Q258" s="974">
        <f>'Rate Base'!AD256</f>
        <v>-1119041.3500000001</v>
      </c>
      <c r="R258" s="974">
        <f>'Rate Base'!AE256</f>
        <v>-1119041.3500000001</v>
      </c>
      <c r="S258" s="116"/>
      <c r="T258" s="116">
        <f>((F258/2)+SUM(G258:Q258)+(R258/2))/12</f>
        <v>-1119041.3499999999</v>
      </c>
      <c r="U258" s="106">
        <f>+R258</f>
        <v>-1119041.3500000001</v>
      </c>
      <c r="V258" s="998">
        <f t="shared" ref="V258" si="1914">(U258/U259)*V259</f>
        <v>-1112624.2700024561</v>
      </c>
      <c r="W258" s="998">
        <f t="shared" ref="W258" si="1915">(V258/V259)*W259</f>
        <v>-1106009.9092020495</v>
      </c>
      <c r="X258" s="998">
        <f t="shared" ref="X258" si="1916">(W258/W259)*X259</f>
        <v>-1086535.5627977783</v>
      </c>
      <c r="Y258" s="998">
        <f t="shared" ref="Y258" si="1917">(X258/X259)*Y259</f>
        <v>-1083922.4848037376</v>
      </c>
      <c r="Z258" s="998">
        <f t="shared" ref="Z258" si="1918">(Y258/Y259)*Z259</f>
        <v>-1076110.8522526657</v>
      </c>
      <c r="AA258" s="998">
        <f t="shared" ref="AA258" si="1919">(Z258/Z259)*AA259</f>
        <v>-1069509.7930352106</v>
      </c>
      <c r="AB258" s="998">
        <f t="shared" ref="AB258" si="1920">(AA258/AA259)*AB259</f>
        <v>-1062068.0732827079</v>
      </c>
      <c r="AC258" s="998">
        <f t="shared" ref="AC258" si="1921">(AB258/AB259)*AC259</f>
        <v>-1035416.568013804</v>
      </c>
      <c r="AD258" s="998">
        <f t="shared" ref="AD258" si="1922">(AC258/AC259)*AD259</f>
        <v>-1041223.193944905</v>
      </c>
      <c r="AE258" s="998">
        <f t="shared" ref="AE258" si="1923">(AD258/AD259)*AE259</f>
        <v>-1033460.4274423931</v>
      </c>
      <c r="AF258" s="998">
        <f t="shared" ref="AF258" si="1924">(AE258/AE259)*AF259</f>
        <v>-1022677.6955513402</v>
      </c>
      <c r="AG258" s="998">
        <f t="shared" ref="AG258" si="1925">(AF258/AF259)*AG259</f>
        <v>-1024351.1473185244</v>
      </c>
      <c r="AH258" s="106"/>
      <c r="AI258" s="133"/>
      <c r="AJ258" s="116">
        <f>((U258/2)+SUM(V258:AF258)+(AG258/2))/12</f>
        <v>-1066771.2565823591</v>
      </c>
      <c r="AK258" s="106">
        <f>AG258</f>
        <v>-1024351.1473185244</v>
      </c>
      <c r="AL258" s="1016">
        <f>(AK258/AK259)*AL259</f>
        <v>-1024469.2420165383</v>
      </c>
      <c r="AM258" s="1016">
        <f t="shared" ref="AM258" si="1926">(AL258/AL259)*AM259</f>
        <v>-1024590.9673092847</v>
      </c>
      <c r="AN258" s="1016">
        <f t="shared" ref="AN258" si="1927">(AM258/AM259)*AN259</f>
        <v>-1024949.3572714652</v>
      </c>
      <c r="AO258" s="1016">
        <f t="shared" ref="AO258" si="1928">(AN258/AN259)*AO259</f>
        <v>-1024997.4462241837</v>
      </c>
      <c r="AP258" s="1016">
        <f t="shared" ref="AP258" si="1929">(AO258/AO259)*AP259</f>
        <v>-1025141.2051281504</v>
      </c>
      <c r="AQ258" s="1016">
        <f t="shared" ref="AQ258" si="1930">(AP258/AP259)*AQ259</f>
        <v>-1025262.6856294306</v>
      </c>
      <c r="AR258" s="1016">
        <f t="shared" ref="AR258" si="1931">(AQ258/AQ259)*AR259</f>
        <v>-1025399.6369604428</v>
      </c>
      <c r="AS258" s="1016">
        <f t="shared" ref="AS258" si="1932">(AR258/AR259)*AS259</f>
        <v>-1025890.1094911809</v>
      </c>
      <c r="AT258" s="1016">
        <f t="shared" ref="AT258" si="1933">(AS258/AS259)*AT259</f>
        <v>-1025783.2490911119</v>
      </c>
      <c r="AU258" s="1016">
        <f t="shared" ref="AU258" si="1934">(AT258/AT259)*AU259</f>
        <v>-1025926.1087042408</v>
      </c>
      <c r="AV258" s="1016">
        <f t="shared" ref="AV258" si="1935">(AU258/AU259)*AV259</f>
        <v>-1026124.5452933008</v>
      </c>
      <c r="AW258" s="1016">
        <f t="shared" ref="AW258" si="1936">(AV258/AV259)*AW259</f>
        <v>-1026093.7484540589</v>
      </c>
      <c r="AX258" s="106"/>
      <c r="AY258" s="133"/>
      <c r="AZ258" s="133"/>
      <c r="BA258" s="116">
        <f>((AK258/2)+SUM(AL258:AV258)+(AW258/2))/12</f>
        <v>-1025313.0834171352</v>
      </c>
    </row>
    <row r="259" spans="1:53">
      <c r="A259" s="250">
        <f t="shared" si="1554"/>
        <v>244</v>
      </c>
      <c r="B259" s="212"/>
      <c r="C259" s="102"/>
      <c r="D259" s="102" t="s">
        <v>170</v>
      </c>
      <c r="E259" s="102"/>
      <c r="F259" s="993">
        <f t="shared" ref="F259:R259" si="1937">SUM(F255:F258)</f>
        <v>-59738709.149999999</v>
      </c>
      <c r="G259" s="993">
        <f t="shared" si="1937"/>
        <v>-60155644.280000001</v>
      </c>
      <c r="H259" s="993">
        <f t="shared" si="1937"/>
        <v>-60585397.280000001</v>
      </c>
      <c r="I259" s="993">
        <f t="shared" si="1937"/>
        <v>-61850698.5</v>
      </c>
      <c r="J259" s="993">
        <f t="shared" si="1937"/>
        <v>-62020477.280000001</v>
      </c>
      <c r="K259" s="993">
        <f t="shared" si="1937"/>
        <v>-62528020.280000001</v>
      </c>
      <c r="L259" s="993">
        <f t="shared" si="1937"/>
        <v>-62956909.039999999</v>
      </c>
      <c r="M259" s="993">
        <f t="shared" si="1937"/>
        <v>-63440417.799999997</v>
      </c>
      <c r="N259" s="993">
        <f t="shared" si="1937"/>
        <v>-65172038.539999999</v>
      </c>
      <c r="O259" s="993">
        <f t="shared" si="1937"/>
        <v>-64794766.270000003</v>
      </c>
      <c r="P259" s="993">
        <f t="shared" si="1937"/>
        <v>-65299134.310000002</v>
      </c>
      <c r="Q259" s="993">
        <f t="shared" si="1937"/>
        <v>-65999717.710000001</v>
      </c>
      <c r="R259" s="993">
        <f t="shared" si="1937"/>
        <v>-65890989.000000007</v>
      </c>
      <c r="S259" s="116"/>
      <c r="T259" s="131">
        <f>SUM(T255:T258)</f>
        <v>-63134839.197083324</v>
      </c>
      <c r="U259" s="394">
        <f>+R259</f>
        <v>-65890989.000000007</v>
      </c>
      <c r="V259" s="1269">
        <f t="shared" ref="V259:AA259" si="1938">IF($R259-$F259=0,U259+$AH259/12,U259+((G259-F259)/($R259-$F259))*$AH259)</f>
        <v>-65513140.810985111</v>
      </c>
      <c r="W259" s="1269">
        <f t="shared" si="1938"/>
        <v>-65123676.404918589</v>
      </c>
      <c r="X259" s="1269">
        <f t="shared" si="1938"/>
        <v>-63976994.966644637</v>
      </c>
      <c r="Y259" s="1269">
        <f t="shared" si="1938"/>
        <v>-63823132.651046142</v>
      </c>
      <c r="Z259" s="1269">
        <f t="shared" si="1938"/>
        <v>-63363170.921754614</v>
      </c>
      <c r="AA259" s="1269">
        <f t="shared" si="1938"/>
        <v>-62974489.734695986</v>
      </c>
      <c r="AB259" s="1269">
        <f>IF($R259-$F259=0,AA259+$AH259/12,AA259+((M259-L259)/($R259-$F259))*$AH259)</f>
        <v>-62536309.077338479</v>
      </c>
      <c r="AC259" s="1269">
        <f t="shared" ref="AC259" si="1939">IF($R259-$F259=0,AB259+$AH259/12,AB259+((N259-M259)/($R259-$F259))*$AH259)</f>
        <v>-60967024.760448143</v>
      </c>
      <c r="AD259" s="1269">
        <f t="shared" ref="AD259" si="1940">IF($R259-$F259=0,AC259+$AH259/12,AC259+((O259-N259)/($R259-$F259))*$AH259)</f>
        <v>-61308928.413385801</v>
      </c>
      <c r="AE259" s="1269">
        <f t="shared" ref="AE259" si="1941">IF($R259-$F259=0,AD259+$AH259/12,AD259+((P259-O259)/($R259-$F259))*$AH259)</f>
        <v>-60851843.997133821</v>
      </c>
      <c r="AF259" s="1269">
        <f t="shared" ref="AF259" si="1942">IF($R259-$F259=0,AE259+$AH259/12,AE259+((Q259-P259)/($R259-$F259))*$AH259)</f>
        <v>-60216939.068532825</v>
      </c>
      <c r="AG259" s="1269">
        <f t="shared" ref="AG259" si="1943">IF($R259-$F259=0,AF259+$AH259/12,AF259+((R259-Q259)/($R259-$F259))*$AH259)</f>
        <v>-60315474.651675992</v>
      </c>
      <c r="AH259" s="462">
        <f>('190_255_282 FORECAST'!G39-'190_255_282 FORECAST'!D39)</f>
        <v>5575514.3483240083</v>
      </c>
      <c r="AI259" s="133">
        <f>+AG259-U259</f>
        <v>5575514.3483240157</v>
      </c>
      <c r="AJ259" s="131">
        <f>SUM(AJ255:AJ258)</f>
        <v>-62813240.219393499</v>
      </c>
      <c r="AK259" s="1039">
        <f>AG259</f>
        <v>-60315474.651675992</v>
      </c>
      <c r="AL259" s="1041">
        <f>IF($R259-$F259=0,AK259+$AX259/12,AK259+((G259-F259)/($R259-$F259))*$AX259)</f>
        <v>-60322428.261073701</v>
      </c>
      <c r="AM259" s="1041">
        <f t="shared" ref="AM259" si="1944">IF($R259-$F259=0,AL259+$AX259/12,AL259+((H259-G259)/($R259-$F259))*$AX259)</f>
        <v>-60329595.645840473</v>
      </c>
      <c r="AN259" s="1041">
        <f t="shared" ref="AN259" si="1945">IF($R259-$F259=0,AM259+$AX259/12,AM259+((I259-H259)/($R259-$F259))*$AX259)</f>
        <v>-60350698.234279893</v>
      </c>
      <c r="AO259" s="1041">
        <f t="shared" ref="AO259" si="1946">IF($R259-$F259=0,AN259+$AX259/12,AN259+((J259-I259)/($R259-$F259))*$AX259)</f>
        <v>-60353529.790642485</v>
      </c>
      <c r="AP259" s="1041">
        <f t="shared" ref="AP259" si="1947">IF($R259-$F259=0,AO259+$AX259/12,AO259+((K259-J259)/($R259-$F259))*$AX259)</f>
        <v>-60361994.550554998</v>
      </c>
      <c r="AQ259" s="1041">
        <f t="shared" ref="AQ259" si="1948">IF($R259-$F259=0,AP259+$AX259/12,AP259+((L259-K259)/($R259-$F259))*$AX259)</f>
        <v>-60369147.52159898</v>
      </c>
      <c r="AR259" s="1041">
        <f t="shared" ref="AR259" si="1949">IF($R259-$F259=0,AQ259+$AX259/12,AQ259+((M259-L259)/($R259-$F259))*$AX259)</f>
        <v>-60377211.440457076</v>
      </c>
      <c r="AS259" s="1041">
        <f t="shared" ref="AS259" si="1950">IF($R259-$F259=0,AR259+$AX259/12,AR259+((N259-M259)/($R259-$F259))*$AX259)</f>
        <v>-60406091.267040491</v>
      </c>
      <c r="AT259" s="1041">
        <f t="shared" ref="AT259" si="1951">IF($R259-$F259=0,AS259+$AX259/12,AS259+((O259-N259)/($R259-$F259))*$AX259)</f>
        <v>-60399799.151520826</v>
      </c>
      <c r="AU259" s="1041">
        <f t="shared" ref="AU259" si="1952">IF($R259-$F259=0,AT259+$AX259/12,AT259+((P259-O259)/($R259-$F259))*$AX259)</f>
        <v>-60408210.959714703</v>
      </c>
      <c r="AV259" s="1041">
        <f t="shared" ref="AV259" si="1953">IF($R259-$F259=0,AU259+$AX259/12,AU259+((Q259-P259)/($R259-$F259))*$AX259)</f>
        <v>-60419895.231352165</v>
      </c>
      <c r="AW259" s="1041">
        <f t="shared" ref="AW259" si="1954">IF($R259-$F259=0,AV259+$AX259/12,AV259+((R259-Q259)/($R259-$F259))*$AX259)</f>
        <v>-60418081.862975992</v>
      </c>
      <c r="AX259" s="394">
        <f>'190_255_282 FORECAST'!$H$39-'190_255_282 FORECAST'!$G$39</f>
        <v>-102607.21130000055</v>
      </c>
      <c r="AY259" s="133">
        <f>+AW259-AK259</f>
        <v>-102607.21130000055</v>
      </c>
      <c r="AZ259" s="133"/>
      <c r="BA259" s="131">
        <f>SUM(BA255:BA258)</f>
        <v>-60372115.025950126</v>
      </c>
    </row>
    <row r="260" spans="1:53">
      <c r="A260" s="250">
        <f t="shared" si="1554"/>
        <v>245</v>
      </c>
      <c r="B260" s="212"/>
      <c r="C260" s="102"/>
      <c r="D260" s="102"/>
      <c r="E260" s="102"/>
      <c r="U260" s="102"/>
      <c r="AH260" s="102"/>
      <c r="AK260" s="102"/>
      <c r="AL260" s="1025"/>
      <c r="AW260" s="1016"/>
      <c r="AX260" s="102"/>
    </row>
    <row r="261" spans="1:53">
      <c r="A261" s="250">
        <f t="shared" si="1554"/>
        <v>246</v>
      </c>
      <c r="B261" s="388" t="s">
        <v>172</v>
      </c>
      <c r="C261" s="102" t="s">
        <v>479</v>
      </c>
      <c r="D261" s="209" t="s">
        <v>171</v>
      </c>
      <c r="E261" s="102"/>
      <c r="U261" s="102"/>
      <c r="AH261" s="102"/>
      <c r="AK261" s="102"/>
      <c r="AX261" s="102"/>
    </row>
    <row r="262" spans="1:53">
      <c r="A262" s="250">
        <f t="shared" si="1554"/>
        <v>247</v>
      </c>
      <c r="B262" s="208"/>
      <c r="C262" s="102" t="s">
        <v>595</v>
      </c>
      <c r="D262" s="102"/>
      <c r="E262" s="102"/>
      <c r="F262" s="974">
        <v>0</v>
      </c>
      <c r="G262" s="974">
        <f t="shared" ref="G262:R262" si="1955">+F262</f>
        <v>0</v>
      </c>
      <c r="H262" s="974">
        <f t="shared" si="1955"/>
        <v>0</v>
      </c>
      <c r="I262" s="974">
        <f t="shared" si="1955"/>
        <v>0</v>
      </c>
      <c r="J262" s="974">
        <f t="shared" si="1955"/>
        <v>0</v>
      </c>
      <c r="K262" s="974">
        <f t="shared" si="1955"/>
        <v>0</v>
      </c>
      <c r="L262" s="974">
        <f t="shared" si="1955"/>
        <v>0</v>
      </c>
      <c r="M262" s="974">
        <f t="shared" si="1955"/>
        <v>0</v>
      </c>
      <c r="N262" s="974">
        <f t="shared" si="1955"/>
        <v>0</v>
      </c>
      <c r="O262" s="974">
        <f t="shared" si="1955"/>
        <v>0</v>
      </c>
      <c r="P262" s="974">
        <f t="shared" si="1955"/>
        <v>0</v>
      </c>
      <c r="Q262" s="974">
        <f t="shared" si="1955"/>
        <v>0</v>
      </c>
      <c r="R262" s="974">
        <f t="shared" si="1955"/>
        <v>0</v>
      </c>
      <c r="S262" s="116"/>
      <c r="T262" s="116">
        <f>((F262/2)+SUM(G262:Q262)+(R262/2))/12</f>
        <v>0</v>
      </c>
      <c r="U262" s="106"/>
      <c r="V262" s="998"/>
      <c r="W262" s="998"/>
      <c r="X262" s="998"/>
      <c r="Y262" s="998"/>
      <c r="Z262" s="998"/>
      <c r="AA262" s="998"/>
      <c r="AB262" s="998"/>
      <c r="AC262" s="998"/>
      <c r="AD262" s="998"/>
      <c r="AE262" s="998"/>
      <c r="AF262" s="998"/>
      <c r="AG262" s="998"/>
      <c r="AH262" s="106">
        <f>+AH259+AH252+AH224+AH217</f>
        <v>-2217830.2800000645</v>
      </c>
      <c r="AI262" s="133"/>
      <c r="AJ262" s="116">
        <f>((U262/2)+SUM(V262:AF262)+(AG262/2))/12</f>
        <v>0</v>
      </c>
      <c r="AK262" s="106">
        <f>AG262</f>
        <v>0</v>
      </c>
      <c r="AL262" s="1016"/>
      <c r="AM262" s="1016"/>
      <c r="AN262" s="1016"/>
      <c r="AO262" s="1016"/>
      <c r="AP262" s="1016"/>
      <c r="AQ262" s="1016"/>
      <c r="AR262" s="1016"/>
      <c r="AS262" s="1016"/>
      <c r="AT262" s="1016"/>
      <c r="AU262" s="1016"/>
      <c r="AV262" s="1016"/>
      <c r="AW262" s="1016"/>
      <c r="AX262" s="106">
        <f>+AX259+AX252+AX224+AX217</f>
        <v>-3216526.9999999851</v>
      </c>
      <c r="AY262" s="133"/>
      <c r="AZ262" s="133"/>
      <c r="BA262" s="116">
        <f>((AK262/2)+SUM(AL262:AV262)+(AW262/2))/12</f>
        <v>0</v>
      </c>
    </row>
    <row r="263" spans="1:53">
      <c r="A263" s="250">
        <f t="shared" si="1554"/>
        <v>248</v>
      </c>
      <c r="B263" s="208"/>
      <c r="C263" s="102" t="s">
        <v>170</v>
      </c>
      <c r="D263" s="102"/>
      <c r="E263" s="102"/>
      <c r="F263" s="993">
        <f t="shared" ref="F263:P263" si="1956">SUM(F262)</f>
        <v>0</v>
      </c>
      <c r="G263" s="993">
        <f t="shared" si="1956"/>
        <v>0</v>
      </c>
      <c r="H263" s="993">
        <f t="shared" si="1956"/>
        <v>0</v>
      </c>
      <c r="I263" s="993">
        <f t="shared" si="1956"/>
        <v>0</v>
      </c>
      <c r="J263" s="993">
        <f t="shared" si="1956"/>
        <v>0</v>
      </c>
      <c r="K263" s="993">
        <f t="shared" si="1956"/>
        <v>0</v>
      </c>
      <c r="L263" s="993">
        <f t="shared" si="1956"/>
        <v>0</v>
      </c>
      <c r="M263" s="993">
        <f t="shared" si="1956"/>
        <v>0</v>
      </c>
      <c r="N263" s="993">
        <f t="shared" si="1956"/>
        <v>0</v>
      </c>
      <c r="O263" s="993">
        <f t="shared" si="1956"/>
        <v>0</v>
      </c>
      <c r="P263" s="993">
        <f t="shared" si="1956"/>
        <v>0</v>
      </c>
      <c r="Q263" s="993">
        <f>SUM(Q261:Q262)</f>
        <v>0</v>
      </c>
      <c r="R263" s="993">
        <f>SUM(R261:R262)</f>
        <v>0</v>
      </c>
      <c r="S263" s="116"/>
      <c r="T263" s="131">
        <f>+T262</f>
        <v>0</v>
      </c>
      <c r="U263" s="394"/>
      <c r="V263" s="1038">
        <f t="shared" ref="V263" si="1957">IF($R263-$F263=0,U263+$AH263/12,U263+((G263-F263)/($R263-$F263))*$AH263)</f>
        <v>0</v>
      </c>
      <c r="W263" s="1038">
        <f t="shared" ref="W263" si="1958">IF($R263-$F263=0,V263+$AH263/12,V263+((H263-G263)/($R263-$F263))*$AH263)</f>
        <v>0</v>
      </c>
      <c r="X263" s="1038">
        <f t="shared" ref="X263" si="1959">IF($R263-$F263=0,W263+$AH263/12,W263+((I263-H263)/($R263-$F263))*$AH263)</f>
        <v>0</v>
      </c>
      <c r="Y263" s="1038">
        <f t="shared" ref="Y263" si="1960">IF($R263-$F263=0,X263+$AH263/12,X263+((J263-I263)/($R263-$F263))*$AH263)</f>
        <v>0</v>
      </c>
      <c r="Z263" s="1038">
        <f t="shared" ref="Z263" si="1961">IF($R263-$F263=0,Y263+$AH263/12,Y263+((K263-J263)/($R263-$F263))*$AH263)</f>
        <v>0</v>
      </c>
      <c r="AA263" s="1038">
        <f t="shared" ref="AA263" si="1962">IF($R263-$F263=0,Z263+$AH263/12,Z263+((L263-K263)/($R263-$F263))*$AH263)</f>
        <v>0</v>
      </c>
      <c r="AB263" s="1038">
        <f t="shared" ref="AB263" si="1963">IF($R263-$F263=0,AA263+$AH263/12,AA263+((M263-L263)/($R263-$F263))*$AH263)</f>
        <v>0</v>
      </c>
      <c r="AC263" s="1038">
        <f t="shared" ref="AC263" si="1964">IF($R263-$F263=0,AB263+$AH263/12,AB263+((N263-M263)/($R263-$F263))*$AH263)</f>
        <v>0</v>
      </c>
      <c r="AD263" s="1038">
        <f t="shared" ref="AD263" si="1965">IF($R263-$F263=0,AC263+$AH263/12,AC263+((O263-N263)/($R263-$F263))*$AH263)</f>
        <v>0</v>
      </c>
      <c r="AE263" s="1038">
        <f t="shared" ref="AE263" si="1966">IF($R263-$F263=0,AD263+$AH263/12,AD263+((P263-O263)/($R263-$F263))*$AH263)</f>
        <v>0</v>
      </c>
      <c r="AF263" s="1038">
        <f t="shared" ref="AF263" si="1967">IF($R263-$F263=0,AE263+$AH263/12,AE263+((Q263-P263)/($R263-$F263))*$AH263)</f>
        <v>0</v>
      </c>
      <c r="AG263" s="1038">
        <f t="shared" ref="AG263" si="1968">IF($R263-$F263=0,AF263+$AH263/12,AF263+((R263-Q263)/($R263-$F263))*$AH263)</f>
        <v>0</v>
      </c>
      <c r="AH263" s="394"/>
      <c r="AI263" s="241"/>
      <c r="AJ263" s="131">
        <f>+AJ262</f>
        <v>0</v>
      </c>
      <c r="AK263" s="1039">
        <f>AG263</f>
        <v>0</v>
      </c>
      <c r="AL263" s="1041">
        <f>IF($R263-$F263=0,AK263+$AX263/12,AK263+((G263-F263)/($R263-$F263))*$AX263)</f>
        <v>0</v>
      </c>
      <c r="AM263" s="1041">
        <f t="shared" ref="AM263" si="1969">IF($R263-$F263=0,AL263+$AX263/12,AL263+((H263-G263)/($R263-$F263))*$AX263)</f>
        <v>0</v>
      </c>
      <c r="AN263" s="1041">
        <f t="shared" ref="AN263" si="1970">IF($R263-$F263=0,AM263+$AX263/12,AM263+((I263-H263)/($R263-$F263))*$AX263)</f>
        <v>0</v>
      </c>
      <c r="AO263" s="1041">
        <f t="shared" ref="AO263" si="1971">IF($R263-$F263=0,AN263+$AX263/12,AN263+((J263-I263)/($R263-$F263))*$AX263)</f>
        <v>0</v>
      </c>
      <c r="AP263" s="1041">
        <f t="shared" ref="AP263" si="1972">IF($R263-$F263=0,AO263+$AX263/12,AO263+((K263-J263)/($R263-$F263))*$AX263)</f>
        <v>0</v>
      </c>
      <c r="AQ263" s="1041">
        <f t="shared" ref="AQ263" si="1973">IF($R263-$F263=0,AP263+$AX263/12,AP263+((L263-K263)/($R263-$F263))*$AX263)</f>
        <v>0</v>
      </c>
      <c r="AR263" s="1041">
        <f t="shared" ref="AR263" si="1974">IF($R263-$F263=0,AQ263+$AX263/12,AQ263+((M263-L263)/($R263-$F263))*$AX263)</f>
        <v>0</v>
      </c>
      <c r="AS263" s="1041">
        <f t="shared" ref="AS263" si="1975">IF($R263-$F263=0,AR263+$AX263/12,AR263+((N263-M263)/($R263-$F263))*$AX263)</f>
        <v>0</v>
      </c>
      <c r="AT263" s="1041">
        <f t="shared" ref="AT263" si="1976">IF($R263-$F263=0,AS263+$AX263/12,AS263+((O263-N263)/($R263-$F263))*$AX263)</f>
        <v>0</v>
      </c>
      <c r="AU263" s="1041">
        <f t="shared" ref="AU263" si="1977">IF($R263-$F263=0,AT263+$AX263/12,AT263+((P263-O263)/($R263-$F263))*$AX263)</f>
        <v>0</v>
      </c>
      <c r="AV263" s="1041">
        <f t="shared" ref="AV263" si="1978">IF($R263-$F263=0,AU263+$AX263/12,AU263+((Q263-P263)/($R263-$F263))*$AX263)</f>
        <v>0</v>
      </c>
      <c r="AW263" s="1041">
        <f t="shared" ref="AW263" si="1979">IF($R263-$F263=0,AV263+$AX263/12,AV263+((R263-Q263)/($R263-$F263))*$AX263)</f>
        <v>0</v>
      </c>
      <c r="AX263" s="394"/>
      <c r="AY263" s="241"/>
      <c r="AZ263" s="241"/>
      <c r="BA263" s="131">
        <f>+BA262</f>
        <v>0</v>
      </c>
    </row>
    <row r="264" spans="1:53" ht="13.5" thickBot="1">
      <c r="A264" s="250">
        <f t="shared" si="1554"/>
        <v>249</v>
      </c>
      <c r="B264" s="49"/>
      <c r="C264" s="102"/>
      <c r="D264" s="102"/>
      <c r="E264" s="102"/>
      <c r="F264" s="994"/>
      <c r="G264" s="994"/>
      <c r="H264" s="994"/>
      <c r="I264" s="994"/>
      <c r="J264" s="994"/>
      <c r="K264" s="994"/>
      <c r="L264" s="994"/>
      <c r="M264" s="994"/>
      <c r="N264" s="994"/>
      <c r="O264" s="994"/>
      <c r="P264" s="994"/>
      <c r="Q264" s="994"/>
      <c r="R264" s="994"/>
      <c r="S264" s="116"/>
      <c r="T264" s="235"/>
      <c r="U264" s="210"/>
      <c r="V264" s="1010"/>
      <c r="W264" s="1010"/>
      <c r="X264" s="1010"/>
      <c r="Y264" s="1010"/>
      <c r="Z264" s="1010"/>
      <c r="AA264" s="1010"/>
      <c r="AB264" s="1010"/>
      <c r="AC264" s="1010"/>
      <c r="AD264" s="1010"/>
      <c r="AE264" s="1010"/>
      <c r="AF264" s="1010"/>
      <c r="AG264" s="1010"/>
      <c r="AH264" s="210"/>
      <c r="AI264" s="242"/>
      <c r="AJ264" s="235"/>
      <c r="AK264" s="210"/>
      <c r="AL264" s="1034"/>
      <c r="AM264" s="1034"/>
      <c r="AN264" s="1034"/>
      <c r="AO264" s="1034"/>
      <c r="AP264" s="1034"/>
      <c r="AQ264" s="1034"/>
      <c r="AR264" s="1034"/>
      <c r="AS264" s="1034"/>
      <c r="AT264" s="1034"/>
      <c r="AU264" s="1034"/>
      <c r="AV264" s="1034"/>
      <c r="AW264" s="1034"/>
      <c r="AX264" s="210"/>
      <c r="AY264" s="242"/>
      <c r="AZ264" s="242"/>
      <c r="BA264" s="235"/>
    </row>
    <row r="265" spans="1:53" ht="13.5" thickTop="1">
      <c r="A265" s="250">
        <f t="shared" si="1554"/>
        <v>250</v>
      </c>
      <c r="B265" s="208" t="s">
        <v>664</v>
      </c>
      <c r="C265" s="102"/>
      <c r="D265" s="102"/>
      <c r="E265" s="102"/>
      <c r="F265" s="974"/>
      <c r="G265" s="974"/>
      <c r="H265" s="974"/>
      <c r="I265" s="974"/>
      <c r="J265" s="974"/>
      <c r="K265" s="974"/>
      <c r="L265" s="974"/>
      <c r="M265" s="974"/>
      <c r="N265" s="974"/>
      <c r="O265" s="974"/>
      <c r="P265" s="974"/>
      <c r="Q265" s="974"/>
      <c r="R265" s="974"/>
      <c r="S265" s="116"/>
      <c r="T265" s="116"/>
      <c r="U265" s="106"/>
      <c r="V265" s="998"/>
      <c r="W265" s="998"/>
      <c r="X265" s="998"/>
      <c r="Y265" s="998"/>
      <c r="Z265" s="998"/>
      <c r="AA265" s="998"/>
      <c r="AB265" s="998"/>
      <c r="AC265" s="998"/>
      <c r="AD265" s="998"/>
      <c r="AE265" s="998"/>
      <c r="AF265" s="998"/>
      <c r="AG265" s="998"/>
      <c r="AH265" s="106"/>
      <c r="AI265" s="133"/>
      <c r="AJ265" s="116"/>
      <c r="AK265" s="106"/>
      <c r="AL265" s="1016"/>
      <c r="AM265" s="1016"/>
      <c r="AN265" s="1016"/>
      <c r="AO265" s="1016"/>
      <c r="AP265" s="1016"/>
      <c r="AQ265" s="1016"/>
      <c r="AR265" s="1016"/>
      <c r="AS265" s="1016"/>
      <c r="AT265" s="1016"/>
      <c r="AU265" s="1016"/>
      <c r="AV265" s="1016"/>
      <c r="AW265" s="1016"/>
      <c r="AX265" s="106"/>
      <c r="AY265" s="133"/>
      <c r="AZ265" s="133"/>
      <c r="BA265" s="116"/>
    </row>
    <row r="266" spans="1:53">
      <c r="A266" s="250">
        <f t="shared" si="1554"/>
        <v>251</v>
      </c>
      <c r="B266" s="208"/>
      <c r="C266" s="102" t="s">
        <v>443</v>
      </c>
      <c r="D266" s="102"/>
      <c r="E266" s="102"/>
      <c r="F266" s="992">
        <f t="shared" ref="F266" si="1980">F205+F213+F220+F241+F248+F255</f>
        <v>48130236.519999996</v>
      </c>
      <c r="G266" s="992">
        <f t="shared" ref="G266:R266" si="1981">G205+G213+G220+G241+G248+G255</f>
        <v>31938503.230000004</v>
      </c>
      <c r="H266" s="992">
        <f t="shared" si="1981"/>
        <v>20668735.370000001</v>
      </c>
      <c r="I266" s="992">
        <f t="shared" si="1981"/>
        <v>7925151.6400000006</v>
      </c>
      <c r="J266" s="992">
        <f t="shared" si="1981"/>
        <v>4315816.66</v>
      </c>
      <c r="K266" s="992">
        <f t="shared" si="1981"/>
        <v>9008346.9500000011</v>
      </c>
      <c r="L266" s="992">
        <f t="shared" si="1981"/>
        <v>20946133.84</v>
      </c>
      <c r="M266" s="992">
        <f t="shared" si="1981"/>
        <v>33687414.439999998</v>
      </c>
      <c r="N266" s="992">
        <f t="shared" si="1981"/>
        <v>47320515.139999993</v>
      </c>
      <c r="O266" s="992">
        <f t="shared" si="1981"/>
        <v>58209283.420000002</v>
      </c>
      <c r="P266" s="992">
        <f t="shared" si="1981"/>
        <v>58440481.179999992</v>
      </c>
      <c r="Q266" s="992">
        <f t="shared" si="1981"/>
        <v>58757673.229999997</v>
      </c>
      <c r="R266" s="992">
        <f t="shared" si="1981"/>
        <v>52233148.140000001</v>
      </c>
      <c r="S266" s="106"/>
      <c r="T266" s="106">
        <f>T205+T213+T220+T241+T248+T255</f>
        <v>52053191.43333333</v>
      </c>
      <c r="U266" s="106">
        <f>H205+H213+H220+H241+H248+H255</f>
        <v>20668735.370000001</v>
      </c>
      <c r="V266" s="1008">
        <f t="shared" ref="V266:AA266" si="1982">V205+V213+V220+V241+V248+V255</f>
        <v>52237358.917572737</v>
      </c>
      <c r="W266" s="1008">
        <f t="shared" si="1982"/>
        <v>52241695.773118816</v>
      </c>
      <c r="X266" s="1008">
        <f t="shared" si="1982"/>
        <v>52254252.024293378</v>
      </c>
      <c r="Y266" s="1008">
        <f t="shared" si="1982"/>
        <v>52256031.516909361</v>
      </c>
      <c r="Z266" s="1008">
        <f t="shared" si="1982"/>
        <v>52261133.588380389</v>
      </c>
      <c r="AA266" s="1008">
        <f t="shared" si="1982"/>
        <v>52265461.883372359</v>
      </c>
      <c r="AB266" s="1008">
        <f t="shared" ref="AB266:AG266" si="1983">AB205+AB213+AB220+AB241+AB248+AB255</f>
        <v>52270327.448259383</v>
      </c>
      <c r="AC266" s="1008">
        <f t="shared" si="1983"/>
        <v>52287470.617268503</v>
      </c>
      <c r="AD266" s="1008">
        <f t="shared" si="1983"/>
        <v>52283866.035963394</v>
      </c>
      <c r="AE266" s="1008">
        <f t="shared" si="1983"/>
        <v>52288936.850867234</v>
      </c>
      <c r="AF266" s="1008">
        <f t="shared" si="1983"/>
        <v>52295896.86677479</v>
      </c>
      <c r="AG266" s="1008">
        <f t="shared" si="1983"/>
        <v>52289872.120973945</v>
      </c>
      <c r="AH266" s="106"/>
      <c r="AI266" s="243">
        <f>AI205+AI213+AI220+AI241+AI248+AI255</f>
        <v>1310.79</v>
      </c>
      <c r="AJ266" s="106">
        <f>AJ205+AJ213+AJ220+AJ241+AJ248+AJ255</f>
        <v>52266995.137772277</v>
      </c>
      <c r="AK266" s="106">
        <f>AG266</f>
        <v>52289872.120973945</v>
      </c>
      <c r="AL266" s="1031">
        <f t="shared" ref="AL266:AW266" si="1984">AL205+AL213+AL220+AL241+AL248+AL255</f>
        <v>52289787.616201818</v>
      </c>
      <c r="AM266" s="1031">
        <f t="shared" si="1984"/>
        <v>52289700.5155439</v>
      </c>
      <c r="AN266" s="1031">
        <f t="shared" si="1984"/>
        <v>52289444.090792663</v>
      </c>
      <c r="AO266" s="1031">
        <f t="shared" si="1984"/>
        <v>52289409.669287547</v>
      </c>
      <c r="AP266" s="1031">
        <f t="shared" si="1984"/>
        <v>52289306.80628413</v>
      </c>
      <c r="AQ266" s="1031">
        <f t="shared" si="1984"/>
        <v>52289219.888245732</v>
      </c>
      <c r="AR266" s="1031">
        <f t="shared" si="1984"/>
        <v>52289121.905777201</v>
      </c>
      <c r="AS266" s="1031">
        <f t="shared" si="1984"/>
        <v>52288771.022816963</v>
      </c>
      <c r="AT266" s="1031">
        <f t="shared" si="1984"/>
        <v>52288847.799418621</v>
      </c>
      <c r="AU266" s="1031">
        <f t="shared" si="1984"/>
        <v>52288745.582879029</v>
      </c>
      <c r="AV266" s="1031">
        <f t="shared" si="1984"/>
        <v>52288608.80887647</v>
      </c>
      <c r="AW266" s="1031">
        <f t="shared" si="1984"/>
        <v>52289273.934712425</v>
      </c>
      <c r="AX266" s="106"/>
      <c r="AY266" s="243">
        <f>AY205+AY213+AY220+AY241+AY248+AY255</f>
        <v>0</v>
      </c>
      <c r="AZ266" s="243"/>
      <c r="BA266" s="106">
        <f>BA205+BA213+BA220+BA241+BA248+BA255</f>
        <v>52289211.394497275</v>
      </c>
    </row>
    <row r="267" spans="1:53">
      <c r="A267" s="250">
        <f t="shared" si="1554"/>
        <v>252</v>
      </c>
      <c r="B267" s="208"/>
      <c r="C267" s="102" t="s">
        <v>592</v>
      </c>
      <c r="D267" s="102"/>
      <c r="E267" s="102"/>
      <c r="F267" s="992">
        <f t="shared" ref="F267:F268" ca="1" si="1985">F200+F214+F221+F227+F232+F242+F249+F256</f>
        <v>-12821737.55556556</v>
      </c>
      <c r="G267" s="992">
        <f t="shared" ref="G267:R267" si="1986">G200+G214+G221+G227+G232+G242+G249+G256</f>
        <v>-12441421.267835226</v>
      </c>
      <c r="H267" s="992">
        <f t="shared" si="1986"/>
        <v>-12567989.153335219</v>
      </c>
      <c r="I267" s="992">
        <f t="shared" si="1986"/>
        <v>-13469687.548793526</v>
      </c>
      <c r="J267" s="992">
        <f t="shared" si="1986"/>
        <v>-13511566.633602096</v>
      </c>
      <c r="K267" s="992">
        <f t="shared" si="1986"/>
        <v>-13480835.675621474</v>
      </c>
      <c r="L267" s="992">
        <f t="shared" si="1986"/>
        <v>-13550087.682247598</v>
      </c>
      <c r="M267" s="992">
        <f t="shared" si="1986"/>
        <v>-13729994.522376619</v>
      </c>
      <c r="N267" s="992">
        <f t="shared" si="1986"/>
        <v>-13960950.104232231</v>
      </c>
      <c r="O267" s="992">
        <f t="shared" si="1986"/>
        <v>-13737427.241939941</v>
      </c>
      <c r="P267" s="992">
        <f t="shared" si="1986"/>
        <v>-13899998.60429541</v>
      </c>
      <c r="Q267" s="992">
        <f t="shared" si="1986"/>
        <v>-14129930.737284578</v>
      </c>
      <c r="R267" s="992">
        <f t="shared" si="1986"/>
        <v>-6486585.5896653598</v>
      </c>
      <c r="S267" s="106"/>
      <c r="T267" s="106">
        <f ca="1">T200+T214+T221+T227+T232+T242+T249+T256</f>
        <v>-13177837.56201495</v>
      </c>
      <c r="U267" s="106">
        <f>H200+H214+H221+H227+H232+H242+H249+H256</f>
        <v>-12567989.153335219</v>
      </c>
      <c r="V267" s="1008">
        <f t="shared" ref="V267:AA267" si="1987">V200+V214+V221+V227+V232+V242+V249+V256</f>
        <v>-8224787.7318749223</v>
      </c>
      <c r="W267" s="1008">
        <f t="shared" si="1987"/>
        <v>-8183854.4160669539</v>
      </c>
      <c r="X267" s="1008">
        <f t="shared" si="1987"/>
        <v>-8380595.1826477889</v>
      </c>
      <c r="Y267" s="1008">
        <f t="shared" si="1987"/>
        <v>-8420883.6519740559</v>
      </c>
      <c r="Z267" s="1008">
        <f t="shared" si="1987"/>
        <v>-8411871.3240984399</v>
      </c>
      <c r="AA267" s="1008">
        <f t="shared" si="1987"/>
        <v>-8395146.3494244721</v>
      </c>
      <c r="AB267" s="1008">
        <f t="shared" ref="AB267:AG268" si="1988">AB200+AB214+AB221+AB227+AB232+AB242+AB249+AB256</f>
        <v>-8521471.8607523236</v>
      </c>
      <c r="AC267" s="1008">
        <f t="shared" si="1988"/>
        <v>-8555559.8110174779</v>
      </c>
      <c r="AD267" s="1008">
        <f t="shared" si="1988"/>
        <v>-8352325.0929010594</v>
      </c>
      <c r="AE267" s="1008">
        <f t="shared" si="1988"/>
        <v>-8412885.0095464066</v>
      </c>
      <c r="AF267" s="1008">
        <f t="shared" si="1988"/>
        <v>-8455437.9375158101</v>
      </c>
      <c r="AG267" s="1008">
        <f t="shared" si="1988"/>
        <v>-7389522.5208956804</v>
      </c>
      <c r="AH267" s="106"/>
      <c r="AI267" s="243">
        <f>AI200+AI214+AI221+AI227+AI232+AI242+AI249+AI256</f>
        <v>854.65140200000099</v>
      </c>
      <c r="AJ267" s="106">
        <f>AJ200+AJ214+AJ221+AJ227+AJ232+AJ242+AJ249+AJ256</f>
        <v>-8271072.7019250188</v>
      </c>
      <c r="AK267" s="106">
        <f>AG267</f>
        <v>-7389522.5208956804</v>
      </c>
      <c r="AL267" s="1031">
        <f t="shared" ref="AL267:AW268" si="1989">AL200+AL214+AL221+AL227+AL232+AL242+AL249+AL256</f>
        <v>-7285750.2234017448</v>
      </c>
      <c r="AM267" s="1031">
        <f t="shared" si="1989"/>
        <v>-7227518.7150570285</v>
      </c>
      <c r="AN267" s="1031">
        <f t="shared" si="1989"/>
        <v>-7373575.1407287484</v>
      </c>
      <c r="AO267" s="1031">
        <f t="shared" si="1989"/>
        <v>-7408626.6212439043</v>
      </c>
      <c r="AP267" s="1031">
        <f t="shared" si="1989"/>
        <v>-7379970.5557339145</v>
      </c>
      <c r="AQ267" s="1031">
        <f t="shared" si="1989"/>
        <v>-7345061.9852402182</v>
      </c>
      <c r="AR267" s="1031">
        <f t="shared" si="1989"/>
        <v>-7450957.845334054</v>
      </c>
      <c r="AS267" s="1031">
        <f t="shared" si="1989"/>
        <v>-7411070.7033664854</v>
      </c>
      <c r="AT267" s="1031">
        <f t="shared" si="1989"/>
        <v>-7226088.3523860546</v>
      </c>
      <c r="AU267" s="1031">
        <f t="shared" si="1989"/>
        <v>-7266273.7006579377</v>
      </c>
      <c r="AV267" s="1031">
        <f t="shared" si="1989"/>
        <v>-7288241.0736356974</v>
      </c>
      <c r="AW267" s="1031">
        <f t="shared" si="1989"/>
        <v>-7362078.0341909332</v>
      </c>
      <c r="AX267" s="106"/>
      <c r="AY267" s="243">
        <f>AY200+AY214+AY221+AY227+AY232+AY242+AY249+AY256</f>
        <v>0</v>
      </c>
      <c r="AZ267" s="243"/>
      <c r="BA267" s="106">
        <f>BA200+BA214+BA221+BA227+BA232+BA242+BA249+BA256</f>
        <v>-7336577.9328607582</v>
      </c>
    </row>
    <row r="268" spans="1:53">
      <c r="A268" s="250">
        <f t="shared" si="1554"/>
        <v>253</v>
      </c>
      <c r="B268" s="208"/>
      <c r="C268" s="102" t="s">
        <v>593</v>
      </c>
      <c r="D268" s="102"/>
      <c r="E268" s="102"/>
      <c r="F268" s="992">
        <f t="shared" ca="1" si="1985"/>
        <v>-445796143.71443444</v>
      </c>
      <c r="G268" s="992">
        <f t="shared" ref="G268:R268" si="1990">G201+G215+G222+G228+G233+G243+G250+G257</f>
        <v>-447750194.96216476</v>
      </c>
      <c r="H268" s="992">
        <f t="shared" si="1990"/>
        <v>-449396761.81666481</v>
      </c>
      <c r="I268" s="992">
        <f t="shared" si="1990"/>
        <v>-463225166.48120648</v>
      </c>
      <c r="J268" s="992">
        <f t="shared" si="1990"/>
        <v>-465708170.46639788</v>
      </c>
      <c r="K268" s="992">
        <f t="shared" si="1990"/>
        <v>-469365438.16437852</v>
      </c>
      <c r="L268" s="992">
        <f t="shared" si="1990"/>
        <v>-471925222.52775234</v>
      </c>
      <c r="M268" s="992">
        <f t="shared" si="1990"/>
        <v>-479162826.05762333</v>
      </c>
      <c r="N268" s="992">
        <f t="shared" si="1990"/>
        <v>-492214551.91576779</v>
      </c>
      <c r="O268" s="992">
        <f t="shared" si="1990"/>
        <v>-483476588.14806008</v>
      </c>
      <c r="P268" s="992">
        <f t="shared" si="1990"/>
        <v>-488405910.87570459</v>
      </c>
      <c r="Q268" s="992">
        <f t="shared" si="1990"/>
        <v>-492834467.77271539</v>
      </c>
      <c r="R268" s="992">
        <f t="shared" si="1990"/>
        <v>-245743333.64033464</v>
      </c>
      <c r="S268" s="106"/>
      <c r="T268" s="106">
        <f ca="1">T201+T215+T222+T228+T233+T243+T250+T257</f>
        <v>-462436253.15548491</v>
      </c>
      <c r="U268" s="106">
        <f>H201+H215+H222+H228+H233+H243+H250+H257</f>
        <v>-449396761.81666481</v>
      </c>
      <c r="V268" s="1008">
        <f t="shared" ref="V268:AA268" si="1991">V201+V215+V222+V228+V233+V243+V250+V257</f>
        <v>-311809865.44139063</v>
      </c>
      <c r="W268" s="1008">
        <f t="shared" si="1991"/>
        <v>-310198295.87668991</v>
      </c>
      <c r="X268" s="1008">
        <f t="shared" si="1991"/>
        <v>-314965147.94404238</v>
      </c>
      <c r="Y268" s="1008">
        <f t="shared" si="1991"/>
        <v>-316057923.72077942</v>
      </c>
      <c r="Z268" s="1008">
        <f t="shared" si="1991"/>
        <v>-315706975.51015806</v>
      </c>
      <c r="AA268" s="1008">
        <f t="shared" si="1991"/>
        <v>-314903257.23887712</v>
      </c>
      <c r="AB268" s="1008">
        <f t="shared" si="1988"/>
        <v>-318329420.28720969</v>
      </c>
      <c r="AC268" s="1008">
        <f t="shared" si="1988"/>
        <v>-318116512.95828122</v>
      </c>
      <c r="AD268" s="1008">
        <f t="shared" si="1988"/>
        <v>-312273245.61779141</v>
      </c>
      <c r="AE268" s="1008">
        <f t="shared" si="1988"/>
        <v>-313319280.96322012</v>
      </c>
      <c r="AF268" s="1008">
        <f t="shared" si="1988"/>
        <v>-313617022.18390954</v>
      </c>
      <c r="AG268" s="1008">
        <f t="shared" si="1988"/>
        <v>-281103367.96160305</v>
      </c>
      <c r="AH268" s="106"/>
      <c r="AI268" s="243">
        <f>AI201+AI215+AI222+AI228+AI233+AI243+AI250+AI257</f>
        <v>25936.928597999999</v>
      </c>
      <c r="AJ268" s="106">
        <f>AJ201+AJ215+AJ222+AJ228+AJ233+AJ243+AJ250+AJ257</f>
        <v>-310226691.54527652</v>
      </c>
      <c r="AK268" s="106">
        <f>AG268</f>
        <v>-281103367.96160305</v>
      </c>
      <c r="AL268" s="1031">
        <f t="shared" si="1989"/>
        <v>-278497259.80605376</v>
      </c>
      <c r="AM268" s="1031">
        <f t="shared" si="1989"/>
        <v>-276744817.13120282</v>
      </c>
      <c r="AN268" s="1031">
        <f t="shared" si="1989"/>
        <v>-281103900.63373572</v>
      </c>
      <c r="AO268" s="1031">
        <f t="shared" si="1989"/>
        <v>-282187378.85080576</v>
      </c>
      <c r="AP268" s="1031">
        <f t="shared" si="1989"/>
        <v>-281692839.94912928</v>
      </c>
      <c r="AQ268" s="1031">
        <f t="shared" si="1989"/>
        <v>-280721854.65909368</v>
      </c>
      <c r="AR268" s="1031">
        <f t="shared" si="1989"/>
        <v>-283961468.69587976</v>
      </c>
      <c r="AS268" s="1031">
        <f t="shared" si="1989"/>
        <v>-283056808.0057956</v>
      </c>
      <c r="AT268" s="1031">
        <f t="shared" si="1989"/>
        <v>-277427064.31590486</v>
      </c>
      <c r="AU268" s="1031">
        <f t="shared" si="1989"/>
        <v>-278305648.70493084</v>
      </c>
      <c r="AV268" s="1031">
        <f t="shared" si="1989"/>
        <v>-278606470.16680396</v>
      </c>
      <c r="AW268" s="1031">
        <f t="shared" si="1989"/>
        <v>-280533831.86790943</v>
      </c>
      <c r="AX268" s="106"/>
      <c r="AY268" s="243">
        <f>AY201+AY215+AY222+AY228+AY233+AY243+AY250+AY257</f>
        <v>0</v>
      </c>
      <c r="AZ268" s="243"/>
      <c r="BA268" s="106">
        <f>BA201+BA215+BA222+BA228+BA233+BA243+BA250+BA257</f>
        <v>-280260342.56950766</v>
      </c>
    </row>
    <row r="269" spans="1:53">
      <c r="A269" s="250">
        <f t="shared" si="1554"/>
        <v>254</v>
      </c>
      <c r="B269" s="208"/>
      <c r="C269" s="102" t="s">
        <v>595</v>
      </c>
      <c r="D269" s="102"/>
      <c r="E269" s="102"/>
      <c r="F269" s="992">
        <f t="shared" ref="F269" si="1992">F209+F216+F223+F237+F244+F251+F258+F262</f>
        <v>-11328307.779999999</v>
      </c>
      <c r="G269" s="992">
        <f t="shared" ref="G269:R269" si="1993">G209+G216+G223+G237+G244+G251+G258+G262</f>
        <v>-10985006.68</v>
      </c>
      <c r="H269" s="992">
        <f t="shared" si="1993"/>
        <v>-11431516.460000001</v>
      </c>
      <c r="I269" s="992">
        <f t="shared" si="1993"/>
        <v>-11833685.369999999</v>
      </c>
      <c r="J269" s="992">
        <f t="shared" si="1993"/>
        <v>-12109124.299999999</v>
      </c>
      <c r="K269" s="992">
        <f t="shared" si="1993"/>
        <v>-10678810.029999999</v>
      </c>
      <c r="L269" s="992">
        <f t="shared" si="1993"/>
        <v>-9335041.1799999997</v>
      </c>
      <c r="M269" s="992">
        <f t="shared" si="1993"/>
        <v>-9343596.3599999994</v>
      </c>
      <c r="N269" s="992">
        <f t="shared" si="1993"/>
        <v>-9646246.209999999</v>
      </c>
      <c r="O269" s="992">
        <f t="shared" si="1993"/>
        <v>-10064897.289999999</v>
      </c>
      <c r="P269" s="992">
        <f t="shared" si="1993"/>
        <v>-10784966.110000001</v>
      </c>
      <c r="Q269" s="992">
        <f t="shared" si="1993"/>
        <v>-10406627.869999999</v>
      </c>
      <c r="R269" s="992">
        <f t="shared" si="1993"/>
        <v>-10055701.27</v>
      </c>
      <c r="S269" s="106"/>
      <c r="T269" s="106">
        <f>T209+T216+T223+T237+T244+T251+T258+T262</f>
        <v>-10609293.532083334</v>
      </c>
      <c r="U269" s="106">
        <f>H209+H216+H223+H237+H244+H251+H258+H262</f>
        <v>-11431516.460000001</v>
      </c>
      <c r="V269" s="1008">
        <f t="shared" ref="V269:AA269" si="1994">V209+V216+V223+V237+V244+V251+V258+V262</f>
        <v>-10279180.865860166</v>
      </c>
      <c r="W269" s="1008">
        <f t="shared" si="1994"/>
        <v>-10839415.693623807</v>
      </c>
      <c r="X269" s="1008">
        <f t="shared" si="1994"/>
        <v>-11390714.435836472</v>
      </c>
      <c r="Y269" s="1008">
        <f t="shared" si="1994"/>
        <v>-11767677.415658174</v>
      </c>
      <c r="Z269" s="1008">
        <f t="shared" si="1994"/>
        <v>-10453207.240449293</v>
      </c>
      <c r="AA269" s="1008">
        <f t="shared" si="1994"/>
        <v>-9222415.1741720028</v>
      </c>
      <c r="AB269" s="1008">
        <f t="shared" ref="AB269:AG269" si="1995">AB209+AB216+AB223+AB237+AB244+AB251+AB258+AB262</f>
        <v>-9345952.7435045149</v>
      </c>
      <c r="AC269" s="1008">
        <f t="shared" si="1995"/>
        <v>-9815588.6815906744</v>
      </c>
      <c r="AD269" s="1008">
        <f t="shared" si="1995"/>
        <v>-10287899.765147947</v>
      </c>
      <c r="AE269" s="1008">
        <f t="shared" si="1995"/>
        <v>-11119356.799847735</v>
      </c>
      <c r="AF269" s="1008">
        <f t="shared" si="1995"/>
        <v>-10847513.219544031</v>
      </c>
      <c r="AG269" s="1008">
        <f t="shared" si="1995"/>
        <v>-8833197.78650962</v>
      </c>
      <c r="AH269" s="106"/>
      <c r="AI269" s="243">
        <f>AI209+AI216+AI223+AI237+AI244+AI251+AI258+AI262</f>
        <v>527.25</v>
      </c>
      <c r="AJ269" s="106">
        <f>AJ209+AJ216+AJ223+AJ237+AJ244+AJ251+AJ258+AJ262</f>
        <v>-10401114.296957469</v>
      </c>
      <c r="AK269" s="106">
        <f>AG269</f>
        <v>-8833197.78650962</v>
      </c>
      <c r="AL269" s="1031">
        <f t="shared" ref="AL269:AW269" si="1996">AL209+AL216+AL223+AL237+AL244+AL251+AL258+AL262</f>
        <v>-9036065.6287922021</v>
      </c>
      <c r="AM269" s="1031">
        <f t="shared" si="1996"/>
        <v>-9575058.9686084148</v>
      </c>
      <c r="AN269" s="1031">
        <f t="shared" si="1996"/>
        <v>-10063787.523607286</v>
      </c>
      <c r="AO269" s="1031">
        <f t="shared" si="1996"/>
        <v>-10432356.004037261</v>
      </c>
      <c r="AP269" s="1031">
        <f t="shared" si="1996"/>
        <v>-9092801.3082287665</v>
      </c>
      <c r="AQ269" s="1031">
        <f t="shared" si="1996"/>
        <v>-7840829.7781684538</v>
      </c>
      <c r="AR269" s="1031">
        <f t="shared" si="1996"/>
        <v>-7940497.3705554511</v>
      </c>
      <c r="AS269" s="1031">
        <f t="shared" si="1996"/>
        <v>-8324604.7083567623</v>
      </c>
      <c r="AT269" s="1031">
        <f t="shared" si="1996"/>
        <v>-8816451.1132017989</v>
      </c>
      <c r="AU269" s="1031">
        <f t="shared" si="1996"/>
        <v>-9622988.5478472542</v>
      </c>
      <c r="AV269" s="1031">
        <f t="shared" si="1996"/>
        <v>-9329933.2707726825</v>
      </c>
      <c r="AW269" s="1031">
        <f t="shared" si="1996"/>
        <v>-8978086.3926120717</v>
      </c>
      <c r="AX269" s="106"/>
      <c r="AY269" s="243">
        <f>AY209+AY216+AY223+AY237+AY244+AY251+AY258+AY262</f>
        <v>0</v>
      </c>
      <c r="AZ269" s="243"/>
      <c r="BA269" s="106">
        <f>BA209+BA216+BA223+BA237+BA244+BA251+BA258+BA262</f>
        <v>-9081751.3593114298</v>
      </c>
    </row>
    <row r="270" spans="1:53" ht="13.5" thickBot="1">
      <c r="A270" s="250">
        <f t="shared" ref="A270:A281" si="1997">+A269+1</f>
        <v>255</v>
      </c>
      <c r="B270" s="208"/>
      <c r="C270" s="102"/>
      <c r="D270" s="102"/>
      <c r="E270" s="102"/>
      <c r="F270" s="995"/>
      <c r="G270" s="995"/>
      <c r="H270" s="995"/>
      <c r="I270" s="995"/>
      <c r="J270" s="995"/>
      <c r="K270" s="995"/>
      <c r="L270" s="995"/>
      <c r="M270" s="995"/>
      <c r="N270" s="995"/>
      <c r="O270" s="995"/>
      <c r="P270" s="995"/>
      <c r="Q270" s="995"/>
      <c r="R270" s="995"/>
      <c r="S270" s="106"/>
      <c r="T270" s="210"/>
      <c r="U270" s="210"/>
      <c r="V270" s="1013"/>
      <c r="W270" s="1013"/>
      <c r="X270" s="1013"/>
      <c r="Y270" s="1013"/>
      <c r="Z270" s="1013"/>
      <c r="AA270" s="1013"/>
      <c r="AB270" s="1013"/>
      <c r="AC270" s="1013"/>
      <c r="AD270" s="1013"/>
      <c r="AE270" s="1013"/>
      <c r="AF270" s="1013"/>
      <c r="AG270" s="1013"/>
      <c r="AH270" s="210"/>
      <c r="AI270" s="263"/>
      <c r="AJ270" s="210"/>
      <c r="AK270" s="210"/>
      <c r="AL270" s="1036"/>
      <c r="AM270" s="1036"/>
      <c r="AN270" s="1036"/>
      <c r="AO270" s="1036"/>
      <c r="AP270" s="1036"/>
      <c r="AQ270" s="1036"/>
      <c r="AR270" s="1036"/>
      <c r="AS270" s="1036"/>
      <c r="AT270" s="1036"/>
      <c r="AU270" s="1036"/>
      <c r="AV270" s="1036"/>
      <c r="AW270" s="1036"/>
      <c r="AX270" s="210"/>
      <c r="AY270" s="263"/>
      <c r="AZ270" s="263"/>
      <c r="BA270" s="210"/>
    </row>
    <row r="271" spans="1:53" ht="13.5" thickTop="1">
      <c r="A271" s="250">
        <f t="shared" si="1997"/>
        <v>256</v>
      </c>
      <c r="B271" s="208"/>
      <c r="C271" s="49"/>
      <c r="D271" s="102"/>
      <c r="E271" s="102"/>
      <c r="F271" s="992"/>
      <c r="G271" s="992"/>
      <c r="H271" s="992"/>
      <c r="I271" s="992"/>
      <c r="J271" s="992"/>
      <c r="K271" s="992"/>
      <c r="L271" s="992"/>
      <c r="M271" s="992"/>
      <c r="N271" s="992"/>
      <c r="O271" s="992"/>
      <c r="P271" s="992"/>
      <c r="Q271" s="992"/>
      <c r="R271" s="992"/>
      <c r="S271" s="106"/>
      <c r="T271" s="106"/>
      <c r="U271" s="106"/>
      <c r="V271" s="1008"/>
      <c r="W271" s="1008"/>
      <c r="X271" s="1008"/>
      <c r="Y271" s="1008"/>
      <c r="Z271" s="1008"/>
      <c r="AA271" s="1008"/>
      <c r="AB271" s="1008"/>
      <c r="AC271" s="1008"/>
      <c r="AD271" s="1008"/>
      <c r="AE271" s="1008"/>
      <c r="AF271" s="1008"/>
      <c r="AG271" s="1008"/>
      <c r="AH271" s="106"/>
      <c r="AI271" s="243"/>
      <c r="AJ271" s="106"/>
      <c r="AK271" s="106"/>
      <c r="AL271" s="1031"/>
      <c r="AM271" s="1031"/>
      <c r="AN271" s="1031"/>
      <c r="AO271" s="1031"/>
      <c r="AP271" s="1031"/>
      <c r="AQ271" s="1031"/>
      <c r="AR271" s="1031"/>
      <c r="AS271" s="1031"/>
      <c r="AT271" s="1031"/>
      <c r="AU271" s="1031"/>
      <c r="AV271" s="1031"/>
      <c r="AW271" s="1031"/>
      <c r="AX271" s="106"/>
      <c r="AY271" s="243"/>
      <c r="AZ271" s="243"/>
      <c r="BA271" s="106"/>
    </row>
    <row r="272" spans="1:53">
      <c r="A272" s="250">
        <f t="shared" si="1997"/>
        <v>257</v>
      </c>
      <c r="B272" s="208"/>
      <c r="C272" s="102" t="s">
        <v>664</v>
      </c>
      <c r="D272" s="102"/>
      <c r="E272" s="102"/>
      <c r="F272" s="974">
        <f t="shared" ref="F272" ca="1" si="1998">+F263+F259+F252+F245+F238+F234+F229+F224+F217+F210+F202+F206</f>
        <v>-421815952.52999991</v>
      </c>
      <c r="G272" s="974">
        <f t="shared" ref="G272:R272" si="1999">+G263+G259+G252+G245+G238+G234+G229+G224+G217+G210+G202+G206</f>
        <v>-439238119.68000001</v>
      </c>
      <c r="H272" s="974">
        <f t="shared" si="1999"/>
        <v>-452727532.06000006</v>
      </c>
      <c r="I272" s="974">
        <f t="shared" si="1999"/>
        <v>-480603387.76000011</v>
      </c>
      <c r="J272" s="974">
        <f t="shared" si="1999"/>
        <v>-487013044.73999995</v>
      </c>
      <c r="K272" s="974">
        <f t="shared" si="1999"/>
        <v>-484516736.92000002</v>
      </c>
      <c r="L272" s="974">
        <f t="shared" si="1999"/>
        <v>-473864217.54999995</v>
      </c>
      <c r="M272" s="974">
        <f t="shared" si="1999"/>
        <v>-468549002.5</v>
      </c>
      <c r="N272" s="974">
        <f t="shared" si="1999"/>
        <v>-468501233.09000003</v>
      </c>
      <c r="O272" s="974">
        <f t="shared" si="1999"/>
        <v>-449069629.25999999</v>
      </c>
      <c r="P272" s="974">
        <f t="shared" si="1999"/>
        <v>-454650394.40999997</v>
      </c>
      <c r="Q272" s="974">
        <f t="shared" si="1999"/>
        <v>-458613353.14999998</v>
      </c>
      <c r="R272" s="974">
        <f t="shared" si="1999"/>
        <v>-210052472.35999995</v>
      </c>
      <c r="S272" s="116"/>
      <c r="T272" s="116">
        <f ca="1">+T263+T259+T252+T245+T238+T234+T229+T224+T217+T210+T202+T206</f>
        <v>-434170192.81624985</v>
      </c>
      <c r="U272" s="116">
        <f>+H263+H259+H252+H245+H238+H234+H229+H224+H217+H210+H202+H206</f>
        <v>-452727532.06000006</v>
      </c>
      <c r="V272" s="998">
        <f t="shared" ref="V272:AA272" si="2000">+V263+V259+V252+V245+V238+V234+V229+V224+V217+V210+V202+V206</f>
        <v>-207505649.12155297</v>
      </c>
      <c r="W272" s="998">
        <f t="shared" si="2000"/>
        <v>-206409044.21326187</v>
      </c>
      <c r="X272" s="998">
        <f t="shared" si="2000"/>
        <v>-211911379.53823331</v>
      </c>
      <c r="Y272" s="998">
        <f t="shared" si="2000"/>
        <v>-213419627.27150226</v>
      </c>
      <c r="Z272" s="998">
        <f t="shared" si="2000"/>
        <v>-211740094.48632538</v>
      </c>
      <c r="AA272" s="998">
        <f t="shared" si="2000"/>
        <v>-209684530.87910119</v>
      </c>
      <c r="AB272" s="998">
        <f t="shared" ref="AB272:AG272" si="2001">+AB263+AB259+AB252+AB245+AB238+AB234+AB229+AB224+AB217+AB210+AB202+AB206</f>
        <v>-213355691.44320711</v>
      </c>
      <c r="AC272" s="998">
        <f t="shared" si="2001"/>
        <v>-213629364.83362085</v>
      </c>
      <c r="AD272" s="998">
        <f t="shared" si="2001"/>
        <v>-208058778.43987712</v>
      </c>
      <c r="AE272" s="998">
        <f t="shared" si="2001"/>
        <v>-209991759.92174709</v>
      </c>
      <c r="AF272" s="998">
        <f t="shared" si="2001"/>
        <v>-210053250.4741945</v>
      </c>
      <c r="AG272" s="998">
        <f t="shared" si="2001"/>
        <v>-206781097.65803438</v>
      </c>
      <c r="AH272" s="116"/>
      <c r="AI272" s="133">
        <f>+AI263+AI259+AI252+AI245+AI238+AI234+AI229+AI224+AI217+AI210+AI202+AI206</f>
        <v>3271374.7019655742</v>
      </c>
      <c r="AJ272" s="116">
        <f>+AJ263+AJ259+AJ252+AJ245+AJ238+AJ234+AJ229+AJ224+AJ217+AJ210+AJ202+AJ206</f>
        <v>-276631883.40638667</v>
      </c>
      <c r="AK272" s="106">
        <f>AG272</f>
        <v>-206781097.65803438</v>
      </c>
      <c r="AL272" s="1016">
        <f t="shared" ref="AL272:AW272" si="2002">+AL263+AL259+AL252+AL245+AL238+AL234+AL229+AL224+AL217+AL210+AL202+AL206</f>
        <v>-204274169.55204585</v>
      </c>
      <c r="AM272" s="1016">
        <f t="shared" si="2002"/>
        <v>-203002575.80932429</v>
      </c>
      <c r="AN272" s="1016">
        <f t="shared" si="2002"/>
        <v>-207996700.71727911</v>
      </c>
      <c r="AO272" s="1016">
        <f t="shared" si="2002"/>
        <v>-209483833.31679934</v>
      </c>
      <c r="AP272" s="1016">
        <f t="shared" si="2002"/>
        <v>-207621186.51680779</v>
      </c>
      <c r="AQ272" s="1016">
        <f t="shared" si="2002"/>
        <v>-205363408.04425654</v>
      </c>
      <c r="AR272" s="1016">
        <f t="shared" si="2002"/>
        <v>-208808683.51599208</v>
      </c>
      <c r="AS272" s="1016">
        <f t="shared" si="2002"/>
        <v>-208248593.90470195</v>
      </c>
      <c r="AT272" s="1016">
        <f t="shared" si="2002"/>
        <v>-202925637.4920741</v>
      </c>
      <c r="AU272" s="1016">
        <f t="shared" si="2002"/>
        <v>-204651046.88055706</v>
      </c>
      <c r="AV272" s="1016">
        <f t="shared" si="2002"/>
        <v>-204680917.21233585</v>
      </c>
      <c r="AW272" s="1016">
        <f t="shared" si="2002"/>
        <v>-206329603.87</v>
      </c>
      <c r="AX272" s="116"/>
      <c r="AY272" s="133">
        <f>+AY263+AY259+AY252+AY245+AY238+AY234+AY229+AY224+AY217+AY210+AY202+AY206</f>
        <v>451493.78803441348</v>
      </c>
      <c r="AZ272" s="133"/>
      <c r="BA272" s="116">
        <f>+BA263+BA259+BA252+BA245+BA238+BA234+BA229+BA224+BA217+BA210+BA202+BA206</f>
        <v>-244389460.46718258</v>
      </c>
    </row>
    <row r="273" spans="1:53">
      <c r="A273" s="250">
        <f t="shared" si="1997"/>
        <v>258</v>
      </c>
      <c r="B273" s="49"/>
      <c r="C273" s="102"/>
      <c r="D273" s="102"/>
      <c r="E273" s="102"/>
      <c r="F273" s="974"/>
      <c r="G273" s="974"/>
      <c r="H273" s="974"/>
      <c r="I273" s="974"/>
      <c r="J273" s="974"/>
      <c r="K273" s="974"/>
      <c r="L273" s="974"/>
      <c r="M273" s="974"/>
      <c r="N273" s="974"/>
      <c r="O273" s="974"/>
      <c r="P273" s="974"/>
      <c r="Q273" s="974"/>
      <c r="R273" s="974"/>
      <c r="S273" s="116"/>
      <c r="T273" s="116"/>
      <c r="U273" s="106"/>
      <c r="V273" s="998"/>
      <c r="W273" s="998"/>
      <c r="X273" s="998"/>
      <c r="Y273" s="998"/>
      <c r="Z273" s="998"/>
      <c r="AA273" s="998"/>
      <c r="AB273" s="998"/>
      <c r="AC273" s="998"/>
      <c r="AD273" s="998"/>
      <c r="AE273" s="998"/>
      <c r="AF273" s="998"/>
      <c r="AG273" s="998"/>
      <c r="AH273" s="116"/>
      <c r="AI273" s="133"/>
      <c r="AJ273" s="116"/>
      <c r="AK273" s="106"/>
      <c r="AL273" s="1016"/>
      <c r="AM273" s="1016"/>
      <c r="AN273" s="1016"/>
      <c r="AO273" s="1016"/>
      <c r="AP273" s="1016"/>
      <c r="AQ273" s="1016"/>
      <c r="AR273" s="1016"/>
      <c r="AS273" s="1016"/>
      <c r="AT273" s="1016"/>
      <c r="AU273" s="1016"/>
      <c r="AV273" s="1016"/>
      <c r="AW273" s="1016"/>
      <c r="AX273" s="116"/>
      <c r="AY273" s="133"/>
      <c r="AZ273" s="133"/>
      <c r="BA273" s="116"/>
    </row>
    <row r="274" spans="1:53">
      <c r="A274" s="250">
        <f t="shared" si="1997"/>
        <v>259</v>
      </c>
      <c r="B274" s="49" t="s">
        <v>687</v>
      </c>
      <c r="C274" s="102"/>
      <c r="D274" s="102"/>
      <c r="E274" s="102"/>
      <c r="F274" s="992"/>
      <c r="G274" s="992"/>
      <c r="H274" s="992"/>
      <c r="I274" s="992"/>
      <c r="J274" s="992"/>
      <c r="K274" s="992"/>
      <c r="L274" s="992"/>
      <c r="M274" s="992"/>
      <c r="N274" s="992"/>
      <c r="O274" s="992"/>
      <c r="P274" s="992"/>
      <c r="Q274" s="992"/>
      <c r="R274" s="992"/>
      <c r="S274" s="106"/>
      <c r="T274" s="106"/>
      <c r="U274" s="106"/>
      <c r="V274" s="1008"/>
      <c r="W274" s="1008"/>
      <c r="X274" s="1008"/>
      <c r="Y274" s="1008"/>
      <c r="Z274" s="1008"/>
      <c r="AA274" s="1008"/>
      <c r="AB274" s="1008"/>
      <c r="AC274" s="1008"/>
      <c r="AD274" s="1008"/>
      <c r="AE274" s="1008"/>
      <c r="AF274" s="1008"/>
      <c r="AG274" s="1008"/>
      <c r="AH274" s="106"/>
      <c r="AI274" s="243"/>
      <c r="AJ274" s="106"/>
      <c r="AK274" s="106"/>
      <c r="AL274" s="1031"/>
      <c r="AM274" s="1031"/>
      <c r="AN274" s="1031"/>
      <c r="AO274" s="1031"/>
      <c r="AP274" s="1031"/>
      <c r="AQ274" s="1031"/>
      <c r="AR274" s="1031"/>
      <c r="AS274" s="1031"/>
      <c r="AT274" s="1031"/>
      <c r="AU274" s="1031"/>
      <c r="AV274" s="1031"/>
      <c r="AW274" s="1031"/>
      <c r="AX274" s="106"/>
      <c r="AY274" s="243"/>
      <c r="AZ274" s="243"/>
      <c r="BA274" s="106"/>
    </row>
    <row r="275" spans="1:53">
      <c r="A275" s="250">
        <f t="shared" si="1997"/>
        <v>260</v>
      </c>
      <c r="B275" s="49"/>
      <c r="C275" s="102" t="s">
        <v>443</v>
      </c>
      <c r="D275" s="102"/>
      <c r="E275" s="102"/>
      <c r="F275" s="974">
        <f t="shared" ref="F275:R278" si="2003">F188+F266</f>
        <v>53037937.879999995</v>
      </c>
      <c r="G275" s="974">
        <f t="shared" si="2003"/>
        <v>36779221.870000012</v>
      </c>
      <c r="H275" s="974">
        <f t="shared" si="2003"/>
        <v>25453435.519999996</v>
      </c>
      <c r="I275" s="974">
        <f t="shared" si="2003"/>
        <v>12663510.51</v>
      </c>
      <c r="J275" s="974">
        <f t="shared" si="2003"/>
        <v>8996070.7600000054</v>
      </c>
      <c r="K275" s="974">
        <f t="shared" si="2003"/>
        <v>13633669.289999995</v>
      </c>
      <c r="L275" s="974">
        <f t="shared" si="2003"/>
        <v>25515763.25</v>
      </c>
      <c r="M275" s="974">
        <f t="shared" si="2003"/>
        <v>38198071.170000002</v>
      </c>
      <c r="N275" s="974">
        <f t="shared" si="2003"/>
        <v>51776522.609999985</v>
      </c>
      <c r="O275" s="974">
        <f t="shared" si="2003"/>
        <v>62613706.029999994</v>
      </c>
      <c r="P275" s="974">
        <f t="shared" si="2003"/>
        <v>62791977.849999994</v>
      </c>
      <c r="Q275" s="974">
        <f t="shared" si="2003"/>
        <v>63040062.789999999</v>
      </c>
      <c r="R275" s="974">
        <f t="shared" si="2003"/>
        <v>56474289.469999999</v>
      </c>
      <c r="S275" s="116"/>
      <c r="T275" s="116">
        <f>T188+T266</f>
        <v>56621389.591249973</v>
      </c>
      <c r="U275" s="106">
        <f>H188+H266</f>
        <v>25453435.519999996</v>
      </c>
      <c r="V275" s="998">
        <f t="shared" ref="V275:AA275" ca="1" si="2004">V188+V266</f>
        <v>62383903.404812068</v>
      </c>
      <c r="W275" s="998">
        <f t="shared" ca="1" si="2004"/>
        <v>61319236.72654736</v>
      </c>
      <c r="X275" s="998">
        <f t="shared" ca="1" si="2004"/>
        <v>63271179.775553524</v>
      </c>
      <c r="Y275" s="998">
        <f t="shared" ca="1" si="2004"/>
        <v>61349162.156331614</v>
      </c>
      <c r="Z275" s="998">
        <f t="shared" ca="1" si="2004"/>
        <v>59625527.166212976</v>
      </c>
      <c r="AA275" s="998">
        <f t="shared" ca="1" si="2004"/>
        <v>60670220.250784948</v>
      </c>
      <c r="AB275" s="998">
        <f t="shared" ref="AB275:AG278" ca="1" si="2005">AB188+AB266</f>
        <v>59127244.452552348</v>
      </c>
      <c r="AC275" s="998">
        <f t="shared" ca="1" si="2005"/>
        <v>57750904.057562232</v>
      </c>
      <c r="AD275" s="998">
        <f t="shared" ca="1" si="2005"/>
        <v>55730103.282374114</v>
      </c>
      <c r="AE275" s="998">
        <f t="shared" ca="1" si="2005"/>
        <v>54369158.254515558</v>
      </c>
      <c r="AF275" s="998">
        <f t="shared" ca="1" si="2005"/>
        <v>53331105.621974394</v>
      </c>
      <c r="AG275" s="998">
        <f t="shared" ca="1" si="2005"/>
        <v>53087190.821874216</v>
      </c>
      <c r="AH275" s="116"/>
      <c r="AI275" s="133">
        <f t="shared" ref="AI275:AJ278" ca="1" si="2006">AI188+AI266</f>
        <v>-3986070.6590997279</v>
      </c>
      <c r="AJ275" s="116">
        <f t="shared" ca="1" si="2006"/>
        <v>58642373.774596527</v>
      </c>
      <c r="AK275" s="106">
        <f ca="1">AG275</f>
        <v>53087190.821874216</v>
      </c>
      <c r="AL275" s="1016">
        <f t="shared" ref="AL275:AW278" ca="1" si="2007">AL188+AL266</f>
        <v>60124154.193927407</v>
      </c>
      <c r="AM275" s="1016">
        <f t="shared" ca="1" si="2007"/>
        <v>58850211.803863883</v>
      </c>
      <c r="AN275" s="1016">
        <f t="shared" ca="1" si="2007"/>
        <v>61160984.344390586</v>
      </c>
      <c r="AO275" s="1016">
        <f t="shared" ca="1" si="2007"/>
        <v>58868498.074834138</v>
      </c>
      <c r="AP275" s="1016">
        <f t="shared" ca="1" si="2007"/>
        <v>56808382.517534688</v>
      </c>
      <c r="AQ275" s="1016">
        <f t="shared" ca="1" si="2007"/>
        <v>58048024.139395058</v>
      </c>
      <c r="AR275" s="1016">
        <f t="shared" ca="1" si="2007"/>
        <v>56203473.968315005</v>
      </c>
      <c r="AS275" s="1016">
        <f t="shared" ca="1" si="2007"/>
        <v>54542608.07997179</v>
      </c>
      <c r="AT275" s="1016">
        <f t="shared" ca="1" si="2007"/>
        <v>52138935.981968164</v>
      </c>
      <c r="AU275" s="1016">
        <f t="shared" ca="1" si="2007"/>
        <v>50511050.084946617</v>
      </c>
      <c r="AV275" s="1016">
        <f t="shared" ca="1" si="2007"/>
        <v>49265646.249031991</v>
      </c>
      <c r="AW275" s="1016">
        <f t="shared" ca="1" si="2007"/>
        <v>48982834.759139717</v>
      </c>
      <c r="AX275" s="116"/>
      <c r="AY275" s="133">
        <f ca="1">AY188+AY266</f>
        <v>-4103757.8764729798</v>
      </c>
      <c r="AZ275" s="133"/>
      <c r="BA275" s="116">
        <f ca="1">BA188+BA266</f>
        <v>55629748.519057199</v>
      </c>
    </row>
    <row r="276" spans="1:53">
      <c r="A276" s="250">
        <f t="shared" si="1997"/>
        <v>261</v>
      </c>
      <c r="B276" s="49"/>
      <c r="C276" s="102" t="s">
        <v>592</v>
      </c>
      <c r="D276" s="102"/>
      <c r="E276" s="102"/>
      <c r="F276" s="974">
        <f t="shared" ca="1" si="2003"/>
        <v>36616373.998434447</v>
      </c>
      <c r="G276" s="974">
        <f t="shared" si="2003"/>
        <v>37002052.842164785</v>
      </c>
      <c r="H276" s="974">
        <f t="shared" si="2003"/>
        <v>37061668.220664792</v>
      </c>
      <c r="I276" s="974">
        <f t="shared" si="2003"/>
        <v>36525967.815206476</v>
      </c>
      <c r="J276" s="974">
        <f t="shared" si="2003"/>
        <v>36696331.760397911</v>
      </c>
      <c r="K276" s="974">
        <f t="shared" si="2003"/>
        <v>37316471.838378511</v>
      </c>
      <c r="L276" s="974">
        <f t="shared" si="2003"/>
        <v>38423124.261752397</v>
      </c>
      <c r="M276" s="974">
        <f t="shared" si="2003"/>
        <v>38701601.941623375</v>
      </c>
      <c r="N276" s="974">
        <f t="shared" si="2003"/>
        <v>40681641.36576777</v>
      </c>
      <c r="O276" s="974">
        <f t="shared" si="2003"/>
        <v>41160733.222060062</v>
      </c>
      <c r="P276" s="974">
        <f t="shared" si="2003"/>
        <v>41589763.019704588</v>
      </c>
      <c r="Q276" s="974">
        <f t="shared" si="2003"/>
        <v>42502825.316715419</v>
      </c>
      <c r="R276" s="974">
        <f t="shared" si="2003"/>
        <v>42619523.404334627</v>
      </c>
      <c r="S276" s="116"/>
      <c r="T276" s="116">
        <f ca="1">T189+T267</f>
        <v>38940010.858818375</v>
      </c>
      <c r="U276" s="106">
        <f>H189+H267</f>
        <v>37061668.220664792</v>
      </c>
      <c r="V276" s="998">
        <f t="shared" ref="V276:AA276" ca="1" si="2008">V189+V267</f>
        <v>43580711.95878005</v>
      </c>
      <c r="W276" s="998">
        <f t="shared" ca="1" si="2008"/>
        <v>43653679.568793952</v>
      </c>
      <c r="X276" s="998">
        <f t="shared" ca="1" si="2008"/>
        <v>44666497.240739584</v>
      </c>
      <c r="Y276" s="998">
        <f t="shared" ca="1" si="2008"/>
        <v>44483356.734155759</v>
      </c>
      <c r="Z276" s="998">
        <f t="shared" ca="1" si="2008"/>
        <v>44043345.753766283</v>
      </c>
      <c r="AA276" s="998">
        <f t="shared" ca="1" si="2008"/>
        <v>44674007.267777041</v>
      </c>
      <c r="AB276" s="998">
        <f t="shared" ca="1" si="2005"/>
        <v>44100729.477541663</v>
      </c>
      <c r="AC276" s="998">
        <f t="shared" ca="1" si="2005"/>
        <v>45118786.247788899</v>
      </c>
      <c r="AD276" s="998">
        <f t="shared" ca="1" si="2005"/>
        <v>44553713.148927338</v>
      </c>
      <c r="AE276" s="998">
        <f t="shared" ca="1" si="2005"/>
        <v>44954718.718945265</v>
      </c>
      <c r="AF276" s="998">
        <f t="shared" ca="1" si="2005"/>
        <v>45188592.206544325</v>
      </c>
      <c r="AG276" s="998">
        <f t="shared" ca="1" si="2005"/>
        <v>46758897.071707517</v>
      </c>
      <c r="AH276" s="116"/>
      <c r="AI276" s="133">
        <f t="shared" ca="1" si="2006"/>
        <v>-1797498.5199948142</v>
      </c>
      <c r="AJ276" s="116">
        <f t="shared" ca="1" si="2006"/>
        <v>50790638.401671864</v>
      </c>
      <c r="AK276" s="106">
        <f ca="1">AG276</f>
        <v>46758897.071707517</v>
      </c>
      <c r="AL276" s="1016">
        <f t="shared" ca="1" si="2007"/>
        <v>49942693.380741097</v>
      </c>
      <c r="AM276" s="1016">
        <f t="shared" ca="1" si="2007"/>
        <v>49744871.521646082</v>
      </c>
      <c r="AN276" s="1016">
        <f t="shared" ca="1" si="2007"/>
        <v>51087613.403964661</v>
      </c>
      <c r="AO276" s="1016">
        <f t="shared" ca="1" si="2007"/>
        <v>50742387.394430473</v>
      </c>
      <c r="AP276" s="1016">
        <f t="shared" ca="1" si="2007"/>
        <v>50125012.457103498</v>
      </c>
      <c r="AQ276" s="1016">
        <f t="shared" ca="1" si="2007"/>
        <v>50843189.522709511</v>
      </c>
      <c r="AR276" s="1016">
        <f t="shared" ca="1" si="2007"/>
        <v>50137263.339219287</v>
      </c>
      <c r="AS276" s="1016">
        <f t="shared" ca="1" si="2007"/>
        <v>51107694.365510136</v>
      </c>
      <c r="AT276" s="1016">
        <f t="shared" ca="1" si="2007"/>
        <v>50375624.296633817</v>
      </c>
      <c r="AU276" s="1016">
        <f t="shared" ca="1" si="2007"/>
        <v>50663671.485112101</v>
      </c>
      <c r="AV276" s="1016">
        <f t="shared" ca="1" si="2007"/>
        <v>50621771.332481414</v>
      </c>
      <c r="AW276" s="1016">
        <f t="shared" ca="1" si="2007"/>
        <v>50969070.695710629</v>
      </c>
      <c r="AX276" s="116"/>
      <c r="AY276" s="133">
        <f ca="1">AY189+AY267</f>
        <v>4182729.1372983605</v>
      </c>
      <c r="AZ276" s="133"/>
      <c r="BA276" s="116">
        <f ca="1">BA189+BA267</f>
        <v>56654732.880711183</v>
      </c>
    </row>
    <row r="277" spans="1:53">
      <c r="A277" s="250">
        <f t="shared" si="1997"/>
        <v>262</v>
      </c>
      <c r="B277" s="49"/>
      <c r="C277" s="102" t="s">
        <v>593</v>
      </c>
      <c r="D277" s="102"/>
      <c r="E277" s="102"/>
      <c r="F277" s="974">
        <f t="shared" ca="1" si="2003"/>
        <v>1183210877.9315655</v>
      </c>
      <c r="G277" s="974">
        <f t="shared" si="2003"/>
        <v>1179703260.927835</v>
      </c>
      <c r="H277" s="974">
        <f t="shared" si="2003"/>
        <v>1183473227.0793352</v>
      </c>
      <c r="I277" s="974">
        <f t="shared" si="2003"/>
        <v>1176733525.3567936</v>
      </c>
      <c r="J277" s="974">
        <f t="shared" si="2003"/>
        <v>1188555576.0596023</v>
      </c>
      <c r="K277" s="974">
        <f t="shared" si="2003"/>
        <v>1190404708.1216211</v>
      </c>
      <c r="L277" s="974">
        <f t="shared" si="2003"/>
        <v>1191216707.6102471</v>
      </c>
      <c r="M277" s="974">
        <f t="shared" si="2003"/>
        <v>1189296281.8903766</v>
      </c>
      <c r="N277" s="974">
        <f t="shared" si="2003"/>
        <v>1214453227.214232</v>
      </c>
      <c r="O277" s="974">
        <f t="shared" si="2003"/>
        <v>1237876080.4579399</v>
      </c>
      <c r="P277" s="974">
        <f t="shared" si="2003"/>
        <v>1244374985.8502953</v>
      </c>
      <c r="Q277" s="974">
        <f t="shared" si="2003"/>
        <v>1245510553.3832848</v>
      </c>
      <c r="R277" s="974">
        <f t="shared" si="2003"/>
        <v>1523491454.2176657</v>
      </c>
      <c r="S277" s="116"/>
      <c r="T277" s="116">
        <f ca="1">T190+T268</f>
        <v>1216245775.002182</v>
      </c>
      <c r="U277" s="106">
        <f>H190+H268</f>
        <v>1183473227.0793352</v>
      </c>
      <c r="V277" s="998">
        <f t="shared" ref="V277:AA277" ca="1" si="2009">V190+V268</f>
        <v>1510189342.4125395</v>
      </c>
      <c r="W277" s="998">
        <f t="shared" ca="1" si="2009"/>
        <v>1512577752.626251</v>
      </c>
      <c r="X277" s="998">
        <f t="shared" ca="1" si="2009"/>
        <v>1533658754.3245575</v>
      </c>
      <c r="Y277" s="998">
        <f t="shared" ca="1" si="2009"/>
        <v>1538960699.9436839</v>
      </c>
      <c r="Z277" s="998">
        <f t="shared" ca="1" si="2009"/>
        <v>1533122148.0812287</v>
      </c>
      <c r="AA277" s="998">
        <f t="shared" ca="1" si="2009"/>
        <v>1548107298.8434737</v>
      </c>
      <c r="AB277" s="998">
        <f t="shared" ca="1" si="2005"/>
        <v>1538149474.0477195</v>
      </c>
      <c r="AC277" s="998">
        <f t="shared" ca="1" si="2005"/>
        <v>1584494939.1366184</v>
      </c>
      <c r="AD277" s="998">
        <f t="shared" ca="1" si="2005"/>
        <v>1576415065.7693</v>
      </c>
      <c r="AE277" s="998">
        <f t="shared" ca="1" si="2005"/>
        <v>1598824661.3734853</v>
      </c>
      <c r="AF277" s="998">
        <f t="shared" ca="1" si="2005"/>
        <v>1605918987.757937</v>
      </c>
      <c r="AG277" s="998">
        <f t="shared" ca="1" si="2005"/>
        <v>1654215199.6727819</v>
      </c>
      <c r="AH277" s="116"/>
      <c r="AI277" s="133">
        <f t="shared" ca="1" si="2006"/>
        <v>115311833.37698276</v>
      </c>
      <c r="AJ277" s="116">
        <f t="shared" ca="1" si="2006"/>
        <v>1743825976.7580972</v>
      </c>
      <c r="AK277" s="106">
        <f ca="1">AG277</f>
        <v>1654215199.6727819</v>
      </c>
      <c r="AL277" s="1016">
        <f t="shared" ca="1" si="2007"/>
        <v>1716564740.1945691</v>
      </c>
      <c r="AM277" s="1016">
        <f t="shared" ca="1" si="2007"/>
        <v>1714324685.8038282</v>
      </c>
      <c r="AN277" s="1016">
        <f t="shared" ca="1" si="2007"/>
        <v>1741144890.7449477</v>
      </c>
      <c r="AO277" s="1016">
        <f t="shared" ca="1" si="2007"/>
        <v>1743540571.7828581</v>
      </c>
      <c r="AP277" s="1016">
        <f t="shared" ca="1" si="2007"/>
        <v>1733639966.3614514</v>
      </c>
      <c r="AQ277" s="1016">
        <f t="shared" ca="1" si="2007"/>
        <v>1750081021.9547746</v>
      </c>
      <c r="AR277" s="1016">
        <f t="shared" ca="1" si="2007"/>
        <v>1736828342.0958993</v>
      </c>
      <c r="AS277" s="1016">
        <f t="shared" ca="1" si="2007"/>
        <v>1782273988.8556132</v>
      </c>
      <c r="AT277" s="1016">
        <f t="shared" ca="1" si="2007"/>
        <v>1771239558.1367342</v>
      </c>
      <c r="AU277" s="1016">
        <f t="shared" ca="1" si="2007"/>
        <v>1791543528.0500255</v>
      </c>
      <c r="AV277" s="1016">
        <f t="shared" ca="1" si="2007"/>
        <v>1793726248.6144247</v>
      </c>
      <c r="AW277" s="1016">
        <f t="shared" ca="1" si="2007"/>
        <v>1805720841.5220816</v>
      </c>
      <c r="AX277" s="116"/>
      <c r="AY277" s="133">
        <f ca="1">AY190+AY268</f>
        <v>150936105.75560617</v>
      </c>
      <c r="AZ277" s="133"/>
      <c r="BA277" s="116">
        <f ca="1">BA190+BA268</f>
        <v>1938014640.701189</v>
      </c>
    </row>
    <row r="278" spans="1:53">
      <c r="A278" s="250">
        <f t="shared" si="1997"/>
        <v>263</v>
      </c>
      <c r="B278" s="49"/>
      <c r="C278" s="102" t="s">
        <v>595</v>
      </c>
      <c r="D278" s="102"/>
      <c r="E278" s="102"/>
      <c r="F278" s="974">
        <f t="shared" si="2003"/>
        <v>129323145.57999998</v>
      </c>
      <c r="G278" s="974">
        <f t="shared" si="2003"/>
        <v>128987577.23000002</v>
      </c>
      <c r="H278" s="974">
        <f t="shared" si="2003"/>
        <v>128190023.88</v>
      </c>
      <c r="I278" s="974">
        <f t="shared" si="2003"/>
        <v>126427375.39000002</v>
      </c>
      <c r="J278" s="974">
        <f t="shared" si="2003"/>
        <v>125919381.51000001</v>
      </c>
      <c r="K278" s="974">
        <f t="shared" si="2003"/>
        <v>127570079.76000002</v>
      </c>
      <c r="L278" s="974">
        <f t="shared" si="2003"/>
        <v>128603048.84999996</v>
      </c>
      <c r="M278" s="974">
        <f t="shared" si="2003"/>
        <v>127912778.22000001</v>
      </c>
      <c r="N278" s="974">
        <f t="shared" si="2003"/>
        <v>128266923.48999999</v>
      </c>
      <c r="O278" s="974">
        <f t="shared" si="2003"/>
        <v>128250927.66</v>
      </c>
      <c r="P278" s="974">
        <f t="shared" si="2003"/>
        <v>126898654.23000003</v>
      </c>
      <c r="Q278" s="974">
        <f t="shared" si="2003"/>
        <v>128192818.49000001</v>
      </c>
      <c r="R278" s="974">
        <f t="shared" si="2003"/>
        <v>-112806397.58999999</v>
      </c>
      <c r="S278" s="116"/>
      <c r="T278" s="116">
        <f>T191+T269</f>
        <v>117789830.22541665</v>
      </c>
      <c r="U278" s="106">
        <f>H191+H269</f>
        <v>128190023.88</v>
      </c>
      <c r="V278" s="998">
        <f t="shared" ref="V278:AA278" ca="1" si="2010">V191+V269</f>
        <v>-96346350.911420316</v>
      </c>
      <c r="W278" s="998">
        <f t="shared" ca="1" si="2010"/>
        <v>-98905844.232932955</v>
      </c>
      <c r="X278" s="998">
        <f t="shared" ca="1" si="2010"/>
        <v>-100168813.48608321</v>
      </c>
      <c r="Y278" s="998">
        <f t="shared" ca="1" si="2010"/>
        <v>-100345305.8816624</v>
      </c>
      <c r="Z278" s="998">
        <f t="shared" ca="1" si="2010"/>
        <v>-99028706.777142689</v>
      </c>
      <c r="AA278" s="998">
        <f t="shared" ca="1" si="2010"/>
        <v>-81429421.810107097</v>
      </c>
      <c r="AB278" s="998">
        <f t="shared" ca="1" si="2005"/>
        <v>-81540958.263997331</v>
      </c>
      <c r="AC278" s="998">
        <f t="shared" ca="1" si="2005"/>
        <v>-80075408.845805228</v>
      </c>
      <c r="AD278" s="998">
        <f t="shared" ca="1" si="2005"/>
        <v>-83729430.289447546</v>
      </c>
      <c r="AE278" s="998">
        <f t="shared" ca="1" si="2005"/>
        <v>-87403306.755970255</v>
      </c>
      <c r="AF278" s="998">
        <f t="shared" ca="1" si="2005"/>
        <v>-109410045.31864905</v>
      </c>
      <c r="AG278" s="998">
        <f t="shared" ca="1" si="2005"/>
        <v>-102906010.68982418</v>
      </c>
      <c r="AH278" s="116"/>
      <c r="AI278" s="133">
        <f t="shared" ca="1" si="2006"/>
        <v>-233693825.99331456</v>
      </c>
      <c r="AJ278" s="116">
        <f t="shared" ca="1" si="2006"/>
        <v>149189917.0429658</v>
      </c>
      <c r="AK278" s="106">
        <f ca="1">AG278</f>
        <v>-102906010.68982418</v>
      </c>
      <c r="AL278" s="1016">
        <f t="shared" ca="1" si="2007"/>
        <v>-88506812.147781968</v>
      </c>
      <c r="AM278" s="1016">
        <f t="shared" ca="1" si="2007"/>
        <v>-90840381.972967714</v>
      </c>
      <c r="AN278" s="1016">
        <f t="shared" ca="1" si="2007"/>
        <v>-89055026.525180638</v>
      </c>
      <c r="AO278" s="1016">
        <f t="shared" ca="1" si="2007"/>
        <v>-91116949.174198419</v>
      </c>
      <c r="AP278" s="1016">
        <f t="shared" ca="1" si="2007"/>
        <v>-91569663.064630449</v>
      </c>
      <c r="AQ278" s="1016">
        <f t="shared" ca="1" si="2007"/>
        <v>-71967924.884472206</v>
      </c>
      <c r="AR278" s="1016">
        <f t="shared" ca="1" si="2007"/>
        <v>-74265349.961339995</v>
      </c>
      <c r="AS278" s="1016">
        <f t="shared" ca="1" si="2007"/>
        <v>-74932530.312290579</v>
      </c>
      <c r="AT278" s="1016">
        <f t="shared" ca="1" si="2007"/>
        <v>-79640815.004320115</v>
      </c>
      <c r="AU278" s="1016">
        <f t="shared" ca="1" si="2007"/>
        <v>-86908325.11804767</v>
      </c>
      <c r="AV278" s="1016">
        <f t="shared" ca="1" si="2007"/>
        <v>-101183173.98296247</v>
      </c>
      <c r="AW278" s="1016">
        <f t="shared" ca="1" si="2007"/>
        <v>-97656221.664273173</v>
      </c>
      <c r="AX278" s="116"/>
      <c r="AY278" s="133">
        <f ca="1">AY191+AY269</f>
        <v>5394677.6316534579</v>
      </c>
      <c r="AZ278" s="133"/>
      <c r="BA278" s="116">
        <f ca="1">BA191+BA269</f>
        <v>155779194.33365896</v>
      </c>
    </row>
    <row r="279" spans="1:53" ht="13.5" thickBot="1">
      <c r="A279" s="250">
        <f t="shared" si="1997"/>
        <v>264</v>
      </c>
      <c r="B279" s="49"/>
      <c r="C279" s="102"/>
      <c r="D279" s="102"/>
      <c r="E279" s="102"/>
      <c r="F279" s="994"/>
      <c r="G279" s="994"/>
      <c r="H279" s="994"/>
      <c r="I279" s="994"/>
      <c r="J279" s="994"/>
      <c r="K279" s="994"/>
      <c r="L279" s="994"/>
      <c r="M279" s="994"/>
      <c r="N279" s="994"/>
      <c r="O279" s="994"/>
      <c r="P279" s="994"/>
      <c r="Q279" s="994"/>
      <c r="R279" s="994"/>
      <c r="S279" s="116"/>
      <c r="T279" s="235"/>
      <c r="U279" s="210"/>
      <c r="V279" s="1010"/>
      <c r="W279" s="1010"/>
      <c r="X279" s="1010"/>
      <c r="Y279" s="1010"/>
      <c r="Z279" s="1010"/>
      <c r="AA279" s="1010"/>
      <c r="AB279" s="1010"/>
      <c r="AC279" s="1010"/>
      <c r="AD279" s="1010"/>
      <c r="AE279" s="1010"/>
      <c r="AF279" s="1010"/>
      <c r="AG279" s="1010"/>
      <c r="AH279" s="235"/>
      <c r="AI279" s="242"/>
      <c r="AJ279" s="235"/>
      <c r="AK279" s="210"/>
      <c r="AL279" s="1034"/>
      <c r="AM279" s="1034"/>
      <c r="AN279" s="1034"/>
      <c r="AO279" s="1034"/>
      <c r="AP279" s="1034"/>
      <c r="AQ279" s="1034"/>
      <c r="AR279" s="1034"/>
      <c r="AS279" s="1034"/>
      <c r="AT279" s="1034"/>
      <c r="AU279" s="1034"/>
      <c r="AV279" s="1034"/>
      <c r="AW279" s="1034"/>
      <c r="AX279" s="235"/>
      <c r="AY279" s="242"/>
      <c r="AZ279" s="242"/>
      <c r="BA279" s="235"/>
    </row>
    <row r="280" spans="1:53" ht="13.5" thickTop="1">
      <c r="A280" s="250">
        <f t="shared" si="1997"/>
        <v>265</v>
      </c>
      <c r="B280" s="208"/>
      <c r="C280" s="49"/>
      <c r="D280" s="102"/>
      <c r="E280" s="102"/>
      <c r="F280" s="974"/>
      <c r="G280" s="974"/>
      <c r="H280" s="974"/>
      <c r="I280" s="974"/>
      <c r="J280" s="974"/>
      <c r="K280" s="974"/>
      <c r="L280" s="974"/>
      <c r="M280" s="974"/>
      <c r="N280" s="974"/>
      <c r="O280" s="974"/>
      <c r="P280" s="974"/>
      <c r="Q280" s="974"/>
      <c r="R280" s="974"/>
      <c r="S280" s="116"/>
      <c r="T280" s="116"/>
      <c r="U280" s="106"/>
      <c r="V280" s="998"/>
      <c r="W280" s="998"/>
      <c r="X280" s="998"/>
      <c r="Y280" s="998"/>
      <c r="Z280" s="998"/>
      <c r="AA280" s="998"/>
      <c r="AB280" s="998"/>
      <c r="AC280" s="998"/>
      <c r="AD280" s="998"/>
      <c r="AE280" s="998"/>
      <c r="AF280" s="998"/>
      <c r="AG280" s="998"/>
      <c r="AH280" s="116"/>
      <c r="AI280" s="133"/>
      <c r="AJ280" s="116"/>
      <c r="AK280" s="106"/>
      <c r="AL280" s="1016"/>
      <c r="AM280" s="1016"/>
      <c r="AN280" s="1016"/>
      <c r="AO280" s="1016"/>
      <c r="AP280" s="1016"/>
      <c r="AQ280" s="1016"/>
      <c r="AR280" s="1016"/>
      <c r="AS280" s="1016"/>
      <c r="AT280" s="1016"/>
      <c r="AU280" s="1016"/>
      <c r="AV280" s="1016"/>
      <c r="AW280" s="1016"/>
      <c r="AX280" s="116"/>
      <c r="AY280" s="133"/>
      <c r="AZ280" s="133"/>
      <c r="BA280" s="116"/>
    </row>
    <row r="281" spans="1:53">
      <c r="A281" s="250">
        <f t="shared" si="1997"/>
        <v>266</v>
      </c>
      <c r="B281" s="208"/>
      <c r="C281" s="102" t="s">
        <v>687</v>
      </c>
      <c r="D281" s="102"/>
      <c r="E281" s="102"/>
      <c r="F281" s="974">
        <f t="shared" ref="F281:R281" ca="1" si="2011">F194+F272</f>
        <v>1402188335.3899999</v>
      </c>
      <c r="G281" s="974">
        <f t="shared" si="2011"/>
        <v>1382472112.8699999</v>
      </c>
      <c r="H281" s="974">
        <f t="shared" si="2011"/>
        <v>1374178354.6999998</v>
      </c>
      <c r="I281" s="974">
        <f t="shared" si="2011"/>
        <v>1352350379.072</v>
      </c>
      <c r="J281" s="974">
        <f t="shared" si="2011"/>
        <v>1360167360.0900002</v>
      </c>
      <c r="K281" s="974">
        <f t="shared" si="2011"/>
        <v>1368924929.0099998</v>
      </c>
      <c r="L281" s="974">
        <f t="shared" si="2011"/>
        <v>1383758643.9719996</v>
      </c>
      <c r="M281" s="974">
        <f t="shared" si="2011"/>
        <v>1394108733.2219999</v>
      </c>
      <c r="N281" s="974">
        <f t="shared" si="2011"/>
        <v>1435178314.6799998</v>
      </c>
      <c r="O281" s="974">
        <f t="shared" si="2011"/>
        <v>1469901447.3699999</v>
      </c>
      <c r="P281" s="974">
        <f t="shared" si="2011"/>
        <v>1475655380.9499998</v>
      </c>
      <c r="Q281" s="974">
        <f t="shared" si="2011"/>
        <v>1479246259.98</v>
      </c>
      <c r="R281" s="974">
        <f t="shared" si="2011"/>
        <v>1509778869.5020003</v>
      </c>
      <c r="S281" s="116"/>
      <c r="T281" s="116">
        <f ca="1">T194+T272</f>
        <v>1429597005.6776669</v>
      </c>
      <c r="U281" s="106">
        <f>H194+H272</f>
        <v>1374178354.6999998</v>
      </c>
      <c r="V281" s="998">
        <f t="shared" ref="V281:AA281" ca="1" si="2012">V194+V272</f>
        <v>1590378432.8647113</v>
      </c>
      <c r="W281" s="998">
        <f t="shared" ca="1" si="2012"/>
        <v>1589215650.6886594</v>
      </c>
      <c r="X281" s="998">
        <f t="shared" ca="1" si="2012"/>
        <v>1611998443.8547676</v>
      </c>
      <c r="Y281" s="998">
        <f t="shared" ca="1" si="2012"/>
        <v>1615018738.9525089</v>
      </c>
      <c r="Z281" s="998">
        <f t="shared" ca="1" si="2012"/>
        <v>1608333140.2240653</v>
      </c>
      <c r="AA281" s="998">
        <f t="shared" ca="1" si="2012"/>
        <v>1642592930.5519285</v>
      </c>
      <c r="AB281" s="998">
        <f t="shared" ref="AB281:AG281" ca="1" si="2013">AB194+AB272</f>
        <v>1630407315.7138164</v>
      </c>
      <c r="AC281" s="998">
        <f t="shared" ca="1" si="2013"/>
        <v>1677860046.5961645</v>
      </c>
      <c r="AD281" s="998">
        <f t="shared" ca="1" si="2013"/>
        <v>1663540277.9111538</v>
      </c>
      <c r="AE281" s="998">
        <f t="shared" ca="1" si="2013"/>
        <v>1681316057.5909758</v>
      </c>
      <c r="AF281" s="998">
        <f t="shared" ca="1" si="2013"/>
        <v>1665599466.2678065</v>
      </c>
      <c r="AG281" s="998">
        <f t="shared" ca="1" si="2013"/>
        <v>1689410395.3665395</v>
      </c>
      <c r="AH281" s="116"/>
      <c r="AI281" s="133">
        <f ca="1">AI194+AI272</f>
        <v>72556980.966539383</v>
      </c>
      <c r="AJ281" s="116">
        <f ca="1">AJ194+AJ272</f>
        <v>2002448905.9773314</v>
      </c>
      <c r="AK281" s="106">
        <f ca="1">AG281</f>
        <v>1689410395.3665395</v>
      </c>
      <c r="AL281" s="1016">
        <f t="shared" ref="AL281:AW281" ca="1" si="2014">AL194+AL272</f>
        <v>1619635653.840955</v>
      </c>
      <c r="AM281" s="1016">
        <f t="shared" ca="1" si="2014"/>
        <v>1625435790.4146869</v>
      </c>
      <c r="AN281" s="1016">
        <f t="shared" ca="1" si="2014"/>
        <v>1612076533.9931116</v>
      </c>
      <c r="AO281" s="1016">
        <f t="shared" ca="1" si="2014"/>
        <v>1800289626.5679243</v>
      </c>
      <c r="AP281" s="1016">
        <f t="shared" ca="1" si="2014"/>
        <v>1636141820.6402156</v>
      </c>
      <c r="AQ281" s="1016">
        <f t="shared" ca="1" si="2014"/>
        <v>1686126003.3855288</v>
      </c>
      <c r="AR281" s="1016">
        <f t="shared" ca="1" si="2014"/>
        <v>1807158847.9320934</v>
      </c>
      <c r="AS281" s="1016">
        <f t="shared" ca="1" si="2014"/>
        <v>1851246879.4788043</v>
      </c>
      <c r="AT281" s="1016">
        <f t="shared" ca="1" si="2014"/>
        <v>1832368421.9010162</v>
      </c>
      <c r="AU281" s="1016">
        <f t="shared" ca="1" si="2014"/>
        <v>1844065042.9920363</v>
      </c>
      <c r="AV281" s="1016">
        <f t="shared" ca="1" si="2014"/>
        <v>1830685610.7029755</v>
      </c>
      <c r="AW281" s="1016">
        <f t="shared" ca="1" si="2014"/>
        <v>1846271643.802659</v>
      </c>
      <c r="AX281" s="116"/>
      <c r="AY281" s="133">
        <f ca="1">AY194+AY272</f>
        <v>156861248.43611953</v>
      </c>
      <c r="AZ281" s="133"/>
      <c r="BA281" s="116">
        <f ca="1">BA194+BA272</f>
        <v>2206078316.4346161</v>
      </c>
    </row>
    <row r="282" spans="1:53">
      <c r="A282" s="250"/>
      <c r="B282" s="208"/>
      <c r="C282" s="102"/>
      <c r="D282" s="102"/>
      <c r="E282" s="102"/>
      <c r="F282" s="996"/>
      <c r="G282" s="996"/>
      <c r="H282" s="996"/>
      <c r="I282" s="996"/>
      <c r="J282" s="996"/>
      <c r="K282" s="996"/>
      <c r="L282" s="996"/>
      <c r="M282" s="996"/>
      <c r="N282" s="996"/>
      <c r="O282" s="996"/>
      <c r="P282" s="996"/>
      <c r="Q282" s="996"/>
      <c r="R282" s="996"/>
      <c r="S282" s="102"/>
      <c r="T282" s="102"/>
      <c r="U282" s="102"/>
      <c r="V282" s="1014"/>
      <c r="W282" s="1014"/>
      <c r="X282" s="1014"/>
      <c r="Y282" s="1014"/>
      <c r="Z282" s="1014"/>
      <c r="AA282" s="1014"/>
      <c r="AB282" s="1014"/>
      <c r="AC282" s="1014"/>
      <c r="AD282" s="1014"/>
      <c r="AE282" s="1014"/>
      <c r="AF282" s="1014"/>
      <c r="AG282" s="1014"/>
      <c r="AH282" s="102"/>
      <c r="AI282" s="393"/>
      <c r="AJ282" s="102"/>
      <c r="AK282" s="102"/>
      <c r="AL282" s="1037"/>
      <c r="AM282" s="1037"/>
      <c r="AN282" s="1037"/>
      <c r="AO282" s="1037"/>
      <c r="AP282" s="1037"/>
      <c r="AQ282" s="1037"/>
      <c r="AR282" s="1037"/>
      <c r="AS282" s="1037"/>
      <c r="AT282" s="1037"/>
      <c r="AU282" s="1037"/>
      <c r="AV282" s="1037"/>
      <c r="AW282" s="1037"/>
      <c r="AX282" s="102"/>
      <c r="AY282" s="393"/>
      <c r="AZ282" s="393"/>
      <c r="BA282" s="102"/>
    </row>
    <row r="283" spans="1:53">
      <c r="A283" s="250"/>
      <c r="B283" s="208"/>
      <c r="C283" s="102"/>
      <c r="D283" s="102"/>
      <c r="E283" s="102"/>
      <c r="F283" s="996"/>
      <c r="G283" s="996"/>
      <c r="H283" s="996"/>
      <c r="I283" s="996"/>
      <c r="J283" s="996"/>
      <c r="K283" s="996"/>
      <c r="L283" s="996"/>
      <c r="M283" s="996"/>
      <c r="N283" s="996"/>
      <c r="O283" s="996"/>
      <c r="P283" s="996"/>
      <c r="Q283" s="996"/>
      <c r="R283" s="996"/>
      <c r="S283" s="102"/>
      <c r="U283" s="102"/>
      <c r="AH283" s="102"/>
      <c r="AK283" s="102"/>
      <c r="AX283" s="102"/>
    </row>
    <row r="284" spans="1:53">
      <c r="AI284" s="15"/>
      <c r="AY284" s="15"/>
      <c r="AZ284" s="15"/>
    </row>
    <row r="285" spans="1:53">
      <c r="AI285" s="15"/>
      <c r="AY285" s="15"/>
      <c r="AZ285" s="15"/>
    </row>
    <row r="286" spans="1:53">
      <c r="AI286" s="15"/>
      <c r="AY286" s="15"/>
      <c r="AZ286" s="15"/>
    </row>
    <row r="287" spans="1:53">
      <c r="AI287" s="15"/>
      <c r="AY287" s="15"/>
      <c r="AZ287" s="15"/>
    </row>
    <row r="288" spans="1:53">
      <c r="AI288" s="15"/>
      <c r="AY288" s="15"/>
      <c r="AZ288" s="15"/>
    </row>
    <row r="289" spans="35:52">
      <c r="AI289" s="15"/>
      <c r="AY289" s="15"/>
      <c r="AZ289" s="15"/>
    </row>
    <row r="290" spans="35:52">
      <c r="AI290" s="15"/>
      <c r="AY290" s="15"/>
      <c r="AZ290" s="15"/>
    </row>
    <row r="291" spans="35:52">
      <c r="AI291" s="15"/>
      <c r="AY291" s="15"/>
      <c r="AZ291" s="15"/>
    </row>
    <row r="292" spans="35:52">
      <c r="AI292" s="15"/>
      <c r="AY292" s="15"/>
      <c r="AZ292" s="15"/>
    </row>
    <row r="293" spans="35:52">
      <c r="AI293" s="15"/>
      <c r="AY293" s="15"/>
      <c r="AZ293" s="15"/>
    </row>
  </sheetData>
  <mergeCells count="2">
    <mergeCell ref="B5:E5"/>
    <mergeCell ref="B11:E11"/>
  </mergeCells>
  <pageMargins left="0.7" right="0.7" top="0.75" bottom="0.75" header="0.3" footer="0.3"/>
  <pageSetup paperSize="5" scale="52" fitToWidth="3" fitToHeight="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61857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266700</xdr:colOff>
                    <xdr:row>0</xdr:row>
                    <xdr:rowOff>133350</xdr:rowOff>
                  </from>
                  <to>
                    <xdr:col>1</xdr:col>
                    <xdr:colOff>76200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1858" r:id="rId5" name="Button 2">
              <controlPr defaultSize="0" print="0" autoFill="0" autoPict="0" macro="[0]!Macro5">
                <anchor moveWithCells="1" sizeWithCells="1">
                  <from>
                    <xdr:col>0</xdr:col>
                    <xdr:colOff>266700</xdr:colOff>
                    <xdr:row>0</xdr:row>
                    <xdr:rowOff>133350</xdr:rowOff>
                  </from>
                  <to>
                    <xdr:col>1</xdr:col>
                    <xdr:colOff>76200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123</vt:i4>
      </vt:variant>
    </vt:vector>
  </HeadingPairs>
  <TitlesOfParts>
    <vt:vector size="186" baseType="lpstr">
      <vt:lpstr>Control Panel</vt:lpstr>
      <vt:lpstr>Report</vt:lpstr>
      <vt:lpstr>ROR-Model</vt:lpstr>
      <vt:lpstr>Summaries</vt:lpstr>
      <vt:lpstr>Adjustments</vt:lpstr>
      <vt:lpstr>Rate Base</vt:lpstr>
      <vt:lpstr>EXPENSES</vt:lpstr>
      <vt:lpstr>PROJECTED EXPENSES</vt:lpstr>
      <vt:lpstr>RB FORECAST</vt:lpstr>
      <vt:lpstr>101_106 PROJECTION</vt:lpstr>
      <vt:lpstr>108_111 Projection</vt:lpstr>
      <vt:lpstr>PROJECTED ACC 252 (CONTR)</vt:lpstr>
      <vt:lpstr>190_255_282 FORECAST</vt:lpstr>
      <vt:lpstr>Labor Forecast</vt:lpstr>
      <vt:lpstr>ENERGY EFFICIENCY SERVICES ADJ</vt:lpstr>
      <vt:lpstr>Corporate Overhead</vt:lpstr>
      <vt:lpstr>Other Taxes</vt:lpstr>
      <vt:lpstr>Taxes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Revenue</vt:lpstr>
      <vt:lpstr>Booked DEC 2017 Rev</vt:lpstr>
      <vt:lpstr>AVG Proj Rev 2018 with CET</vt:lpstr>
      <vt:lpstr>AVG Projected Rev 2019 with CET</vt:lpstr>
      <vt:lpstr>Other Rev</vt:lpstr>
      <vt:lpstr>Utah Bad Debt</vt:lpstr>
      <vt:lpstr>Capital Str</vt:lpstr>
      <vt:lpstr>Utah Allocation</vt:lpstr>
      <vt:lpstr>ALLOCATIONS&amp;PRETAX</vt:lpstr>
      <vt:lpstr>Transition Costs</vt:lpstr>
      <vt:lpstr>Optional Adjustment 2</vt:lpstr>
      <vt:lpstr>Optional Adjustment 3</vt:lpstr>
      <vt:lpstr>Optional Adjustment 4</vt:lpstr>
      <vt:lpstr>Optional Adjustment 5</vt:lpstr>
      <vt:lpstr>Optional Adjustment 6</vt:lpstr>
      <vt:lpstr>Optional Adjustment 7</vt:lpstr>
      <vt:lpstr>Optional Adjustment 8</vt:lpstr>
      <vt:lpstr>Optional Adjustment 9</vt:lpstr>
      <vt:lpstr>Optional Adjustment 10</vt:lpstr>
      <vt:lpstr>Optional Adjustment 11</vt:lpstr>
      <vt:lpstr>Optional Adjustment 12</vt:lpstr>
      <vt:lpstr>Optional Adjustment 13</vt:lpstr>
      <vt:lpstr>Optional Adjustment 14</vt:lpstr>
      <vt:lpstr>Optional Adjustment 15</vt:lpstr>
      <vt:lpstr>Optional Adjustment 16</vt:lpstr>
      <vt:lpstr>Optional Adjustment 17</vt:lpstr>
      <vt:lpstr>Optional Adjustment 18</vt:lpstr>
      <vt:lpstr>Optional Adjustment 19</vt:lpstr>
      <vt:lpstr>Optional Adjustment 20</vt:lpstr>
      <vt:lpstr>Optional Adjustment 21</vt:lpstr>
      <vt:lpstr>Optional Adjustment 22</vt:lpstr>
      <vt:lpstr>Optional Adjustment 23</vt:lpstr>
      <vt:lpstr>Optional Adjustment 24</vt:lpstr>
      <vt:lpstr>Optional Adjustment 25</vt:lpstr>
      <vt:lpstr>Optional Adjustment 26</vt:lpstr>
      <vt:lpstr>Optional Adjustment 27</vt:lpstr>
      <vt:lpstr>Labor Adjustment ROO</vt:lpstr>
      <vt:lpstr>COS REVRUN</vt:lpstr>
      <vt:lpstr>Adjustments</vt:lpstr>
      <vt:lpstr>ADVERTISESUMMARY1</vt:lpstr>
      <vt:lpstr>Advertisingscenario</vt:lpstr>
      <vt:lpstr>ALLOCATIONS</vt:lpstr>
      <vt:lpstr>AVG_INCENTIVE</vt:lpstr>
      <vt:lpstr>BadDebtScenario</vt:lpstr>
      <vt:lpstr>BADDEBTSUMMARY1</vt:lpstr>
      <vt:lpstr>BADDEBTSUMMARY2</vt:lpstr>
      <vt:lpstr>BOOKED_DEC_2006</vt:lpstr>
      <vt:lpstr>CapStr</vt:lpstr>
      <vt:lpstr>COMM_REV_CO</vt:lpstr>
      <vt:lpstr>COMM_REV_ID</vt:lpstr>
      <vt:lpstr>COMM_REV_UT</vt:lpstr>
      <vt:lpstr>COMM_REV_WY</vt:lpstr>
      <vt:lpstr>COSREVRUN</vt:lpstr>
      <vt:lpstr>Decouple1</vt:lpstr>
      <vt:lpstr>Decouple2</vt:lpstr>
      <vt:lpstr>Decouple2A</vt:lpstr>
      <vt:lpstr>Decouple2B</vt:lpstr>
      <vt:lpstr>Decouple3</vt:lpstr>
      <vt:lpstr>Decouple8</vt:lpstr>
      <vt:lpstr>DON_ADJ_UT</vt:lpstr>
      <vt:lpstr>DON_ADJ_WY</vt:lpstr>
      <vt:lpstr>DONATIONSSCENARIO</vt:lpstr>
      <vt:lpstr>DONATIONSSUMMARY</vt:lpstr>
      <vt:lpstr>DPUORIGINAL1</vt:lpstr>
      <vt:lpstr>Energy_Efficiency</vt:lpstr>
      <vt:lpstr>events</vt:lpstr>
      <vt:lpstr>EXPENSE_SENARIOS</vt:lpstr>
      <vt:lpstr>EXPENSES</vt:lpstr>
      <vt:lpstr>EXPENSESCENARIO</vt:lpstr>
      <vt:lpstr>GrossPlantFormula</vt:lpstr>
      <vt:lpstr>GrossPlantNumber</vt:lpstr>
      <vt:lpstr>HIST_403_GEN</vt:lpstr>
      <vt:lpstr>HIST_403_PROD</vt:lpstr>
      <vt:lpstr>HIST_403_UT</vt:lpstr>
      <vt:lpstr>HIST_403_WY</vt:lpstr>
      <vt:lpstr>INCENTIVE</vt:lpstr>
      <vt:lpstr>INCENTIVECORP</vt:lpstr>
      <vt:lpstr>INCENTIVEPER1</vt:lpstr>
      <vt:lpstr>INCENTIVEPER11</vt:lpstr>
      <vt:lpstr>INCENTIVEPER12</vt:lpstr>
      <vt:lpstr>INCENTIVEPER2</vt:lpstr>
      <vt:lpstr>INCENTIVEPER3</vt:lpstr>
      <vt:lpstr>INCENTIVEPER4</vt:lpstr>
      <vt:lpstr>INCENTIVEPER5</vt:lpstr>
      <vt:lpstr>INCENTIVEPER6</vt:lpstr>
      <vt:lpstr>INCENTIVEPER7</vt:lpstr>
      <vt:lpstr>INCENTIVEPER8</vt:lpstr>
      <vt:lpstr>INCENTIVEPER9</vt:lpstr>
      <vt:lpstr>INCENTIVESUMMARY</vt:lpstr>
      <vt:lpstr>INSENTIVEQGC</vt:lpstr>
      <vt:lpstr>Insentives_QGC</vt:lpstr>
      <vt:lpstr>INSENTIVESCENARIO</vt:lpstr>
      <vt:lpstr>JurisRORNumber</vt:lpstr>
      <vt:lpstr>MODEL</vt:lpstr>
      <vt:lpstr>OtherRevScenarios</vt:lpstr>
      <vt:lpstr>PIPELINEINTEGRITY</vt:lpstr>
      <vt:lpstr>'101_106 PROJECTION'!Print_Area</vt:lpstr>
      <vt:lpstr>'108_111 Projection'!Print_Area</vt:lpstr>
      <vt:lpstr>Adjustments!Print_Area</vt:lpstr>
      <vt:lpstr>Advertising!Print_Area</vt:lpstr>
      <vt:lpstr>'ALLOCATIONS&amp;PRETAX'!Print_Area</vt:lpstr>
      <vt:lpstr>'AVG Proj Rev 2018 with CET'!Print_Area</vt:lpstr>
      <vt:lpstr>'AVG Projected Rev 2019 with CET'!Print_Area</vt:lpstr>
      <vt:lpstr>'Capital Str'!Print_Area</vt:lpstr>
      <vt:lpstr>'Control Panel'!Print_Area</vt:lpstr>
      <vt:lpstr>'Corporate Overhead'!Print_Area</vt:lpstr>
      <vt:lpstr>Donations!Print_Area</vt:lpstr>
      <vt:lpstr>'ENERGY EFFICIENCY SERVICES ADJ'!Print_Area</vt:lpstr>
      <vt:lpstr>EXPENSES!Print_Area</vt:lpstr>
      <vt:lpstr>Incentive!Print_Area</vt:lpstr>
      <vt:lpstr>'Labor Forecast'!Print_Area</vt:lpstr>
      <vt:lpstr>'Other Rev'!Print_Area</vt:lpstr>
      <vt:lpstr>'Other Taxes'!Print_Area</vt:lpstr>
      <vt:lpstr>'Rate Base'!Print_Area</vt:lpstr>
      <vt:lpstr>'RB FORECAST'!Print_Area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Summaries!Print_Area</vt:lpstr>
      <vt:lpstr>Taxes!Print_Area</vt:lpstr>
      <vt:lpstr>'Transition Costs'!Print_Area</vt:lpstr>
      <vt:lpstr>'Und Stor'!Print_Area</vt:lpstr>
      <vt:lpstr>'Utah Allocation'!Print_Area</vt:lpstr>
      <vt:lpstr>'Utah Bad Debt'!Print_Area</vt:lpstr>
      <vt:lpstr>Wexpro!Print_Area</vt:lpstr>
      <vt:lpstr>Adjustments!Print_Titles</vt:lpstr>
      <vt:lpstr>EXPENSES!Print_Titles</vt:lpstr>
      <vt:lpstr>'Other Rev'!Print_Titles</vt:lpstr>
      <vt:lpstr>'Rate Base'!Print_Titles</vt:lpstr>
      <vt:lpstr>'RB FORECAST'!Print_Titles</vt:lpstr>
      <vt:lpstr>Revenue!Print_Titles</vt:lpstr>
      <vt:lpstr>'ROR-Model'!Print_Titles</vt:lpstr>
      <vt:lpstr>Summaries!Print_Titles</vt:lpstr>
      <vt:lpstr>PT_OTH_REV_UT</vt:lpstr>
      <vt:lpstr>PT_OTH_REV_WY</vt:lpstr>
      <vt:lpstr>QGC_UTAH_Bad_Debt</vt:lpstr>
      <vt:lpstr>RateBaseFormula</vt:lpstr>
      <vt:lpstr>RateBaseNumber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RevenueScenarios</vt:lpstr>
      <vt:lpstr>SalesFormula</vt:lpstr>
      <vt:lpstr>SalesNumber</vt:lpstr>
      <vt:lpstr>Scenarios</vt:lpstr>
      <vt:lpstr>SNG_REV_ID</vt:lpstr>
      <vt:lpstr>SNG_REV_UT</vt:lpstr>
      <vt:lpstr>SNG_REV_WY</vt:lpstr>
      <vt:lpstr>Summaries</vt:lpstr>
      <vt:lpstr>taxes</vt:lpstr>
      <vt:lpstr>UNDERGROUND_STORAGE</vt:lpstr>
      <vt:lpstr>UNDERGROUND_STORAGE_RANGE</vt:lpstr>
      <vt:lpstr>UTAHSUMMARY</vt:lpstr>
      <vt:lpstr>WEX_ADJ_101_PROD</vt:lpstr>
      <vt:lpstr>WEX_ADJ_108_PROD</vt:lpstr>
      <vt:lpstr>WEX_ADJ_111_PROD</vt:lpstr>
    </vt:vector>
  </TitlesOfParts>
  <Company>Questar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Melissa Paschal</cp:lastModifiedBy>
  <cp:lastPrinted>2018-06-15T21:25:54Z</cp:lastPrinted>
  <dcterms:created xsi:type="dcterms:W3CDTF">2001-05-16T20:00:24Z</dcterms:created>
  <dcterms:modified xsi:type="dcterms:W3CDTF">2018-06-15T22:51:48Z</dcterms:modified>
</cp:coreProperties>
</file>